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207BBB31-AEBB-4F25-B60C-BC54B6B4D86E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</calcChain>
</file>

<file path=xl/sharedStrings.xml><?xml version="1.0" encoding="utf-8"?>
<sst xmlns="http://schemas.openxmlformats.org/spreadsheetml/2006/main" count="15150" uniqueCount="113">
  <si>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</si>
  <si>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</si>
  <si>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</si>
  <si>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</si>
  <si>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</si>
  <si>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</si>
  <si>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</si>
  <si>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</si>
  <si>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</si>
  <si>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</si>
  <si>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</si>
  <si>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</si>
  <si>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</si>
  <si>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</si>
  <si>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</si>
  <si>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</si>
  <si>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</si>
  <si>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</si>
  <si>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</si>
  <si>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</si>
  <si>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</si>
  <si>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</si>
  <si>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</si>
  <si>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</si>
  <si>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</si>
  <si>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</si>
  <si>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</si>
  <si>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</si>
  <si>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</si>
  <si>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</si>
  <si>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</si>
  <si>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</si>
  <si>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</si>
  <si>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</si>
  <si>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</si>
  <si>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</si>
  <si>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</si>
  <si>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</si>
  <si>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</si>
  <si>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</si>
  <si>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TestNight_on</t>
  </si>
  <si>
    <t>Plane_01</t>
  </si>
  <si>
    <t>mcp_road_part_02</t>
  </si>
  <si>
    <t>Kooper</t>
  </si>
  <si>
    <t>FAR</t>
  </si>
  <si>
    <t>Building 18 (9)</t>
  </si>
  <si>
    <t>Pilar Small (24)</t>
  </si>
  <si>
    <t>Pilar Small (25)</t>
  </si>
  <si>
    <t>Wall Small 03 (21)</t>
  </si>
  <si>
    <t>Wall Small 03 (26)</t>
  </si>
  <si>
    <t>Wall Small 03 (24)</t>
  </si>
  <si>
    <t>Pilar Small (29)</t>
  </si>
  <si>
    <t>Building 07 (16)</t>
  </si>
  <si>
    <t>mcp_roads_turn_01 (1)</t>
  </si>
  <si>
    <t>Box001</t>
  </si>
  <si>
    <t>Building 03</t>
  </si>
  <si>
    <t>Floor 01</t>
  </si>
  <si>
    <t>Plane_01 (1)</t>
  </si>
  <si>
    <t>Building 07 (17)</t>
  </si>
  <si>
    <t>Building 07 (18)</t>
  </si>
  <si>
    <t>Building 24 (1)</t>
  </si>
  <si>
    <t>Building 18 (11)</t>
  </si>
  <si>
    <t>Building 15 (35)</t>
  </si>
  <si>
    <t>mcp_roads_T_cross_01</t>
  </si>
  <si>
    <t>Building 21 (2)</t>
  </si>
  <si>
    <t>Building 18 (4)</t>
  </si>
  <si>
    <t>Building 19</t>
  </si>
  <si>
    <t>Tree 04 (2)</t>
  </si>
  <si>
    <t>Building 07 (4)</t>
  </si>
  <si>
    <t>mcp_road_part_01</t>
  </si>
  <si>
    <t>Building 07 (11)</t>
  </si>
  <si>
    <t>Building 02 (8)</t>
  </si>
  <si>
    <t>Building 15 (31)</t>
  </si>
  <si>
    <t>Building 15 (33)</t>
  </si>
  <si>
    <t>mcp_roads_cross_01</t>
  </si>
  <si>
    <t>Building 15 (32)</t>
  </si>
  <si>
    <t>Building 15 (30)</t>
  </si>
  <si>
    <t>mcp_roads_turn_01</t>
  </si>
  <si>
    <t>Building 09 (4)</t>
  </si>
  <si>
    <t>Building 07 (15)</t>
  </si>
  <si>
    <t>mcp_building_24_fountain_marble</t>
  </si>
  <si>
    <t>Building 24</t>
  </si>
  <si>
    <t>Building 01</t>
  </si>
  <si>
    <t>Canopi 01 (7)</t>
  </si>
  <si>
    <t>mcp_roads_cross_02</t>
  </si>
  <si>
    <t>Building 18 (2)</t>
  </si>
  <si>
    <t>Building 23 (4)</t>
  </si>
  <si>
    <t>Building 15 (34)</t>
  </si>
  <si>
    <t>Tree 02 (6)</t>
  </si>
  <si>
    <t>Stand 03 (4)</t>
  </si>
  <si>
    <t>Building 29 (5)</t>
  </si>
  <si>
    <t>Building 01 (1)</t>
  </si>
  <si>
    <t>Building 15 (7)</t>
  </si>
  <si>
    <t>Building 13 (1)</t>
  </si>
  <si>
    <t>mcp_road_part_02 (1)</t>
  </si>
  <si>
    <t>mcp_road_part_02 (2)</t>
  </si>
  <si>
    <t>mcp_road_part_02 (3)</t>
  </si>
  <si>
    <t>Shurbs (2)</t>
  </si>
  <si>
    <t>Tree 04 (4)</t>
  </si>
  <si>
    <t>Shurbs (1)</t>
  </si>
  <si>
    <t>Shurbs</t>
  </si>
  <si>
    <t>Building 30 (4)</t>
  </si>
  <si>
    <t>mcp_bus_stop_night_LOD_0</t>
  </si>
  <si>
    <t>Building 07 (14)</t>
  </si>
  <si>
    <t>mcp_road_part_02 (6)</t>
  </si>
  <si>
    <t>mcp_road_part_02 (9)</t>
  </si>
  <si>
    <t>mcp_road_part_02 (8)</t>
  </si>
  <si>
    <t>mcp_road_part_02 (10)</t>
  </si>
  <si>
    <t>mcp_road_part_02 (12)</t>
  </si>
  <si>
    <t>mcp_road_part_02 (11)</t>
  </si>
  <si>
    <t>Building 15 (22)</t>
  </si>
  <si>
    <t>Canopi 01 (3)</t>
  </si>
  <si>
    <t>Building 14 (9)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</si>
</sst>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556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"20190312161221176"</f>
        <v>20190312161221176</v>
      </c>
      <c r="B2" t="str">
        <f>"1552378341166239"</f>
        <v>1552378341166239</v>
      </c>
      <c r="C2" t="s">
        <v>40</v>
      </c>
      <c r="D2">
        <v>5.6608029999999996</v>
      </c>
      <c r="E2">
        <v>0.47274040000000001</v>
      </c>
      <c r="F2" t="s">
        <v>41</v>
      </c>
      <c r="G2">
        <v>-433.78109999999998</v>
      </c>
      <c r="H2">
        <v>-0.05</v>
      </c>
      <c r="I2">
        <v>365.75979999999998</v>
      </c>
      <c r="J2">
        <v>-476.60520000000002</v>
      </c>
      <c r="K2">
        <v>1.1097969999999999</v>
      </c>
      <c r="L2">
        <v>367.22030000000001</v>
      </c>
      <c r="M2">
        <v>0.99996510000000005</v>
      </c>
      <c r="N2">
        <v>0</v>
      </c>
      <c r="O2">
        <v>4.9343680000000004E-4</v>
      </c>
      <c r="P2">
        <v>0.99375519999999995</v>
      </c>
      <c r="Q2">
        <v>3.1392499999999997E-2</v>
      </c>
      <c r="R2">
        <v>-0.10707560000000001</v>
      </c>
      <c r="S2">
        <v>3.0103759999999999</v>
      </c>
      <c r="T2">
        <v>-8.1523899999999996E-2</v>
      </c>
      <c r="U2">
        <v>-0.1026306</v>
      </c>
      <c r="V2">
        <v>0.1075566</v>
      </c>
      <c r="W2">
        <v>3.9716590000000003E-2</v>
      </c>
      <c r="X2">
        <v>0.99340530000000005</v>
      </c>
      <c r="Y2">
        <v>3.4552819999999998E-2</v>
      </c>
      <c r="Z2">
        <v>-4.8099729999999998E-4</v>
      </c>
      <c r="AA2">
        <v>0.99940280000000004</v>
      </c>
      <c r="AB2">
        <v>1</v>
      </c>
      <c r="AC2">
        <v>42.824100000000001</v>
      </c>
      <c r="AD2">
        <v>-1.159797</v>
      </c>
      <c r="AE2">
        <v>-1.4605000000000199</v>
      </c>
      <c r="AF2">
        <v>1.48054685610657</v>
      </c>
      <c r="AG2">
        <v>-1.159797</v>
      </c>
      <c r="AH2">
        <v>42.7920235260125</v>
      </c>
      <c r="AI2">
        <v>91.551585902778299</v>
      </c>
      <c r="AJ2">
        <v>88.018432997228402</v>
      </c>
      <c r="AK2">
        <v>42.833333112485498</v>
      </c>
      <c r="AL2">
        <v>87.723808243707694</v>
      </c>
      <c r="AM2">
        <v>83.820621827457202</v>
      </c>
      <c r="AN2">
        <v>0.99999995989643797</v>
      </c>
    </row>
    <row r="3" spans="1:40" x14ac:dyDescent="0.25">
      <c r="A3" t="str">
        <f>"20190312161221199"</f>
        <v>20190312161221199</v>
      </c>
      <c r="B3" t="str">
        <f>"1552378341195520"</f>
        <v>1552378341195520</v>
      </c>
      <c r="C3" t="s">
        <v>40</v>
      </c>
      <c r="D3">
        <v>5.6035779999999997</v>
      </c>
      <c r="E3">
        <v>0.47327180000000002</v>
      </c>
      <c r="F3" t="s">
        <v>41</v>
      </c>
      <c r="G3">
        <v>-419.8546</v>
      </c>
      <c r="H3">
        <v>-0.05</v>
      </c>
      <c r="I3">
        <v>365.3845</v>
      </c>
      <c r="J3">
        <v>-476.59719999999999</v>
      </c>
      <c r="K3">
        <v>1.1099110000000001</v>
      </c>
      <c r="L3">
        <v>367.22059999999999</v>
      </c>
      <c r="M3">
        <v>0.99996510000000005</v>
      </c>
      <c r="N3">
        <v>0</v>
      </c>
      <c r="O3">
        <v>6.1450909999999999E-4</v>
      </c>
      <c r="P3">
        <v>0.99373820000000002</v>
      </c>
      <c r="Q3">
        <v>3.236062E-2</v>
      </c>
      <c r="R3">
        <v>-0.1069465</v>
      </c>
      <c r="S3">
        <v>3.0103149999999999</v>
      </c>
      <c r="T3">
        <v>-6.1521050000000001E-2</v>
      </c>
      <c r="U3">
        <v>-9.7381590000000004E-2</v>
      </c>
      <c r="V3">
        <v>0.10754950000000001</v>
      </c>
      <c r="W3">
        <v>4.0667590000000003E-2</v>
      </c>
      <c r="X3">
        <v>0.99336760000000002</v>
      </c>
      <c r="Y3">
        <v>3.2939589999999998E-2</v>
      </c>
      <c r="Z3">
        <v>-3.4902039999999999E-4</v>
      </c>
      <c r="AA3">
        <v>0.99945729999999999</v>
      </c>
      <c r="AB3">
        <v>1</v>
      </c>
      <c r="AC3">
        <v>56.742599999999896</v>
      </c>
      <c r="AD3">
        <v>-1.1599109999999999</v>
      </c>
      <c r="AE3">
        <v>-1.8360999999999801</v>
      </c>
      <c r="AF3">
        <v>1.8701890478187799</v>
      </c>
      <c r="AG3">
        <v>-1.1599109999999999</v>
      </c>
      <c r="AH3">
        <v>56.717785638166099</v>
      </c>
      <c r="AI3">
        <v>91.170931793257694</v>
      </c>
      <c r="AJ3">
        <v>88.111436672063505</v>
      </c>
      <c r="AK3">
        <v>56.760463425693302</v>
      </c>
      <c r="AL3">
        <v>87.669275908985099</v>
      </c>
      <c r="AM3">
        <v>83.820793895048297</v>
      </c>
      <c r="AN3">
        <v>0.99999996827820803</v>
      </c>
    </row>
    <row r="4" spans="1:40" x14ac:dyDescent="0.25">
      <c r="A4" t="str">
        <f>"20190312161221220"</f>
        <v>20190312161221220</v>
      </c>
      <c r="B4" t="str">
        <f>"1552378341215039"</f>
        <v>1552378341215039</v>
      </c>
      <c r="C4" t="s">
        <v>40</v>
      </c>
      <c r="D4">
        <v>5.467587</v>
      </c>
      <c r="E4">
        <v>0.47290120000000002</v>
      </c>
      <c r="F4" t="s">
        <v>41</v>
      </c>
      <c r="G4">
        <v>-413.38780000000003</v>
      </c>
      <c r="H4">
        <v>-0.05</v>
      </c>
      <c r="I4">
        <v>365.08949999999999</v>
      </c>
      <c r="J4">
        <v>-476.59269999999998</v>
      </c>
      <c r="K4">
        <v>1.1102379999999901</v>
      </c>
      <c r="L4">
        <v>367.2208</v>
      </c>
      <c r="M4">
        <v>0.99995560000000006</v>
      </c>
      <c r="N4">
        <v>0</v>
      </c>
      <c r="O4">
        <v>6.306196E-4</v>
      </c>
      <c r="P4">
        <v>0.99380290000000004</v>
      </c>
      <c r="Q4">
        <v>3.150381E-2</v>
      </c>
      <c r="R4">
        <v>-0.10659920000000001</v>
      </c>
      <c r="S4">
        <v>3.009827</v>
      </c>
      <c r="T4">
        <v>-5.5231210000000003E-2</v>
      </c>
      <c r="U4">
        <v>-0.1014709</v>
      </c>
      <c r="V4">
        <v>0.1072248</v>
      </c>
      <c r="W4">
        <v>4.0859590000000001E-2</v>
      </c>
      <c r="X4">
        <v>0.99339489999999997</v>
      </c>
      <c r="Y4">
        <v>3.4318479999999998E-2</v>
      </c>
      <c r="Z4">
        <v>-3.2632959999999997E-4</v>
      </c>
      <c r="AA4">
        <v>0.99941089999999999</v>
      </c>
      <c r="AB4">
        <v>1</v>
      </c>
      <c r="AC4">
        <v>63.204899999999903</v>
      </c>
      <c r="AD4">
        <v>-1.1602380000000001</v>
      </c>
      <c r="AE4">
        <v>-2.1313000000000102</v>
      </c>
      <c r="AF4">
        <v>2.1704290455722299</v>
      </c>
      <c r="AG4">
        <v>-1.1602380000000001</v>
      </c>
      <c r="AH4">
        <v>63.182276911430499</v>
      </c>
      <c r="AI4">
        <v>91.051403938731795</v>
      </c>
      <c r="AJ4">
        <v>88.032556769086995</v>
      </c>
      <c r="AK4">
        <v>63.230190812389502</v>
      </c>
      <c r="AL4">
        <v>87.658266148842699</v>
      </c>
      <c r="AM4">
        <v>83.8394737120434</v>
      </c>
      <c r="AN4">
        <v>1.000000045588</v>
      </c>
    </row>
    <row r="5" spans="1:40" x14ac:dyDescent="0.25">
      <c r="A5" t="str">
        <f>"20190312161221245"</f>
        <v>20190312161221245</v>
      </c>
      <c r="B5" t="str">
        <f>"1552378341235536"</f>
        <v>1552378341235536</v>
      </c>
      <c r="C5" t="s">
        <v>40</v>
      </c>
      <c r="D5">
        <v>5.4686409999999999</v>
      </c>
      <c r="E5">
        <v>0.47250039999999999</v>
      </c>
      <c r="F5" t="s">
        <v>41</v>
      </c>
      <c r="G5">
        <v>-408.97809999999998</v>
      </c>
      <c r="H5">
        <v>-0.05</v>
      </c>
      <c r="I5">
        <v>365.02289999999999</v>
      </c>
      <c r="J5">
        <v>-476.59</v>
      </c>
      <c r="K5">
        <v>1.1105560000000001</v>
      </c>
      <c r="L5">
        <v>367.22089999999997</v>
      </c>
      <c r="M5">
        <v>0.99994150000000004</v>
      </c>
      <c r="N5">
        <v>0</v>
      </c>
      <c r="O5">
        <v>5.8477180000000004E-4</v>
      </c>
      <c r="P5">
        <v>0.99392689999999995</v>
      </c>
      <c r="Q5">
        <v>3.045167E-2</v>
      </c>
      <c r="R5">
        <v>-0.10574699999999999</v>
      </c>
      <c r="S5">
        <v>3.0098880000000001</v>
      </c>
      <c r="T5">
        <v>-5.1648380000000001E-2</v>
      </c>
      <c r="U5">
        <v>-9.783936E-2</v>
      </c>
      <c r="V5">
        <v>0.10633529999999999</v>
      </c>
      <c r="W5">
        <v>4.1172609999999998E-2</v>
      </c>
      <c r="X5">
        <v>0.99347750000000001</v>
      </c>
      <c r="Y5">
        <v>3.306837E-2</v>
      </c>
      <c r="Z5">
        <v>-2.9365529999999997E-4</v>
      </c>
      <c r="AA5">
        <v>0.99945309999999998</v>
      </c>
      <c r="AB5">
        <v>1</v>
      </c>
      <c r="AC5">
        <v>67.611899999999906</v>
      </c>
      <c r="AD5">
        <v>-1.1605559999999999</v>
      </c>
      <c r="AE5">
        <v>-2.1979999999999702</v>
      </c>
      <c r="AF5">
        <v>2.2368810928528702</v>
      </c>
      <c r="AG5">
        <v>-1.1605559999999999</v>
      </c>
      <c r="AH5">
        <v>67.590709398053406</v>
      </c>
      <c r="AI5">
        <v>90.983153663557502</v>
      </c>
      <c r="AJ5">
        <v>88.104516324315995</v>
      </c>
      <c r="AK5">
        <v>67.637670895624495</v>
      </c>
      <c r="AL5">
        <v>87.640316120932297</v>
      </c>
      <c r="AM5">
        <v>83.890695315985496</v>
      </c>
      <c r="AN5">
        <v>0.99999996142327496</v>
      </c>
    </row>
    <row r="6" spans="1:40" x14ac:dyDescent="0.25">
      <c r="A6" t="str">
        <f>"20190312161221312"</f>
        <v>20190312161221312</v>
      </c>
      <c r="B6" t="str">
        <f>"1552378341305806"</f>
        <v>1552378341305806</v>
      </c>
      <c r="C6" t="s">
        <v>40</v>
      </c>
      <c r="D6">
        <v>5.4266240000000003</v>
      </c>
      <c r="E6">
        <v>0.47232429999999997</v>
      </c>
      <c r="F6" t="s">
        <v>42</v>
      </c>
      <c r="G6">
        <v>-383.1737</v>
      </c>
      <c r="H6" s="1">
        <v>-3.8145749999999998E-6</v>
      </c>
      <c r="I6">
        <v>364.52109999999999</v>
      </c>
      <c r="J6">
        <v>-476.5591</v>
      </c>
      <c r="K6">
        <v>1.1098170000000001</v>
      </c>
      <c r="L6">
        <v>367.221</v>
      </c>
      <c r="M6">
        <v>0.99996810000000003</v>
      </c>
      <c r="N6">
        <v>0</v>
      </c>
      <c r="O6">
        <v>9.1815199999999999E-4</v>
      </c>
      <c r="P6">
        <v>0.99401729999999999</v>
      </c>
      <c r="Q6">
        <v>3.2769800000000002E-2</v>
      </c>
      <c r="R6">
        <v>-0.1041924</v>
      </c>
      <c r="S6">
        <v>3.01004</v>
      </c>
      <c r="T6">
        <v>-3.5773630000000001E-2</v>
      </c>
      <c r="U6">
        <v>-8.7005620000000006E-2</v>
      </c>
      <c r="V6">
        <v>0.1051028</v>
      </c>
      <c r="W6">
        <v>4.0682360000000001E-2</v>
      </c>
      <c r="X6">
        <v>0.99362890000000004</v>
      </c>
      <c r="Y6">
        <v>2.9808680000000001E-2</v>
      </c>
      <c r="Z6">
        <v>-1.8800110000000001E-4</v>
      </c>
      <c r="AA6">
        <v>0.99955559999999999</v>
      </c>
      <c r="AB6">
        <v>1</v>
      </c>
      <c r="AC6">
        <v>93.385400000000004</v>
      </c>
      <c r="AD6">
        <v>-1.1098208145749999</v>
      </c>
      <c r="AE6">
        <v>-2.6999000000000102</v>
      </c>
      <c r="AF6">
        <v>2.7852505015751898</v>
      </c>
      <c r="AG6">
        <v>-1.1098208145749999</v>
      </c>
      <c r="AH6">
        <v>93.369705417139997</v>
      </c>
      <c r="AI6">
        <v>90.680700286690694</v>
      </c>
      <c r="AJ6">
        <v>88.291353836961306</v>
      </c>
      <c r="AK6">
        <v>93.417831340063202</v>
      </c>
      <c r="AL6">
        <v>87.668429074583699</v>
      </c>
      <c r="AM6">
        <v>83.9618934635822</v>
      </c>
      <c r="AN6">
        <v>1.0000000219491001</v>
      </c>
    </row>
    <row r="7" spans="1:40" x14ac:dyDescent="0.25">
      <c r="A7" t="str">
        <f>"20190312161221334"</f>
        <v>20190312161221334</v>
      </c>
      <c r="B7" t="str">
        <f>"1552378341325328"</f>
        <v>1552378341325328</v>
      </c>
      <c r="C7" t="s">
        <v>40</v>
      </c>
      <c r="D7">
        <v>5.4342550000000003</v>
      </c>
      <c r="E7">
        <v>0.47238000000000002</v>
      </c>
      <c r="F7" t="s">
        <v>42</v>
      </c>
      <c r="G7">
        <v>-370.37860000000001</v>
      </c>
      <c r="H7" s="1">
        <v>-5.079216E-6</v>
      </c>
      <c r="I7">
        <v>364.15159999999997</v>
      </c>
      <c r="J7">
        <v>-476.54930000000002</v>
      </c>
      <c r="K7">
        <v>1.110025</v>
      </c>
      <c r="L7">
        <v>367.22109999999998</v>
      </c>
      <c r="M7">
        <v>0.99996439999999998</v>
      </c>
      <c r="N7">
        <v>0</v>
      </c>
      <c r="O7">
        <v>1.0297430000000001E-3</v>
      </c>
      <c r="P7">
        <v>0.99388529999999997</v>
      </c>
      <c r="Q7">
        <v>3.4503760000000001E-2</v>
      </c>
      <c r="R7">
        <v>-0.1048873</v>
      </c>
      <c r="S7">
        <v>3.0099179999999999</v>
      </c>
      <c r="T7">
        <v>-3.1460290000000002E-2</v>
      </c>
      <c r="U7">
        <v>-8.7005620000000006E-2</v>
      </c>
      <c r="V7">
        <v>0.10590810000000001</v>
      </c>
      <c r="W7">
        <v>4.2828640000000001E-2</v>
      </c>
      <c r="X7">
        <v>0.99345309999999998</v>
      </c>
      <c r="Y7">
        <v>2.9921880000000001E-2</v>
      </c>
      <c r="Z7">
        <v>-1.670989E-4</v>
      </c>
      <c r="AA7">
        <v>0.9995522</v>
      </c>
      <c r="AB7">
        <v>1</v>
      </c>
      <c r="AC7">
        <v>106.1707</v>
      </c>
      <c r="AD7">
        <v>-1.1100300792160001</v>
      </c>
      <c r="AE7">
        <v>-3.0695000000000001</v>
      </c>
      <c r="AF7">
        <v>3.1784835918068199</v>
      </c>
      <c r="AG7">
        <v>-1.1100300792160001</v>
      </c>
      <c r="AH7">
        <v>106.155888583307</v>
      </c>
      <c r="AI7">
        <v>90.598829090918102</v>
      </c>
      <c r="AJ7">
        <v>88.284981597164204</v>
      </c>
      <c r="AK7">
        <v>106.20926327600399</v>
      </c>
      <c r="AL7">
        <v>87.545348723253895</v>
      </c>
      <c r="AM7">
        <v>83.914906494340997</v>
      </c>
      <c r="AN7">
        <v>0.99999993997473202</v>
      </c>
    </row>
    <row r="8" spans="1:40" x14ac:dyDescent="0.25">
      <c r="A8" t="str">
        <f>"20190312161221355"</f>
        <v>20190312161221355</v>
      </c>
      <c r="B8" t="str">
        <f>"1552378341345823"</f>
        <v>1552378341345823</v>
      </c>
      <c r="C8" t="s">
        <v>40</v>
      </c>
      <c r="D8">
        <v>5.6968170000000002</v>
      </c>
      <c r="E8">
        <v>0.4726438</v>
      </c>
      <c r="F8" t="s">
        <v>42</v>
      </c>
      <c r="G8">
        <v>-345.92689999999999</v>
      </c>
      <c r="H8" s="1">
        <v>-3.2177940000000002E-6</v>
      </c>
      <c r="I8">
        <v>363.34199999999998</v>
      </c>
      <c r="J8">
        <v>-476.54320000000001</v>
      </c>
      <c r="K8">
        <v>1.1104419999999999</v>
      </c>
      <c r="L8">
        <v>367.22120000000001</v>
      </c>
      <c r="M8">
        <v>0.99995100000000003</v>
      </c>
      <c r="N8">
        <v>0</v>
      </c>
      <c r="O8">
        <v>1.044639E-3</v>
      </c>
      <c r="P8">
        <v>0.99398209999999998</v>
      </c>
      <c r="Q8">
        <v>3.4117729999999999E-2</v>
      </c>
      <c r="R8">
        <v>-0.1040953</v>
      </c>
      <c r="S8">
        <v>3.0099179999999999</v>
      </c>
      <c r="T8">
        <v>-2.5578259999999998E-2</v>
      </c>
      <c r="U8">
        <v>-8.9385989999999999E-2</v>
      </c>
      <c r="V8">
        <v>0.10513500000000001</v>
      </c>
      <c r="W8">
        <v>4.3902410000000003E-2</v>
      </c>
      <c r="X8">
        <v>0.99348840000000005</v>
      </c>
      <c r="Y8">
        <v>3.0727129999999998E-2</v>
      </c>
      <c r="Z8">
        <v>-1.3940400000000001E-4</v>
      </c>
      <c r="AA8">
        <v>0.99952779999999997</v>
      </c>
      <c r="AB8">
        <v>1</v>
      </c>
      <c r="AC8">
        <v>130.6163</v>
      </c>
      <c r="AD8">
        <v>-1.1104452177940001</v>
      </c>
      <c r="AE8">
        <v>-3.87920000000002</v>
      </c>
      <c r="AF8">
        <v>4.0153614138256302</v>
      </c>
      <c r="AG8">
        <v>-1.1104452177940001</v>
      </c>
      <c r="AH8">
        <v>130.60274492135699</v>
      </c>
      <c r="AI8">
        <v>90.486913538484998</v>
      </c>
      <c r="AJ8">
        <v>88.239004741508893</v>
      </c>
      <c r="AK8">
        <v>130.66917462377401</v>
      </c>
      <c r="AL8">
        <v>87.483768436553603</v>
      </c>
      <c r="AM8">
        <v>83.959209402372906</v>
      </c>
      <c r="AN8">
        <v>0.99999999538168405</v>
      </c>
    </row>
    <row r="9" spans="1:40" x14ac:dyDescent="0.25">
      <c r="A9" t="str">
        <f>"20190312161221379"</f>
        <v>20190312161221379</v>
      </c>
      <c r="B9" t="str">
        <f>"1552378341375104"</f>
        <v>1552378341375104</v>
      </c>
      <c r="C9" t="s">
        <v>40</v>
      </c>
      <c r="D9">
        <v>5.5683540000000002</v>
      </c>
      <c r="E9">
        <v>0.49437900000000001</v>
      </c>
      <c r="F9" t="s">
        <v>42</v>
      </c>
      <c r="G9">
        <v>-341.10109999999997</v>
      </c>
      <c r="H9" s="1">
        <v>-5.3254629999999997E-6</v>
      </c>
      <c r="I9">
        <v>363.1986</v>
      </c>
      <c r="J9">
        <v>-476.53859999999997</v>
      </c>
      <c r="K9">
        <v>1.1107499999999999</v>
      </c>
      <c r="L9">
        <v>367.22129999999999</v>
      </c>
      <c r="M9">
        <v>0.99993540000000003</v>
      </c>
      <c r="N9">
        <v>0</v>
      </c>
      <c r="O9">
        <v>1.0175080000000001E-3</v>
      </c>
      <c r="P9">
        <v>0.99406190000000005</v>
      </c>
      <c r="Q9">
        <v>3.1711419999999997E-2</v>
      </c>
      <c r="R9">
        <v>-0.10409350000000001</v>
      </c>
      <c r="S9">
        <v>3.0096129999999999</v>
      </c>
      <c r="T9">
        <v>-2.4674890000000001E-2</v>
      </c>
      <c r="U9">
        <v>-8.9385989999999999E-2</v>
      </c>
      <c r="V9">
        <v>0.1051111</v>
      </c>
      <c r="W9">
        <v>4.2951070000000001E-2</v>
      </c>
      <c r="X9">
        <v>0.99353250000000004</v>
      </c>
      <c r="Y9">
        <v>3.0703109999999999E-2</v>
      </c>
      <c r="Z9">
        <v>-1.3417370000000001E-4</v>
      </c>
      <c r="AA9">
        <v>0.99952850000000004</v>
      </c>
      <c r="AB9">
        <v>1</v>
      </c>
      <c r="AC9">
        <v>135.4375</v>
      </c>
      <c r="AD9">
        <v>-1.1107553254629901</v>
      </c>
      <c r="AE9">
        <v>-4.02269999999998</v>
      </c>
      <c r="AF9">
        <v>4.1602359165743596</v>
      </c>
      <c r="AG9">
        <v>-1.1107553254629901</v>
      </c>
      <c r="AH9">
        <v>135.424235839023</v>
      </c>
      <c r="AI9">
        <v>90.469710300297805</v>
      </c>
      <c r="AJ9">
        <v>88.240425594349801</v>
      </c>
      <c r="AK9">
        <v>135.49267505240999</v>
      </c>
      <c r="AL9">
        <v>87.538327646062001</v>
      </c>
      <c r="AM9">
        <v>83.960838576772105</v>
      </c>
      <c r="AN9">
        <v>0.99999998315680205</v>
      </c>
    </row>
    <row r="10" spans="1:40" x14ac:dyDescent="0.25">
      <c r="A10" t="str">
        <f>"20190312161221445"</f>
        <v>20190312161221445</v>
      </c>
      <c r="B10" t="str">
        <f>"1552378341435616"</f>
        <v>1552378341435616</v>
      </c>
      <c r="C10" t="s">
        <v>40</v>
      </c>
      <c r="D10">
        <v>5.5692110000000001</v>
      </c>
      <c r="E10">
        <v>0.49870989999999998</v>
      </c>
      <c r="F10" t="s">
        <v>43</v>
      </c>
      <c r="G10">
        <v>-475.8073</v>
      </c>
      <c r="H10">
        <v>1.001358</v>
      </c>
      <c r="I10">
        <v>367.15719999999999</v>
      </c>
      <c r="J10">
        <v>-476.50470000000001</v>
      </c>
      <c r="K10">
        <v>1.1099349999999999</v>
      </c>
      <c r="L10">
        <v>367.22149999999999</v>
      </c>
      <c r="M10">
        <v>0.99996200000000002</v>
      </c>
      <c r="N10">
        <v>0</v>
      </c>
      <c r="O10">
        <v>1.405845E-3</v>
      </c>
      <c r="P10">
        <v>0.99405250000000001</v>
      </c>
      <c r="Q10">
        <v>3.2184909999999997E-2</v>
      </c>
      <c r="R10">
        <v>-0.10403759999999999</v>
      </c>
      <c r="S10">
        <v>3.003571</v>
      </c>
      <c r="T10">
        <v>-0.45914159999999998</v>
      </c>
      <c r="U10">
        <v>-0.27053829999999901</v>
      </c>
      <c r="V10">
        <v>0.1054302</v>
      </c>
      <c r="W10">
        <v>4.0753820000000003E-2</v>
      </c>
      <c r="X10">
        <v>0.99359120000000001</v>
      </c>
      <c r="Y10">
        <v>9.0055259999999998E-2</v>
      </c>
      <c r="Z10">
        <v>-7.0430769999999896E-3</v>
      </c>
      <c r="AA10">
        <v>0.99591180000000001</v>
      </c>
      <c r="AB10">
        <v>1</v>
      </c>
      <c r="AC10">
        <v>0.69740000000001501</v>
      </c>
      <c r="AD10">
        <v>-0.10857700000000001</v>
      </c>
      <c r="AE10">
        <v>-6.4300000000002897E-2</v>
      </c>
      <c r="AF10">
        <v>6.37482500870757E-2</v>
      </c>
      <c r="AG10">
        <v>-0.10857700000000001</v>
      </c>
      <c r="AH10">
        <v>0.68094277493260302</v>
      </c>
      <c r="AI10">
        <v>99.0208121919799</v>
      </c>
      <c r="AJ10">
        <v>84.651693103177493</v>
      </c>
      <c r="AK10">
        <v>0.69248528291298606</v>
      </c>
      <c r="AL10">
        <v>87.664331120946599</v>
      </c>
      <c r="AM10">
        <v>83.942995978659596</v>
      </c>
      <c r="AN10">
        <v>0.99999993681703403</v>
      </c>
    </row>
    <row r="11" spans="1:40" x14ac:dyDescent="0.25">
      <c r="A11" t="str">
        <f>"20190312161221468"</f>
        <v>20190312161221468</v>
      </c>
      <c r="B11" t="str">
        <f>"1552378341465872"</f>
        <v>1552378341465872</v>
      </c>
      <c r="C11" t="s">
        <v>40</v>
      </c>
      <c r="D11">
        <v>5.5578339999999997</v>
      </c>
      <c r="E11">
        <v>0.49915159999999997</v>
      </c>
      <c r="F11" t="s">
        <v>43</v>
      </c>
      <c r="G11">
        <v>-475.79570000000001</v>
      </c>
      <c r="H11">
        <v>0.99713280000000004</v>
      </c>
      <c r="I11">
        <v>367.1558</v>
      </c>
      <c r="J11">
        <v>-476.49090000000001</v>
      </c>
      <c r="K11">
        <v>1.109998</v>
      </c>
      <c r="L11">
        <v>367.2217</v>
      </c>
      <c r="M11">
        <v>0.99996249999999998</v>
      </c>
      <c r="N11">
        <v>0</v>
      </c>
      <c r="O11">
        <v>1.570697E-3</v>
      </c>
      <c r="P11">
        <v>0.99413439999999997</v>
      </c>
      <c r="Q11">
        <v>3.3244250000000003E-2</v>
      </c>
      <c r="R11">
        <v>-0.10291640000000001</v>
      </c>
      <c r="S11">
        <v>3.0043329999999999</v>
      </c>
      <c r="T11">
        <v>-0.47825499999999999</v>
      </c>
      <c r="U11">
        <v>-0.27771000000000001</v>
      </c>
      <c r="V11">
        <v>0.10447099999999999</v>
      </c>
      <c r="W11">
        <v>4.1723839999999998E-2</v>
      </c>
      <c r="X11">
        <v>0.99365230000000004</v>
      </c>
      <c r="Y11">
        <v>9.2434310000000006E-2</v>
      </c>
      <c r="Z11">
        <v>-7.5439089999999997E-3</v>
      </c>
      <c r="AA11">
        <v>0.99569019999999997</v>
      </c>
      <c r="AB11">
        <v>1</v>
      </c>
      <c r="AC11">
        <v>0.69519999999999904</v>
      </c>
      <c r="AD11">
        <v>-0.112865199999999</v>
      </c>
      <c r="AE11">
        <v>-6.5899999999999098E-2</v>
      </c>
      <c r="AF11">
        <v>6.52864580589579E-2</v>
      </c>
      <c r="AG11">
        <v>-0.112865199999999</v>
      </c>
      <c r="AH11">
        <v>0.677400208496306</v>
      </c>
      <c r="AI11">
        <v>99.416609233520703</v>
      </c>
      <c r="AJ11">
        <v>84.4949519111141</v>
      </c>
      <c r="AK11">
        <v>0.68983470298888505</v>
      </c>
      <c r="AL11">
        <v>87.608705849332395</v>
      </c>
      <c r="AM11">
        <v>83.998064639945497</v>
      </c>
      <c r="AN11">
        <v>0.99999998098031695</v>
      </c>
    </row>
    <row r="12" spans="1:40" x14ac:dyDescent="0.25">
      <c r="A12" t="str">
        <f>"20190312161221493"</f>
        <v>20190312161221493</v>
      </c>
      <c r="B12" t="str">
        <f>"1552378341485392"</f>
        <v>1552378341485392</v>
      </c>
      <c r="C12" t="s">
        <v>40</v>
      </c>
      <c r="D12">
        <v>5.5547079999999998</v>
      </c>
      <c r="E12">
        <v>0.49951079999999998</v>
      </c>
      <c r="F12" t="s">
        <v>43</v>
      </c>
      <c r="G12">
        <v>-475.78550000000001</v>
      </c>
      <c r="H12">
        <v>0.99416610000000005</v>
      </c>
      <c r="I12">
        <v>367.1567</v>
      </c>
      <c r="J12">
        <v>-476.48140000000001</v>
      </c>
      <c r="K12">
        <v>1.1104290000000001</v>
      </c>
      <c r="L12">
        <v>367.22190000000001</v>
      </c>
      <c r="M12">
        <v>0.99994780000000005</v>
      </c>
      <c r="N12">
        <v>0</v>
      </c>
      <c r="O12">
        <v>1.610031E-3</v>
      </c>
      <c r="P12">
        <v>0.99434579999999995</v>
      </c>
      <c r="Q12">
        <v>3.072424E-2</v>
      </c>
      <c r="R12">
        <v>-0.1016499</v>
      </c>
      <c r="S12">
        <v>3.0055540000000001</v>
      </c>
      <c r="T12">
        <v>-0.49367689999999997</v>
      </c>
      <c r="U12">
        <v>-0.27664179999999999</v>
      </c>
      <c r="V12">
        <v>0.1032488</v>
      </c>
      <c r="W12">
        <v>4.075906E-2</v>
      </c>
      <c r="X12">
        <v>0.99382009999999998</v>
      </c>
      <c r="Y12">
        <v>9.2015169999999993E-2</v>
      </c>
      <c r="Z12">
        <v>-7.7533239999999998E-3</v>
      </c>
      <c r="AA12">
        <v>0.99572740000000004</v>
      </c>
      <c r="AB12">
        <v>2</v>
      </c>
      <c r="AC12">
        <v>0.69589999999999397</v>
      </c>
      <c r="AD12">
        <v>-0.1162629</v>
      </c>
      <c r="AE12">
        <v>-6.5200000000004296E-2</v>
      </c>
      <c r="AF12">
        <v>6.4534782209517694E-2</v>
      </c>
      <c r="AG12">
        <v>-0.1162629</v>
      </c>
      <c r="AH12">
        <v>0.67706055121289699</v>
      </c>
      <c r="AI12">
        <v>99.700514585992906</v>
      </c>
      <c r="AJ12">
        <v>84.555237909021599</v>
      </c>
      <c r="AK12">
        <v>0.68999477537148901</v>
      </c>
      <c r="AL12">
        <v>87.664030797043694</v>
      </c>
      <c r="AM12">
        <v>84.0687717385198</v>
      </c>
      <c r="AN12">
        <v>1.0000000034187599</v>
      </c>
    </row>
    <row r="13" spans="1:40" x14ac:dyDescent="0.25">
      <c r="A13" t="str">
        <f>"20190312161221511"</f>
        <v>20190312161221511</v>
      </c>
      <c r="B13" t="str">
        <f>"1552378341505887"</f>
        <v>1552378341505887</v>
      </c>
      <c r="C13" t="s">
        <v>40</v>
      </c>
      <c r="D13">
        <v>5.5261589999999998</v>
      </c>
      <c r="E13">
        <v>0.49997009999999997</v>
      </c>
      <c r="F13" t="s">
        <v>43</v>
      </c>
      <c r="G13">
        <v>-475.77330000000001</v>
      </c>
      <c r="H13">
        <v>0.99058869999999999</v>
      </c>
      <c r="I13">
        <v>367.1567</v>
      </c>
      <c r="J13">
        <v>-476.47539999999998</v>
      </c>
      <c r="K13">
        <v>1.1106549999999999</v>
      </c>
      <c r="L13">
        <v>367.22199999999998</v>
      </c>
      <c r="M13">
        <v>0.99993620000000005</v>
      </c>
      <c r="N13">
        <v>0</v>
      </c>
      <c r="O13">
        <v>1.61307799999999E-3</v>
      </c>
      <c r="P13">
        <v>0.99450450000000001</v>
      </c>
      <c r="Q13">
        <v>2.8056069999999999E-2</v>
      </c>
      <c r="R13">
        <v>-0.1008671</v>
      </c>
      <c r="S13">
        <v>3.0046080000000002</v>
      </c>
      <c r="T13">
        <v>-0.50858749999999997</v>
      </c>
      <c r="U13">
        <v>-0.27557369999999998</v>
      </c>
      <c r="V13">
        <v>0.1024735</v>
      </c>
      <c r="W13">
        <v>3.917437E-2</v>
      </c>
      <c r="X13">
        <v>0.99396410000000002</v>
      </c>
      <c r="Y13">
        <v>9.1624650000000002E-2</v>
      </c>
      <c r="Z13">
        <v>-7.9546430000000008E-3</v>
      </c>
      <c r="AA13">
        <v>0.99576189999999998</v>
      </c>
      <c r="AB13">
        <v>1</v>
      </c>
      <c r="AC13">
        <v>0.70209999999997297</v>
      </c>
      <c r="AD13">
        <v>-0.1200663</v>
      </c>
      <c r="AE13">
        <v>-6.5299999999979194E-2</v>
      </c>
      <c r="AF13">
        <v>6.4560674748882704E-2</v>
      </c>
      <c r="AG13">
        <v>-0.1200663</v>
      </c>
      <c r="AH13">
        <v>0.68221383930756097</v>
      </c>
      <c r="AI13">
        <v>99.938047130402396</v>
      </c>
      <c r="AJ13">
        <v>84.593966722926794</v>
      </c>
      <c r="AK13">
        <v>0.69570088375859096</v>
      </c>
      <c r="AL13">
        <v>87.754899542049998</v>
      </c>
      <c r="AM13">
        <v>84.113842524533695</v>
      </c>
      <c r="AN13">
        <v>1.0000000407779699</v>
      </c>
    </row>
    <row r="14" spans="1:40" x14ac:dyDescent="0.25">
      <c r="A14" t="str">
        <f>"20190312161221534"</f>
        <v>20190312161221534</v>
      </c>
      <c r="B14" t="str">
        <f>"1552378341525407"</f>
        <v>1552378341525407</v>
      </c>
      <c r="C14" t="s">
        <v>40</v>
      </c>
      <c r="D14">
        <v>5.5881360000000004</v>
      </c>
      <c r="E14">
        <v>0.50014689999999995</v>
      </c>
      <c r="F14" t="s">
        <v>43</v>
      </c>
      <c r="G14">
        <v>-475.76459999999997</v>
      </c>
      <c r="H14">
        <v>0.98704349999999996</v>
      </c>
      <c r="I14">
        <v>367.15589999999997</v>
      </c>
      <c r="J14">
        <v>-476.46280000000002</v>
      </c>
      <c r="K14">
        <v>1.110387</v>
      </c>
      <c r="L14">
        <v>367.22219999999999</v>
      </c>
      <c r="M14">
        <v>0.99994419999999995</v>
      </c>
      <c r="N14">
        <v>0</v>
      </c>
      <c r="O14">
        <v>1.7222940000000001E-3</v>
      </c>
      <c r="P14">
        <v>0.99443349999999997</v>
      </c>
      <c r="Q14">
        <v>2.7803049999999999E-2</v>
      </c>
      <c r="R14">
        <v>-0.10163220000000001</v>
      </c>
      <c r="S14">
        <v>3.0033259999999999</v>
      </c>
      <c r="T14">
        <v>-0.52315349999999905</v>
      </c>
      <c r="U14">
        <v>-0.27612300000000001</v>
      </c>
      <c r="V14">
        <v>0.10334589999999901</v>
      </c>
      <c r="W14">
        <v>3.8170900000000001E-2</v>
      </c>
      <c r="X14">
        <v>0.99391280000000004</v>
      </c>
      <c r="Y14">
        <v>9.187033E-2</v>
      </c>
      <c r="Z14">
        <v>-8.2225500000000003E-3</v>
      </c>
      <c r="AA14">
        <v>0.99573699999999998</v>
      </c>
      <c r="AB14">
        <v>1</v>
      </c>
      <c r="AC14">
        <v>0.69820000000004201</v>
      </c>
      <c r="AD14">
        <v>-0.12334349999999999</v>
      </c>
      <c r="AE14">
        <v>-6.6300000000012405E-2</v>
      </c>
      <c r="AF14">
        <v>6.5477286313893601E-2</v>
      </c>
      <c r="AG14">
        <v>-0.12334349999999999</v>
      </c>
      <c r="AH14">
        <v>0.67714106710440702</v>
      </c>
      <c r="AI14">
        <v>100.27652954775699</v>
      </c>
      <c r="AJ14">
        <v>84.476860440470105</v>
      </c>
      <c r="AK14">
        <v>0.69139056890774597</v>
      </c>
      <c r="AL14">
        <v>87.812437141766097</v>
      </c>
      <c r="AM14">
        <v>84.063783309343407</v>
      </c>
      <c r="AN14">
        <v>1.0000000233287201</v>
      </c>
    </row>
    <row r="15" spans="1:40" x14ac:dyDescent="0.25">
      <c r="A15" t="str">
        <f>"20190312161221556"</f>
        <v>20190312161221556</v>
      </c>
      <c r="B15" t="str">
        <f>"1552378341545904"</f>
        <v>1552378341545904</v>
      </c>
      <c r="C15" t="s">
        <v>40</v>
      </c>
      <c r="D15">
        <v>5.8245509999999996</v>
      </c>
      <c r="E15">
        <v>0.50066239999999995</v>
      </c>
      <c r="F15" t="s">
        <v>43</v>
      </c>
      <c r="G15">
        <v>-475.75150000000002</v>
      </c>
      <c r="H15">
        <v>0.98468739999999999</v>
      </c>
      <c r="I15">
        <v>367.15600000000001</v>
      </c>
      <c r="J15">
        <v>-476.44529999999997</v>
      </c>
      <c r="K15">
        <v>1.109961</v>
      </c>
      <c r="L15">
        <v>367.22230000000002</v>
      </c>
      <c r="M15">
        <v>0.99995860000000003</v>
      </c>
      <c r="N15">
        <v>0</v>
      </c>
      <c r="O15">
        <v>1.9696290000000001E-3</v>
      </c>
      <c r="P15">
        <v>0.99435479999999998</v>
      </c>
      <c r="Q15">
        <v>2.998522E-2</v>
      </c>
      <c r="R15">
        <v>-0.1017822</v>
      </c>
      <c r="S15">
        <v>3.003082</v>
      </c>
      <c r="T15">
        <v>-0.5308368</v>
      </c>
      <c r="U15">
        <v>-0.27899170000000001</v>
      </c>
      <c r="V15">
        <v>0.1037386</v>
      </c>
      <c r="W15">
        <v>3.8834170000000001E-2</v>
      </c>
      <c r="X15">
        <v>0.99384620000000001</v>
      </c>
      <c r="Y15">
        <v>9.3004630000000005E-2</v>
      </c>
      <c r="Z15">
        <v>-8.4843619999999901E-3</v>
      </c>
      <c r="AA15">
        <v>0.99562949999999995</v>
      </c>
      <c r="AB15">
        <v>1</v>
      </c>
      <c r="AC15">
        <v>0.69379999999995301</v>
      </c>
      <c r="AD15">
        <v>-0.12527359999999901</v>
      </c>
      <c r="AE15">
        <v>-6.6300000000012405E-2</v>
      </c>
      <c r="AF15">
        <v>6.5548741547326594E-2</v>
      </c>
      <c r="AG15">
        <v>-0.12527359999999901</v>
      </c>
      <c r="AH15">
        <v>0.67195879085599397</v>
      </c>
      <c r="AI15">
        <v>100.51167098020299</v>
      </c>
      <c r="AJ15">
        <v>84.428495946041593</v>
      </c>
      <c r="AK15">
        <v>0.68667221363911901</v>
      </c>
      <c r="AL15">
        <v>87.774406384455403</v>
      </c>
      <c r="AM15">
        <v>84.040992072873493</v>
      </c>
      <c r="AN15">
        <v>1.00000002957199</v>
      </c>
    </row>
    <row r="16" spans="1:40" x14ac:dyDescent="0.25">
      <c r="A16" t="str">
        <f>"20190312161221579"</f>
        <v>20190312161221579</v>
      </c>
      <c r="B16" t="str">
        <f>"1552378341575185"</f>
        <v>1552378341575185</v>
      </c>
      <c r="C16" t="s">
        <v>40</v>
      </c>
      <c r="D16">
        <v>5.6495040000000003</v>
      </c>
      <c r="E16">
        <v>0.50081239999999905</v>
      </c>
      <c r="F16" t="s">
        <v>43</v>
      </c>
      <c r="G16">
        <v>-475.73270000000002</v>
      </c>
      <c r="H16">
        <v>0.98911769999999999</v>
      </c>
      <c r="I16">
        <v>367.15449999999998</v>
      </c>
      <c r="J16">
        <v>-476.42840000000001</v>
      </c>
      <c r="K16">
        <v>1.109866</v>
      </c>
      <c r="L16">
        <v>367.22250000000003</v>
      </c>
      <c r="M16">
        <v>0.99996320000000005</v>
      </c>
      <c r="N16">
        <v>0</v>
      </c>
      <c r="O16">
        <v>2.2133190000000001E-3</v>
      </c>
      <c r="P16">
        <v>0.99428139999999998</v>
      </c>
      <c r="Q16">
        <v>3.037482E-2</v>
      </c>
      <c r="R16">
        <v>-0.1023823</v>
      </c>
      <c r="S16">
        <v>3.0033259999999999</v>
      </c>
      <c r="T16">
        <v>-0.50969529999999996</v>
      </c>
      <c r="U16">
        <v>-0.28421020000000002</v>
      </c>
      <c r="V16">
        <v>0.1045794</v>
      </c>
      <c r="W16">
        <v>3.8639279999999998E-2</v>
      </c>
      <c r="X16">
        <v>0.99376569999999997</v>
      </c>
      <c r="Y16">
        <v>9.5035900000000006E-2</v>
      </c>
      <c r="Z16">
        <v>-8.3617320000000002E-3</v>
      </c>
      <c r="AA16">
        <v>0.99543879999999996</v>
      </c>
      <c r="AB16">
        <v>2</v>
      </c>
      <c r="AC16">
        <v>0.695699999999987</v>
      </c>
      <c r="AD16">
        <v>-0.1207483</v>
      </c>
      <c r="AE16">
        <v>-6.8000000000040403E-2</v>
      </c>
      <c r="AF16">
        <v>6.7524799749730996E-2</v>
      </c>
      <c r="AG16">
        <v>-0.1207483</v>
      </c>
      <c r="AH16">
        <v>0.67539448777699396</v>
      </c>
      <c r="AI16">
        <v>100.08710881834</v>
      </c>
      <c r="AJ16">
        <v>84.290637282799906</v>
      </c>
      <c r="AK16">
        <v>0.68941820737030102</v>
      </c>
      <c r="AL16">
        <v>87.785581203655795</v>
      </c>
      <c r="AM16">
        <v>83.992563090386398</v>
      </c>
      <c r="AN16">
        <v>1.00000005567988</v>
      </c>
    </row>
    <row r="17" spans="1:40" x14ac:dyDescent="0.25">
      <c r="A17" t="str">
        <f>"20190312161221601"</f>
        <v>20190312161221601</v>
      </c>
      <c r="B17" t="str">
        <f>"1552378341595680"</f>
        <v>1552378341595680</v>
      </c>
      <c r="C17" t="s">
        <v>40</v>
      </c>
      <c r="D17">
        <v>5.6911509999999996</v>
      </c>
      <c r="E17">
        <v>0.50083259999999996</v>
      </c>
      <c r="F17" t="s">
        <v>43</v>
      </c>
      <c r="G17">
        <v>-475.71960000000001</v>
      </c>
      <c r="H17">
        <v>0.98821460000000005</v>
      </c>
      <c r="I17">
        <v>367.15440000000001</v>
      </c>
      <c r="J17">
        <v>-476.41559999999998</v>
      </c>
      <c r="K17">
        <v>1.1101939999999999</v>
      </c>
      <c r="L17">
        <v>367.22269999999997</v>
      </c>
      <c r="M17">
        <v>0.99995330000000004</v>
      </c>
      <c r="N17">
        <v>0</v>
      </c>
      <c r="O17">
        <v>2.3478280000000002E-3</v>
      </c>
      <c r="P17">
        <v>0.99421300000000001</v>
      </c>
      <c r="Q17">
        <v>2.8196450000000001E-2</v>
      </c>
      <c r="R17">
        <v>-0.1036624</v>
      </c>
      <c r="S17">
        <v>3.0033259999999999</v>
      </c>
      <c r="T17">
        <v>-0.51571729999999905</v>
      </c>
      <c r="U17">
        <v>-0.28775020000000001</v>
      </c>
      <c r="V17">
        <v>0.1059958</v>
      </c>
      <c r="W17">
        <v>3.7528110000000003E-2</v>
      </c>
      <c r="X17">
        <v>0.99365820000000005</v>
      </c>
      <c r="Y17">
        <v>9.6280169999999998E-2</v>
      </c>
      <c r="Z17">
        <v>-8.5873559999999904E-3</v>
      </c>
      <c r="AA17">
        <v>0.99531720000000001</v>
      </c>
      <c r="AB17">
        <v>2</v>
      </c>
      <c r="AC17">
        <v>0.69599999999996898</v>
      </c>
      <c r="AD17">
        <v>-0.1219794</v>
      </c>
      <c r="AE17">
        <v>-6.8299999999965097E-2</v>
      </c>
      <c r="AF17">
        <v>6.7869232510509997E-2</v>
      </c>
      <c r="AG17">
        <v>-0.1219794</v>
      </c>
      <c r="AH17">
        <v>0.67529371808328298</v>
      </c>
      <c r="AI17">
        <v>100.188777970977</v>
      </c>
      <c r="AJ17">
        <v>84.260858064798398</v>
      </c>
      <c r="AK17">
        <v>0.68957001996075096</v>
      </c>
      <c r="AL17">
        <v>87.849292747976307</v>
      </c>
      <c r="AM17">
        <v>83.911153030538202</v>
      </c>
      <c r="AN17">
        <v>1.00000004354252</v>
      </c>
    </row>
    <row r="18" spans="1:40" x14ac:dyDescent="0.25">
      <c r="A18" t="str">
        <f>"20190312161221622"</f>
        <v>20190312161221622</v>
      </c>
      <c r="B18" t="str">
        <f>"1552378341615199"</f>
        <v>1552378341615199</v>
      </c>
      <c r="C18" t="s">
        <v>40</v>
      </c>
      <c r="D18">
        <v>5.6643280000000003</v>
      </c>
      <c r="E18">
        <v>0.50064179999999903</v>
      </c>
      <c r="F18" t="s">
        <v>43</v>
      </c>
      <c r="G18">
        <v>-475.7106</v>
      </c>
      <c r="H18">
        <v>0.98652720000000005</v>
      </c>
      <c r="I18">
        <v>367.154</v>
      </c>
      <c r="J18">
        <v>-476.40260000000001</v>
      </c>
      <c r="K18">
        <v>1.110266</v>
      </c>
      <c r="L18">
        <v>367.22289999999998</v>
      </c>
      <c r="M18">
        <v>0.99995029999999996</v>
      </c>
      <c r="N18">
        <v>0</v>
      </c>
      <c r="O18">
        <v>2.4731140000000002E-3</v>
      </c>
      <c r="P18">
        <v>0.99416400000000005</v>
      </c>
      <c r="Q18">
        <v>2.6418469999999999E-2</v>
      </c>
      <c r="R18">
        <v>-0.1045965</v>
      </c>
      <c r="S18">
        <v>3.002075</v>
      </c>
      <c r="T18">
        <v>-0.52735909999999997</v>
      </c>
      <c r="U18">
        <v>-0.2904968</v>
      </c>
      <c r="V18">
        <v>0.10705389999999999</v>
      </c>
      <c r="W18">
        <v>3.6027099999999902E-2</v>
      </c>
      <c r="X18">
        <v>0.99360029999999999</v>
      </c>
      <c r="Y18">
        <v>9.7263710000000003E-2</v>
      </c>
      <c r="Z18">
        <v>-8.8888790000000006E-3</v>
      </c>
      <c r="AA18">
        <v>0.99521890000000002</v>
      </c>
      <c r="AB18">
        <v>2</v>
      </c>
      <c r="AC18">
        <v>0.69200000000000705</v>
      </c>
      <c r="AD18">
        <v>-0.1237388</v>
      </c>
      <c r="AE18">
        <v>-6.8899999999985001E-2</v>
      </c>
      <c r="AF18">
        <v>6.8444295003673494E-2</v>
      </c>
      <c r="AG18">
        <v>-0.1237388</v>
      </c>
      <c r="AH18">
        <v>0.67059618148338596</v>
      </c>
      <c r="AI18">
        <v>100.40180631647</v>
      </c>
      <c r="AJ18">
        <v>84.172295446342403</v>
      </c>
      <c r="AK18">
        <v>0.68534308982004599</v>
      </c>
      <c r="AL18">
        <v>87.935352469083995</v>
      </c>
      <c r="AM18">
        <v>83.850479093885298</v>
      </c>
      <c r="AN18">
        <v>1.00000002279985</v>
      </c>
    </row>
    <row r="19" spans="1:40" x14ac:dyDescent="0.25">
      <c r="A19" t="str">
        <f>"20190312161221645"</f>
        <v>20190312161221645</v>
      </c>
      <c r="B19" t="str">
        <f>"1552378341635696"</f>
        <v>1552378341635696</v>
      </c>
      <c r="C19" t="s">
        <v>40</v>
      </c>
      <c r="D19">
        <v>5.7110919999999998</v>
      </c>
      <c r="E19">
        <v>0.50052949999999996</v>
      </c>
      <c r="F19" t="s">
        <v>43</v>
      </c>
      <c r="G19">
        <v>-475.69740000000002</v>
      </c>
      <c r="H19">
        <v>0.98495639999999995</v>
      </c>
      <c r="I19">
        <v>367.15429999999998</v>
      </c>
      <c r="J19">
        <v>-476.38279999999997</v>
      </c>
      <c r="K19">
        <v>1.109985</v>
      </c>
      <c r="L19">
        <v>367.22320000000002</v>
      </c>
      <c r="M19">
        <v>0.99995959999999995</v>
      </c>
      <c r="N19">
        <v>0</v>
      </c>
      <c r="O19">
        <v>2.7172559999999999E-3</v>
      </c>
      <c r="P19">
        <v>0.99409409999999998</v>
      </c>
      <c r="Q19">
        <v>2.733174E-2</v>
      </c>
      <c r="R19">
        <v>-0.1050246</v>
      </c>
      <c r="S19">
        <v>3.0011290000000002</v>
      </c>
      <c r="T19">
        <v>-0.533609</v>
      </c>
      <c r="U19">
        <v>-0.29104609999999997</v>
      </c>
      <c r="V19">
        <v>0.10772130000000001</v>
      </c>
      <c r="W19">
        <v>3.5864119999999999E-2</v>
      </c>
      <c r="X19">
        <v>0.99353400000000003</v>
      </c>
      <c r="Y19">
        <v>9.7670320000000005E-2</v>
      </c>
      <c r="Z19">
        <v>-9.07408E-3</v>
      </c>
      <c r="AA19">
        <v>0.99517739999999999</v>
      </c>
      <c r="AB19">
        <v>1</v>
      </c>
      <c r="AC19">
        <v>0.68539999999995804</v>
      </c>
      <c r="AD19">
        <v>-0.12502859999999899</v>
      </c>
      <c r="AE19">
        <v>-6.89000000000419E-2</v>
      </c>
      <c r="AF19">
        <v>6.8505442660413404E-2</v>
      </c>
      <c r="AG19">
        <v>-0.12502859999999899</v>
      </c>
      <c r="AH19">
        <v>0.66335722973760003</v>
      </c>
      <c r="AI19">
        <v>100.61862887783801</v>
      </c>
      <c r="AJ19">
        <v>84.103919090957007</v>
      </c>
      <c r="AK19">
        <v>0.678504208341557</v>
      </c>
      <c r="AL19">
        <v>87.944696447356705</v>
      </c>
      <c r="AM19">
        <v>83.812028257759394</v>
      </c>
      <c r="AN19">
        <v>0.99999996136653102</v>
      </c>
    </row>
    <row r="20" spans="1:40" x14ac:dyDescent="0.25">
      <c r="A20" t="str">
        <f>"20190312161221669"</f>
        <v>20190312161221669</v>
      </c>
      <c r="B20" t="str">
        <f>"1552378341665951"</f>
        <v>1552378341665951</v>
      </c>
      <c r="C20" t="s">
        <v>40</v>
      </c>
      <c r="D20">
        <v>5.7077419999999996</v>
      </c>
      <c r="E20">
        <v>0.49996810000000003</v>
      </c>
      <c r="F20" t="s">
        <v>43</v>
      </c>
      <c r="G20">
        <v>-475.67939999999999</v>
      </c>
      <c r="H20">
        <v>0.98539140000000003</v>
      </c>
      <c r="I20">
        <v>367.1542</v>
      </c>
      <c r="J20">
        <v>-476.35939999999999</v>
      </c>
      <c r="K20">
        <v>1.1097170000000001</v>
      </c>
      <c r="L20">
        <v>367.22359999999998</v>
      </c>
      <c r="M20">
        <v>0.99996839999999998</v>
      </c>
      <c r="N20">
        <v>0</v>
      </c>
      <c r="O20">
        <v>3.0415709999999999E-3</v>
      </c>
      <c r="P20">
        <v>0.99414360000000002</v>
      </c>
      <c r="Q20">
        <v>2.7438259999999999E-2</v>
      </c>
      <c r="R20">
        <v>-0.1045263</v>
      </c>
      <c r="S20">
        <v>3.0015559999999999</v>
      </c>
      <c r="T20">
        <v>-0.53231110000000004</v>
      </c>
      <c r="U20">
        <v>-0.2924194</v>
      </c>
      <c r="V20">
        <v>0.107542899999999</v>
      </c>
      <c r="W20">
        <v>3.475425E-2</v>
      </c>
      <c r="X20">
        <v>0.99359280000000005</v>
      </c>
      <c r="Y20">
        <v>9.8421839999999997E-2</v>
      </c>
      <c r="Z20">
        <v>-9.1737950000000002E-3</v>
      </c>
      <c r="AA20">
        <v>0.9951025</v>
      </c>
      <c r="AB20">
        <v>2</v>
      </c>
      <c r="AC20">
        <v>0.68000000000000604</v>
      </c>
      <c r="AD20">
        <v>-0.12432559999999999</v>
      </c>
      <c r="AE20">
        <v>-6.9399999999973205E-2</v>
      </c>
      <c r="AF20">
        <v>6.9179352015333706E-2</v>
      </c>
      <c r="AG20">
        <v>-0.12432559999999999</v>
      </c>
      <c r="AH20">
        <v>0.658016687794722</v>
      </c>
      <c r="AI20">
        <v>100.64203116050599</v>
      </c>
      <c r="AJ20">
        <v>83.998362716629799</v>
      </c>
      <c r="AK20">
        <v>0.67322254788216795</v>
      </c>
      <c r="AL20">
        <v>88.008327060081697</v>
      </c>
      <c r="AM20">
        <v>83.822559778198595</v>
      </c>
      <c r="AN20">
        <v>0.99999999272265605</v>
      </c>
    </row>
    <row r="21" spans="1:40" x14ac:dyDescent="0.25">
      <c r="A21" t="str">
        <f>"20190312161221694"</f>
        <v>20190312161221694</v>
      </c>
      <c r="B21" t="str">
        <f>"1552378341685473"</f>
        <v>1552378341685473</v>
      </c>
      <c r="C21" t="s">
        <v>40</v>
      </c>
      <c r="D21">
        <v>5.7968010000000003</v>
      </c>
      <c r="E21">
        <v>0.4675668</v>
      </c>
      <c r="F21" t="s">
        <v>43</v>
      </c>
      <c r="G21">
        <v>-475.64440000000002</v>
      </c>
      <c r="H21">
        <v>0.98262169999999904</v>
      </c>
      <c r="I21">
        <v>367.15519999999998</v>
      </c>
      <c r="J21">
        <v>-476.34019999999998</v>
      </c>
      <c r="K21">
        <v>1.1100490000000001</v>
      </c>
      <c r="L21">
        <v>367.22399999999999</v>
      </c>
      <c r="M21">
        <v>0.9999595</v>
      </c>
      <c r="N21">
        <v>0</v>
      </c>
      <c r="O21">
        <v>3.2392079999999999E-3</v>
      </c>
      <c r="P21">
        <v>0.99423059999999996</v>
      </c>
      <c r="Q21">
        <v>2.5588079999999999E-2</v>
      </c>
      <c r="R21">
        <v>-0.104167</v>
      </c>
      <c r="S21">
        <v>3.00238</v>
      </c>
      <c r="T21">
        <v>-0.53423909999999997</v>
      </c>
      <c r="U21">
        <v>-0.28561399999999998</v>
      </c>
      <c r="V21">
        <v>0.1073842</v>
      </c>
      <c r="W21">
        <v>3.3934110000000003E-2</v>
      </c>
      <c r="X21">
        <v>0.99363829999999997</v>
      </c>
      <c r="Y21">
        <v>9.6375020000000006E-2</v>
      </c>
      <c r="Z21">
        <v>-9.0595480000000006E-3</v>
      </c>
      <c r="AA21">
        <v>0.99530390000000002</v>
      </c>
      <c r="AB21">
        <v>2</v>
      </c>
      <c r="AC21">
        <v>0.695799999999962</v>
      </c>
      <c r="AD21">
        <v>-0.12742729999999999</v>
      </c>
      <c r="AE21">
        <v>-6.8800000000010103E-2</v>
      </c>
      <c r="AF21">
        <v>6.8769402852440403E-2</v>
      </c>
      <c r="AG21">
        <v>-0.12742729999999999</v>
      </c>
      <c r="AH21">
        <v>0.67321290487165197</v>
      </c>
      <c r="AI21">
        <v>100.664062472617</v>
      </c>
      <c r="AJ21">
        <v>84.167407391417896</v>
      </c>
      <c r="AK21">
        <v>0.68860915099909903</v>
      </c>
      <c r="AL21">
        <v>88.055345336782594</v>
      </c>
      <c r="AM21">
        <v>83.831885720602997</v>
      </c>
      <c r="AN21">
        <v>0.99999998072900997</v>
      </c>
    </row>
    <row r="22" spans="1:40" x14ac:dyDescent="0.25">
      <c r="A22" t="str">
        <f>"20190312161221714"</f>
        <v>20190312161221714</v>
      </c>
      <c r="B22" t="str">
        <f>"1552378341705967"</f>
        <v>1552378341705967</v>
      </c>
      <c r="C22" t="s">
        <v>40</v>
      </c>
      <c r="D22">
        <v>5.8718539999999999</v>
      </c>
      <c r="E22">
        <v>0.45794829999999997</v>
      </c>
      <c r="F22" t="s">
        <v>43</v>
      </c>
      <c r="G22">
        <v>-475.61070000000001</v>
      </c>
      <c r="H22">
        <v>1.024124</v>
      </c>
      <c r="I22">
        <v>367.21539999999999</v>
      </c>
      <c r="J22">
        <v>-476.32859999999999</v>
      </c>
      <c r="K22">
        <v>1.1104449999999999</v>
      </c>
      <c r="L22">
        <v>367.2242</v>
      </c>
      <c r="M22">
        <v>0.99994470000000002</v>
      </c>
      <c r="N22">
        <v>0</v>
      </c>
      <c r="O22">
        <v>3.3137919999999999E-3</v>
      </c>
      <c r="P22">
        <v>0.99431530000000001</v>
      </c>
      <c r="Q22">
        <v>2.3380640000000001E-2</v>
      </c>
      <c r="R22">
        <v>-0.10387879999999999</v>
      </c>
      <c r="S22">
        <v>3.0228269999999999</v>
      </c>
      <c r="T22">
        <v>-0.35615930000000001</v>
      </c>
      <c r="U22">
        <v>-3.5552979999999998E-2</v>
      </c>
      <c r="V22">
        <v>0.1071753</v>
      </c>
      <c r="W22">
        <v>3.3311229999999997E-2</v>
      </c>
      <c r="X22">
        <v>0.99368199999999995</v>
      </c>
      <c r="Y22">
        <v>1.4948039999999999E-2</v>
      </c>
      <c r="Z22">
        <v>-1.2666520000000001E-3</v>
      </c>
      <c r="AA22">
        <v>0.99988750000000004</v>
      </c>
      <c r="AB22">
        <v>2</v>
      </c>
      <c r="AC22">
        <v>0.71789999999998599</v>
      </c>
      <c r="AD22">
        <v>-8.6320999999999995E-2</v>
      </c>
      <c r="AE22">
        <v>-8.8000000000079091E-3</v>
      </c>
      <c r="AF22">
        <v>1.10197431190879E-2</v>
      </c>
      <c r="AG22">
        <v>-8.6320999999999995E-2</v>
      </c>
      <c r="AH22">
        <v>0.70763748477814004</v>
      </c>
      <c r="AI22">
        <v>96.954017040588298</v>
      </c>
      <c r="AJ22">
        <v>89.107828860128393</v>
      </c>
      <c r="AK22">
        <v>0.71296813367958001</v>
      </c>
      <c r="AL22">
        <v>88.091054055270206</v>
      </c>
      <c r="AM22">
        <v>83.844061301698503</v>
      </c>
      <c r="AN22">
        <v>1.0000000500491</v>
      </c>
    </row>
    <row r="23" spans="1:40" x14ac:dyDescent="0.25">
      <c r="A23" t="str">
        <f>"20190312161221735"</f>
        <v>20190312161221735</v>
      </c>
      <c r="B23" t="str">
        <f>"1552378341725488"</f>
        <v>1552378341725488</v>
      </c>
      <c r="C23" t="s">
        <v>40</v>
      </c>
      <c r="D23">
        <v>5.8266859999999996</v>
      </c>
      <c r="E23">
        <v>0.45544370000000001</v>
      </c>
      <c r="F23" t="s">
        <v>42</v>
      </c>
      <c r="G23">
        <v>-460.78050000000002</v>
      </c>
      <c r="H23" s="1">
        <v>-4.329469E-6</v>
      </c>
      <c r="I23">
        <v>367.40629999999999</v>
      </c>
      <c r="J23">
        <v>-476.31610000000001</v>
      </c>
      <c r="K23">
        <v>1.1106579999999999</v>
      </c>
      <c r="L23">
        <v>367.2244</v>
      </c>
      <c r="M23">
        <v>0.99993189999999998</v>
      </c>
      <c r="N23">
        <v>0</v>
      </c>
      <c r="O23">
        <v>3.3643810000000001E-3</v>
      </c>
      <c r="P23">
        <v>0.99442209999999998</v>
      </c>
      <c r="Q23">
        <v>2.241951E-2</v>
      </c>
      <c r="R23">
        <v>-0.103066</v>
      </c>
      <c r="S23">
        <v>3.025909</v>
      </c>
      <c r="T23">
        <v>-0.2161102</v>
      </c>
      <c r="U23">
        <v>3.5461430000000002E-2</v>
      </c>
      <c r="V23">
        <v>0.10641680000000001</v>
      </c>
      <c r="W23">
        <v>3.352045E-2</v>
      </c>
      <c r="X23">
        <v>0.99375639999999998</v>
      </c>
      <c r="Y23">
        <v>-8.3413569999999902E-3</v>
      </c>
      <c r="Z23" s="1">
        <v>5.7496959999999999E-5</v>
      </c>
      <c r="AA23">
        <v>0.9999652</v>
      </c>
      <c r="AB23">
        <v>1</v>
      </c>
      <c r="AC23">
        <v>15.535599999999899</v>
      </c>
      <c r="AD23">
        <v>-1.1106623294689999</v>
      </c>
      <c r="AE23">
        <v>0.18189999999998399</v>
      </c>
      <c r="AF23">
        <v>-0.12896895590257601</v>
      </c>
      <c r="AG23">
        <v>-1.1106623294689999</v>
      </c>
      <c r="AH23">
        <v>15.457133115727901</v>
      </c>
      <c r="AI23">
        <v>94.109745247117104</v>
      </c>
      <c r="AJ23">
        <v>90.4780450125496</v>
      </c>
      <c r="AK23">
        <v>15.4975213488809</v>
      </c>
      <c r="AL23">
        <v>88.079059779226696</v>
      </c>
      <c r="AM23">
        <v>83.8877512338114</v>
      </c>
      <c r="AN23">
        <v>0.9999999692157</v>
      </c>
    </row>
    <row r="24" spans="1:40" x14ac:dyDescent="0.25">
      <c r="A24" t="str">
        <f>"20190312161221757"</f>
        <v>20190312161221757</v>
      </c>
      <c r="B24" t="str">
        <f>"1552378341745984"</f>
        <v>1552378341745984</v>
      </c>
      <c r="C24" t="s">
        <v>40</v>
      </c>
      <c r="D24">
        <v>5.8161009999999997</v>
      </c>
      <c r="E24">
        <v>0.45483430000000002</v>
      </c>
      <c r="F24" t="s">
        <v>42</v>
      </c>
      <c r="G24">
        <v>-460.28149999999999</v>
      </c>
      <c r="H24" s="1">
        <v>-4.5220379999999999E-6</v>
      </c>
      <c r="I24">
        <v>367.5274</v>
      </c>
      <c r="J24">
        <v>-476.29759999999999</v>
      </c>
      <c r="K24">
        <v>1.1103510000000001</v>
      </c>
      <c r="L24">
        <v>367.22460000000001</v>
      </c>
      <c r="M24">
        <v>0.9999403</v>
      </c>
      <c r="N24">
        <v>0</v>
      </c>
      <c r="O24">
        <v>3.5182569999999999E-3</v>
      </c>
      <c r="P24">
        <v>0.99443999999999999</v>
      </c>
      <c r="Q24">
        <v>2.4265149999999999E-2</v>
      </c>
      <c r="R24">
        <v>-0.10247240000000001</v>
      </c>
      <c r="S24">
        <v>3.0275270000000001</v>
      </c>
      <c r="T24">
        <v>-0.2097058</v>
      </c>
      <c r="U24">
        <v>5.7220460000000001E-2</v>
      </c>
      <c r="V24">
        <v>0.10597380000000001</v>
      </c>
      <c r="W24">
        <v>3.4548860000000001E-2</v>
      </c>
      <c r="X24">
        <v>0.9937686</v>
      </c>
      <c r="Y24">
        <v>-1.535042E-2</v>
      </c>
      <c r="Z24">
        <v>2.8755620000000002E-4</v>
      </c>
      <c r="AA24">
        <v>0.99988220000000005</v>
      </c>
      <c r="AB24">
        <v>1</v>
      </c>
      <c r="AC24">
        <v>16.016099999999899</v>
      </c>
      <c r="AD24">
        <v>-1.1103555220379999</v>
      </c>
      <c r="AE24">
        <v>0.30279999999999002</v>
      </c>
      <c r="AF24">
        <v>-0.24526794510008701</v>
      </c>
      <c r="AG24">
        <v>-1.1103555220379999</v>
      </c>
      <c r="AH24">
        <v>15.9404789544946</v>
      </c>
      <c r="AI24">
        <v>93.984108515235803</v>
      </c>
      <c r="AJ24">
        <v>90.881511109456994</v>
      </c>
      <c r="AK24">
        <v>15.980986047453399</v>
      </c>
      <c r="AL24">
        <v>88.020102225600994</v>
      </c>
      <c r="AM24">
        <v>83.913078520243104</v>
      </c>
      <c r="AN24">
        <v>1.0000000501798401</v>
      </c>
    </row>
    <row r="25" spans="1:40" x14ac:dyDescent="0.25">
      <c r="A25" t="str">
        <f>"20190312161221780"</f>
        <v>20190312161221780</v>
      </c>
      <c r="B25" t="str">
        <f>"1552378341775264"</f>
        <v>1552378341775264</v>
      </c>
      <c r="C25" t="s">
        <v>40</v>
      </c>
      <c r="D25">
        <v>5.9439849999999996</v>
      </c>
      <c r="E25">
        <v>0.45428740000000001</v>
      </c>
      <c r="F25" t="s">
        <v>42</v>
      </c>
      <c r="G25">
        <v>-459.7432</v>
      </c>
      <c r="H25" s="1">
        <v>-6.1692109999999996E-7</v>
      </c>
      <c r="I25">
        <v>367.57369999999997</v>
      </c>
      <c r="J25">
        <v>-476.27530000000002</v>
      </c>
      <c r="K25">
        <v>1.1099600000000001</v>
      </c>
      <c r="L25">
        <v>367.22489999999999</v>
      </c>
      <c r="M25">
        <v>0.99995299999999998</v>
      </c>
      <c r="N25">
        <v>0</v>
      </c>
      <c r="O25">
        <v>3.7902679999999998E-3</v>
      </c>
      <c r="P25">
        <v>0.99445819999999996</v>
      </c>
      <c r="Q25">
        <v>2.586107E-2</v>
      </c>
      <c r="R25">
        <v>-0.1019031</v>
      </c>
      <c r="S25">
        <v>3.0282900000000001</v>
      </c>
      <c r="T25">
        <v>-0.2031152</v>
      </c>
      <c r="U25">
        <v>6.3873289999999999E-2</v>
      </c>
      <c r="V25">
        <v>0.105671</v>
      </c>
      <c r="W25">
        <v>3.4735200000000001E-2</v>
      </c>
      <c r="X25">
        <v>0.99379430000000002</v>
      </c>
      <c r="Y25">
        <v>-1.7267520000000001E-2</v>
      </c>
      <c r="Z25">
        <v>3.244578E-4</v>
      </c>
      <c r="AA25">
        <v>0.99985089999999999</v>
      </c>
      <c r="AB25">
        <v>2</v>
      </c>
      <c r="AC25">
        <v>16.5321</v>
      </c>
      <c r="AD25">
        <v>-1.1099606169211</v>
      </c>
      <c r="AE25">
        <v>0.34879999999998201</v>
      </c>
      <c r="AF25">
        <v>-0.28485044855205399</v>
      </c>
      <c r="AG25">
        <v>-1.1099606169211</v>
      </c>
      <c r="AH25">
        <v>16.459142772801801</v>
      </c>
      <c r="AI25">
        <v>93.857456968263904</v>
      </c>
      <c r="AJ25">
        <v>90.991491450987795</v>
      </c>
      <c r="AK25">
        <v>16.498985822305301</v>
      </c>
      <c r="AL25">
        <v>88.009419223647001</v>
      </c>
      <c r="AM25">
        <v>83.930496521620796</v>
      </c>
      <c r="AN25">
        <v>1.0000000025362601</v>
      </c>
    </row>
    <row r="26" spans="1:40" x14ac:dyDescent="0.25">
      <c r="A26" t="str">
        <f>"20190312161221802"</f>
        <v>20190312161221802</v>
      </c>
      <c r="B26" t="str">
        <f>"1552378341795759"</f>
        <v>1552378341795759</v>
      </c>
      <c r="C26" t="s">
        <v>40</v>
      </c>
      <c r="D26">
        <v>5.9344609999999998</v>
      </c>
      <c r="E26">
        <v>0.45432610000000001</v>
      </c>
      <c r="F26" t="s">
        <v>42</v>
      </c>
      <c r="G26">
        <v>-455.96660000000003</v>
      </c>
      <c r="H26" s="1">
        <v>-2.0556700000000001E-6</v>
      </c>
      <c r="I26">
        <v>367.6825</v>
      </c>
      <c r="J26">
        <v>-476.25150000000002</v>
      </c>
      <c r="K26">
        <v>1.109721</v>
      </c>
      <c r="L26">
        <v>367.22519999999997</v>
      </c>
      <c r="M26">
        <v>0.99996160000000001</v>
      </c>
      <c r="N26">
        <v>0</v>
      </c>
      <c r="O26">
        <v>4.1264270000000002E-3</v>
      </c>
      <c r="P26">
        <v>0.99445209999999995</v>
      </c>
      <c r="Q26">
        <v>2.647029E-2</v>
      </c>
      <c r="R26">
        <v>-0.10180740000000001</v>
      </c>
      <c r="S26">
        <v>3.0280149999999999</v>
      </c>
      <c r="T26">
        <v>-0.16549359999999999</v>
      </c>
      <c r="U26">
        <v>6.8237300000000001E-2</v>
      </c>
      <c r="V26">
        <v>0.1059052</v>
      </c>
      <c r="W26">
        <v>3.4196209999999998E-2</v>
      </c>
      <c r="X26">
        <v>0.99378809999999995</v>
      </c>
      <c r="Y26">
        <v>-1.8382639999999999E-2</v>
      </c>
      <c r="Z26">
        <v>2.7657240000000002E-4</v>
      </c>
      <c r="AA26">
        <v>0.99983100000000003</v>
      </c>
      <c r="AB26">
        <v>2</v>
      </c>
      <c r="AC26">
        <v>20.2849</v>
      </c>
      <c r="AD26">
        <v>-1.10972305567</v>
      </c>
      <c r="AE26">
        <v>0.45730000000003201</v>
      </c>
      <c r="AF26">
        <v>-0.37247525321077402</v>
      </c>
      <c r="AG26">
        <v>-1.10972305567</v>
      </c>
      <c r="AH26">
        <v>20.226111597387899</v>
      </c>
      <c r="AI26">
        <v>93.139902391539096</v>
      </c>
      <c r="AJ26">
        <v>91.055014843638006</v>
      </c>
      <c r="AK26">
        <v>20.2599559087509</v>
      </c>
      <c r="AL26">
        <v>88.040319507858499</v>
      </c>
      <c r="AM26">
        <v>83.917107679464394</v>
      </c>
      <c r="AN26">
        <v>1.0000000399335001</v>
      </c>
    </row>
    <row r="27" spans="1:40" x14ac:dyDescent="0.25">
      <c r="A27" t="str">
        <f>"20190312161221824"</f>
        <v>20190312161221824</v>
      </c>
      <c r="B27" t="str">
        <f>"1552378341815280"</f>
        <v>1552378341815280</v>
      </c>
      <c r="C27" t="s">
        <v>40</v>
      </c>
      <c r="D27">
        <v>5.9608970000000001</v>
      </c>
      <c r="E27">
        <v>0.4541673</v>
      </c>
      <c r="F27" t="s">
        <v>42</v>
      </c>
      <c r="G27">
        <v>-454.053</v>
      </c>
      <c r="H27" s="1">
        <v>-2.869522E-6</v>
      </c>
      <c r="I27">
        <v>367.72230000000002</v>
      </c>
      <c r="J27">
        <v>-476.22910000000002</v>
      </c>
      <c r="K27">
        <v>1.109872</v>
      </c>
      <c r="L27">
        <v>367.22559999999999</v>
      </c>
      <c r="M27">
        <v>0.99995889999999998</v>
      </c>
      <c r="N27">
        <v>0</v>
      </c>
      <c r="O27">
        <v>4.38967E-3</v>
      </c>
      <c r="P27">
        <v>0.99443170000000003</v>
      </c>
      <c r="Q27">
        <v>2.5965309999999998E-2</v>
      </c>
      <c r="R27">
        <v>-0.1021358</v>
      </c>
      <c r="S27">
        <v>3.027679</v>
      </c>
      <c r="T27">
        <v>-0.15135570000000001</v>
      </c>
      <c r="U27">
        <v>6.7810060000000005E-2</v>
      </c>
      <c r="V27">
        <v>0.10649459999999999</v>
      </c>
      <c r="W27">
        <v>3.3885970000000001E-2</v>
      </c>
      <c r="X27">
        <v>0.9937357</v>
      </c>
      <c r="Y27">
        <v>-1.7985210000000001E-2</v>
      </c>
      <c r="Z27">
        <v>2.2992769999999999E-4</v>
      </c>
      <c r="AA27">
        <v>0.99983820000000001</v>
      </c>
      <c r="AB27">
        <v>2</v>
      </c>
      <c r="AC27">
        <v>22.176099999999899</v>
      </c>
      <c r="AD27">
        <v>-1.109874869522</v>
      </c>
      <c r="AE27">
        <v>0.496700000000032</v>
      </c>
      <c r="AF27">
        <v>-0.39834909503921001</v>
      </c>
      <c r="AG27">
        <v>-1.109874869522</v>
      </c>
      <c r="AH27">
        <v>22.122681047325099</v>
      </c>
      <c r="AI27">
        <v>92.871604656191195</v>
      </c>
      <c r="AJ27">
        <v>91.031577304923999</v>
      </c>
      <c r="AK27">
        <v>22.154085874826599</v>
      </c>
      <c r="AL27">
        <v>88.058105180531996</v>
      </c>
      <c r="AM27">
        <v>83.883190059611493</v>
      </c>
      <c r="AN27">
        <v>1.0000000001232401</v>
      </c>
    </row>
    <row r="28" spans="1:40" x14ac:dyDescent="0.25">
      <c r="A28" t="str">
        <f>"20190312161221848"</f>
        <v>20190312161221848</v>
      </c>
      <c r="B28" t="str">
        <f>"1552378341835777"</f>
        <v>1552378341835777</v>
      </c>
      <c r="C28" t="s">
        <v>40</v>
      </c>
      <c r="D28">
        <v>5.8647299999999998</v>
      </c>
      <c r="E28">
        <v>0.4542272</v>
      </c>
      <c r="F28" t="s">
        <v>42</v>
      </c>
      <c r="G28">
        <v>-452.7552</v>
      </c>
      <c r="H28" s="1">
        <v>-3.4210980000000001E-6</v>
      </c>
      <c r="I28">
        <v>367.7516</v>
      </c>
      <c r="J28">
        <v>-476.21010000000001</v>
      </c>
      <c r="K28">
        <v>1.1103209999999999</v>
      </c>
      <c r="L28">
        <v>367.226</v>
      </c>
      <c r="M28">
        <v>0.99994430000000001</v>
      </c>
      <c r="N28">
        <v>0</v>
      </c>
      <c r="O28">
        <v>4.529768E-3</v>
      </c>
      <c r="P28">
        <v>0.99453559999999996</v>
      </c>
      <c r="Q28">
        <v>2.4478440000000001E-2</v>
      </c>
      <c r="R28">
        <v>-0.1014882</v>
      </c>
      <c r="S28">
        <v>3.027466</v>
      </c>
      <c r="T28">
        <v>-0.14314170000000001</v>
      </c>
      <c r="U28">
        <v>6.7840579999999998E-2</v>
      </c>
      <c r="V28">
        <v>0.105991</v>
      </c>
      <c r="W28">
        <v>3.396747E-2</v>
      </c>
      <c r="X28">
        <v>0.99378679999999997</v>
      </c>
      <c r="Y28">
        <v>-1.7858800000000001E-2</v>
      </c>
      <c r="Z28">
        <v>2.0787050000000001E-4</v>
      </c>
      <c r="AA28">
        <v>0.99984050000000002</v>
      </c>
      <c r="AB28">
        <v>3</v>
      </c>
      <c r="AC28">
        <v>23.454899999999999</v>
      </c>
      <c r="AD28">
        <v>-1.1103244210979999</v>
      </c>
      <c r="AE28">
        <v>0.52559999999999696</v>
      </c>
      <c r="AF28">
        <v>-0.41840736332849698</v>
      </c>
      <c r="AG28">
        <v>-1.1103244210979999</v>
      </c>
      <c r="AH28">
        <v>23.404617989887502</v>
      </c>
      <c r="AI28">
        <v>92.715664998492699</v>
      </c>
      <c r="AJ28">
        <v>91.024174916290804</v>
      </c>
      <c r="AK28">
        <v>23.434675766784999</v>
      </c>
      <c r="AL28">
        <v>88.053432967244007</v>
      </c>
      <c r="AM28">
        <v>83.9122086606192</v>
      </c>
      <c r="AN28">
        <v>1.0000000424767099</v>
      </c>
    </row>
    <row r="29" spans="1:40" x14ac:dyDescent="0.25">
      <c r="A29" t="str">
        <f>"20190312161221871"</f>
        <v>20190312161221871</v>
      </c>
      <c r="B29" t="str">
        <f>"1552378341865055"</f>
        <v>1552378341865055</v>
      </c>
      <c r="C29" t="s">
        <v>40</v>
      </c>
      <c r="D29">
        <v>5.9270129999999996</v>
      </c>
      <c r="E29">
        <v>0.45486339999999997</v>
      </c>
      <c r="F29" t="s">
        <v>42</v>
      </c>
      <c r="G29">
        <v>-454.82839999999999</v>
      </c>
      <c r="H29" s="1">
        <v>-2.5379880000000002E-6</v>
      </c>
      <c r="I29">
        <v>367.71600000000001</v>
      </c>
      <c r="J29">
        <v>-476.19389999999999</v>
      </c>
      <c r="K29">
        <v>1.110663</v>
      </c>
      <c r="L29">
        <v>367.22629999999998</v>
      </c>
      <c r="M29">
        <v>0.99992729999999996</v>
      </c>
      <c r="N29">
        <v>0</v>
      </c>
      <c r="O29">
        <v>4.5888400000000003E-3</v>
      </c>
      <c r="P29">
        <v>0.99460760000000004</v>
      </c>
      <c r="Q29">
        <v>2.3097989999999999E-2</v>
      </c>
      <c r="R29">
        <v>-0.1011049</v>
      </c>
      <c r="S29">
        <v>3.0274049999999999</v>
      </c>
      <c r="T29">
        <v>-0.15720870000000001</v>
      </c>
      <c r="U29">
        <v>6.9396970000000002E-2</v>
      </c>
      <c r="V29">
        <v>0.105672</v>
      </c>
      <c r="W29">
        <v>3.417858E-2</v>
      </c>
      <c r="X29">
        <v>0.99381350000000002</v>
      </c>
      <c r="Y29">
        <v>-1.831027E-2</v>
      </c>
      <c r="Z29">
        <v>2.369192E-4</v>
      </c>
      <c r="AA29">
        <v>0.99983230000000001</v>
      </c>
      <c r="AB29">
        <v>2</v>
      </c>
      <c r="AC29">
        <v>21.365500000000001</v>
      </c>
      <c r="AD29">
        <v>-1.1106655379879999</v>
      </c>
      <c r="AE29">
        <v>0.489700000000027</v>
      </c>
      <c r="AF29">
        <v>-0.39059093017205299</v>
      </c>
      <c r="AG29">
        <v>-1.1106655379879999</v>
      </c>
      <c r="AH29">
        <v>21.3099657136584</v>
      </c>
      <c r="AI29">
        <v>92.9830297669006</v>
      </c>
      <c r="AJ29">
        <v>91.050058291876894</v>
      </c>
      <c r="AK29">
        <v>21.342464195338501</v>
      </c>
      <c r="AL29">
        <v>88.0413301642851</v>
      </c>
      <c r="AM29">
        <v>83.930555898346697</v>
      </c>
      <c r="AN29">
        <v>1.00000000984853</v>
      </c>
    </row>
    <row r="30" spans="1:40" x14ac:dyDescent="0.25">
      <c r="A30" t="str">
        <f>"20190312161221916"</f>
        <v>20190312161221916</v>
      </c>
      <c r="B30" t="str">
        <f>"1552378341905071"</f>
        <v>1552378341905071</v>
      </c>
      <c r="C30" t="s">
        <v>40</v>
      </c>
      <c r="D30">
        <v>5.8454879999999996</v>
      </c>
      <c r="E30">
        <v>0.45516220000000002</v>
      </c>
      <c r="F30" t="s">
        <v>42</v>
      </c>
      <c r="G30">
        <v>-453.96140000000003</v>
      </c>
      <c r="H30" s="1">
        <v>-2.9122280000000002E-6</v>
      </c>
      <c r="I30">
        <v>367.70310000000001</v>
      </c>
      <c r="J30">
        <v>-476.1465</v>
      </c>
      <c r="K30">
        <v>1.1099570000000001</v>
      </c>
      <c r="L30">
        <v>367.2269</v>
      </c>
      <c r="M30">
        <v>0.99994749999999999</v>
      </c>
      <c r="N30">
        <v>0</v>
      </c>
      <c r="O30">
        <v>5.0648539999999997E-3</v>
      </c>
      <c r="P30">
        <v>0.99456520000000004</v>
      </c>
      <c r="Q30">
        <v>2.519923E-2</v>
      </c>
      <c r="R30">
        <v>-0.1010214</v>
      </c>
      <c r="S30">
        <v>3.0263369999999998</v>
      </c>
      <c r="T30">
        <v>-0.1511855</v>
      </c>
      <c r="U30">
        <v>6.4910889999999999E-2</v>
      </c>
      <c r="V30">
        <v>0.1060572</v>
      </c>
      <c r="W30">
        <v>3.4059440000000003E-2</v>
      </c>
      <c r="X30">
        <v>0.99377660000000001</v>
      </c>
      <c r="Y30">
        <v>-1.636549E-2</v>
      </c>
      <c r="Z30">
        <v>1.5563839999999999E-4</v>
      </c>
      <c r="AA30">
        <v>0.99986609999999998</v>
      </c>
      <c r="AB30">
        <v>1</v>
      </c>
      <c r="AC30">
        <v>22.185099999999899</v>
      </c>
      <c r="AD30">
        <v>-1.1099599122279999</v>
      </c>
      <c r="AE30">
        <v>0.47620000000000501</v>
      </c>
      <c r="AF30">
        <v>-0.36291711315053699</v>
      </c>
      <c r="AG30">
        <v>-1.1099599122279999</v>
      </c>
      <c r="AH30">
        <v>22.1318529369061</v>
      </c>
      <c r="AI30">
        <v>92.870715439487498</v>
      </c>
      <c r="AJ30">
        <v>90.939449376620303</v>
      </c>
      <c r="AK30">
        <v>22.162640507363101</v>
      </c>
      <c r="AL30">
        <v>88.048160444183296</v>
      </c>
      <c r="AM30">
        <v>83.908372866291899</v>
      </c>
      <c r="AN30">
        <v>1.00000005291625</v>
      </c>
    </row>
    <row r="31" spans="1:40" x14ac:dyDescent="0.25">
      <c r="A31" t="str">
        <f>"20190312161221936"</f>
        <v>20190312161221936</v>
      </c>
      <c r="B31" t="str">
        <f>"1552378341925568"</f>
        <v>1552378341925568</v>
      </c>
      <c r="C31" t="s">
        <v>40</v>
      </c>
      <c r="D31">
        <v>5.8897539999999999</v>
      </c>
      <c r="E31">
        <v>0.45522950000000001</v>
      </c>
      <c r="F31" t="s">
        <v>42</v>
      </c>
      <c r="G31">
        <v>-453.32440000000003</v>
      </c>
      <c r="H31" s="1">
        <v>-3.1852410000000001E-6</v>
      </c>
      <c r="I31">
        <v>367.70460000000003</v>
      </c>
      <c r="J31">
        <v>-476.1207</v>
      </c>
      <c r="K31">
        <v>1.109712</v>
      </c>
      <c r="L31">
        <v>367.22730000000001</v>
      </c>
      <c r="M31">
        <v>0.99995540000000005</v>
      </c>
      <c r="N31">
        <v>0</v>
      </c>
      <c r="O31">
        <v>5.421019E-3</v>
      </c>
      <c r="P31">
        <v>0.99463270000000004</v>
      </c>
      <c r="Q31">
        <v>2.6692540000000001E-2</v>
      </c>
      <c r="R31">
        <v>-9.9969210000000003E-2</v>
      </c>
      <c r="S31">
        <v>3.0264890000000002</v>
      </c>
      <c r="T31">
        <v>-0.14719370000000001</v>
      </c>
      <c r="U31">
        <v>6.3354489999999999E-2</v>
      </c>
      <c r="V31">
        <v>0.1053555</v>
      </c>
      <c r="W31">
        <v>3.4405409999999997E-2</v>
      </c>
      <c r="X31">
        <v>0.99383929999999998</v>
      </c>
      <c r="Y31">
        <v>-1.549654E-2</v>
      </c>
      <c r="Z31">
        <v>1.131037E-4</v>
      </c>
      <c r="AA31">
        <v>0.99987990000000004</v>
      </c>
      <c r="AB31">
        <v>3</v>
      </c>
      <c r="AC31">
        <v>22.796299999999899</v>
      </c>
      <c r="AD31">
        <v>-1.1097151852410001</v>
      </c>
      <c r="AE31">
        <v>0.47730000000001299</v>
      </c>
      <c r="AF31">
        <v>-0.35287427335054999</v>
      </c>
      <c r="AG31">
        <v>-1.1097151852410001</v>
      </c>
      <c r="AH31">
        <v>22.744677979649399</v>
      </c>
      <c r="AI31">
        <v>92.792916399253897</v>
      </c>
      <c r="AJ31">
        <v>90.888849014429695</v>
      </c>
      <c r="AK31">
        <v>22.774467380009</v>
      </c>
      <c r="AL31">
        <v>88.0283261619538</v>
      </c>
      <c r="AM31">
        <v>83.948755434826396</v>
      </c>
      <c r="AN31">
        <v>1.000000033921</v>
      </c>
    </row>
    <row r="32" spans="1:40" x14ac:dyDescent="0.25">
      <c r="A32" t="str">
        <f>"20190312161221958"</f>
        <v>20190312161221958</v>
      </c>
      <c r="B32" t="str">
        <f>"1552378341955824"</f>
        <v>1552378341955824</v>
      </c>
      <c r="C32" t="s">
        <v>40</v>
      </c>
      <c r="D32">
        <v>6.0019809999999998</v>
      </c>
      <c r="E32">
        <v>0.45533030000000002</v>
      </c>
      <c r="F32" t="s">
        <v>42</v>
      </c>
      <c r="G32">
        <v>-452.8134</v>
      </c>
      <c r="H32" s="1">
        <v>-3.398979E-6</v>
      </c>
      <c r="I32">
        <v>367.7353</v>
      </c>
      <c r="J32">
        <v>-476.0942</v>
      </c>
      <c r="K32">
        <v>1.109774</v>
      </c>
      <c r="L32">
        <v>367.2278</v>
      </c>
      <c r="M32">
        <v>0.99995460000000003</v>
      </c>
      <c r="N32">
        <v>0</v>
      </c>
      <c r="O32">
        <v>5.7662719999999898E-3</v>
      </c>
      <c r="P32">
        <v>0.99466790000000005</v>
      </c>
      <c r="Q32">
        <v>2.7136339999999998E-2</v>
      </c>
      <c r="R32">
        <v>-9.9496050000000003E-2</v>
      </c>
      <c r="S32">
        <v>3.0267330000000001</v>
      </c>
      <c r="T32">
        <v>-0.1441096</v>
      </c>
      <c r="U32">
        <v>6.5978999999999996E-2</v>
      </c>
      <c r="V32">
        <v>0.1052241</v>
      </c>
      <c r="W32">
        <v>3.4695629999999998E-2</v>
      </c>
      <c r="X32">
        <v>0.99384309999999998</v>
      </c>
      <c r="Y32">
        <v>-1.6016539999999999E-2</v>
      </c>
      <c r="Z32">
        <v>1.06671E-4</v>
      </c>
      <c r="AA32">
        <v>0.99987170000000003</v>
      </c>
      <c r="AB32">
        <v>3</v>
      </c>
      <c r="AC32">
        <v>23.280799999999999</v>
      </c>
      <c r="AD32">
        <v>-1.1097773989790001</v>
      </c>
      <c r="AE32">
        <v>0.50749999999999296</v>
      </c>
      <c r="AF32">
        <v>-0.37239845510238601</v>
      </c>
      <c r="AG32">
        <v>-1.1097773989790001</v>
      </c>
      <c r="AH32">
        <v>23.230576384007101</v>
      </c>
      <c r="AI32">
        <v>92.734719316721794</v>
      </c>
      <c r="AJ32">
        <v>90.918403056523005</v>
      </c>
      <c r="AK32">
        <v>23.260050851574501</v>
      </c>
      <c r="AL32">
        <v>88.011687785343995</v>
      </c>
      <c r="AM32">
        <v>83.956269626706899</v>
      </c>
      <c r="AN32">
        <v>1.00000000268975</v>
      </c>
    </row>
    <row r="33" spans="1:40" x14ac:dyDescent="0.25">
      <c r="A33" t="str">
        <f>"20190312161221983"</f>
        <v>20190312161221983</v>
      </c>
      <c r="B33" t="str">
        <f>"1552378341975344"</f>
        <v>1552378341975344</v>
      </c>
      <c r="C33" t="s">
        <v>40</v>
      </c>
      <c r="D33">
        <v>6.026052</v>
      </c>
      <c r="E33">
        <v>0.45526810000000001</v>
      </c>
      <c r="F33" t="s">
        <v>42</v>
      </c>
      <c r="G33">
        <v>-452.3802</v>
      </c>
      <c r="H33" s="1">
        <v>-3.5827870000000001E-6</v>
      </c>
      <c r="I33">
        <v>367.74689999999998</v>
      </c>
      <c r="J33">
        <v>-476.07</v>
      </c>
      <c r="K33">
        <v>1.1102299999999901</v>
      </c>
      <c r="L33">
        <v>367.22829999999999</v>
      </c>
      <c r="M33">
        <v>0.99994090000000002</v>
      </c>
      <c r="N33">
        <v>0</v>
      </c>
      <c r="O33">
        <v>5.9816319999999997E-3</v>
      </c>
      <c r="P33">
        <v>0.99475910000000001</v>
      </c>
      <c r="Q33">
        <v>2.533032E-2</v>
      </c>
      <c r="R33">
        <v>-9.9059159999999993E-2</v>
      </c>
      <c r="S33">
        <v>3.0265810000000002</v>
      </c>
      <c r="T33">
        <v>-0.14163889999999901</v>
      </c>
      <c r="U33">
        <v>6.6253660000000006E-2</v>
      </c>
      <c r="V33">
        <v>0.105005</v>
      </c>
      <c r="W33">
        <v>3.4372060000000003E-2</v>
      </c>
      <c r="X33">
        <v>0.99387749999999997</v>
      </c>
      <c r="Y33">
        <v>-1.5893669999999999E-2</v>
      </c>
      <c r="Z33" s="1">
        <v>9.1901339999999997E-5</v>
      </c>
      <c r="AA33">
        <v>0.99987369999999998</v>
      </c>
      <c r="AB33">
        <v>3</v>
      </c>
      <c r="AC33">
        <v>23.689799999999899</v>
      </c>
      <c r="AD33">
        <v>-1.11023358278699</v>
      </c>
      <c r="AE33">
        <v>0.51859999999999196</v>
      </c>
      <c r="AF33">
        <v>-0.37605565340071601</v>
      </c>
      <c r="AG33">
        <v>-1.11023358278699</v>
      </c>
      <c r="AH33">
        <v>23.640579713895502</v>
      </c>
      <c r="AI33">
        <v>92.688468998829606</v>
      </c>
      <c r="AJ33">
        <v>90.911339103197406</v>
      </c>
      <c r="AK33">
        <v>23.669622845999299</v>
      </c>
      <c r="AL33">
        <v>88.030238014076104</v>
      </c>
      <c r="AM33">
        <v>83.968968380304901</v>
      </c>
      <c r="AN33">
        <v>0.99999998676994595</v>
      </c>
    </row>
    <row r="34" spans="1:40" x14ac:dyDescent="0.25">
      <c r="A34" t="str">
        <f>"20190312161222004"</f>
        <v>20190312161222004</v>
      </c>
      <c r="B34" t="str">
        <f>"1552378341995840"</f>
        <v>1552378341995840</v>
      </c>
      <c r="C34" t="s">
        <v>40</v>
      </c>
      <c r="D34">
        <v>5.9021410000000003</v>
      </c>
      <c r="E34">
        <v>0.4550804</v>
      </c>
      <c r="F34" t="s">
        <v>42</v>
      </c>
      <c r="G34">
        <v>-452.81630000000001</v>
      </c>
      <c r="H34" s="1">
        <v>-3.3953490000000002E-6</v>
      </c>
      <c r="I34">
        <v>367.74880000000002</v>
      </c>
      <c r="J34">
        <v>-476.0453</v>
      </c>
      <c r="K34">
        <v>1.1102719999999999</v>
      </c>
      <c r="L34">
        <v>367.22879999999998</v>
      </c>
      <c r="M34">
        <v>0.99993750000000003</v>
      </c>
      <c r="N34">
        <v>0</v>
      </c>
      <c r="O34">
        <v>6.1881019999999896E-3</v>
      </c>
      <c r="P34">
        <v>0.99484890000000004</v>
      </c>
      <c r="Q34">
        <v>2.4404169999999999E-2</v>
      </c>
      <c r="R34">
        <v>-9.8388729999999994E-2</v>
      </c>
      <c r="S34">
        <v>3.0262449999999999</v>
      </c>
      <c r="T34">
        <v>-0.1444858</v>
      </c>
      <c r="U34">
        <v>6.7749019999999993E-2</v>
      </c>
      <c r="V34">
        <v>0.1045406</v>
      </c>
      <c r="W34">
        <v>3.3674370000000002E-2</v>
      </c>
      <c r="X34">
        <v>0.99395040000000001</v>
      </c>
      <c r="Y34">
        <v>-1.618292E-2</v>
      </c>
      <c r="Z34" s="1">
        <v>9.0805140000000005E-5</v>
      </c>
      <c r="AA34">
        <v>0.99986900000000001</v>
      </c>
      <c r="AB34">
        <v>2</v>
      </c>
      <c r="AC34">
        <v>23.2289999999999</v>
      </c>
      <c r="AD34">
        <v>-1.1102753953490001</v>
      </c>
      <c r="AE34">
        <v>0.52000000000003799</v>
      </c>
      <c r="AF34">
        <v>-0.37538323795796502</v>
      </c>
      <c r="AG34">
        <v>-1.1102753953490001</v>
      </c>
      <c r="AH34">
        <v>23.178846481603401</v>
      </c>
      <c r="AI34">
        <v>92.742034056899996</v>
      </c>
      <c r="AJ34">
        <v>90.927828534606505</v>
      </c>
      <c r="AK34">
        <v>23.208458549558902</v>
      </c>
      <c r="AL34">
        <v>88.070235984912799</v>
      </c>
      <c r="AM34">
        <v>83.995883382835999</v>
      </c>
      <c r="AN34">
        <v>1.0000000489517</v>
      </c>
    </row>
    <row r="35" spans="1:40" x14ac:dyDescent="0.25">
      <c r="A35" t="str">
        <f>"20190312161222027"</f>
        <v>20190312161222027</v>
      </c>
      <c r="B35" t="str">
        <f>"1552378342015359"</f>
        <v>1552378342015359</v>
      </c>
      <c r="C35" t="s">
        <v>40</v>
      </c>
      <c r="D35">
        <v>5.8390110000000002</v>
      </c>
      <c r="E35">
        <v>0.4549706</v>
      </c>
      <c r="F35" t="s">
        <v>42</v>
      </c>
      <c r="G35">
        <v>-453.18090000000001</v>
      </c>
      <c r="H35" s="1">
        <v>-3.2351249999999998E-6</v>
      </c>
      <c r="I35">
        <v>367.77030000000002</v>
      </c>
      <c r="J35">
        <v>-476.01679999999999</v>
      </c>
      <c r="K35">
        <v>1.1099429999999999</v>
      </c>
      <c r="L35">
        <v>367.22930000000002</v>
      </c>
      <c r="M35">
        <v>0.99994550000000004</v>
      </c>
      <c r="N35">
        <v>0</v>
      </c>
      <c r="O35">
        <v>6.5067049999999998E-3</v>
      </c>
      <c r="P35">
        <v>0.99489899999999998</v>
      </c>
      <c r="Q35">
        <v>2.539601E-2</v>
      </c>
      <c r="R35">
        <v>-9.7628850000000003E-2</v>
      </c>
      <c r="S35">
        <v>3.0262150000000001</v>
      </c>
      <c r="T35">
        <v>-0.14694960000000001</v>
      </c>
      <c r="U35">
        <v>7.1685789999999999E-2</v>
      </c>
      <c r="V35">
        <v>0.1040958</v>
      </c>
      <c r="W35">
        <v>3.353093E-2</v>
      </c>
      <c r="X35">
        <v>0.99400189999999999</v>
      </c>
      <c r="Y35">
        <v>-1.7163479999999998E-2</v>
      </c>
      <c r="Z35">
        <v>1.006852E-4</v>
      </c>
      <c r="AA35">
        <v>0.99985270000000004</v>
      </c>
      <c r="AB35">
        <v>2</v>
      </c>
      <c r="AC35">
        <v>22.835899999999899</v>
      </c>
      <c r="AD35">
        <v>-1.109946235125</v>
      </c>
      <c r="AE35">
        <v>0.54099999999999604</v>
      </c>
      <c r="AF35">
        <v>-0.391472802792042</v>
      </c>
      <c r="AG35">
        <v>-1.109946235125</v>
      </c>
      <c r="AH35">
        <v>22.785137630767</v>
      </c>
      <c r="AI35">
        <v>92.7884685676228</v>
      </c>
      <c r="AJ35">
        <v>90.984305346131904</v>
      </c>
      <c r="AK35">
        <v>22.815515081917098</v>
      </c>
      <c r="AL35">
        <v>88.078459075526496</v>
      </c>
      <c r="AM35">
        <v>84.021551824369894</v>
      </c>
      <c r="AN35">
        <v>1.0000000180239501</v>
      </c>
    </row>
    <row r="36" spans="1:40" x14ac:dyDescent="0.25">
      <c r="A36" t="str">
        <f>"20190312161222048"</f>
        <v>20190312161222048</v>
      </c>
      <c r="B36" t="str">
        <f>"1552378342035855"</f>
        <v>1552378342035855</v>
      </c>
      <c r="C36" t="s">
        <v>40</v>
      </c>
      <c r="D36">
        <v>6.0354029999999996</v>
      </c>
      <c r="E36">
        <v>0.45504539999999999</v>
      </c>
      <c r="F36" t="s">
        <v>42</v>
      </c>
      <c r="G36">
        <v>-452.90989999999999</v>
      </c>
      <c r="H36" s="1">
        <v>-3.3460350000000001E-6</v>
      </c>
      <c r="I36">
        <v>367.8005</v>
      </c>
      <c r="J36">
        <v>-475.98610000000002</v>
      </c>
      <c r="K36">
        <v>1.1097790000000001</v>
      </c>
      <c r="L36">
        <v>367.22989999999999</v>
      </c>
      <c r="M36">
        <v>0.99994890000000003</v>
      </c>
      <c r="N36">
        <v>0</v>
      </c>
      <c r="O36">
        <v>6.860924E-3</v>
      </c>
      <c r="P36">
        <v>0.99494959999999999</v>
      </c>
      <c r="Q36">
        <v>2.6300339999999998E-2</v>
      </c>
      <c r="R36">
        <v>-9.6870120000000004E-2</v>
      </c>
      <c r="S36">
        <v>3.0263979999999999</v>
      </c>
      <c r="T36">
        <v>-0.145373</v>
      </c>
      <c r="U36">
        <v>7.4829099999999996E-2</v>
      </c>
      <c r="V36">
        <v>0.1036894</v>
      </c>
      <c r="W36">
        <v>3.3708679999999998E-2</v>
      </c>
      <c r="X36">
        <v>0.99403830000000004</v>
      </c>
      <c r="Y36">
        <v>-1.7845659999999999E-2</v>
      </c>
      <c r="Z36" s="1">
        <v>9.8971100000000005E-5</v>
      </c>
      <c r="AA36">
        <v>0.99984070000000003</v>
      </c>
      <c r="AB36">
        <v>3</v>
      </c>
      <c r="AC36">
        <v>23.0762</v>
      </c>
      <c r="AD36">
        <v>-1.109782346035</v>
      </c>
      <c r="AE36">
        <v>0.57060000000001299</v>
      </c>
      <c r="AF36">
        <v>-0.41130744078512999</v>
      </c>
      <c r="AG36">
        <v>-1.109782346035</v>
      </c>
      <c r="AH36">
        <v>23.026347896224902</v>
      </c>
      <c r="AI36">
        <v>92.758863944638506</v>
      </c>
      <c r="AJ36">
        <v>91.023335294938505</v>
      </c>
      <c r="AK36">
        <v>23.0567449590005</v>
      </c>
      <c r="AL36">
        <v>88.068268867278604</v>
      </c>
      <c r="AM36">
        <v>84.044940699799895</v>
      </c>
      <c r="AN36">
        <v>0.99999995432329503</v>
      </c>
    </row>
    <row r="37" spans="1:40" x14ac:dyDescent="0.25">
      <c r="A37" t="str">
        <f>"20190312161222071"</f>
        <v>20190312161222071</v>
      </c>
      <c r="B37" t="str">
        <f>"1552378342065138"</f>
        <v>1552378342065138</v>
      </c>
      <c r="C37" t="s">
        <v>40</v>
      </c>
      <c r="D37">
        <v>5.9534789999999997</v>
      </c>
      <c r="E37">
        <v>0.45494430000000002</v>
      </c>
      <c r="F37" t="s">
        <v>42</v>
      </c>
      <c r="G37">
        <v>-452.65339999999998</v>
      </c>
      <c r="H37" s="1">
        <v>-3.4527150000000002E-6</v>
      </c>
      <c r="I37">
        <v>367.81939999999997</v>
      </c>
      <c r="J37">
        <v>-475.95949999999999</v>
      </c>
      <c r="K37">
        <v>1.1101350000000001</v>
      </c>
      <c r="L37">
        <v>367.23039999999997</v>
      </c>
      <c r="M37">
        <v>0.99993710000000002</v>
      </c>
      <c r="N37">
        <v>0</v>
      </c>
      <c r="O37">
        <v>7.1141240000000003E-3</v>
      </c>
      <c r="P37">
        <v>0.99501680000000003</v>
      </c>
      <c r="Q37">
        <v>2.578946E-2</v>
      </c>
      <c r="R37">
        <v>-9.6315940000000003E-2</v>
      </c>
      <c r="S37">
        <v>3.0264890000000002</v>
      </c>
      <c r="T37">
        <v>-0.14394940000000001</v>
      </c>
      <c r="U37">
        <v>7.6477050000000005E-2</v>
      </c>
      <c r="V37">
        <v>0.1033915</v>
      </c>
      <c r="W37">
        <v>3.442829E-2</v>
      </c>
      <c r="X37">
        <v>0.9940447</v>
      </c>
      <c r="Y37">
        <v>-1.813596E-2</v>
      </c>
      <c r="Z37" s="1">
        <v>9.2861180000000003E-5</v>
      </c>
      <c r="AA37">
        <v>0.99983560000000005</v>
      </c>
      <c r="AB37">
        <v>3</v>
      </c>
      <c r="AC37">
        <v>23.306100000000001</v>
      </c>
      <c r="AD37">
        <v>-1.110138452715</v>
      </c>
      <c r="AE37">
        <v>0.58899999999999797</v>
      </c>
      <c r="AF37">
        <v>-0.42221901450223598</v>
      </c>
      <c r="AG37">
        <v>-1.110138452715</v>
      </c>
      <c r="AH37">
        <v>23.256966537790301</v>
      </c>
      <c r="AI37">
        <v>92.732409212890403</v>
      </c>
      <c r="AJ37">
        <v>91.040062999234394</v>
      </c>
      <c r="AK37">
        <v>23.287274825971</v>
      </c>
      <c r="AL37">
        <v>88.027014365861206</v>
      </c>
      <c r="AM37">
        <v>84.061965141002602</v>
      </c>
      <c r="AN37">
        <v>0.99999998751133201</v>
      </c>
    </row>
    <row r="38" spans="1:40" x14ac:dyDescent="0.25">
      <c r="A38" t="str">
        <f>"20190312161222094"</f>
        <v>20190312161222094</v>
      </c>
      <c r="B38" t="str">
        <f>"1552378342085632"</f>
        <v>1552378342085632</v>
      </c>
      <c r="C38" t="s">
        <v>40</v>
      </c>
      <c r="D38">
        <v>6.0332889999999999</v>
      </c>
      <c r="E38">
        <v>0.4549648</v>
      </c>
      <c r="F38" t="s">
        <v>42</v>
      </c>
      <c r="G38">
        <v>-452.44889999999998</v>
      </c>
      <c r="H38" s="1">
        <v>-3.536677E-6</v>
      </c>
      <c r="I38">
        <v>367.8408</v>
      </c>
      <c r="J38">
        <v>-475.93520000000001</v>
      </c>
      <c r="K38">
        <v>1.110479</v>
      </c>
      <c r="L38">
        <v>367.23079999999999</v>
      </c>
      <c r="M38">
        <v>0.99992159999999997</v>
      </c>
      <c r="N38">
        <v>0</v>
      </c>
      <c r="O38">
        <v>7.3035629999999999E-3</v>
      </c>
      <c r="P38">
        <v>0.99506399999999995</v>
      </c>
      <c r="Q38">
        <v>2.4512740000000002E-2</v>
      </c>
      <c r="R38">
        <v>-9.6162800000000007E-2</v>
      </c>
      <c r="S38">
        <v>3.0263369999999998</v>
      </c>
      <c r="T38">
        <v>-0.14289879999999999</v>
      </c>
      <c r="U38">
        <v>7.8582760000000001E-2</v>
      </c>
      <c r="V38">
        <v>0.1034307</v>
      </c>
      <c r="W38">
        <v>3.4624160000000001E-2</v>
      </c>
      <c r="X38">
        <v>0.99403379999999997</v>
      </c>
      <c r="Y38">
        <v>-1.8642760000000001E-2</v>
      </c>
      <c r="Z38" s="1">
        <v>9.5201660000000004E-5</v>
      </c>
      <c r="AA38">
        <v>0.9998262</v>
      </c>
      <c r="AB38">
        <v>3</v>
      </c>
      <c r="AC38">
        <v>23.4863</v>
      </c>
      <c r="AD38">
        <v>-1.1104825366769999</v>
      </c>
      <c r="AE38">
        <v>0.61000000000001298</v>
      </c>
      <c r="AF38">
        <v>-0.43746384842092301</v>
      </c>
      <c r="AG38">
        <v>-1.1104825366769999</v>
      </c>
      <c r="AH38">
        <v>23.4377667590886</v>
      </c>
      <c r="AI38">
        <v>92.712176519964601</v>
      </c>
      <c r="AJ38">
        <v>91.069296506934904</v>
      </c>
      <c r="AK38">
        <v>23.468137052957101</v>
      </c>
      <c r="AL38">
        <v>88.015785109378697</v>
      </c>
      <c r="AM38">
        <v>84.059665209764702</v>
      </c>
      <c r="AN38">
        <v>0.99999996885031694</v>
      </c>
    </row>
    <row r="39" spans="1:40" x14ac:dyDescent="0.25">
      <c r="A39" t="str">
        <f>"20190312161222116"</f>
        <v>20190312161222116</v>
      </c>
      <c r="B39" t="str">
        <f>"1552378342105151"</f>
        <v>1552378342105151</v>
      </c>
      <c r="C39" t="s">
        <v>40</v>
      </c>
      <c r="D39">
        <v>6.1327639999999999</v>
      </c>
      <c r="E39">
        <v>0.45504529999999899</v>
      </c>
      <c r="F39" t="s">
        <v>42</v>
      </c>
      <c r="G39">
        <v>-453.2482</v>
      </c>
      <c r="H39" s="1">
        <v>-3.1974059999999998E-6</v>
      </c>
      <c r="I39">
        <v>367.82029999999997</v>
      </c>
      <c r="J39">
        <v>-475.90629999999999</v>
      </c>
      <c r="K39">
        <v>1.1102669999999999</v>
      </c>
      <c r="L39">
        <v>367.23129999999998</v>
      </c>
      <c r="M39">
        <v>0.99992539999999996</v>
      </c>
      <c r="N39">
        <v>0</v>
      </c>
      <c r="O39">
        <v>7.5727919999999897E-3</v>
      </c>
      <c r="P39">
        <v>0.99505350000000004</v>
      </c>
      <c r="Q39">
        <v>2.5228219999999999E-2</v>
      </c>
      <c r="R39">
        <v>-9.6083829999999995E-2</v>
      </c>
      <c r="S39">
        <v>3.0261230000000001</v>
      </c>
      <c r="T39">
        <v>-0.1481217</v>
      </c>
      <c r="U39">
        <v>7.86438E-2</v>
      </c>
      <c r="V39">
        <v>0.1036168</v>
      </c>
      <c r="W39">
        <v>3.4761880000000002E-2</v>
      </c>
      <c r="X39">
        <v>0.9940097</v>
      </c>
      <c r="Y39">
        <v>-1.8395249999999998E-2</v>
      </c>
      <c r="Z39" s="1">
        <v>7.9465680000000006E-5</v>
      </c>
      <c r="AA39">
        <v>0.99983080000000002</v>
      </c>
      <c r="AB39">
        <v>2</v>
      </c>
      <c r="AC39">
        <v>22.658099999999902</v>
      </c>
      <c r="AD39">
        <v>-1.1102701974060001</v>
      </c>
      <c r="AE39">
        <v>0.58899999999999797</v>
      </c>
      <c r="AF39">
        <v>-0.41639102902884201</v>
      </c>
      <c r="AG39">
        <v>-1.1102701974060001</v>
      </c>
      <c r="AH39">
        <v>22.6076641984113</v>
      </c>
      <c r="AI39">
        <v>92.811080652181701</v>
      </c>
      <c r="AJ39">
        <v>91.055162144455807</v>
      </c>
      <c r="AK39">
        <v>22.638740289787101</v>
      </c>
      <c r="AL39">
        <v>88.007889756305005</v>
      </c>
      <c r="AM39">
        <v>84.048910316737505</v>
      </c>
      <c r="AN39">
        <v>1.0000000566187299</v>
      </c>
    </row>
    <row r="40" spans="1:40" x14ac:dyDescent="0.25">
      <c r="A40" t="str">
        <f>"20190312161222139"</f>
        <v>20190312161222139</v>
      </c>
      <c r="B40" t="str">
        <f>"1552378342135408"</f>
        <v>1552378342135408</v>
      </c>
      <c r="C40" t="s">
        <v>40</v>
      </c>
      <c r="D40">
        <v>6.1387600000000004</v>
      </c>
      <c r="E40">
        <v>0.48495110000000002</v>
      </c>
      <c r="F40" t="s">
        <v>42</v>
      </c>
      <c r="G40">
        <v>-453.47890000000001</v>
      </c>
      <c r="H40" s="1">
        <v>-3.0996980000000001E-6</v>
      </c>
      <c r="I40">
        <v>367.81310000000002</v>
      </c>
      <c r="J40">
        <v>-475.87360000000001</v>
      </c>
      <c r="K40">
        <v>1.1099319999999999</v>
      </c>
      <c r="L40">
        <v>367.2319</v>
      </c>
      <c r="M40">
        <v>0.9999344</v>
      </c>
      <c r="N40">
        <v>0</v>
      </c>
      <c r="O40">
        <v>7.9398760000000002E-3</v>
      </c>
      <c r="P40">
        <v>0.99502650000000004</v>
      </c>
      <c r="Q40">
        <v>2.6644379999999999E-2</v>
      </c>
      <c r="R40">
        <v>-9.5982650000000003E-2</v>
      </c>
      <c r="S40">
        <v>3.0263059999999999</v>
      </c>
      <c r="T40">
        <v>-0.14981729999999999</v>
      </c>
      <c r="U40">
        <v>7.8521729999999998E-2</v>
      </c>
      <c r="V40">
        <v>0.1038761</v>
      </c>
      <c r="W40">
        <v>3.4879109999999998E-2</v>
      </c>
      <c r="X40">
        <v>0.99397840000000004</v>
      </c>
      <c r="Y40">
        <v>-1.7987079999999999E-2</v>
      </c>
      <c r="Z40" s="1">
        <v>5.2120680000000003E-5</v>
      </c>
      <c r="AA40">
        <v>0.99983820000000001</v>
      </c>
      <c r="AB40">
        <v>3</v>
      </c>
      <c r="AC40">
        <v>22.3947</v>
      </c>
      <c r="AD40">
        <v>-1.109935099698</v>
      </c>
      <c r="AE40">
        <v>0.58120000000002303</v>
      </c>
      <c r="AF40">
        <v>-0.40237673228977799</v>
      </c>
      <c r="AG40">
        <v>-1.109935099698</v>
      </c>
      <c r="AH40">
        <v>22.343759880019899</v>
      </c>
      <c r="AI40">
        <v>92.843392546353698</v>
      </c>
      <c r="AJ40">
        <v>91.031697302376799</v>
      </c>
      <c r="AK40">
        <v>22.3749294643852</v>
      </c>
      <c r="AL40">
        <v>88.001168639744705</v>
      </c>
      <c r="AM40">
        <v>84.033938542534699</v>
      </c>
      <c r="AN40">
        <v>0.99999992806607796</v>
      </c>
    </row>
    <row r="41" spans="1:40" x14ac:dyDescent="0.25">
      <c r="A41" t="str">
        <f>"20190312161222164"</f>
        <v>20190312161222164</v>
      </c>
      <c r="B41" t="str">
        <f>"1552378342155904"</f>
        <v>1552378342155904</v>
      </c>
      <c r="C41" t="s">
        <v>40</v>
      </c>
      <c r="D41">
        <v>6.0017490000000002</v>
      </c>
      <c r="E41">
        <v>0.4914019</v>
      </c>
      <c r="F41" t="s">
        <v>44</v>
      </c>
      <c r="G41">
        <v>0</v>
      </c>
      <c r="H41">
        <v>0</v>
      </c>
      <c r="I41">
        <v>0</v>
      </c>
      <c r="J41">
        <v>-475.83620000000002</v>
      </c>
      <c r="K41">
        <v>1.1097440000000001</v>
      </c>
      <c r="L41">
        <v>367.23259999999999</v>
      </c>
      <c r="M41">
        <v>0.99993840000000001</v>
      </c>
      <c r="N41">
        <v>0</v>
      </c>
      <c r="O41">
        <v>8.3776270000000003E-3</v>
      </c>
      <c r="P41">
        <v>0.9949675</v>
      </c>
      <c r="Q41">
        <v>2.7366709999999999E-2</v>
      </c>
      <c r="R41">
        <v>-9.6391660000000004E-2</v>
      </c>
      <c r="S41">
        <v>2.9988100000000002</v>
      </c>
      <c r="T41">
        <v>6.6741700000000001E-3</v>
      </c>
      <c r="U41">
        <v>-0.16552729999999999</v>
      </c>
      <c r="V41">
        <v>0.1047164</v>
      </c>
      <c r="W41">
        <v>3.4651790000000002E-2</v>
      </c>
      <c r="X41">
        <v>0.99389830000000001</v>
      </c>
      <c r="Y41">
        <v>6.3476790000000005E-2</v>
      </c>
      <c r="Z41" s="1">
        <v>8.921589E-5</v>
      </c>
      <c r="AA41">
        <v>0.99798330000000002</v>
      </c>
      <c r="AB41">
        <v>3</v>
      </c>
      <c r="AC41">
        <v>2.9988100000000002</v>
      </c>
      <c r="AD41">
        <v>6.6741700000000001E-3</v>
      </c>
      <c r="AE41">
        <v>-0.16552729999999999</v>
      </c>
      <c r="AF41">
        <v>0.19064412695298699</v>
      </c>
      <c r="AG41">
        <v>6.6741700000000001E-3</v>
      </c>
      <c r="AH41">
        <v>2.9973031931343099</v>
      </c>
      <c r="AI41">
        <v>89.872675557912302</v>
      </c>
      <c r="AJ41">
        <v>86.360591986681698</v>
      </c>
      <c r="AK41">
        <v>3.0033674699010802</v>
      </c>
      <c r="AL41">
        <v>88.014201239325203</v>
      </c>
      <c r="AM41">
        <v>83.985547590216498</v>
      </c>
      <c r="AN41">
        <v>1.0000000508610201</v>
      </c>
    </row>
    <row r="42" spans="1:40" x14ac:dyDescent="0.25">
      <c r="A42" t="str">
        <f>"20190312161222182"</f>
        <v>20190312161222182</v>
      </c>
      <c r="B42" t="str">
        <f>"1552378342175424"</f>
        <v>1552378342175424</v>
      </c>
      <c r="C42" t="s">
        <v>40</v>
      </c>
      <c r="D42">
        <v>6.0526179999999998</v>
      </c>
      <c r="E42">
        <v>0.4946892</v>
      </c>
      <c r="F42" t="s">
        <v>44</v>
      </c>
      <c r="G42">
        <v>0</v>
      </c>
      <c r="H42">
        <v>0</v>
      </c>
      <c r="I42">
        <v>0</v>
      </c>
      <c r="J42">
        <v>-475.80939999999998</v>
      </c>
      <c r="K42">
        <v>1.1099509999999999</v>
      </c>
      <c r="L42">
        <v>367.23320000000001</v>
      </c>
      <c r="M42">
        <v>0.99993149999999997</v>
      </c>
      <c r="N42">
        <v>0</v>
      </c>
      <c r="O42">
        <v>8.6470450000000008E-3</v>
      </c>
      <c r="P42">
        <v>0.9949713</v>
      </c>
      <c r="Q42">
        <v>2.5870069999999998E-2</v>
      </c>
      <c r="R42">
        <v>-9.6763580000000002E-2</v>
      </c>
      <c r="S42">
        <v>2.9928590000000002</v>
      </c>
      <c r="T42">
        <v>3.9149049999999998E-2</v>
      </c>
      <c r="U42">
        <v>-0.21881100000000001</v>
      </c>
      <c r="V42">
        <v>0.1053579</v>
      </c>
      <c r="W42">
        <v>3.3743000000000002E-2</v>
      </c>
      <c r="X42">
        <v>0.99386169999999996</v>
      </c>
      <c r="Y42">
        <v>8.1530329999999998E-2</v>
      </c>
      <c r="Z42">
        <v>6.4547469999999996E-4</v>
      </c>
      <c r="AA42">
        <v>0.99667070000000002</v>
      </c>
      <c r="AB42">
        <v>4</v>
      </c>
      <c r="AC42">
        <v>2.9928590000000002</v>
      </c>
      <c r="AD42">
        <v>3.9149049999999998E-2</v>
      </c>
      <c r="AE42">
        <v>-0.21881100000000001</v>
      </c>
      <c r="AF42">
        <v>0.244641373086256</v>
      </c>
      <c r="AG42">
        <v>3.9149049999999998E-2</v>
      </c>
      <c r="AH42">
        <v>2.9903460221734401</v>
      </c>
      <c r="AI42">
        <v>89.2524344858722</v>
      </c>
      <c r="AJ42">
        <v>85.323025634286196</v>
      </c>
      <c r="AK42">
        <v>3.0005918385995001</v>
      </c>
      <c r="AL42">
        <v>88.066301402435997</v>
      </c>
      <c r="AM42">
        <v>83.948753986361893</v>
      </c>
      <c r="AN42">
        <v>0.99999997793414896</v>
      </c>
    </row>
    <row r="43" spans="1:40" x14ac:dyDescent="0.25">
      <c r="A43" t="str">
        <f>"20190312161222204"</f>
        <v>20190312161222204</v>
      </c>
      <c r="B43" t="str">
        <f>"1552378342195920"</f>
        <v>1552378342195920</v>
      </c>
      <c r="C43" t="s">
        <v>40</v>
      </c>
      <c r="D43">
        <v>6.0424490000000004</v>
      </c>
      <c r="E43">
        <v>0.4960965</v>
      </c>
      <c r="F43" t="s">
        <v>45</v>
      </c>
      <c r="G43">
        <v>-168.98400000000001</v>
      </c>
      <c r="H43">
        <v>5.9564370000000002</v>
      </c>
      <c r="I43">
        <v>341.9384</v>
      </c>
      <c r="J43">
        <v>-475.78210000000001</v>
      </c>
      <c r="K43">
        <v>1.110401</v>
      </c>
      <c r="L43">
        <v>367.23379999999997</v>
      </c>
      <c r="M43">
        <v>0.99991430000000003</v>
      </c>
      <c r="N43">
        <v>0</v>
      </c>
      <c r="O43">
        <v>8.8687149999999992E-3</v>
      </c>
      <c r="P43">
        <v>0.99497210000000003</v>
      </c>
      <c r="Q43">
        <v>2.4181169999999998E-2</v>
      </c>
      <c r="R43">
        <v>-9.7192269999999997E-2</v>
      </c>
      <c r="S43">
        <v>2.9899290000000001</v>
      </c>
      <c r="T43">
        <v>4.7227739999999997E-2</v>
      </c>
      <c r="U43">
        <v>-0.2464905</v>
      </c>
      <c r="V43">
        <v>0.1060121</v>
      </c>
      <c r="W43">
        <v>3.3772070000000001E-2</v>
      </c>
      <c r="X43">
        <v>0.99379119999999999</v>
      </c>
      <c r="Y43">
        <v>9.0985040000000003E-2</v>
      </c>
      <c r="Z43">
        <v>8.5717940000000004E-4</v>
      </c>
      <c r="AA43">
        <v>0.99585190000000001</v>
      </c>
      <c r="AB43">
        <v>4</v>
      </c>
      <c r="AC43">
        <v>306.79809999999998</v>
      </c>
      <c r="AD43">
        <v>4.8460359999999998</v>
      </c>
      <c r="AE43">
        <v>-25.295399999999901</v>
      </c>
      <c r="AF43">
        <v>28.008495287479299</v>
      </c>
      <c r="AG43">
        <v>4.8460359999999998</v>
      </c>
      <c r="AH43">
        <v>306.48573366461699</v>
      </c>
      <c r="AI43">
        <v>89.0978948454283</v>
      </c>
      <c r="AJ43">
        <v>84.778473204114405</v>
      </c>
      <c r="AK43">
        <v>307.80101496441</v>
      </c>
      <c r="AL43">
        <v>88.064634972077499</v>
      </c>
      <c r="AM43">
        <v>83.911032602495794</v>
      </c>
      <c r="AN43">
        <v>1.00000003362796</v>
      </c>
    </row>
    <row r="44" spans="1:40" x14ac:dyDescent="0.25">
      <c r="A44" t="str">
        <f>"20190312161222227"</f>
        <v>20190312161222227</v>
      </c>
      <c r="B44" t="str">
        <f>"1552378342215440"</f>
        <v>1552378342215440</v>
      </c>
      <c r="C44" t="s">
        <v>40</v>
      </c>
      <c r="D44">
        <v>6.1257609999999998</v>
      </c>
      <c r="E44">
        <v>0.49711070000000002</v>
      </c>
      <c r="F44" t="s">
        <v>45</v>
      </c>
      <c r="G44">
        <v>-168.98400000000001</v>
      </c>
      <c r="H44">
        <v>6.1516570000000002</v>
      </c>
      <c r="I44">
        <v>340.589</v>
      </c>
      <c r="J44">
        <v>-475.75810000000001</v>
      </c>
      <c r="K44">
        <v>1.1108260000000001</v>
      </c>
      <c r="L44">
        <v>367.23430000000002</v>
      </c>
      <c r="M44">
        <v>0.99989070000000002</v>
      </c>
      <c r="N44">
        <v>0</v>
      </c>
      <c r="O44">
        <v>9.010555E-3</v>
      </c>
      <c r="P44">
        <v>0.99500339999999998</v>
      </c>
      <c r="Q44">
        <v>2.1982709999999999E-2</v>
      </c>
      <c r="R44">
        <v>-9.7394969999999997E-2</v>
      </c>
      <c r="S44">
        <v>2.9885860000000002</v>
      </c>
      <c r="T44">
        <v>4.9108029999999997E-2</v>
      </c>
      <c r="U44">
        <v>-0.259552</v>
      </c>
      <c r="V44">
        <v>0.1063625</v>
      </c>
      <c r="W44">
        <v>3.3629590000000001E-2</v>
      </c>
      <c r="X44">
        <v>0.99375860000000005</v>
      </c>
      <c r="Y44">
        <v>9.5481940000000001E-2</v>
      </c>
      <c r="Z44">
        <v>9.3074179999999996E-4</v>
      </c>
      <c r="AA44">
        <v>0.9954307</v>
      </c>
      <c r="AB44">
        <v>3</v>
      </c>
      <c r="AC44">
        <v>306.77409999999998</v>
      </c>
      <c r="AD44">
        <v>5.0408309999999998</v>
      </c>
      <c r="AE44">
        <v>-26.645299999999999</v>
      </c>
      <c r="AF44">
        <v>29.4007341630074</v>
      </c>
      <c r="AG44">
        <v>5.0408309999999998</v>
      </c>
      <c r="AH44">
        <v>306.43941936385602</v>
      </c>
      <c r="AI44">
        <v>89.061894641093005</v>
      </c>
      <c r="AJ44">
        <v>84.519642468740301</v>
      </c>
      <c r="AK44">
        <v>307.88785439921401</v>
      </c>
      <c r="AL44">
        <v>88.072803132139001</v>
      </c>
      <c r="AM44">
        <v>83.890859888011903</v>
      </c>
      <c r="AN44">
        <v>1.00000004290188</v>
      </c>
    </row>
    <row r="45" spans="1:40" x14ac:dyDescent="0.25">
      <c r="A45" t="str">
        <f>"20190312161222249"</f>
        <v>20190312161222249</v>
      </c>
      <c r="B45" t="str">
        <f>"1552378342245696"</f>
        <v>1552378342245696</v>
      </c>
      <c r="C45" t="s">
        <v>40</v>
      </c>
      <c r="D45">
        <v>5.8899889999999999</v>
      </c>
      <c r="E45">
        <v>0.49763980000000002</v>
      </c>
      <c r="F45" t="s">
        <v>45</v>
      </c>
      <c r="G45">
        <v>-168.40199999999999</v>
      </c>
      <c r="H45">
        <v>5.806508</v>
      </c>
      <c r="I45">
        <v>339.63639999999998</v>
      </c>
      <c r="J45">
        <v>-475.73020000000002</v>
      </c>
      <c r="K45">
        <v>1.110625</v>
      </c>
      <c r="L45">
        <v>367.23480000000001</v>
      </c>
      <c r="M45">
        <v>0.9998918</v>
      </c>
      <c r="N45">
        <v>0</v>
      </c>
      <c r="O45">
        <v>9.205642E-3</v>
      </c>
      <c r="P45">
        <v>0.9950561</v>
      </c>
      <c r="Q45">
        <v>2.1868060000000002E-2</v>
      </c>
      <c r="R45">
        <v>-9.6878900000000004E-2</v>
      </c>
      <c r="S45">
        <v>2.9878230000000001</v>
      </c>
      <c r="T45">
        <v>4.5647029999999998E-2</v>
      </c>
      <c r="U45">
        <v>-0.26828000000000002</v>
      </c>
      <c r="V45">
        <v>0.1060396</v>
      </c>
      <c r="W45">
        <v>3.3267860000000003E-2</v>
      </c>
      <c r="X45">
        <v>0.99380520000000006</v>
      </c>
      <c r="Y45">
        <v>9.8584430000000001E-2</v>
      </c>
      <c r="Z45">
        <v>8.9188829999999996E-4</v>
      </c>
      <c r="AA45">
        <v>0.99512829999999997</v>
      </c>
      <c r="AB45">
        <v>3</v>
      </c>
      <c r="AC45">
        <v>307.32819999999998</v>
      </c>
      <c r="AD45">
        <v>4.6958830000000003</v>
      </c>
      <c r="AE45">
        <v>-27.598400000000002</v>
      </c>
      <c r="AF45">
        <v>30.419524839435599</v>
      </c>
      <c r="AG45">
        <v>4.6958830000000003</v>
      </c>
      <c r="AH45">
        <v>306.98999884144899</v>
      </c>
      <c r="AI45">
        <v>89.127911786508193</v>
      </c>
      <c r="AJ45">
        <v>84.341055526889093</v>
      </c>
      <c r="AK45">
        <v>308.529185324953</v>
      </c>
      <c r="AL45">
        <v>88.093540182088802</v>
      </c>
      <c r="AM45">
        <v>83.909550122198794</v>
      </c>
      <c r="AN45">
        <v>0.99999996141208902</v>
      </c>
    </row>
    <row r="46" spans="1:40" x14ac:dyDescent="0.25">
      <c r="A46" t="str">
        <f>"20190312161222270"</f>
        <v>20190312161222270</v>
      </c>
      <c r="B46" t="str">
        <f>"1552378342265216"</f>
        <v>1552378342265216</v>
      </c>
      <c r="C46" t="s">
        <v>40</v>
      </c>
      <c r="D46">
        <v>6.0386259999999998</v>
      </c>
      <c r="E46">
        <v>0.49814449999999999</v>
      </c>
      <c r="F46" t="s">
        <v>45</v>
      </c>
      <c r="G46">
        <v>-168.40209999999999</v>
      </c>
      <c r="H46">
        <v>6.1028789999999997</v>
      </c>
      <c r="I46">
        <v>339.3372</v>
      </c>
      <c r="J46">
        <v>-475.69819999999999</v>
      </c>
      <c r="K46">
        <v>1.1101639999999999</v>
      </c>
      <c r="L46">
        <v>367.2353</v>
      </c>
      <c r="M46">
        <v>0.99990480000000004</v>
      </c>
      <c r="N46">
        <v>0</v>
      </c>
      <c r="O46">
        <v>9.5351440000000006E-3</v>
      </c>
      <c r="P46">
        <v>0.99510799999999999</v>
      </c>
      <c r="Q46">
        <v>2.266874E-2</v>
      </c>
      <c r="R46">
        <v>-9.6159350000000005E-2</v>
      </c>
      <c r="S46">
        <v>2.9873959999999999</v>
      </c>
      <c r="T46">
        <v>4.8527479999999998E-2</v>
      </c>
      <c r="U46">
        <v>-0.27117920000000001</v>
      </c>
      <c r="V46">
        <v>0.1056444</v>
      </c>
      <c r="W46">
        <v>3.2592549999999998E-2</v>
      </c>
      <c r="X46">
        <v>0.99386969999999997</v>
      </c>
      <c r="Y46">
        <v>9.988089E-2</v>
      </c>
      <c r="Z46">
        <v>9.641033E-4</v>
      </c>
      <c r="AA46">
        <v>0.99499890000000002</v>
      </c>
      <c r="AB46">
        <v>3</v>
      </c>
      <c r="AC46">
        <v>307.29610000000002</v>
      </c>
      <c r="AD46">
        <v>4.9927149999999996</v>
      </c>
      <c r="AE46">
        <v>-27.898099999999999</v>
      </c>
      <c r="AF46">
        <v>30.819021034461802</v>
      </c>
      <c r="AG46">
        <v>4.9927149999999996</v>
      </c>
      <c r="AH46">
        <v>306.93574273335298</v>
      </c>
      <c r="AI46">
        <v>89.072752374669804</v>
      </c>
      <c r="AJ46">
        <v>84.266222473825806</v>
      </c>
      <c r="AK46">
        <v>308.51951223199598</v>
      </c>
      <c r="AL46">
        <v>88.132253659887198</v>
      </c>
      <c r="AM46">
        <v>83.932469879515196</v>
      </c>
      <c r="AN46">
        <v>0.999999997072476</v>
      </c>
    </row>
    <row r="47" spans="1:40" x14ac:dyDescent="0.25">
      <c r="A47" t="str">
        <f>"20190312161222294"</f>
        <v>20190312161222294</v>
      </c>
      <c r="B47" t="str">
        <f>"1552378342285711"</f>
        <v>1552378342285711</v>
      </c>
      <c r="C47" t="s">
        <v>40</v>
      </c>
      <c r="D47">
        <v>6.0400769999999904</v>
      </c>
      <c r="E47">
        <v>0.4985212</v>
      </c>
      <c r="F47" t="s">
        <v>45</v>
      </c>
      <c r="G47">
        <v>-168.40219999999999</v>
      </c>
      <c r="H47">
        <v>6.3656879999999996</v>
      </c>
      <c r="I47">
        <v>339.1506</v>
      </c>
      <c r="J47">
        <v>-475.65899999999999</v>
      </c>
      <c r="K47">
        <v>1.109837</v>
      </c>
      <c r="L47">
        <v>367.23610000000002</v>
      </c>
      <c r="M47">
        <v>0.99991319999999995</v>
      </c>
      <c r="N47">
        <v>0</v>
      </c>
      <c r="O47">
        <v>1.0001799999999899E-2</v>
      </c>
      <c r="P47">
        <v>0.99517049999999996</v>
      </c>
      <c r="Q47">
        <v>2.3524239999999998E-2</v>
      </c>
      <c r="R47">
        <v>-9.5303460000000007E-2</v>
      </c>
      <c r="S47">
        <v>2.9872130000000001</v>
      </c>
      <c r="T47">
        <v>5.1088809999999998E-2</v>
      </c>
      <c r="U47">
        <v>-0.27301029999999998</v>
      </c>
      <c r="V47">
        <v>0.1052483</v>
      </c>
      <c r="W47">
        <v>3.2073549999999999E-2</v>
      </c>
      <c r="X47">
        <v>0.99392860000000005</v>
      </c>
      <c r="Y47">
        <v>0.10095369999999999</v>
      </c>
      <c r="Z47">
        <v>1.0321340000000001E-3</v>
      </c>
      <c r="AA47">
        <v>0.99489059999999996</v>
      </c>
      <c r="AB47">
        <v>3</v>
      </c>
      <c r="AC47">
        <v>307.2568</v>
      </c>
      <c r="AD47">
        <v>5.2558509999999998</v>
      </c>
      <c r="AE47">
        <v>-28.0855</v>
      </c>
      <c r="AF47">
        <v>31.1482905202298</v>
      </c>
      <c r="AG47">
        <v>5.2558509999999998</v>
      </c>
      <c r="AH47">
        <v>306.87146585055899</v>
      </c>
      <c r="AI47">
        <v>89.023794246153997</v>
      </c>
      <c r="AJ47">
        <v>84.204172185427794</v>
      </c>
      <c r="AK47">
        <v>308.49300887595098</v>
      </c>
      <c r="AL47">
        <v>88.162005711961498</v>
      </c>
      <c r="AM47">
        <v>83.955406112512506</v>
      </c>
      <c r="AN47">
        <v>0.99999998958022596</v>
      </c>
    </row>
    <row r="48" spans="1:40" x14ac:dyDescent="0.25">
      <c r="A48" t="str">
        <f>"20190312161222339"</f>
        <v>20190312161222339</v>
      </c>
      <c r="B48" t="str">
        <f>"1552378342335488"</f>
        <v>1552378342335488</v>
      </c>
      <c r="C48" t="s">
        <v>40</v>
      </c>
      <c r="D48">
        <v>6.0900759999999998</v>
      </c>
      <c r="E48">
        <v>0.4998108</v>
      </c>
      <c r="F48" t="s">
        <v>45</v>
      </c>
      <c r="G48">
        <v>-168.4023</v>
      </c>
      <c r="H48">
        <v>6.5882630000000004</v>
      </c>
      <c r="I48">
        <v>339.14150000000001</v>
      </c>
      <c r="J48">
        <v>-475.5958</v>
      </c>
      <c r="K48">
        <v>1.110341</v>
      </c>
      <c r="L48">
        <v>367.23750000000001</v>
      </c>
      <c r="M48">
        <v>0.99989280000000003</v>
      </c>
      <c r="N48">
        <v>0</v>
      </c>
      <c r="O48">
        <v>1.062505E-2</v>
      </c>
      <c r="P48">
        <v>0.99523660000000003</v>
      </c>
      <c r="Q48">
        <v>2.18748E-2</v>
      </c>
      <c r="R48">
        <v>-9.5004690000000003E-2</v>
      </c>
      <c r="S48">
        <v>2.9871219999999998</v>
      </c>
      <c r="T48">
        <v>5.3260799999999997E-2</v>
      </c>
      <c r="U48">
        <v>-0.27313229999999999</v>
      </c>
      <c r="V48">
        <v>0.1055715</v>
      </c>
      <c r="W48">
        <v>3.191198E-2</v>
      </c>
      <c r="X48">
        <v>0.99389950000000005</v>
      </c>
      <c r="Y48">
        <v>0.10161539999999999</v>
      </c>
      <c r="Z48">
        <v>1.0930180000000001E-3</v>
      </c>
      <c r="AA48">
        <v>0.99482320000000002</v>
      </c>
      <c r="AB48">
        <v>4</v>
      </c>
      <c r="AC48">
        <v>307.19349999999997</v>
      </c>
      <c r="AD48">
        <v>5.4779220000000004</v>
      </c>
      <c r="AE48">
        <v>-28.096</v>
      </c>
      <c r="AF48">
        <v>31.348640115096501</v>
      </c>
      <c r="AG48">
        <v>5.4779220000000004</v>
      </c>
      <c r="AH48">
        <v>306.78087870482</v>
      </c>
      <c r="AI48">
        <v>88.982325633724102</v>
      </c>
      <c r="AJ48">
        <v>84.165438479127104</v>
      </c>
      <c r="AK48">
        <v>308.42706172676401</v>
      </c>
      <c r="AL48">
        <v>88.171267689415998</v>
      </c>
      <c r="AM48">
        <v>83.936806026338601</v>
      </c>
      <c r="AN48">
        <v>0.99999996609000896</v>
      </c>
    </row>
    <row r="49" spans="1:40" x14ac:dyDescent="0.25">
      <c r="A49" t="str">
        <f>"20190312161222360"</f>
        <v>20190312161222360</v>
      </c>
      <c r="B49" t="str">
        <f>"1552378342355984"</f>
        <v>1552378342355984</v>
      </c>
      <c r="C49" t="s">
        <v>40</v>
      </c>
      <c r="D49">
        <v>6.0876890000000001</v>
      </c>
      <c r="E49">
        <v>0.50016890000000003</v>
      </c>
      <c r="F49" t="s">
        <v>46</v>
      </c>
      <c r="G49">
        <v>-265.90940000000001</v>
      </c>
      <c r="H49">
        <v>4.3983990000000004</v>
      </c>
      <c r="I49">
        <v>347.37799999999999</v>
      </c>
      <c r="J49">
        <v>-475.5668</v>
      </c>
      <c r="K49">
        <v>1.110465</v>
      </c>
      <c r="L49">
        <v>367.23809999999997</v>
      </c>
      <c r="M49">
        <v>0.99988350000000004</v>
      </c>
      <c r="N49">
        <v>0</v>
      </c>
      <c r="O49">
        <v>1.085858E-2</v>
      </c>
      <c r="P49">
        <v>0.99529100000000004</v>
      </c>
      <c r="Q49">
        <v>2.1458120000000001E-2</v>
      </c>
      <c r="R49">
        <v>-9.452866E-2</v>
      </c>
      <c r="S49">
        <v>2.9863279999999999</v>
      </c>
      <c r="T49">
        <v>4.6829219999999998E-2</v>
      </c>
      <c r="U49">
        <v>-0.2828369</v>
      </c>
      <c r="V49">
        <v>0.1053297</v>
      </c>
      <c r="W49">
        <v>3.213121E-2</v>
      </c>
      <c r="X49">
        <v>0.99391810000000003</v>
      </c>
      <c r="Y49">
        <v>0.1050798</v>
      </c>
      <c r="Z49">
        <v>9.9191350000000004E-4</v>
      </c>
      <c r="AA49">
        <v>0.99446330000000005</v>
      </c>
      <c r="AB49">
        <v>3</v>
      </c>
      <c r="AC49">
        <v>209.6574</v>
      </c>
      <c r="AD49">
        <v>3.2879339999999901</v>
      </c>
      <c r="AE49">
        <v>-19.8600999999999</v>
      </c>
      <c r="AF49">
        <v>22.130247377086</v>
      </c>
      <c r="AG49">
        <v>3.2879339999999901</v>
      </c>
      <c r="AH49">
        <v>209.37833694169001</v>
      </c>
      <c r="AI49">
        <v>89.105322983367799</v>
      </c>
      <c r="AJ49">
        <v>83.966522470199095</v>
      </c>
      <c r="AK49">
        <v>210.570288358608</v>
      </c>
      <c r="AL49">
        <v>88.158700306661302</v>
      </c>
      <c r="AM49">
        <v>83.950702386683105</v>
      </c>
      <c r="AN49">
        <v>0.99999997493288095</v>
      </c>
    </row>
    <row r="50" spans="1:40" x14ac:dyDescent="0.25">
      <c r="A50" t="str">
        <f>"20190312161222383"</f>
        <v>20190312161222383</v>
      </c>
      <c r="B50" t="str">
        <f>"1552378342375506"</f>
        <v>1552378342375506</v>
      </c>
      <c r="C50" t="s">
        <v>40</v>
      </c>
      <c r="D50">
        <v>6.0349329999999997</v>
      </c>
      <c r="E50">
        <v>0.50043890000000002</v>
      </c>
      <c r="F50" t="s">
        <v>46</v>
      </c>
      <c r="G50">
        <v>-265.75229999999999</v>
      </c>
      <c r="H50">
        <v>4.3215830000000004</v>
      </c>
      <c r="I50">
        <v>347.27370000000002</v>
      </c>
      <c r="J50">
        <v>-475.53120000000001</v>
      </c>
      <c r="K50">
        <v>1.1101259999999999</v>
      </c>
      <c r="L50">
        <v>367.2389</v>
      </c>
      <c r="M50">
        <v>0.99989050000000002</v>
      </c>
      <c r="N50">
        <v>0</v>
      </c>
      <c r="O50">
        <v>1.1222360000000001E-2</v>
      </c>
      <c r="P50">
        <v>0.99529699999999999</v>
      </c>
      <c r="Q50">
        <v>2.2393529999999998E-2</v>
      </c>
      <c r="R50">
        <v>-9.424631E-2</v>
      </c>
      <c r="S50">
        <v>2.986237</v>
      </c>
      <c r="T50">
        <v>4.5704130000000003E-2</v>
      </c>
      <c r="U50">
        <v>-0.28414919999999999</v>
      </c>
      <c r="V50">
        <v>0.1054073</v>
      </c>
      <c r="W50">
        <v>3.1984899999999997E-2</v>
      </c>
      <c r="X50">
        <v>0.99391459999999998</v>
      </c>
      <c r="Y50">
        <v>0.105878</v>
      </c>
      <c r="Z50">
        <v>9.7974270000000005E-4</v>
      </c>
      <c r="AA50">
        <v>0.9943786</v>
      </c>
      <c r="AB50">
        <v>3</v>
      </c>
      <c r="AC50">
        <v>209.77889999999999</v>
      </c>
      <c r="AD50">
        <v>3.2114569999999998</v>
      </c>
      <c r="AE50">
        <v>-19.9651999999999</v>
      </c>
      <c r="AF50">
        <v>22.313084171596898</v>
      </c>
      <c r="AG50">
        <v>3.2114569999999998</v>
      </c>
      <c r="AH50">
        <v>209.492965616265</v>
      </c>
      <c r="AI50">
        <v>89.126682557498199</v>
      </c>
      <c r="AJ50">
        <v>83.920350485288694</v>
      </c>
      <c r="AK50">
        <v>210.70237261124799</v>
      </c>
      <c r="AL50">
        <v>88.167087577063299</v>
      </c>
      <c r="AM50">
        <v>83.946257584707396</v>
      </c>
      <c r="AN50">
        <v>0.99999998240722898</v>
      </c>
    </row>
    <row r="51" spans="1:40" x14ac:dyDescent="0.25">
      <c r="A51" t="str">
        <f>"20190312161222404"</f>
        <v>20190312161222404</v>
      </c>
      <c r="B51" t="str">
        <f>"1552378342395999"</f>
        <v>1552378342395999</v>
      </c>
      <c r="C51" t="s">
        <v>40</v>
      </c>
      <c r="D51">
        <v>5.915108</v>
      </c>
      <c r="E51">
        <v>0.50054509999999997</v>
      </c>
      <c r="F51" t="s">
        <v>47</v>
      </c>
      <c r="G51">
        <v>-270.9529</v>
      </c>
      <c r="H51">
        <v>4.45852</v>
      </c>
      <c r="I51">
        <v>347.67509999999999</v>
      </c>
      <c r="J51">
        <v>-475.49169999999998</v>
      </c>
      <c r="K51">
        <v>1.109758</v>
      </c>
      <c r="L51">
        <v>367.23970000000003</v>
      </c>
      <c r="M51">
        <v>0.99989899999999998</v>
      </c>
      <c r="N51">
        <v>0</v>
      </c>
      <c r="O51">
        <v>1.1693189999999999E-2</v>
      </c>
      <c r="P51">
        <v>0.99525450000000004</v>
      </c>
      <c r="Q51">
        <v>2.335746E-2</v>
      </c>
      <c r="R51">
        <v>-9.4463060000000001E-2</v>
      </c>
      <c r="S51">
        <v>2.9860229999999999</v>
      </c>
      <c r="T51">
        <v>4.8874140000000003E-2</v>
      </c>
      <c r="U51">
        <v>-0.285553</v>
      </c>
      <c r="V51">
        <v>0.1060889</v>
      </c>
      <c r="W51">
        <v>3.1423470000000002E-2</v>
      </c>
      <c r="X51">
        <v>0.99385999999999997</v>
      </c>
      <c r="Y51">
        <v>0.1068138</v>
      </c>
      <c r="Z51">
        <v>1.063069E-3</v>
      </c>
      <c r="AA51">
        <v>0.99427849999999995</v>
      </c>
      <c r="AB51">
        <v>3</v>
      </c>
      <c r="AC51">
        <v>204.53880000000001</v>
      </c>
      <c r="AD51">
        <v>3.3487619999999998</v>
      </c>
      <c r="AE51">
        <v>-19.564599999999999</v>
      </c>
      <c r="AF51">
        <v>21.9492212566314</v>
      </c>
      <c r="AG51">
        <v>3.3487619999999998</v>
      </c>
      <c r="AH51">
        <v>204.24178437325301</v>
      </c>
      <c r="AI51">
        <v>89.066035515992198</v>
      </c>
      <c r="AJ51">
        <v>83.866144308524795</v>
      </c>
      <c r="AK51">
        <v>205.44509973390899</v>
      </c>
      <c r="AL51">
        <v>88.199271348022293</v>
      </c>
      <c r="AM51">
        <v>83.907073289080799</v>
      </c>
      <c r="AN51">
        <v>0.99999999438502496</v>
      </c>
    </row>
    <row r="52" spans="1:40" x14ac:dyDescent="0.25">
      <c r="A52" t="str">
        <f>"20190312161222450"</f>
        <v>20190312161222450</v>
      </c>
      <c r="B52" t="str">
        <f>"1552378342445777"</f>
        <v>1552378342445777</v>
      </c>
      <c r="C52" t="s">
        <v>40</v>
      </c>
      <c r="D52">
        <v>6.0846530000000003</v>
      </c>
      <c r="E52">
        <v>0.50022239999999996</v>
      </c>
      <c r="F52" t="s">
        <v>47</v>
      </c>
      <c r="G52">
        <v>-271.76249999999999</v>
      </c>
      <c r="H52">
        <v>4.6302789999999998</v>
      </c>
      <c r="I52">
        <v>347.66480000000001</v>
      </c>
      <c r="J52">
        <v>-475.41800000000001</v>
      </c>
      <c r="K52">
        <v>1.1101890000000001</v>
      </c>
      <c r="L52">
        <v>367.24149999999997</v>
      </c>
      <c r="M52">
        <v>0.9998802</v>
      </c>
      <c r="N52">
        <v>0</v>
      </c>
      <c r="O52">
        <v>1.242293E-2</v>
      </c>
      <c r="P52">
        <v>0.99527639999999995</v>
      </c>
      <c r="Q52">
        <v>2.214464E-2</v>
      </c>
      <c r="R52">
        <v>-9.4525929999999994E-2</v>
      </c>
      <c r="S52">
        <v>2.9859010000000001</v>
      </c>
      <c r="T52">
        <v>5.1598669999999999E-2</v>
      </c>
      <c r="U52">
        <v>-0.28689579999999998</v>
      </c>
      <c r="V52">
        <v>0.1068804</v>
      </c>
      <c r="W52">
        <v>3.1338159999999997E-2</v>
      </c>
      <c r="X52">
        <v>0.99377789999999999</v>
      </c>
      <c r="Y52">
        <v>0.10798430000000001</v>
      </c>
      <c r="Z52">
        <v>1.1450189999999999E-3</v>
      </c>
      <c r="AA52">
        <v>0.99415189999999998</v>
      </c>
      <c r="AB52">
        <v>4</v>
      </c>
      <c r="AC52">
        <v>203.65549999999999</v>
      </c>
      <c r="AD52">
        <v>3.5200900000000002</v>
      </c>
      <c r="AE52">
        <v>-19.576699999999899</v>
      </c>
      <c r="AF52">
        <v>22.098753394601498</v>
      </c>
      <c r="AG52">
        <v>3.5200900000000002</v>
      </c>
      <c r="AH52">
        <v>203.33638113716401</v>
      </c>
      <c r="AI52">
        <v>89.014018811030695</v>
      </c>
      <c r="AJ52">
        <v>83.797395128546199</v>
      </c>
      <c r="AK52">
        <v>204.56399934778699</v>
      </c>
      <c r="AL52">
        <v>88.204161682770206</v>
      </c>
      <c r="AM52">
        <v>83.861458161195301</v>
      </c>
      <c r="AN52">
        <v>1.00000000735237</v>
      </c>
    </row>
    <row r="53" spans="1:40" x14ac:dyDescent="0.25">
      <c r="A53" t="str">
        <f>"20190312161222472"</f>
        <v>20190312161222472</v>
      </c>
      <c r="B53" t="str">
        <f>"1552378342465297"</f>
        <v>1552378342465297</v>
      </c>
      <c r="C53" t="s">
        <v>40</v>
      </c>
      <c r="D53">
        <v>5.9447760000000001</v>
      </c>
      <c r="E53">
        <v>0.49785639999999998</v>
      </c>
      <c r="F53" t="s">
        <v>48</v>
      </c>
      <c r="G53">
        <v>-266.43189999999998</v>
      </c>
      <c r="H53">
        <v>4.0643570000000002</v>
      </c>
      <c r="I53">
        <v>347.3537</v>
      </c>
      <c r="J53">
        <v>-475.38900000000001</v>
      </c>
      <c r="K53">
        <v>1.110663</v>
      </c>
      <c r="L53">
        <v>367.24220000000003</v>
      </c>
      <c r="M53">
        <v>0.99985690000000005</v>
      </c>
      <c r="N53">
        <v>0</v>
      </c>
      <c r="O53">
        <v>1.26222E-2</v>
      </c>
      <c r="P53">
        <v>0.99532529999999997</v>
      </c>
      <c r="Q53">
        <v>1.9967249999999999E-2</v>
      </c>
      <c r="R53">
        <v>-9.4494049999999996E-2</v>
      </c>
      <c r="S53">
        <v>2.986237</v>
      </c>
      <c r="T53">
        <v>4.2213680000000003E-2</v>
      </c>
      <c r="U53">
        <v>-0.28417969999999998</v>
      </c>
      <c r="V53">
        <v>0.1070526</v>
      </c>
      <c r="W53">
        <v>3.115561E-2</v>
      </c>
      <c r="X53">
        <v>0.99376509999999996</v>
      </c>
      <c r="Y53">
        <v>0.107282</v>
      </c>
      <c r="Z53">
        <v>9.3457860000000002E-4</v>
      </c>
      <c r="AA53">
        <v>0.99422820000000001</v>
      </c>
      <c r="AB53">
        <v>3</v>
      </c>
      <c r="AC53">
        <v>208.9571</v>
      </c>
      <c r="AD53">
        <v>2.953694</v>
      </c>
      <c r="AE53">
        <v>-19.888500000000001</v>
      </c>
      <c r="AF53">
        <v>22.520121695694201</v>
      </c>
      <c r="AG53">
        <v>2.953694</v>
      </c>
      <c r="AH53">
        <v>208.64808351927701</v>
      </c>
      <c r="AI53">
        <v>89.193638113890799</v>
      </c>
      <c r="AJ53">
        <v>83.839712799620102</v>
      </c>
      <c r="AK53">
        <v>209.88068740525301</v>
      </c>
      <c r="AL53">
        <v>88.214626128577606</v>
      </c>
      <c r="AM53">
        <v>83.851565173460301</v>
      </c>
      <c r="AN53">
        <v>1.0000000025896201</v>
      </c>
    </row>
    <row r="54" spans="1:40" x14ac:dyDescent="0.25">
      <c r="A54" t="str">
        <f>"20190312161222495"</f>
        <v>20190312161222495</v>
      </c>
      <c r="B54" t="str">
        <f>"1552378342485792"</f>
        <v>1552378342485792</v>
      </c>
      <c r="C54" t="s">
        <v>40</v>
      </c>
      <c r="D54">
        <v>5.9415239999999896</v>
      </c>
      <c r="E54">
        <v>0.49579279999999998</v>
      </c>
      <c r="F54" t="s">
        <v>49</v>
      </c>
      <c r="G54">
        <v>-243.84719999999999</v>
      </c>
      <c r="H54">
        <v>4.1242749999999999</v>
      </c>
      <c r="I54">
        <v>346.65949999999998</v>
      </c>
      <c r="J54">
        <v>-475.35919999999999</v>
      </c>
      <c r="K54">
        <v>1.1108769999999999</v>
      </c>
      <c r="L54">
        <v>367.24279999999999</v>
      </c>
      <c r="M54">
        <v>0.99983889999999997</v>
      </c>
      <c r="N54">
        <v>0</v>
      </c>
      <c r="O54">
        <v>1.279491E-2</v>
      </c>
      <c r="P54">
        <v>0.99528220000000001</v>
      </c>
      <c r="Q54">
        <v>1.8145029999999999E-2</v>
      </c>
      <c r="R54">
        <v>-9.5312250000000001E-2</v>
      </c>
      <c r="S54">
        <v>2.9880979999999999</v>
      </c>
      <c r="T54">
        <v>3.889132E-2</v>
      </c>
      <c r="U54">
        <v>-0.265625</v>
      </c>
      <c r="V54">
        <v>0.10804510000000001</v>
      </c>
      <c r="W54">
        <v>3.0640879999999999E-2</v>
      </c>
      <c r="X54">
        <v>0.99367369999999999</v>
      </c>
      <c r="Y54">
        <v>0.101274</v>
      </c>
      <c r="Z54">
        <v>8.2396640000000001E-4</v>
      </c>
      <c r="AA54">
        <v>0.99485820000000003</v>
      </c>
      <c r="AB54">
        <v>3</v>
      </c>
      <c r="AC54">
        <v>231.512</v>
      </c>
      <c r="AD54">
        <v>3.013398</v>
      </c>
      <c r="AE54">
        <v>-20.583300000000001</v>
      </c>
      <c r="AF54">
        <v>23.540067859827101</v>
      </c>
      <c r="AG54">
        <v>3.013398</v>
      </c>
      <c r="AH54">
        <v>231.19080221996799</v>
      </c>
      <c r="AI54">
        <v>89.257075722583295</v>
      </c>
      <c r="AJ54">
        <v>84.1861256598403</v>
      </c>
      <c r="AK54">
        <v>232.40568494222401</v>
      </c>
      <c r="AL54">
        <v>88.244132094589702</v>
      </c>
      <c r="AM54">
        <v>83.794438498587496</v>
      </c>
      <c r="AN54">
        <v>1.0000000146164301</v>
      </c>
    </row>
    <row r="55" spans="1:40" x14ac:dyDescent="0.25">
      <c r="A55" t="str">
        <f>"20190312161222518"</f>
        <v>20190312161222518</v>
      </c>
      <c r="B55" t="str">
        <f>"1552378342505314"</f>
        <v>1552378342505314</v>
      </c>
      <c r="C55" t="s">
        <v>40</v>
      </c>
      <c r="D55">
        <v>5.9521800000000002</v>
      </c>
      <c r="E55">
        <v>0.49404439999999999</v>
      </c>
      <c r="F55" t="s">
        <v>50</v>
      </c>
      <c r="G55">
        <v>-239.03</v>
      </c>
      <c r="H55">
        <v>4.0639770000000004</v>
      </c>
      <c r="I55">
        <v>347.3537</v>
      </c>
      <c r="J55">
        <v>-475.32499999999999</v>
      </c>
      <c r="K55">
        <v>1.1105149999999999</v>
      </c>
      <c r="L55">
        <v>367.24360000000001</v>
      </c>
      <c r="M55">
        <v>0.99984669999999998</v>
      </c>
      <c r="N55">
        <v>0</v>
      </c>
      <c r="O55">
        <v>1.305945E-2</v>
      </c>
      <c r="P55">
        <v>0.99518329999999999</v>
      </c>
      <c r="Q55">
        <v>1.869264E-2</v>
      </c>
      <c r="R55">
        <v>-9.6232979999999996E-2</v>
      </c>
      <c r="S55">
        <v>2.9894409999999998</v>
      </c>
      <c r="T55">
        <v>3.7356140000000003E-2</v>
      </c>
      <c r="U55">
        <v>-0.2515869</v>
      </c>
      <c r="V55">
        <v>0.1092248</v>
      </c>
      <c r="W55">
        <v>3.0269600000000001E-2</v>
      </c>
      <c r="X55">
        <v>0.99355610000000005</v>
      </c>
      <c r="Y55">
        <v>9.6860730000000006E-2</v>
      </c>
      <c r="Z55">
        <v>7.6702300000000003E-4</v>
      </c>
      <c r="AA55">
        <v>0.99529769999999895</v>
      </c>
      <c r="AB55">
        <v>3</v>
      </c>
      <c r="AC55">
        <v>236.29499999999999</v>
      </c>
      <c r="AD55">
        <v>2.953462</v>
      </c>
      <c r="AE55">
        <v>-19.889900000000001</v>
      </c>
      <c r="AF55">
        <v>22.970732853068601</v>
      </c>
      <c r="AG55">
        <v>2.953462</v>
      </c>
      <c r="AH55">
        <v>235.978470971999</v>
      </c>
      <c r="AI55">
        <v>89.286307274628896</v>
      </c>
      <c r="AJ55">
        <v>84.440202516376502</v>
      </c>
      <c r="AK55">
        <v>237.11224402774999</v>
      </c>
      <c r="AL55">
        <v>88.265414743969998</v>
      </c>
      <c r="AM55">
        <v>83.726483221317906</v>
      </c>
      <c r="AN55">
        <v>1.0000000147332</v>
      </c>
    </row>
    <row r="56" spans="1:40" x14ac:dyDescent="0.25">
      <c r="A56" t="str">
        <f>"20190312161222541"</f>
        <v>20190312161222541</v>
      </c>
      <c r="B56" t="str">
        <f>"1552378342535568"</f>
        <v>1552378342535568</v>
      </c>
      <c r="C56" t="s">
        <v>40</v>
      </c>
      <c r="D56">
        <v>5.893669</v>
      </c>
      <c r="E56">
        <v>0.49194539999999998</v>
      </c>
      <c r="F56" t="s">
        <v>51</v>
      </c>
      <c r="G56">
        <v>-232.13730000000001</v>
      </c>
      <c r="H56">
        <v>4.6091889999999998</v>
      </c>
      <c r="I56">
        <v>347.67509999999999</v>
      </c>
      <c r="J56">
        <v>-475.28379999999999</v>
      </c>
      <c r="K56">
        <v>1.1100449999999999</v>
      </c>
      <c r="L56">
        <v>367.24439999999998</v>
      </c>
      <c r="M56">
        <v>0.99985950000000001</v>
      </c>
      <c r="N56">
        <v>0</v>
      </c>
      <c r="O56">
        <v>1.3475839999999999E-2</v>
      </c>
      <c r="P56">
        <v>0.9951911</v>
      </c>
      <c r="Q56">
        <v>2.0313729999999999E-2</v>
      </c>
      <c r="R56">
        <v>-9.5822379999999999E-2</v>
      </c>
      <c r="S56">
        <v>2.9904480000000002</v>
      </c>
      <c r="T56">
        <v>4.302371E-2</v>
      </c>
      <c r="U56">
        <v>-0.24063109999999999</v>
      </c>
      <c r="V56">
        <v>0.109224</v>
      </c>
      <c r="W56">
        <v>3.0225740000000001E-2</v>
      </c>
      <c r="X56">
        <v>0.99355749999999998</v>
      </c>
      <c r="Y56">
        <v>9.3622140000000006E-2</v>
      </c>
      <c r="Z56">
        <v>8.6593779999999995E-4</v>
      </c>
      <c r="AA56">
        <v>0.99560740000000003</v>
      </c>
      <c r="AB56">
        <v>3</v>
      </c>
      <c r="AC56">
        <v>243.1465</v>
      </c>
      <c r="AD56">
        <v>3.4991439999999998</v>
      </c>
      <c r="AE56">
        <v>-19.569299999999998</v>
      </c>
      <c r="AF56">
        <v>22.839589310065499</v>
      </c>
      <c r="AG56">
        <v>3.4991439999999998</v>
      </c>
      <c r="AH56">
        <v>242.81073012476699</v>
      </c>
      <c r="AI56">
        <v>89.177996011112796</v>
      </c>
      <c r="AJ56">
        <v>84.626378587375697</v>
      </c>
      <c r="AK56">
        <v>243.907649556769</v>
      </c>
      <c r="AL56">
        <v>88.267928847249095</v>
      </c>
      <c r="AM56">
        <v>83.726537573670797</v>
      </c>
      <c r="AN56">
        <v>0.99999999167039799</v>
      </c>
    </row>
    <row r="57" spans="1:40" x14ac:dyDescent="0.25">
      <c r="A57" t="str">
        <f>"20190312161222562"</f>
        <v>20190312161222562</v>
      </c>
      <c r="B57" t="str">
        <f>"1552378342555088"</f>
        <v>1552378342555088</v>
      </c>
      <c r="C57" t="s">
        <v>40</v>
      </c>
      <c r="D57">
        <v>6.1026860000000003</v>
      </c>
      <c r="E57">
        <v>0.49132389999999998</v>
      </c>
      <c r="F57" t="s">
        <v>45</v>
      </c>
      <c r="G57">
        <v>-143.63220000000001</v>
      </c>
      <c r="H57">
        <v>6.8494119999999903</v>
      </c>
      <c r="I57">
        <v>342.5129</v>
      </c>
      <c r="J57">
        <v>-475.24669999999998</v>
      </c>
      <c r="K57">
        <v>1.109899</v>
      </c>
      <c r="L57">
        <v>367.24529999999999</v>
      </c>
      <c r="M57">
        <v>0.99986149999999996</v>
      </c>
      <c r="N57">
        <v>0</v>
      </c>
      <c r="O57">
        <v>1.3861760000000001E-2</v>
      </c>
      <c r="P57">
        <v>0.99525730000000001</v>
      </c>
      <c r="Q57">
        <v>2.0719919999999999E-2</v>
      </c>
      <c r="R57">
        <v>-9.5046480000000003E-2</v>
      </c>
      <c r="S57">
        <v>2.9919739999999999</v>
      </c>
      <c r="T57">
        <v>5.1777360000000001E-2</v>
      </c>
      <c r="U57">
        <v>-0.22311400000000001</v>
      </c>
      <c r="V57">
        <v>0.1088298</v>
      </c>
      <c r="W57">
        <v>2.9874000000000001E-2</v>
      </c>
      <c r="X57">
        <v>0.99361140000000003</v>
      </c>
      <c r="Y57">
        <v>8.816599E-2</v>
      </c>
      <c r="Z57">
        <v>1.001329E-3</v>
      </c>
      <c r="AA57">
        <v>0.99610529999999997</v>
      </c>
      <c r="AB57">
        <v>4</v>
      </c>
      <c r="AC57">
        <v>331.61450000000002</v>
      </c>
      <c r="AD57">
        <v>5.7395129999999899</v>
      </c>
      <c r="AE57">
        <v>-24.732399999999899</v>
      </c>
      <c r="AF57">
        <v>29.318245163963699</v>
      </c>
      <c r="AG57">
        <v>5.7395129999999899</v>
      </c>
      <c r="AH57">
        <v>331.14113929015798</v>
      </c>
      <c r="AI57">
        <v>89.010887126167205</v>
      </c>
      <c r="AJ57">
        <v>84.940396091253803</v>
      </c>
      <c r="AK57">
        <v>332.48602322406799</v>
      </c>
      <c r="AL57">
        <v>88.288091180669994</v>
      </c>
      <c r="AM57">
        <v>83.749335958243705</v>
      </c>
      <c r="AN57">
        <v>0.99999999772699999</v>
      </c>
    </row>
    <row r="58" spans="1:40" x14ac:dyDescent="0.25">
      <c r="A58" t="str">
        <f>"20190312161222585"</f>
        <v>20190312161222585</v>
      </c>
      <c r="B58" t="str">
        <f>"1552378342575585"</f>
        <v>1552378342575585</v>
      </c>
      <c r="C58" t="s">
        <v>40</v>
      </c>
      <c r="D58">
        <v>5.8228749999999998</v>
      </c>
      <c r="E58">
        <v>0.49013220000000002</v>
      </c>
      <c r="F58" t="s">
        <v>45</v>
      </c>
      <c r="G58">
        <v>-143.2739</v>
      </c>
      <c r="H58">
        <v>7.1365360000000004</v>
      </c>
      <c r="I58">
        <v>343.28680000000003</v>
      </c>
      <c r="J58">
        <v>-475.21140000000003</v>
      </c>
      <c r="K58">
        <v>1.1101859999999999</v>
      </c>
      <c r="L58">
        <v>367.24619999999999</v>
      </c>
      <c r="M58">
        <v>0.99984960000000001</v>
      </c>
      <c r="N58">
        <v>0</v>
      </c>
      <c r="O58">
        <v>1.417351E-2</v>
      </c>
      <c r="P58">
        <v>0.99532889999999996</v>
      </c>
      <c r="Q58">
        <v>1.9515060000000001E-2</v>
      </c>
      <c r="R58">
        <v>-9.4551769999999993E-2</v>
      </c>
      <c r="S58">
        <v>2.9925540000000002</v>
      </c>
      <c r="T58">
        <v>5.4326890000000003E-2</v>
      </c>
      <c r="U58">
        <v>-0.2159729</v>
      </c>
      <c r="V58">
        <v>0.1086466</v>
      </c>
      <c r="W58">
        <v>2.9471730000000002E-2</v>
      </c>
      <c r="X58">
        <v>0.99364350000000001</v>
      </c>
      <c r="Y58">
        <v>8.6096660000000005E-2</v>
      </c>
      <c r="Z58">
        <v>1.0374119999999999E-3</v>
      </c>
      <c r="AA58">
        <v>0.99628629999999996</v>
      </c>
      <c r="AB58">
        <v>4</v>
      </c>
      <c r="AC58">
        <v>331.9375</v>
      </c>
      <c r="AD58">
        <v>6.0263499999999999</v>
      </c>
      <c r="AE58">
        <v>-23.959399999999899</v>
      </c>
      <c r="AF58">
        <v>28.652552398967501</v>
      </c>
      <c r="AG58">
        <v>6.0263499999999999</v>
      </c>
      <c r="AH58">
        <v>331.45586420536898</v>
      </c>
      <c r="AI58">
        <v>88.962263363952204</v>
      </c>
      <c r="AJ58">
        <v>85.059374342080005</v>
      </c>
      <c r="AK58">
        <v>332.74656357267799</v>
      </c>
      <c r="AL58">
        <v>88.311149771974996</v>
      </c>
      <c r="AM58">
        <v>83.759975013326994</v>
      </c>
      <c r="AN58">
        <v>1.0000000358265</v>
      </c>
    </row>
    <row r="59" spans="1:40" x14ac:dyDescent="0.25">
      <c r="A59" t="str">
        <f>"20190312161222607"</f>
        <v>20190312161222607</v>
      </c>
      <c r="B59" t="str">
        <f>"1552378342595105"</f>
        <v>1552378342595105</v>
      </c>
      <c r="C59" t="s">
        <v>40</v>
      </c>
      <c r="D59">
        <v>5.9907089999999998</v>
      </c>
      <c r="E59">
        <v>0.48896840000000003</v>
      </c>
      <c r="F59" t="s">
        <v>44</v>
      </c>
      <c r="G59">
        <v>0</v>
      </c>
      <c r="H59">
        <v>0</v>
      </c>
      <c r="I59">
        <v>0</v>
      </c>
      <c r="J59">
        <v>-475.17989999999998</v>
      </c>
      <c r="K59">
        <v>1.1106560000000001</v>
      </c>
      <c r="L59">
        <v>367.24700000000001</v>
      </c>
      <c r="M59">
        <v>0.99982649999999995</v>
      </c>
      <c r="N59">
        <v>0</v>
      </c>
      <c r="O59">
        <v>1.4389030000000001E-2</v>
      </c>
      <c r="P59">
        <v>0.99540499999999998</v>
      </c>
      <c r="Q59">
        <v>1.7859469999999999E-2</v>
      </c>
      <c r="R59">
        <v>-9.4075220000000001E-2</v>
      </c>
      <c r="S59">
        <v>2.9935610000000001</v>
      </c>
      <c r="T59">
        <v>5.2785039999999998E-2</v>
      </c>
      <c r="U59">
        <v>-0.2050476</v>
      </c>
      <c r="V59">
        <v>0.10838929999999999</v>
      </c>
      <c r="W59">
        <v>2.962329E-2</v>
      </c>
      <c r="X59">
        <v>0.99366710000000003</v>
      </c>
      <c r="Y59">
        <v>8.2670439999999998E-2</v>
      </c>
      <c r="Z59">
        <v>9.8139470000000004E-4</v>
      </c>
      <c r="AA59">
        <v>0.99657640000000003</v>
      </c>
      <c r="AB59">
        <v>4</v>
      </c>
      <c r="AC59">
        <v>2.9935610000000001</v>
      </c>
      <c r="AD59">
        <v>5.2785039999999998E-2</v>
      </c>
      <c r="AE59">
        <v>-0.2050476</v>
      </c>
      <c r="AF59">
        <v>0.248027066042805</v>
      </c>
      <c r="AG59">
        <v>5.2785039999999998E-2</v>
      </c>
      <c r="AH59">
        <v>2.9893752889677998</v>
      </c>
      <c r="AI59">
        <v>88.991865405091303</v>
      </c>
      <c r="AJ59">
        <v>85.257059509499499</v>
      </c>
      <c r="AK59">
        <v>3.0001113819705001</v>
      </c>
      <c r="AL59">
        <v>88.302462242330606</v>
      </c>
      <c r="AM59">
        <v>83.774783345960103</v>
      </c>
      <c r="AN59">
        <v>1.0000000426436599</v>
      </c>
    </row>
    <row r="60" spans="1:40" x14ac:dyDescent="0.25">
      <c r="A60" t="str">
        <f>"20190312161222630"</f>
        <v>20190312161222630</v>
      </c>
      <c r="B60" t="str">
        <f>"1552378342625361"</f>
        <v>1552378342625361</v>
      </c>
      <c r="C60" t="s">
        <v>40</v>
      </c>
      <c r="D60">
        <v>6.167116</v>
      </c>
      <c r="E60">
        <v>0.48736740000000001</v>
      </c>
      <c r="F60" t="s">
        <v>44</v>
      </c>
      <c r="G60">
        <v>0</v>
      </c>
      <c r="H60">
        <v>0</v>
      </c>
      <c r="I60">
        <v>0</v>
      </c>
      <c r="J60">
        <v>-475.1454</v>
      </c>
      <c r="K60">
        <v>1.1104989999999999</v>
      </c>
      <c r="L60">
        <v>367.24779999999998</v>
      </c>
      <c r="M60">
        <v>0.99982629999999995</v>
      </c>
      <c r="N60">
        <v>0</v>
      </c>
      <c r="O60">
        <v>1.4654520000000001E-2</v>
      </c>
      <c r="P60">
        <v>0.99542260000000005</v>
      </c>
      <c r="Q60">
        <v>1.7480989999999998E-2</v>
      </c>
      <c r="R60">
        <v>-9.3959849999999998E-2</v>
      </c>
      <c r="S60">
        <v>2.9946290000000002</v>
      </c>
      <c r="T60">
        <v>5.0194379999999997E-2</v>
      </c>
      <c r="U60">
        <v>-0.19421389999999999</v>
      </c>
      <c r="V60">
        <v>0.1085373</v>
      </c>
      <c r="W60">
        <v>2.8930270000000001E-2</v>
      </c>
      <c r="X60">
        <v>0.99367130000000004</v>
      </c>
      <c r="Y60">
        <v>7.9322760000000006E-2</v>
      </c>
      <c r="Z60">
        <v>9.0943420000000005E-4</v>
      </c>
      <c r="AA60">
        <v>0.99684859999999997</v>
      </c>
      <c r="AB60">
        <v>3</v>
      </c>
      <c r="AC60">
        <v>2.9946290000000002</v>
      </c>
      <c r="AD60">
        <v>5.0194379999999997E-2</v>
      </c>
      <c r="AE60">
        <v>-0.19421389999999999</v>
      </c>
      <c r="AF60">
        <v>0.238014213408695</v>
      </c>
      <c r="AG60">
        <v>5.0194379999999997E-2</v>
      </c>
      <c r="AH60">
        <v>2.9906243968569401</v>
      </c>
      <c r="AI60">
        <v>89.041473220936894</v>
      </c>
      <c r="AJ60">
        <v>85.449603808476098</v>
      </c>
      <c r="AK60">
        <v>3.0005007123218701</v>
      </c>
      <c r="AL60">
        <v>88.342186285417796</v>
      </c>
      <c r="AM60">
        <v>83.766376148291798</v>
      </c>
      <c r="AN60">
        <v>0.99999997922862605</v>
      </c>
    </row>
    <row r="61" spans="1:40" x14ac:dyDescent="0.25">
      <c r="A61" t="str">
        <f>"20190312161222652"</f>
        <v>20190312161222652</v>
      </c>
      <c r="B61" t="str">
        <f>"1552378342645858"</f>
        <v>1552378342645858</v>
      </c>
      <c r="C61" t="s">
        <v>40</v>
      </c>
      <c r="D61">
        <v>5.870025</v>
      </c>
      <c r="E61">
        <v>0.4864309</v>
      </c>
      <c r="F61" t="s">
        <v>44</v>
      </c>
      <c r="G61">
        <v>0</v>
      </c>
      <c r="H61">
        <v>0</v>
      </c>
      <c r="I61">
        <v>0</v>
      </c>
      <c r="J61">
        <v>-475.10300000000001</v>
      </c>
      <c r="K61">
        <v>1.110023</v>
      </c>
      <c r="L61">
        <v>367.24880000000002</v>
      </c>
      <c r="M61">
        <v>0.99983820000000001</v>
      </c>
      <c r="N61">
        <v>0</v>
      </c>
      <c r="O61">
        <v>1.5067850000000001E-2</v>
      </c>
      <c r="P61">
        <v>0.99543700000000002</v>
      </c>
      <c r="Q61">
        <v>1.844749E-2</v>
      </c>
      <c r="R61">
        <v>-9.3621399999999994E-2</v>
      </c>
      <c r="S61">
        <v>2.9956969999999998</v>
      </c>
      <c r="T61">
        <v>5.2177550000000003E-2</v>
      </c>
      <c r="U61">
        <v>-0.18157960000000001</v>
      </c>
      <c r="V61">
        <v>0.1086078</v>
      </c>
      <c r="W61">
        <v>2.8224840000000001E-2</v>
      </c>
      <c r="X61">
        <v>0.99368389999999995</v>
      </c>
      <c r="Y61">
        <v>7.5522839999999994E-2</v>
      </c>
      <c r="Z61">
        <v>9.1927570000000002E-4</v>
      </c>
      <c r="AA61">
        <v>0.99714360000000002</v>
      </c>
      <c r="AB61">
        <v>4</v>
      </c>
      <c r="AC61">
        <v>2.9956969999999998</v>
      </c>
      <c r="AD61">
        <v>5.2177550000000003E-2</v>
      </c>
      <c r="AE61">
        <v>-0.18157960000000001</v>
      </c>
      <c r="AF61">
        <v>0.226631374494213</v>
      </c>
      <c r="AG61">
        <v>5.2177550000000003E-2</v>
      </c>
      <c r="AH61">
        <v>2.99171645736909</v>
      </c>
      <c r="AI61">
        <v>89.0036783498999</v>
      </c>
      <c r="AJ61">
        <v>85.667949021304395</v>
      </c>
      <c r="AK61">
        <v>3.00074184793064</v>
      </c>
      <c r="AL61">
        <v>88.382620987893802</v>
      </c>
      <c r="AM61">
        <v>83.762437498473204</v>
      </c>
      <c r="AN61">
        <v>0.99999999446653698</v>
      </c>
    </row>
    <row r="62" spans="1:40" x14ac:dyDescent="0.25">
      <c r="A62" t="str">
        <f>"20190312161222672"</f>
        <v>20190312161222672</v>
      </c>
      <c r="B62" t="str">
        <f>"1552378342665376"</f>
        <v>1552378342665376</v>
      </c>
      <c r="C62" t="s">
        <v>40</v>
      </c>
      <c r="D62">
        <v>5.9430069999999997</v>
      </c>
      <c r="E62">
        <v>0.48558639999999997</v>
      </c>
      <c r="F62" t="s">
        <v>44</v>
      </c>
      <c r="G62">
        <v>0</v>
      </c>
      <c r="H62">
        <v>0</v>
      </c>
      <c r="I62">
        <v>0</v>
      </c>
      <c r="J62">
        <v>-475.0652</v>
      </c>
      <c r="K62">
        <v>1.109769</v>
      </c>
      <c r="L62">
        <v>367.24979999999999</v>
      </c>
      <c r="M62">
        <v>0.99984289999999998</v>
      </c>
      <c r="N62">
        <v>0</v>
      </c>
      <c r="O62">
        <v>1.546146E-2</v>
      </c>
      <c r="P62">
        <v>0.99546489999999999</v>
      </c>
      <c r="Q62">
        <v>1.9455279999999998E-2</v>
      </c>
      <c r="R62">
        <v>-9.3118549999999994E-2</v>
      </c>
      <c r="S62">
        <v>2.9964599999999999</v>
      </c>
      <c r="T62">
        <v>5.6974650000000002E-2</v>
      </c>
      <c r="U62">
        <v>-0.17294309999999999</v>
      </c>
      <c r="V62">
        <v>0.1084951</v>
      </c>
      <c r="W62">
        <v>2.8086130000000001E-2</v>
      </c>
      <c r="X62">
        <v>0.99370009999999998</v>
      </c>
      <c r="Y62">
        <v>7.303345E-2</v>
      </c>
      <c r="Z62">
        <v>9.8743690000000005E-4</v>
      </c>
      <c r="AA62">
        <v>0.99732900000000002</v>
      </c>
      <c r="AB62">
        <v>4</v>
      </c>
      <c r="AC62">
        <v>2.9964599999999999</v>
      </c>
      <c r="AD62">
        <v>5.6974650000000002E-2</v>
      </c>
      <c r="AE62">
        <v>-0.17294309999999999</v>
      </c>
      <c r="AF62">
        <v>0.21917483667124801</v>
      </c>
      <c r="AG62">
        <v>5.6974650000000002E-2</v>
      </c>
      <c r="AH62">
        <v>2.9923494990164499</v>
      </c>
      <c r="AI62">
        <v>88.912127640075497</v>
      </c>
      <c r="AJ62">
        <v>85.810847535550096</v>
      </c>
      <c r="AK62">
        <v>3.0009064037447901</v>
      </c>
      <c r="AL62">
        <v>88.390571570885498</v>
      </c>
      <c r="AM62">
        <v>83.768959928059004</v>
      </c>
      <c r="AN62">
        <v>0.99999995308119705</v>
      </c>
    </row>
    <row r="63" spans="1:40" x14ac:dyDescent="0.25">
      <c r="A63" t="str">
        <f>"20190312161222696"</f>
        <v>20190312161222696</v>
      </c>
      <c r="B63" t="str">
        <f>"1552378342685873"</f>
        <v>1552378342685873</v>
      </c>
      <c r="C63" t="s">
        <v>40</v>
      </c>
      <c r="D63">
        <v>5.8723850000000004</v>
      </c>
      <c r="E63">
        <v>0.48540919999999999</v>
      </c>
      <c r="F63" t="s">
        <v>44</v>
      </c>
      <c r="G63">
        <v>0</v>
      </c>
      <c r="H63">
        <v>0</v>
      </c>
      <c r="I63">
        <v>0</v>
      </c>
      <c r="J63">
        <v>-475.02249999999998</v>
      </c>
      <c r="K63">
        <v>1.1099939999999999</v>
      </c>
      <c r="L63">
        <v>367.2509</v>
      </c>
      <c r="M63">
        <v>0.99983200000000005</v>
      </c>
      <c r="N63">
        <v>0</v>
      </c>
      <c r="O63">
        <v>1.5842869999999998E-2</v>
      </c>
      <c r="P63">
        <v>0.99554529999999997</v>
      </c>
      <c r="Q63">
        <v>1.9136219999999999E-2</v>
      </c>
      <c r="R63">
        <v>-9.2322899999999999E-2</v>
      </c>
      <c r="S63">
        <v>2.9971009999999998</v>
      </c>
      <c r="T63">
        <v>5.9385180000000003E-2</v>
      </c>
      <c r="U63">
        <v>-0.164550799999999</v>
      </c>
      <c r="V63">
        <v>0.1080808</v>
      </c>
      <c r="W63">
        <v>2.8310160000000001E-2</v>
      </c>
      <c r="X63">
        <v>0.99373889999999998</v>
      </c>
      <c r="Y63">
        <v>7.0616670000000006E-2</v>
      </c>
      <c r="Z63">
        <v>1.0126969999999999E-3</v>
      </c>
      <c r="AA63">
        <v>0.99750300000000003</v>
      </c>
      <c r="AB63">
        <v>4</v>
      </c>
      <c r="AC63">
        <v>2.9971009999999998</v>
      </c>
      <c r="AD63">
        <v>5.9385180000000003E-2</v>
      </c>
      <c r="AE63">
        <v>-0.164550799999999</v>
      </c>
      <c r="AF63">
        <v>0.21193189018674299</v>
      </c>
      <c r="AG63">
        <v>5.9385180000000003E-2</v>
      </c>
      <c r="AH63">
        <v>2.9929462380256102</v>
      </c>
      <c r="AI63">
        <v>88.866141100933703</v>
      </c>
      <c r="AJ63">
        <v>85.949620351528907</v>
      </c>
      <c r="AK63">
        <v>3.0010279754433098</v>
      </c>
      <c r="AL63">
        <v>88.377730506540203</v>
      </c>
      <c r="AM63">
        <v>83.792808183205594</v>
      </c>
      <c r="AN63">
        <v>0.99999996293053695</v>
      </c>
    </row>
    <row r="64" spans="1:40" x14ac:dyDescent="0.25">
      <c r="A64" t="str">
        <f>"20190312161222721"</f>
        <v>20190312161222721</v>
      </c>
      <c r="B64" t="str">
        <f>"1552378342715154"</f>
        <v>1552378342715154</v>
      </c>
      <c r="C64" t="s">
        <v>40</v>
      </c>
      <c r="D64">
        <v>5.9929269999999999</v>
      </c>
      <c r="E64">
        <v>0.4842573</v>
      </c>
      <c r="F64" t="s">
        <v>44</v>
      </c>
      <c r="G64">
        <v>0</v>
      </c>
      <c r="H64">
        <v>0</v>
      </c>
      <c r="I64">
        <v>0</v>
      </c>
      <c r="J64">
        <v>-474.98610000000002</v>
      </c>
      <c r="K64">
        <v>1.1104959999999999</v>
      </c>
      <c r="L64">
        <v>367.25189999999998</v>
      </c>
      <c r="M64">
        <v>0.99980899999999995</v>
      </c>
      <c r="N64">
        <v>0</v>
      </c>
      <c r="O64">
        <v>1.6103949999999999E-2</v>
      </c>
      <c r="P64">
        <v>0.99570820000000004</v>
      </c>
      <c r="Q64">
        <v>1.7059979999999999E-2</v>
      </c>
      <c r="R64">
        <v>-9.0964379999999997E-2</v>
      </c>
      <c r="S64">
        <v>2.9973139999999998</v>
      </c>
      <c r="T64">
        <v>5.8427689999999997E-2</v>
      </c>
      <c r="U64">
        <v>-0.16116329999999901</v>
      </c>
      <c r="V64">
        <v>0.1069884</v>
      </c>
      <c r="W64">
        <v>2.8071829999999999E-2</v>
      </c>
      <c r="X64">
        <v>0.99386390000000002</v>
      </c>
      <c r="Y64">
        <v>6.975017E-2</v>
      </c>
      <c r="Z64">
        <v>9.929836E-4</v>
      </c>
      <c r="AA64">
        <v>0.99756400000000001</v>
      </c>
      <c r="AB64">
        <v>4</v>
      </c>
      <c r="AC64">
        <v>2.9973139999999998</v>
      </c>
      <c r="AD64">
        <v>5.8427689999999997E-2</v>
      </c>
      <c r="AE64">
        <v>-0.16116329999999901</v>
      </c>
      <c r="AF64">
        <v>0.20933463692516999</v>
      </c>
      <c r="AG64">
        <v>5.8427689999999997E-2</v>
      </c>
      <c r="AH64">
        <v>2.99319563713791</v>
      </c>
      <c r="AI64">
        <v>88.884442786467503</v>
      </c>
      <c r="AJ64">
        <v>85.999428372586493</v>
      </c>
      <c r="AK64">
        <v>3.0010756250645798</v>
      </c>
      <c r="AL64">
        <v>88.391391296912403</v>
      </c>
      <c r="AM64">
        <v>83.855830384568705</v>
      </c>
      <c r="AN64">
        <v>0.99999999854865895</v>
      </c>
    </row>
    <row r="65" spans="1:40" x14ac:dyDescent="0.25">
      <c r="A65" t="str">
        <f>"20190312161222743"</f>
        <v>20190312161222743</v>
      </c>
      <c r="B65" t="str">
        <f>"1552378342735649"</f>
        <v>1552378342735649</v>
      </c>
      <c r="C65" t="s">
        <v>40</v>
      </c>
      <c r="D65">
        <v>5.8903889999999999</v>
      </c>
      <c r="E65">
        <v>0.48394779999999998</v>
      </c>
      <c r="F65" t="s">
        <v>52</v>
      </c>
      <c r="G65">
        <v>-159.35079999999999</v>
      </c>
      <c r="H65">
        <v>6.8322830000000003</v>
      </c>
      <c r="I65">
        <v>351.6848</v>
      </c>
      <c r="J65">
        <v>-474.95</v>
      </c>
      <c r="K65">
        <v>1.1105719999999999</v>
      </c>
      <c r="L65">
        <v>367.25279999999998</v>
      </c>
      <c r="M65">
        <v>0.99979910000000005</v>
      </c>
      <c r="N65">
        <v>0</v>
      </c>
      <c r="O65">
        <v>1.635644E-2</v>
      </c>
      <c r="P65">
        <v>0.99580270000000004</v>
      </c>
      <c r="Q65">
        <v>1.6331720000000001E-2</v>
      </c>
      <c r="R65">
        <v>-9.0057429999999994E-2</v>
      </c>
      <c r="S65">
        <v>2.998535</v>
      </c>
      <c r="T65">
        <v>5.435777E-2</v>
      </c>
      <c r="U65">
        <v>-0.1478882</v>
      </c>
      <c r="V65">
        <v>0.1063349</v>
      </c>
      <c r="W65">
        <v>2.7843039999999999E-2</v>
      </c>
      <c r="X65">
        <v>0.9939405</v>
      </c>
      <c r="Y65">
        <v>6.5577930000000006E-2</v>
      </c>
      <c r="Z65">
        <v>8.9033899999999997E-4</v>
      </c>
      <c r="AA65">
        <v>0.99784709999999999</v>
      </c>
      <c r="AB65">
        <v>4</v>
      </c>
      <c r="AC65">
        <v>315.5992</v>
      </c>
      <c r="AD65">
        <v>5.721711</v>
      </c>
      <c r="AE65">
        <v>-15.5679999999999</v>
      </c>
      <c r="AF65">
        <v>20.721548628695199</v>
      </c>
      <c r="AG65">
        <v>5.721711</v>
      </c>
      <c r="AH65">
        <v>315.19897100491698</v>
      </c>
      <c r="AI65">
        <v>88.962280920324105</v>
      </c>
      <c r="AJ65">
        <v>86.238720905748394</v>
      </c>
      <c r="AK65">
        <v>315.93118218513598</v>
      </c>
      <c r="AL65">
        <v>88.404505177245994</v>
      </c>
      <c r="AM65">
        <v>83.893542459040006</v>
      </c>
      <c r="AN65">
        <v>1.0000000316873501</v>
      </c>
    </row>
    <row r="66" spans="1:40" x14ac:dyDescent="0.25">
      <c r="A66" t="str">
        <f>"20190312161222763"</f>
        <v>20190312161222763</v>
      </c>
      <c r="B66" t="str">
        <f>"1552378342755169"</f>
        <v>1552378342755169</v>
      </c>
      <c r="C66" t="s">
        <v>40</v>
      </c>
      <c r="D66">
        <v>5.8751579999999999</v>
      </c>
      <c r="E66">
        <v>0.48341010000000001</v>
      </c>
      <c r="F66" t="s">
        <v>52</v>
      </c>
      <c r="G66">
        <v>-158.78319999999999</v>
      </c>
      <c r="H66">
        <v>6.4344489999999999</v>
      </c>
      <c r="I66">
        <v>352.2407</v>
      </c>
      <c r="J66">
        <v>-474.91160000000002</v>
      </c>
      <c r="K66">
        <v>1.1102179999999999</v>
      </c>
      <c r="L66">
        <v>367.25369999999998</v>
      </c>
      <c r="M66">
        <v>0.9998068</v>
      </c>
      <c r="N66">
        <v>0</v>
      </c>
      <c r="O66">
        <v>1.6682209999999999E-2</v>
      </c>
      <c r="P66">
        <v>0.99583560000000004</v>
      </c>
      <c r="Q66">
        <v>1.7437640000000001E-2</v>
      </c>
      <c r="R66">
        <v>-8.9487090000000005E-2</v>
      </c>
      <c r="S66">
        <v>2.9989620000000001</v>
      </c>
      <c r="T66">
        <v>5.0499799999999997E-2</v>
      </c>
      <c r="U66">
        <v>-0.14239499999999999</v>
      </c>
      <c r="V66">
        <v>0.10608670000000001</v>
      </c>
      <c r="W66">
        <v>2.779204E-2</v>
      </c>
      <c r="X66">
        <v>0.99396839999999997</v>
      </c>
      <c r="Y66">
        <v>6.4074300000000001E-2</v>
      </c>
      <c r="Z66">
        <v>8.1990289999999896E-4</v>
      </c>
      <c r="AA66">
        <v>0.99794479999999997</v>
      </c>
      <c r="AB66">
        <v>3</v>
      </c>
      <c r="AC66">
        <v>316.1284</v>
      </c>
      <c r="AD66">
        <v>5.3242310000000002</v>
      </c>
      <c r="AE66">
        <v>-15.0129999999999</v>
      </c>
      <c r="AF66">
        <v>20.2791766371246</v>
      </c>
      <c r="AG66">
        <v>5.3242310000000002</v>
      </c>
      <c r="AH66">
        <v>315.74457974462098</v>
      </c>
      <c r="AI66">
        <v>89.035929642882707</v>
      </c>
      <c r="AJ66">
        <v>86.325138721400805</v>
      </c>
      <c r="AK66">
        <v>316.43993439344598</v>
      </c>
      <c r="AL66">
        <v>88.407428315268206</v>
      </c>
      <c r="AM66">
        <v>83.907858160057899</v>
      </c>
      <c r="AN66">
        <v>0.99999998280140501</v>
      </c>
    </row>
    <row r="67" spans="1:40" x14ac:dyDescent="0.25">
      <c r="A67" t="str">
        <f>"20190312161222786"</f>
        <v>20190312161222786</v>
      </c>
      <c r="B67" t="str">
        <f>"1552378342775665"</f>
        <v>1552378342775665</v>
      </c>
      <c r="C67" t="s">
        <v>40</v>
      </c>
      <c r="D67">
        <v>5.822495</v>
      </c>
      <c r="E67">
        <v>0.48282750000000002</v>
      </c>
      <c r="F67" t="s">
        <v>52</v>
      </c>
      <c r="G67">
        <v>-158.78319999999999</v>
      </c>
      <c r="H67">
        <v>6.6644100000000002</v>
      </c>
      <c r="I67">
        <v>352.85660000000001</v>
      </c>
      <c r="J67">
        <v>-474.86849999999998</v>
      </c>
      <c r="K67">
        <v>1.1098490000000001</v>
      </c>
      <c r="L67">
        <v>367.25479999999999</v>
      </c>
      <c r="M67">
        <v>0.99981430000000004</v>
      </c>
      <c r="N67">
        <v>0</v>
      </c>
      <c r="O67">
        <v>1.7104919999999999E-2</v>
      </c>
      <c r="P67">
        <v>0.99588810000000005</v>
      </c>
      <c r="Q67">
        <v>1.9781940000000001E-2</v>
      </c>
      <c r="R67">
        <v>-8.8408219999999996E-2</v>
      </c>
      <c r="S67">
        <v>2.9993590000000001</v>
      </c>
      <c r="T67">
        <v>5.269778E-2</v>
      </c>
      <c r="U67">
        <v>-0.13659669999999999</v>
      </c>
      <c r="V67">
        <v>0.10542609999999999</v>
      </c>
      <c r="W67">
        <v>2.863427E-2</v>
      </c>
      <c r="X67">
        <v>0.99401479999999998</v>
      </c>
      <c r="Y67">
        <v>6.2563750000000001E-2</v>
      </c>
      <c r="Z67">
        <v>8.496647E-4</v>
      </c>
      <c r="AA67">
        <v>0.99804059999999994</v>
      </c>
      <c r="AB67">
        <v>4</v>
      </c>
      <c r="AC67">
        <v>316.08530000000002</v>
      </c>
      <c r="AD67">
        <v>5.5545609999999996</v>
      </c>
      <c r="AE67">
        <v>-14.3981999999999</v>
      </c>
      <c r="AF67">
        <v>19.7968193575851</v>
      </c>
      <c r="AG67">
        <v>5.5545609999999996</v>
      </c>
      <c r="AH67">
        <v>315.69547541768202</v>
      </c>
      <c r="AI67">
        <v>88.993978752276405</v>
      </c>
      <c r="AJ67">
        <v>86.411760734925295</v>
      </c>
      <c r="AK67">
        <v>316.36434755480201</v>
      </c>
      <c r="AL67">
        <v>88.359152905250895</v>
      </c>
      <c r="AM67">
        <v>83.945791696912394</v>
      </c>
      <c r="AN67">
        <v>1.0000000032993399</v>
      </c>
    </row>
    <row r="68" spans="1:40" x14ac:dyDescent="0.25">
      <c r="A68" t="str">
        <f>"20190312161222831"</f>
        <v>20190312161222831</v>
      </c>
      <c r="B68" t="str">
        <f>"1552378342825440"</f>
        <v>1552378342825440</v>
      </c>
      <c r="C68" t="s">
        <v>40</v>
      </c>
      <c r="D68">
        <v>5.8253890000000004</v>
      </c>
      <c r="E68">
        <v>0.4816435</v>
      </c>
      <c r="F68" t="s">
        <v>52</v>
      </c>
      <c r="G68">
        <v>-170.08879999999999</v>
      </c>
      <c r="H68">
        <v>7.2709080000000004</v>
      </c>
      <c r="I68">
        <v>354.16419999999999</v>
      </c>
      <c r="J68">
        <v>-474.78960000000001</v>
      </c>
      <c r="K68">
        <v>1.110401</v>
      </c>
      <c r="L68">
        <v>367.25700000000001</v>
      </c>
      <c r="M68">
        <v>0.99978670000000003</v>
      </c>
      <c r="N68">
        <v>0</v>
      </c>
      <c r="O68">
        <v>1.775318E-2</v>
      </c>
      <c r="P68">
        <v>0.99599119999999997</v>
      </c>
      <c r="Q68">
        <v>1.8234799999999999E-2</v>
      </c>
      <c r="R68">
        <v>-8.7572919999999999E-2</v>
      </c>
      <c r="S68">
        <v>2.9998170000000002</v>
      </c>
      <c r="T68">
        <v>6.0641529999999999E-2</v>
      </c>
      <c r="U68">
        <v>-0.12884519999999999</v>
      </c>
      <c r="V68">
        <v>0.1052405</v>
      </c>
      <c r="W68">
        <v>2.8741039999999999E-2</v>
      </c>
      <c r="X68">
        <v>0.99403140000000001</v>
      </c>
      <c r="Y68">
        <v>6.0626529999999998E-2</v>
      </c>
      <c r="Z68">
        <v>9.7116019999999995E-4</v>
      </c>
      <c r="AA68">
        <v>0.99816009999999999</v>
      </c>
      <c r="AB68">
        <v>4</v>
      </c>
      <c r="AC68">
        <v>304.70080000000002</v>
      </c>
      <c r="AD68">
        <v>6.160507</v>
      </c>
      <c r="AE68">
        <v>-13.092799999999899</v>
      </c>
      <c r="AF68">
        <v>18.492900236760001</v>
      </c>
      <c r="AG68">
        <v>6.160507</v>
      </c>
      <c r="AH68">
        <v>304.29616216891702</v>
      </c>
      <c r="AI68">
        <v>88.842334767714405</v>
      </c>
      <c r="AJ68">
        <v>86.522257882573996</v>
      </c>
      <c r="AK68">
        <v>304.91981489630302</v>
      </c>
      <c r="AL68">
        <v>88.353032938957696</v>
      </c>
      <c r="AM68">
        <v>83.956471207119407</v>
      </c>
      <c r="AN68">
        <v>1.0000000172032399</v>
      </c>
    </row>
    <row r="69" spans="1:40" x14ac:dyDescent="0.25">
      <c r="A69" t="str">
        <f>"20190312161222850"</f>
        <v>20190312161222850</v>
      </c>
      <c r="B69" t="str">
        <f>"1552378342845936"</f>
        <v>1552378342845936</v>
      </c>
      <c r="C69" t="s">
        <v>40</v>
      </c>
      <c r="D69">
        <v>5.825596</v>
      </c>
      <c r="E69">
        <v>0.48141489999999998</v>
      </c>
      <c r="F69" t="s">
        <v>52</v>
      </c>
      <c r="G69">
        <v>-170.08879999999999</v>
      </c>
      <c r="H69">
        <v>7.0364699999999996</v>
      </c>
      <c r="I69">
        <v>355.38569999999999</v>
      </c>
      <c r="J69">
        <v>-474.75819999999999</v>
      </c>
      <c r="K69">
        <v>1.110754</v>
      </c>
      <c r="L69">
        <v>367.25779999999997</v>
      </c>
      <c r="M69">
        <v>0.99976509999999996</v>
      </c>
      <c r="N69">
        <v>0</v>
      </c>
      <c r="O69">
        <v>1.7948740000000001E-2</v>
      </c>
      <c r="P69">
        <v>0.99595699999999998</v>
      </c>
      <c r="Q69">
        <v>1.6721509999999998E-2</v>
      </c>
      <c r="R69">
        <v>-8.8261399999999907E-2</v>
      </c>
      <c r="S69">
        <v>3.0007929999999998</v>
      </c>
      <c r="T69">
        <v>5.836272E-2</v>
      </c>
      <c r="U69">
        <v>-0.1169128</v>
      </c>
      <c r="V69">
        <v>0.1061261</v>
      </c>
      <c r="W69">
        <v>2.8793949999999999E-2</v>
      </c>
      <c r="X69">
        <v>0.99393569999999998</v>
      </c>
      <c r="Y69">
        <v>5.6847170000000002E-2</v>
      </c>
      <c r="Z69">
        <v>9.0151499999999998E-4</v>
      </c>
      <c r="AA69">
        <v>0.99838249999999995</v>
      </c>
      <c r="AB69">
        <v>4</v>
      </c>
      <c r="AC69">
        <v>304.6694</v>
      </c>
      <c r="AD69">
        <v>5.9257160000000004</v>
      </c>
      <c r="AE69">
        <v>-11.8720999999999</v>
      </c>
      <c r="AF69">
        <v>17.332475901102502</v>
      </c>
      <c r="AG69">
        <v>5.9257160000000004</v>
      </c>
      <c r="AH69">
        <v>304.29227213832598</v>
      </c>
      <c r="AI69">
        <v>88.886181440551596</v>
      </c>
      <c r="AJ69">
        <v>86.739957266084701</v>
      </c>
      <c r="AK69">
        <v>304.84310015822899</v>
      </c>
      <c r="AL69">
        <v>88.350000149275104</v>
      </c>
      <c r="AM69">
        <v>83.905413603844593</v>
      </c>
      <c r="AN69">
        <v>1.00000000819615</v>
      </c>
    </row>
    <row r="70" spans="1:40" x14ac:dyDescent="0.25">
      <c r="A70" t="str">
        <f>"20190312161222874"</f>
        <v>20190312161222874</v>
      </c>
      <c r="B70" t="str">
        <f>"1552378342865701"</f>
        <v>1552378342865701</v>
      </c>
      <c r="C70" t="s">
        <v>40</v>
      </c>
      <c r="D70">
        <v>5.9556899999999997</v>
      </c>
      <c r="E70">
        <v>0.48102980000000001</v>
      </c>
      <c r="F70" t="s">
        <v>52</v>
      </c>
      <c r="G70">
        <v>-169.2955</v>
      </c>
      <c r="H70">
        <v>6.6328519999999997</v>
      </c>
      <c r="I70">
        <v>355.33519999999999</v>
      </c>
      <c r="J70">
        <v>-474.71730000000002</v>
      </c>
      <c r="K70">
        <v>1.1104989999999999</v>
      </c>
      <c r="L70">
        <v>367.25889999999998</v>
      </c>
      <c r="M70">
        <v>0.99976710000000002</v>
      </c>
      <c r="N70">
        <v>0</v>
      </c>
      <c r="O70">
        <v>1.8258940000000001E-2</v>
      </c>
      <c r="P70">
        <v>0.99594360000000004</v>
      </c>
      <c r="Q70">
        <v>1.6667290000000001E-2</v>
      </c>
      <c r="R70">
        <v>-8.8425290000000004E-2</v>
      </c>
      <c r="S70">
        <v>3.0008240000000002</v>
      </c>
      <c r="T70">
        <v>5.4249169999999999E-2</v>
      </c>
      <c r="U70">
        <v>-0.11712649999999999</v>
      </c>
      <c r="V70">
        <v>0.1065962</v>
      </c>
      <c r="W70">
        <v>2.8117110000000001E-2</v>
      </c>
      <c r="X70">
        <v>0.99390480000000003</v>
      </c>
      <c r="Y70">
        <v>5.7229179999999998E-2</v>
      </c>
      <c r="Z70">
        <v>8.4702979999999996E-4</v>
      </c>
      <c r="AA70">
        <v>0.99836069999999999</v>
      </c>
      <c r="AB70">
        <v>3</v>
      </c>
      <c r="AC70">
        <v>305.42180000000002</v>
      </c>
      <c r="AD70">
        <v>5.5223529999999998</v>
      </c>
      <c r="AE70">
        <v>-11.923699999999901</v>
      </c>
      <c r="AF70">
        <v>17.493049156256401</v>
      </c>
      <c r="AG70">
        <v>5.5223529999999998</v>
      </c>
      <c r="AH70">
        <v>305.053570466601</v>
      </c>
      <c r="AI70">
        <v>88.964594378043998</v>
      </c>
      <c r="AJ70">
        <v>86.718014370420605</v>
      </c>
      <c r="AK70">
        <v>305.60462039351</v>
      </c>
      <c r="AL70">
        <v>88.388795980863605</v>
      </c>
      <c r="AM70">
        <v>83.878432458446596</v>
      </c>
      <c r="AN70">
        <v>1.0000000365961099</v>
      </c>
    </row>
    <row r="71" spans="1:40" x14ac:dyDescent="0.25">
      <c r="A71" t="str">
        <f>"20190312161222902"</f>
        <v>20190312161222902</v>
      </c>
      <c r="B71" t="str">
        <f>"1552378342895956"</f>
        <v>1552378342895956</v>
      </c>
      <c r="C71" t="s">
        <v>40</v>
      </c>
      <c r="D71">
        <v>5.837764</v>
      </c>
      <c r="E71">
        <v>0.48041499999999998</v>
      </c>
      <c r="F71" t="s">
        <v>52</v>
      </c>
      <c r="G71">
        <v>-169.2955</v>
      </c>
      <c r="H71">
        <v>6.5374119999999998</v>
      </c>
      <c r="I71">
        <v>355.58769999999998</v>
      </c>
      <c r="J71">
        <v>-474.66079999999999</v>
      </c>
      <c r="K71">
        <v>1.1099559999999999</v>
      </c>
      <c r="L71">
        <v>367.2604</v>
      </c>
      <c r="M71">
        <v>0.99977839999999996</v>
      </c>
      <c r="N71">
        <v>0</v>
      </c>
      <c r="O71">
        <v>1.8791229999999999E-2</v>
      </c>
      <c r="P71">
        <v>0.99586770000000002</v>
      </c>
      <c r="Q71">
        <v>1.9472039999999999E-2</v>
      </c>
      <c r="R71">
        <v>-8.8705320000000004E-2</v>
      </c>
      <c r="S71">
        <v>3.00116</v>
      </c>
      <c r="T71">
        <v>5.3327199999999901E-2</v>
      </c>
      <c r="U71">
        <v>-0.1146851</v>
      </c>
      <c r="V71">
        <v>0.1074003</v>
      </c>
      <c r="W71">
        <v>2.8915969999999999E-2</v>
      </c>
      <c r="X71">
        <v>0.99379530000000005</v>
      </c>
      <c r="Y71">
        <v>5.69454E-2</v>
      </c>
      <c r="Z71">
        <v>8.3948429999999895E-4</v>
      </c>
      <c r="AA71">
        <v>0.99837699999999996</v>
      </c>
      <c r="AB71">
        <v>4</v>
      </c>
      <c r="AC71">
        <v>305.36529999999999</v>
      </c>
      <c r="AD71">
        <v>5.4274560000000003</v>
      </c>
      <c r="AE71">
        <v>-11.672700000000001</v>
      </c>
      <c r="AF71">
        <v>17.403596875110299</v>
      </c>
      <c r="AG71">
        <v>5.4274560000000003</v>
      </c>
      <c r="AH71">
        <v>304.99581389318899</v>
      </c>
      <c r="AI71">
        <v>88.982174129578596</v>
      </c>
      <c r="AJ71">
        <v>86.734143697431406</v>
      </c>
      <c r="AK71">
        <v>305.540159316565</v>
      </c>
      <c r="AL71">
        <v>88.343006038889698</v>
      </c>
      <c r="AM71">
        <v>83.831935143945202</v>
      </c>
      <c r="AN71">
        <v>1.0000000280316099</v>
      </c>
    </row>
    <row r="72" spans="1:40" x14ac:dyDescent="0.25">
      <c r="A72" t="str">
        <f>"20190312161222944"</f>
        <v>20190312161222944</v>
      </c>
      <c r="B72" t="str">
        <f>"1552378342935973"</f>
        <v>1552378342935973</v>
      </c>
      <c r="C72" t="s">
        <v>40</v>
      </c>
      <c r="D72">
        <v>5.8291269999999997</v>
      </c>
      <c r="E72">
        <v>0.47998479999999999</v>
      </c>
      <c r="F72" t="s">
        <v>52</v>
      </c>
      <c r="G72">
        <v>-170.08879999999999</v>
      </c>
      <c r="H72">
        <v>7.5668329999999999</v>
      </c>
      <c r="I72">
        <v>356.04379999999998</v>
      </c>
      <c r="J72">
        <v>-474.58420000000001</v>
      </c>
      <c r="K72">
        <v>1.1103019999999999</v>
      </c>
      <c r="L72">
        <v>367.26260000000002</v>
      </c>
      <c r="M72">
        <v>0.99975689999999995</v>
      </c>
      <c r="N72">
        <v>0</v>
      </c>
      <c r="O72">
        <v>1.943895E-2</v>
      </c>
      <c r="P72">
        <v>0.99595259999999997</v>
      </c>
      <c r="Q72">
        <v>1.7461150000000002E-2</v>
      </c>
      <c r="R72">
        <v>-8.8167079999999995E-2</v>
      </c>
      <c r="S72">
        <v>3.001404</v>
      </c>
      <c r="T72">
        <v>6.3630099999999995E-2</v>
      </c>
      <c r="U72">
        <v>-0.1105347</v>
      </c>
      <c r="V72">
        <v>0.1075091</v>
      </c>
      <c r="W72">
        <v>2.7814439999999999E-2</v>
      </c>
      <c r="X72">
        <v>0.99381489999999995</v>
      </c>
      <c r="Y72">
        <v>5.6205610000000003E-2</v>
      </c>
      <c r="Z72">
        <v>1.007476E-3</v>
      </c>
      <c r="AA72">
        <v>0.99841869999999999</v>
      </c>
      <c r="AB72">
        <v>5</v>
      </c>
      <c r="AC72">
        <v>304.49540000000002</v>
      </c>
      <c r="AD72">
        <v>6.456531</v>
      </c>
      <c r="AE72">
        <v>-11.2188</v>
      </c>
      <c r="AF72">
        <v>17.1283805659452</v>
      </c>
      <c r="AG72">
        <v>6.456531</v>
      </c>
      <c r="AH72">
        <v>304.08323072374299</v>
      </c>
      <c r="AI72">
        <v>88.785558848594206</v>
      </c>
      <c r="AJ72">
        <v>86.776053839227998</v>
      </c>
      <c r="AK72">
        <v>304.63368070644202</v>
      </c>
      <c r="AL72">
        <v>88.4061443452253</v>
      </c>
      <c r="AM72">
        <v>83.825855758760895</v>
      </c>
      <c r="AN72">
        <v>0.99999995255866503</v>
      </c>
    </row>
    <row r="73" spans="1:40" x14ac:dyDescent="0.25">
      <c r="A73" t="str">
        <f>"20190312161222965"</f>
        <v>20190312161222965</v>
      </c>
      <c r="B73" t="str">
        <f>"1552378342955492"</f>
        <v>1552378342955492</v>
      </c>
      <c r="C73" t="s">
        <v>40</v>
      </c>
      <c r="D73">
        <v>5.7055009999999999</v>
      </c>
      <c r="E73">
        <v>0.47979050000000001</v>
      </c>
      <c r="F73" t="s">
        <v>52</v>
      </c>
      <c r="G73">
        <v>-170.08879999999999</v>
      </c>
      <c r="H73">
        <v>7.0092889999999999</v>
      </c>
      <c r="I73">
        <v>356.55500000000001</v>
      </c>
      <c r="J73">
        <v>-474.54950000000002</v>
      </c>
      <c r="K73">
        <v>1.110773</v>
      </c>
      <c r="L73">
        <v>367.26369999999997</v>
      </c>
      <c r="M73">
        <v>0.99973049999999997</v>
      </c>
      <c r="N73">
        <v>0</v>
      </c>
      <c r="O73">
        <v>1.966095E-2</v>
      </c>
      <c r="P73">
        <v>0.996</v>
      </c>
      <c r="Q73">
        <v>1.4589329999999999E-2</v>
      </c>
      <c r="R73">
        <v>-8.8154350000000006E-2</v>
      </c>
      <c r="S73">
        <v>3.0018310000000001</v>
      </c>
      <c r="T73">
        <v>5.81553E-2</v>
      </c>
      <c r="U73">
        <v>-0.1055603</v>
      </c>
      <c r="V73">
        <v>0.1077219</v>
      </c>
      <c r="W73">
        <v>2.6852069999999999E-2</v>
      </c>
      <c r="X73">
        <v>0.99381839999999999</v>
      </c>
      <c r="Y73">
        <v>5.4773139999999998E-2</v>
      </c>
      <c r="Z73">
        <v>9.1114090000000004E-4</v>
      </c>
      <c r="AA73">
        <v>0.99849840000000001</v>
      </c>
      <c r="AB73">
        <v>4</v>
      </c>
      <c r="AC73">
        <v>304.46069999999997</v>
      </c>
      <c r="AD73">
        <v>5.8985159999999999</v>
      </c>
      <c r="AE73">
        <v>-10.708699999999901</v>
      </c>
      <c r="AF73">
        <v>16.6868169869892</v>
      </c>
      <c r="AG73">
        <v>5.8985159999999999</v>
      </c>
      <c r="AH73">
        <v>304.07729011871402</v>
      </c>
      <c r="AI73">
        <v>88.8903803040253</v>
      </c>
      <c r="AJ73">
        <v>86.858936173087002</v>
      </c>
      <c r="AK73">
        <v>304.59192490625901</v>
      </c>
      <c r="AL73">
        <v>88.461304812743705</v>
      </c>
      <c r="AM73">
        <v>83.813751141744305</v>
      </c>
      <c r="AN73">
        <v>1.0000000267907201</v>
      </c>
    </row>
    <row r="74" spans="1:40" x14ac:dyDescent="0.25">
      <c r="A74" t="str">
        <f>"20190312161222988"</f>
        <v>20190312161222988</v>
      </c>
      <c r="B74" t="str">
        <f>"1552378342975521"</f>
        <v>1552378342975521</v>
      </c>
      <c r="C74" t="s">
        <v>40</v>
      </c>
      <c r="D74">
        <v>5.6941709999999999</v>
      </c>
      <c r="E74">
        <v>0.47955900000000001</v>
      </c>
      <c r="F74" t="s">
        <v>52</v>
      </c>
      <c r="G74">
        <v>-166.98689999999999</v>
      </c>
      <c r="H74">
        <v>5.9267589999999997</v>
      </c>
      <c r="I74">
        <v>356.61509999999998</v>
      </c>
      <c r="J74">
        <v>-474.51100000000002</v>
      </c>
      <c r="K74">
        <v>1.110673</v>
      </c>
      <c r="L74">
        <v>367.2647</v>
      </c>
      <c r="M74">
        <v>0.9997258</v>
      </c>
      <c r="N74">
        <v>0</v>
      </c>
      <c r="O74">
        <v>1.9922749999999999E-2</v>
      </c>
      <c r="P74">
        <v>0.99598949999999997</v>
      </c>
      <c r="Q74">
        <v>1.4344819999999999E-2</v>
      </c>
      <c r="R74">
        <v>-8.831377E-2</v>
      </c>
      <c r="S74">
        <v>3.002167</v>
      </c>
      <c r="T74">
        <v>4.7010419999999997E-2</v>
      </c>
      <c r="U74">
        <v>-0.1039429</v>
      </c>
      <c r="V74">
        <v>0.108140899999999</v>
      </c>
      <c r="W74">
        <v>2.6581799999999999E-2</v>
      </c>
      <c r="X74">
        <v>0.99378010000000006</v>
      </c>
      <c r="Y74">
        <v>5.4498230000000002E-2</v>
      </c>
      <c r="Z74">
        <v>7.3842470000000002E-4</v>
      </c>
      <c r="AA74">
        <v>0.9985136</v>
      </c>
      <c r="AB74">
        <v>4</v>
      </c>
      <c r="AC74">
        <v>307.52409999999998</v>
      </c>
      <c r="AD74">
        <v>4.8160859999999897</v>
      </c>
      <c r="AE74">
        <v>-10.6496</v>
      </c>
      <c r="AF74">
        <v>16.770567353140699</v>
      </c>
      <c r="AG74">
        <v>4.8160859999999897</v>
      </c>
      <c r="AH74">
        <v>307.17562045711901</v>
      </c>
      <c r="AI74">
        <v>89.1030910625622</v>
      </c>
      <c r="AJ74">
        <v>86.874980760349104</v>
      </c>
      <c r="AK74">
        <v>307.67077927050798</v>
      </c>
      <c r="AL74">
        <v>88.476795580862102</v>
      </c>
      <c r="AM74">
        <v>83.789639010967903</v>
      </c>
      <c r="AN74">
        <v>0.999999966750029</v>
      </c>
    </row>
    <row r="75" spans="1:40" x14ac:dyDescent="0.25">
      <c r="A75" t="str">
        <f>"20190312161223013"</f>
        <v>20190312161223013</v>
      </c>
      <c r="B75" t="str">
        <f>"1552378343005777"</f>
        <v>1552378343005777</v>
      </c>
      <c r="C75" t="s">
        <v>40</v>
      </c>
      <c r="D75">
        <v>5.829663</v>
      </c>
      <c r="E75">
        <v>0.47919440000000002</v>
      </c>
      <c r="F75" t="s">
        <v>52</v>
      </c>
      <c r="G75">
        <v>-158.19499999999999</v>
      </c>
      <c r="H75">
        <v>5.8840879999999904</v>
      </c>
      <c r="I75">
        <v>356.45830000000001</v>
      </c>
      <c r="J75">
        <v>-474.46620000000001</v>
      </c>
      <c r="K75">
        <v>1.110193</v>
      </c>
      <c r="L75">
        <v>367.26600000000002</v>
      </c>
      <c r="M75">
        <v>0.99973679999999998</v>
      </c>
      <c r="N75">
        <v>0</v>
      </c>
      <c r="O75">
        <v>2.030266E-2</v>
      </c>
      <c r="P75">
        <v>0.9959481</v>
      </c>
      <c r="Q75">
        <v>1.6598519999999999E-2</v>
      </c>
      <c r="R75">
        <v>-8.8384569999999996E-2</v>
      </c>
      <c r="S75">
        <v>3.002319</v>
      </c>
      <c r="T75">
        <v>4.5307760000000002E-2</v>
      </c>
      <c r="U75">
        <v>-0.1025696</v>
      </c>
      <c r="V75">
        <v>0.1085861</v>
      </c>
      <c r="W75">
        <v>2.7229099999999999E-2</v>
      </c>
      <c r="X75">
        <v>0.99371410000000004</v>
      </c>
      <c r="Y75">
        <v>5.4419969999999998E-2</v>
      </c>
      <c r="Z75">
        <v>7.1678780000000004E-4</v>
      </c>
      <c r="AA75">
        <v>0.99851789999999996</v>
      </c>
      <c r="AB75">
        <v>3</v>
      </c>
      <c r="AC75">
        <v>316.27120000000002</v>
      </c>
      <c r="AD75">
        <v>4.7738950000000004</v>
      </c>
      <c r="AE75">
        <v>-10.807699999999899</v>
      </c>
      <c r="AF75">
        <v>17.223065669825001</v>
      </c>
      <c r="AG75">
        <v>4.7738950000000004</v>
      </c>
      <c r="AH75">
        <v>315.91467162063799</v>
      </c>
      <c r="AI75">
        <v>89.135533256490504</v>
      </c>
      <c r="AJ75">
        <v>86.879432550680207</v>
      </c>
      <c r="AK75">
        <v>316.41982208722902</v>
      </c>
      <c r="AL75">
        <v>88.439694702104802</v>
      </c>
      <c r="AM75">
        <v>83.763861987007402</v>
      </c>
      <c r="AN75">
        <v>1.0000000387694099</v>
      </c>
    </row>
    <row r="76" spans="1:40" x14ac:dyDescent="0.25">
      <c r="A76" t="str">
        <f>"20190312161223031"</f>
        <v>20190312161223031</v>
      </c>
      <c r="B76" t="str">
        <f>"1552378343025297"</f>
        <v>1552378343025297</v>
      </c>
      <c r="C76" t="s">
        <v>40</v>
      </c>
      <c r="D76">
        <v>5.7172010000000002</v>
      </c>
      <c r="E76">
        <v>0.47902919999999999</v>
      </c>
      <c r="F76" t="s">
        <v>52</v>
      </c>
      <c r="G76">
        <v>-158.19499999999999</v>
      </c>
      <c r="H76">
        <v>6.6124210000000003</v>
      </c>
      <c r="I76">
        <v>356.73809999999997</v>
      </c>
      <c r="J76">
        <v>-474.423</v>
      </c>
      <c r="K76">
        <v>1.109883</v>
      </c>
      <c r="L76">
        <v>367.2672</v>
      </c>
      <c r="M76">
        <v>0.99974160000000001</v>
      </c>
      <c r="N76">
        <v>0</v>
      </c>
      <c r="O76">
        <v>2.0703349999999999E-2</v>
      </c>
      <c r="P76">
        <v>0.99594199999999999</v>
      </c>
      <c r="Q76">
        <v>1.8218950000000001E-2</v>
      </c>
      <c r="R76">
        <v>-8.8134320000000002E-2</v>
      </c>
      <c r="S76">
        <v>3.002472</v>
      </c>
      <c r="T76">
        <v>5.2235360000000002E-2</v>
      </c>
      <c r="U76">
        <v>-9.9945069999999997E-2</v>
      </c>
      <c r="V76">
        <v>0.1087318</v>
      </c>
      <c r="W76">
        <v>2.756896E-2</v>
      </c>
      <c r="X76">
        <v>0.99368880000000004</v>
      </c>
      <c r="Y76">
        <v>5.3943560000000002E-2</v>
      </c>
      <c r="Z76">
        <v>8.2916109999999995E-4</v>
      </c>
      <c r="AA76">
        <v>0.99854359999999998</v>
      </c>
      <c r="AB76">
        <v>5</v>
      </c>
      <c r="AC76">
        <v>316.22800000000001</v>
      </c>
      <c r="AD76">
        <v>5.5025379999999897</v>
      </c>
      <c r="AE76">
        <v>-10.5291</v>
      </c>
      <c r="AF76">
        <v>17.0689480217324</v>
      </c>
      <c r="AG76">
        <v>5.5025379999999897</v>
      </c>
      <c r="AH76">
        <v>315.84669153937398</v>
      </c>
      <c r="AI76">
        <v>89.003373829194103</v>
      </c>
      <c r="AJ76">
        <v>86.906637608754707</v>
      </c>
      <c r="AK76">
        <v>316.35543217618198</v>
      </c>
      <c r="AL76">
        <v>88.4202148503568</v>
      </c>
      <c r="AM76">
        <v>83.755402711974497</v>
      </c>
      <c r="AN76">
        <v>1.0000000415660799</v>
      </c>
    </row>
    <row r="77" spans="1:40" x14ac:dyDescent="0.25">
      <c r="A77" t="str">
        <f>"20190312161223054"</f>
        <v>20190312161223054</v>
      </c>
      <c r="B77" t="str">
        <f>"1552378343045792"</f>
        <v>1552378343045792</v>
      </c>
      <c r="C77" t="s">
        <v>40</v>
      </c>
      <c r="D77">
        <v>5.8094000000000001</v>
      </c>
      <c r="E77">
        <v>0.47908620000000002</v>
      </c>
      <c r="F77" t="s">
        <v>52</v>
      </c>
      <c r="G77">
        <v>-170.08879999999999</v>
      </c>
      <c r="H77">
        <v>6.8830549999999997</v>
      </c>
      <c r="I77">
        <v>357.35340000000002</v>
      </c>
      <c r="J77">
        <v>-474.37939999999998</v>
      </c>
      <c r="K77">
        <v>1.1101110000000001</v>
      </c>
      <c r="L77">
        <v>367.26859999999999</v>
      </c>
      <c r="M77">
        <v>0.99972859999999997</v>
      </c>
      <c r="N77">
        <v>0</v>
      </c>
      <c r="O77">
        <v>2.1049620000000002E-2</v>
      </c>
      <c r="P77">
        <v>0.99595149999999999</v>
      </c>
      <c r="Q77">
        <v>1.7085909999999999E-2</v>
      </c>
      <c r="R77">
        <v>-8.8253799999999993E-2</v>
      </c>
      <c r="S77">
        <v>3.0025019999999998</v>
      </c>
      <c r="T77">
        <v>5.6957840000000003E-2</v>
      </c>
      <c r="U77">
        <v>-9.7808839999999994E-2</v>
      </c>
      <c r="V77">
        <v>0.1091966</v>
      </c>
      <c r="W77">
        <v>2.702891E-2</v>
      </c>
      <c r="X77">
        <v>0.9936526</v>
      </c>
      <c r="Y77">
        <v>5.3577390000000003E-2</v>
      </c>
      <c r="Z77">
        <v>9.0720860000000005E-4</v>
      </c>
      <c r="AA77">
        <v>0.99856330000000004</v>
      </c>
      <c r="AB77">
        <v>5</v>
      </c>
      <c r="AC77">
        <v>304.29059999999998</v>
      </c>
      <c r="AD77">
        <v>5.7729439999999999</v>
      </c>
      <c r="AE77">
        <v>-9.9151999999999703</v>
      </c>
      <c r="AF77">
        <v>16.3126583401876</v>
      </c>
      <c r="AG77">
        <v>5.7729439999999999</v>
      </c>
      <c r="AH77">
        <v>303.90518222469802</v>
      </c>
      <c r="AI77">
        <v>88.913311559728001</v>
      </c>
      <c r="AJ77">
        <v>86.927494348480394</v>
      </c>
      <c r="AK77">
        <v>304.39742030374998</v>
      </c>
      <c r="AL77">
        <v>88.451168867355094</v>
      </c>
      <c r="AM77">
        <v>83.728694279843793</v>
      </c>
      <c r="AN77">
        <v>0.99999997445705302</v>
      </c>
    </row>
    <row r="78" spans="1:40" x14ac:dyDescent="0.25">
      <c r="A78" t="str">
        <f>"20190312161223076"</f>
        <v>20190312161223076</v>
      </c>
      <c r="B78" t="str">
        <f>"1552378343065626"</f>
        <v>1552378343065626</v>
      </c>
      <c r="C78" t="s">
        <v>40</v>
      </c>
      <c r="D78">
        <v>6.5528009999999997</v>
      </c>
      <c r="E78">
        <v>0.49269550000000001</v>
      </c>
      <c r="F78" t="s">
        <v>52</v>
      </c>
      <c r="G78">
        <v>-158.95320000000001</v>
      </c>
      <c r="H78">
        <v>6.6740880000000002</v>
      </c>
      <c r="I78">
        <v>356.91980000000001</v>
      </c>
      <c r="J78">
        <v>-474.3426</v>
      </c>
      <c r="K78">
        <v>1.110573</v>
      </c>
      <c r="L78">
        <v>367.2697</v>
      </c>
      <c r="M78">
        <v>0.99970479999999995</v>
      </c>
      <c r="N78">
        <v>0</v>
      </c>
      <c r="O78">
        <v>2.1291999999999998E-2</v>
      </c>
      <c r="P78">
        <v>0.99598690000000001</v>
      </c>
      <c r="Q78">
        <v>1.517582E-2</v>
      </c>
      <c r="R78">
        <v>-8.8204759999999993E-2</v>
      </c>
      <c r="S78">
        <v>3.0025629999999999</v>
      </c>
      <c r="T78">
        <v>5.2964690000000002E-2</v>
      </c>
      <c r="U78">
        <v>-9.8510739999999999E-2</v>
      </c>
      <c r="V78">
        <v>0.10939219999999999</v>
      </c>
      <c r="W78">
        <v>2.6813449999999999E-2</v>
      </c>
      <c r="X78">
        <v>0.99363699999999999</v>
      </c>
      <c r="Y78">
        <v>5.4054089999999999E-2</v>
      </c>
      <c r="Z78">
        <v>8.5208119999999896E-4</v>
      </c>
      <c r="AA78">
        <v>0.99853769999999997</v>
      </c>
      <c r="AB78">
        <v>4</v>
      </c>
      <c r="AC78">
        <v>315.38940000000002</v>
      </c>
      <c r="AD78">
        <v>5.5635149999999998</v>
      </c>
      <c r="AE78">
        <v>-10.3498999999999</v>
      </c>
      <c r="AF78">
        <v>17.057982075585102</v>
      </c>
      <c r="AG78">
        <v>5.5635149999999998</v>
      </c>
      <c r="AH78">
        <v>314.99959168802297</v>
      </c>
      <c r="AI78">
        <v>88.989628620055299</v>
      </c>
      <c r="AJ78">
        <v>86.900323908158796</v>
      </c>
      <c r="AK78">
        <v>315.51017450356102</v>
      </c>
      <c r="AL78">
        <v>88.463518410140594</v>
      </c>
      <c r="AM78">
        <v>83.717452612248493</v>
      </c>
      <c r="AN78">
        <v>1.0000000511453699</v>
      </c>
    </row>
    <row r="79" spans="1:40" x14ac:dyDescent="0.25">
      <c r="A79" t="str">
        <f>"20190312161223098"</f>
        <v>20190312161223098</v>
      </c>
      <c r="B79" t="str">
        <f>"1552378343085146"</f>
        <v>1552378343085146</v>
      </c>
      <c r="C79" t="s">
        <v>40</v>
      </c>
      <c r="D79">
        <v>5.902431</v>
      </c>
      <c r="E79">
        <v>0.49362660000000003</v>
      </c>
      <c r="F79" t="s">
        <v>42</v>
      </c>
      <c r="G79">
        <v>-458.58069999999998</v>
      </c>
      <c r="H79" s="1">
        <v>-1.3658189999999901E-6</v>
      </c>
      <c r="I79">
        <v>366.24599999999998</v>
      </c>
      <c r="J79">
        <v>-474.30470000000003</v>
      </c>
      <c r="K79">
        <v>1.1107469999999999</v>
      </c>
      <c r="L79">
        <v>367.27080000000001</v>
      </c>
      <c r="M79">
        <v>0.99968829999999997</v>
      </c>
      <c r="N79">
        <v>0</v>
      </c>
      <c r="O79">
        <v>2.1524419999999999E-2</v>
      </c>
      <c r="P79">
        <v>0.99605049999999995</v>
      </c>
      <c r="Q79">
        <v>1.465496E-2</v>
      </c>
      <c r="R79">
        <v>-8.7572780000000003E-2</v>
      </c>
      <c r="S79">
        <v>2.9980470000000001</v>
      </c>
      <c r="T79">
        <v>-0.21123900000000001</v>
      </c>
      <c r="U79">
        <v>-0.19470209999999999</v>
      </c>
      <c r="V79">
        <v>0.10899449999999999</v>
      </c>
      <c r="W79">
        <v>2.722815E-2</v>
      </c>
      <c r="X79">
        <v>0.99366940000000004</v>
      </c>
      <c r="Y79">
        <v>8.6006810000000003E-2</v>
      </c>
      <c r="Z79">
        <v>-4.5364680000000001E-3</v>
      </c>
      <c r="AA79">
        <v>0.99628419999999895</v>
      </c>
      <c r="AB79">
        <v>4</v>
      </c>
      <c r="AC79">
        <v>15.724</v>
      </c>
      <c r="AD79">
        <v>-1.1107483658189901</v>
      </c>
      <c r="AE79">
        <v>-1.0248000000000199</v>
      </c>
      <c r="AF79">
        <v>1.3563002136279001</v>
      </c>
      <c r="AG79">
        <v>-1.1107483658189901</v>
      </c>
      <c r="AH79">
        <v>15.6206781961238</v>
      </c>
      <c r="AI79">
        <v>94.052122663477505</v>
      </c>
      <c r="AJ79">
        <v>85.037611648792904</v>
      </c>
      <c r="AK79">
        <v>15.7187435728341</v>
      </c>
      <c r="AL79">
        <v>88.439749131542499</v>
      </c>
      <c r="AM79">
        <v>83.740313918342494</v>
      </c>
      <c r="AN79">
        <v>1.00000002483951</v>
      </c>
    </row>
    <row r="80" spans="1:40" x14ac:dyDescent="0.25">
      <c r="A80" t="str">
        <f>"20190312161223123"</f>
        <v>20190312161223123</v>
      </c>
      <c r="B80" t="str">
        <f>"1552378343115403"</f>
        <v>1552378343115403</v>
      </c>
      <c r="C80" t="s">
        <v>40</v>
      </c>
      <c r="D80">
        <v>5.8126730000000002</v>
      </c>
      <c r="E80">
        <v>0.49251260000000002</v>
      </c>
      <c r="F80" t="s">
        <v>43</v>
      </c>
      <c r="G80">
        <v>-473.55650000000003</v>
      </c>
      <c r="H80">
        <v>1.043088</v>
      </c>
      <c r="I80">
        <v>367.22109999999998</v>
      </c>
      <c r="J80">
        <v>-474.25790000000001</v>
      </c>
      <c r="K80">
        <v>1.1103479999999999</v>
      </c>
      <c r="L80">
        <v>367.2722</v>
      </c>
      <c r="M80">
        <v>0.99969560000000002</v>
      </c>
      <c r="N80">
        <v>0</v>
      </c>
      <c r="O80">
        <v>2.186749E-2</v>
      </c>
      <c r="P80">
        <v>0.99609049999999999</v>
      </c>
      <c r="Q80">
        <v>1.6436619999999999E-2</v>
      </c>
      <c r="R80">
        <v>-8.6795639999999993E-2</v>
      </c>
      <c r="S80">
        <v>2.998535</v>
      </c>
      <c r="T80">
        <v>-0.27166010000000002</v>
      </c>
      <c r="U80">
        <v>-0.19766239999999999</v>
      </c>
      <c r="V80">
        <v>0.1085576</v>
      </c>
      <c r="W80">
        <v>2.7803000000000001E-2</v>
      </c>
      <c r="X80">
        <v>0.99370130000000001</v>
      </c>
      <c r="Y80">
        <v>8.7138019999999997E-2</v>
      </c>
      <c r="Z80">
        <v>-5.9102649999999996E-3</v>
      </c>
      <c r="AA80">
        <v>0.99617869999999997</v>
      </c>
      <c r="AB80">
        <v>3</v>
      </c>
      <c r="AC80">
        <v>0.70139999999997804</v>
      </c>
      <c r="AD80">
        <v>-6.7259999999999806E-2</v>
      </c>
      <c r="AE80">
        <v>-5.1100000000019401E-2</v>
      </c>
      <c r="AF80">
        <v>6.5824534549060704E-2</v>
      </c>
      <c r="AG80">
        <v>-6.7259999999999806E-2</v>
      </c>
      <c r="AH80">
        <v>0.69376878739132197</v>
      </c>
      <c r="AI80">
        <v>95.512842596616593</v>
      </c>
      <c r="AJ80">
        <v>84.580021874148898</v>
      </c>
      <c r="AK80">
        <v>0.70012278016575402</v>
      </c>
      <c r="AL80">
        <v>88.406800164420901</v>
      </c>
      <c r="AM80">
        <v>83.765406185973703</v>
      </c>
      <c r="AN80">
        <v>1.00000001647422</v>
      </c>
    </row>
    <row r="81" spans="1:40" x14ac:dyDescent="0.25">
      <c r="A81" t="str">
        <f>"20190312161223152"</f>
        <v>20190312161223152</v>
      </c>
      <c r="B81" t="str">
        <f>"1552378343145658"</f>
        <v>1552378343145658</v>
      </c>
      <c r="C81" t="s">
        <v>40</v>
      </c>
      <c r="D81">
        <v>5.9233469999999997</v>
      </c>
      <c r="E81">
        <v>0.49223309999999998</v>
      </c>
      <c r="F81" t="s">
        <v>43</v>
      </c>
      <c r="G81">
        <v>-473.51</v>
      </c>
      <c r="H81">
        <v>1.0511790000000001</v>
      </c>
      <c r="I81">
        <v>367.22519999999997</v>
      </c>
      <c r="J81">
        <v>-474.197</v>
      </c>
      <c r="K81">
        <v>1.10982</v>
      </c>
      <c r="L81">
        <v>367.274</v>
      </c>
      <c r="M81">
        <v>0.99970570000000003</v>
      </c>
      <c r="N81">
        <v>0</v>
      </c>
      <c r="O81">
        <v>2.240116E-2</v>
      </c>
      <c r="P81">
        <v>0.99610069999999995</v>
      </c>
      <c r="Q81">
        <v>1.9157219999999999E-2</v>
      </c>
      <c r="R81">
        <v>-8.6120470000000005E-2</v>
      </c>
      <c r="S81">
        <v>2.9993289999999999</v>
      </c>
      <c r="T81">
        <v>-0.2376316</v>
      </c>
      <c r="U81">
        <v>-0.1874084</v>
      </c>
      <c r="V81">
        <v>0.1084094</v>
      </c>
      <c r="W81">
        <v>2.8430750000000001E-2</v>
      </c>
      <c r="X81">
        <v>0.99369969999999996</v>
      </c>
      <c r="Y81">
        <v>8.4371329999999994E-2</v>
      </c>
      <c r="Z81">
        <v>-5.104417E-3</v>
      </c>
      <c r="AA81">
        <v>0.99642129999999995</v>
      </c>
      <c r="AB81">
        <v>4</v>
      </c>
      <c r="AC81">
        <v>0.68699999999995498</v>
      </c>
      <c r="AD81">
        <v>-5.8640999999999902E-2</v>
      </c>
      <c r="AE81">
        <v>-4.88000000000283E-2</v>
      </c>
      <c r="AF81">
        <v>6.3716112267761096E-2</v>
      </c>
      <c r="AG81">
        <v>-5.8640999999999902E-2</v>
      </c>
      <c r="AH81">
        <v>0.68079896747036905</v>
      </c>
      <c r="AI81">
        <v>94.901737150466502</v>
      </c>
      <c r="AJ81">
        <v>84.653251125116796</v>
      </c>
      <c r="AK81">
        <v>0.68628401114424797</v>
      </c>
      <c r="AL81">
        <v>88.370818485827698</v>
      </c>
      <c r="AM81">
        <v>83.773840653598995</v>
      </c>
      <c r="AN81">
        <v>0.99999999966700603</v>
      </c>
    </row>
    <row r="82" spans="1:40" x14ac:dyDescent="0.25">
      <c r="A82" t="str">
        <f>"20190312161223172"</f>
        <v>20190312161223172</v>
      </c>
      <c r="B82" t="str">
        <f>"1552378343165684"</f>
        <v>1552378343165684</v>
      </c>
      <c r="C82" t="s">
        <v>40</v>
      </c>
      <c r="D82">
        <v>5.9212179999999996</v>
      </c>
      <c r="E82">
        <v>0.49198069999999999</v>
      </c>
      <c r="F82" t="s">
        <v>43</v>
      </c>
      <c r="G82">
        <v>-473.42200000000003</v>
      </c>
      <c r="H82">
        <v>1.0529189999999999</v>
      </c>
      <c r="I82">
        <v>367.22609999999997</v>
      </c>
      <c r="J82">
        <v>-474.15199999999999</v>
      </c>
      <c r="K82">
        <v>1.109688</v>
      </c>
      <c r="L82">
        <v>367.27539999999999</v>
      </c>
      <c r="M82">
        <v>0.99970420000000004</v>
      </c>
      <c r="N82">
        <v>0</v>
      </c>
      <c r="O82">
        <v>2.2817770000000001E-2</v>
      </c>
      <c r="P82">
        <v>0.9961063</v>
      </c>
      <c r="Q82">
        <v>2.0281199999999999E-2</v>
      </c>
      <c r="R82">
        <v>-8.5795910000000003E-2</v>
      </c>
      <c r="S82">
        <v>3.000092</v>
      </c>
      <c r="T82">
        <v>-0.220917</v>
      </c>
      <c r="U82">
        <v>-0.18347169999999999</v>
      </c>
      <c r="V82">
        <v>0.10849739999999999</v>
      </c>
      <c r="W82">
        <v>2.8668119999999998E-2</v>
      </c>
      <c r="X82">
        <v>0.99368330000000005</v>
      </c>
      <c r="Y82">
        <v>8.3514550000000007E-2</v>
      </c>
      <c r="Z82">
        <v>-4.744496E-3</v>
      </c>
      <c r="AA82">
        <v>0.99649520000000003</v>
      </c>
      <c r="AB82">
        <v>5</v>
      </c>
      <c r="AC82">
        <v>0.73000000000001797</v>
      </c>
      <c r="AD82">
        <v>-5.6768999999999799E-2</v>
      </c>
      <c r="AE82">
        <v>-4.9300000000016497E-2</v>
      </c>
      <c r="AF82">
        <v>6.5550110370103096E-2</v>
      </c>
      <c r="AG82">
        <v>-5.6768999999999799E-2</v>
      </c>
      <c r="AH82">
        <v>0.72432449459457604</v>
      </c>
      <c r="AI82">
        <v>94.463235767373007</v>
      </c>
      <c r="AJ82">
        <v>84.828917582702303</v>
      </c>
      <c r="AK82">
        <v>0.729496751055288</v>
      </c>
      <c r="AL82">
        <v>88.357212680282501</v>
      </c>
      <c r="AM82">
        <v>83.768724354214598</v>
      </c>
      <c r="AN82">
        <v>1.00000002380499</v>
      </c>
    </row>
    <row r="83" spans="1:40" x14ac:dyDescent="0.25">
      <c r="A83" t="str">
        <f>"20190312161223190"</f>
        <v>20190312161223190</v>
      </c>
      <c r="B83" t="str">
        <f>"1552378343185204"</f>
        <v>1552378343185204</v>
      </c>
      <c r="C83" t="s">
        <v>40</v>
      </c>
      <c r="D83">
        <v>5.927244</v>
      </c>
      <c r="E83">
        <v>0.49178939999999999</v>
      </c>
      <c r="F83" t="s">
        <v>43</v>
      </c>
      <c r="G83">
        <v>-473.37909999999999</v>
      </c>
      <c r="H83">
        <v>1.054759</v>
      </c>
      <c r="I83">
        <v>367.22899999999998</v>
      </c>
      <c r="J83">
        <v>-474.11520000000002</v>
      </c>
      <c r="K83">
        <v>1.1099270000000001</v>
      </c>
      <c r="L83">
        <v>367.27659999999997</v>
      </c>
      <c r="M83">
        <v>0.9996931</v>
      </c>
      <c r="N83">
        <v>0</v>
      </c>
      <c r="O83">
        <v>2.31021E-2</v>
      </c>
      <c r="P83">
        <v>0.99610299999999996</v>
      </c>
      <c r="Q83">
        <v>1.9045490000000002E-2</v>
      </c>
      <c r="R83">
        <v>-8.6118269999999997E-2</v>
      </c>
      <c r="S83">
        <v>3.0004879999999998</v>
      </c>
      <c r="T83">
        <v>-0.21320120000000001</v>
      </c>
      <c r="U83">
        <v>-0.1805725</v>
      </c>
      <c r="V83">
        <v>0.10910309999999999</v>
      </c>
      <c r="W83">
        <v>2.7960780000000001E-2</v>
      </c>
      <c r="X83">
        <v>0.99363710000000005</v>
      </c>
      <c r="Y83">
        <v>8.2851369999999994E-2</v>
      </c>
      <c r="Z83">
        <v>-4.575399E-3</v>
      </c>
      <c r="AA83">
        <v>0.99655139999999998</v>
      </c>
      <c r="AB83">
        <v>5</v>
      </c>
      <c r="AC83">
        <v>0.73610000000002096</v>
      </c>
      <c r="AD83">
        <v>-5.5168000000000099E-2</v>
      </c>
      <c r="AE83">
        <v>-4.7599999999931697E-2</v>
      </c>
      <c r="AF83">
        <v>6.4234133398043E-2</v>
      </c>
      <c r="AG83">
        <v>-5.5168000000000099E-2</v>
      </c>
      <c r="AH83">
        <v>0.73071651382431002</v>
      </c>
      <c r="AI83">
        <v>94.301031062713605</v>
      </c>
      <c r="AJ83">
        <v>84.976288966179794</v>
      </c>
      <c r="AK83">
        <v>0.73560597855982002</v>
      </c>
      <c r="AL83">
        <v>88.397756476605807</v>
      </c>
      <c r="AM83">
        <v>83.733924410542002</v>
      </c>
      <c r="AN83">
        <v>0.99999998907211396</v>
      </c>
    </row>
    <row r="84" spans="1:40" x14ac:dyDescent="0.25">
      <c r="A84" t="str">
        <f>"20190312161223211"</f>
        <v>20190312161223211</v>
      </c>
      <c r="B84" t="str">
        <f>"1552378343205700"</f>
        <v>1552378343205700</v>
      </c>
      <c r="C84" t="s">
        <v>40</v>
      </c>
      <c r="D84">
        <v>5.7683530000000003</v>
      </c>
      <c r="E84">
        <v>0.49263970000000001</v>
      </c>
      <c r="F84" t="s">
        <v>43</v>
      </c>
      <c r="G84">
        <v>-473.34070000000003</v>
      </c>
      <c r="H84">
        <v>1.0552280000000001</v>
      </c>
      <c r="I84">
        <v>367.2296</v>
      </c>
      <c r="J84">
        <v>-474.07690000000002</v>
      </c>
      <c r="K84">
        <v>1.1103829999999999</v>
      </c>
      <c r="L84">
        <v>367.27789999999999</v>
      </c>
      <c r="M84">
        <v>0.99967209999999995</v>
      </c>
      <c r="N84">
        <v>0</v>
      </c>
      <c r="O84">
        <v>2.3349330000000001E-2</v>
      </c>
      <c r="P84">
        <v>0.99606220000000001</v>
      </c>
      <c r="Q84">
        <v>1.7744739999999998E-2</v>
      </c>
      <c r="R84">
        <v>-8.6865769999999995E-2</v>
      </c>
      <c r="S84">
        <v>3.0002439999999999</v>
      </c>
      <c r="T84">
        <v>-0.21245649999999999</v>
      </c>
      <c r="U84">
        <v>-0.18029790000000001</v>
      </c>
      <c r="V84">
        <v>0.1100983</v>
      </c>
      <c r="W84">
        <v>2.8204819999999999E-2</v>
      </c>
      <c r="X84">
        <v>0.99352039999999997</v>
      </c>
      <c r="Y84">
        <v>8.3012920000000004E-2</v>
      </c>
      <c r="Z84">
        <v>-4.5830430000000002E-3</v>
      </c>
      <c r="AA84">
        <v>0.99653789999999998</v>
      </c>
      <c r="AB84">
        <v>5</v>
      </c>
      <c r="AC84">
        <v>0.73619999999999597</v>
      </c>
      <c r="AD84">
        <v>-5.5154999999999801E-2</v>
      </c>
      <c r="AE84">
        <v>-4.8299999999983301E-2</v>
      </c>
      <c r="AF84">
        <v>6.5113654568931104E-2</v>
      </c>
      <c r="AG84">
        <v>-5.5154999999999801E-2</v>
      </c>
      <c r="AH84">
        <v>0.73078726074632105</v>
      </c>
      <c r="AI84">
        <v>94.299157144340597</v>
      </c>
      <c r="AJ84">
        <v>84.9083517680494</v>
      </c>
      <c r="AK84">
        <v>0.73575259598959897</v>
      </c>
      <c r="AL84">
        <v>88.383768460838994</v>
      </c>
      <c r="AM84">
        <v>83.676491652283104</v>
      </c>
      <c r="AN84">
        <v>0.99999996637513999</v>
      </c>
    </row>
    <row r="85" spans="1:40" x14ac:dyDescent="0.25">
      <c r="A85" t="str">
        <f>"20190312161223234"</f>
        <v>20190312161223234</v>
      </c>
      <c r="B85" t="str">
        <f>"1552378343225221"</f>
        <v>1552378343225221</v>
      </c>
      <c r="C85" t="s">
        <v>40</v>
      </c>
      <c r="D85">
        <v>5.9200280000000003</v>
      </c>
      <c r="E85">
        <v>0.49350660000000002</v>
      </c>
      <c r="F85" t="s">
        <v>43</v>
      </c>
      <c r="G85">
        <v>-473.32850000000002</v>
      </c>
      <c r="H85">
        <v>1.0169809999999999</v>
      </c>
      <c r="I85">
        <v>367.23250000000002</v>
      </c>
      <c r="J85">
        <v>-474.03640000000001</v>
      </c>
      <c r="K85">
        <v>1.110708</v>
      </c>
      <c r="L85">
        <v>367.2792</v>
      </c>
      <c r="M85">
        <v>0.99964989999999998</v>
      </c>
      <c r="N85">
        <v>0</v>
      </c>
      <c r="O85">
        <v>2.3576509999999998E-2</v>
      </c>
      <c r="P85">
        <v>0.99605089999999996</v>
      </c>
      <c r="Q85">
        <v>1.598861E-2</v>
      </c>
      <c r="R85">
        <v>-8.7333919999999995E-2</v>
      </c>
      <c r="S85">
        <v>3.0026860000000002</v>
      </c>
      <c r="T85">
        <v>-0.3747026</v>
      </c>
      <c r="U85">
        <v>-0.18154909999999999</v>
      </c>
      <c r="V85">
        <v>0.1107954</v>
      </c>
      <c r="W85">
        <v>2.7918829999999999E-2</v>
      </c>
      <c r="X85">
        <v>0.99345099999999997</v>
      </c>
      <c r="Y85">
        <v>8.3046209999999995E-2</v>
      </c>
      <c r="Z85">
        <v>-8.0855719999999992E-3</v>
      </c>
      <c r="AA85">
        <v>0.99651290000000003</v>
      </c>
      <c r="AB85">
        <v>4</v>
      </c>
      <c r="AC85">
        <v>0.70789999999999498</v>
      </c>
      <c r="AD85">
        <v>-9.3727000000000102E-2</v>
      </c>
      <c r="AE85">
        <v>-4.6699999999987002E-2</v>
      </c>
      <c r="AF85">
        <v>6.22907969963232E-2</v>
      </c>
      <c r="AG85">
        <v>-9.3727000000000102E-2</v>
      </c>
      <c r="AH85">
        <v>0.69448050464644395</v>
      </c>
      <c r="AI85">
        <v>97.655822455278596</v>
      </c>
      <c r="AJ85">
        <v>84.874622428575705</v>
      </c>
      <c r="AK85">
        <v>0.70353966857130101</v>
      </c>
      <c r="AL85">
        <v>88.400160967668697</v>
      </c>
      <c r="AM85">
        <v>83.636340154532107</v>
      </c>
      <c r="AN85">
        <v>0.99999998556536396</v>
      </c>
    </row>
    <row r="86" spans="1:40" x14ac:dyDescent="0.25">
      <c r="A86" t="str">
        <f>"20190312161223255"</f>
        <v>20190312161223255</v>
      </c>
      <c r="B86" t="str">
        <f>"1552378343245716"</f>
        <v>1552378343245716</v>
      </c>
      <c r="C86" t="s">
        <v>40</v>
      </c>
      <c r="D86">
        <v>5.8981029999999999</v>
      </c>
      <c r="E86">
        <v>0.49283189999999999</v>
      </c>
      <c r="F86" t="s">
        <v>43</v>
      </c>
      <c r="G86">
        <v>-473.2876</v>
      </c>
      <c r="H86">
        <v>1.0209330000000001</v>
      </c>
      <c r="I86">
        <v>367.23110000000003</v>
      </c>
      <c r="J86">
        <v>-473.99329999999998</v>
      </c>
      <c r="K86">
        <v>1.110457</v>
      </c>
      <c r="L86">
        <v>367.28050000000002</v>
      </c>
      <c r="M86">
        <v>0.99965090000000001</v>
      </c>
      <c r="N86">
        <v>0</v>
      </c>
      <c r="O86">
        <v>2.385692E-2</v>
      </c>
      <c r="P86">
        <v>0.99603470000000005</v>
      </c>
      <c r="Q86">
        <v>1.6252639999999999E-2</v>
      </c>
      <c r="R86">
        <v>-8.7468959999999998E-2</v>
      </c>
      <c r="S86">
        <v>3.0008849999999998</v>
      </c>
      <c r="T86">
        <v>-0.3602591</v>
      </c>
      <c r="U86">
        <v>-0.1910095</v>
      </c>
      <c r="V86">
        <v>0.1112078</v>
      </c>
      <c r="W86">
        <v>2.7542270000000001E-2</v>
      </c>
      <c r="X86">
        <v>0.99341539999999995</v>
      </c>
      <c r="Y86">
        <v>8.6525030000000003E-2</v>
      </c>
      <c r="Z86">
        <v>-8.021416E-3</v>
      </c>
      <c r="AA86">
        <v>0.99621740000000003</v>
      </c>
      <c r="AB86">
        <v>4</v>
      </c>
      <c r="AC86">
        <v>0.70569999999997801</v>
      </c>
      <c r="AD86">
        <v>-8.9523999999999895E-2</v>
      </c>
      <c r="AE86">
        <v>-4.9399999999991402E-2</v>
      </c>
      <c r="AF86">
        <v>6.5179036484943303E-2</v>
      </c>
      <c r="AG86">
        <v>-8.9523999999999895E-2</v>
      </c>
      <c r="AH86">
        <v>0.693218896645732</v>
      </c>
      <c r="AI86">
        <v>97.326629754725104</v>
      </c>
      <c r="AJ86">
        <v>84.628627593464202</v>
      </c>
      <c r="AK86">
        <v>0.70200804271734096</v>
      </c>
      <c r="AL86">
        <v>88.421744517617597</v>
      </c>
      <c r="AM86">
        <v>83.612621885360795</v>
      </c>
      <c r="AN86">
        <v>0.99999995418737497</v>
      </c>
    </row>
    <row r="87" spans="1:40" x14ac:dyDescent="0.25">
      <c r="A87" t="str">
        <f>"20190312161223276"</f>
        <v>20190312161223276</v>
      </c>
      <c r="B87" t="str">
        <f>"1552378343266212"</f>
        <v>1552378343266212</v>
      </c>
      <c r="C87" t="s">
        <v>40</v>
      </c>
      <c r="D87">
        <v>5.915375</v>
      </c>
      <c r="E87">
        <v>0.4922338</v>
      </c>
      <c r="F87" t="s">
        <v>43</v>
      </c>
      <c r="G87">
        <v>-473.2389</v>
      </c>
      <c r="H87">
        <v>1.0323119999999999</v>
      </c>
      <c r="I87">
        <v>367.23270000000002</v>
      </c>
      <c r="J87">
        <v>-473.94560000000001</v>
      </c>
      <c r="K87">
        <v>1.1100209999999999</v>
      </c>
      <c r="L87">
        <v>367.28199999999998</v>
      </c>
      <c r="M87">
        <v>0.99965839999999995</v>
      </c>
      <c r="N87">
        <v>0</v>
      </c>
      <c r="O87">
        <v>2.4234260000000001E-2</v>
      </c>
      <c r="P87">
        <v>0.99607319999999999</v>
      </c>
      <c r="Q87">
        <v>1.6654639999999998E-2</v>
      </c>
      <c r="R87">
        <v>-8.6953530000000001E-2</v>
      </c>
      <c r="S87">
        <v>3.0004879999999998</v>
      </c>
      <c r="T87">
        <v>-0.31107970000000001</v>
      </c>
      <c r="U87">
        <v>-0.18881229999999999</v>
      </c>
      <c r="V87">
        <v>0.11106630000000001</v>
      </c>
      <c r="W87">
        <v>2.6396369999999999E-2</v>
      </c>
      <c r="X87">
        <v>0.99346239999999997</v>
      </c>
      <c r="Y87">
        <v>8.6381310000000003E-2</v>
      </c>
      <c r="Z87">
        <v>-6.9652639999999997E-3</v>
      </c>
      <c r="AA87">
        <v>0.99623779999999995</v>
      </c>
      <c r="AB87">
        <v>4</v>
      </c>
      <c r="AC87">
        <v>0.70670000000001199</v>
      </c>
      <c r="AD87">
        <v>-7.7708999999999806E-2</v>
      </c>
      <c r="AE87">
        <v>-4.9299999999959702E-2</v>
      </c>
      <c r="AF87">
        <v>6.5623066936863095E-2</v>
      </c>
      <c r="AG87">
        <v>-7.7708999999999806E-2</v>
      </c>
      <c r="AH87">
        <v>0.6969118710194</v>
      </c>
      <c r="AI87">
        <v>96.334678611987599</v>
      </c>
      <c r="AJ87">
        <v>84.620738878891103</v>
      </c>
      <c r="AK87">
        <v>0.70429484703706302</v>
      </c>
      <c r="AL87">
        <v>88.487423741171298</v>
      </c>
      <c r="AM87">
        <v>83.620981409433796</v>
      </c>
      <c r="AN87">
        <v>1.0000000157793101</v>
      </c>
    </row>
    <row r="88" spans="1:40" x14ac:dyDescent="0.25">
      <c r="A88" t="str">
        <f>"20190312161223301"</f>
        <v>20190312161223301</v>
      </c>
      <c r="B88" t="str">
        <f>"1552378343295492"</f>
        <v>1552378343295492</v>
      </c>
      <c r="C88" t="s">
        <v>40</v>
      </c>
      <c r="D88">
        <v>5.7879899999999997</v>
      </c>
      <c r="E88">
        <v>0.49204379999999998</v>
      </c>
      <c r="F88" t="s">
        <v>43</v>
      </c>
      <c r="G88">
        <v>-473.19049999999999</v>
      </c>
      <c r="H88">
        <v>1.037947</v>
      </c>
      <c r="I88">
        <v>367.23520000000002</v>
      </c>
      <c r="J88">
        <v>-473.88940000000002</v>
      </c>
      <c r="K88">
        <v>1.1096889999999999</v>
      </c>
      <c r="L88">
        <v>367.28379999999999</v>
      </c>
      <c r="M88">
        <v>0.99966010000000005</v>
      </c>
      <c r="N88">
        <v>0</v>
      </c>
      <c r="O88">
        <v>2.473146E-2</v>
      </c>
      <c r="P88">
        <v>0.99606950000000005</v>
      </c>
      <c r="Q88">
        <v>1.7681019999999999E-2</v>
      </c>
      <c r="R88">
        <v>-8.6792869999999994E-2</v>
      </c>
      <c r="S88">
        <v>3.00061</v>
      </c>
      <c r="T88">
        <v>-0.28717029999999999</v>
      </c>
      <c r="U88">
        <v>-0.18313599999999999</v>
      </c>
      <c r="V88">
        <v>0.1113971</v>
      </c>
      <c r="W88">
        <v>2.5895390000000001E-2</v>
      </c>
      <c r="X88">
        <v>0.9934385</v>
      </c>
      <c r="Y88">
        <v>8.5087200000000002E-2</v>
      </c>
      <c r="Z88">
        <v>-6.4182270000000003E-3</v>
      </c>
      <c r="AA88">
        <v>0.99635289999999999</v>
      </c>
      <c r="AB88">
        <v>5</v>
      </c>
      <c r="AC88">
        <v>0.69890000000003705</v>
      </c>
      <c r="AD88">
        <v>-7.1741999999999903E-2</v>
      </c>
      <c r="AE88">
        <v>-4.8599999999964803E-2</v>
      </c>
      <c r="AF88">
        <v>6.5186969656805094E-2</v>
      </c>
      <c r="AG88">
        <v>-7.1741999999999903E-2</v>
      </c>
      <c r="AH88">
        <v>0.69024610207457504</v>
      </c>
      <c r="AI88">
        <v>95.907736340779095</v>
      </c>
      <c r="AJ88">
        <v>84.6049773157755</v>
      </c>
      <c r="AK88">
        <v>0.69701932326599203</v>
      </c>
      <c r="AL88">
        <v>88.516137527677003</v>
      </c>
      <c r="AM88">
        <v>83.601986798166294</v>
      </c>
      <c r="AN88">
        <v>0.999999969196955</v>
      </c>
    </row>
    <row r="89" spans="1:40" x14ac:dyDescent="0.25">
      <c r="A89" t="str">
        <f>"20190312161223323"</f>
        <v>20190312161223323</v>
      </c>
      <c r="B89" t="str">
        <f>"1552378343315988"</f>
        <v>1552378343315988</v>
      </c>
      <c r="C89" t="s">
        <v>40</v>
      </c>
      <c r="D89">
        <v>5.6725659999999998</v>
      </c>
      <c r="E89">
        <v>0.47242430000000002</v>
      </c>
      <c r="F89" t="s">
        <v>43</v>
      </c>
      <c r="G89">
        <v>-473.14100000000002</v>
      </c>
      <c r="H89">
        <v>1.042419</v>
      </c>
      <c r="I89">
        <v>367.23860000000002</v>
      </c>
      <c r="J89">
        <v>-473.8381</v>
      </c>
      <c r="K89">
        <v>1.109842</v>
      </c>
      <c r="L89">
        <v>367.28550000000001</v>
      </c>
      <c r="M89">
        <v>0.99964869999999995</v>
      </c>
      <c r="N89">
        <v>0</v>
      </c>
      <c r="O89">
        <v>2.5151349999999999E-2</v>
      </c>
      <c r="P89">
        <v>0.99603810000000004</v>
      </c>
      <c r="Q89">
        <v>1.798742E-2</v>
      </c>
      <c r="R89">
        <v>-8.7091450000000001E-2</v>
      </c>
      <c r="S89">
        <v>3.0008240000000002</v>
      </c>
      <c r="T89">
        <v>-0.26969860000000001</v>
      </c>
      <c r="U89">
        <v>-0.18124390000000001</v>
      </c>
      <c r="V89">
        <v>0.11211160000000001</v>
      </c>
      <c r="W89">
        <v>2.6322959999999999E-2</v>
      </c>
      <c r="X89">
        <v>0.99334690000000003</v>
      </c>
      <c r="Y89">
        <v>8.4933330000000001E-2</v>
      </c>
      <c r="Z89">
        <v>-6.0597749999999999E-3</v>
      </c>
      <c r="AA89">
        <v>0.99636820000000004</v>
      </c>
      <c r="AB89">
        <v>5</v>
      </c>
      <c r="AC89">
        <v>0.69710000000003403</v>
      </c>
      <c r="AD89">
        <v>-6.7422999999999997E-2</v>
      </c>
      <c r="AE89">
        <v>-4.6899999999993697E-2</v>
      </c>
      <c r="AF89">
        <v>6.3824418537052494E-2</v>
      </c>
      <c r="AG89">
        <v>-6.7422999999999997E-2</v>
      </c>
      <c r="AH89">
        <v>0.68928091696333604</v>
      </c>
      <c r="AI89">
        <v>95.563048493903494</v>
      </c>
      <c r="AJ89">
        <v>84.709744777702596</v>
      </c>
      <c r="AK89">
        <v>0.69550528381918897</v>
      </c>
      <c r="AL89">
        <v>88.491631241990206</v>
      </c>
      <c r="AM89">
        <v>83.5607047838527</v>
      </c>
      <c r="AN89">
        <v>0.99999998640866505</v>
      </c>
    </row>
    <row r="90" spans="1:40" x14ac:dyDescent="0.25">
      <c r="A90" t="str">
        <f>"20190312161223345"</f>
        <v>20190312161223345</v>
      </c>
      <c r="B90" t="str">
        <f>"1552378343335508"</f>
        <v>1552378343335508</v>
      </c>
      <c r="C90" t="s">
        <v>40</v>
      </c>
      <c r="D90">
        <v>5.8557290000000002</v>
      </c>
      <c r="E90">
        <v>0.472661</v>
      </c>
      <c r="F90" t="s">
        <v>42</v>
      </c>
      <c r="G90">
        <v>-327.45030000000003</v>
      </c>
      <c r="H90" s="1">
        <v>-1.970102E-6</v>
      </c>
      <c r="I90">
        <v>365.42070000000001</v>
      </c>
      <c r="J90">
        <v>-473.7955</v>
      </c>
      <c r="K90">
        <v>1.1102959999999999</v>
      </c>
      <c r="L90">
        <v>367.28699999999998</v>
      </c>
      <c r="M90">
        <v>0.99962770000000001</v>
      </c>
      <c r="N90">
        <v>0</v>
      </c>
      <c r="O90">
        <v>2.543538E-2</v>
      </c>
      <c r="P90">
        <v>0.99607040000000002</v>
      </c>
      <c r="Q90">
        <v>1.6167560000000001E-2</v>
      </c>
      <c r="R90">
        <v>-8.7079619999999996E-2</v>
      </c>
      <c r="S90">
        <v>3.0090330000000001</v>
      </c>
      <c r="T90">
        <v>-2.2813079999999999E-2</v>
      </c>
      <c r="U90">
        <v>-3.8330080000000002E-2</v>
      </c>
      <c r="V90">
        <v>0.112384999999999</v>
      </c>
      <c r="W90">
        <v>2.5992149999999999E-2</v>
      </c>
      <c r="X90">
        <v>0.99332480000000001</v>
      </c>
      <c r="Y90">
        <v>3.8165909999999997E-2</v>
      </c>
      <c r="Z90">
        <v>-3.3750019999999998E-4</v>
      </c>
      <c r="AA90">
        <v>0.99927129999999997</v>
      </c>
      <c r="AB90">
        <v>5</v>
      </c>
      <c r="AC90">
        <v>146.34519999999901</v>
      </c>
      <c r="AD90">
        <v>-1.1102979701019999</v>
      </c>
      <c r="AE90">
        <v>-1.8662999999999601</v>
      </c>
      <c r="AF90">
        <v>5.5879018018235396</v>
      </c>
      <c r="AG90">
        <v>-1.1102979701019999</v>
      </c>
      <c r="AH90">
        <v>146.24195937500701</v>
      </c>
      <c r="AI90">
        <v>90.434675382243796</v>
      </c>
      <c r="AJ90">
        <v>87.811794136926693</v>
      </c>
      <c r="AK90">
        <v>146.35288890203199</v>
      </c>
      <c r="AL90">
        <v>88.510591870145902</v>
      </c>
      <c r="AM90">
        <v>83.544991625524005</v>
      </c>
      <c r="AN90">
        <v>1.00000006919082</v>
      </c>
    </row>
    <row r="91" spans="1:40" x14ac:dyDescent="0.25">
      <c r="A91" t="str">
        <f>"20190312161223390"</f>
        <v>20190312161223390</v>
      </c>
      <c r="B91" t="str">
        <f>"1552378343385284"</f>
        <v>1552378343385284</v>
      </c>
      <c r="C91" t="s">
        <v>40</v>
      </c>
      <c r="D91">
        <v>5.9377380000000004</v>
      </c>
      <c r="E91">
        <v>0.47159099999999998</v>
      </c>
      <c r="F91" t="s">
        <v>53</v>
      </c>
      <c r="G91">
        <v>-175.64580000000001</v>
      </c>
      <c r="H91">
        <v>7.9988069999999994E-2</v>
      </c>
      <c r="I91">
        <v>363.20699999999999</v>
      </c>
      <c r="J91">
        <v>-473.70940000000002</v>
      </c>
      <c r="K91">
        <v>1.1106720000000001</v>
      </c>
      <c r="L91">
        <v>367.28989999999999</v>
      </c>
      <c r="M91">
        <v>0.99959299999999995</v>
      </c>
      <c r="N91">
        <v>0</v>
      </c>
      <c r="O91">
        <v>2.5912060000000001E-2</v>
      </c>
      <c r="P91">
        <v>0.99602440000000003</v>
      </c>
      <c r="Q91">
        <v>1.3431709999999999E-2</v>
      </c>
      <c r="R91">
        <v>-8.8064569999999995E-2</v>
      </c>
      <c r="S91">
        <v>3.0084230000000001</v>
      </c>
      <c r="T91">
        <v>-1.039612E-2</v>
      </c>
      <c r="U91">
        <v>-4.1168209999999997E-2</v>
      </c>
      <c r="V91">
        <v>0.11384619999999999</v>
      </c>
      <c r="W91">
        <v>2.5294290000000001E-2</v>
      </c>
      <c r="X91">
        <v>0.99317630000000001</v>
      </c>
      <c r="Y91">
        <v>3.9589520000000003E-2</v>
      </c>
      <c r="Z91">
        <v>-1.5794269999999999E-4</v>
      </c>
      <c r="AA91">
        <v>0.99921599999999999</v>
      </c>
      <c r="AB91">
        <v>4</v>
      </c>
      <c r="AC91">
        <v>298.06360000000001</v>
      </c>
      <c r="AD91">
        <v>-1.0306839299999999</v>
      </c>
      <c r="AE91">
        <v>-4.0828999999999898</v>
      </c>
      <c r="AF91">
        <v>11.805379592768499</v>
      </c>
      <c r="AG91">
        <v>-1.0306839299999999</v>
      </c>
      <c r="AH91">
        <v>297.85413905032902</v>
      </c>
      <c r="AI91">
        <v>90.198107954926499</v>
      </c>
      <c r="AJ91">
        <v>87.730283105228594</v>
      </c>
      <c r="AK91">
        <v>298.08978084816198</v>
      </c>
      <c r="AL91">
        <v>88.5505892963495</v>
      </c>
      <c r="AM91">
        <v>83.460818276776706</v>
      </c>
      <c r="AN91">
        <v>0.99999996062136598</v>
      </c>
    </row>
    <row r="92" spans="1:40" x14ac:dyDescent="0.25">
      <c r="A92" t="str">
        <f>"20190312161223969"</f>
        <v>20190312161223969</v>
      </c>
      <c r="B92" t="str">
        <f>"1552378343966005"</f>
        <v>1552378343966005</v>
      </c>
      <c r="C92" t="s">
        <v>40</v>
      </c>
      <c r="D92">
        <v>5.8930600000000002</v>
      </c>
      <c r="E92">
        <v>0.47168179999999998</v>
      </c>
      <c r="F92" t="s">
        <v>52</v>
      </c>
      <c r="G92">
        <v>-158.19499999999999</v>
      </c>
      <c r="H92">
        <v>0.42239710000000003</v>
      </c>
      <c r="I92">
        <v>363.48809999999997</v>
      </c>
      <c r="J92">
        <v>-472.32589999999999</v>
      </c>
      <c r="K92">
        <v>1.1104889999999901</v>
      </c>
      <c r="L92">
        <v>367.34199999999998</v>
      </c>
      <c r="M92">
        <v>0.9993303</v>
      </c>
      <c r="N92">
        <v>0</v>
      </c>
      <c r="O92">
        <v>3.4861999999999997E-2</v>
      </c>
      <c r="P92">
        <v>0.9965271</v>
      </c>
      <c r="Q92">
        <v>1.175958E-2</v>
      </c>
      <c r="R92">
        <v>-8.2435670000000003E-2</v>
      </c>
      <c r="S92">
        <v>3.0088200000000001</v>
      </c>
      <c r="T92">
        <v>-6.5627100000000002E-3</v>
      </c>
      <c r="U92">
        <v>-3.6254880000000003E-2</v>
      </c>
      <c r="V92">
        <v>0.1171281</v>
      </c>
      <c r="W92">
        <v>2.2811169999999999E-2</v>
      </c>
      <c r="X92">
        <v>0.99285480000000004</v>
      </c>
      <c r="Y92">
        <v>4.6902770000000003E-2</v>
      </c>
      <c r="Z92">
        <v>-1.2718310000000001E-4</v>
      </c>
      <c r="AA92">
        <v>0.99889950000000005</v>
      </c>
      <c r="AB92">
        <v>5</v>
      </c>
      <c r="AC92">
        <v>314.1309</v>
      </c>
      <c r="AD92">
        <v>-0.68809189999999898</v>
      </c>
      <c r="AE92">
        <v>-3.8538999999999999</v>
      </c>
      <c r="AF92">
        <v>14.803394287719</v>
      </c>
      <c r="AG92">
        <v>-0.68809189999999898</v>
      </c>
      <c r="AH92">
        <v>313.804059029629</v>
      </c>
      <c r="AI92">
        <v>90.1254952034176</v>
      </c>
      <c r="AJ92">
        <v>87.299130909035696</v>
      </c>
      <c r="AK92">
        <v>314.15378625184701</v>
      </c>
      <c r="AL92">
        <v>88.692902855484306</v>
      </c>
      <c r="AM92">
        <v>83.271855301970902</v>
      </c>
      <c r="AN92">
        <v>0.99999999758470903</v>
      </c>
    </row>
    <row r="93" spans="1:40" x14ac:dyDescent="0.25">
      <c r="A93" t="str">
        <f>"20190312161223994"</f>
        <v>20190312161223994</v>
      </c>
      <c r="B93" t="str">
        <f>"1552378343985525"</f>
        <v>1552378343985525</v>
      </c>
      <c r="C93" t="s">
        <v>40</v>
      </c>
      <c r="D93">
        <v>5.781803</v>
      </c>
      <c r="E93">
        <v>0.47138449999999998</v>
      </c>
      <c r="F93" t="s">
        <v>52</v>
      </c>
      <c r="G93">
        <v>-158.19499999999999</v>
      </c>
      <c r="H93">
        <v>2.2212230000000002</v>
      </c>
      <c r="I93">
        <v>365.18169999999998</v>
      </c>
      <c r="J93">
        <v>-472.25850000000003</v>
      </c>
      <c r="K93">
        <v>1.110006</v>
      </c>
      <c r="L93">
        <v>367.34480000000002</v>
      </c>
      <c r="M93">
        <v>0.9993322</v>
      </c>
      <c r="N93">
        <v>0</v>
      </c>
      <c r="O93">
        <v>3.5292799999999999E-2</v>
      </c>
      <c r="P93">
        <v>0.99650530000000004</v>
      </c>
      <c r="Q93">
        <v>1.394278E-2</v>
      </c>
      <c r="R93">
        <v>-8.2360290000000003E-2</v>
      </c>
      <c r="S93">
        <v>3.0086059999999999</v>
      </c>
      <c r="T93">
        <v>1.0638949999999999E-2</v>
      </c>
      <c r="U93">
        <v>-2.0690920000000002E-2</v>
      </c>
      <c r="V93">
        <v>0.1174777</v>
      </c>
      <c r="W93">
        <v>2.3356519999999999E-2</v>
      </c>
      <c r="X93">
        <v>0.99280080000000004</v>
      </c>
      <c r="Y93">
        <v>4.2165859999999999E-2</v>
      </c>
      <c r="Z93">
        <v>1.9934130000000001E-4</v>
      </c>
      <c r="AA93">
        <v>0.99911059999999996</v>
      </c>
      <c r="AB93">
        <v>6</v>
      </c>
      <c r="AC93">
        <v>314.06349999999998</v>
      </c>
      <c r="AD93">
        <v>1.1112169999999999</v>
      </c>
      <c r="AE93">
        <v>-2.16310000000004</v>
      </c>
      <c r="AF93">
        <v>13.2462632250387</v>
      </c>
      <c r="AG93">
        <v>1.1112169999999999</v>
      </c>
      <c r="AH93">
        <v>313.78755230946001</v>
      </c>
      <c r="AI93">
        <v>89.797279640957498</v>
      </c>
      <c r="AJ93">
        <v>87.582744676245497</v>
      </c>
      <c r="AK93">
        <v>314.06898330941601</v>
      </c>
      <c r="AL93">
        <v>88.661648253479697</v>
      </c>
      <c r="AM93">
        <v>83.251594630546904</v>
      </c>
      <c r="AN93">
        <v>0.99999998275222002</v>
      </c>
    </row>
    <row r="94" spans="1:40" x14ac:dyDescent="0.25">
      <c r="A94" t="str">
        <f>"20190312161224080"</f>
        <v>20190312161224080</v>
      </c>
      <c r="B94" t="str">
        <f>"1552378344075316"</f>
        <v>1552378344075316</v>
      </c>
      <c r="C94" t="s">
        <v>40</v>
      </c>
      <c r="D94">
        <v>5.9884029999999999</v>
      </c>
      <c r="E94">
        <v>0.49180679999999999</v>
      </c>
      <c r="F94" t="s">
        <v>52</v>
      </c>
      <c r="G94">
        <v>-158.19499999999999</v>
      </c>
      <c r="H94">
        <v>1.3850990000000001</v>
      </c>
      <c r="I94">
        <v>365.5324</v>
      </c>
      <c r="J94">
        <v>-472.00790000000001</v>
      </c>
      <c r="K94">
        <v>1.1101019999999999</v>
      </c>
      <c r="L94">
        <v>367.35550000000001</v>
      </c>
      <c r="M94">
        <v>0.99927999999999995</v>
      </c>
      <c r="N94">
        <v>0</v>
      </c>
      <c r="O94">
        <v>3.6964829999999997E-2</v>
      </c>
      <c r="P94">
        <v>0.9965889</v>
      </c>
      <c r="Q94">
        <v>1.5426169999999999E-2</v>
      </c>
      <c r="R94">
        <v>-8.1072679999999994E-2</v>
      </c>
      <c r="S94">
        <v>3.0090940000000002</v>
      </c>
      <c r="T94">
        <v>2.6365519999999999E-3</v>
      </c>
      <c r="U94">
        <v>-1.7364500000000001E-2</v>
      </c>
      <c r="V94">
        <v>0.117852399999999</v>
      </c>
      <c r="W94">
        <v>2.3941919999999998E-2</v>
      </c>
      <c r="X94">
        <v>0.99274249999999997</v>
      </c>
      <c r="Y94">
        <v>4.273217E-2</v>
      </c>
      <c r="Z94" s="1">
        <v>5.1105310000000001E-5</v>
      </c>
      <c r="AA94">
        <v>0.99908660000000005</v>
      </c>
      <c r="AB94">
        <v>7</v>
      </c>
      <c r="AC94">
        <v>313.81290000000001</v>
      </c>
      <c r="AD94">
        <v>0.27499699999999899</v>
      </c>
      <c r="AE94">
        <v>-1.8231000000000099</v>
      </c>
      <c r="AF94">
        <v>13.422308041660701</v>
      </c>
      <c r="AG94">
        <v>0.27499699999999899</v>
      </c>
      <c r="AH94">
        <v>313.53078046713199</v>
      </c>
      <c r="AI94">
        <v>89.949792026833194</v>
      </c>
      <c r="AJ94">
        <v>87.548654372884897</v>
      </c>
      <c r="AK94">
        <v>313.81807512768302</v>
      </c>
      <c r="AL94">
        <v>88.628097994812606</v>
      </c>
      <c r="AM94">
        <v>83.229875894791405</v>
      </c>
      <c r="AN94">
        <v>1.0000000375126401</v>
      </c>
    </row>
    <row r="95" spans="1:40" x14ac:dyDescent="0.25">
      <c r="A95" t="str">
        <f>"20190312161224102"</f>
        <v>20190312161224102</v>
      </c>
      <c r="B95" t="str">
        <f>"1552378344095812"</f>
        <v>1552378344095812</v>
      </c>
      <c r="C95" t="s">
        <v>40</v>
      </c>
      <c r="D95">
        <v>6.3217889999999999</v>
      </c>
      <c r="E95">
        <v>0.48821710000000001</v>
      </c>
      <c r="F95" t="s">
        <v>43</v>
      </c>
      <c r="G95">
        <v>-471.35039999999998</v>
      </c>
      <c r="H95">
        <v>0.83636339999999998</v>
      </c>
      <c r="I95">
        <v>367.33010000000002</v>
      </c>
      <c r="J95">
        <v>-471.9486</v>
      </c>
      <c r="K95">
        <v>1.110503</v>
      </c>
      <c r="L95">
        <v>367.35820000000001</v>
      </c>
      <c r="M95">
        <v>0.99925439999999999</v>
      </c>
      <c r="N95">
        <v>0</v>
      </c>
      <c r="O95">
        <v>3.7248950000000003E-2</v>
      </c>
      <c r="P95">
        <v>0.99666080000000001</v>
      </c>
      <c r="Q95">
        <v>1.412515E-2</v>
      </c>
      <c r="R95">
        <v>-8.0425060000000007E-2</v>
      </c>
      <c r="S95">
        <v>3.0203250000000001</v>
      </c>
      <c r="T95">
        <v>-1.257495</v>
      </c>
      <c r="U95">
        <v>-0.115509</v>
      </c>
      <c r="V95">
        <v>0.1174934</v>
      </c>
      <c r="W95">
        <v>2.422699E-2</v>
      </c>
      <c r="X95">
        <v>0.9927781</v>
      </c>
      <c r="Y95">
        <v>6.6767850000000004E-2</v>
      </c>
      <c r="Z95">
        <v>-2.8224450000000002E-2</v>
      </c>
      <c r="AA95">
        <v>0.99736919999999996</v>
      </c>
      <c r="AB95">
        <v>6</v>
      </c>
      <c r="AC95">
        <v>0.59820000000001905</v>
      </c>
      <c r="AD95">
        <v>-0.27413959999999998</v>
      </c>
      <c r="AE95">
        <v>-2.80999999999949E-2</v>
      </c>
      <c r="AF95">
        <v>4.1638503161719902E-2</v>
      </c>
      <c r="AG95">
        <v>-0.27413959999999998</v>
      </c>
      <c r="AH95">
        <v>0.49335429075134402</v>
      </c>
      <c r="AI95">
        <v>118.973134145324</v>
      </c>
      <c r="AJ95">
        <v>85.175738747724594</v>
      </c>
      <c r="AK95">
        <v>0.56593704723800398</v>
      </c>
      <c r="AL95">
        <v>88.611759897536999</v>
      </c>
      <c r="AM95">
        <v>83.250548177081598</v>
      </c>
      <c r="AN95">
        <v>1.0000000009638099</v>
      </c>
    </row>
    <row r="96" spans="1:40" x14ac:dyDescent="0.25">
      <c r="A96" t="str">
        <f>"20190312161224127"</f>
        <v>20190312161224127</v>
      </c>
      <c r="B96" t="str">
        <f>"1552378344115334"</f>
        <v>1552378344115334</v>
      </c>
      <c r="C96" t="s">
        <v>40</v>
      </c>
      <c r="D96">
        <v>6.6543700000000001</v>
      </c>
      <c r="E96">
        <v>0.48725760000000001</v>
      </c>
      <c r="F96" t="s">
        <v>43</v>
      </c>
      <c r="G96">
        <v>-471.2373</v>
      </c>
      <c r="H96">
        <v>0.97431230000000002</v>
      </c>
      <c r="I96">
        <v>367.32979999999998</v>
      </c>
      <c r="J96">
        <v>-471.88319999999999</v>
      </c>
      <c r="K96">
        <v>1.1104160000000001</v>
      </c>
      <c r="L96">
        <v>367.36099999999999</v>
      </c>
      <c r="M96">
        <v>0.99924239999999998</v>
      </c>
      <c r="N96">
        <v>0</v>
      </c>
      <c r="O96">
        <v>3.7558279999999999E-2</v>
      </c>
      <c r="P96">
        <v>0.99671209999999999</v>
      </c>
      <c r="Q96">
        <v>1.41774E-2</v>
      </c>
      <c r="R96">
        <v>-7.9774819999999996E-2</v>
      </c>
      <c r="S96">
        <v>3.008667</v>
      </c>
      <c r="T96">
        <v>-0.57623789999999997</v>
      </c>
      <c r="U96">
        <v>-0.1187134</v>
      </c>
      <c r="V96">
        <v>0.11715349999999999</v>
      </c>
      <c r="W96">
        <v>2.431612E-2</v>
      </c>
      <c r="X96">
        <v>0.99281609999999998</v>
      </c>
      <c r="Y96">
        <v>7.4888449999999995E-2</v>
      </c>
      <c r="Z96">
        <v>-1.423058E-2</v>
      </c>
      <c r="AA96">
        <v>0.99709040000000004</v>
      </c>
      <c r="AB96">
        <v>6</v>
      </c>
      <c r="AC96">
        <v>0.64589999999998304</v>
      </c>
      <c r="AD96">
        <v>-0.13610369999999999</v>
      </c>
      <c r="AE96">
        <v>-3.1200000000012499E-2</v>
      </c>
      <c r="AF96">
        <v>5.3086445108103099E-2</v>
      </c>
      <c r="AG96">
        <v>-0.13610369999999999</v>
      </c>
      <c r="AH96">
        <v>0.61694222668440701</v>
      </c>
      <c r="AI96">
        <v>102.396373631918</v>
      </c>
      <c r="AJ96">
        <v>85.081945519721401</v>
      </c>
      <c r="AK96">
        <v>0.63400323254240598</v>
      </c>
      <c r="AL96">
        <v>88.606651635675405</v>
      </c>
      <c r="AM96">
        <v>83.270149726106894</v>
      </c>
      <c r="AN96">
        <v>1.0000000123366499</v>
      </c>
    </row>
    <row r="97" spans="1:40" x14ac:dyDescent="0.25">
      <c r="A97" t="str">
        <f>"20190312161224149"</f>
        <v>20190312161224149</v>
      </c>
      <c r="B97" t="str">
        <f>"1552378344145589"</f>
        <v>1552378344145589</v>
      </c>
      <c r="C97" t="s">
        <v>40</v>
      </c>
      <c r="D97">
        <v>5.7211589999999903</v>
      </c>
      <c r="E97">
        <v>0.48504520000000001</v>
      </c>
      <c r="F97" t="s">
        <v>43</v>
      </c>
      <c r="G97">
        <v>-471.15679999999998</v>
      </c>
      <c r="H97">
        <v>1.0229440000000001</v>
      </c>
      <c r="I97">
        <v>367.33179999999999</v>
      </c>
      <c r="J97">
        <v>-471.8168</v>
      </c>
      <c r="K97">
        <v>1.1099969999999999</v>
      </c>
      <c r="L97">
        <v>367.3639</v>
      </c>
      <c r="M97">
        <v>0.99924060000000003</v>
      </c>
      <c r="N97">
        <v>0</v>
      </c>
      <c r="O97">
        <v>3.794165E-2</v>
      </c>
      <c r="P97">
        <v>0.99674549999999995</v>
      </c>
      <c r="Q97">
        <v>1.528144E-2</v>
      </c>
      <c r="R97">
        <v>-7.9152780000000006E-2</v>
      </c>
      <c r="S97">
        <v>3.0054630000000002</v>
      </c>
      <c r="T97">
        <v>-0.36220000000000002</v>
      </c>
      <c r="U97">
        <v>-0.11959839999999999</v>
      </c>
      <c r="V97">
        <v>0.1169128</v>
      </c>
      <c r="W97">
        <v>2.4104469999999999E-2</v>
      </c>
      <c r="X97">
        <v>0.9928496</v>
      </c>
      <c r="Y97">
        <v>7.6817430000000006E-2</v>
      </c>
      <c r="Z97">
        <v>-9.1647369999999992E-3</v>
      </c>
      <c r="AA97">
        <v>0.99700310000000003</v>
      </c>
      <c r="AB97">
        <v>6</v>
      </c>
      <c r="AC97">
        <v>0.66000000000002501</v>
      </c>
      <c r="AD97">
        <v>-8.7052999999999797E-2</v>
      </c>
      <c r="AE97">
        <v>-3.2100000000013999E-2</v>
      </c>
      <c r="AF97">
        <v>5.6144899114230699E-2</v>
      </c>
      <c r="AG97">
        <v>-8.7052999999999797E-2</v>
      </c>
      <c r="AH97">
        <v>0.64707600784420205</v>
      </c>
      <c r="AI97">
        <v>97.633819561587003</v>
      </c>
      <c r="AJ97">
        <v>85.041031905854098</v>
      </c>
      <c r="AK97">
        <v>0.65531506501310999</v>
      </c>
      <c r="AL97">
        <v>88.618781795701807</v>
      </c>
      <c r="AM97">
        <v>83.284074774261001</v>
      </c>
      <c r="AN97">
        <v>0.99999997824899001</v>
      </c>
    </row>
    <row r="98" spans="1:40" x14ac:dyDescent="0.25">
      <c r="A98" t="str">
        <f>"20190312161224173"</f>
        <v>20190312161224173</v>
      </c>
      <c r="B98" t="str">
        <f>"1552378344166084"</f>
        <v>1552378344166084</v>
      </c>
      <c r="C98" t="s">
        <v>40</v>
      </c>
      <c r="D98">
        <v>5.9401830000000002</v>
      </c>
      <c r="E98">
        <v>0.48543389999999997</v>
      </c>
      <c r="F98" t="s">
        <v>43</v>
      </c>
      <c r="G98">
        <v>-471.02210000000002</v>
      </c>
      <c r="H98">
        <v>1.046923</v>
      </c>
      <c r="I98">
        <v>367.33580000000001</v>
      </c>
      <c r="J98">
        <v>-471.73989999999998</v>
      </c>
      <c r="K98">
        <v>1.109672</v>
      </c>
      <c r="L98">
        <v>367.3673</v>
      </c>
      <c r="M98">
        <v>0.99923300000000004</v>
      </c>
      <c r="N98">
        <v>0</v>
      </c>
      <c r="O98">
        <v>3.8438699999999902E-2</v>
      </c>
      <c r="P98">
        <v>0.9967703</v>
      </c>
      <c r="Q98">
        <v>1.6222259999999999E-2</v>
      </c>
      <c r="R98">
        <v>-7.8652139999999995E-2</v>
      </c>
      <c r="S98">
        <v>3.0051269999999999</v>
      </c>
      <c r="T98">
        <v>-0.23895340000000001</v>
      </c>
      <c r="U98">
        <v>-0.1050415</v>
      </c>
      <c r="V98">
        <v>0.1169055</v>
      </c>
      <c r="W98">
        <v>2.368021E-2</v>
      </c>
      <c r="X98">
        <v>0.99286070000000004</v>
      </c>
      <c r="Y98">
        <v>7.2971949999999994E-2</v>
      </c>
      <c r="Z98">
        <v>-5.9464890000000001E-3</v>
      </c>
      <c r="AA98">
        <v>0.99731619999999999</v>
      </c>
      <c r="AB98">
        <v>7</v>
      </c>
      <c r="AC98">
        <v>0.71779999999995403</v>
      </c>
      <c r="AD98">
        <v>-6.2748999999999902E-2</v>
      </c>
      <c r="AE98">
        <v>-3.1499999999993998E-2</v>
      </c>
      <c r="AF98">
        <v>5.86216633693947E-2</v>
      </c>
      <c r="AG98">
        <v>-6.2748999999999902E-2</v>
      </c>
      <c r="AH98">
        <v>0.71063837856490997</v>
      </c>
      <c r="AI98">
        <v>95.029106160514601</v>
      </c>
      <c r="AJ98">
        <v>85.284259479635296</v>
      </c>
      <c r="AK98">
        <v>0.71580782442395796</v>
      </c>
      <c r="AL98">
        <v>88.643097086579303</v>
      </c>
      <c r="AM98">
        <v>83.284564676988495</v>
      </c>
      <c r="AN98">
        <v>1.0000000089401899</v>
      </c>
    </row>
    <row r="99" spans="1:40" x14ac:dyDescent="0.25">
      <c r="A99" t="str">
        <f>"20190312161224215"</f>
        <v>20190312161224215</v>
      </c>
      <c r="B99" t="str">
        <f>"1552378344205125"</f>
        <v>1552378344205125</v>
      </c>
      <c r="C99" t="s">
        <v>40</v>
      </c>
      <c r="D99">
        <v>5.8660389999999998</v>
      </c>
      <c r="E99">
        <v>0.48880750000000001</v>
      </c>
      <c r="F99" t="s">
        <v>42</v>
      </c>
      <c r="G99">
        <v>-454.62119999999999</v>
      </c>
      <c r="H99" s="1">
        <v>-2.7986390000000002E-6</v>
      </c>
      <c r="I99">
        <v>366.74770000000001</v>
      </c>
      <c r="J99">
        <v>-471.60219999999998</v>
      </c>
      <c r="K99">
        <v>1.1094569999999999</v>
      </c>
      <c r="L99">
        <v>367.37349999999998</v>
      </c>
      <c r="M99">
        <v>0.99920819999999999</v>
      </c>
      <c r="N99">
        <v>0</v>
      </c>
      <c r="O99">
        <v>3.9343780000000002E-2</v>
      </c>
      <c r="P99">
        <v>0.99690290000000004</v>
      </c>
      <c r="Q99">
        <v>1.830505E-2</v>
      </c>
      <c r="R99">
        <v>-7.6481729999999998E-2</v>
      </c>
      <c r="S99">
        <v>3.0042719999999998</v>
      </c>
      <c r="T99">
        <v>-0.1947439</v>
      </c>
      <c r="U99">
        <v>-0.1087341</v>
      </c>
      <c r="V99">
        <v>0.1156384</v>
      </c>
      <c r="W99">
        <v>2.420887E-2</v>
      </c>
      <c r="X99">
        <v>0.99299630000000005</v>
      </c>
      <c r="Y99">
        <v>7.5220019999999999E-2</v>
      </c>
      <c r="Z99">
        <v>-4.9814710000000003E-3</v>
      </c>
      <c r="AA99">
        <v>0.99715450000000005</v>
      </c>
      <c r="AB99">
        <v>7</v>
      </c>
      <c r="AC99">
        <v>16.980999999999899</v>
      </c>
      <c r="AD99">
        <v>-1.109459798639</v>
      </c>
      <c r="AE99">
        <v>-0.62579999999996905</v>
      </c>
      <c r="AF99">
        <v>1.2879335231532101</v>
      </c>
      <c r="AG99">
        <v>-1.109459798639</v>
      </c>
      <c r="AH99">
        <v>16.871308914504802</v>
      </c>
      <c r="AI99">
        <v>93.751478094990006</v>
      </c>
      <c r="AJ99">
        <v>85.634582405623803</v>
      </c>
      <c r="AK99">
        <v>16.956731356411499</v>
      </c>
      <c r="AL99">
        <v>88.612798373087998</v>
      </c>
      <c r="AM99">
        <v>83.357596022044802</v>
      </c>
      <c r="AN99">
        <v>0.99999998037746296</v>
      </c>
    </row>
    <row r="100" spans="1:40" x14ac:dyDescent="0.25">
      <c r="A100" t="str">
        <f>"20190312161224237"</f>
        <v>20190312161224237</v>
      </c>
      <c r="B100" t="str">
        <f>"1552378344225621"</f>
        <v>1552378344225621</v>
      </c>
      <c r="C100" t="s">
        <v>40</v>
      </c>
      <c r="D100">
        <v>5.9490049999999997</v>
      </c>
      <c r="E100">
        <v>0.49024479999999998</v>
      </c>
      <c r="F100" t="s">
        <v>42</v>
      </c>
      <c r="G100">
        <v>-452.55930000000001</v>
      </c>
      <c r="H100" s="1">
        <v>-3.7183469999999999E-6</v>
      </c>
      <c r="I100">
        <v>366.54950000000002</v>
      </c>
      <c r="J100">
        <v>-471.529</v>
      </c>
      <c r="K100">
        <v>1.109577</v>
      </c>
      <c r="L100">
        <v>367.37689999999998</v>
      </c>
      <c r="M100">
        <v>0.99919119999999995</v>
      </c>
      <c r="N100">
        <v>0</v>
      </c>
      <c r="O100">
        <v>3.9775499999999998E-2</v>
      </c>
      <c r="P100">
        <v>0.99695020000000001</v>
      </c>
      <c r="Q100">
        <v>1.870045E-2</v>
      </c>
      <c r="R100">
        <v>-7.5769649999999994E-2</v>
      </c>
      <c r="S100">
        <v>3.0025629999999999</v>
      </c>
      <c r="T100">
        <v>-0.1749318</v>
      </c>
      <c r="U100">
        <v>-0.12991330000000001</v>
      </c>
      <c r="V100">
        <v>0.1153575</v>
      </c>
      <c r="W100">
        <v>2.4609289999999999E-2</v>
      </c>
      <c r="X100">
        <v>0.99301919999999999</v>
      </c>
      <c r="Y100">
        <v>8.2724430000000002E-2</v>
      </c>
      <c r="Z100">
        <v>-4.7210200000000003E-3</v>
      </c>
      <c r="AA100">
        <v>0.99656129999999998</v>
      </c>
      <c r="AB100">
        <v>7</v>
      </c>
      <c r="AC100">
        <v>18.9696999999999</v>
      </c>
      <c r="AD100">
        <v>-1.1095807183469999</v>
      </c>
      <c r="AE100">
        <v>-0.82739999999995395</v>
      </c>
      <c r="AF100">
        <v>1.57590617881712</v>
      </c>
      <c r="AG100">
        <v>-1.1095807183469999</v>
      </c>
      <c r="AH100">
        <v>18.8573817220677</v>
      </c>
      <c r="AI100">
        <v>93.355767672898295</v>
      </c>
      <c r="AJ100">
        <v>85.222907814630005</v>
      </c>
      <c r="AK100">
        <v>18.9556190895137</v>
      </c>
      <c r="AL100">
        <v>88.589849258101694</v>
      </c>
      <c r="AM100">
        <v>83.373739030747103</v>
      </c>
      <c r="AN100">
        <v>1.0000000507645901</v>
      </c>
    </row>
    <row r="101" spans="1:40" x14ac:dyDescent="0.25">
      <c r="A101" t="str">
        <f>"20190312161224261"</f>
        <v>20190312161224261</v>
      </c>
      <c r="B101" t="str">
        <f>"1552378344255877"</f>
        <v>1552378344255877</v>
      </c>
      <c r="C101" t="s">
        <v>40</v>
      </c>
      <c r="D101">
        <v>5.9107339999999997</v>
      </c>
      <c r="E101">
        <v>0.49094700000000002</v>
      </c>
      <c r="F101" t="s">
        <v>42</v>
      </c>
      <c r="G101">
        <v>-451.74579999999997</v>
      </c>
      <c r="H101" s="1">
        <v>-4.0835029999999998E-6</v>
      </c>
      <c r="I101">
        <v>366.45850000000002</v>
      </c>
      <c r="J101">
        <v>-471.45479999999998</v>
      </c>
      <c r="K101">
        <v>1.1100209999999999</v>
      </c>
      <c r="L101">
        <v>367.38040000000001</v>
      </c>
      <c r="M101">
        <v>0.999166</v>
      </c>
      <c r="N101">
        <v>0</v>
      </c>
      <c r="O101">
        <v>4.016103E-2</v>
      </c>
      <c r="P101">
        <v>0.99702349999999995</v>
      </c>
      <c r="Q101">
        <v>1.7958149999999999E-2</v>
      </c>
      <c r="R101">
        <v>-7.4978279999999994E-2</v>
      </c>
      <c r="S101">
        <v>3.0017399999999999</v>
      </c>
      <c r="T101">
        <v>-0.1683576</v>
      </c>
      <c r="U101">
        <v>-0.1393433</v>
      </c>
      <c r="V101">
        <v>0.1149554</v>
      </c>
      <c r="W101">
        <v>2.530955E-2</v>
      </c>
      <c r="X101">
        <v>0.99304820000000005</v>
      </c>
      <c r="Y101">
        <v>8.62541E-2</v>
      </c>
      <c r="Z101">
        <v>-4.6653090000000003E-3</v>
      </c>
      <c r="AA101">
        <v>0.99626230000000005</v>
      </c>
      <c r="AB101">
        <v>8</v>
      </c>
      <c r="AC101">
        <v>19.709</v>
      </c>
      <c r="AD101">
        <v>-1.1100250835030001</v>
      </c>
      <c r="AE101">
        <v>-0.92189999999999295</v>
      </c>
      <c r="AF101">
        <v>1.7073076618385901</v>
      </c>
      <c r="AG101">
        <v>-1.1100250835030001</v>
      </c>
      <c r="AH101">
        <v>19.594055738628899</v>
      </c>
      <c r="AI101">
        <v>93.230190945509307</v>
      </c>
      <c r="AJ101">
        <v>85.020169279886503</v>
      </c>
      <c r="AK101">
        <v>19.699595818865799</v>
      </c>
      <c r="AL101">
        <v>88.549714772356793</v>
      </c>
      <c r="AM101">
        <v>83.396822893422396</v>
      </c>
      <c r="AN101">
        <v>1.0000000224168</v>
      </c>
    </row>
    <row r="102" spans="1:40" x14ac:dyDescent="0.25">
      <c r="A102" t="str">
        <f>"20190312161224282"</f>
        <v>20190312161224282</v>
      </c>
      <c r="B102" t="str">
        <f>"1552378344275397"</f>
        <v>1552378344275397</v>
      </c>
      <c r="C102" t="s">
        <v>40</v>
      </c>
      <c r="D102">
        <v>5.929862</v>
      </c>
      <c r="E102">
        <v>0.49114760000000002</v>
      </c>
      <c r="F102" t="s">
        <v>42</v>
      </c>
      <c r="G102">
        <v>-449.78489999999999</v>
      </c>
      <c r="H102" s="1">
        <v>-9.3691809999999999E-7</v>
      </c>
      <c r="I102">
        <v>366.34629999999999</v>
      </c>
      <c r="J102">
        <v>-471.39229999999998</v>
      </c>
      <c r="K102">
        <v>1.110406</v>
      </c>
      <c r="L102">
        <v>367.38330000000002</v>
      </c>
      <c r="M102">
        <v>0.9991371</v>
      </c>
      <c r="N102">
        <v>0</v>
      </c>
      <c r="O102">
        <v>4.0555099999999997E-2</v>
      </c>
      <c r="P102">
        <v>0.99705480000000002</v>
      </c>
      <c r="Q102">
        <v>1.6906270000000001E-2</v>
      </c>
      <c r="R102">
        <v>-7.4808559999999996E-2</v>
      </c>
      <c r="S102">
        <v>3.0009459999999999</v>
      </c>
      <c r="T102">
        <v>-0.15372069999999999</v>
      </c>
      <c r="U102">
        <v>-0.14321900000000001</v>
      </c>
      <c r="V102">
        <v>0.1151824</v>
      </c>
      <c r="W102">
        <v>2.5832939999999999E-2</v>
      </c>
      <c r="X102">
        <v>0.99300840000000001</v>
      </c>
      <c r="Y102">
        <v>8.7973590000000004E-2</v>
      </c>
      <c r="Z102">
        <v>-4.3254469999999996E-3</v>
      </c>
      <c r="AA102">
        <v>0.99611340000000004</v>
      </c>
      <c r="AB102">
        <v>7</v>
      </c>
      <c r="AC102">
        <v>21.607399999999899</v>
      </c>
      <c r="AD102">
        <v>-1.1104069369181</v>
      </c>
      <c r="AE102">
        <v>-1.0370000000000299</v>
      </c>
      <c r="AF102">
        <v>1.9074463810366999</v>
      </c>
      <c r="AG102">
        <v>-1.1104069369181</v>
      </c>
      <c r="AH102">
        <v>21.490938956629801</v>
      </c>
      <c r="AI102">
        <v>92.946201870788599</v>
      </c>
      <c r="AJ102">
        <v>84.9279554985403</v>
      </c>
      <c r="AK102">
        <v>21.603976775114202</v>
      </c>
      <c r="AL102">
        <v>88.5197168985422</v>
      </c>
      <c r="AM102">
        <v>83.383636403328396</v>
      </c>
      <c r="AN102">
        <v>1.0000000042646799</v>
      </c>
    </row>
    <row r="103" spans="1:40" x14ac:dyDescent="0.25">
      <c r="A103" t="str">
        <f>"20190312161224327"</f>
        <v>20190312161224327</v>
      </c>
      <c r="B103" t="str">
        <f>"1552378344315413"</f>
        <v>1552378344315413</v>
      </c>
      <c r="C103" t="s">
        <v>40</v>
      </c>
      <c r="D103">
        <v>5.9275830000000003</v>
      </c>
      <c r="E103">
        <v>0.49181370000000002</v>
      </c>
      <c r="F103" t="s">
        <v>42</v>
      </c>
      <c r="G103">
        <v>-448.2534</v>
      </c>
      <c r="H103" s="1">
        <v>-1.5459070000000001E-6</v>
      </c>
      <c r="I103">
        <v>366.26780000000002</v>
      </c>
      <c r="J103">
        <v>-471.24869999999999</v>
      </c>
      <c r="K103">
        <v>1.1100730000000001</v>
      </c>
      <c r="L103">
        <v>367.38990000000001</v>
      </c>
      <c r="M103">
        <v>0.99911830000000001</v>
      </c>
      <c r="N103">
        <v>0</v>
      </c>
      <c r="O103">
        <v>4.109612E-2</v>
      </c>
      <c r="P103">
        <v>0.99697860000000005</v>
      </c>
      <c r="Q103">
        <v>1.8644899999999999E-2</v>
      </c>
      <c r="R103">
        <v>-7.5407409999999994E-2</v>
      </c>
      <c r="S103">
        <v>3.0004879999999998</v>
      </c>
      <c r="T103">
        <v>-0.14398939999999999</v>
      </c>
      <c r="U103">
        <v>-0.14465329999999901</v>
      </c>
      <c r="V103">
        <v>0.11630550000000001</v>
      </c>
      <c r="W103">
        <v>2.7229110000000001E-2</v>
      </c>
      <c r="X103">
        <v>0.99284019999999995</v>
      </c>
      <c r="Y103">
        <v>8.9013839999999997E-2</v>
      </c>
      <c r="Z103">
        <v>-4.1033780000000004E-3</v>
      </c>
      <c r="AA103">
        <v>0.99602190000000002</v>
      </c>
      <c r="AB103">
        <v>7</v>
      </c>
      <c r="AC103">
        <v>22.995299999999901</v>
      </c>
      <c r="AD103">
        <v>-1.1100745459069901</v>
      </c>
      <c r="AE103">
        <v>-1.1220999999999799</v>
      </c>
      <c r="AF103">
        <v>2.0614119713560801</v>
      </c>
      <c r="AG103">
        <v>-1.1100745459069901</v>
      </c>
      <c r="AH103">
        <v>22.8765720353679</v>
      </c>
      <c r="AI103">
        <v>92.7668777256076</v>
      </c>
      <c r="AJ103">
        <v>84.850973508484202</v>
      </c>
      <c r="AK103">
        <v>22.996069944720901</v>
      </c>
      <c r="AL103">
        <v>88.439694112515198</v>
      </c>
      <c r="AM103">
        <v>83.318581549571803</v>
      </c>
      <c r="AN103">
        <v>1.0000000282488399</v>
      </c>
    </row>
    <row r="104" spans="1:40" x14ac:dyDescent="0.25">
      <c r="A104" t="str">
        <f>"20190312161224351"</f>
        <v>20190312161224351</v>
      </c>
      <c r="B104" t="str">
        <f>"1552378344345668"</f>
        <v>1552378344345668</v>
      </c>
      <c r="C104" t="s">
        <v>40</v>
      </c>
      <c r="D104">
        <v>5.9295600000000004</v>
      </c>
      <c r="E104">
        <v>0.49210399999999999</v>
      </c>
      <c r="F104" t="s">
        <v>42</v>
      </c>
      <c r="G104">
        <v>-444.7047</v>
      </c>
      <c r="H104" s="1">
        <v>-3.1182559999999999E-6</v>
      </c>
      <c r="I104">
        <v>366.03840000000002</v>
      </c>
      <c r="J104">
        <v>-471.16500000000002</v>
      </c>
      <c r="K104">
        <v>1.1095539999999999</v>
      </c>
      <c r="L104">
        <v>367.39389999999997</v>
      </c>
      <c r="M104">
        <v>0.9991063</v>
      </c>
      <c r="N104">
        <v>0</v>
      </c>
      <c r="O104">
        <v>4.1585520000000001E-2</v>
      </c>
      <c r="P104">
        <v>0.99694700000000003</v>
      </c>
      <c r="Q104">
        <v>1.9814169999999999E-2</v>
      </c>
      <c r="R104">
        <v>-7.5527659999999996E-2</v>
      </c>
      <c r="S104">
        <v>2.9998779999999998</v>
      </c>
      <c r="T104">
        <v>-0.1254556</v>
      </c>
      <c r="U104">
        <v>-0.1527405</v>
      </c>
      <c r="V104">
        <v>0.11691260000000001</v>
      </c>
      <c r="W104">
        <v>2.736448E-2</v>
      </c>
      <c r="X104">
        <v>0.99276509999999996</v>
      </c>
      <c r="Y104">
        <v>9.2221919999999999E-2</v>
      </c>
      <c r="Z104">
        <v>-3.6636490000000002E-3</v>
      </c>
      <c r="AA104">
        <v>0.9957317</v>
      </c>
      <c r="AB104">
        <v>7</v>
      </c>
      <c r="AC104">
        <v>26.4603</v>
      </c>
      <c r="AD104">
        <v>-1.109557118256</v>
      </c>
      <c r="AE104">
        <v>-1.35549999999994</v>
      </c>
      <c r="AF104">
        <v>2.4504267124258901</v>
      </c>
      <c r="AG104">
        <v>-1.109557118256</v>
      </c>
      <c r="AH104">
        <v>26.334853206903201</v>
      </c>
      <c r="AI104">
        <v>92.402231334492797</v>
      </c>
      <c r="AJ104">
        <v>84.684002833795901</v>
      </c>
      <c r="AK104">
        <v>26.4718756702426</v>
      </c>
      <c r="AL104">
        <v>88.431934980541797</v>
      </c>
      <c r="AM104">
        <v>83.283519749848793</v>
      </c>
      <c r="AN104">
        <v>0.99999995729121904</v>
      </c>
    </row>
    <row r="105" spans="1:40" x14ac:dyDescent="0.25">
      <c r="A105" t="str">
        <f>"20190312161224393"</f>
        <v>20190312161224393</v>
      </c>
      <c r="B105" t="str">
        <f>"1552378344385686"</f>
        <v>1552378344385686</v>
      </c>
      <c r="C105" t="s">
        <v>40</v>
      </c>
      <c r="D105">
        <v>5.8988139999999998</v>
      </c>
      <c r="E105">
        <v>0.49262549999999999</v>
      </c>
      <c r="F105" t="s">
        <v>42</v>
      </c>
      <c r="G105">
        <v>-440.88249999999999</v>
      </c>
      <c r="H105" s="1">
        <v>-4.9634779999999998E-6</v>
      </c>
      <c r="I105">
        <v>365.82170000000002</v>
      </c>
      <c r="J105">
        <v>-471.01569999999998</v>
      </c>
      <c r="K105">
        <v>1.1090279999999999</v>
      </c>
      <c r="L105">
        <v>367.40109999999999</v>
      </c>
      <c r="M105">
        <v>0.99907000000000001</v>
      </c>
      <c r="N105">
        <v>0</v>
      </c>
      <c r="O105">
        <v>4.2645269999999999E-2</v>
      </c>
      <c r="P105">
        <v>0.99691269999999998</v>
      </c>
      <c r="Q105">
        <v>2.126494E-2</v>
      </c>
      <c r="R105">
        <v>-7.5586920000000002E-2</v>
      </c>
      <c r="S105">
        <v>2.999603</v>
      </c>
      <c r="T105">
        <v>-0.1099063</v>
      </c>
      <c r="U105">
        <v>-0.15573119999999999</v>
      </c>
      <c r="V105">
        <v>0.11802749999999999</v>
      </c>
      <c r="W105">
        <v>2.7615199999999999E-2</v>
      </c>
      <c r="X105">
        <v>0.99262620000000001</v>
      </c>
      <c r="Y105">
        <v>9.4297359999999997E-2</v>
      </c>
      <c r="Z105">
        <v>-3.2868699999999999E-3</v>
      </c>
      <c r="AA105">
        <v>0.9955387</v>
      </c>
      <c r="AB105">
        <v>8</v>
      </c>
      <c r="AC105">
        <v>30.133199999999899</v>
      </c>
      <c r="AD105">
        <v>-1.1090329634780001</v>
      </c>
      <c r="AE105">
        <v>-1.5793999999999599</v>
      </c>
      <c r="AF105">
        <v>2.8591653060967999</v>
      </c>
      <c r="AG105">
        <v>-1.1090329634780001</v>
      </c>
      <c r="AH105">
        <v>29.997908053897</v>
      </c>
      <c r="AI105">
        <v>92.107736909406498</v>
      </c>
      <c r="AJ105">
        <v>84.555462745474699</v>
      </c>
      <c r="AK105">
        <v>30.154257874663799</v>
      </c>
      <c r="AL105">
        <v>88.417564310284504</v>
      </c>
      <c r="AM105">
        <v>83.219123723334206</v>
      </c>
      <c r="AN105">
        <v>0.99999993147686195</v>
      </c>
    </row>
    <row r="106" spans="1:40" x14ac:dyDescent="0.25">
      <c r="A106" t="str">
        <f>"20190312161224417"</f>
        <v>20190312161224417</v>
      </c>
      <c r="B106" t="str">
        <f>"1552378344405205"</f>
        <v>1552378344405205</v>
      </c>
      <c r="C106" t="s">
        <v>40</v>
      </c>
      <c r="D106">
        <v>5.908531</v>
      </c>
      <c r="E106">
        <v>0.49297459999999999</v>
      </c>
      <c r="F106" t="s">
        <v>41</v>
      </c>
      <c r="G106">
        <v>-437.02429999999998</v>
      </c>
      <c r="H106">
        <v>-0.05</v>
      </c>
      <c r="I106">
        <v>365.58600000000001</v>
      </c>
      <c r="J106">
        <v>-470.92759999999998</v>
      </c>
      <c r="K106">
        <v>1.108903</v>
      </c>
      <c r="L106">
        <v>367.40539999999999</v>
      </c>
      <c r="M106">
        <v>0.99904879999999996</v>
      </c>
      <c r="N106">
        <v>0</v>
      </c>
      <c r="O106">
        <v>4.3217289999999998E-2</v>
      </c>
      <c r="P106">
        <v>0.99691459999999998</v>
      </c>
      <c r="Q106">
        <v>2.1985190000000002E-2</v>
      </c>
      <c r="R106">
        <v>-7.5355690000000003E-2</v>
      </c>
      <c r="S106">
        <v>2.9993289999999999</v>
      </c>
      <c r="T106">
        <v>-0.10227020000000001</v>
      </c>
      <c r="U106">
        <v>-0.160156299999999</v>
      </c>
      <c r="V106">
        <v>0.11836439999999999</v>
      </c>
      <c r="W106">
        <v>2.7808240000000001E-2</v>
      </c>
      <c r="X106">
        <v>0.99258080000000004</v>
      </c>
      <c r="Y106">
        <v>9.6347210000000003E-2</v>
      </c>
      <c r="Z106">
        <v>-3.113205E-3</v>
      </c>
      <c r="AA106">
        <v>0.99534290000000003</v>
      </c>
      <c r="AB106">
        <v>8</v>
      </c>
      <c r="AC106">
        <v>33.903300000000002</v>
      </c>
      <c r="AD106">
        <v>-1.158903</v>
      </c>
      <c r="AE106">
        <v>-1.8193999999999699</v>
      </c>
      <c r="AF106">
        <v>3.27911307485763</v>
      </c>
      <c r="AG106">
        <v>-1.158903</v>
      </c>
      <c r="AH106">
        <v>33.753665866797299</v>
      </c>
      <c r="AI106">
        <v>91.957221679804903</v>
      </c>
      <c r="AJ106">
        <v>84.451221713378899</v>
      </c>
      <c r="AK106">
        <v>33.932368001194803</v>
      </c>
      <c r="AL106">
        <v>88.406499851070905</v>
      </c>
      <c r="AM106">
        <v>83.199641132189697</v>
      </c>
      <c r="AN106">
        <v>1.0000000369639399</v>
      </c>
    </row>
    <row r="107" spans="1:40" x14ac:dyDescent="0.25">
      <c r="A107" t="str">
        <f>"20190312161224438"</f>
        <v>20190312161224438</v>
      </c>
      <c r="B107" t="str">
        <f>"1552378344425701"</f>
        <v>1552378344425701</v>
      </c>
      <c r="C107" t="s">
        <v>40</v>
      </c>
      <c r="D107">
        <v>5.909268</v>
      </c>
      <c r="E107">
        <v>0.49294850000000001</v>
      </c>
      <c r="F107" t="s">
        <v>41</v>
      </c>
      <c r="G107">
        <v>-436.5213</v>
      </c>
      <c r="H107">
        <v>-0.05</v>
      </c>
      <c r="I107">
        <v>365.54509999999999</v>
      </c>
      <c r="J107">
        <v>-470.84910000000002</v>
      </c>
      <c r="K107">
        <v>1.1088690000000001</v>
      </c>
      <c r="L107">
        <v>367.40940000000001</v>
      </c>
      <c r="M107">
        <v>0.99903140000000001</v>
      </c>
      <c r="N107">
        <v>0</v>
      </c>
      <c r="O107">
        <v>4.3660160000000003E-2</v>
      </c>
      <c r="P107">
        <v>0.99694950000000004</v>
      </c>
      <c r="Q107">
        <v>2.1906390000000001E-2</v>
      </c>
      <c r="R107">
        <v>-7.4910050000000006E-2</v>
      </c>
      <c r="S107">
        <v>2.999298</v>
      </c>
      <c r="T107">
        <v>-0.10102510000000001</v>
      </c>
      <c r="U107">
        <v>-0.16217039999999999</v>
      </c>
      <c r="V107">
        <v>0.1183603</v>
      </c>
      <c r="W107">
        <v>2.7362089999999999E-2</v>
      </c>
      <c r="X107">
        <v>0.99259359999999996</v>
      </c>
      <c r="Y107">
        <v>9.7456409999999993E-2</v>
      </c>
      <c r="Z107">
        <v>-3.1088639999999998E-3</v>
      </c>
      <c r="AA107">
        <v>0.99523499999999998</v>
      </c>
      <c r="AB107">
        <v>8</v>
      </c>
      <c r="AC107">
        <v>34.327800000000003</v>
      </c>
      <c r="AD107">
        <v>-1.1588689999999999</v>
      </c>
      <c r="AE107">
        <v>-1.8643000000000101</v>
      </c>
      <c r="AF107">
        <v>3.3574868335897499</v>
      </c>
      <c r="AG107">
        <v>-1.1588689999999999</v>
      </c>
      <c r="AH107">
        <v>34.1748352735259</v>
      </c>
      <c r="AI107">
        <v>91.932857824118202</v>
      </c>
      <c r="AJ107">
        <v>84.389015547141597</v>
      </c>
      <c r="AK107">
        <v>34.358915308395801</v>
      </c>
      <c r="AL107">
        <v>88.432071956807505</v>
      </c>
      <c r="AM107">
        <v>83.199961352501802</v>
      </c>
      <c r="AN107">
        <v>0.99999994967310701</v>
      </c>
    </row>
    <row r="108" spans="1:40" x14ac:dyDescent="0.25">
      <c r="A108" t="str">
        <f>"20190312161224460"</f>
        <v>20190312161224460</v>
      </c>
      <c r="B108" t="str">
        <f>"1552378344455959"</f>
        <v>1552378344455959</v>
      </c>
      <c r="C108" t="s">
        <v>40</v>
      </c>
      <c r="D108">
        <v>6.033512</v>
      </c>
      <c r="E108">
        <v>0.49300179999999999</v>
      </c>
      <c r="F108" t="s">
        <v>41</v>
      </c>
      <c r="G108">
        <v>-435.05849999999998</v>
      </c>
      <c r="H108">
        <v>-0.05</v>
      </c>
      <c r="I108">
        <v>365.49009999999998</v>
      </c>
      <c r="J108">
        <v>-470.7654</v>
      </c>
      <c r="K108">
        <v>1.1088979999999999</v>
      </c>
      <c r="L108">
        <v>367.41359999999997</v>
      </c>
      <c r="M108">
        <v>0.99901379999999995</v>
      </c>
      <c r="N108">
        <v>0</v>
      </c>
      <c r="O108">
        <v>4.4089879999999998E-2</v>
      </c>
      <c r="P108">
        <v>0.99698750000000003</v>
      </c>
      <c r="Q108">
        <v>2.1915629999999998E-2</v>
      </c>
      <c r="R108">
        <v>-7.440476E-2</v>
      </c>
      <c r="S108">
        <v>2.9992369999999999</v>
      </c>
      <c r="T108">
        <v>-9.7112539999999997E-2</v>
      </c>
      <c r="U108">
        <v>-0.16082759999999999</v>
      </c>
      <c r="V108">
        <v>0.1182835</v>
      </c>
      <c r="W108">
        <v>2.7160469999999999E-2</v>
      </c>
      <c r="X108">
        <v>0.99260839999999995</v>
      </c>
      <c r="Y108">
        <v>9.744709E-2</v>
      </c>
      <c r="Z108">
        <v>-3.0023649999999999E-3</v>
      </c>
      <c r="AA108">
        <v>0.99523620000000002</v>
      </c>
      <c r="AB108">
        <v>8</v>
      </c>
      <c r="AC108">
        <v>35.706899999999997</v>
      </c>
      <c r="AD108">
        <v>-1.158898</v>
      </c>
      <c r="AE108">
        <v>-1.92349999999998</v>
      </c>
      <c r="AF108">
        <v>3.4922959881808402</v>
      </c>
      <c r="AG108">
        <v>-1.158898</v>
      </c>
      <c r="AH108">
        <v>35.550029050086302</v>
      </c>
      <c r="AI108">
        <v>91.858189870891096</v>
      </c>
      <c r="AJ108">
        <v>84.389487982881803</v>
      </c>
      <c r="AK108">
        <v>35.739946017103101</v>
      </c>
      <c r="AL108">
        <v>88.443628393952594</v>
      </c>
      <c r="AM108">
        <v>83.204432767821203</v>
      </c>
      <c r="AN108">
        <v>1.00000005662671</v>
      </c>
    </row>
    <row r="109" spans="1:40" x14ac:dyDescent="0.25">
      <c r="A109" t="str">
        <f>"20190312161224483"</f>
        <v>20190312161224483</v>
      </c>
      <c r="B109" t="str">
        <f>"1552378344475477"</f>
        <v>1552378344475477</v>
      </c>
      <c r="C109" t="s">
        <v>40</v>
      </c>
      <c r="D109">
        <v>5.7266750000000002</v>
      </c>
      <c r="E109">
        <v>0.49302269999999998</v>
      </c>
      <c r="F109" t="s">
        <v>41</v>
      </c>
      <c r="G109">
        <v>-433.26369999999997</v>
      </c>
      <c r="H109">
        <v>-0.05</v>
      </c>
      <c r="I109">
        <v>365.41669999999999</v>
      </c>
      <c r="J109">
        <v>-470.67680000000001</v>
      </c>
      <c r="K109">
        <v>1.108978</v>
      </c>
      <c r="L109">
        <v>367.41809999999998</v>
      </c>
      <c r="M109">
        <v>0.9989941</v>
      </c>
      <c r="N109">
        <v>0</v>
      </c>
      <c r="O109">
        <v>4.4538370000000001E-2</v>
      </c>
      <c r="P109">
        <v>0.99703240000000004</v>
      </c>
      <c r="Q109">
        <v>2.1794190000000001E-2</v>
      </c>
      <c r="R109">
        <v>-7.3836330000000006E-2</v>
      </c>
      <c r="S109">
        <v>2.9992369999999999</v>
      </c>
      <c r="T109">
        <v>-9.2684150000000007E-2</v>
      </c>
      <c r="U109">
        <v>-0.15969849999999999</v>
      </c>
      <c r="V109">
        <v>0.1181633</v>
      </c>
      <c r="W109">
        <v>2.6999829999999999E-2</v>
      </c>
      <c r="X109">
        <v>0.99262700000000004</v>
      </c>
      <c r="Y109">
        <v>9.752661E-2</v>
      </c>
      <c r="Z109">
        <v>-2.88062E-3</v>
      </c>
      <c r="AA109">
        <v>0.99522880000000002</v>
      </c>
      <c r="AB109">
        <v>8</v>
      </c>
      <c r="AC109">
        <v>37.4131</v>
      </c>
      <c r="AD109">
        <v>-1.1589780000000001</v>
      </c>
      <c r="AE109">
        <v>-2.0013999999999799</v>
      </c>
      <c r="AF109">
        <v>3.6622506230481702</v>
      </c>
      <c r="AG109">
        <v>-1.1589780000000001</v>
      </c>
      <c r="AH109">
        <v>37.251187430615097</v>
      </c>
      <c r="AI109">
        <v>91.773496166155596</v>
      </c>
      <c r="AJ109">
        <v>84.3851623743857</v>
      </c>
      <c r="AK109">
        <v>37.448715259956799</v>
      </c>
      <c r="AL109">
        <v>88.452835612588999</v>
      </c>
      <c r="AM109">
        <v>83.211399979074301</v>
      </c>
      <c r="AN109">
        <v>0.99999995870795799</v>
      </c>
    </row>
    <row r="110" spans="1:40" x14ac:dyDescent="0.25">
      <c r="A110" t="str">
        <f>"20190312161224527"</f>
        <v>20190312161224527</v>
      </c>
      <c r="B110" t="str">
        <f>"1552378344515494"</f>
        <v>1552378344515494</v>
      </c>
      <c r="C110" t="s">
        <v>40</v>
      </c>
      <c r="D110">
        <v>5.7621840000000004</v>
      </c>
      <c r="E110">
        <v>0.49307839999999997</v>
      </c>
      <c r="F110" t="s">
        <v>41</v>
      </c>
      <c r="G110">
        <v>-432.23020000000002</v>
      </c>
      <c r="H110">
        <v>-0.05</v>
      </c>
      <c r="I110">
        <v>365.38740000000001</v>
      </c>
      <c r="J110">
        <v>-470.50709999999998</v>
      </c>
      <c r="K110">
        <v>1.1091409999999999</v>
      </c>
      <c r="L110">
        <v>367.42680000000001</v>
      </c>
      <c r="M110">
        <v>0.99895350000000005</v>
      </c>
      <c r="N110">
        <v>0</v>
      </c>
      <c r="O110">
        <v>4.5435919999999998E-2</v>
      </c>
      <c r="P110">
        <v>0.9971506</v>
      </c>
      <c r="Q110">
        <v>2.2553119999999999E-2</v>
      </c>
      <c r="R110">
        <v>-7.1988049999999998E-2</v>
      </c>
      <c r="S110">
        <v>2.9992070000000002</v>
      </c>
      <c r="T110">
        <v>-9.0411309999999995E-2</v>
      </c>
      <c r="U110">
        <v>-0.15841669999999999</v>
      </c>
      <c r="V110">
        <v>0.117215</v>
      </c>
      <c r="W110">
        <v>2.7812529999999999E-2</v>
      </c>
      <c r="X110">
        <v>0.99271699999999996</v>
      </c>
      <c r="Y110">
        <v>9.7999859999999994E-2</v>
      </c>
      <c r="Z110">
        <v>-2.8442239999999998E-3</v>
      </c>
      <c r="AA110">
        <v>0.99518229999999996</v>
      </c>
      <c r="AB110">
        <v>9</v>
      </c>
      <c r="AC110">
        <v>38.276899999999898</v>
      </c>
      <c r="AD110">
        <v>-1.159141</v>
      </c>
      <c r="AE110">
        <v>-2.0394000000000001</v>
      </c>
      <c r="AF110">
        <v>3.7730135316354598</v>
      </c>
      <c r="AG110">
        <v>-1.159141</v>
      </c>
      <c r="AH110">
        <v>38.109855165154798</v>
      </c>
      <c r="AI110">
        <v>91.733688135942003</v>
      </c>
      <c r="AJ110">
        <v>84.345935688328197</v>
      </c>
      <c r="AK110">
        <v>38.313709030539698</v>
      </c>
      <c r="AL110">
        <v>88.406253846452501</v>
      </c>
      <c r="AM110">
        <v>83.265983307266197</v>
      </c>
      <c r="AN110">
        <v>0.99999996756949905</v>
      </c>
    </row>
    <row r="111" spans="1:40" x14ac:dyDescent="0.25">
      <c r="A111" t="str">
        <f>"20190312161224551"</f>
        <v>20190312161224551</v>
      </c>
      <c r="B111" t="str">
        <f>"1552378344545749"</f>
        <v>1552378344545749</v>
      </c>
      <c r="C111" t="s">
        <v>40</v>
      </c>
      <c r="D111">
        <v>5.7561419999999996</v>
      </c>
      <c r="E111">
        <v>0.49343320000000002</v>
      </c>
      <c r="F111" t="s">
        <v>41</v>
      </c>
      <c r="G111">
        <v>-429.49489999999997</v>
      </c>
      <c r="H111">
        <v>-0.05</v>
      </c>
      <c r="I111">
        <v>365.33030000000002</v>
      </c>
      <c r="J111">
        <v>-470.41129999999998</v>
      </c>
      <c r="K111">
        <v>1.10921</v>
      </c>
      <c r="L111">
        <v>367.43180000000001</v>
      </c>
      <c r="M111">
        <v>0.99892990000000004</v>
      </c>
      <c r="N111">
        <v>0</v>
      </c>
      <c r="O111">
        <v>4.5951739999999998E-2</v>
      </c>
      <c r="P111">
        <v>0.99721380000000004</v>
      </c>
      <c r="Q111">
        <v>2.2177479999999999E-2</v>
      </c>
      <c r="R111">
        <v>-7.1224010000000004E-2</v>
      </c>
      <c r="S111">
        <v>2.99939</v>
      </c>
      <c r="T111">
        <v>-8.4772829999999993E-2</v>
      </c>
      <c r="U111">
        <v>-0.15332029999999999</v>
      </c>
      <c r="V111">
        <v>0.11696719999999999</v>
      </c>
      <c r="W111">
        <v>2.7411669999999999E-2</v>
      </c>
      <c r="X111">
        <v>0.99275740000000001</v>
      </c>
      <c r="Y111">
        <v>9.683216E-2</v>
      </c>
      <c r="Z111">
        <v>-2.664937E-3</v>
      </c>
      <c r="AA111">
        <v>0.99529710000000005</v>
      </c>
      <c r="AB111">
        <v>9</v>
      </c>
      <c r="AC111">
        <v>40.916400000000003</v>
      </c>
      <c r="AD111">
        <v>-1.1592100000000001</v>
      </c>
      <c r="AE111">
        <v>-2.1014999999999802</v>
      </c>
      <c r="AF111">
        <v>3.9763024571489902</v>
      </c>
      <c r="AG111">
        <v>-1.1592100000000001</v>
      </c>
      <c r="AH111">
        <v>40.743990944998203</v>
      </c>
      <c r="AI111">
        <v>91.6219847501022</v>
      </c>
      <c r="AJ111">
        <v>84.426020648995305</v>
      </c>
      <c r="AK111">
        <v>40.953968637739202</v>
      </c>
      <c r="AL111">
        <v>88.429230229960993</v>
      </c>
      <c r="AM111">
        <v>83.280360084119806</v>
      </c>
      <c r="AN111">
        <v>0.99999999039139398</v>
      </c>
    </row>
    <row r="112" spans="1:40" x14ac:dyDescent="0.25">
      <c r="A112" t="str">
        <f>"20190312161224573"</f>
        <v>20190312161224573</v>
      </c>
      <c r="B112" t="str">
        <f>"1552378344565269"</f>
        <v>1552378344565269</v>
      </c>
      <c r="C112" t="s">
        <v>40</v>
      </c>
      <c r="D112">
        <v>5.7097429999999996</v>
      </c>
      <c r="E112">
        <v>0.49371350000000003</v>
      </c>
      <c r="F112" t="s">
        <v>41</v>
      </c>
      <c r="G112">
        <v>-430.39670000000001</v>
      </c>
      <c r="H112">
        <v>-0.05</v>
      </c>
      <c r="I112">
        <v>365.3802</v>
      </c>
      <c r="J112">
        <v>-470.32089999999999</v>
      </c>
      <c r="K112">
        <v>1.109254</v>
      </c>
      <c r="L112">
        <v>367.43639999999999</v>
      </c>
      <c r="M112">
        <v>0.99890789999999996</v>
      </c>
      <c r="N112">
        <v>0</v>
      </c>
      <c r="O112">
        <v>4.6434160000000002E-2</v>
      </c>
      <c r="P112">
        <v>0.99728629999999996</v>
      </c>
      <c r="Q112">
        <v>2.263656E-2</v>
      </c>
      <c r="R112">
        <v>-7.0055439999999997E-2</v>
      </c>
      <c r="S112">
        <v>2.9993289999999999</v>
      </c>
      <c r="T112">
        <v>-8.6889620000000001E-2</v>
      </c>
      <c r="U112">
        <v>-0.1537781</v>
      </c>
      <c r="V112">
        <v>0.11628230000000001</v>
      </c>
      <c r="W112">
        <v>2.782254E-2</v>
      </c>
      <c r="X112">
        <v>0.9928264</v>
      </c>
      <c r="Y112">
        <v>9.7462010000000002E-2</v>
      </c>
      <c r="Z112">
        <v>-2.754575E-3</v>
      </c>
      <c r="AA112">
        <v>0.99523539999999999</v>
      </c>
      <c r="AB112">
        <v>9</v>
      </c>
      <c r="AC112">
        <v>39.9241999999999</v>
      </c>
      <c r="AD112">
        <v>-1.159254</v>
      </c>
      <c r="AE112">
        <v>-2.0561999999999898</v>
      </c>
      <c r="AF112">
        <v>3.9045703516368002</v>
      </c>
      <c r="AG112">
        <v>-1.159254</v>
      </c>
      <c r="AH112">
        <v>39.752228630370404</v>
      </c>
      <c r="AI112">
        <v>91.662390065135099</v>
      </c>
      <c r="AJ112">
        <v>84.390249306601305</v>
      </c>
      <c r="AK112">
        <v>39.960345600966001</v>
      </c>
      <c r="AL112">
        <v>88.405680087607294</v>
      </c>
      <c r="AM112">
        <v>83.319810264848897</v>
      </c>
      <c r="AN112">
        <v>0.99999996378114997</v>
      </c>
    </row>
    <row r="113" spans="1:40" x14ac:dyDescent="0.25">
      <c r="A113" t="str">
        <f>"20190312161224616"</f>
        <v>20190312161224616</v>
      </c>
      <c r="B113" t="str">
        <f>"1552378344606261"</f>
        <v>1552378344606261</v>
      </c>
      <c r="C113" t="s">
        <v>40</v>
      </c>
      <c r="D113">
        <v>5.7206000000000001</v>
      </c>
      <c r="E113">
        <v>0.49389630000000001</v>
      </c>
      <c r="F113" t="s">
        <v>41</v>
      </c>
      <c r="G113">
        <v>-430.16460000000001</v>
      </c>
      <c r="H113">
        <v>-0.05</v>
      </c>
      <c r="I113">
        <v>365.38869999999997</v>
      </c>
      <c r="J113">
        <v>-470.14060000000001</v>
      </c>
      <c r="K113">
        <v>1.109334</v>
      </c>
      <c r="L113">
        <v>367.44600000000003</v>
      </c>
      <c r="M113">
        <v>0.99886359999999996</v>
      </c>
      <c r="N113">
        <v>0</v>
      </c>
      <c r="O113">
        <v>4.7390639999999998E-2</v>
      </c>
      <c r="P113">
        <v>0.99742790000000003</v>
      </c>
      <c r="Q113">
        <v>2.3524799999999998E-2</v>
      </c>
      <c r="R113">
        <v>-6.7709389999999994E-2</v>
      </c>
      <c r="S113">
        <v>2.99939</v>
      </c>
      <c r="T113">
        <v>-8.6587910000000004E-2</v>
      </c>
      <c r="U113">
        <v>-0.15295410000000001</v>
      </c>
      <c r="V113">
        <v>0.11489530000000001</v>
      </c>
      <c r="W113">
        <v>2.8598999999999999E-2</v>
      </c>
      <c r="X113">
        <v>0.99296580000000001</v>
      </c>
      <c r="Y113">
        <v>9.8140930000000001E-2</v>
      </c>
      <c r="Z113">
        <v>-2.782348E-3</v>
      </c>
      <c r="AA113">
        <v>0.99516859999999996</v>
      </c>
      <c r="AB113">
        <v>9</v>
      </c>
      <c r="AC113">
        <v>39.975999999999999</v>
      </c>
      <c r="AD113">
        <v>-1.1593340000000001</v>
      </c>
      <c r="AE113">
        <v>-2.0572999999999899</v>
      </c>
      <c r="AF113">
        <v>3.9461907822772</v>
      </c>
      <c r="AG113">
        <v>-1.1593340000000001</v>
      </c>
      <c r="AH113">
        <v>39.8001998166229</v>
      </c>
      <c r="AI113">
        <v>91.6603516210278</v>
      </c>
      <c r="AJ113">
        <v>84.337628746432401</v>
      </c>
      <c r="AK113">
        <v>40.012152934537198</v>
      </c>
      <c r="AL113">
        <v>88.361174478397899</v>
      </c>
      <c r="AM113">
        <v>83.399701806656594</v>
      </c>
      <c r="AN113">
        <v>0.99999995636636396</v>
      </c>
    </row>
    <row r="114" spans="1:40" x14ac:dyDescent="0.25">
      <c r="A114" t="str">
        <f>"20190312161224639"</f>
        <v>20190312161224639</v>
      </c>
      <c r="B114" t="str">
        <f>"1552378344635543"</f>
        <v>1552378344635543</v>
      </c>
      <c r="C114" t="s">
        <v>40</v>
      </c>
      <c r="D114">
        <v>5.6460140000000001</v>
      </c>
      <c r="E114">
        <v>0.4939598</v>
      </c>
      <c r="F114" t="s">
        <v>41</v>
      </c>
      <c r="G114">
        <v>-429.89890000000003</v>
      </c>
      <c r="H114">
        <v>-0.05</v>
      </c>
      <c r="I114">
        <v>365.47469999999998</v>
      </c>
      <c r="J114">
        <v>-470.04500000000002</v>
      </c>
      <c r="K114">
        <v>1.1093580000000001</v>
      </c>
      <c r="L114">
        <v>367.45100000000002</v>
      </c>
      <c r="M114">
        <v>0.99884019999999996</v>
      </c>
      <c r="N114">
        <v>0</v>
      </c>
      <c r="O114">
        <v>4.789098E-2</v>
      </c>
      <c r="P114">
        <v>0.99748749999999997</v>
      </c>
      <c r="Q114">
        <v>2.3909619999999999E-2</v>
      </c>
      <c r="R114">
        <v>-6.6688049999999999E-2</v>
      </c>
      <c r="S114">
        <v>2.9997560000000001</v>
      </c>
      <c r="T114">
        <v>-8.6420769999999994E-2</v>
      </c>
      <c r="U114">
        <v>-0.14694209999999999</v>
      </c>
      <c r="V114">
        <v>0.1143752</v>
      </c>
      <c r="W114">
        <v>2.8915969999999999E-2</v>
      </c>
      <c r="X114">
        <v>0.99301669999999997</v>
      </c>
      <c r="Y114">
        <v>9.6644270000000004E-2</v>
      </c>
      <c r="Z114">
        <v>-2.7696209999999999E-3</v>
      </c>
      <c r="AA114">
        <v>0.99531510000000001</v>
      </c>
      <c r="AB114">
        <v>9</v>
      </c>
      <c r="AC114">
        <v>40.146099999999898</v>
      </c>
      <c r="AD114">
        <v>-1.1593579999999899</v>
      </c>
      <c r="AE114">
        <v>-1.97629999999998</v>
      </c>
      <c r="AF114">
        <v>3.8934529430829699</v>
      </c>
      <c r="AG114">
        <v>-1.1593579999999899</v>
      </c>
      <c r="AH114">
        <v>39.972131042985502</v>
      </c>
      <c r="AI114">
        <v>91.653528976480004</v>
      </c>
      <c r="AJ114">
        <v>84.436700935021406</v>
      </c>
      <c r="AK114">
        <v>40.178033138890299</v>
      </c>
      <c r="AL114">
        <v>88.343005980971398</v>
      </c>
      <c r="AM114">
        <v>83.429651573071396</v>
      </c>
      <c r="AN114">
        <v>0.999999993087485</v>
      </c>
    </row>
    <row r="115" spans="1:40" x14ac:dyDescent="0.25">
      <c r="A115" t="str">
        <f>"20190312161224660"</f>
        <v>20190312161224660</v>
      </c>
      <c r="B115" t="str">
        <f>"1552378344656037"</f>
        <v>1552378344656037</v>
      </c>
      <c r="C115" t="s">
        <v>40</v>
      </c>
      <c r="D115">
        <v>5.6568809999999896</v>
      </c>
      <c r="E115">
        <v>0.49419049999999998</v>
      </c>
      <c r="F115" t="s">
        <v>41</v>
      </c>
      <c r="G115">
        <v>-427.8381</v>
      </c>
      <c r="H115">
        <v>-0.05</v>
      </c>
      <c r="I115">
        <v>365.41410000000002</v>
      </c>
      <c r="J115">
        <v>-469.9529</v>
      </c>
      <c r="K115">
        <v>1.1093759999999999</v>
      </c>
      <c r="L115">
        <v>367.45600000000002</v>
      </c>
      <c r="M115">
        <v>0.99881770000000003</v>
      </c>
      <c r="N115">
        <v>0</v>
      </c>
      <c r="O115">
        <v>4.8362700000000002E-2</v>
      </c>
      <c r="P115">
        <v>0.99750539999999999</v>
      </c>
      <c r="Q115">
        <v>2.3600340000000001E-2</v>
      </c>
      <c r="R115">
        <v>-6.6531019999999996E-2</v>
      </c>
      <c r="S115">
        <v>2.9998170000000002</v>
      </c>
      <c r="T115">
        <v>-8.2400319999999999E-2</v>
      </c>
      <c r="U115">
        <v>-0.1447754</v>
      </c>
      <c r="V115">
        <v>0.1146881</v>
      </c>
      <c r="W115">
        <v>2.8532269999999998E-2</v>
      </c>
      <c r="X115">
        <v>0.99299170000000003</v>
      </c>
      <c r="Y115">
        <v>9.6401459999999994E-2</v>
      </c>
      <c r="Z115">
        <v>-2.650421E-3</v>
      </c>
      <c r="AA115">
        <v>0.99533899999999997</v>
      </c>
      <c r="AB115">
        <v>9</v>
      </c>
      <c r="AC115">
        <v>42.114800000000002</v>
      </c>
      <c r="AD115">
        <v>-1.159376</v>
      </c>
      <c r="AE115">
        <v>-2.0418999999999401</v>
      </c>
      <c r="AF115">
        <v>4.0732410910864996</v>
      </c>
      <c r="AG115">
        <v>-1.159376</v>
      </c>
      <c r="AH115">
        <v>41.935059103059103</v>
      </c>
      <c r="AI115">
        <v>91.576235098206197</v>
      </c>
      <c r="AJ115">
        <v>84.4521432866906</v>
      </c>
      <c r="AK115">
        <v>42.148364472094897</v>
      </c>
      <c r="AL115">
        <v>88.364999431165799</v>
      </c>
      <c r="AM115">
        <v>83.411670251487294</v>
      </c>
      <c r="AN115">
        <v>0.999999983490926</v>
      </c>
    </row>
    <row r="116" spans="1:40" x14ac:dyDescent="0.25">
      <c r="A116" t="str">
        <f>"20190312161224683"</f>
        <v>20190312161224683</v>
      </c>
      <c r="B116" t="str">
        <f>"1552378344675194"</f>
        <v>1552378344675194</v>
      </c>
      <c r="C116" t="s">
        <v>40</v>
      </c>
      <c r="D116">
        <v>5.6388819999999997</v>
      </c>
      <c r="E116">
        <v>0.4943785</v>
      </c>
      <c r="F116" t="s">
        <v>41</v>
      </c>
      <c r="G116">
        <v>-428.7955</v>
      </c>
      <c r="H116">
        <v>-0.05</v>
      </c>
      <c r="I116">
        <v>365.45209999999997</v>
      </c>
      <c r="J116">
        <v>-469.8519</v>
      </c>
      <c r="K116">
        <v>1.109386</v>
      </c>
      <c r="L116">
        <v>367.4615</v>
      </c>
      <c r="M116">
        <v>0.99879379999999995</v>
      </c>
      <c r="N116">
        <v>0</v>
      </c>
      <c r="O116">
        <v>4.8864119999999997E-2</v>
      </c>
      <c r="P116">
        <v>0.99753179999999997</v>
      </c>
      <c r="Q116">
        <v>2.301895E-2</v>
      </c>
      <c r="R116">
        <v>-6.6339519999999999E-2</v>
      </c>
      <c r="S116">
        <v>2.9997560000000001</v>
      </c>
      <c r="T116">
        <v>-8.4501270000000003E-2</v>
      </c>
      <c r="U116">
        <v>-0.1460571</v>
      </c>
      <c r="V116">
        <v>0.1149969</v>
      </c>
      <c r="W116">
        <v>2.7861629999999998E-2</v>
      </c>
      <c r="X116">
        <v>0.9929751</v>
      </c>
      <c r="Y116">
        <v>9.732296E-2</v>
      </c>
      <c r="Z116">
        <v>-2.74508E-3</v>
      </c>
      <c r="AA116">
        <v>0.9952491</v>
      </c>
      <c r="AB116">
        <v>10</v>
      </c>
      <c r="AC116">
        <v>41.056399999999996</v>
      </c>
      <c r="AD116">
        <v>-1.159386</v>
      </c>
      <c r="AE116">
        <v>-2.0094000000000198</v>
      </c>
      <c r="AF116">
        <v>4.0100176773021197</v>
      </c>
      <c r="AG116">
        <v>-1.159386</v>
      </c>
      <c r="AH116">
        <v>40.876647126959803</v>
      </c>
      <c r="AI116">
        <v>91.616889505196994</v>
      </c>
      <c r="AJ116">
        <v>84.397185340477805</v>
      </c>
      <c r="AK116">
        <v>41.089228491312198</v>
      </c>
      <c r="AL116">
        <v>88.403439669919507</v>
      </c>
      <c r="AM116">
        <v>83.393978163155097</v>
      </c>
      <c r="AN116">
        <v>1.0000000533279301</v>
      </c>
    </row>
    <row r="117" spans="1:40" x14ac:dyDescent="0.25">
      <c r="A117" t="str">
        <f>"20190312161224706"</f>
        <v>20190312161224706</v>
      </c>
      <c r="B117" t="str">
        <f>"1552378344695691"</f>
        <v>1552378344695691</v>
      </c>
      <c r="C117" t="s">
        <v>40</v>
      </c>
      <c r="D117">
        <v>5.6311339999999896</v>
      </c>
      <c r="E117">
        <v>0.49447550000000001</v>
      </c>
      <c r="F117" t="s">
        <v>41</v>
      </c>
      <c r="G117">
        <v>-430.12430000000001</v>
      </c>
      <c r="H117">
        <v>-0.05</v>
      </c>
      <c r="I117">
        <v>365.51609999999999</v>
      </c>
      <c r="J117">
        <v>-469.75299999999999</v>
      </c>
      <c r="K117">
        <v>1.1093949999999999</v>
      </c>
      <c r="L117">
        <v>367.46690000000001</v>
      </c>
      <c r="M117">
        <v>0.99877090000000002</v>
      </c>
      <c r="N117">
        <v>0</v>
      </c>
      <c r="O117">
        <v>4.9338779999999999E-2</v>
      </c>
      <c r="P117">
        <v>0.99749520000000003</v>
      </c>
      <c r="Q117">
        <v>2.369009E-2</v>
      </c>
      <c r="R117">
        <v>-6.6651409999999994E-2</v>
      </c>
      <c r="S117">
        <v>2.999603</v>
      </c>
      <c r="T117">
        <v>-8.7538480000000002E-2</v>
      </c>
      <c r="U117">
        <v>-0.14688109999999999</v>
      </c>
      <c r="V117">
        <v>0.1157787</v>
      </c>
      <c r="W117">
        <v>2.8436469999999998E-2</v>
      </c>
      <c r="X117">
        <v>0.99286790000000003</v>
      </c>
      <c r="Y117">
        <v>9.8066340000000002E-2</v>
      </c>
      <c r="Z117">
        <v>-2.8685070000000002E-3</v>
      </c>
      <c r="AA117">
        <v>0.9951757</v>
      </c>
      <c r="AB117">
        <v>10</v>
      </c>
      <c r="AC117">
        <v>39.628700000000002</v>
      </c>
      <c r="AD117">
        <v>-1.159395</v>
      </c>
      <c r="AE117">
        <v>-1.9508000000000101</v>
      </c>
      <c r="AF117">
        <v>3.9003472618497002</v>
      </c>
      <c r="AG117">
        <v>-1.159395</v>
      </c>
      <c r="AH117">
        <v>39.450498367309599</v>
      </c>
      <c r="AI117">
        <v>91.675195710697494</v>
      </c>
      <c r="AJ117">
        <v>84.353694852653504</v>
      </c>
      <c r="AK117">
        <v>39.659787278276497</v>
      </c>
      <c r="AL117">
        <v>88.3704906276961</v>
      </c>
      <c r="AM117">
        <v>83.348756833809801</v>
      </c>
      <c r="AN117">
        <v>1.00000000352508</v>
      </c>
    </row>
    <row r="118" spans="1:40" x14ac:dyDescent="0.25">
      <c r="A118" t="str">
        <f>"20190312161224728"</f>
        <v>20190312161224728</v>
      </c>
      <c r="B118" t="str">
        <f>"1552378344715211"</f>
        <v>1552378344715211</v>
      </c>
      <c r="C118" t="s">
        <v>40</v>
      </c>
      <c r="D118">
        <v>5.6758199999999999</v>
      </c>
      <c r="E118">
        <v>0.49460569999999998</v>
      </c>
      <c r="F118" t="s">
        <v>41</v>
      </c>
      <c r="G118">
        <v>-428.4015</v>
      </c>
      <c r="H118">
        <v>-0.05</v>
      </c>
      <c r="I118">
        <v>365.41800000000001</v>
      </c>
      <c r="J118">
        <v>-469.65309999999999</v>
      </c>
      <c r="K118">
        <v>1.1093999999999999</v>
      </c>
      <c r="L118">
        <v>367.47239999999999</v>
      </c>
      <c r="M118">
        <v>0.99874839999999998</v>
      </c>
      <c r="N118">
        <v>0</v>
      </c>
      <c r="O118">
        <v>4.9801350000000001E-2</v>
      </c>
      <c r="P118">
        <v>0.99744929999999998</v>
      </c>
      <c r="Q118">
        <v>2.4278709999999998E-2</v>
      </c>
      <c r="R118">
        <v>-6.7125690000000002E-2</v>
      </c>
      <c r="S118">
        <v>2.9995729999999998</v>
      </c>
      <c r="T118">
        <v>-8.4100839999999996E-2</v>
      </c>
      <c r="U118">
        <v>-0.14862059999999999</v>
      </c>
      <c r="V118">
        <v>0.1167102</v>
      </c>
      <c r="W118">
        <v>2.8922159999999999E-2</v>
      </c>
      <c r="X118">
        <v>0.99274479999999998</v>
      </c>
      <c r="Y118">
        <v>9.9107619999999993E-2</v>
      </c>
      <c r="Z118">
        <v>-2.7834399999999999E-3</v>
      </c>
      <c r="AA118">
        <v>0.99507279999999998</v>
      </c>
      <c r="AB118">
        <v>10</v>
      </c>
      <c r="AC118">
        <v>41.251600000000003</v>
      </c>
      <c r="AD118">
        <v>-1.1594</v>
      </c>
      <c r="AE118">
        <v>-2.0543999999999798</v>
      </c>
      <c r="AF118">
        <v>4.10302508403388</v>
      </c>
      <c r="AG118">
        <v>-1.1594</v>
      </c>
      <c r="AH118">
        <v>41.065740034834199</v>
      </c>
      <c r="AI118">
        <v>91.609181723893698</v>
      </c>
      <c r="AJ118">
        <v>84.294309406073097</v>
      </c>
      <c r="AK118">
        <v>41.286487230191803</v>
      </c>
      <c r="AL118">
        <v>88.3426511831982</v>
      </c>
      <c r="AM118">
        <v>83.294905558922594</v>
      </c>
      <c r="AN118">
        <v>1.0000000000250699</v>
      </c>
    </row>
    <row r="119" spans="1:40" x14ac:dyDescent="0.25">
      <c r="A119" t="str">
        <f>"20190312161224752"</f>
        <v>20190312161224752</v>
      </c>
      <c r="B119" t="str">
        <f>"1552378344745466"</f>
        <v>1552378344745466</v>
      </c>
      <c r="C119" t="s">
        <v>40</v>
      </c>
      <c r="D119">
        <v>5.5566700000000004</v>
      </c>
      <c r="E119">
        <v>0.4752362</v>
      </c>
      <c r="F119" t="s">
        <v>41</v>
      </c>
      <c r="G119">
        <v>-426.9821</v>
      </c>
      <c r="H119">
        <v>-0.05</v>
      </c>
      <c r="I119">
        <v>365.32069999999999</v>
      </c>
      <c r="J119">
        <v>-469.54790000000003</v>
      </c>
      <c r="K119">
        <v>1.1093959999999901</v>
      </c>
      <c r="L119">
        <v>367.47809999999998</v>
      </c>
      <c r="M119">
        <v>0.99872539999999999</v>
      </c>
      <c r="N119">
        <v>0</v>
      </c>
      <c r="O119">
        <v>5.0269349999999997E-2</v>
      </c>
      <c r="P119">
        <v>0.99738769999999999</v>
      </c>
      <c r="Q119">
        <v>2.422852E-2</v>
      </c>
      <c r="R119">
        <v>-6.8051050000000002E-2</v>
      </c>
      <c r="S119">
        <v>2.9994809999999998</v>
      </c>
      <c r="T119">
        <v>-8.1498029999999999E-2</v>
      </c>
      <c r="U119">
        <v>-0.15124509999999999</v>
      </c>
      <c r="V119">
        <v>0.1180968</v>
      </c>
      <c r="W119">
        <v>2.8759630000000001E-2</v>
      </c>
      <c r="X119">
        <v>0.99258550000000001</v>
      </c>
      <c r="Y119">
        <v>0.1004467</v>
      </c>
      <c r="Z119">
        <v>-2.7282370000000001E-3</v>
      </c>
      <c r="AA119">
        <v>0.99493869999999895</v>
      </c>
      <c r="AB119">
        <v>10</v>
      </c>
      <c r="AC119">
        <v>42.565800000000003</v>
      </c>
      <c r="AD119">
        <v>-1.1593960000000001</v>
      </c>
      <c r="AE119">
        <v>-2.1573999999999902</v>
      </c>
      <c r="AF119">
        <v>4.29127392626319</v>
      </c>
      <c r="AG119">
        <v>-1.1593960000000001</v>
      </c>
      <c r="AH119">
        <v>42.372175486674202</v>
      </c>
      <c r="AI119">
        <v>91.559374874111498</v>
      </c>
      <c r="AJ119">
        <v>84.217044564231301</v>
      </c>
      <c r="AK119">
        <v>42.604700286101703</v>
      </c>
      <c r="AL119">
        <v>88.351967296506999</v>
      </c>
      <c r="AM119">
        <v>83.214903816730796</v>
      </c>
      <c r="AN119">
        <v>0.999999972649113</v>
      </c>
    </row>
    <row r="120" spans="1:40" x14ac:dyDescent="0.25">
      <c r="A120" t="str">
        <f>"20190312161224797"</f>
        <v>20190312161224797</v>
      </c>
      <c r="B120" t="str">
        <f>"1552378344785483"</f>
        <v>1552378344785483</v>
      </c>
      <c r="C120" t="s">
        <v>40</v>
      </c>
      <c r="D120">
        <v>5.5396700000000001</v>
      </c>
      <c r="E120">
        <v>0.47526570000000001</v>
      </c>
      <c r="F120" t="s">
        <v>52</v>
      </c>
      <c r="G120">
        <v>-158.19499999999999</v>
      </c>
      <c r="H120">
        <v>2.0615030000000001</v>
      </c>
      <c r="I120">
        <v>367.07380000000001</v>
      </c>
      <c r="J120">
        <v>-469.33679999999998</v>
      </c>
      <c r="K120">
        <v>1.10938</v>
      </c>
      <c r="L120">
        <v>367.4898</v>
      </c>
      <c r="M120">
        <v>0.99868100000000004</v>
      </c>
      <c r="N120">
        <v>0</v>
      </c>
      <c r="O120">
        <v>5.1164840000000003E-2</v>
      </c>
      <c r="P120">
        <v>0.99734959999999995</v>
      </c>
      <c r="Q120">
        <v>2.4474719999999998E-2</v>
      </c>
      <c r="R120">
        <v>-6.8520330000000004E-2</v>
      </c>
      <c r="S120">
        <v>3.007355</v>
      </c>
      <c r="T120">
        <v>9.1972349999999998E-3</v>
      </c>
      <c r="U120">
        <v>-3.90625E-3</v>
      </c>
      <c r="V120">
        <v>0.119454</v>
      </c>
      <c r="W120">
        <v>2.8784420000000002E-2</v>
      </c>
      <c r="X120">
        <v>0.99242240000000004</v>
      </c>
      <c r="Y120">
        <v>5.246199E-2</v>
      </c>
      <c r="Z120">
        <v>2.3664650000000001E-4</v>
      </c>
      <c r="AA120">
        <v>0.99862289999999998</v>
      </c>
      <c r="AB120">
        <v>10</v>
      </c>
      <c r="AC120">
        <v>311.14179999999999</v>
      </c>
      <c r="AD120">
        <v>0.95212299999999905</v>
      </c>
      <c r="AE120">
        <v>-0.41599999999999598</v>
      </c>
      <c r="AF120">
        <v>16.3349691892797</v>
      </c>
      <c r="AG120">
        <v>0.95212299999999905</v>
      </c>
      <c r="AH120">
        <v>310.7100714394</v>
      </c>
      <c r="AI120">
        <v>89.824668619665601</v>
      </c>
      <c r="AJ120">
        <v>86.990557978800993</v>
      </c>
      <c r="AK120">
        <v>311.14062134427098</v>
      </c>
      <c r="AL120">
        <v>88.350546408247595</v>
      </c>
      <c r="AM120">
        <v>83.136550052888495</v>
      </c>
      <c r="AN120">
        <v>1.0000000104862401</v>
      </c>
    </row>
    <row r="121" spans="1:40" x14ac:dyDescent="0.25">
      <c r="A121" t="str">
        <f>"20190312161224820"</f>
        <v>20190312161224820</v>
      </c>
      <c r="B121" t="str">
        <f>"1552378344815739"</f>
        <v>1552378344815739</v>
      </c>
      <c r="C121" t="s">
        <v>40</v>
      </c>
      <c r="D121">
        <v>5.5244600000000004</v>
      </c>
      <c r="E121">
        <v>0.47450629999999999</v>
      </c>
      <c r="F121" t="s">
        <v>52</v>
      </c>
      <c r="G121">
        <v>-158.19499999999999</v>
      </c>
      <c r="H121">
        <v>3.6663770000000002</v>
      </c>
      <c r="I121">
        <v>366.84249999999997</v>
      </c>
      <c r="J121">
        <v>-469.22710000000001</v>
      </c>
      <c r="K121">
        <v>1.109378</v>
      </c>
      <c r="L121">
        <v>367.49590000000001</v>
      </c>
      <c r="M121">
        <v>0.9986585</v>
      </c>
      <c r="N121">
        <v>0</v>
      </c>
      <c r="O121">
        <v>5.1609080000000002E-2</v>
      </c>
      <c r="P121">
        <v>0.99737730000000002</v>
      </c>
      <c r="Q121">
        <v>2.3597179999999999E-2</v>
      </c>
      <c r="R121">
        <v>-6.8422510000000006E-2</v>
      </c>
      <c r="S121">
        <v>3.0069270000000001</v>
      </c>
      <c r="T121">
        <v>2.4712089999999999E-2</v>
      </c>
      <c r="U121">
        <v>-6.2561040000000002E-3</v>
      </c>
      <c r="V121">
        <v>0.11979960000000001</v>
      </c>
      <c r="W121">
        <v>2.7794900000000001E-2</v>
      </c>
      <c r="X121">
        <v>0.99240890000000004</v>
      </c>
      <c r="Y121">
        <v>5.3683649999999999E-2</v>
      </c>
      <c r="Z121">
        <v>6.4459610000000003E-4</v>
      </c>
      <c r="AA121">
        <v>0.99855780000000005</v>
      </c>
      <c r="AB121">
        <v>10</v>
      </c>
      <c r="AC121">
        <v>311.03210000000001</v>
      </c>
      <c r="AD121">
        <v>2.5569989999999998</v>
      </c>
      <c r="AE121">
        <v>-0.65340000000003295</v>
      </c>
      <c r="AF121">
        <v>16.703622949787601</v>
      </c>
      <c r="AG121">
        <v>2.5569989999999998</v>
      </c>
      <c r="AH121">
        <v>310.56288892925801</v>
      </c>
      <c r="AI121">
        <v>89.528950458454503</v>
      </c>
      <c r="AJ121">
        <v>86.9213132881505</v>
      </c>
      <c r="AK121">
        <v>311.02227772881702</v>
      </c>
      <c r="AL121">
        <v>88.407264354003701</v>
      </c>
      <c r="AM121">
        <v>83.116790462442097</v>
      </c>
      <c r="AN121">
        <v>0.99999996271268898</v>
      </c>
    </row>
    <row r="122" spans="1:40" x14ac:dyDescent="0.25">
      <c r="A122" t="str">
        <f>"20190312161224842"</f>
        <v>20190312161224842</v>
      </c>
      <c r="B122" t="str">
        <f>"1552378344835259"</f>
        <v>1552378344835259</v>
      </c>
      <c r="C122" t="s">
        <v>40</v>
      </c>
      <c r="D122">
        <v>5.4990019999999999</v>
      </c>
      <c r="E122">
        <v>0.47477639999999999</v>
      </c>
      <c r="F122" t="s">
        <v>52</v>
      </c>
      <c r="G122">
        <v>-158.78319999999999</v>
      </c>
      <c r="H122">
        <v>3.9101560000000002</v>
      </c>
      <c r="I122">
        <v>367.50540000000001</v>
      </c>
      <c r="J122">
        <v>-469.12430000000001</v>
      </c>
      <c r="K122">
        <v>1.1093759999999999</v>
      </c>
      <c r="L122">
        <v>367.50170000000003</v>
      </c>
      <c r="M122">
        <v>0.99863789999999997</v>
      </c>
      <c r="N122">
        <v>0</v>
      </c>
      <c r="O122">
        <v>5.2013940000000002E-2</v>
      </c>
      <c r="P122">
        <v>0.9973552</v>
      </c>
      <c r="Q122">
        <v>2.435145E-2</v>
      </c>
      <c r="R122">
        <v>-6.8480159999999998E-2</v>
      </c>
      <c r="S122">
        <v>3.007263</v>
      </c>
      <c r="T122">
        <v>2.713192E-2</v>
      </c>
      <c r="U122" s="1">
        <v>9.1552730000000004E-5</v>
      </c>
      <c r="V122">
        <v>0.12025810000000001</v>
      </c>
      <c r="W122">
        <v>2.844839E-2</v>
      </c>
      <c r="X122">
        <v>0.99233499999999997</v>
      </c>
      <c r="Y122">
        <v>5.1979749999999998E-2</v>
      </c>
      <c r="Z122">
        <v>7.0359120000000001E-4</v>
      </c>
      <c r="AA122">
        <v>0.99864790000000003</v>
      </c>
      <c r="AB122">
        <v>11</v>
      </c>
      <c r="AC122">
        <v>310.34109999999998</v>
      </c>
      <c r="AD122">
        <v>2.80078</v>
      </c>
      <c r="AE122">
        <v>3.69999999998071E-3</v>
      </c>
      <c r="AF122">
        <v>16.137190384323599</v>
      </c>
      <c r="AG122">
        <v>2.80078</v>
      </c>
      <c r="AH122">
        <v>309.89595452134398</v>
      </c>
      <c r="AI122">
        <v>89.482886456469402</v>
      </c>
      <c r="AJ122">
        <v>87.019133228002204</v>
      </c>
      <c r="AK122">
        <v>310.328464551357</v>
      </c>
      <c r="AL122">
        <v>88.369807439957597</v>
      </c>
      <c r="AM122">
        <v>83.090191477153496</v>
      </c>
      <c r="AN122">
        <v>1.0000000368671</v>
      </c>
    </row>
    <row r="123" spans="1:40" x14ac:dyDescent="0.25">
      <c r="A123" t="str">
        <f>"20190312161224862"</f>
        <v>20190312161224862</v>
      </c>
      <c r="B123" t="str">
        <f>"1552378344855755"</f>
        <v>1552378344855755</v>
      </c>
      <c r="C123" t="s">
        <v>40</v>
      </c>
      <c r="D123">
        <v>5.5350339999999996</v>
      </c>
      <c r="E123">
        <v>0.47513109999999997</v>
      </c>
      <c r="F123" t="s">
        <v>52</v>
      </c>
      <c r="G123">
        <v>-158.19499999999999</v>
      </c>
      <c r="H123">
        <v>4.0392479999999997</v>
      </c>
      <c r="I123">
        <v>367.26190000000003</v>
      </c>
      <c r="J123">
        <v>-469.0224</v>
      </c>
      <c r="K123">
        <v>1.1093710000000001</v>
      </c>
      <c r="L123">
        <v>367.50749999999999</v>
      </c>
      <c r="M123">
        <v>0.99861789999999995</v>
      </c>
      <c r="N123">
        <v>0</v>
      </c>
      <c r="O123">
        <v>5.2404430000000002E-2</v>
      </c>
      <c r="P123">
        <v>0.99733729999999998</v>
      </c>
      <c r="Q123">
        <v>2.524444E-2</v>
      </c>
      <c r="R123">
        <v>-6.8418359999999998E-2</v>
      </c>
      <c r="S123">
        <v>3.0070800000000002</v>
      </c>
      <c r="T123">
        <v>2.8336409999999999E-2</v>
      </c>
      <c r="U123">
        <v>-2.319336E-3</v>
      </c>
      <c r="V123">
        <v>0.120583</v>
      </c>
      <c r="W123">
        <v>2.9246279999999999E-2</v>
      </c>
      <c r="X123">
        <v>0.9922723</v>
      </c>
      <c r="Y123">
        <v>5.3170380000000003E-2</v>
      </c>
      <c r="Z123">
        <v>7.4415739999999998E-4</v>
      </c>
      <c r="AA123">
        <v>0.99858519999999995</v>
      </c>
      <c r="AB123">
        <v>11</v>
      </c>
      <c r="AC123">
        <v>310.82740000000001</v>
      </c>
      <c r="AD123">
        <v>2.9298769999999998</v>
      </c>
      <c r="AE123">
        <v>-0.24559999999996701</v>
      </c>
      <c r="AF123">
        <v>16.532657161803701</v>
      </c>
      <c r="AG123">
        <v>2.9298769999999998</v>
      </c>
      <c r="AH123">
        <v>310.35985256903803</v>
      </c>
      <c r="AI123">
        <v>89.459894859147795</v>
      </c>
      <c r="AJ123">
        <v>86.950774998358199</v>
      </c>
      <c r="AK123">
        <v>310.81369181350402</v>
      </c>
      <c r="AL123">
        <v>88.324072550356703</v>
      </c>
      <c r="AM123">
        <v>83.071270996334306</v>
      </c>
      <c r="AN123">
        <v>0.99999996106506295</v>
      </c>
    </row>
    <row r="124" spans="1:40" x14ac:dyDescent="0.25">
      <c r="A124" t="str">
        <f>"20190312161224885"</f>
        <v>20190312161224885</v>
      </c>
      <c r="B124" t="str">
        <f>"1552378344875275"</f>
        <v>1552378344875275</v>
      </c>
      <c r="C124" t="s">
        <v>40</v>
      </c>
      <c r="D124">
        <v>5.5248419999999996</v>
      </c>
      <c r="E124">
        <v>0.47541450000000002</v>
      </c>
      <c r="F124" t="s">
        <v>52</v>
      </c>
      <c r="G124">
        <v>-158.19499999999999</v>
      </c>
      <c r="H124">
        <v>4.1483749999999997</v>
      </c>
      <c r="I124">
        <v>366.99959999999999</v>
      </c>
      <c r="J124">
        <v>-468.90839999999997</v>
      </c>
      <c r="K124">
        <v>1.1093630000000001</v>
      </c>
      <c r="L124">
        <v>367.51389999999998</v>
      </c>
      <c r="M124">
        <v>0.99859600000000004</v>
      </c>
      <c r="N124">
        <v>0</v>
      </c>
      <c r="O124">
        <v>5.2829319999999999E-2</v>
      </c>
      <c r="P124">
        <v>0.99740280000000003</v>
      </c>
      <c r="Q124">
        <v>2.4891670000000001E-2</v>
      </c>
      <c r="R124">
        <v>-6.7589780000000002E-2</v>
      </c>
      <c r="S124">
        <v>3.006866</v>
      </c>
      <c r="T124">
        <v>2.9399390000000001E-2</v>
      </c>
      <c r="U124">
        <v>-4.9133299999999996E-3</v>
      </c>
      <c r="V124">
        <v>0.1201813</v>
      </c>
      <c r="W124">
        <v>2.8791569999999999E-2</v>
      </c>
      <c r="X124">
        <v>0.99233439999999995</v>
      </c>
      <c r="Y124">
        <v>5.4456280000000003E-2</v>
      </c>
      <c r="Z124">
        <v>7.825652E-4</v>
      </c>
      <c r="AA124">
        <v>0.99851579999999995</v>
      </c>
      <c r="AB124">
        <v>11</v>
      </c>
      <c r="AC124">
        <v>310.71339999999998</v>
      </c>
      <c r="AD124">
        <v>3.039012</v>
      </c>
      <c r="AE124">
        <v>-0.51429999999999099</v>
      </c>
      <c r="AF124">
        <v>16.926864026849401</v>
      </c>
      <c r="AG124">
        <v>3.039012</v>
      </c>
      <c r="AH124">
        <v>310.222652590954</v>
      </c>
      <c r="AI124">
        <v>89.439568984186295</v>
      </c>
      <c r="AJ124">
        <v>86.876833093878503</v>
      </c>
      <c r="AK124">
        <v>310.698967652433</v>
      </c>
      <c r="AL124">
        <v>88.350136606429103</v>
      </c>
      <c r="AM124">
        <v>83.094557506498205</v>
      </c>
      <c r="AN124">
        <v>1.0000000303980501</v>
      </c>
    </row>
    <row r="125" spans="1:40" x14ac:dyDescent="0.25">
      <c r="A125" t="str">
        <f>"20190312161224908"</f>
        <v>20190312161224908</v>
      </c>
      <c r="B125" t="str">
        <f>"1552378344895771"</f>
        <v>1552378344895771</v>
      </c>
      <c r="C125" t="s">
        <v>40</v>
      </c>
      <c r="D125">
        <v>5.5056330000000004</v>
      </c>
      <c r="E125">
        <v>0.47556029999999999</v>
      </c>
      <c r="F125" t="s">
        <v>52</v>
      </c>
      <c r="G125">
        <v>-158.19499999999999</v>
      </c>
      <c r="H125">
        <v>3.7778679999999998</v>
      </c>
      <c r="I125">
        <v>367.0283</v>
      </c>
      <c r="J125">
        <v>-468.79309999999998</v>
      </c>
      <c r="K125">
        <v>1.1093109999999999</v>
      </c>
      <c r="L125">
        <v>367.5204</v>
      </c>
      <c r="M125">
        <v>0.99856100000000003</v>
      </c>
      <c r="N125">
        <v>0</v>
      </c>
      <c r="O125">
        <v>5.3501390000000003E-2</v>
      </c>
      <c r="P125">
        <v>0.9974518</v>
      </c>
      <c r="Q125">
        <v>2.5119240000000001E-2</v>
      </c>
      <c r="R125">
        <v>-6.6777180000000005E-2</v>
      </c>
      <c r="S125">
        <v>3.0068969999999999</v>
      </c>
      <c r="T125">
        <v>2.5825020000000001E-2</v>
      </c>
      <c r="U125">
        <v>-4.699707E-3</v>
      </c>
      <c r="V125">
        <v>0.1200413</v>
      </c>
      <c r="W125">
        <v>2.8808250000000001E-2</v>
      </c>
      <c r="X125">
        <v>0.99235079999999998</v>
      </c>
      <c r="Y125">
        <v>5.5058429999999998E-2</v>
      </c>
      <c r="Z125">
        <v>6.9576929999999896E-4</v>
      </c>
      <c r="AA125">
        <v>0.99848289999999995</v>
      </c>
      <c r="AB125">
        <v>11</v>
      </c>
      <c r="AC125">
        <v>310.59809999999999</v>
      </c>
      <c r="AD125">
        <v>2.6685569999999998</v>
      </c>
      <c r="AE125">
        <v>-0.49209999999999299</v>
      </c>
      <c r="AF125">
        <v>17.107674865374101</v>
      </c>
      <c r="AG125">
        <v>2.6685569999999998</v>
      </c>
      <c r="AH125">
        <v>310.10402856239898</v>
      </c>
      <c r="AI125">
        <v>89.507709850303399</v>
      </c>
      <c r="AJ125">
        <v>86.842333886620395</v>
      </c>
      <c r="AK125">
        <v>310.58702849023001</v>
      </c>
      <c r="AL125">
        <v>88.349180415900406</v>
      </c>
      <c r="AM125">
        <v>83.102637056656306</v>
      </c>
      <c r="AN125">
        <v>0.99999996961719495</v>
      </c>
    </row>
    <row r="126" spans="1:40" x14ac:dyDescent="0.25">
      <c r="A126" t="str">
        <f>"20190312161224932"</f>
        <v>20190312161224932</v>
      </c>
      <c r="B126" t="str">
        <f>"1552378344926026"</f>
        <v>1552378344926026</v>
      </c>
      <c r="C126" t="s">
        <v>40</v>
      </c>
      <c r="D126">
        <v>5.5074909999999999</v>
      </c>
      <c r="E126">
        <v>0.47611360000000003</v>
      </c>
      <c r="F126" t="s">
        <v>52</v>
      </c>
      <c r="G126">
        <v>-158.19499999999999</v>
      </c>
      <c r="H126">
        <v>3.6126360000000002</v>
      </c>
      <c r="I126">
        <v>367.19260000000003</v>
      </c>
      <c r="J126">
        <v>-468.67469999999997</v>
      </c>
      <c r="K126">
        <v>1.1093109999999999</v>
      </c>
      <c r="L126">
        <v>367.52719999999999</v>
      </c>
      <c r="M126">
        <v>0.99853590000000003</v>
      </c>
      <c r="N126">
        <v>0</v>
      </c>
      <c r="O126">
        <v>5.3977450000000003E-2</v>
      </c>
      <c r="P126">
        <v>0.99748689999999995</v>
      </c>
      <c r="Q126">
        <v>2.4700320000000001E-2</v>
      </c>
      <c r="R126">
        <v>-6.6406640000000003E-2</v>
      </c>
      <c r="S126">
        <v>3.0068049999999999</v>
      </c>
      <c r="T126">
        <v>2.4234769999999999E-2</v>
      </c>
      <c r="U126">
        <v>-3.1738280000000001E-3</v>
      </c>
      <c r="V126">
        <v>0.120141</v>
      </c>
      <c r="W126">
        <v>2.8267730000000001E-2</v>
      </c>
      <c r="X126">
        <v>0.99235430000000002</v>
      </c>
      <c r="Y126">
        <v>5.5028229999999997E-2</v>
      </c>
      <c r="Z126">
        <v>6.5665609999999996E-4</v>
      </c>
      <c r="AA126">
        <v>0.99848460000000006</v>
      </c>
      <c r="AB126">
        <v>11</v>
      </c>
      <c r="AC126">
        <v>310.47969999999998</v>
      </c>
      <c r="AD126">
        <v>2.5033249999999998</v>
      </c>
      <c r="AE126">
        <v>-0.33459999999996598</v>
      </c>
      <c r="AF126">
        <v>17.092008233728599</v>
      </c>
      <c r="AG126">
        <v>2.5033249999999998</v>
      </c>
      <c r="AH126">
        <v>309.98885024096802</v>
      </c>
      <c r="AI126">
        <v>89.538017817124896</v>
      </c>
      <c r="AJ126">
        <v>86.844049917499007</v>
      </c>
      <c r="AK126">
        <v>310.46979024574102</v>
      </c>
      <c r="AL126">
        <v>88.380162584691703</v>
      </c>
      <c r="AM126">
        <v>83.0969878336862</v>
      </c>
      <c r="AN126">
        <v>0.99999999058442102</v>
      </c>
    </row>
    <row r="127" spans="1:40" x14ac:dyDescent="0.25">
      <c r="A127" t="str">
        <f>"20190312161224953"</f>
        <v>20190312161224953</v>
      </c>
      <c r="B127" t="str">
        <f>"1552378344945547"</f>
        <v>1552378344945547</v>
      </c>
      <c r="C127" t="s">
        <v>40</v>
      </c>
      <c r="D127">
        <v>5.4937909999999999</v>
      </c>
      <c r="E127">
        <v>0.4758715</v>
      </c>
      <c r="F127" t="s">
        <v>52</v>
      </c>
      <c r="G127">
        <v>-158.19499999999999</v>
      </c>
      <c r="H127">
        <v>3.1176949999999999</v>
      </c>
      <c r="I127">
        <v>366.90320000000003</v>
      </c>
      <c r="J127">
        <v>-468.56310000000002</v>
      </c>
      <c r="K127">
        <v>1.1093729999999999</v>
      </c>
      <c r="L127">
        <v>367.5335</v>
      </c>
      <c r="M127">
        <v>0.99852770000000002</v>
      </c>
      <c r="N127">
        <v>0</v>
      </c>
      <c r="O127">
        <v>5.4133550000000003E-2</v>
      </c>
      <c r="P127">
        <v>0.99752110000000005</v>
      </c>
      <c r="Q127">
        <v>2.4518990000000001E-2</v>
      </c>
      <c r="R127">
        <v>-6.5961110000000003E-2</v>
      </c>
      <c r="S127">
        <v>3.006653</v>
      </c>
      <c r="T127">
        <v>1.9449830000000001E-2</v>
      </c>
      <c r="U127">
        <v>-6.0424800000000002E-3</v>
      </c>
      <c r="V127">
        <v>0.1198446</v>
      </c>
      <c r="W127">
        <v>2.8074689999999999E-2</v>
      </c>
      <c r="X127">
        <v>0.99239560000000004</v>
      </c>
      <c r="Y127">
        <v>5.6138210000000001E-2</v>
      </c>
      <c r="Z127">
        <v>5.3163549999999998E-4</v>
      </c>
      <c r="AA127">
        <v>0.9984229</v>
      </c>
      <c r="AB127">
        <v>12</v>
      </c>
      <c r="AC127">
        <v>310.36810000000003</v>
      </c>
      <c r="AD127">
        <v>2.0083220000000002</v>
      </c>
      <c r="AE127">
        <v>-0.63029999999997699</v>
      </c>
      <c r="AF127">
        <v>17.430073766337799</v>
      </c>
      <c r="AG127">
        <v>2.0083220000000002</v>
      </c>
      <c r="AH127">
        <v>309.865908251132</v>
      </c>
      <c r="AI127">
        <v>89.6292423446463</v>
      </c>
      <c r="AJ127">
        <v>86.780483643066106</v>
      </c>
      <c r="AK127">
        <v>310.36224307259897</v>
      </c>
      <c r="AL127">
        <v>88.391227323060903</v>
      </c>
      <c r="AM127">
        <v>83.114138363421205</v>
      </c>
      <c r="AN127">
        <v>0.99999997163355703</v>
      </c>
    </row>
    <row r="128" spans="1:40" x14ac:dyDescent="0.25">
      <c r="A128" t="str">
        <f>"20190312161224998"</f>
        <v>20190312161224998</v>
      </c>
      <c r="B128" t="str">
        <f>"1552378344986539"</f>
        <v>1552378344986539</v>
      </c>
      <c r="C128" t="s">
        <v>40</v>
      </c>
      <c r="D128">
        <v>5.4714260000000001</v>
      </c>
      <c r="E128">
        <v>0.4759468</v>
      </c>
      <c r="F128" t="s">
        <v>52</v>
      </c>
      <c r="G128">
        <v>-158.19499999999999</v>
      </c>
      <c r="H128">
        <v>3.4513560000000001</v>
      </c>
      <c r="I128">
        <v>367.20589999999999</v>
      </c>
      <c r="J128">
        <v>-468.32369999999997</v>
      </c>
      <c r="K128">
        <v>1.1092850000000001</v>
      </c>
      <c r="L128">
        <v>367.54739999999998</v>
      </c>
      <c r="M128">
        <v>0.99851080000000003</v>
      </c>
      <c r="N128">
        <v>0</v>
      </c>
      <c r="O128">
        <v>5.4456329999999997E-2</v>
      </c>
      <c r="P128">
        <v>0.99754569999999998</v>
      </c>
      <c r="Q128">
        <v>2.4794940000000001E-2</v>
      </c>
      <c r="R128">
        <v>-6.5482570000000004E-2</v>
      </c>
      <c r="S128">
        <v>3.0067140000000001</v>
      </c>
      <c r="T128">
        <v>2.2688980000000001E-2</v>
      </c>
      <c r="U128">
        <v>-3.1738280000000001E-3</v>
      </c>
      <c r="V128">
        <v>0.1196861</v>
      </c>
      <c r="W128">
        <v>2.8145239999999998E-2</v>
      </c>
      <c r="X128">
        <v>0.99241270000000004</v>
      </c>
      <c r="Y128">
        <v>5.5507470000000003E-2</v>
      </c>
      <c r="Z128">
        <v>6.2020949999999999E-4</v>
      </c>
      <c r="AA128">
        <v>0.99845810000000002</v>
      </c>
      <c r="AB128">
        <v>12</v>
      </c>
      <c r="AC128">
        <v>310.12869999999998</v>
      </c>
      <c r="AD128">
        <v>2.3420709999999998</v>
      </c>
      <c r="AE128">
        <v>-0.34149999999999597</v>
      </c>
      <c r="AF128">
        <v>17.228571790313499</v>
      </c>
      <c r="AG128">
        <v>2.3420709999999998</v>
      </c>
      <c r="AH128">
        <v>309.632255821809</v>
      </c>
      <c r="AI128">
        <v>89.5672899541715</v>
      </c>
      <c r="AJ128">
        <v>86.815229693731993</v>
      </c>
      <c r="AK128">
        <v>310.12004583355298</v>
      </c>
      <c r="AL128">
        <v>88.387183460080394</v>
      </c>
      <c r="AM128">
        <v>83.123275325297897</v>
      </c>
      <c r="AN128">
        <v>0.99999994209457699</v>
      </c>
    </row>
    <row r="129" spans="1:40" x14ac:dyDescent="0.25">
      <c r="A129" t="str">
        <f>"20190312161225019"</f>
        <v>20190312161225019</v>
      </c>
      <c r="B129" t="str">
        <f>"1552378345015820"</f>
        <v>1552378345015820</v>
      </c>
      <c r="C129" t="s">
        <v>40</v>
      </c>
      <c r="D129">
        <v>5.471368</v>
      </c>
      <c r="E129">
        <v>0.47612080000000001</v>
      </c>
      <c r="F129" t="s">
        <v>52</v>
      </c>
      <c r="G129">
        <v>-158.19499999999999</v>
      </c>
      <c r="H129">
        <v>3.494329</v>
      </c>
      <c r="I129">
        <v>367.32709999999997</v>
      </c>
      <c r="J129">
        <v>-468.20249999999999</v>
      </c>
      <c r="K129">
        <v>1.109167</v>
      </c>
      <c r="L129">
        <v>367.55439999999999</v>
      </c>
      <c r="M129">
        <v>0.99848820000000005</v>
      </c>
      <c r="N129">
        <v>0</v>
      </c>
      <c r="O129">
        <v>5.4877090000000003E-2</v>
      </c>
      <c r="P129">
        <v>0.99757200000000001</v>
      </c>
      <c r="Q129">
        <v>2.43127E-2</v>
      </c>
      <c r="R129">
        <v>-6.5261130000000001E-2</v>
      </c>
      <c r="S129">
        <v>3.006653</v>
      </c>
      <c r="T129">
        <v>2.3123500000000002E-2</v>
      </c>
      <c r="U129">
        <v>-2.1362299999999998E-3</v>
      </c>
      <c r="V129">
        <v>0.1198898</v>
      </c>
      <c r="W129">
        <v>2.7477919999999999E-2</v>
      </c>
      <c r="X129">
        <v>0.99240689999999998</v>
      </c>
      <c r="Y129">
        <v>5.5583510000000003E-2</v>
      </c>
      <c r="Z129">
        <v>6.3562329999999998E-4</v>
      </c>
      <c r="AA129">
        <v>0.99845390000000001</v>
      </c>
      <c r="AB129">
        <v>12</v>
      </c>
      <c r="AC129">
        <v>310.00749999999999</v>
      </c>
      <c r="AD129">
        <v>2.3851619999999998</v>
      </c>
      <c r="AE129">
        <v>-0.22730000000001299</v>
      </c>
      <c r="AF129">
        <v>17.238330049458799</v>
      </c>
      <c r="AG129">
        <v>2.3851619999999998</v>
      </c>
      <c r="AH129">
        <v>309.50955512443898</v>
      </c>
      <c r="AI129">
        <v>89.559155594427693</v>
      </c>
      <c r="AJ129">
        <v>86.812168890962695</v>
      </c>
      <c r="AK129">
        <v>309.99840924428702</v>
      </c>
      <c r="AL129">
        <v>88.425433012934803</v>
      </c>
      <c r="AM129">
        <v>83.111643955574706</v>
      </c>
      <c r="AN129">
        <v>1.00000002769958</v>
      </c>
    </row>
    <row r="130" spans="1:40" x14ac:dyDescent="0.25">
      <c r="A130" t="str">
        <f>"20190312161225044"</f>
        <v>20190312161225044</v>
      </c>
      <c r="B130" t="str">
        <f>"1552378345035339"</f>
        <v>1552378345035339</v>
      </c>
      <c r="C130" t="s">
        <v>40</v>
      </c>
      <c r="D130">
        <v>5.3812800000000003</v>
      </c>
      <c r="E130">
        <v>0.47632770000000002</v>
      </c>
      <c r="F130" t="s">
        <v>52</v>
      </c>
      <c r="G130">
        <v>-158.19499999999999</v>
      </c>
      <c r="H130">
        <v>3.2281270000000002</v>
      </c>
      <c r="I130">
        <v>367.26499999999999</v>
      </c>
      <c r="J130">
        <v>-468.07139999999998</v>
      </c>
      <c r="K130">
        <v>1.1090660000000001</v>
      </c>
      <c r="L130">
        <v>367.56200000000001</v>
      </c>
      <c r="M130">
        <v>0.99846069999999998</v>
      </c>
      <c r="N130">
        <v>0</v>
      </c>
      <c r="O130">
        <v>5.5385070000000002E-2</v>
      </c>
      <c r="P130">
        <v>0.99759659999999994</v>
      </c>
      <c r="Q130">
        <v>2.419936E-2</v>
      </c>
      <c r="R130">
        <v>-6.4931210000000003E-2</v>
      </c>
      <c r="S130">
        <v>3.0066220000000001</v>
      </c>
      <c r="T130">
        <v>2.0551679999999999E-2</v>
      </c>
      <c r="U130">
        <v>-2.8076170000000001E-3</v>
      </c>
      <c r="V130">
        <v>0.1200712</v>
      </c>
      <c r="W130">
        <v>2.7205750000000001E-2</v>
      </c>
      <c r="X130">
        <v>0.99239239999999995</v>
      </c>
      <c r="Y130">
        <v>5.6315049999999998E-2</v>
      </c>
      <c r="Z130">
        <v>5.7090500000000002E-4</v>
      </c>
      <c r="AA130">
        <v>0.99841290000000005</v>
      </c>
      <c r="AB130">
        <v>12</v>
      </c>
      <c r="AC130">
        <v>309.87639999999999</v>
      </c>
      <c r="AD130">
        <v>2.1190609999999999</v>
      </c>
      <c r="AE130">
        <v>-0.29699999999996801</v>
      </c>
      <c r="AF130">
        <v>17.458328677973999</v>
      </c>
      <c r="AG130">
        <v>2.1190609999999999</v>
      </c>
      <c r="AH130">
        <v>309.36984021816897</v>
      </c>
      <c r="AI130">
        <v>89.608176095335907</v>
      </c>
      <c r="AJ130">
        <v>86.770115832935005</v>
      </c>
      <c r="AK130">
        <v>309.869297763372</v>
      </c>
      <c r="AL130">
        <v>88.441032932639104</v>
      </c>
      <c r="AM130">
        <v>83.101222025050504</v>
      </c>
      <c r="AN130">
        <v>0.99999996074012998</v>
      </c>
    </row>
    <row r="131" spans="1:40" x14ac:dyDescent="0.25">
      <c r="A131" t="str">
        <f>"20190312161225063"</f>
        <v>20190312161225063</v>
      </c>
      <c r="B131" t="str">
        <f>"1552378345055836"</f>
        <v>1552378345055836</v>
      </c>
      <c r="C131" t="s">
        <v>40</v>
      </c>
      <c r="D131">
        <v>5.3210569999999997</v>
      </c>
      <c r="E131">
        <v>0.47631839999999998</v>
      </c>
      <c r="F131" t="s">
        <v>52</v>
      </c>
      <c r="G131">
        <v>-158.19499999999999</v>
      </c>
      <c r="H131">
        <v>3.0429369999999998</v>
      </c>
      <c r="I131">
        <v>367.22550000000001</v>
      </c>
      <c r="J131">
        <v>-467.96170000000001</v>
      </c>
      <c r="K131">
        <v>1.1090199999999999</v>
      </c>
      <c r="L131">
        <v>367.56830000000002</v>
      </c>
      <c r="M131">
        <v>0.9984421</v>
      </c>
      <c r="N131">
        <v>0</v>
      </c>
      <c r="O131">
        <v>5.5721880000000001E-2</v>
      </c>
      <c r="P131">
        <v>0.99755780000000005</v>
      </c>
      <c r="Q131">
        <v>2.3920710000000001E-2</v>
      </c>
      <c r="R131">
        <v>-6.5622310000000003E-2</v>
      </c>
      <c r="S131">
        <v>3.006561</v>
      </c>
      <c r="T131">
        <v>1.8764139999999999E-2</v>
      </c>
      <c r="U131">
        <v>-3.2653809999999999E-3</v>
      </c>
      <c r="V131">
        <v>0.1210967</v>
      </c>
      <c r="W131">
        <v>2.6839680000000001E-2</v>
      </c>
      <c r="X131">
        <v>0.99227779999999999</v>
      </c>
      <c r="Y131">
        <v>5.680429E-2</v>
      </c>
      <c r="Z131">
        <v>5.248869E-4</v>
      </c>
      <c r="AA131">
        <v>0.99838519999999997</v>
      </c>
      <c r="AB131">
        <v>12</v>
      </c>
      <c r="AC131">
        <v>309.76670000000001</v>
      </c>
      <c r="AD131">
        <v>1.9339170000000001</v>
      </c>
      <c r="AE131">
        <v>-0.34280000000001098</v>
      </c>
      <c r="AF131">
        <v>17.602437081078801</v>
      </c>
      <c r="AG131">
        <v>1.9339170000000001</v>
      </c>
      <c r="AH131">
        <v>309.25426515556899</v>
      </c>
      <c r="AI131">
        <v>89.6422853287214</v>
      </c>
      <c r="AJ131">
        <v>86.742297753168899</v>
      </c>
      <c r="AK131">
        <v>309.76085347097597</v>
      </c>
      <c r="AL131">
        <v>88.462014931049595</v>
      </c>
      <c r="AM131">
        <v>83.042080601361107</v>
      </c>
      <c r="AN131">
        <v>1.00000000577311</v>
      </c>
    </row>
    <row r="132" spans="1:40" x14ac:dyDescent="0.25">
      <c r="A132" t="str">
        <f>"20190312161225086"</f>
        <v>20190312161225086</v>
      </c>
      <c r="B132" t="str">
        <f>"1552378345075355"</f>
        <v>1552378345075355</v>
      </c>
      <c r="C132" t="s">
        <v>40</v>
      </c>
      <c r="D132">
        <v>5.2930060000000001</v>
      </c>
      <c r="E132">
        <v>0.47634399999999899</v>
      </c>
      <c r="F132" t="s">
        <v>52</v>
      </c>
      <c r="G132">
        <v>-158.19499999999999</v>
      </c>
      <c r="H132">
        <v>3.0192739999999998</v>
      </c>
      <c r="I132">
        <v>367.03699999999998</v>
      </c>
      <c r="J132">
        <v>-467.83269999999999</v>
      </c>
      <c r="K132">
        <v>1.1089979999999999</v>
      </c>
      <c r="L132">
        <v>367.57580000000002</v>
      </c>
      <c r="M132">
        <v>0.99842819999999999</v>
      </c>
      <c r="N132">
        <v>0</v>
      </c>
      <c r="O132">
        <v>5.597502E-2</v>
      </c>
      <c r="P132">
        <v>0.99750479999999997</v>
      </c>
      <c r="Q132">
        <v>2.3952089999999999E-2</v>
      </c>
      <c r="R132">
        <v>-6.6411670000000006E-2</v>
      </c>
      <c r="S132">
        <v>3.0066220000000001</v>
      </c>
      <c r="T132">
        <v>1.8541930000000002E-2</v>
      </c>
      <c r="U132">
        <v>-5.1574709999999899E-3</v>
      </c>
      <c r="V132">
        <v>0.12213549999999999</v>
      </c>
      <c r="W132">
        <v>2.6792010000000002E-2</v>
      </c>
      <c r="X132">
        <v>0.99215169999999997</v>
      </c>
      <c r="Y132">
        <v>5.7685670000000001E-2</v>
      </c>
      <c r="Z132">
        <v>5.2293909999999997E-4</v>
      </c>
      <c r="AA132">
        <v>0.99833459999999996</v>
      </c>
      <c r="AB132">
        <v>12</v>
      </c>
      <c r="AC132">
        <v>309.6377</v>
      </c>
      <c r="AD132">
        <v>1.9102760000000001</v>
      </c>
      <c r="AE132">
        <v>-0.53880000000003703</v>
      </c>
      <c r="AF132">
        <v>17.869320259558901</v>
      </c>
      <c r="AG132">
        <v>1.9102760000000001</v>
      </c>
      <c r="AH132">
        <v>309.11031213476502</v>
      </c>
      <c r="AI132">
        <v>89.646511507183405</v>
      </c>
      <c r="AJ132">
        <v>86.691477551848394</v>
      </c>
      <c r="AK132">
        <v>309.63227678810699</v>
      </c>
      <c r="AL132">
        <v>88.464747108513606</v>
      </c>
      <c r="AM132">
        <v>82.982103295673497</v>
      </c>
      <c r="AN132">
        <v>0.99999994398648795</v>
      </c>
    </row>
    <row r="133" spans="1:40" x14ac:dyDescent="0.25">
      <c r="A133" t="str">
        <f>"20190312161225109"</f>
        <v>20190312161225109</v>
      </c>
      <c r="B133" t="str">
        <f>"1552378345095851"</f>
        <v>1552378345095851</v>
      </c>
      <c r="C133" t="s">
        <v>40</v>
      </c>
      <c r="D133">
        <v>5.2456750000000003</v>
      </c>
      <c r="E133">
        <v>0.47651830000000001</v>
      </c>
      <c r="F133" t="s">
        <v>52</v>
      </c>
      <c r="G133">
        <v>-158.19499999999999</v>
      </c>
      <c r="H133">
        <v>3.0206900000000001</v>
      </c>
      <c r="I133">
        <v>366.78379999999999</v>
      </c>
      <c r="J133">
        <v>-467.70010000000002</v>
      </c>
      <c r="K133">
        <v>1.108984</v>
      </c>
      <c r="L133">
        <v>367.58350000000002</v>
      </c>
      <c r="M133">
        <v>0.998421</v>
      </c>
      <c r="N133">
        <v>0</v>
      </c>
      <c r="O133">
        <v>5.610652E-2</v>
      </c>
      <c r="P133">
        <v>0.99747430000000004</v>
      </c>
      <c r="Q133">
        <v>2.4447770000000001E-2</v>
      </c>
      <c r="R133">
        <v>-6.6689860000000004E-2</v>
      </c>
      <c r="S133">
        <v>3.0066220000000001</v>
      </c>
      <c r="T133">
        <v>1.8563630000000001E-2</v>
      </c>
      <c r="U133">
        <v>-7.6904299999999998E-3</v>
      </c>
      <c r="V133">
        <v>0.122544</v>
      </c>
      <c r="W133">
        <v>2.72067E-2</v>
      </c>
      <c r="X133">
        <v>0.99209009999999997</v>
      </c>
      <c r="Y133">
        <v>5.8658160000000001E-2</v>
      </c>
      <c r="Z133">
        <v>5.2736570000000004E-4</v>
      </c>
      <c r="AA133">
        <v>0.998278</v>
      </c>
      <c r="AB133">
        <v>13</v>
      </c>
      <c r="AC133">
        <v>309.50510000000003</v>
      </c>
      <c r="AD133">
        <v>1.9117059999999999</v>
      </c>
      <c r="AE133">
        <v>-0.79970000000002905</v>
      </c>
      <c r="AF133">
        <v>18.163067127468199</v>
      </c>
      <c r="AG133">
        <v>1.9117059999999999</v>
      </c>
      <c r="AH133">
        <v>308.96090467439501</v>
      </c>
      <c r="AI133">
        <v>89.646095959152802</v>
      </c>
      <c r="AJ133">
        <v>86.635591391495694</v>
      </c>
      <c r="AK133">
        <v>309.50022979721399</v>
      </c>
      <c r="AL133">
        <v>88.440978545035605</v>
      </c>
      <c r="AM133">
        <v>82.958433336725093</v>
      </c>
      <c r="AN133">
        <v>1.0000000014894499</v>
      </c>
    </row>
    <row r="134" spans="1:40" x14ac:dyDescent="0.25">
      <c r="A134" t="str">
        <f>"20190312161225130"</f>
        <v>20190312161225130</v>
      </c>
      <c r="B134" t="str">
        <f>"1552378345126107"</f>
        <v>1552378345126107</v>
      </c>
      <c r="C134" t="s">
        <v>40</v>
      </c>
      <c r="D134">
        <v>5.232532</v>
      </c>
      <c r="E134">
        <v>0.47656900000000002</v>
      </c>
      <c r="F134" t="s">
        <v>52</v>
      </c>
      <c r="G134">
        <v>-158.19499999999999</v>
      </c>
      <c r="H134">
        <v>2.9804870000000001</v>
      </c>
      <c r="I134">
        <v>366.53730000000002</v>
      </c>
      <c r="J134">
        <v>-467.57260000000002</v>
      </c>
      <c r="K134">
        <v>1.108957</v>
      </c>
      <c r="L134">
        <v>367.59089999999998</v>
      </c>
      <c r="M134">
        <v>0.99841760000000002</v>
      </c>
      <c r="N134">
        <v>0</v>
      </c>
      <c r="O134">
        <v>5.6173859999999999E-2</v>
      </c>
      <c r="P134">
        <v>0.99744869999999997</v>
      </c>
      <c r="Q134">
        <v>2.428835E-2</v>
      </c>
      <c r="R134">
        <v>-6.7131620000000003E-2</v>
      </c>
      <c r="S134">
        <v>3.0065309999999998</v>
      </c>
      <c r="T134">
        <v>1.818061E-2</v>
      </c>
      <c r="U134">
        <v>-1.0162350000000001E-2</v>
      </c>
      <c r="V134">
        <v>0.1230527</v>
      </c>
      <c r="W134">
        <v>2.6963609999999999E-2</v>
      </c>
      <c r="X134">
        <v>0.99203379999999997</v>
      </c>
      <c r="Y134">
        <v>5.954636E-2</v>
      </c>
      <c r="Z134">
        <v>5.195938E-4</v>
      </c>
      <c r="AA134">
        <v>0.99822540000000004</v>
      </c>
      <c r="AB134">
        <v>13</v>
      </c>
      <c r="AC134">
        <v>309.37759999999997</v>
      </c>
      <c r="AD134">
        <v>1.8715299999999999</v>
      </c>
      <c r="AE134">
        <v>-1.0535999999999599</v>
      </c>
      <c r="AF134">
        <v>18.430254939721198</v>
      </c>
      <c r="AG134">
        <v>1.8715299999999999</v>
      </c>
      <c r="AH134">
        <v>308.818604188611</v>
      </c>
      <c r="AI134">
        <v>89.653391957604299</v>
      </c>
      <c r="AJ134">
        <v>86.584646144217899</v>
      </c>
      <c r="AK134">
        <v>309.37373387973003</v>
      </c>
      <c r="AL134">
        <v>88.4549117345761</v>
      </c>
      <c r="AM134">
        <v>82.929100702580001</v>
      </c>
      <c r="AN134">
        <v>1.0000000317919799</v>
      </c>
    </row>
    <row r="135" spans="1:40" x14ac:dyDescent="0.25">
      <c r="A135" t="str">
        <f>"20190312161225152"</f>
        <v>20190312161225152</v>
      </c>
      <c r="B135" t="str">
        <f>"1552378345145627"</f>
        <v>1552378345145627</v>
      </c>
      <c r="C135" t="s">
        <v>40</v>
      </c>
      <c r="D135">
        <v>5.2731830000000004</v>
      </c>
      <c r="E135">
        <v>0.47643340000000001</v>
      </c>
      <c r="F135" t="s">
        <v>52</v>
      </c>
      <c r="G135">
        <v>-158.19499999999999</v>
      </c>
      <c r="H135">
        <v>2.9269229999999999</v>
      </c>
      <c r="I135">
        <v>366.36930000000001</v>
      </c>
      <c r="J135">
        <v>-467.44499999999999</v>
      </c>
      <c r="K135">
        <v>1.1089260000000001</v>
      </c>
      <c r="L135">
        <v>367.59820000000002</v>
      </c>
      <c r="M135">
        <v>0.99841449999999998</v>
      </c>
      <c r="N135">
        <v>0</v>
      </c>
      <c r="O135">
        <v>5.6228189999999997E-2</v>
      </c>
      <c r="P135">
        <v>0.99741210000000002</v>
      </c>
      <c r="Q135">
        <v>2.3761069999999999E-2</v>
      </c>
      <c r="R135">
        <v>-6.7856769999999997E-2</v>
      </c>
      <c r="S135">
        <v>3.0064389999999999</v>
      </c>
      <c r="T135">
        <v>1.7667289999999999E-2</v>
      </c>
      <c r="U135">
        <v>-1.1871339999999999E-2</v>
      </c>
      <c r="V135">
        <v>0.123831399999999</v>
      </c>
      <c r="W135">
        <v>2.6354900000000001E-2</v>
      </c>
      <c r="X135">
        <v>0.99195330000000004</v>
      </c>
      <c r="Y135">
        <v>6.0168300000000001E-2</v>
      </c>
      <c r="Z135">
        <v>5.0708630000000001E-4</v>
      </c>
      <c r="AA135">
        <v>0.99818810000000002</v>
      </c>
      <c r="AB135">
        <v>13</v>
      </c>
      <c r="AC135">
        <v>309.25</v>
      </c>
      <c r="AD135">
        <v>1.8179970000000001</v>
      </c>
      <c r="AE135">
        <v>-1.2289000000000001</v>
      </c>
      <c r="AF135">
        <v>18.614940032787999</v>
      </c>
      <c r="AG135">
        <v>1.8179970000000001</v>
      </c>
      <c r="AH135">
        <v>308.680979037013</v>
      </c>
      <c r="AI135">
        <v>89.663168528438405</v>
      </c>
      <c r="AJ135">
        <v>86.548969709589002</v>
      </c>
      <c r="AK135">
        <v>309.24709849045502</v>
      </c>
      <c r="AL135">
        <v>88.4898007102761</v>
      </c>
      <c r="AM135">
        <v>82.884240456668195</v>
      </c>
      <c r="AN135">
        <v>1.0000000728804199</v>
      </c>
    </row>
    <row r="136" spans="1:40" x14ac:dyDescent="0.25">
      <c r="A136" t="str">
        <f>"20190312161225176"</f>
        <v>20190312161225176</v>
      </c>
      <c r="B136" t="str">
        <f>"1552378345166122"</f>
        <v>1552378345166122</v>
      </c>
      <c r="C136" t="s">
        <v>40</v>
      </c>
      <c r="D136">
        <v>5.277215</v>
      </c>
      <c r="E136">
        <v>0.46151409999999998</v>
      </c>
      <c r="F136" t="s">
        <v>52</v>
      </c>
      <c r="G136">
        <v>-158.19499999999999</v>
      </c>
      <c r="H136">
        <v>2.7193890000000001</v>
      </c>
      <c r="I136">
        <v>366.26100000000002</v>
      </c>
      <c r="J136">
        <v>-467.30090000000001</v>
      </c>
      <c r="K136">
        <v>1.1088880000000001</v>
      </c>
      <c r="L136">
        <v>367.60640000000001</v>
      </c>
      <c r="M136">
        <v>0.99841230000000003</v>
      </c>
      <c r="N136">
        <v>0</v>
      </c>
      <c r="O136">
        <v>5.6270229999999997E-2</v>
      </c>
      <c r="P136">
        <v>0.99739860000000002</v>
      </c>
      <c r="Q136">
        <v>2.3437969999999999E-2</v>
      </c>
      <c r="R136">
        <v>-6.8168090000000001E-2</v>
      </c>
      <c r="S136">
        <v>3.0065309999999998</v>
      </c>
      <c r="T136">
        <v>1.565778E-2</v>
      </c>
      <c r="U136">
        <v>-1.300049E-2</v>
      </c>
      <c r="V136">
        <v>0.124186</v>
      </c>
      <c r="W136">
        <v>2.5949730000000001E-2</v>
      </c>
      <c r="X136">
        <v>0.99191960000000001</v>
      </c>
      <c r="Y136">
        <v>6.05855E-2</v>
      </c>
      <c r="Z136">
        <v>4.507019E-4</v>
      </c>
      <c r="AA136">
        <v>0.99816289999999996</v>
      </c>
      <c r="AB136">
        <v>13</v>
      </c>
      <c r="AC136">
        <v>309.10590000000002</v>
      </c>
      <c r="AD136">
        <v>1.610501</v>
      </c>
      <c r="AE136">
        <v>-1.3454000000000399</v>
      </c>
      <c r="AF136">
        <v>18.736276661979499</v>
      </c>
      <c r="AG136">
        <v>1.610501</v>
      </c>
      <c r="AH136">
        <v>308.53206030668701</v>
      </c>
      <c r="AI136">
        <v>89.701475429661201</v>
      </c>
      <c r="AJ136">
        <v>86.524857538852103</v>
      </c>
      <c r="AK136">
        <v>309.104632792384</v>
      </c>
      <c r="AL136">
        <v>88.513023106802095</v>
      </c>
      <c r="AM136">
        <v>82.863833800333197</v>
      </c>
      <c r="AN136">
        <v>1.00000002197361</v>
      </c>
    </row>
    <row r="137" spans="1:40" x14ac:dyDescent="0.25">
      <c r="A137" t="str">
        <f>"20190312161225221"</f>
        <v>20190312161225221</v>
      </c>
      <c r="B137" t="str">
        <f>"1552378345215899"</f>
        <v>1552378345215899</v>
      </c>
      <c r="C137" t="s">
        <v>40</v>
      </c>
      <c r="D137">
        <v>5.2218410000000004</v>
      </c>
      <c r="E137">
        <v>0.46033049999999998</v>
      </c>
      <c r="F137" t="s">
        <v>41</v>
      </c>
      <c r="G137">
        <v>-409.89749999999998</v>
      </c>
      <c r="H137">
        <v>-0.05</v>
      </c>
      <c r="I137">
        <v>369.68119999999999</v>
      </c>
      <c r="J137">
        <v>-467.02659999999997</v>
      </c>
      <c r="K137">
        <v>1.108851</v>
      </c>
      <c r="L137">
        <v>367.62189999999998</v>
      </c>
      <c r="M137">
        <v>0.99841380000000002</v>
      </c>
      <c r="N137">
        <v>0</v>
      </c>
      <c r="O137">
        <v>5.6251570000000001E-2</v>
      </c>
      <c r="P137">
        <v>0.9973438</v>
      </c>
      <c r="Q137">
        <v>2.2374129999999999E-2</v>
      </c>
      <c r="R137">
        <v>-6.9320800000000002E-2</v>
      </c>
      <c r="S137">
        <v>3.016724</v>
      </c>
      <c r="T137">
        <v>-6.0903069999999997E-2</v>
      </c>
      <c r="U137">
        <v>0.10903930000000001</v>
      </c>
      <c r="V137">
        <v>0.12531819999999999</v>
      </c>
      <c r="W137">
        <v>2.4750390000000001E-2</v>
      </c>
      <c r="X137">
        <v>0.99180780000000002</v>
      </c>
      <c r="Y137">
        <v>2.013533E-2</v>
      </c>
      <c r="Z137">
        <v>-1.337577E-3</v>
      </c>
      <c r="AA137">
        <v>0.99979640000000003</v>
      </c>
      <c r="AB137">
        <v>14</v>
      </c>
      <c r="AC137">
        <v>57.129100000000001</v>
      </c>
      <c r="AD137">
        <v>-1.1588510000000001</v>
      </c>
      <c r="AE137">
        <v>2.0592999999999999</v>
      </c>
      <c r="AF137">
        <v>1.15709580165159</v>
      </c>
      <c r="AG137">
        <v>-1.1588510000000001</v>
      </c>
      <c r="AH137">
        <v>57.1310046823032</v>
      </c>
      <c r="AI137">
        <v>91.1617957615384</v>
      </c>
      <c r="AJ137">
        <v>88.839725582074195</v>
      </c>
      <c r="AK137">
        <v>57.1544705368159</v>
      </c>
      <c r="AL137">
        <v>88.581762249918299</v>
      </c>
      <c r="AM137">
        <v>82.798650275812903</v>
      </c>
      <c r="AN137">
        <v>0.99999997259861495</v>
      </c>
    </row>
    <row r="138" spans="1:40" x14ac:dyDescent="0.25">
      <c r="A138" t="str">
        <f>"20190312161225243"</f>
        <v>20190312161225243</v>
      </c>
      <c r="B138" t="str">
        <f>"1552378345235419"</f>
        <v>1552378345235419</v>
      </c>
      <c r="C138" t="s">
        <v>40</v>
      </c>
      <c r="D138">
        <v>5.0439879999999997</v>
      </c>
      <c r="E138">
        <v>0.46040550000000002</v>
      </c>
      <c r="F138" t="s">
        <v>42</v>
      </c>
      <c r="G138">
        <v>-439.9667</v>
      </c>
      <c r="H138" s="1">
        <v>-4.8888560000000004E-6</v>
      </c>
      <c r="I138">
        <v>368.68290000000002</v>
      </c>
      <c r="J138">
        <v>-466.89</v>
      </c>
      <c r="K138">
        <v>1.1088439999999999</v>
      </c>
      <c r="L138">
        <v>367.62950000000001</v>
      </c>
      <c r="M138">
        <v>0.99841769999999996</v>
      </c>
      <c r="N138">
        <v>0</v>
      </c>
      <c r="O138">
        <v>5.6184970000000001E-2</v>
      </c>
      <c r="P138">
        <v>0.99732829999999995</v>
      </c>
      <c r="Q138">
        <v>2.2318419999999999E-2</v>
      </c>
      <c r="R138">
        <v>-6.955857E-2</v>
      </c>
      <c r="S138">
        <v>3.019012</v>
      </c>
      <c r="T138">
        <v>-0.1237125</v>
      </c>
      <c r="U138">
        <v>0.1183777</v>
      </c>
      <c r="V138">
        <v>0.1254895</v>
      </c>
      <c r="W138">
        <v>2.4631219999999999E-2</v>
      </c>
      <c r="X138">
        <v>0.99178920000000004</v>
      </c>
      <c r="Y138">
        <v>1.6962020000000001E-2</v>
      </c>
      <c r="Z138">
        <v>-2.6462069999999998E-3</v>
      </c>
      <c r="AA138">
        <v>0.99985270000000004</v>
      </c>
      <c r="AB138">
        <v>14</v>
      </c>
      <c r="AC138">
        <v>26.923299999999902</v>
      </c>
      <c r="AD138">
        <v>-1.108848888856</v>
      </c>
      <c r="AE138">
        <v>1.0534000000000101</v>
      </c>
      <c r="AF138">
        <v>0.460173456572536</v>
      </c>
      <c r="AG138">
        <v>-1.108848888856</v>
      </c>
      <c r="AH138">
        <v>26.894406784845401</v>
      </c>
      <c r="AI138">
        <v>92.360606689752004</v>
      </c>
      <c r="AJ138">
        <v>89.019743229347199</v>
      </c>
      <c r="AK138">
        <v>26.921189085499002</v>
      </c>
      <c r="AL138">
        <v>88.588592400011706</v>
      </c>
      <c r="AM138">
        <v>82.788776342301006</v>
      </c>
      <c r="AN138">
        <v>1.00000006442278</v>
      </c>
    </row>
    <row r="139" spans="1:40" x14ac:dyDescent="0.25">
      <c r="A139" t="str">
        <f>"20190312161225264"</f>
        <v>20190312161225264</v>
      </c>
      <c r="B139" t="str">
        <f>"1552378345255916"</f>
        <v>1552378345255916</v>
      </c>
      <c r="C139" t="s">
        <v>40</v>
      </c>
      <c r="D139">
        <v>5.1786399999999997</v>
      </c>
      <c r="E139">
        <v>0.4603814</v>
      </c>
      <c r="F139" t="s">
        <v>41</v>
      </c>
      <c r="G139">
        <v>-437.6832</v>
      </c>
      <c r="H139">
        <v>-0.05</v>
      </c>
      <c r="I139">
        <v>368.7595</v>
      </c>
      <c r="J139">
        <v>-466.75380000000001</v>
      </c>
      <c r="K139">
        <v>1.108835</v>
      </c>
      <c r="L139">
        <v>367.63709999999998</v>
      </c>
      <c r="M139">
        <v>0.99842319999999996</v>
      </c>
      <c r="N139">
        <v>0</v>
      </c>
      <c r="O139">
        <v>5.6087369999999998E-2</v>
      </c>
      <c r="P139">
        <v>0.99728910000000004</v>
      </c>
      <c r="Q139">
        <v>2.2785819999999998E-2</v>
      </c>
      <c r="R139">
        <v>-6.9965349999999996E-2</v>
      </c>
      <c r="S139">
        <v>3.0188290000000002</v>
      </c>
      <c r="T139">
        <v>-0.11977889999999999</v>
      </c>
      <c r="U139">
        <v>0.1167908</v>
      </c>
      <c r="V139">
        <v>0.12579749999999901</v>
      </c>
      <c r="W139">
        <v>2.5038789999999998E-2</v>
      </c>
      <c r="X139">
        <v>0.99173990000000001</v>
      </c>
      <c r="Y139">
        <v>1.7390269999999999E-2</v>
      </c>
      <c r="Z139">
        <v>-2.5669489999999998E-3</v>
      </c>
      <c r="AA139">
        <v>0.99984550000000005</v>
      </c>
      <c r="AB139">
        <v>14</v>
      </c>
      <c r="AC139">
        <v>29.070599999999999</v>
      </c>
      <c r="AD139">
        <v>-1.1588350000000001</v>
      </c>
      <c r="AE139">
        <v>1.12240000000002</v>
      </c>
      <c r="AF139">
        <v>0.50905694651625899</v>
      </c>
      <c r="AG139">
        <v>-1.1588350000000001</v>
      </c>
      <c r="AH139">
        <v>29.041711533064699</v>
      </c>
      <c r="AI139">
        <v>92.284678292847204</v>
      </c>
      <c r="AJ139">
        <v>88.995795136206794</v>
      </c>
      <c r="AK139">
        <v>29.069280113235699</v>
      </c>
      <c r="AL139">
        <v>88.565233049764501</v>
      </c>
      <c r="AM139">
        <v>82.770908650658896</v>
      </c>
      <c r="AN139">
        <v>0.99999999063146205</v>
      </c>
    </row>
    <row r="140" spans="1:40" x14ac:dyDescent="0.25">
      <c r="A140" t="str">
        <f>"20190312161225287"</f>
        <v>20190312161225287</v>
      </c>
      <c r="B140" t="str">
        <f>"1552378345275437"</f>
        <v>1552378345275437</v>
      </c>
      <c r="C140" t="s">
        <v>40</v>
      </c>
      <c r="D140">
        <v>5.2590649999999997</v>
      </c>
      <c r="E140">
        <v>0.46043679999999898</v>
      </c>
      <c r="F140" t="s">
        <v>41</v>
      </c>
      <c r="G140">
        <v>-435.66890000000001</v>
      </c>
      <c r="H140">
        <v>-0.05</v>
      </c>
      <c r="I140">
        <v>368.82549999999998</v>
      </c>
      <c r="J140">
        <v>-466.61430000000001</v>
      </c>
      <c r="K140">
        <v>1.108827</v>
      </c>
      <c r="L140">
        <v>367.64479999999998</v>
      </c>
      <c r="M140">
        <v>0.99843040000000005</v>
      </c>
      <c r="N140">
        <v>0</v>
      </c>
      <c r="O140">
        <v>5.5960639999999999E-2</v>
      </c>
      <c r="P140">
        <v>0.9973109</v>
      </c>
      <c r="Q140">
        <v>2.307035E-2</v>
      </c>
      <c r="R140">
        <v>-6.9563029999999998E-2</v>
      </c>
      <c r="S140">
        <v>3.0188600000000001</v>
      </c>
      <c r="T140">
        <v>-0.112542</v>
      </c>
      <c r="U140">
        <v>0.11541750000000001</v>
      </c>
      <c r="V140">
        <v>0.12527160000000001</v>
      </c>
      <c r="W140">
        <v>2.5266170000000001E-2</v>
      </c>
      <c r="X140">
        <v>0.99180069999999998</v>
      </c>
      <c r="Y140">
        <v>1.7724500000000001E-2</v>
      </c>
      <c r="Z140">
        <v>-2.4134849999999999E-3</v>
      </c>
      <c r="AA140">
        <v>0.99983999999999995</v>
      </c>
      <c r="AB140">
        <v>14</v>
      </c>
      <c r="AC140">
        <v>30.945399999999999</v>
      </c>
      <c r="AD140">
        <v>-1.1588270000000001</v>
      </c>
      <c r="AE140">
        <v>1.1807000000000001</v>
      </c>
      <c r="AF140">
        <v>0.55210593756043203</v>
      </c>
      <c r="AG140">
        <v>-1.1588270000000001</v>
      </c>
      <c r="AH140">
        <v>30.919684399112299</v>
      </c>
      <c r="AI140">
        <v>92.146020201946399</v>
      </c>
      <c r="AJ140">
        <v>88.977027763454998</v>
      </c>
      <c r="AK140">
        <v>30.946317782943598</v>
      </c>
      <c r="AL140">
        <v>88.552201012543307</v>
      </c>
      <c r="AM140">
        <v>82.801249032220596</v>
      </c>
      <c r="AN140">
        <v>0.99999999081675905</v>
      </c>
    </row>
    <row r="141" spans="1:40" x14ac:dyDescent="0.25">
      <c r="A141" t="str">
        <f>"20190312161225310"</f>
        <v>20190312161225310</v>
      </c>
      <c r="B141" t="str">
        <f>"1552378345305692"</f>
        <v>1552378345305692</v>
      </c>
      <c r="C141" t="s">
        <v>40</v>
      </c>
      <c r="D141">
        <v>5.2133589999999996</v>
      </c>
      <c r="E141">
        <v>0.460262</v>
      </c>
      <c r="F141" t="s">
        <v>41</v>
      </c>
      <c r="G141">
        <v>-437.07150000000001</v>
      </c>
      <c r="H141">
        <v>-0.05</v>
      </c>
      <c r="I141">
        <v>368.7876</v>
      </c>
      <c r="J141">
        <v>-466.46620000000001</v>
      </c>
      <c r="K141">
        <v>1.1088180000000001</v>
      </c>
      <c r="L141">
        <v>367.65289999999999</v>
      </c>
      <c r="M141">
        <v>0.99843959999999998</v>
      </c>
      <c r="N141">
        <v>0</v>
      </c>
      <c r="O141">
        <v>5.5800750000000003E-2</v>
      </c>
      <c r="P141">
        <v>0.99736230000000003</v>
      </c>
      <c r="Q141">
        <v>2.327251E-2</v>
      </c>
      <c r="R141">
        <v>-6.8753980000000006E-2</v>
      </c>
      <c r="S141">
        <v>3.0189819999999998</v>
      </c>
      <c r="T141">
        <v>-0.11842080000000001</v>
      </c>
      <c r="U141">
        <v>0.1167908</v>
      </c>
      <c r="V141">
        <v>0.12430869999999999</v>
      </c>
      <c r="W141">
        <v>2.5412509999999999E-2</v>
      </c>
      <c r="X141">
        <v>0.99191810000000002</v>
      </c>
      <c r="Y141">
        <v>1.7106920000000001E-2</v>
      </c>
      <c r="Z141">
        <v>-2.5209709999999999E-3</v>
      </c>
      <c r="AA141">
        <v>0.99985049999999998</v>
      </c>
      <c r="AB141">
        <v>14</v>
      </c>
      <c r="AC141">
        <v>29.3947</v>
      </c>
      <c r="AD141">
        <v>-1.1588179999999999</v>
      </c>
      <c r="AE141">
        <v>1.1347</v>
      </c>
      <c r="AF141">
        <v>0.50653201480907695</v>
      </c>
      <c r="AG141">
        <v>-1.1588179999999999</v>
      </c>
      <c r="AH141">
        <v>29.3666456709561</v>
      </c>
      <c r="AI141">
        <v>92.259403151500607</v>
      </c>
      <c r="AJ141">
        <v>89.011828952960499</v>
      </c>
      <c r="AK141">
        <v>29.3938652069209</v>
      </c>
      <c r="AL141">
        <v>88.543813643339107</v>
      </c>
      <c r="AM141">
        <v>82.856845132296598</v>
      </c>
      <c r="AN141">
        <v>0.99999998283389901</v>
      </c>
    </row>
    <row r="142" spans="1:40" x14ac:dyDescent="0.25">
      <c r="A142" t="str">
        <f>"20190312161225332"</f>
        <v>20190312161225332</v>
      </c>
      <c r="B142" t="str">
        <f>"1552378345326187"</f>
        <v>1552378345326187</v>
      </c>
      <c r="C142" t="s">
        <v>40</v>
      </c>
      <c r="D142">
        <v>5.2916089999999896</v>
      </c>
      <c r="E142">
        <v>0.46035740000000003</v>
      </c>
      <c r="F142" t="s">
        <v>41</v>
      </c>
      <c r="G142">
        <v>-437.34730000000002</v>
      </c>
      <c r="H142">
        <v>-0.05</v>
      </c>
      <c r="I142">
        <v>368.81610000000001</v>
      </c>
      <c r="J142">
        <v>-466.32089999999999</v>
      </c>
      <c r="K142">
        <v>1.1088089999999999</v>
      </c>
      <c r="L142">
        <v>367.66079999999999</v>
      </c>
      <c r="M142">
        <v>0.99844999999999995</v>
      </c>
      <c r="N142">
        <v>0</v>
      </c>
      <c r="O142">
        <v>5.5616489999999998E-2</v>
      </c>
      <c r="P142">
        <v>0.99740830000000003</v>
      </c>
      <c r="Q142">
        <v>2.2652019999999998E-2</v>
      </c>
      <c r="R142">
        <v>-6.8290669999999998E-2</v>
      </c>
      <c r="S142">
        <v>3.019012</v>
      </c>
      <c r="T142">
        <v>-0.12014469999999999</v>
      </c>
      <c r="U142">
        <v>0.1206055</v>
      </c>
      <c r="V142">
        <v>0.123666</v>
      </c>
      <c r="W142">
        <v>2.473991E-2</v>
      </c>
      <c r="X142">
        <v>0.99201550000000005</v>
      </c>
      <c r="Y142">
        <v>1.5661000000000001E-2</v>
      </c>
      <c r="Z142">
        <v>-2.52147E-3</v>
      </c>
      <c r="AA142">
        <v>0.99987420000000005</v>
      </c>
      <c r="AB142">
        <v>15</v>
      </c>
      <c r="AC142">
        <v>28.973599999999902</v>
      </c>
      <c r="AD142">
        <v>-1.158809</v>
      </c>
      <c r="AE142">
        <v>1.15530000000001</v>
      </c>
      <c r="AF142">
        <v>0.45717151473202799</v>
      </c>
      <c r="AG142">
        <v>-1.158809</v>
      </c>
      <c r="AH142">
        <v>28.946777936041101</v>
      </c>
      <c r="AI142">
        <v>92.292177919547001</v>
      </c>
      <c r="AJ142">
        <v>89.095173190289302</v>
      </c>
      <c r="AK142">
        <v>28.973570663120601</v>
      </c>
      <c r="AL142">
        <v>88.582362999790305</v>
      </c>
      <c r="AM142">
        <v>82.894088665215705</v>
      </c>
      <c r="AN142">
        <v>1.00000004747152</v>
      </c>
    </row>
    <row r="143" spans="1:40" x14ac:dyDescent="0.25">
      <c r="A143" t="str">
        <f>"20190312161225353"</f>
        <v>20190312161225353</v>
      </c>
      <c r="B143" t="str">
        <f>"1552378345345707"</f>
        <v>1552378345345707</v>
      </c>
      <c r="C143" t="s">
        <v>40</v>
      </c>
      <c r="D143">
        <v>5.3032570000000003</v>
      </c>
      <c r="E143">
        <v>0.46051880000000001</v>
      </c>
      <c r="F143" t="s">
        <v>41</v>
      </c>
      <c r="G143">
        <v>-437.36970000000002</v>
      </c>
      <c r="H143">
        <v>-0.05</v>
      </c>
      <c r="I143">
        <v>368.82240000000002</v>
      </c>
      <c r="J143">
        <v>-466.17099999999999</v>
      </c>
      <c r="K143">
        <v>1.108795</v>
      </c>
      <c r="L143">
        <v>367.66890000000001</v>
      </c>
      <c r="M143">
        <v>0.99846190000000001</v>
      </c>
      <c r="N143">
        <v>0</v>
      </c>
      <c r="O143">
        <v>5.5404219999999997E-2</v>
      </c>
      <c r="P143">
        <v>0.99741630000000003</v>
      </c>
      <c r="Q143">
        <v>2.2359790000000001E-2</v>
      </c>
      <c r="R143">
        <v>-6.8272199999999894E-2</v>
      </c>
      <c r="S143">
        <v>3.0188600000000001</v>
      </c>
      <c r="T143">
        <v>-0.1208335</v>
      </c>
      <c r="U143">
        <v>0.1211243</v>
      </c>
      <c r="V143">
        <v>0.1234373</v>
      </c>
      <c r="W143">
        <v>2.4394300000000001E-2</v>
      </c>
      <c r="X143">
        <v>0.9920525</v>
      </c>
      <c r="Y143">
        <v>1.5274670000000001E-2</v>
      </c>
      <c r="Z143">
        <v>-2.5198289999999999E-3</v>
      </c>
      <c r="AA143">
        <v>0.99988010000000005</v>
      </c>
      <c r="AB143">
        <v>15</v>
      </c>
      <c r="AC143">
        <v>28.801299999999902</v>
      </c>
      <c r="AD143">
        <v>-1.158795</v>
      </c>
      <c r="AE143">
        <v>1.1535</v>
      </c>
      <c r="AF143">
        <v>0.44327228052765699</v>
      </c>
      <c r="AG143">
        <v>-1.158795</v>
      </c>
      <c r="AH143">
        <v>28.774465044830599</v>
      </c>
      <c r="AI143">
        <v>92.3058757419562</v>
      </c>
      <c r="AJ143">
        <v>89.117425049968006</v>
      </c>
      <c r="AK143">
        <v>28.801200231637701</v>
      </c>
      <c r="AL143">
        <v>88.602170913466793</v>
      </c>
      <c r="AM143">
        <v>82.907357757983604</v>
      </c>
      <c r="AN143">
        <v>1.00000000583001</v>
      </c>
    </row>
    <row r="144" spans="1:40" x14ac:dyDescent="0.25">
      <c r="A144" t="str">
        <f>"20190312161225379"</f>
        <v>20190312161225379</v>
      </c>
      <c r="B144" t="str">
        <f>"1552378345375963"</f>
        <v>1552378345375963</v>
      </c>
      <c r="C144" t="s">
        <v>40</v>
      </c>
      <c r="D144">
        <v>4.9927570000000001</v>
      </c>
      <c r="E144">
        <v>0.46057039999999999</v>
      </c>
      <c r="F144" t="s">
        <v>41</v>
      </c>
      <c r="G144">
        <v>-438.09840000000003</v>
      </c>
      <c r="H144">
        <v>-0.05</v>
      </c>
      <c r="I144">
        <v>368.78649999999999</v>
      </c>
      <c r="J144">
        <v>-466.01339999999999</v>
      </c>
      <c r="K144">
        <v>1.108778</v>
      </c>
      <c r="L144">
        <v>367.67739999999998</v>
      </c>
      <c r="M144">
        <v>0.99847540000000001</v>
      </c>
      <c r="N144">
        <v>0</v>
      </c>
      <c r="O144">
        <v>5.5159470000000002E-2</v>
      </c>
      <c r="P144">
        <v>0.9974037</v>
      </c>
      <c r="Q144">
        <v>2.2097869999999999E-2</v>
      </c>
      <c r="R144">
        <v>-6.8538639999999998E-2</v>
      </c>
      <c r="S144">
        <v>3.018799</v>
      </c>
      <c r="T144">
        <v>-0.12461129999999999</v>
      </c>
      <c r="U144">
        <v>0.1201782</v>
      </c>
      <c r="V144">
        <v>0.12345979999999999</v>
      </c>
      <c r="W144">
        <v>2.407921E-2</v>
      </c>
      <c r="X144">
        <v>0.99205739999999998</v>
      </c>
      <c r="Y144">
        <v>1.533818E-2</v>
      </c>
      <c r="Z144">
        <v>-2.5898499999999999E-3</v>
      </c>
      <c r="AA144">
        <v>0.99987899999999996</v>
      </c>
      <c r="AB144">
        <v>15</v>
      </c>
      <c r="AC144">
        <v>27.9149999999999</v>
      </c>
      <c r="AD144">
        <v>-1.1587780000000001</v>
      </c>
      <c r="AE144">
        <v>1.10910000000001</v>
      </c>
      <c r="AF144">
        <v>0.43162588277140201</v>
      </c>
      <c r="AG144">
        <v>-1.1587780000000001</v>
      </c>
      <c r="AH144">
        <v>27.8857025838476</v>
      </c>
      <c r="AI144">
        <v>92.379247020134301</v>
      </c>
      <c r="AJ144">
        <v>89.113224181807496</v>
      </c>
      <c r="AK144">
        <v>27.91310580983</v>
      </c>
      <c r="AL144">
        <v>88.620229548011295</v>
      </c>
      <c r="AM144">
        <v>82.906112772098098</v>
      </c>
      <c r="AN144">
        <v>1.00000000773251</v>
      </c>
    </row>
    <row r="145" spans="1:40" x14ac:dyDescent="0.25">
      <c r="A145" t="str">
        <f>"20190312161225400"</f>
        <v>20190312161225400</v>
      </c>
      <c r="B145" t="str">
        <f>"1552378345395483"</f>
        <v>1552378345395483</v>
      </c>
      <c r="C145" t="s">
        <v>40</v>
      </c>
      <c r="D145">
        <v>5.3655400000000002</v>
      </c>
      <c r="E145">
        <v>0.46053620000000001</v>
      </c>
      <c r="F145" t="s">
        <v>41</v>
      </c>
      <c r="G145">
        <v>-438.14920000000001</v>
      </c>
      <c r="H145">
        <v>-0.05</v>
      </c>
      <c r="I145">
        <v>368.77350000000001</v>
      </c>
      <c r="J145">
        <v>-465.85610000000003</v>
      </c>
      <c r="K145">
        <v>1.1087720000000001</v>
      </c>
      <c r="L145">
        <v>367.68579999999997</v>
      </c>
      <c r="M145">
        <v>0.99849019999999999</v>
      </c>
      <c r="N145">
        <v>0</v>
      </c>
      <c r="O145">
        <v>5.4896779999999999E-2</v>
      </c>
      <c r="P145">
        <v>0.99736720000000001</v>
      </c>
      <c r="Q145">
        <v>2.2875570000000001E-2</v>
      </c>
      <c r="R145">
        <v>-6.8816870000000002E-2</v>
      </c>
      <c r="S145">
        <v>3.0187379999999999</v>
      </c>
      <c r="T145">
        <v>-0.1255394</v>
      </c>
      <c r="U145">
        <v>0.1187439</v>
      </c>
      <c r="V145">
        <v>0.1234753</v>
      </c>
      <c r="W145">
        <v>2.4806640000000001E-2</v>
      </c>
      <c r="X145">
        <v>0.99203750000000002</v>
      </c>
      <c r="Y145">
        <v>1.5547790000000001E-2</v>
      </c>
      <c r="Z145">
        <v>-2.602666E-3</v>
      </c>
      <c r="AA145">
        <v>0.99987570000000003</v>
      </c>
      <c r="AB145">
        <v>15</v>
      </c>
      <c r="AC145">
        <v>27.706900000000001</v>
      </c>
      <c r="AD145">
        <v>-1.1587719999999999</v>
      </c>
      <c r="AE145">
        <v>1.0877000000000401</v>
      </c>
      <c r="AF145">
        <v>0.43420429246883802</v>
      </c>
      <c r="AG145">
        <v>-1.1587719999999999</v>
      </c>
      <c r="AH145">
        <v>27.676495066438498</v>
      </c>
      <c r="AI145">
        <v>92.397190684442094</v>
      </c>
      <c r="AJ145">
        <v>89.101185588727802</v>
      </c>
      <c r="AK145">
        <v>27.704145268861499</v>
      </c>
      <c r="AL145">
        <v>88.578538354836596</v>
      </c>
      <c r="AM145">
        <v>82.905090363065995</v>
      </c>
      <c r="AN145">
        <v>0.99999996025221305</v>
      </c>
    </row>
    <row r="146" spans="1:40" x14ac:dyDescent="0.25">
      <c r="A146" t="str">
        <f>"20190312161225422"</f>
        <v>20190312161225422</v>
      </c>
      <c r="B146" t="str">
        <f>"1552378345415979"</f>
        <v>1552378345415979</v>
      </c>
      <c r="C146" t="s">
        <v>40</v>
      </c>
      <c r="D146">
        <v>5.3415679999999996</v>
      </c>
      <c r="E146">
        <v>0.46050999999999997</v>
      </c>
      <c r="F146" t="s">
        <v>41</v>
      </c>
      <c r="G146">
        <v>-436.6343</v>
      </c>
      <c r="H146">
        <v>-0.05</v>
      </c>
      <c r="I146">
        <v>368.82580000000002</v>
      </c>
      <c r="J146">
        <v>-465.70409999999998</v>
      </c>
      <c r="K146">
        <v>1.1087640000000001</v>
      </c>
      <c r="L146">
        <v>367.69389999999999</v>
      </c>
      <c r="M146">
        <v>0.99850479999999997</v>
      </c>
      <c r="N146">
        <v>0</v>
      </c>
      <c r="O146">
        <v>5.462968E-2</v>
      </c>
      <c r="P146">
        <v>0.99734060000000002</v>
      </c>
      <c r="Q146">
        <v>2.261556E-2</v>
      </c>
      <c r="R146">
        <v>-6.9287169999999995E-2</v>
      </c>
      <c r="S146">
        <v>3.018799</v>
      </c>
      <c r="T146">
        <v>-0.1197088</v>
      </c>
      <c r="U146">
        <v>0.11776730000000001</v>
      </c>
      <c r="V146">
        <v>0.123678</v>
      </c>
      <c r="W146">
        <v>2.4499179999999999E-2</v>
      </c>
      <c r="X146">
        <v>0.99202000000000001</v>
      </c>
      <c r="Y146">
        <v>1.560975E-2</v>
      </c>
      <c r="Z146">
        <v>-2.4725139999999999E-3</v>
      </c>
      <c r="AA146">
        <v>0.99987510000000002</v>
      </c>
      <c r="AB146">
        <v>15</v>
      </c>
      <c r="AC146">
        <v>29.069799999999901</v>
      </c>
      <c r="AD146">
        <v>-1.1587639999999999</v>
      </c>
      <c r="AE146">
        <v>1.1319000000000301</v>
      </c>
      <c r="AF146">
        <v>0.45714188113505699</v>
      </c>
      <c r="AG146">
        <v>-1.1587639999999999</v>
      </c>
      <c r="AH146">
        <v>29.042148686027701</v>
      </c>
      <c r="AI146">
        <v>92.284571962437198</v>
      </c>
      <c r="AJ146">
        <v>89.098202483874601</v>
      </c>
      <c r="AK146">
        <v>29.068851250239099</v>
      </c>
      <c r="AL146">
        <v>88.596160024297006</v>
      </c>
      <c r="AM146">
        <v>82.893438096270899</v>
      </c>
      <c r="AN146">
        <v>1.0000000689523301</v>
      </c>
    </row>
    <row r="147" spans="1:40" x14ac:dyDescent="0.25">
      <c r="A147" t="str">
        <f>"20190312161225444"</f>
        <v>20190312161225444</v>
      </c>
      <c r="B147" t="str">
        <f>"1552378345435499"</f>
        <v>1552378345435499</v>
      </c>
      <c r="C147" t="s">
        <v>40</v>
      </c>
      <c r="D147">
        <v>5.3237079999999999</v>
      </c>
      <c r="E147">
        <v>0.4605127</v>
      </c>
      <c r="F147" t="s">
        <v>41</v>
      </c>
      <c r="G147">
        <v>-436.06229999999999</v>
      </c>
      <c r="H147">
        <v>-0.05</v>
      </c>
      <c r="I147">
        <v>368.8374</v>
      </c>
      <c r="J147">
        <v>-465.55110000000002</v>
      </c>
      <c r="K147">
        <v>1.1087659999999999</v>
      </c>
      <c r="L147">
        <v>367.70190000000002</v>
      </c>
      <c r="M147">
        <v>0.99852019999999997</v>
      </c>
      <c r="N147">
        <v>0</v>
      </c>
      <c r="O147">
        <v>5.4351070000000001E-2</v>
      </c>
      <c r="P147">
        <v>0.99730929999999995</v>
      </c>
      <c r="Q147">
        <v>2.224891E-2</v>
      </c>
      <c r="R147">
        <v>-6.9852830000000005E-2</v>
      </c>
      <c r="S147">
        <v>3.018799</v>
      </c>
      <c r="T147">
        <v>-0.1180114</v>
      </c>
      <c r="U147">
        <v>0.11645510000000001</v>
      </c>
      <c r="V147">
        <v>0.1239644</v>
      </c>
      <c r="W147">
        <v>2.4087310000000001E-2</v>
      </c>
      <c r="X147">
        <v>0.9919943</v>
      </c>
      <c r="Y147">
        <v>1.5766369999999998E-2</v>
      </c>
      <c r="Z147">
        <v>-2.4297020000000002E-3</v>
      </c>
      <c r="AA147">
        <v>0.99987269999999995</v>
      </c>
      <c r="AB147">
        <v>15</v>
      </c>
      <c r="AC147">
        <v>29.488800000000001</v>
      </c>
      <c r="AD147">
        <v>-1.158766</v>
      </c>
      <c r="AE147">
        <v>1.13549999999997</v>
      </c>
      <c r="AF147">
        <v>0.468207045148196</v>
      </c>
      <c r="AG147">
        <v>-1.158766</v>
      </c>
      <c r="AH147">
        <v>29.461503502198902</v>
      </c>
      <c r="AI147">
        <v>92.252085599939903</v>
      </c>
      <c r="AJ147">
        <v>89.089522721001501</v>
      </c>
      <c r="AK147">
        <v>29.488000018481401</v>
      </c>
      <c r="AL147">
        <v>88.6197653498145</v>
      </c>
      <c r="AM147">
        <v>82.876967697395997</v>
      </c>
      <c r="AN147">
        <v>1.0000000311014401</v>
      </c>
    </row>
    <row r="148" spans="1:40" x14ac:dyDescent="0.25">
      <c r="A148" t="str">
        <f>"20190312161225465"</f>
        <v>20190312161225465</v>
      </c>
      <c r="B148" t="str">
        <f>"1552378345455996"</f>
        <v>1552378345455996</v>
      </c>
      <c r="C148" t="s">
        <v>40</v>
      </c>
      <c r="D148">
        <v>5.3141730000000003</v>
      </c>
      <c r="E148">
        <v>0.46069339999999998</v>
      </c>
      <c r="F148" t="s">
        <v>41</v>
      </c>
      <c r="G148">
        <v>-435.70510000000002</v>
      </c>
      <c r="H148">
        <v>-0.05</v>
      </c>
      <c r="I148">
        <v>368.83640000000003</v>
      </c>
      <c r="J148">
        <v>-465.399</v>
      </c>
      <c r="K148">
        <v>1.108757</v>
      </c>
      <c r="L148">
        <v>367.7099</v>
      </c>
      <c r="M148">
        <v>0.99853559999999997</v>
      </c>
      <c r="N148">
        <v>0</v>
      </c>
      <c r="O148">
        <v>5.4068289999999998E-2</v>
      </c>
      <c r="P148">
        <v>0.99729060000000003</v>
      </c>
      <c r="Q148">
        <v>2.2020379999999999E-2</v>
      </c>
      <c r="R148">
        <v>-7.018858E-2</v>
      </c>
      <c r="S148">
        <v>3.018799</v>
      </c>
      <c r="T148">
        <v>-0.1172043</v>
      </c>
      <c r="U148">
        <v>0.1147461</v>
      </c>
      <c r="V148">
        <v>0.1240178</v>
      </c>
      <c r="W148">
        <v>2.3816070000000002E-2</v>
      </c>
      <c r="X148">
        <v>0.99199409999999999</v>
      </c>
      <c r="Y148">
        <v>1.6049150000000002E-2</v>
      </c>
      <c r="Z148">
        <v>-2.4076649999999998E-3</v>
      </c>
      <c r="AA148">
        <v>0.99986830000000004</v>
      </c>
      <c r="AB148">
        <v>16</v>
      </c>
      <c r="AC148">
        <v>29.6938999999999</v>
      </c>
      <c r="AD148">
        <v>-1.158757</v>
      </c>
      <c r="AE148">
        <v>1.12650000000002</v>
      </c>
      <c r="AF148">
        <v>0.47991904738461499</v>
      </c>
      <c r="AG148">
        <v>-1.158757</v>
      </c>
      <c r="AH148">
        <v>29.666261216451002</v>
      </c>
      <c r="AI148">
        <v>92.236529890817096</v>
      </c>
      <c r="AJ148">
        <v>89.073191684714502</v>
      </c>
      <c r="AK148">
        <v>29.692761653975399</v>
      </c>
      <c r="AL148">
        <v>88.635310615402005</v>
      </c>
      <c r="AM148">
        <v>82.8739294333445</v>
      </c>
      <c r="AN148">
        <v>0.99999995717094603</v>
      </c>
    </row>
    <row r="149" spans="1:40" x14ac:dyDescent="0.25">
      <c r="A149" t="str">
        <f>"20190312161225487"</f>
        <v>20190312161225487</v>
      </c>
      <c r="B149" t="str">
        <f>"1552378345475515"</f>
        <v>1552378345475515</v>
      </c>
      <c r="C149" t="s">
        <v>40</v>
      </c>
      <c r="D149">
        <v>5.365316</v>
      </c>
      <c r="E149">
        <v>0.46075129999999997</v>
      </c>
      <c r="F149" t="s">
        <v>41</v>
      </c>
      <c r="G149">
        <v>-436.51729999999998</v>
      </c>
      <c r="H149">
        <v>-0.05</v>
      </c>
      <c r="I149">
        <v>368.78899999999999</v>
      </c>
      <c r="J149">
        <v>-465.24310000000003</v>
      </c>
      <c r="K149">
        <v>1.1087480000000001</v>
      </c>
      <c r="L149">
        <v>367.71800000000002</v>
      </c>
      <c r="M149">
        <v>0.99855139999999998</v>
      </c>
      <c r="N149">
        <v>0</v>
      </c>
      <c r="O149">
        <v>5.3775150000000001E-2</v>
      </c>
      <c r="P149">
        <v>0.99726440000000005</v>
      </c>
      <c r="Q149">
        <v>2.2142599999999998E-2</v>
      </c>
      <c r="R149">
        <v>-7.0523100000000005E-2</v>
      </c>
      <c r="S149">
        <v>3.0187680000000001</v>
      </c>
      <c r="T149">
        <v>-0.12111570000000001</v>
      </c>
      <c r="U149">
        <v>0.112793</v>
      </c>
      <c r="V149">
        <v>0.124059199999999</v>
      </c>
      <c r="W149">
        <v>2.3899009999999998E-2</v>
      </c>
      <c r="X149">
        <v>0.99198699999999995</v>
      </c>
      <c r="Y149">
        <v>1.6397599999999998E-2</v>
      </c>
      <c r="Z149">
        <v>-2.4832669999999999E-3</v>
      </c>
      <c r="AA149">
        <v>0.99986249999999999</v>
      </c>
      <c r="AB149">
        <v>16</v>
      </c>
      <c r="AC149">
        <v>28.7258</v>
      </c>
      <c r="AD149">
        <v>-1.1587479999999999</v>
      </c>
      <c r="AE149">
        <v>1.07099999999996</v>
      </c>
      <c r="AF149">
        <v>0.474515400118732</v>
      </c>
      <c r="AG149">
        <v>-1.1587479999999999</v>
      </c>
      <c r="AH149">
        <v>28.695201673280501</v>
      </c>
      <c r="AI149">
        <v>92.312102845941695</v>
      </c>
      <c r="AJ149">
        <v>89.052620285730598</v>
      </c>
      <c r="AK149">
        <v>28.722507913876399</v>
      </c>
      <c r="AL149">
        <v>88.630557247240006</v>
      </c>
      <c r="AM149">
        <v>82.871524559132297</v>
      </c>
      <c r="AN149">
        <v>1.0000000279762999</v>
      </c>
    </row>
    <row r="150" spans="1:40" x14ac:dyDescent="0.25">
      <c r="A150" t="str">
        <f>"20190312161225511"</f>
        <v>20190312161225511</v>
      </c>
      <c r="B150" t="str">
        <f>"1552378345505772"</f>
        <v>1552378345505772</v>
      </c>
      <c r="C150" t="s">
        <v>40</v>
      </c>
      <c r="D150">
        <v>5.3383159999999998</v>
      </c>
      <c r="E150">
        <v>0.46087699999999998</v>
      </c>
      <c r="F150" t="s">
        <v>41</v>
      </c>
      <c r="G150">
        <v>-436.57490000000001</v>
      </c>
      <c r="H150">
        <v>-0.05</v>
      </c>
      <c r="I150">
        <v>368.77260000000001</v>
      </c>
      <c r="J150">
        <v>-465.07459999999998</v>
      </c>
      <c r="K150">
        <v>1.1087419999999999</v>
      </c>
      <c r="L150">
        <v>367.72669999999999</v>
      </c>
      <c r="M150">
        <v>0.99856860000000003</v>
      </c>
      <c r="N150">
        <v>0</v>
      </c>
      <c r="O150">
        <v>5.3458989999999998E-2</v>
      </c>
      <c r="P150">
        <v>0.99727209999999999</v>
      </c>
      <c r="Q150">
        <v>2.180344E-2</v>
      </c>
      <c r="R150">
        <v>-7.0523719999999998E-2</v>
      </c>
      <c r="S150">
        <v>3.018799</v>
      </c>
      <c r="T150">
        <v>-0.122017899999999</v>
      </c>
      <c r="U150">
        <v>0.1110535</v>
      </c>
      <c r="V150">
        <v>0.1237457</v>
      </c>
      <c r="W150">
        <v>2.3524799999999998E-2</v>
      </c>
      <c r="X150">
        <v>0.99203509999999995</v>
      </c>
      <c r="Y150">
        <v>1.6655949999999999E-2</v>
      </c>
      <c r="Z150">
        <v>-2.494226E-3</v>
      </c>
      <c r="AA150">
        <v>0.99985809999999997</v>
      </c>
      <c r="AB150">
        <v>16</v>
      </c>
      <c r="AC150">
        <v>28.499699999999901</v>
      </c>
      <c r="AD150">
        <v>-1.1587419999999999</v>
      </c>
      <c r="AE150">
        <v>1.04590000000001</v>
      </c>
      <c r="AF150">
        <v>0.478373246428002</v>
      </c>
      <c r="AG150">
        <v>-1.1587419999999999</v>
      </c>
      <c r="AH150">
        <v>28.4678631969837</v>
      </c>
      <c r="AI150">
        <v>92.330524107890696</v>
      </c>
      <c r="AJ150">
        <v>89.037293791158802</v>
      </c>
      <c r="AK150">
        <v>28.495451549109301</v>
      </c>
      <c r="AL150">
        <v>88.652003929272595</v>
      </c>
      <c r="AM150">
        <v>82.889694969118807</v>
      </c>
      <c r="AN150">
        <v>1.00000002705776</v>
      </c>
    </row>
    <row r="151" spans="1:40" x14ac:dyDescent="0.25">
      <c r="A151" t="str">
        <f>"20190312161225532"</f>
        <v>20190312161225532</v>
      </c>
      <c r="B151" t="str">
        <f>"1552378345525292"</f>
        <v>1552378345525292</v>
      </c>
      <c r="C151" t="s">
        <v>40</v>
      </c>
      <c r="D151">
        <v>5.3208580000000003</v>
      </c>
      <c r="E151">
        <v>0.46088430000000002</v>
      </c>
      <c r="F151" t="s">
        <v>41</v>
      </c>
      <c r="G151">
        <v>-437.59070000000003</v>
      </c>
      <c r="H151">
        <v>-0.05</v>
      </c>
      <c r="I151">
        <v>368.73500000000001</v>
      </c>
      <c r="J151">
        <v>-464.91609999999997</v>
      </c>
      <c r="K151">
        <v>1.1087469999999999</v>
      </c>
      <c r="L151">
        <v>367.73489999999998</v>
      </c>
      <c r="M151">
        <v>0.99858449999999999</v>
      </c>
      <c r="N151">
        <v>0</v>
      </c>
      <c r="O151">
        <v>5.3161600000000003E-2</v>
      </c>
      <c r="P151">
        <v>0.99725759999999997</v>
      </c>
      <c r="Q151">
        <v>2.183703E-2</v>
      </c>
      <c r="R151">
        <v>-7.0717539999999995E-2</v>
      </c>
      <c r="S151">
        <v>3.0188290000000002</v>
      </c>
      <c r="T151">
        <v>-0.12727620000000001</v>
      </c>
      <c r="U151">
        <v>0.11074829999999999</v>
      </c>
      <c r="V151">
        <v>0.123643</v>
      </c>
      <c r="W151">
        <v>2.3530519999999999E-2</v>
      </c>
      <c r="X151">
        <v>0.99204769999999998</v>
      </c>
      <c r="Y151">
        <v>1.6454900000000001E-2</v>
      </c>
      <c r="Z151">
        <v>-2.5848569999999999E-3</v>
      </c>
      <c r="AA151">
        <v>0.99986120000000001</v>
      </c>
      <c r="AB151">
        <v>16</v>
      </c>
      <c r="AC151">
        <v>27.325399999999899</v>
      </c>
      <c r="AD151">
        <v>-1.158747</v>
      </c>
      <c r="AE151">
        <v>1.00010000000003</v>
      </c>
      <c r="AF151">
        <v>0.45316446912699199</v>
      </c>
      <c r="AG151">
        <v>-1.158747</v>
      </c>
      <c r="AH151">
        <v>27.290917066782001</v>
      </c>
      <c r="AI151">
        <v>92.430930588001004</v>
      </c>
      <c r="AJ151">
        <v>89.048693545346495</v>
      </c>
      <c r="AK151">
        <v>27.3192643933189</v>
      </c>
      <c r="AL151">
        <v>88.6516760134771</v>
      </c>
      <c r="AM151">
        <v>82.895624996010994</v>
      </c>
      <c r="AN151">
        <v>0.99999995794787899</v>
      </c>
    </row>
    <row r="152" spans="1:40" x14ac:dyDescent="0.25">
      <c r="A152" t="str">
        <f>"20190312161225554"</f>
        <v>20190312161225554</v>
      </c>
      <c r="B152" t="str">
        <f>"1552378345545788"</f>
        <v>1552378345545788</v>
      </c>
      <c r="C152" t="s">
        <v>40</v>
      </c>
      <c r="D152">
        <v>5.3183410000000002</v>
      </c>
      <c r="E152">
        <v>0.4608718</v>
      </c>
      <c r="F152" t="s">
        <v>41</v>
      </c>
      <c r="G152">
        <v>-437.8646</v>
      </c>
      <c r="H152">
        <v>-0.05</v>
      </c>
      <c r="I152">
        <v>368.71960000000001</v>
      </c>
      <c r="J152">
        <v>-464.74770000000001</v>
      </c>
      <c r="K152">
        <v>1.1087480000000001</v>
      </c>
      <c r="L152">
        <v>367.74349999999998</v>
      </c>
      <c r="M152">
        <v>0.99860110000000002</v>
      </c>
      <c r="N152">
        <v>0</v>
      </c>
      <c r="O152">
        <v>5.2848109999999997E-2</v>
      </c>
      <c r="P152">
        <v>0.99728349999999999</v>
      </c>
      <c r="Q152">
        <v>2.1878069999999999E-2</v>
      </c>
      <c r="R152">
        <v>-7.0336979999999993E-2</v>
      </c>
      <c r="S152">
        <v>3.0189210000000002</v>
      </c>
      <c r="T152">
        <v>-0.12931489999999901</v>
      </c>
      <c r="U152">
        <v>0.1098938</v>
      </c>
      <c r="V152">
        <v>0.1229528</v>
      </c>
      <c r="W152">
        <v>2.3548159999999999E-2</v>
      </c>
      <c r="X152">
        <v>0.99213309999999999</v>
      </c>
      <c r="Y152">
        <v>1.6423090000000001E-2</v>
      </c>
      <c r="Z152">
        <v>-2.6120850000000001E-3</v>
      </c>
      <c r="AA152">
        <v>0.99986169999999996</v>
      </c>
      <c r="AB152">
        <v>16</v>
      </c>
      <c r="AC152">
        <v>26.883099999999999</v>
      </c>
      <c r="AD152">
        <v>-1.1587479999999999</v>
      </c>
      <c r="AE152">
        <v>0.97610000000003005</v>
      </c>
      <c r="AF152">
        <v>0.445161173201719</v>
      </c>
      <c r="AG152">
        <v>-1.1587479999999999</v>
      </c>
      <c r="AH152">
        <v>26.847303960216301</v>
      </c>
      <c r="AI152">
        <v>92.471051937117196</v>
      </c>
      <c r="AJ152">
        <v>89.0500528712451</v>
      </c>
      <c r="AK152">
        <v>26.875985476441102</v>
      </c>
      <c r="AL152">
        <v>88.650665089120906</v>
      </c>
      <c r="AM152">
        <v>82.9354831479571</v>
      </c>
      <c r="AN152">
        <v>0.99999999749141699</v>
      </c>
    </row>
    <row r="153" spans="1:40" x14ac:dyDescent="0.25">
      <c r="A153" t="str">
        <f>"20190312161225577"</f>
        <v>20190312161225577</v>
      </c>
      <c r="B153" t="str">
        <f>"1552378345565307"</f>
        <v>1552378345565307</v>
      </c>
      <c r="C153" t="s">
        <v>40</v>
      </c>
      <c r="D153">
        <v>5.3779789999999998</v>
      </c>
      <c r="E153">
        <v>0.46084510000000001</v>
      </c>
      <c r="F153" t="s">
        <v>41</v>
      </c>
      <c r="G153">
        <v>-438.1703</v>
      </c>
      <c r="H153">
        <v>-0.05</v>
      </c>
      <c r="I153">
        <v>368.71769999999998</v>
      </c>
      <c r="J153">
        <v>-464.5763</v>
      </c>
      <c r="K153">
        <v>1.108746</v>
      </c>
      <c r="L153">
        <v>367.75220000000002</v>
      </c>
      <c r="M153">
        <v>0.9986178</v>
      </c>
      <c r="N153">
        <v>0</v>
      </c>
      <c r="O153">
        <v>5.2531639999999998E-2</v>
      </c>
      <c r="P153">
        <v>0.99734060000000002</v>
      </c>
      <c r="Q153">
        <v>2.120468E-2</v>
      </c>
      <c r="R153">
        <v>-6.973029E-2</v>
      </c>
      <c r="S153">
        <v>3.018799</v>
      </c>
      <c r="T153">
        <v>-0.13161639999999999</v>
      </c>
      <c r="U153">
        <v>0.1106567</v>
      </c>
      <c r="V153">
        <v>0.12203509999999999</v>
      </c>
      <c r="W153">
        <v>2.2856930000000001E-2</v>
      </c>
      <c r="X153">
        <v>0.99226250000000005</v>
      </c>
      <c r="Y153">
        <v>1.5850940000000001E-2</v>
      </c>
      <c r="Z153">
        <v>-2.6323929999999998E-3</v>
      </c>
      <c r="AA153">
        <v>0.99987090000000001</v>
      </c>
      <c r="AB153">
        <v>17</v>
      </c>
      <c r="AC153">
        <v>26.405999999999999</v>
      </c>
      <c r="AD153">
        <v>-1.1587459999999901</v>
      </c>
      <c r="AE153">
        <v>0.96549999999996305</v>
      </c>
      <c r="AF153">
        <v>0.42217375462142698</v>
      </c>
      <c r="AG153">
        <v>-1.1587459999999901</v>
      </c>
      <c r="AH153">
        <v>26.369549434398198</v>
      </c>
      <c r="AI153">
        <v>92.515783655259995</v>
      </c>
      <c r="AJ153">
        <v>89.082778866737797</v>
      </c>
      <c r="AK153">
        <v>26.398372304836801</v>
      </c>
      <c r="AL153">
        <v>88.690280237328196</v>
      </c>
      <c r="AM153">
        <v>82.9885900296606</v>
      </c>
      <c r="AN153">
        <v>0.99999993689363997</v>
      </c>
    </row>
    <row r="154" spans="1:40" x14ac:dyDescent="0.25">
      <c r="A154" t="str">
        <f>"20190312161225602"</f>
        <v>20190312161225602</v>
      </c>
      <c r="B154" t="str">
        <f>"1552378345595563"</f>
        <v>1552378345595563</v>
      </c>
      <c r="C154" t="s">
        <v>40</v>
      </c>
      <c r="D154">
        <v>5.3827540000000003</v>
      </c>
      <c r="E154">
        <v>0.46094679999999999</v>
      </c>
      <c r="F154" t="s">
        <v>41</v>
      </c>
      <c r="G154">
        <v>-438.55919999999998</v>
      </c>
      <c r="H154">
        <v>-0.05</v>
      </c>
      <c r="I154">
        <v>368.72669999999999</v>
      </c>
      <c r="J154">
        <v>-464.39389999999997</v>
      </c>
      <c r="K154">
        <v>1.108749</v>
      </c>
      <c r="L154">
        <v>367.76139999999998</v>
      </c>
      <c r="M154">
        <v>0.99863539999999995</v>
      </c>
      <c r="N154">
        <v>0</v>
      </c>
      <c r="O154">
        <v>5.219799E-2</v>
      </c>
      <c r="P154">
        <v>0.99734809999999996</v>
      </c>
      <c r="Q154">
        <v>2.0298839999999999E-2</v>
      </c>
      <c r="R154">
        <v>-6.9892090000000004E-2</v>
      </c>
      <c r="S154">
        <v>3.0187680000000001</v>
      </c>
      <c r="T154">
        <v>-0.1344496</v>
      </c>
      <c r="U154">
        <v>0.1130676</v>
      </c>
      <c r="V154">
        <v>0.12186520000000001</v>
      </c>
      <c r="W154">
        <v>2.193639E-2</v>
      </c>
      <c r="X154">
        <v>0.99230419999999997</v>
      </c>
      <c r="Y154">
        <v>1.471769E-2</v>
      </c>
      <c r="Z154">
        <v>-2.648938E-3</v>
      </c>
      <c r="AA154">
        <v>0.9998882</v>
      </c>
      <c r="AB154">
        <v>17</v>
      </c>
      <c r="AC154">
        <v>25.834700000000002</v>
      </c>
      <c r="AD154">
        <v>-1.158749</v>
      </c>
      <c r="AE154">
        <v>0.96530000000001304</v>
      </c>
      <c r="AF154">
        <v>0.38376621964284602</v>
      </c>
      <c r="AG154">
        <v>-1.158749</v>
      </c>
      <c r="AH154">
        <v>25.798041083502302</v>
      </c>
      <c r="AI154">
        <v>92.571493848571606</v>
      </c>
      <c r="AJ154">
        <v>89.147742926133304</v>
      </c>
      <c r="AK154">
        <v>25.826902630830698</v>
      </c>
      <c r="AL154">
        <v>88.743036585239295</v>
      </c>
      <c r="AM154">
        <v>82.998545828840605</v>
      </c>
      <c r="AN154">
        <v>0.99999997875745505</v>
      </c>
    </row>
    <row r="155" spans="1:40" x14ac:dyDescent="0.25">
      <c r="A155" t="str">
        <f>"20190312161225622"</f>
        <v>20190312161225622</v>
      </c>
      <c r="B155" t="str">
        <f>"1552378345616060"</f>
        <v>1552378345616060</v>
      </c>
      <c r="C155" t="s">
        <v>40</v>
      </c>
      <c r="D155">
        <v>5.416938</v>
      </c>
      <c r="E155">
        <v>0.46097680000000002</v>
      </c>
      <c r="F155" t="s">
        <v>42</v>
      </c>
      <c r="G155">
        <v>-440.30149999999998</v>
      </c>
      <c r="H155" s="1">
        <v>-4.7355620000000002E-6</v>
      </c>
      <c r="I155">
        <v>368.6551</v>
      </c>
      <c r="J155">
        <v>-464.23630000000003</v>
      </c>
      <c r="K155">
        <v>1.108744</v>
      </c>
      <c r="L155">
        <v>367.76929999999999</v>
      </c>
      <c r="M155">
        <v>0.99865040000000005</v>
      </c>
      <c r="N155">
        <v>0</v>
      </c>
      <c r="O155">
        <v>5.1911779999999998E-2</v>
      </c>
      <c r="P155">
        <v>0.99736040000000004</v>
      </c>
      <c r="Q155">
        <v>2.0042009999999999E-2</v>
      </c>
      <c r="R155">
        <v>-6.9791530000000004E-2</v>
      </c>
      <c r="S155">
        <v>3.0186459999999999</v>
      </c>
      <c r="T155">
        <v>-0.13892070000000001</v>
      </c>
      <c r="U155">
        <v>0.111969</v>
      </c>
      <c r="V155">
        <v>0.12148100000000001</v>
      </c>
      <c r="W155">
        <v>2.1671329999999999E-2</v>
      </c>
      <c r="X155">
        <v>0.99235709999999999</v>
      </c>
      <c r="Y155">
        <v>1.478876E-2</v>
      </c>
      <c r="Z155">
        <v>-2.7255640000000002E-3</v>
      </c>
      <c r="AA155">
        <v>0.99988690000000002</v>
      </c>
      <c r="AB155">
        <v>17</v>
      </c>
      <c r="AC155">
        <v>23.934799999999999</v>
      </c>
      <c r="AD155">
        <v>-1.108748735562</v>
      </c>
      <c r="AE155">
        <v>0.88580000000001702</v>
      </c>
      <c r="AF155">
        <v>0.35712869387158802</v>
      </c>
      <c r="AG155">
        <v>-1.108748735562</v>
      </c>
      <c r="AH155">
        <v>23.8973007864798</v>
      </c>
      <c r="AI155">
        <v>92.656116774984199</v>
      </c>
      <c r="AJ155">
        <v>89.1438177886631</v>
      </c>
      <c r="AK155">
        <v>23.9256734396774</v>
      </c>
      <c r="AL155">
        <v>88.758226976632002</v>
      </c>
      <c r="AM155">
        <v>83.020769394185294</v>
      </c>
      <c r="AN155">
        <v>0.99999994691268701</v>
      </c>
    </row>
    <row r="156" spans="1:40" x14ac:dyDescent="0.25">
      <c r="A156" t="str">
        <f>"20190312161225645"</f>
        <v>20190312161225645</v>
      </c>
      <c r="B156" t="str">
        <f>"1552378345635580"</f>
        <v>1552378345635580</v>
      </c>
      <c r="C156" t="s">
        <v>40</v>
      </c>
      <c r="D156">
        <v>5.7365659999999998</v>
      </c>
      <c r="E156">
        <v>0.46110770000000001</v>
      </c>
      <c r="F156" t="s">
        <v>42</v>
      </c>
      <c r="G156">
        <v>-440.3066</v>
      </c>
      <c r="H156" s="1">
        <v>-4.732698E-6</v>
      </c>
      <c r="I156">
        <v>368.65750000000003</v>
      </c>
      <c r="J156">
        <v>-464.06150000000002</v>
      </c>
      <c r="K156">
        <v>1.1087370000000001</v>
      </c>
      <c r="L156">
        <v>367.77809999999999</v>
      </c>
      <c r="M156">
        <v>0.99866679999999997</v>
      </c>
      <c r="N156">
        <v>0</v>
      </c>
      <c r="O156">
        <v>5.15954E-2</v>
      </c>
      <c r="P156">
        <v>0.99735960000000001</v>
      </c>
      <c r="Q156">
        <v>1.947523E-2</v>
      </c>
      <c r="R156">
        <v>-6.9963339999999999E-2</v>
      </c>
      <c r="S156">
        <v>3.0185849999999999</v>
      </c>
      <c r="T156">
        <v>-0.13986179999999901</v>
      </c>
      <c r="U156">
        <v>0.11203</v>
      </c>
      <c r="V156">
        <v>0.121337899999999</v>
      </c>
      <c r="W156">
        <v>2.1099260000000002E-2</v>
      </c>
      <c r="X156">
        <v>0.99238700000000002</v>
      </c>
      <c r="Y156">
        <v>1.445079E-2</v>
      </c>
      <c r="Z156">
        <v>-2.7216160000000001E-3</v>
      </c>
      <c r="AA156">
        <v>0.99989189999999994</v>
      </c>
      <c r="AB156">
        <v>17</v>
      </c>
      <c r="AC156">
        <v>23.754899999999999</v>
      </c>
      <c r="AD156">
        <v>-1.108741732698</v>
      </c>
      <c r="AE156">
        <v>0.87940000000003204</v>
      </c>
      <c r="AF156">
        <v>0.34666225965025999</v>
      </c>
      <c r="AG156">
        <v>-1.108741732698</v>
      </c>
      <c r="AH156">
        <v>23.717036641800199</v>
      </c>
      <c r="AI156">
        <v>92.676271726713296</v>
      </c>
      <c r="AJ156">
        <v>89.162590572145206</v>
      </c>
      <c r="AK156">
        <v>23.745469252482401</v>
      </c>
      <c r="AL156">
        <v>88.791011750795803</v>
      </c>
      <c r="AM156">
        <v>83.029117689315598</v>
      </c>
      <c r="AN156">
        <v>1.00000001125897</v>
      </c>
    </row>
    <row r="157" spans="1:40" x14ac:dyDescent="0.25">
      <c r="A157" t="str">
        <f>"20190312161225666"</f>
        <v>20190312161225666</v>
      </c>
      <c r="B157" t="str">
        <f>"1552378345656075"</f>
        <v>1552378345656075</v>
      </c>
      <c r="C157" t="s">
        <v>40</v>
      </c>
      <c r="D157">
        <v>5.5099150000000003</v>
      </c>
      <c r="E157">
        <v>0.48267949999999998</v>
      </c>
      <c r="F157" t="s">
        <v>42</v>
      </c>
      <c r="G157">
        <v>-440.6857</v>
      </c>
      <c r="H157" s="1">
        <v>-4.5576409999999999E-6</v>
      </c>
      <c r="I157">
        <v>368.63409999999999</v>
      </c>
      <c r="J157">
        <v>-463.8895</v>
      </c>
      <c r="K157">
        <v>1.108724</v>
      </c>
      <c r="L157">
        <v>367.7867</v>
      </c>
      <c r="M157">
        <v>0.99868270000000003</v>
      </c>
      <c r="N157">
        <v>0</v>
      </c>
      <c r="O157">
        <v>5.1285089999999998E-2</v>
      </c>
      <c r="P157">
        <v>0.99737209999999998</v>
      </c>
      <c r="Q157">
        <v>1.9437599999999999E-2</v>
      </c>
      <c r="R157">
        <v>-6.9793800000000003E-2</v>
      </c>
      <c r="S157">
        <v>3.0184630000000001</v>
      </c>
      <c r="T157">
        <v>-0.14316899999999999</v>
      </c>
      <c r="U157">
        <v>0.1105347</v>
      </c>
      <c r="V157">
        <v>0.12086089999999999</v>
      </c>
      <c r="W157">
        <v>2.1059689999999999E-2</v>
      </c>
      <c r="X157">
        <v>0.9924461</v>
      </c>
      <c r="Y157">
        <v>1.463004E-2</v>
      </c>
      <c r="Z157">
        <v>-2.77561E-3</v>
      </c>
      <c r="AA157">
        <v>0.99988909999999998</v>
      </c>
      <c r="AB157">
        <v>17</v>
      </c>
      <c r="AC157">
        <v>23.203800000000001</v>
      </c>
      <c r="AD157">
        <v>-1.108728557641</v>
      </c>
      <c r="AE157">
        <v>0.84739999999999305</v>
      </c>
      <c r="AF157">
        <v>0.34294377091021899</v>
      </c>
      <c r="AG157">
        <v>-1.108728557641</v>
      </c>
      <c r="AH157">
        <v>23.163908044155299</v>
      </c>
      <c r="AI157">
        <v>92.740041789066694</v>
      </c>
      <c r="AJ157">
        <v>89.151792728941004</v>
      </c>
      <c r="AK157">
        <v>23.1929628405389</v>
      </c>
      <c r="AL157">
        <v>88.793279512956005</v>
      </c>
      <c r="AM157">
        <v>83.056662822736897</v>
      </c>
      <c r="AN157">
        <v>1.0000000645484499</v>
      </c>
    </row>
    <row r="158" spans="1:40" x14ac:dyDescent="0.25">
      <c r="A158" t="str">
        <f>"20190312161225688"</f>
        <v>20190312161225688</v>
      </c>
      <c r="B158" t="str">
        <f>"1552378345675596"</f>
        <v>1552378345675596</v>
      </c>
      <c r="C158" t="s">
        <v>40</v>
      </c>
      <c r="D158">
        <v>5.5580540000000003</v>
      </c>
      <c r="E158">
        <v>0.48479309999999998</v>
      </c>
      <c r="F158" t="s">
        <v>43</v>
      </c>
      <c r="G158">
        <v>-463.1472</v>
      </c>
      <c r="H158">
        <v>1.0436160000000001</v>
      </c>
      <c r="I158">
        <v>367.77300000000002</v>
      </c>
      <c r="J158">
        <v>-463.72</v>
      </c>
      <c r="K158">
        <v>1.108716</v>
      </c>
      <c r="L158">
        <v>367.79500000000002</v>
      </c>
      <c r="M158">
        <v>0.99869819999999998</v>
      </c>
      <c r="N158">
        <v>0</v>
      </c>
      <c r="O158">
        <v>5.0980089999999999E-2</v>
      </c>
      <c r="P158">
        <v>0.99739</v>
      </c>
      <c r="Q158">
        <v>1.9520579999999999E-2</v>
      </c>
      <c r="R158">
        <v>-6.9513000000000005E-2</v>
      </c>
      <c r="S158">
        <v>3.0091549999999998</v>
      </c>
      <c r="T158">
        <v>-0.26400449999999998</v>
      </c>
      <c r="U158">
        <v>-5.52063E-2</v>
      </c>
      <c r="V158">
        <v>0.1202785</v>
      </c>
      <c r="W158">
        <v>2.114359E-2</v>
      </c>
      <c r="X158">
        <v>0.99251500000000004</v>
      </c>
      <c r="Y158">
        <v>6.8830710000000003E-2</v>
      </c>
      <c r="Z158">
        <v>-7.4761480000000002E-3</v>
      </c>
      <c r="AA158">
        <v>0.9976003</v>
      </c>
      <c r="AB158">
        <v>17</v>
      </c>
      <c r="AC158">
        <v>0.57280000000002895</v>
      </c>
      <c r="AD158">
        <v>-6.5100000000000102E-2</v>
      </c>
      <c r="AE158">
        <v>-2.1999999999991301E-2</v>
      </c>
      <c r="AF158">
        <v>5.0521218290523202E-2</v>
      </c>
      <c r="AG158">
        <v>-6.5100000000000102E-2</v>
      </c>
      <c r="AH158">
        <v>0.56366358256863003</v>
      </c>
      <c r="AI158">
        <v>96.562078527571003</v>
      </c>
      <c r="AJ158">
        <v>84.878260056933499</v>
      </c>
      <c r="AK158">
        <v>0.56965519203432302</v>
      </c>
      <c r="AL158">
        <v>88.788471245015202</v>
      </c>
      <c r="AM158">
        <v>83.090271903569104</v>
      </c>
      <c r="AN158">
        <v>0.99999999709266896</v>
      </c>
    </row>
    <row r="159" spans="1:40" x14ac:dyDescent="0.25">
      <c r="A159" t="str">
        <f>"20190312161225711"</f>
        <v>20190312161225711</v>
      </c>
      <c r="B159" t="str">
        <f>"1552378345705852"</f>
        <v>1552378345705852</v>
      </c>
      <c r="C159" t="s">
        <v>40</v>
      </c>
      <c r="D159">
        <v>5.5530790000000003</v>
      </c>
      <c r="E159">
        <v>0.48574529999999999</v>
      </c>
      <c r="F159" t="s">
        <v>43</v>
      </c>
      <c r="G159">
        <v>-462.98989999999998</v>
      </c>
      <c r="H159">
        <v>1.040492</v>
      </c>
      <c r="I159">
        <v>367.77760000000001</v>
      </c>
      <c r="J159">
        <v>-463.53829999999999</v>
      </c>
      <c r="K159">
        <v>1.1087070000000001</v>
      </c>
      <c r="L159">
        <v>367.8039</v>
      </c>
      <c r="M159">
        <v>0.99871500000000002</v>
      </c>
      <c r="N159">
        <v>0</v>
      </c>
      <c r="O159">
        <v>5.0652250000000003E-2</v>
      </c>
      <c r="P159">
        <v>0.99739719999999998</v>
      </c>
      <c r="Q159">
        <v>1.9012109999999999E-2</v>
      </c>
      <c r="R159">
        <v>-6.9554279999999996E-2</v>
      </c>
      <c r="S159">
        <v>3.0085449999999998</v>
      </c>
      <c r="T159">
        <v>-0.28125169999999999</v>
      </c>
      <c r="U159">
        <v>-7.0098880000000002E-2</v>
      </c>
      <c r="V159">
        <v>0.11999410000000001</v>
      </c>
      <c r="W159">
        <v>2.0639210000000002E-2</v>
      </c>
      <c r="X159">
        <v>0.99256</v>
      </c>
      <c r="Y159">
        <v>7.3361839999999998E-2</v>
      </c>
      <c r="Z159">
        <v>-8.1446019999999904E-3</v>
      </c>
      <c r="AA159">
        <v>0.99727209999999999</v>
      </c>
      <c r="AB159">
        <v>18</v>
      </c>
      <c r="AC159">
        <v>0.54840000000001499</v>
      </c>
      <c r="AD159">
        <v>-6.8214999999999901E-2</v>
      </c>
      <c r="AE159">
        <v>-2.6299999999992E-2</v>
      </c>
      <c r="AF159">
        <v>5.32223695259747E-2</v>
      </c>
      <c r="AG159">
        <v>-6.8214999999999901E-2</v>
      </c>
      <c r="AH159">
        <v>0.53805780897943301</v>
      </c>
      <c r="AI159">
        <v>97.190692566914294</v>
      </c>
      <c r="AJ159">
        <v>84.350923653077103</v>
      </c>
      <c r="AK159">
        <v>0.54496982728102294</v>
      </c>
      <c r="AL159">
        <v>88.817376352149097</v>
      </c>
      <c r="AM159">
        <v>83.1067621702732</v>
      </c>
      <c r="AN159">
        <v>0.99999995731211599</v>
      </c>
    </row>
    <row r="160" spans="1:40" x14ac:dyDescent="0.25">
      <c r="A160" t="str">
        <f>"20190312161225733"</f>
        <v>20190312161225733</v>
      </c>
      <c r="B160" t="str">
        <f>"1552378345725372"</f>
        <v>1552378345725372</v>
      </c>
      <c r="C160" t="s">
        <v>40</v>
      </c>
      <c r="D160">
        <v>5.5173350000000001</v>
      </c>
      <c r="E160">
        <v>0.48598770000000002</v>
      </c>
      <c r="F160" t="s">
        <v>43</v>
      </c>
      <c r="G160">
        <v>-462.6746</v>
      </c>
      <c r="H160">
        <v>1.0260339999999999</v>
      </c>
      <c r="I160">
        <v>367.78149999999999</v>
      </c>
      <c r="J160">
        <v>-463.35719999999998</v>
      </c>
      <c r="K160">
        <v>1.108706</v>
      </c>
      <c r="L160">
        <v>367.81270000000001</v>
      </c>
      <c r="M160">
        <v>0.99873149999999999</v>
      </c>
      <c r="N160">
        <v>0</v>
      </c>
      <c r="O160">
        <v>5.0327150000000001E-2</v>
      </c>
      <c r="P160">
        <v>0.99744259999999996</v>
      </c>
      <c r="Q160">
        <v>1.9031289999999999E-2</v>
      </c>
      <c r="R160">
        <v>-6.8891519999999998E-2</v>
      </c>
      <c r="S160">
        <v>3.0079039999999999</v>
      </c>
      <c r="T160">
        <v>-0.2880993</v>
      </c>
      <c r="U160">
        <v>-7.7850340000000004E-2</v>
      </c>
      <c r="V160">
        <v>0.1190118</v>
      </c>
      <c r="W160">
        <v>2.0665909999999999E-2</v>
      </c>
      <c r="X160">
        <v>0.9926777</v>
      </c>
      <c r="Y160">
        <v>7.5575000000000003E-2</v>
      </c>
      <c r="Z160">
        <v>-8.4182809999999997E-3</v>
      </c>
      <c r="AA160">
        <v>0.99710460000000001</v>
      </c>
      <c r="AB160">
        <v>18</v>
      </c>
      <c r="AC160">
        <v>0.682599999999979</v>
      </c>
      <c r="AD160">
        <v>-8.2671999999999801E-2</v>
      </c>
      <c r="AE160">
        <v>-3.1200000000012499E-2</v>
      </c>
      <c r="AF160">
        <v>6.4568671586866896E-2</v>
      </c>
      <c r="AG160">
        <v>-8.2671999999999801E-2</v>
      </c>
      <c r="AH160">
        <v>0.67035225788613395</v>
      </c>
      <c r="AI160">
        <v>96.998504558222393</v>
      </c>
      <c r="AJ160">
        <v>84.498213917269695</v>
      </c>
      <c r="AK160">
        <v>0.67851007552396003</v>
      </c>
      <c r="AL160">
        <v>88.815846222392196</v>
      </c>
      <c r="AM160">
        <v>83.163458481823298</v>
      </c>
      <c r="AN160">
        <v>0.99999995222632798</v>
      </c>
    </row>
    <row r="161" spans="1:40" x14ac:dyDescent="0.25">
      <c r="A161" t="str">
        <f>"20190312161226248"</f>
        <v>20190312161226248</v>
      </c>
      <c r="B161" t="str">
        <f>"1552378346235820"</f>
        <v>1552378346235820</v>
      </c>
      <c r="C161" t="s">
        <v>40</v>
      </c>
      <c r="D161">
        <v>5.7905899999999999</v>
      </c>
      <c r="E161">
        <v>0.4560073</v>
      </c>
      <c r="F161" t="s">
        <v>42</v>
      </c>
      <c r="G161">
        <v>-352.93880000000001</v>
      </c>
      <c r="H161" s="1">
        <v>-4.8336459999999998E-6</v>
      </c>
      <c r="I161">
        <v>378.39789999999999</v>
      </c>
      <c r="J161">
        <v>-458.6893</v>
      </c>
      <c r="K161">
        <v>1.108584</v>
      </c>
      <c r="L161">
        <v>368.01949999999999</v>
      </c>
      <c r="M161">
        <v>0.99912730000000005</v>
      </c>
      <c r="N161">
        <v>0</v>
      </c>
      <c r="O161">
        <v>4.1708139999999998E-2</v>
      </c>
      <c r="P161">
        <v>0.99676450000000005</v>
      </c>
      <c r="Q161">
        <v>1.74419E-2</v>
      </c>
      <c r="R161">
        <v>-7.8466620000000001E-2</v>
      </c>
      <c r="S161">
        <v>3.0310060000000001</v>
      </c>
      <c r="T161">
        <v>-3.1511900000000002E-2</v>
      </c>
      <c r="U161">
        <v>0.29602050000000002</v>
      </c>
      <c r="V161">
        <v>0.1199861</v>
      </c>
      <c r="W161">
        <v>1.9664750000000002E-2</v>
      </c>
      <c r="X161">
        <v>0.99258080000000004</v>
      </c>
      <c r="Y161">
        <v>-5.5605580000000002E-2</v>
      </c>
      <c r="Z161">
        <v>-1.439077E-4</v>
      </c>
      <c r="AA161">
        <v>0.99845280000000003</v>
      </c>
      <c r="AB161">
        <v>22</v>
      </c>
      <c r="AC161">
        <v>105.7505</v>
      </c>
      <c r="AD161">
        <v>-1.1085888336459999</v>
      </c>
      <c r="AE161">
        <v>10.378399999999999</v>
      </c>
      <c r="AF161">
        <v>-5.95805270361212</v>
      </c>
      <c r="AG161">
        <v>-1.1085888336459999</v>
      </c>
      <c r="AH161">
        <v>106.079797829909</v>
      </c>
      <c r="AI161">
        <v>90.597806669694506</v>
      </c>
      <c r="AJ161">
        <v>93.214683629218698</v>
      </c>
      <c r="AK161">
        <v>106.252768758538</v>
      </c>
      <c r="AL161">
        <v>88.873220196716204</v>
      </c>
      <c r="AM161">
        <v>83.107360372594499</v>
      </c>
      <c r="AN161">
        <v>1.0000000055572</v>
      </c>
    </row>
    <row r="162" spans="1:40" x14ac:dyDescent="0.25">
      <c r="A162" t="str">
        <f>"20190312161226270"</f>
        <v>20190312161226270</v>
      </c>
      <c r="B162" t="str">
        <f>"1552378346266076"</f>
        <v>1552378346266076</v>
      </c>
      <c r="C162" t="s">
        <v>40</v>
      </c>
      <c r="D162">
        <v>5.628145</v>
      </c>
      <c r="E162">
        <v>0.445185</v>
      </c>
      <c r="F162" t="s">
        <v>43</v>
      </c>
      <c r="G162">
        <v>-458.00490000000002</v>
      </c>
      <c r="H162">
        <v>0.941214</v>
      </c>
      <c r="I162">
        <v>368.05309999999997</v>
      </c>
      <c r="J162">
        <v>-458.48099999999999</v>
      </c>
      <c r="K162">
        <v>1.108568</v>
      </c>
      <c r="L162">
        <v>368.02769999999998</v>
      </c>
      <c r="M162">
        <v>0.99914669999999906</v>
      </c>
      <c r="N162">
        <v>0</v>
      </c>
      <c r="O162">
        <v>4.1233800000000001E-2</v>
      </c>
      <c r="P162">
        <v>0.99667070000000002</v>
      </c>
      <c r="Q162">
        <v>1.6956530000000001E-2</v>
      </c>
      <c r="R162">
        <v>-7.9751939999999993E-2</v>
      </c>
      <c r="S162">
        <v>3.0345759999999999</v>
      </c>
      <c r="T162">
        <v>-0.742044699999999</v>
      </c>
      <c r="U162">
        <v>0.1509094</v>
      </c>
      <c r="V162">
        <v>0.12079579999999999</v>
      </c>
      <c r="W162">
        <v>1.9205650000000001E-2</v>
      </c>
      <c r="X162">
        <v>0.99249160000000003</v>
      </c>
      <c r="Y162">
        <v>-9.3786049999999999E-3</v>
      </c>
      <c r="Z162">
        <v>-8.7966639999999992E-3</v>
      </c>
      <c r="AA162">
        <v>0.99991730000000001</v>
      </c>
      <c r="AB162">
        <v>22</v>
      </c>
      <c r="AC162">
        <v>0.47609999999997399</v>
      </c>
      <c r="AD162">
        <v>-0.167354</v>
      </c>
      <c r="AE162">
        <v>2.53999999999905E-2</v>
      </c>
      <c r="AF162">
        <v>-5.1165291611866698E-3</v>
      </c>
      <c r="AG162">
        <v>-0.167354</v>
      </c>
      <c r="AH162">
        <v>0.424446868421479</v>
      </c>
      <c r="AI162">
        <v>111.517266409594</v>
      </c>
      <c r="AJ162">
        <v>90.690643164025502</v>
      </c>
      <c r="AK162">
        <v>0.45627698199608702</v>
      </c>
      <c r="AL162">
        <v>88.899529684541605</v>
      </c>
      <c r="AM162">
        <v>83.060681313435694</v>
      </c>
      <c r="AN162">
        <v>1.0000000291800599</v>
      </c>
    </row>
    <row r="163" spans="1:40" x14ac:dyDescent="0.25">
      <c r="A163" t="str">
        <f>"20190312161226291"</f>
        <v>20190312161226291</v>
      </c>
      <c r="B163" t="str">
        <f>"1552378346286054"</f>
        <v>1552378346286054</v>
      </c>
      <c r="C163" t="s">
        <v>40</v>
      </c>
      <c r="D163">
        <v>5.9700699999999998</v>
      </c>
      <c r="E163">
        <v>0.45314529999999997</v>
      </c>
      <c r="F163" t="s">
        <v>44</v>
      </c>
      <c r="G163">
        <v>0</v>
      </c>
      <c r="H163">
        <v>0</v>
      </c>
      <c r="I163">
        <v>0</v>
      </c>
      <c r="J163">
        <v>-458.2534</v>
      </c>
      <c r="K163">
        <v>1.1085560000000001</v>
      </c>
      <c r="L163">
        <v>368.03649999999999</v>
      </c>
      <c r="M163">
        <v>0.99916859999999996</v>
      </c>
      <c r="N163">
        <v>0</v>
      </c>
      <c r="O163">
        <v>4.0699930000000002E-2</v>
      </c>
      <c r="P163">
        <v>0.99660879999999996</v>
      </c>
      <c r="Q163">
        <v>1.6789200000000001E-2</v>
      </c>
      <c r="R163">
        <v>-8.0555630000000003E-2</v>
      </c>
      <c r="S163">
        <v>3.0243530000000001</v>
      </c>
      <c r="T163">
        <v>7.5087550000000003E-2</v>
      </c>
      <c r="U163">
        <v>0.19567870000000001</v>
      </c>
      <c r="V163">
        <v>0.1210668</v>
      </c>
      <c r="W163">
        <v>1.906882E-2</v>
      </c>
      <c r="X163">
        <v>0.99246120000000004</v>
      </c>
      <c r="Y163">
        <v>-2.390254E-2</v>
      </c>
      <c r="Z163">
        <v>7.1236849999999996E-4</v>
      </c>
      <c r="AA163">
        <v>0.99971399999999999</v>
      </c>
      <c r="AB163">
        <v>22</v>
      </c>
      <c r="AC163">
        <v>3.0243530000000001</v>
      </c>
      <c r="AD163">
        <v>7.5087550000000003E-2</v>
      </c>
      <c r="AE163">
        <v>0.19567870000000001</v>
      </c>
      <c r="AF163">
        <v>-7.2380830611838795E-2</v>
      </c>
      <c r="AG163">
        <v>7.5087550000000003E-2</v>
      </c>
      <c r="AH163">
        <v>3.0279524982344301</v>
      </c>
      <c r="AI163">
        <v>88.579868647293907</v>
      </c>
      <c r="AJ163">
        <v>91.3693499093837</v>
      </c>
      <c r="AK163">
        <v>3.0297480846382601</v>
      </c>
      <c r="AL163">
        <v>88.907370882753696</v>
      </c>
      <c r="AM163">
        <v>83.045054617514893</v>
      </c>
      <c r="AN163">
        <v>1.0000000117319301</v>
      </c>
    </row>
    <row r="164" spans="1:40" x14ac:dyDescent="0.25">
      <c r="A164" t="str">
        <f>"20190312161226313"</f>
        <v>20190312161226313</v>
      </c>
      <c r="B164" t="str">
        <f>"1552378346305574"</f>
        <v>1552378346305574</v>
      </c>
      <c r="C164" t="s">
        <v>40</v>
      </c>
      <c r="D164">
        <v>5.5672420000000002</v>
      </c>
      <c r="E164">
        <v>0.4503472</v>
      </c>
      <c r="F164" t="s">
        <v>52</v>
      </c>
      <c r="G164">
        <v>-168.84350000000001</v>
      </c>
      <c r="H164">
        <v>10.51637</v>
      </c>
      <c r="I164">
        <v>380.40260000000001</v>
      </c>
      <c r="J164">
        <v>-458.02390000000003</v>
      </c>
      <c r="K164">
        <v>1.1085480000000001</v>
      </c>
      <c r="L164">
        <v>368.0453</v>
      </c>
      <c r="M164">
        <v>0.99919060000000004</v>
      </c>
      <c r="N164">
        <v>0</v>
      </c>
      <c r="O164">
        <v>4.0151520000000003E-2</v>
      </c>
      <c r="P164">
        <v>0.99652399999999997</v>
      </c>
      <c r="Q164">
        <v>1.7824340000000001E-2</v>
      </c>
      <c r="R164">
        <v>-8.1376630000000005E-2</v>
      </c>
      <c r="S164">
        <v>3.019012</v>
      </c>
      <c r="T164">
        <v>9.8139519999999994E-2</v>
      </c>
      <c r="U164">
        <v>0.1289978</v>
      </c>
      <c r="V164">
        <v>0.1213403</v>
      </c>
      <c r="W164">
        <v>2.0136250000000001E-2</v>
      </c>
      <c r="X164">
        <v>0.99240669999999997</v>
      </c>
      <c r="Y164">
        <v>-2.5598639999999998E-3</v>
      </c>
      <c r="Z164">
        <v>1.2621570000000001E-3</v>
      </c>
      <c r="AA164">
        <v>0.99999590000000005</v>
      </c>
      <c r="AB164">
        <v>23</v>
      </c>
      <c r="AC164">
        <v>289.18040000000002</v>
      </c>
      <c r="AD164">
        <v>9.4078219999999995</v>
      </c>
      <c r="AE164">
        <v>12.3573</v>
      </c>
      <c r="AF164">
        <v>-0.735490588468522</v>
      </c>
      <c r="AG164">
        <v>9.4078219999999995</v>
      </c>
      <c r="AH164">
        <v>289.13791094629698</v>
      </c>
      <c r="AI164">
        <v>88.136402622293403</v>
      </c>
      <c r="AJ164">
        <v>90.145745037590899</v>
      </c>
      <c r="AK164">
        <v>289.29185886847603</v>
      </c>
      <c r="AL164">
        <v>88.846199876422105</v>
      </c>
      <c r="AM164">
        <v>83.029118183864099</v>
      </c>
      <c r="AN164">
        <v>0.99999999758652103</v>
      </c>
    </row>
    <row r="165" spans="1:40" x14ac:dyDescent="0.25">
      <c r="A165" t="str">
        <f>"20190312161226335"</f>
        <v>20190312161226335</v>
      </c>
      <c r="B165" t="str">
        <f>"1552378346326069"</f>
        <v>1552378346326069</v>
      </c>
      <c r="C165" t="s">
        <v>40</v>
      </c>
      <c r="D165">
        <v>5.8535409999999999</v>
      </c>
      <c r="E165">
        <v>0.45021339999999999</v>
      </c>
      <c r="F165" t="s">
        <v>52</v>
      </c>
      <c r="G165">
        <v>-168.84350000000001</v>
      </c>
      <c r="H165">
        <v>10.222440000000001</v>
      </c>
      <c r="I165">
        <v>382.28680000000003</v>
      </c>
      <c r="J165">
        <v>-457.8</v>
      </c>
      <c r="K165">
        <v>1.1085430000000001</v>
      </c>
      <c r="L165">
        <v>368.05369999999999</v>
      </c>
      <c r="M165">
        <v>0.99921219999999999</v>
      </c>
      <c r="N165">
        <v>0</v>
      </c>
      <c r="O165">
        <v>3.9610100000000002E-2</v>
      </c>
      <c r="P165">
        <v>0.9965212</v>
      </c>
      <c r="Q165">
        <v>1.866143E-2</v>
      </c>
      <c r="R165">
        <v>-8.1224980000000002E-2</v>
      </c>
      <c r="S165">
        <v>3.020905</v>
      </c>
      <c r="T165">
        <v>9.520853E-2</v>
      </c>
      <c r="U165">
        <v>0.14877319999999999</v>
      </c>
      <c r="V165">
        <v>0.1206522</v>
      </c>
      <c r="W165">
        <v>2.1007250000000002E-2</v>
      </c>
      <c r="X165">
        <v>0.99247249999999998</v>
      </c>
      <c r="Y165">
        <v>-9.6022599999999996E-3</v>
      </c>
      <c r="Z165">
        <v>1.095578E-3</v>
      </c>
      <c r="AA165">
        <v>0.99995330000000004</v>
      </c>
      <c r="AB165">
        <v>23</v>
      </c>
      <c r="AC165">
        <v>288.95650000000001</v>
      </c>
      <c r="AD165">
        <v>9.1138969999999908</v>
      </c>
      <c r="AE165">
        <v>14.2331</v>
      </c>
      <c r="AF165">
        <v>-2.7735471646676002</v>
      </c>
      <c r="AG165">
        <v>9.1138969999999908</v>
      </c>
      <c r="AH165">
        <v>289.00669230654199</v>
      </c>
      <c r="AI165">
        <v>88.193845233276207</v>
      </c>
      <c r="AJ165">
        <v>90.549840791749801</v>
      </c>
      <c r="AK165">
        <v>289.16366279387398</v>
      </c>
      <c r="AL165">
        <v>88.796284643127706</v>
      </c>
      <c r="AM165">
        <v>83.068718273628804</v>
      </c>
      <c r="AN165">
        <v>0.99999996058682505</v>
      </c>
    </row>
    <row r="166" spans="1:40" x14ac:dyDescent="0.25">
      <c r="A166" t="str">
        <f>"20190312161226358"</f>
        <v>20190312161226358</v>
      </c>
      <c r="B166" t="str">
        <f>"1552378346345590"</f>
        <v>1552378346345590</v>
      </c>
      <c r="C166" t="s">
        <v>40</v>
      </c>
      <c r="D166">
        <v>5.7499339999999997</v>
      </c>
      <c r="E166">
        <v>0.45108369999999998</v>
      </c>
      <c r="F166" t="s">
        <v>52</v>
      </c>
      <c r="G166">
        <v>-168.84350000000001</v>
      </c>
      <c r="H166">
        <v>9.1957330000000006</v>
      </c>
      <c r="I166">
        <v>382.51319999999998</v>
      </c>
      <c r="J166">
        <v>-457.56459999999998</v>
      </c>
      <c r="K166">
        <v>1.1085389999999999</v>
      </c>
      <c r="L166">
        <v>368.06240000000003</v>
      </c>
      <c r="M166">
        <v>0.99923470000000003</v>
      </c>
      <c r="N166">
        <v>0</v>
      </c>
      <c r="O166">
        <v>3.9038290000000003E-2</v>
      </c>
      <c r="P166">
        <v>0.99656619999999996</v>
      </c>
      <c r="Q166">
        <v>1.8817199999999999E-2</v>
      </c>
      <c r="R166">
        <v>-8.063497E-2</v>
      </c>
      <c r="S166">
        <v>3.0212400000000001</v>
      </c>
      <c r="T166">
        <v>8.4558010000000003E-2</v>
      </c>
      <c r="U166">
        <v>0.15118409999999999</v>
      </c>
      <c r="V166">
        <v>0.119496699999999</v>
      </c>
      <c r="W166">
        <v>2.120033E-2</v>
      </c>
      <c r="X166">
        <v>0.99260820000000005</v>
      </c>
      <c r="Y166">
        <v>-1.09611E-2</v>
      </c>
      <c r="Z166">
        <v>9.3796739999999997E-4</v>
      </c>
      <c r="AA166">
        <v>0.99993949999999998</v>
      </c>
      <c r="AB166">
        <v>23</v>
      </c>
      <c r="AC166">
        <v>288.72109999999998</v>
      </c>
      <c r="AD166">
        <v>8.0871940000000002</v>
      </c>
      <c r="AE166">
        <v>14.4507999999999</v>
      </c>
      <c r="AF166">
        <v>-3.16609446378405</v>
      </c>
      <c r="AG166">
        <v>8.0871940000000002</v>
      </c>
      <c r="AH166">
        <v>288.83909540578298</v>
      </c>
      <c r="AI166">
        <v>88.396293117164802</v>
      </c>
      <c r="AJ166">
        <v>90.628019503932904</v>
      </c>
      <c r="AK166">
        <v>288.96963490266302</v>
      </c>
      <c r="AL166">
        <v>88.785219529200006</v>
      </c>
      <c r="AM166">
        <v>83.135392976748804</v>
      </c>
      <c r="AN166">
        <v>0.999999977005119</v>
      </c>
    </row>
    <row r="167" spans="1:40" x14ac:dyDescent="0.25">
      <c r="A167" t="str">
        <f>"20190312161226380"</f>
        <v>20190312161226380</v>
      </c>
      <c r="B167" t="str">
        <f>"1552378346375846"</f>
        <v>1552378346375846</v>
      </c>
      <c r="C167" t="s">
        <v>40</v>
      </c>
      <c r="D167">
        <v>5.8376260000000002</v>
      </c>
      <c r="E167">
        <v>0.4516172</v>
      </c>
      <c r="F167" t="s">
        <v>52</v>
      </c>
      <c r="G167">
        <v>-170.08879999999999</v>
      </c>
      <c r="H167">
        <v>8.3226209999999998</v>
      </c>
      <c r="I167">
        <v>381.9973</v>
      </c>
      <c r="J167">
        <v>-457.33519999999999</v>
      </c>
      <c r="K167">
        <v>1.1085309999999999</v>
      </c>
      <c r="L167">
        <v>368.07080000000002</v>
      </c>
      <c r="M167">
        <v>0.99925609999999998</v>
      </c>
      <c r="N167">
        <v>0</v>
      </c>
      <c r="O167">
        <v>3.8481750000000002E-2</v>
      </c>
      <c r="P167">
        <v>0.99657229999999997</v>
      </c>
      <c r="Q167">
        <v>1.9115980000000001E-2</v>
      </c>
      <c r="R167">
        <v>-8.0489550000000007E-2</v>
      </c>
      <c r="S167">
        <v>3.020721</v>
      </c>
      <c r="T167">
        <v>7.5804590000000005E-2</v>
      </c>
      <c r="U167">
        <v>0.14642330000000001</v>
      </c>
      <c r="V167">
        <v>0.118799</v>
      </c>
      <c r="W167">
        <v>2.153594E-2</v>
      </c>
      <c r="X167">
        <v>0.99268469999999998</v>
      </c>
      <c r="Y167">
        <v>-9.9524680000000008E-3</v>
      </c>
      <c r="Z167">
        <v>8.397907E-4</v>
      </c>
      <c r="AA167">
        <v>0.99995009999999995</v>
      </c>
      <c r="AB167">
        <v>23</v>
      </c>
      <c r="AC167">
        <v>287.24639999999999</v>
      </c>
      <c r="AD167">
        <v>7.2140899999999997</v>
      </c>
      <c r="AE167">
        <v>13.9264999999999</v>
      </c>
      <c r="AF167">
        <v>-2.8606050038366799</v>
      </c>
      <c r="AG167">
        <v>7.2140899999999997</v>
      </c>
      <c r="AH167">
        <v>287.38870998988699</v>
      </c>
      <c r="AI167">
        <v>88.5621228348367</v>
      </c>
      <c r="AJ167">
        <v>90.570290951690296</v>
      </c>
      <c r="AK167">
        <v>287.493472595757</v>
      </c>
      <c r="AL167">
        <v>88.765986075162601</v>
      </c>
      <c r="AM167">
        <v>83.175614894507106</v>
      </c>
      <c r="AN167">
        <v>0.99999995636338501</v>
      </c>
    </row>
    <row r="168" spans="1:40" x14ac:dyDescent="0.25">
      <c r="A168" t="str">
        <f>"20190312161226404"</f>
        <v>20190312161226404</v>
      </c>
      <c r="B168" t="str">
        <f>"1552378346395872"</f>
        <v>1552378346395872</v>
      </c>
      <c r="C168" t="s">
        <v>40</v>
      </c>
      <c r="D168">
        <v>5.8358759999999998</v>
      </c>
      <c r="E168">
        <v>0.45147379999999998</v>
      </c>
      <c r="F168" t="s">
        <v>52</v>
      </c>
      <c r="G168">
        <v>-170.08879999999999</v>
      </c>
      <c r="H168">
        <v>8.0736070000000009</v>
      </c>
      <c r="I168">
        <v>381.64449999999999</v>
      </c>
      <c r="J168">
        <v>-457.0917</v>
      </c>
      <c r="K168">
        <v>1.108533</v>
      </c>
      <c r="L168">
        <v>368.0795</v>
      </c>
      <c r="M168">
        <v>0.99927849999999996</v>
      </c>
      <c r="N168">
        <v>0</v>
      </c>
      <c r="O168">
        <v>3.7892540000000002E-2</v>
      </c>
      <c r="P168">
        <v>0.99656299999999998</v>
      </c>
      <c r="Q168">
        <v>1.8449710000000001E-2</v>
      </c>
      <c r="R168">
        <v>-8.0757990000000002E-2</v>
      </c>
      <c r="S168">
        <v>3.0204770000000001</v>
      </c>
      <c r="T168">
        <v>7.3240639999999996E-2</v>
      </c>
      <c r="U168">
        <v>0.14273069999999999</v>
      </c>
      <c r="V168">
        <v>0.1184813</v>
      </c>
      <c r="W168">
        <v>2.0908570000000001E-2</v>
      </c>
      <c r="X168">
        <v>0.99273610000000001</v>
      </c>
      <c r="Y168">
        <v>-9.3257289999999996E-3</v>
      </c>
      <c r="Z168">
        <v>8.0481970000000004E-4</v>
      </c>
      <c r="AA168">
        <v>0.99995619999999996</v>
      </c>
      <c r="AB168">
        <v>23</v>
      </c>
      <c r="AC168">
        <v>287.00290000000001</v>
      </c>
      <c r="AD168">
        <v>6.9650740000000004</v>
      </c>
      <c r="AE168">
        <v>13.5649999999999</v>
      </c>
      <c r="AF168">
        <v>-2.67837895768406</v>
      </c>
      <c r="AG168">
        <v>6.9650740000000004</v>
      </c>
      <c r="AH168">
        <v>287.142057288513</v>
      </c>
      <c r="AI168">
        <v>88.610535293823304</v>
      </c>
      <c r="AJ168">
        <v>90.534423139679703</v>
      </c>
      <c r="AK168">
        <v>287.23900681061099</v>
      </c>
      <c r="AL168">
        <v>88.801939850852406</v>
      </c>
      <c r="AM168">
        <v>83.194042770639797</v>
      </c>
      <c r="AN168">
        <v>0.99999997549617203</v>
      </c>
    </row>
    <row r="169" spans="1:40" x14ac:dyDescent="0.25">
      <c r="A169" t="str">
        <f>"20190312161226426"</f>
        <v>20190312161226426</v>
      </c>
      <c r="B169" t="str">
        <f>"1552378346415393"</f>
        <v>1552378346415393</v>
      </c>
      <c r="C169" t="s">
        <v>40</v>
      </c>
      <c r="D169">
        <v>5.870908</v>
      </c>
      <c r="E169">
        <v>0.45166689999999998</v>
      </c>
      <c r="F169" t="s">
        <v>52</v>
      </c>
      <c r="G169">
        <v>-170.08879999999999</v>
      </c>
      <c r="H169">
        <v>7.9018389999999998</v>
      </c>
      <c r="I169">
        <v>381.6497</v>
      </c>
      <c r="J169">
        <v>-456.85520000000002</v>
      </c>
      <c r="K169">
        <v>1.1085309999999999</v>
      </c>
      <c r="L169">
        <v>368.08789999999999</v>
      </c>
      <c r="M169">
        <v>0.99929990000000002</v>
      </c>
      <c r="N169">
        <v>0</v>
      </c>
      <c r="O169">
        <v>3.7322519999999998E-2</v>
      </c>
      <c r="P169">
        <v>0.99652770000000002</v>
      </c>
      <c r="Q169">
        <v>1.8408029999999999E-2</v>
      </c>
      <c r="R169">
        <v>-8.1203659999999997E-2</v>
      </c>
      <c r="S169">
        <v>3.0206300000000001</v>
      </c>
      <c r="T169">
        <v>7.1498629999999994E-2</v>
      </c>
      <c r="U169">
        <v>0.14282230000000001</v>
      </c>
      <c r="V169">
        <v>0.11835900000000001</v>
      </c>
      <c r="W169">
        <v>2.0904280000000001E-2</v>
      </c>
      <c r="X169">
        <v>0.99275080000000004</v>
      </c>
      <c r="Y169">
        <v>-9.9232580000000008E-3</v>
      </c>
      <c r="Z169">
        <v>7.6510580000000003E-4</v>
      </c>
      <c r="AA169">
        <v>0.99995049999999996</v>
      </c>
      <c r="AB169">
        <v>23</v>
      </c>
      <c r="AC169">
        <v>286.76639999999998</v>
      </c>
      <c r="AD169">
        <v>6.7933079999999997</v>
      </c>
      <c r="AE169">
        <v>13.5618</v>
      </c>
      <c r="AF169">
        <v>-2.84787566754378</v>
      </c>
      <c r="AG169">
        <v>6.7933079999999997</v>
      </c>
      <c r="AH169">
        <v>286.91211126134601</v>
      </c>
      <c r="AI169">
        <v>88.643710081429006</v>
      </c>
      <c r="AJ169">
        <v>90.568696445536105</v>
      </c>
      <c r="AK169">
        <v>287.00665326407301</v>
      </c>
      <c r="AL169">
        <v>88.802185728471898</v>
      </c>
      <c r="AM169">
        <v>83.201102020634707</v>
      </c>
      <c r="AN169">
        <v>0.999999996351979</v>
      </c>
    </row>
    <row r="170" spans="1:40" x14ac:dyDescent="0.25">
      <c r="A170" t="str">
        <f>"20190312161226451"</f>
        <v>20190312161226451</v>
      </c>
      <c r="B170" t="str">
        <f>"1552378346445648"</f>
        <v>1552378346445648</v>
      </c>
      <c r="C170" t="s">
        <v>40</v>
      </c>
      <c r="D170">
        <v>5.8886240000000001</v>
      </c>
      <c r="E170">
        <v>0.45273629999999998</v>
      </c>
      <c r="F170" t="s">
        <v>52</v>
      </c>
      <c r="G170">
        <v>-170.08879999999999</v>
      </c>
      <c r="H170">
        <v>7.8385619999999996</v>
      </c>
      <c r="I170">
        <v>381.42099999999999</v>
      </c>
      <c r="J170">
        <v>-456.59550000000002</v>
      </c>
      <c r="K170">
        <v>1.1085309999999999</v>
      </c>
      <c r="L170">
        <v>368.09690000000001</v>
      </c>
      <c r="M170">
        <v>0.99932279999999996</v>
      </c>
      <c r="N170">
        <v>0</v>
      </c>
      <c r="O170">
        <v>3.6699919999999997E-2</v>
      </c>
      <c r="P170">
        <v>0.99640830000000002</v>
      </c>
      <c r="Q170">
        <v>1.876222E-2</v>
      </c>
      <c r="R170">
        <v>-8.2574640000000005E-2</v>
      </c>
      <c r="S170">
        <v>3.0205989999999998</v>
      </c>
      <c r="T170">
        <v>7.0890430000000004E-2</v>
      </c>
      <c r="U170">
        <v>0.14044189999999901</v>
      </c>
      <c r="V170">
        <v>0.11910660000000001</v>
      </c>
      <c r="W170">
        <v>2.129901E-2</v>
      </c>
      <c r="X170">
        <v>0.99265300000000001</v>
      </c>
      <c r="Y170">
        <v>-9.7602000000000001E-3</v>
      </c>
      <c r="Z170">
        <v>7.459481E-4</v>
      </c>
      <c r="AA170">
        <v>0.99995210000000001</v>
      </c>
      <c r="AB170">
        <v>23</v>
      </c>
      <c r="AC170">
        <v>286.50670000000002</v>
      </c>
      <c r="AD170">
        <v>6.7300309999999897</v>
      </c>
      <c r="AE170">
        <v>13.3240999999999</v>
      </c>
      <c r="AF170">
        <v>-2.7987728621063499</v>
      </c>
      <c r="AG170">
        <v>6.7300309999999897</v>
      </c>
      <c r="AH170">
        <v>286.64486002814698</v>
      </c>
      <c r="AI170">
        <v>88.655084299556705</v>
      </c>
      <c r="AJ170">
        <v>90.559412707582993</v>
      </c>
      <c r="AK170">
        <v>286.73751450996201</v>
      </c>
      <c r="AL170">
        <v>88.779564337791399</v>
      </c>
      <c r="AM170">
        <v>83.1578957379553</v>
      </c>
      <c r="AN170">
        <v>1.0000000041997701</v>
      </c>
    </row>
    <row r="171" spans="1:40" x14ac:dyDescent="0.25">
      <c r="A171" t="str">
        <f>"20190312161226472"</f>
        <v>20190312161226472</v>
      </c>
      <c r="B171" t="str">
        <f>"1552378346466144"</f>
        <v>1552378346466144</v>
      </c>
      <c r="C171" t="s">
        <v>40</v>
      </c>
      <c r="D171">
        <v>5.7041599999999999</v>
      </c>
      <c r="E171">
        <v>0.45291809999999899</v>
      </c>
      <c r="F171" t="s">
        <v>52</v>
      </c>
      <c r="G171">
        <v>-170.08879999999999</v>
      </c>
      <c r="H171">
        <v>7.1047659999999997</v>
      </c>
      <c r="I171">
        <v>380.2242</v>
      </c>
      <c r="J171">
        <v>-456.36739999999998</v>
      </c>
      <c r="K171">
        <v>1.1085259999999999</v>
      </c>
      <c r="L171">
        <v>368.1046</v>
      </c>
      <c r="M171">
        <v>0.99934259999999997</v>
      </c>
      <c r="N171">
        <v>0</v>
      </c>
      <c r="O171">
        <v>3.6155710000000001E-2</v>
      </c>
      <c r="P171">
        <v>0.99632659999999995</v>
      </c>
      <c r="Q171">
        <v>1.944512E-2</v>
      </c>
      <c r="R171">
        <v>-8.3398650000000005E-2</v>
      </c>
      <c r="S171">
        <v>3.0201720000000001</v>
      </c>
      <c r="T171">
        <v>6.3209409999999994E-2</v>
      </c>
      <c r="U171">
        <v>0.12783810000000001</v>
      </c>
      <c r="V171">
        <v>0.1193873</v>
      </c>
      <c r="W171">
        <v>2.2017910000000002E-2</v>
      </c>
      <c r="X171">
        <v>0.99260360000000003</v>
      </c>
      <c r="Y171">
        <v>-6.1456409999999899E-3</v>
      </c>
      <c r="Z171">
        <v>6.9174329999999997E-4</v>
      </c>
      <c r="AA171">
        <v>0.99998089999999995</v>
      </c>
      <c r="AB171">
        <v>24</v>
      </c>
      <c r="AC171">
        <v>286.27859999999998</v>
      </c>
      <c r="AD171">
        <v>5.9962400000000002</v>
      </c>
      <c r="AE171">
        <v>12.119599999999901</v>
      </c>
      <c r="AF171">
        <v>-1.7602619466618801</v>
      </c>
      <c r="AG171">
        <v>5.9962400000000002</v>
      </c>
      <c r="AH171">
        <v>286.40419064864699</v>
      </c>
      <c r="AI171">
        <v>88.800637049592098</v>
      </c>
      <c r="AJ171">
        <v>90.352139786316997</v>
      </c>
      <c r="AK171">
        <v>286.47236138476802</v>
      </c>
      <c r="AL171">
        <v>88.738364745805995</v>
      </c>
      <c r="AM171">
        <v>83.141586200506595</v>
      </c>
      <c r="AN171">
        <v>1.0000000112475</v>
      </c>
    </row>
    <row r="172" spans="1:40" x14ac:dyDescent="0.25">
      <c r="A172" t="str">
        <f>"20190312161226493"</f>
        <v>20190312161226493</v>
      </c>
      <c r="B172" t="str">
        <f>"1552378346486172"</f>
        <v>1552378346486172</v>
      </c>
      <c r="C172" t="s">
        <v>40</v>
      </c>
      <c r="D172">
        <v>5.9189339999999904</v>
      </c>
      <c r="E172">
        <v>0.4530322</v>
      </c>
      <c r="F172" t="s">
        <v>52</v>
      </c>
      <c r="G172">
        <v>-170.08879999999999</v>
      </c>
      <c r="H172">
        <v>7.6407499999999997</v>
      </c>
      <c r="I172">
        <v>379.83800000000002</v>
      </c>
      <c r="J172">
        <v>-456.14049999999997</v>
      </c>
      <c r="K172">
        <v>1.1085309999999999</v>
      </c>
      <c r="L172">
        <v>368.11219999999997</v>
      </c>
      <c r="M172">
        <v>0.99936190000000003</v>
      </c>
      <c r="N172">
        <v>0</v>
      </c>
      <c r="O172">
        <v>3.5614649999999998E-2</v>
      </c>
      <c r="P172">
        <v>0.99626459999999994</v>
      </c>
      <c r="Q172">
        <v>1.9637749999999999E-2</v>
      </c>
      <c r="R172">
        <v>-8.4092360000000005E-2</v>
      </c>
      <c r="S172">
        <v>3.0200499999999999</v>
      </c>
      <c r="T172">
        <v>6.8911550000000002E-2</v>
      </c>
      <c r="U172">
        <v>0.12377929999999999</v>
      </c>
      <c r="V172">
        <v>0.1195412</v>
      </c>
      <c r="W172">
        <v>2.224626E-2</v>
      </c>
      <c r="X172">
        <v>0.99258000000000002</v>
      </c>
      <c r="Y172">
        <v>-5.3484379999999996E-3</v>
      </c>
      <c r="Z172">
        <v>7.5094840000000001E-4</v>
      </c>
      <c r="AA172">
        <v>0.99998540000000002</v>
      </c>
      <c r="AB172">
        <v>24</v>
      </c>
      <c r="AC172">
        <v>286.05169999999998</v>
      </c>
      <c r="AD172">
        <v>6.5322190000000004</v>
      </c>
      <c r="AE172">
        <v>11.7258</v>
      </c>
      <c r="AF172">
        <v>-1.5298957830911399</v>
      </c>
      <c r="AG172">
        <v>6.5322190000000004</v>
      </c>
      <c r="AH172">
        <v>286.13887485407201</v>
      </c>
      <c r="AI172">
        <v>88.692249573196193</v>
      </c>
      <c r="AJ172">
        <v>90.306339836706499</v>
      </c>
      <c r="AK172">
        <v>286.21751548241298</v>
      </c>
      <c r="AL172">
        <v>88.725278067316495</v>
      </c>
      <c r="AM172">
        <v>83.132667798681993</v>
      </c>
      <c r="AN172">
        <v>1.00000002549071</v>
      </c>
    </row>
    <row r="173" spans="1:40" x14ac:dyDescent="0.25">
      <c r="A173" t="str">
        <f>"20190312161226515"</f>
        <v>20190312161226515</v>
      </c>
      <c r="B173" t="str">
        <f>"1552378346505693"</f>
        <v>1552378346505693</v>
      </c>
      <c r="C173" t="s">
        <v>40</v>
      </c>
      <c r="D173">
        <v>5.9832159999999996</v>
      </c>
      <c r="E173">
        <v>0.45346160000000002</v>
      </c>
      <c r="F173" t="s">
        <v>52</v>
      </c>
      <c r="G173">
        <v>-170.08879999999999</v>
      </c>
      <c r="H173">
        <v>7.7749819999999996</v>
      </c>
      <c r="I173">
        <v>379.5702</v>
      </c>
      <c r="J173">
        <v>-455.90190000000001</v>
      </c>
      <c r="K173">
        <v>1.1085290000000001</v>
      </c>
      <c r="L173">
        <v>368.12009999999998</v>
      </c>
      <c r="M173">
        <v>0.99938199999999999</v>
      </c>
      <c r="N173">
        <v>0</v>
      </c>
      <c r="O173">
        <v>3.5046470000000003E-2</v>
      </c>
      <c r="P173">
        <v>0.99616459999999996</v>
      </c>
      <c r="Q173">
        <v>1.9396030000000002E-2</v>
      </c>
      <c r="R173">
        <v>-8.5327280000000005E-2</v>
      </c>
      <c r="S173">
        <v>3.020111</v>
      </c>
      <c r="T173">
        <v>7.0384740000000001E-2</v>
      </c>
      <c r="U173">
        <v>0.1209717</v>
      </c>
      <c r="V173">
        <v>0.1202073</v>
      </c>
      <c r="W173">
        <v>2.2041749999999999E-2</v>
      </c>
      <c r="X173">
        <v>0.9925041</v>
      </c>
      <c r="Y173">
        <v>-4.9883169999999999E-3</v>
      </c>
      <c r="Z173">
        <v>7.5797059999999897E-4</v>
      </c>
      <c r="AA173">
        <v>0.99998719999999996</v>
      </c>
      <c r="AB173">
        <v>24</v>
      </c>
      <c r="AC173">
        <v>285.81310000000002</v>
      </c>
      <c r="AD173">
        <v>6.6664529999999997</v>
      </c>
      <c r="AE173">
        <v>11.450100000000001</v>
      </c>
      <c r="AF173">
        <v>-1.4255145697992599</v>
      </c>
      <c r="AG173">
        <v>6.6664529999999997</v>
      </c>
      <c r="AH173">
        <v>285.883525239042</v>
      </c>
      <c r="AI173">
        <v>88.664191419980895</v>
      </c>
      <c r="AJ173">
        <v>90.285694292822697</v>
      </c>
      <c r="AK173">
        <v>285.96479449486799</v>
      </c>
      <c r="AL173">
        <v>88.736998482699306</v>
      </c>
      <c r="AM173">
        <v>83.094247565905903</v>
      </c>
      <c r="AN173">
        <v>1.0000000111165801</v>
      </c>
    </row>
    <row r="174" spans="1:40" x14ac:dyDescent="0.25">
      <c r="A174" t="str">
        <f>"20190312161226537"</f>
        <v>20190312161226537</v>
      </c>
      <c r="B174" t="str">
        <f>"1552378346526188"</f>
        <v>1552378346526188</v>
      </c>
      <c r="C174" t="s">
        <v>40</v>
      </c>
      <c r="D174">
        <v>6.0476260000000002</v>
      </c>
      <c r="E174">
        <v>0.45381070000000001</v>
      </c>
      <c r="F174" t="s">
        <v>52</v>
      </c>
      <c r="G174">
        <v>-170.08879999999999</v>
      </c>
      <c r="H174">
        <v>7.2630399999999904</v>
      </c>
      <c r="I174">
        <v>378.91609999999997</v>
      </c>
      <c r="J174">
        <v>-455.66030000000001</v>
      </c>
      <c r="K174">
        <v>1.108536</v>
      </c>
      <c r="L174">
        <v>368.12799999999999</v>
      </c>
      <c r="M174">
        <v>0.99940169999999995</v>
      </c>
      <c r="N174">
        <v>0</v>
      </c>
      <c r="O174">
        <v>3.447244E-2</v>
      </c>
      <c r="P174">
        <v>0.9960483</v>
      </c>
      <c r="Q174">
        <v>1.904146E-2</v>
      </c>
      <c r="R174">
        <v>-8.6749209999999993E-2</v>
      </c>
      <c r="S174">
        <v>3.0200200000000001</v>
      </c>
      <c r="T174">
        <v>6.5032010000000001E-2</v>
      </c>
      <c r="U174">
        <v>0.1140747</v>
      </c>
      <c r="V174">
        <v>0.1210546</v>
      </c>
      <c r="W174">
        <v>2.1724250000000001E-2</v>
      </c>
      <c r="X174">
        <v>0.99240810000000002</v>
      </c>
      <c r="Y174">
        <v>-3.2826980000000001E-3</v>
      </c>
      <c r="Z174">
        <v>7.06411E-4</v>
      </c>
      <c r="AA174">
        <v>0.9999943</v>
      </c>
      <c r="AB174">
        <v>24</v>
      </c>
      <c r="AC174">
        <v>285.57150000000001</v>
      </c>
      <c r="AD174">
        <v>6.1545039999999904</v>
      </c>
      <c r="AE174">
        <v>10.788099999999901</v>
      </c>
      <c r="AF174">
        <v>-0.93686825354599002</v>
      </c>
      <c r="AG174">
        <v>6.1545039999999904</v>
      </c>
      <c r="AH174">
        <v>285.64118019692302</v>
      </c>
      <c r="AI174">
        <v>88.765686883024699</v>
      </c>
      <c r="AJ174">
        <v>90.187922499017503</v>
      </c>
      <c r="AK174">
        <v>285.70901187379701</v>
      </c>
      <c r="AL174">
        <v>88.755194233527305</v>
      </c>
      <c r="AM174">
        <v>83.045380157995993</v>
      </c>
      <c r="AN174">
        <v>0.99999999808241602</v>
      </c>
    </row>
    <row r="175" spans="1:40" x14ac:dyDescent="0.25">
      <c r="A175" t="str">
        <f>"20190312161226559"</f>
        <v>20190312161226559</v>
      </c>
      <c r="B175" t="str">
        <f>"1552378346555469"</f>
        <v>1552378346555469</v>
      </c>
      <c r="C175" t="s">
        <v>40</v>
      </c>
      <c r="D175">
        <v>6.0729819999999997</v>
      </c>
      <c r="E175">
        <v>0.45435219999999998</v>
      </c>
      <c r="F175" t="s">
        <v>52</v>
      </c>
      <c r="G175">
        <v>-158.19499999999999</v>
      </c>
      <c r="H175">
        <v>6.5971359999999999</v>
      </c>
      <c r="I175">
        <v>378.69940000000003</v>
      </c>
      <c r="J175">
        <v>-455.4196</v>
      </c>
      <c r="K175">
        <v>1.1085320000000001</v>
      </c>
      <c r="L175">
        <v>368.13569999999999</v>
      </c>
      <c r="M175">
        <v>0.99942109999999995</v>
      </c>
      <c r="N175">
        <v>0</v>
      </c>
      <c r="O175">
        <v>3.3900729999999997E-2</v>
      </c>
      <c r="P175">
        <v>0.99597690000000005</v>
      </c>
      <c r="Q175">
        <v>1.867129E-2</v>
      </c>
      <c r="R175">
        <v>-8.7645340000000002E-2</v>
      </c>
      <c r="S175">
        <v>3.0201419999999999</v>
      </c>
      <c r="T175">
        <v>5.5726169999999998E-2</v>
      </c>
      <c r="U175">
        <v>0.1073303</v>
      </c>
      <c r="V175">
        <v>0.1213799</v>
      </c>
      <c r="W175">
        <v>2.139197E-2</v>
      </c>
      <c r="X175">
        <v>0.99237560000000002</v>
      </c>
      <c r="Y175">
        <v>-1.6213429999999999E-3</v>
      </c>
      <c r="Z175">
        <v>6.1013569999999995E-4</v>
      </c>
      <c r="AA175">
        <v>0.99999850000000001</v>
      </c>
      <c r="AB175">
        <v>24</v>
      </c>
      <c r="AC175">
        <v>297.22460000000001</v>
      </c>
      <c r="AD175">
        <v>5.4886039999999996</v>
      </c>
      <c r="AE175">
        <v>10.563700000000001</v>
      </c>
      <c r="AF175">
        <v>-0.48129182195188802</v>
      </c>
      <c r="AG175">
        <v>5.4886039999999996</v>
      </c>
      <c r="AH175">
        <v>297.31061901331799</v>
      </c>
      <c r="AI175">
        <v>88.942393256755693</v>
      </c>
      <c r="AJ175">
        <v>90.092751365946</v>
      </c>
      <c r="AK175">
        <v>297.36166631522798</v>
      </c>
      <c r="AL175">
        <v>88.774236920344194</v>
      </c>
      <c r="AM175">
        <v>83.026649217966806</v>
      </c>
      <c r="AN175">
        <v>1.0000000139899199</v>
      </c>
    </row>
    <row r="176" spans="1:40" x14ac:dyDescent="0.25">
      <c r="A176" t="str">
        <f>"20190312161226580"</f>
        <v>20190312161226580</v>
      </c>
      <c r="B176" t="str">
        <f>"1552378346575965"</f>
        <v>1552378346575965</v>
      </c>
      <c r="C176" t="s">
        <v>40</v>
      </c>
      <c r="D176">
        <v>6.1656620000000002</v>
      </c>
      <c r="E176">
        <v>0.4546365</v>
      </c>
      <c r="F176" t="s">
        <v>52</v>
      </c>
      <c r="G176">
        <v>-158.19499999999999</v>
      </c>
      <c r="H176">
        <v>5.3764240000000001</v>
      </c>
      <c r="I176">
        <v>378.05270000000002</v>
      </c>
      <c r="J176">
        <v>-455.18150000000003</v>
      </c>
      <c r="K176">
        <v>1.1085259999999999</v>
      </c>
      <c r="L176">
        <v>368.14319999999998</v>
      </c>
      <c r="M176">
        <v>0.99944010000000005</v>
      </c>
      <c r="N176">
        <v>0</v>
      </c>
      <c r="O176">
        <v>3.3335700000000003E-2</v>
      </c>
      <c r="P176">
        <v>0.99590279999999998</v>
      </c>
      <c r="Q176">
        <v>1.8713540000000001E-2</v>
      </c>
      <c r="R176">
        <v>-8.8472949999999995E-2</v>
      </c>
      <c r="S176">
        <v>3.0201720000000001</v>
      </c>
      <c r="T176">
        <v>4.336798E-2</v>
      </c>
      <c r="U176">
        <v>0.100769</v>
      </c>
      <c r="V176">
        <v>0.121644</v>
      </c>
      <c r="W176">
        <v>2.1472539999999998E-2</v>
      </c>
      <c r="X176">
        <v>0.99234149999999999</v>
      </c>
      <c r="Y176" s="1">
        <v>-1.4368009999999999E-5</v>
      </c>
      <c r="Z176">
        <v>4.7829010000000001E-4</v>
      </c>
      <c r="AA176">
        <v>0.99999990000000005</v>
      </c>
      <c r="AB176">
        <v>24</v>
      </c>
      <c r="AC176">
        <v>296.98649999999998</v>
      </c>
      <c r="AD176">
        <v>4.2678979999999997</v>
      </c>
      <c r="AE176">
        <v>9.9095000000000297</v>
      </c>
      <c r="AF176">
        <v>-3.6980552378960102E-3</v>
      </c>
      <c r="AG176">
        <v>4.2678979999999997</v>
      </c>
      <c r="AH176">
        <v>297.09049247924401</v>
      </c>
      <c r="AI176">
        <v>89.176965505468502</v>
      </c>
      <c r="AJ176">
        <v>90.000713193329602</v>
      </c>
      <c r="AK176">
        <v>297.121146485022</v>
      </c>
      <c r="AL176">
        <v>88.769619512612394</v>
      </c>
      <c r="AM176">
        <v>83.011388613317905</v>
      </c>
      <c r="AN176">
        <v>0.99999999266615003</v>
      </c>
    </row>
    <row r="177" spans="1:40" x14ac:dyDescent="0.25">
      <c r="A177" t="str">
        <f>"20190312161226606"</f>
        <v>20190312161226606</v>
      </c>
      <c r="B177" t="str">
        <f>"1552378346595485"</f>
        <v>1552378346595485</v>
      </c>
      <c r="C177" t="s">
        <v>40</v>
      </c>
      <c r="D177">
        <v>5.9676019999999896</v>
      </c>
      <c r="E177">
        <v>0.45489000000000002</v>
      </c>
      <c r="F177" t="s">
        <v>52</v>
      </c>
      <c r="G177">
        <v>-158.19499999999999</v>
      </c>
      <c r="H177">
        <v>4.8575179999999998</v>
      </c>
      <c r="I177">
        <v>377.60199999999998</v>
      </c>
      <c r="J177">
        <v>-454.90780000000001</v>
      </c>
      <c r="K177">
        <v>1.108519</v>
      </c>
      <c r="L177">
        <v>368.15159999999997</v>
      </c>
      <c r="M177">
        <v>0.99946140000000006</v>
      </c>
      <c r="N177">
        <v>0</v>
      </c>
      <c r="O177">
        <v>3.2686850000000003E-2</v>
      </c>
      <c r="P177">
        <v>0.99580369999999996</v>
      </c>
      <c r="Q177">
        <v>1.837219E-2</v>
      </c>
      <c r="R177">
        <v>-8.9653440000000001E-2</v>
      </c>
      <c r="S177">
        <v>3.020203</v>
      </c>
      <c r="T177">
        <v>3.8126229999999997E-2</v>
      </c>
      <c r="U177">
        <v>9.6191410000000005E-2</v>
      </c>
      <c r="V177">
        <v>0.1221762</v>
      </c>
      <c r="W177">
        <v>2.1174109999999999E-2</v>
      </c>
      <c r="X177">
        <v>0.99228260000000001</v>
      </c>
      <c r="Y177">
        <v>8.5158670000000001E-4</v>
      </c>
      <c r="Z177">
        <v>4.1777559999999999E-4</v>
      </c>
      <c r="AA177">
        <v>0.99999950000000004</v>
      </c>
      <c r="AB177">
        <v>25</v>
      </c>
      <c r="AC177">
        <v>296.71280000000002</v>
      </c>
      <c r="AD177">
        <v>3.748999</v>
      </c>
      <c r="AE177">
        <v>9.4504000000000001</v>
      </c>
      <c r="AF177">
        <v>0.25325745550324502</v>
      </c>
      <c r="AG177">
        <v>3.748999</v>
      </c>
      <c r="AH177">
        <v>296.81581551675498</v>
      </c>
      <c r="AI177">
        <v>89.276351498248602</v>
      </c>
      <c r="AJ177">
        <v>89.951112511360193</v>
      </c>
      <c r="AK177">
        <v>296.83959889764901</v>
      </c>
      <c r="AL177">
        <v>88.786722265646901</v>
      </c>
      <c r="AM177">
        <v>82.980704862191402</v>
      </c>
      <c r="AN177">
        <v>1.00000006252174</v>
      </c>
    </row>
    <row r="178" spans="1:40" x14ac:dyDescent="0.25">
      <c r="A178" t="str">
        <f>"20190312161226628"</f>
        <v>20190312161226628</v>
      </c>
      <c r="B178" t="str">
        <f>"1552378346615981"</f>
        <v>1552378346615981</v>
      </c>
      <c r="C178" t="s">
        <v>40</v>
      </c>
      <c r="D178">
        <v>6.1888529999999999</v>
      </c>
      <c r="E178">
        <v>0.45511010000000002</v>
      </c>
      <c r="F178" t="s">
        <v>52</v>
      </c>
      <c r="G178">
        <v>-158.19499999999999</v>
      </c>
      <c r="H178">
        <v>4.2359609999999996</v>
      </c>
      <c r="I178">
        <v>377.089</v>
      </c>
      <c r="J178">
        <v>-454.65379999999999</v>
      </c>
      <c r="K178">
        <v>1.108519</v>
      </c>
      <c r="L178">
        <v>368.1592</v>
      </c>
      <c r="M178">
        <v>0.99948079999999995</v>
      </c>
      <c r="N178">
        <v>0</v>
      </c>
      <c r="O178">
        <v>3.2084260000000003E-2</v>
      </c>
      <c r="P178">
        <v>0.99577780000000005</v>
      </c>
      <c r="Q178">
        <v>1.8129389999999999E-2</v>
      </c>
      <c r="R178">
        <v>-8.9990269999999997E-2</v>
      </c>
      <c r="S178">
        <v>3.020203</v>
      </c>
      <c r="T178">
        <v>3.1834719999999997E-2</v>
      </c>
      <c r="U178">
        <v>9.0972899999999995E-2</v>
      </c>
      <c r="V178">
        <v>0.1219136</v>
      </c>
      <c r="W178">
        <v>2.0972919999999999E-2</v>
      </c>
      <c r="X178">
        <v>0.99231910000000001</v>
      </c>
      <c r="Y178">
        <v>1.9756719999999999E-3</v>
      </c>
      <c r="Z178">
        <v>3.4842800000000002E-4</v>
      </c>
      <c r="AA178">
        <v>0.99999800000000005</v>
      </c>
      <c r="AB178">
        <v>25</v>
      </c>
      <c r="AC178">
        <v>296.4588</v>
      </c>
      <c r="AD178">
        <v>3.1274419999999901</v>
      </c>
      <c r="AE178">
        <v>8.9298000000000002</v>
      </c>
      <c r="AF178">
        <v>0.586434926694549</v>
      </c>
      <c r="AG178">
        <v>3.1274419999999901</v>
      </c>
      <c r="AH178">
        <v>296.559705615388</v>
      </c>
      <c r="AI178">
        <v>89.395797098147696</v>
      </c>
      <c r="AJ178">
        <v>89.886700041083301</v>
      </c>
      <c r="AK178">
        <v>296.576775547365</v>
      </c>
      <c r="AL178">
        <v>88.798252079400996</v>
      </c>
      <c r="AM178">
        <v>82.9958968716318</v>
      </c>
      <c r="AN178">
        <v>0.99999999273154805</v>
      </c>
    </row>
    <row r="179" spans="1:40" x14ac:dyDescent="0.25">
      <c r="A179" t="str">
        <f>"20190312161226653"</f>
        <v>20190312161226653</v>
      </c>
      <c r="B179" t="str">
        <f>"1552378346645261"</f>
        <v>1552378346645261</v>
      </c>
      <c r="C179" t="s">
        <v>40</v>
      </c>
      <c r="D179">
        <v>5.9791809999999996</v>
      </c>
      <c r="E179">
        <v>0.45542660000000001</v>
      </c>
      <c r="F179" t="s">
        <v>52</v>
      </c>
      <c r="G179">
        <v>-158.19499999999999</v>
      </c>
      <c r="H179">
        <v>3.6674060000000002</v>
      </c>
      <c r="I179">
        <v>376.82249999999999</v>
      </c>
      <c r="J179">
        <v>-454.3784</v>
      </c>
      <c r="K179">
        <v>1.1085149999999999</v>
      </c>
      <c r="L179">
        <v>368.16739999999999</v>
      </c>
      <c r="M179">
        <v>0.99950130000000004</v>
      </c>
      <c r="N179">
        <v>0</v>
      </c>
      <c r="O179">
        <v>3.1432370000000001E-2</v>
      </c>
      <c r="P179">
        <v>0.99578009999999995</v>
      </c>
      <c r="Q179">
        <v>1.7553909999999999E-2</v>
      </c>
      <c r="R179">
        <v>-9.0081469999999997E-2</v>
      </c>
      <c r="S179">
        <v>3.0201720000000001</v>
      </c>
      <c r="T179">
        <v>2.6069519999999999E-2</v>
      </c>
      <c r="U179">
        <v>8.8256840000000003E-2</v>
      </c>
      <c r="V179">
        <v>0.12135700000000001</v>
      </c>
      <c r="W179">
        <v>2.0443280000000001E-2</v>
      </c>
      <c r="X179">
        <v>0.99239840000000001</v>
      </c>
      <c r="Y179">
        <v>2.2222990000000001E-3</v>
      </c>
      <c r="Z179">
        <v>2.8078059999999999E-4</v>
      </c>
      <c r="AA179">
        <v>0.99999749999999998</v>
      </c>
      <c r="AB179">
        <v>25</v>
      </c>
      <c r="AC179">
        <v>296.18340000000001</v>
      </c>
      <c r="AD179">
        <v>2.558891</v>
      </c>
      <c r="AE179">
        <v>8.6550999999999991</v>
      </c>
      <c r="AF179">
        <v>0.65891639149779002</v>
      </c>
      <c r="AG179">
        <v>2.558891</v>
      </c>
      <c r="AH179">
        <v>296.28700383126602</v>
      </c>
      <c r="AI179">
        <v>89.505176923103605</v>
      </c>
      <c r="AJ179">
        <v>89.872579405923403</v>
      </c>
      <c r="AK179">
        <v>296.29878625007802</v>
      </c>
      <c r="AL179">
        <v>88.828604753449596</v>
      </c>
      <c r="AM179">
        <v>83.028110491082202</v>
      </c>
      <c r="AN179">
        <v>1.0000000167343499</v>
      </c>
    </row>
    <row r="180" spans="1:40" x14ac:dyDescent="0.25">
      <c r="A180" t="str">
        <f>"20190312161226673"</f>
        <v>20190312161226673</v>
      </c>
      <c r="B180" t="str">
        <f>"1552378346665756"</f>
        <v>1552378346665756</v>
      </c>
      <c r="C180" t="s">
        <v>40</v>
      </c>
      <c r="D180">
        <v>6.0851819999999996</v>
      </c>
      <c r="E180">
        <v>0.45569490000000001</v>
      </c>
      <c r="F180" t="s">
        <v>52</v>
      </c>
      <c r="G180">
        <v>-158.19499999999999</v>
      </c>
      <c r="H180">
        <v>2.6725270000000001</v>
      </c>
      <c r="I180">
        <v>376.60120000000001</v>
      </c>
      <c r="J180">
        <v>-454.1465</v>
      </c>
      <c r="K180">
        <v>1.1085130000000001</v>
      </c>
      <c r="L180">
        <v>368.17410000000001</v>
      </c>
      <c r="M180">
        <v>0.99951829999999997</v>
      </c>
      <c r="N180">
        <v>0</v>
      </c>
      <c r="O180">
        <v>3.0883549999999999E-2</v>
      </c>
      <c r="P180">
        <v>0.9957838</v>
      </c>
      <c r="Q180">
        <v>1.665088E-2</v>
      </c>
      <c r="R180">
        <v>-9.0208540000000004E-2</v>
      </c>
      <c r="S180">
        <v>3.0201419999999999</v>
      </c>
      <c r="T180">
        <v>1.594889E-2</v>
      </c>
      <c r="U180">
        <v>8.5998539999999998E-2</v>
      </c>
      <c r="V180">
        <v>0.1209388</v>
      </c>
      <c r="W180">
        <v>1.9578459999999999E-2</v>
      </c>
      <c r="X180">
        <v>0.99246690000000004</v>
      </c>
      <c r="Y180">
        <v>2.4208290000000002E-3</v>
      </c>
      <c r="Z180">
        <v>1.6941109999999999E-4</v>
      </c>
      <c r="AA180">
        <v>0.99999709999999997</v>
      </c>
      <c r="AB180">
        <v>25</v>
      </c>
      <c r="AC180">
        <v>295.95150000000001</v>
      </c>
      <c r="AD180">
        <v>1.564014</v>
      </c>
      <c r="AE180">
        <v>8.4270999999999905</v>
      </c>
      <c r="AF180">
        <v>0.71697563508127404</v>
      </c>
      <c r="AG180">
        <v>1.564014</v>
      </c>
      <c r="AH180">
        <v>296.06232492126998</v>
      </c>
      <c r="AI180">
        <v>89.697326213401098</v>
      </c>
      <c r="AJ180">
        <v>89.861246791164504</v>
      </c>
      <c r="AK180">
        <v>296.06732415388501</v>
      </c>
      <c r="AL180">
        <v>88.878165227289799</v>
      </c>
      <c r="AM180">
        <v>83.052375461332005</v>
      </c>
      <c r="AN180">
        <v>1.00000002851851</v>
      </c>
    </row>
    <row r="181" spans="1:40" x14ac:dyDescent="0.25">
      <c r="A181" t="str">
        <f>"20190312161226693"</f>
        <v>20190312161226693</v>
      </c>
      <c r="B181" t="str">
        <f>"1552378346685277"</f>
        <v>1552378346685277</v>
      </c>
      <c r="C181" t="s">
        <v>40</v>
      </c>
      <c r="D181">
        <v>6.0208329999999997</v>
      </c>
      <c r="E181">
        <v>0.4624799</v>
      </c>
      <c r="F181" t="s">
        <v>52</v>
      </c>
      <c r="G181">
        <v>-158.19499999999999</v>
      </c>
      <c r="H181">
        <v>1.89324</v>
      </c>
      <c r="I181">
        <v>376.38310000000001</v>
      </c>
      <c r="J181">
        <v>-453.91309999999999</v>
      </c>
      <c r="K181">
        <v>1.108508</v>
      </c>
      <c r="L181">
        <v>368.1807</v>
      </c>
      <c r="M181">
        <v>0.99953510000000001</v>
      </c>
      <c r="N181">
        <v>0</v>
      </c>
      <c r="O181">
        <v>3.0331210000000001E-2</v>
      </c>
      <c r="P181">
        <v>0.99576739999999997</v>
      </c>
      <c r="Q181">
        <v>1.6332329999999999E-2</v>
      </c>
      <c r="R181">
        <v>-9.0448799999999996E-2</v>
      </c>
      <c r="S181">
        <v>3.020111</v>
      </c>
      <c r="T181">
        <v>8.0088380000000008E-3</v>
      </c>
      <c r="U181">
        <v>8.3770750000000005E-2</v>
      </c>
      <c r="V181">
        <v>0.12062970000000001</v>
      </c>
      <c r="W181">
        <v>1.9297660000000001E-2</v>
      </c>
      <c r="X181">
        <v>0.99251</v>
      </c>
      <c r="Y181">
        <v>2.6053579999999999E-3</v>
      </c>
      <c r="Z181" s="1">
        <v>8.3854279999999898E-5</v>
      </c>
      <c r="AA181">
        <v>0.99999660000000001</v>
      </c>
      <c r="AB181">
        <v>25</v>
      </c>
      <c r="AC181">
        <v>295.71809999999999</v>
      </c>
      <c r="AD181">
        <v>0.78473199999999999</v>
      </c>
      <c r="AE181">
        <v>8.2024000000000097</v>
      </c>
      <c r="AF181">
        <v>0.770899364231036</v>
      </c>
      <c r="AG181">
        <v>0.78473199999999999</v>
      </c>
      <c r="AH181">
        <v>295.82874801464999</v>
      </c>
      <c r="AI181">
        <v>89.848014860514894</v>
      </c>
      <c r="AJ181">
        <v>89.850693415307106</v>
      </c>
      <c r="AK181">
        <v>295.83079326205501</v>
      </c>
      <c r="AL181">
        <v>88.8942569039869</v>
      </c>
      <c r="AM181">
        <v>83.070257583187001</v>
      </c>
      <c r="AN181">
        <v>1.00000001215178</v>
      </c>
    </row>
    <row r="182" spans="1:40" x14ac:dyDescent="0.25">
      <c r="A182" t="str">
        <f>"20190312161226719"</f>
        <v>20190312161226719</v>
      </c>
      <c r="B182" t="str">
        <f>"1552378346705773"</f>
        <v>1552378346705773</v>
      </c>
      <c r="C182" t="s">
        <v>40</v>
      </c>
      <c r="D182">
        <v>6.0180239999999996</v>
      </c>
      <c r="E182">
        <v>0.46296920000000003</v>
      </c>
      <c r="F182" t="s">
        <v>43</v>
      </c>
      <c r="G182">
        <v>-452.99400000000003</v>
      </c>
      <c r="H182">
        <v>1.0524439999999999</v>
      </c>
      <c r="I182">
        <v>368.1925</v>
      </c>
      <c r="J182">
        <v>-453.61630000000002</v>
      </c>
      <c r="K182">
        <v>1.1085</v>
      </c>
      <c r="L182">
        <v>368.18900000000002</v>
      </c>
      <c r="M182">
        <v>0.99955579999999999</v>
      </c>
      <c r="N182">
        <v>0</v>
      </c>
      <c r="O182">
        <v>2.962971E-2</v>
      </c>
      <c r="P182">
        <v>0.99568469999999998</v>
      </c>
      <c r="Q182">
        <v>1.6387229999999999E-2</v>
      </c>
      <c r="R182">
        <v>-9.1343869999999994E-2</v>
      </c>
      <c r="S182">
        <v>3.0193180000000002</v>
      </c>
      <c r="T182">
        <v>-0.18424889999999999</v>
      </c>
      <c r="U182">
        <v>3.8513180000000001E-2</v>
      </c>
      <c r="V182">
        <v>0.12082569999999999</v>
      </c>
      <c r="W182">
        <v>1.9401109999999999E-2</v>
      </c>
      <c r="X182">
        <v>0.99248420000000004</v>
      </c>
      <c r="Y182">
        <v>1.6792169999999999E-2</v>
      </c>
      <c r="Z182">
        <v>-2.3179379999999999E-3</v>
      </c>
      <c r="AA182">
        <v>0.99985630000000003</v>
      </c>
      <c r="AB182">
        <v>25</v>
      </c>
      <c r="AC182">
        <v>0.62229999999999497</v>
      </c>
      <c r="AD182">
        <v>-5.60559999999998E-2</v>
      </c>
      <c r="AE182">
        <v>3.4999999999740798E-3</v>
      </c>
      <c r="AF182">
        <v>1.48199521013493E-2</v>
      </c>
      <c r="AG182">
        <v>-5.60559999999998E-2</v>
      </c>
      <c r="AH182">
        <v>0.61712318713264003</v>
      </c>
      <c r="AI182">
        <v>95.188695378876403</v>
      </c>
      <c r="AJ182">
        <v>88.624330517993798</v>
      </c>
      <c r="AK182">
        <v>0.61984105560460701</v>
      </c>
      <c r="AL182">
        <v>88.888328610148506</v>
      </c>
      <c r="AM182">
        <v>83.058929163804706</v>
      </c>
      <c r="AN182">
        <v>1.0000000700496701</v>
      </c>
    </row>
    <row r="183" spans="1:40" x14ac:dyDescent="0.25">
      <c r="A183" t="str">
        <f>"20190312161226738"</f>
        <v>20190312161226738</v>
      </c>
      <c r="B183" t="str">
        <f>"1552378346725292"</f>
        <v>1552378346725292</v>
      </c>
      <c r="C183" t="s">
        <v>40</v>
      </c>
      <c r="D183">
        <v>5.9179199999999996</v>
      </c>
      <c r="E183">
        <v>0.46289960000000002</v>
      </c>
      <c r="F183" t="s">
        <v>41</v>
      </c>
      <c r="G183">
        <v>-435.05520000000001</v>
      </c>
      <c r="H183">
        <v>-0.05</v>
      </c>
      <c r="I183">
        <v>368.38580000000002</v>
      </c>
      <c r="J183">
        <v>-453.39319999999998</v>
      </c>
      <c r="K183">
        <v>1.1084959999999999</v>
      </c>
      <c r="L183">
        <v>368.19499999999999</v>
      </c>
      <c r="M183">
        <v>0.9995714</v>
      </c>
      <c r="N183">
        <v>0</v>
      </c>
      <c r="O183">
        <v>2.91024E-2</v>
      </c>
      <c r="P183">
        <v>0.99561359999999999</v>
      </c>
      <c r="Q183">
        <v>1.6105669999999999E-2</v>
      </c>
      <c r="R183">
        <v>-9.2163709999999996E-2</v>
      </c>
      <c r="S183">
        <v>3.0190429999999999</v>
      </c>
      <c r="T183">
        <v>-0.18843470000000001</v>
      </c>
      <c r="U183">
        <v>3.2012939999999997E-2</v>
      </c>
      <c r="V183">
        <v>0.1211198</v>
      </c>
      <c r="W183">
        <v>1.915559E-2</v>
      </c>
      <c r="X183">
        <v>0.99245300000000003</v>
      </c>
      <c r="Y183">
        <v>1.84099E-2</v>
      </c>
      <c r="Z183">
        <v>-2.3883239999999998E-3</v>
      </c>
      <c r="AA183">
        <v>0.99982769999999999</v>
      </c>
      <c r="AB183">
        <v>26</v>
      </c>
      <c r="AC183">
        <v>18.337999999999901</v>
      </c>
      <c r="AD183">
        <v>-1.158496</v>
      </c>
      <c r="AE183">
        <v>0.19080000000002401</v>
      </c>
      <c r="AF183">
        <v>0.34160012508585103</v>
      </c>
      <c r="AG183">
        <v>-1.158496</v>
      </c>
      <c r="AH183">
        <v>18.262905422428201</v>
      </c>
      <c r="AI183">
        <v>93.6290256428981</v>
      </c>
      <c r="AJ183">
        <v>88.928430994461607</v>
      </c>
      <c r="AK183">
        <v>18.302800826540999</v>
      </c>
      <c r="AL183">
        <v>88.902398351896593</v>
      </c>
      <c r="AM183">
        <v>83.041982831663404</v>
      </c>
      <c r="AN183">
        <v>0.99999994989464203</v>
      </c>
    </row>
    <row r="184" spans="1:40" x14ac:dyDescent="0.25">
      <c r="A184" t="str">
        <f>"20190312161226762"</f>
        <v>20190312161226762</v>
      </c>
      <c r="B184" t="str">
        <f>"1552378346755549"</f>
        <v>1552378346755549</v>
      </c>
      <c r="C184" t="s">
        <v>40</v>
      </c>
      <c r="D184">
        <v>5.920814</v>
      </c>
      <c r="E184">
        <v>0.46280250000000001</v>
      </c>
      <c r="F184" t="s">
        <v>41</v>
      </c>
      <c r="G184">
        <v>-434.19150000000002</v>
      </c>
      <c r="H184">
        <v>-0.05</v>
      </c>
      <c r="I184">
        <v>368.3854</v>
      </c>
      <c r="J184">
        <v>-453.12240000000003</v>
      </c>
      <c r="K184">
        <v>1.1084989999999999</v>
      </c>
      <c r="L184">
        <v>368.20229999999998</v>
      </c>
      <c r="M184">
        <v>0.99958959999999997</v>
      </c>
      <c r="N184">
        <v>0</v>
      </c>
      <c r="O184">
        <v>2.8462959999999999E-2</v>
      </c>
      <c r="P184">
        <v>0.99552240000000003</v>
      </c>
      <c r="Q184">
        <v>1.6224260000000001E-2</v>
      </c>
      <c r="R184">
        <v>-9.3124579999999998E-2</v>
      </c>
      <c r="S184">
        <v>3.0188899999999999</v>
      </c>
      <c r="T184">
        <v>-0.1821382</v>
      </c>
      <c r="U184">
        <v>2.9937740000000001E-2</v>
      </c>
      <c r="V184">
        <v>0.12144290000000001</v>
      </c>
      <c r="W184">
        <v>1.9318160000000001E-2</v>
      </c>
      <c r="X184">
        <v>0.99241040000000003</v>
      </c>
      <c r="Y184">
        <v>1.8464100000000001E-2</v>
      </c>
      <c r="Z184">
        <v>-2.271899E-3</v>
      </c>
      <c r="AA184">
        <v>0.99982700000000002</v>
      </c>
      <c r="AB184">
        <v>26</v>
      </c>
      <c r="AC184">
        <v>18.930900000000001</v>
      </c>
      <c r="AD184">
        <v>-1.1584989999999999</v>
      </c>
      <c r="AE184">
        <v>0.18310000000002399</v>
      </c>
      <c r="AF184">
        <v>0.35447906946269903</v>
      </c>
      <c r="AG184">
        <v>-1.1584989999999999</v>
      </c>
      <c r="AH184">
        <v>18.857826158345301</v>
      </c>
      <c r="AI184">
        <v>93.514832935044197</v>
      </c>
      <c r="AJ184">
        <v>88.923112198396694</v>
      </c>
      <c r="AK184">
        <v>18.896702960094899</v>
      </c>
      <c r="AL184">
        <v>88.893082092181899</v>
      </c>
      <c r="AM184">
        <v>83.023307735629501</v>
      </c>
      <c r="AN184">
        <v>0.99999998564717696</v>
      </c>
    </row>
    <row r="185" spans="1:40" x14ac:dyDescent="0.25">
      <c r="A185" t="str">
        <f>"20190312161226782"</f>
        <v>20190312161226782</v>
      </c>
      <c r="B185" t="str">
        <f>"1552378346776045"</f>
        <v>1552378346776045</v>
      </c>
      <c r="C185" t="s">
        <v>40</v>
      </c>
      <c r="D185">
        <v>5.8377800000000004</v>
      </c>
      <c r="E185">
        <v>0.46217059999999999</v>
      </c>
      <c r="F185" t="s">
        <v>41</v>
      </c>
      <c r="G185">
        <v>-432.91129999999998</v>
      </c>
      <c r="H185">
        <v>-0.05</v>
      </c>
      <c r="I185">
        <v>368.38549999999998</v>
      </c>
      <c r="J185">
        <v>-452.88049999999998</v>
      </c>
      <c r="K185">
        <v>1.1084989999999999</v>
      </c>
      <c r="L185">
        <v>368.20859999999999</v>
      </c>
      <c r="M185">
        <v>0.99960559999999998</v>
      </c>
      <c r="N185">
        <v>0</v>
      </c>
      <c r="O185">
        <v>2.7892489999999999E-2</v>
      </c>
      <c r="P185">
        <v>0.99547699999999995</v>
      </c>
      <c r="Q185">
        <v>1.607687E-2</v>
      </c>
      <c r="R185">
        <v>-9.3635960000000004E-2</v>
      </c>
      <c r="S185">
        <v>3.0188899999999999</v>
      </c>
      <c r="T185">
        <v>-0.1730428</v>
      </c>
      <c r="U185">
        <v>2.7374269999999999E-2</v>
      </c>
      <c r="V185">
        <v>0.12138640000000001</v>
      </c>
      <c r="W185">
        <v>1.9210410000000001E-2</v>
      </c>
      <c r="X185">
        <v>0.99241939999999995</v>
      </c>
      <c r="Y185">
        <v>1.8751190000000001E-2</v>
      </c>
      <c r="Z185">
        <v>-2.1342129999999998E-3</v>
      </c>
      <c r="AA185">
        <v>0.99982190000000004</v>
      </c>
      <c r="AB185">
        <v>26</v>
      </c>
      <c r="AC185">
        <v>19.969200000000001</v>
      </c>
      <c r="AD185">
        <v>-1.1584989999999999</v>
      </c>
      <c r="AE185">
        <v>0.17689999999998901</v>
      </c>
      <c r="AF185">
        <v>0.37888740031985402</v>
      </c>
      <c r="AG185">
        <v>-1.1584989999999999</v>
      </c>
      <c r="AH185">
        <v>19.899395379279799</v>
      </c>
      <c r="AI185">
        <v>93.331270894113402</v>
      </c>
      <c r="AJ185">
        <v>88.909211773487499</v>
      </c>
      <c r="AK185">
        <v>19.936690097807698</v>
      </c>
      <c r="AL185">
        <v>88.899256854073599</v>
      </c>
      <c r="AM185">
        <v>83.026584217584002</v>
      </c>
      <c r="AN185">
        <v>0.99999998172684301</v>
      </c>
    </row>
    <row r="186" spans="1:40" x14ac:dyDescent="0.25">
      <c r="A186" t="str">
        <f>"20190312161226807"</f>
        <v>20190312161226807</v>
      </c>
      <c r="B186" t="str">
        <f>"1552378346795565"</f>
        <v>1552378346795565</v>
      </c>
      <c r="C186" t="s">
        <v>40</v>
      </c>
      <c r="D186">
        <v>6.0675889999999999</v>
      </c>
      <c r="E186">
        <v>0.46183180000000001</v>
      </c>
      <c r="F186" t="s">
        <v>41</v>
      </c>
      <c r="G186">
        <v>-429.21620000000001</v>
      </c>
      <c r="H186">
        <v>-0.05</v>
      </c>
      <c r="I186">
        <v>368.43950000000001</v>
      </c>
      <c r="J186">
        <v>-452.58980000000003</v>
      </c>
      <c r="K186">
        <v>1.1085</v>
      </c>
      <c r="L186">
        <v>368.21600000000001</v>
      </c>
      <c r="M186">
        <v>0.99962439999999997</v>
      </c>
      <c r="N186">
        <v>0</v>
      </c>
      <c r="O186">
        <v>2.7207370000000002E-2</v>
      </c>
      <c r="P186">
        <v>0.99541259999999998</v>
      </c>
      <c r="Q186">
        <v>1.5724120000000001E-2</v>
      </c>
      <c r="R186">
        <v>-9.4374920000000001E-2</v>
      </c>
      <c r="S186">
        <v>3.0188290000000002</v>
      </c>
      <c r="T186">
        <v>-0.14778839999999999</v>
      </c>
      <c r="U186">
        <v>2.944946E-2</v>
      </c>
      <c r="V186">
        <v>0.1214432</v>
      </c>
      <c r="W186">
        <v>1.8905769999999999E-2</v>
      </c>
      <c r="X186">
        <v>0.99241829999999998</v>
      </c>
      <c r="Y186">
        <v>1.7401630000000001E-2</v>
      </c>
      <c r="Z186">
        <v>-1.7566509999999999E-3</v>
      </c>
      <c r="AA186">
        <v>0.99984709999999999</v>
      </c>
      <c r="AB186">
        <v>26</v>
      </c>
      <c r="AC186">
        <v>23.3736</v>
      </c>
      <c r="AD186">
        <v>-1.1585000000000001</v>
      </c>
      <c r="AE186">
        <v>0.223500000000001</v>
      </c>
      <c r="AF186">
        <v>0.41150952454553302</v>
      </c>
      <c r="AG186">
        <v>-1.1585000000000001</v>
      </c>
      <c r="AH186">
        <v>23.313759944321699</v>
      </c>
      <c r="AI186">
        <v>92.844341500018899</v>
      </c>
      <c r="AJ186">
        <v>88.988781264459206</v>
      </c>
      <c r="AK186">
        <v>23.346153110957101</v>
      </c>
      <c r="AL186">
        <v>88.916714610188905</v>
      </c>
      <c r="AM186">
        <v>83.023345660715293</v>
      </c>
      <c r="AN186">
        <v>0.999999980570211</v>
      </c>
    </row>
    <row r="187" spans="1:40" x14ac:dyDescent="0.25">
      <c r="A187" t="str">
        <f>"20190312161226831"</f>
        <v>20190312161226831</v>
      </c>
      <c r="B187" t="str">
        <f>"1552378346825821"</f>
        <v>1552378346825821</v>
      </c>
      <c r="C187" t="s">
        <v>40</v>
      </c>
      <c r="D187">
        <v>5.7920569999999998</v>
      </c>
      <c r="E187">
        <v>0.46171020000000002</v>
      </c>
      <c r="F187" t="s">
        <v>41</v>
      </c>
      <c r="G187">
        <v>-425.93900000000002</v>
      </c>
      <c r="H187">
        <v>-0.05</v>
      </c>
      <c r="I187">
        <v>368.47250000000003</v>
      </c>
      <c r="J187">
        <v>-452.31240000000003</v>
      </c>
      <c r="K187">
        <v>1.108498</v>
      </c>
      <c r="L187">
        <v>368.22280000000001</v>
      </c>
      <c r="M187">
        <v>0.99964180000000002</v>
      </c>
      <c r="N187">
        <v>0</v>
      </c>
      <c r="O187">
        <v>2.6554040000000001E-2</v>
      </c>
      <c r="P187">
        <v>0.99536469999999999</v>
      </c>
      <c r="Q187">
        <v>1.54138E-2</v>
      </c>
      <c r="R187">
        <v>-9.4930780000000006E-2</v>
      </c>
      <c r="S187">
        <v>3.0186459999999999</v>
      </c>
      <c r="T187">
        <v>-0.13121940000000001</v>
      </c>
      <c r="U187">
        <v>2.9052729999999999E-2</v>
      </c>
      <c r="V187">
        <v>0.1213487</v>
      </c>
      <c r="W187">
        <v>1.8641169999999999E-2</v>
      </c>
      <c r="X187">
        <v>0.99243490000000001</v>
      </c>
      <c r="Y187">
        <v>1.6891349999999999E-2</v>
      </c>
      <c r="Z187">
        <v>-1.5205380000000001E-3</v>
      </c>
      <c r="AA187">
        <v>0.99985619999999997</v>
      </c>
      <c r="AB187">
        <v>26</v>
      </c>
      <c r="AC187">
        <v>26.3734</v>
      </c>
      <c r="AD187">
        <v>-1.158498</v>
      </c>
      <c r="AE187">
        <v>0.24970000000001799</v>
      </c>
      <c r="AF187">
        <v>0.44984435089635499</v>
      </c>
      <c r="AG187">
        <v>-1.158498</v>
      </c>
      <c r="AH187">
        <v>26.319949295839798</v>
      </c>
      <c r="AI187">
        <v>92.519934767399803</v>
      </c>
      <c r="AJ187">
        <v>89.020831187182694</v>
      </c>
      <c r="AK187">
        <v>26.349273395894901</v>
      </c>
      <c r="AL187">
        <v>88.9318777833806</v>
      </c>
      <c r="AM187">
        <v>83.028836502305495</v>
      </c>
      <c r="AN187">
        <v>1.00000001547433</v>
      </c>
    </row>
    <row r="188" spans="1:40" x14ac:dyDescent="0.25">
      <c r="A188" t="str">
        <f>"20190312161226865"</f>
        <v>20190312161226865</v>
      </c>
      <c r="B188" t="str">
        <f>"1552378346856077"</f>
        <v>1552378346856077</v>
      </c>
      <c r="C188" t="s">
        <v>40</v>
      </c>
      <c r="D188">
        <v>5.744408</v>
      </c>
      <c r="E188">
        <v>0.46162409999999998</v>
      </c>
      <c r="F188" t="s">
        <v>41</v>
      </c>
      <c r="G188">
        <v>-423.31950000000001</v>
      </c>
      <c r="H188">
        <v>-0.05</v>
      </c>
      <c r="I188">
        <v>368.4907</v>
      </c>
      <c r="J188">
        <v>-451.90140000000002</v>
      </c>
      <c r="K188">
        <v>1.108495</v>
      </c>
      <c r="L188">
        <v>368.23270000000002</v>
      </c>
      <c r="M188">
        <v>0.99966679999999997</v>
      </c>
      <c r="N188">
        <v>0</v>
      </c>
      <c r="O188">
        <v>2.5586870000000001E-2</v>
      </c>
      <c r="P188">
        <v>0.99531259999999999</v>
      </c>
      <c r="Q188">
        <v>1.5891809999999999E-2</v>
      </c>
      <c r="R188">
        <v>-9.5396850000000005E-2</v>
      </c>
      <c r="S188">
        <v>3.0184630000000001</v>
      </c>
      <c r="T188">
        <v>-0.1206117</v>
      </c>
      <c r="U188">
        <v>2.7893069999999999E-2</v>
      </c>
      <c r="V188">
        <v>0.120854</v>
      </c>
      <c r="W188">
        <v>1.9187050000000001E-2</v>
      </c>
      <c r="X188">
        <v>0.9924849</v>
      </c>
      <c r="Y188">
        <v>1.6315099999999999E-2</v>
      </c>
      <c r="Z188">
        <v>-1.347684E-3</v>
      </c>
      <c r="AA188">
        <v>0.99986600000000003</v>
      </c>
      <c r="AB188">
        <v>26</v>
      </c>
      <c r="AC188">
        <v>28.581900000000001</v>
      </c>
      <c r="AD188">
        <v>-1.1584950000000001</v>
      </c>
      <c r="AE188">
        <v>0.25799999999998102</v>
      </c>
      <c r="AF188">
        <v>0.47263365365150001</v>
      </c>
      <c r="AG188">
        <v>-1.1584950000000001</v>
      </c>
      <c r="AH188">
        <v>28.5322723858011</v>
      </c>
      <c r="AI188">
        <v>92.324783073922106</v>
      </c>
      <c r="AJ188">
        <v>89.050989112074305</v>
      </c>
      <c r="AK188">
        <v>28.559692938355202</v>
      </c>
      <c r="AL188">
        <v>88.900595610221799</v>
      </c>
      <c r="AM188">
        <v>83.0573241285432</v>
      </c>
      <c r="AN188">
        <v>1.0000000544658501</v>
      </c>
    </row>
    <row r="189" spans="1:40" x14ac:dyDescent="0.25">
      <c r="A189" t="str">
        <f>"20190312161226883"</f>
        <v>20190312161226883</v>
      </c>
      <c r="B189" t="str">
        <f>"1552378346875597"</f>
        <v>1552378346875597</v>
      </c>
      <c r="C189" t="s">
        <v>40</v>
      </c>
      <c r="D189">
        <v>5.7651430000000001</v>
      </c>
      <c r="E189">
        <v>0.46174179999999998</v>
      </c>
      <c r="F189" t="s">
        <v>41</v>
      </c>
      <c r="G189">
        <v>-419.76949999999999</v>
      </c>
      <c r="H189">
        <v>-0.05</v>
      </c>
      <c r="I189">
        <v>368.51299999999998</v>
      </c>
      <c r="J189">
        <v>-451.67520000000002</v>
      </c>
      <c r="K189">
        <v>1.108495</v>
      </c>
      <c r="L189">
        <v>368.23790000000002</v>
      </c>
      <c r="M189">
        <v>0.99968000000000001</v>
      </c>
      <c r="N189">
        <v>0</v>
      </c>
      <c r="O189">
        <v>2.5054489999999999E-2</v>
      </c>
      <c r="P189">
        <v>0.99526700000000001</v>
      </c>
      <c r="Q189">
        <v>1.5966620000000001E-2</v>
      </c>
      <c r="R189">
        <v>-9.585784E-2</v>
      </c>
      <c r="S189">
        <v>3.018402</v>
      </c>
      <c r="T189">
        <v>-0.1088263</v>
      </c>
      <c r="U189">
        <v>2.633667E-2</v>
      </c>
      <c r="V189">
        <v>0.1207855</v>
      </c>
      <c r="W189">
        <v>1.9299090000000001E-2</v>
      </c>
      <c r="X189">
        <v>0.99249100000000001</v>
      </c>
      <c r="Y189">
        <v>1.6304519999999999E-2</v>
      </c>
      <c r="Z189">
        <v>-1.1967429999999999E-3</v>
      </c>
      <c r="AA189">
        <v>0.99986640000000004</v>
      </c>
      <c r="AB189">
        <v>27</v>
      </c>
      <c r="AC189">
        <v>31.9057</v>
      </c>
      <c r="AD189">
        <v>-1.1584950000000001</v>
      </c>
      <c r="AE189">
        <v>0.275100000000009</v>
      </c>
      <c r="AF189">
        <v>0.52368188628999801</v>
      </c>
      <c r="AG189">
        <v>-1.1584950000000001</v>
      </c>
      <c r="AH189">
        <v>31.860574494421801</v>
      </c>
      <c r="AI189">
        <v>92.082156151452494</v>
      </c>
      <c r="AJ189">
        <v>89.058332728319698</v>
      </c>
      <c r="AK189">
        <v>31.885930447419199</v>
      </c>
      <c r="AL189">
        <v>88.894174929585205</v>
      </c>
      <c r="AM189">
        <v>83.061263091884101</v>
      </c>
      <c r="AN189">
        <v>0.99999998848303895</v>
      </c>
    </row>
    <row r="190" spans="1:40" x14ac:dyDescent="0.25">
      <c r="A190" t="str">
        <f>"20190312161226918"</f>
        <v>20190312161226918</v>
      </c>
      <c r="B190" t="str">
        <f>"1552378346915613"</f>
        <v>1552378346915613</v>
      </c>
      <c r="C190" t="s">
        <v>40</v>
      </c>
      <c r="D190">
        <v>5.6965640000000004</v>
      </c>
      <c r="E190">
        <v>0.4620686</v>
      </c>
      <c r="F190" t="s">
        <v>41</v>
      </c>
      <c r="G190">
        <v>-419.41550000000001</v>
      </c>
      <c r="H190">
        <v>-0.05</v>
      </c>
      <c r="I190">
        <v>368.49880000000002</v>
      </c>
      <c r="J190">
        <v>-451.2595</v>
      </c>
      <c r="K190">
        <v>1.1084849999999999</v>
      </c>
      <c r="L190">
        <v>368.2473</v>
      </c>
      <c r="M190">
        <v>0.99970380000000003</v>
      </c>
      <c r="N190">
        <v>0</v>
      </c>
      <c r="O190">
        <v>2.4078080000000002E-2</v>
      </c>
      <c r="P190">
        <v>0.99512500000000004</v>
      </c>
      <c r="Q190">
        <v>1.5773180000000001E-2</v>
      </c>
      <c r="R190">
        <v>-9.7352069999999999E-2</v>
      </c>
      <c r="S190">
        <v>3.0183110000000002</v>
      </c>
      <c r="T190">
        <v>-0.1083919</v>
      </c>
      <c r="U190">
        <v>2.4414060000000001E-2</v>
      </c>
      <c r="V190">
        <v>0.1213065</v>
      </c>
      <c r="W190">
        <v>1.9173699999999998E-2</v>
      </c>
      <c r="X190">
        <v>0.99242989999999998</v>
      </c>
      <c r="Y190">
        <v>1.5965590000000002E-2</v>
      </c>
      <c r="Z190">
        <v>-1.150884E-3</v>
      </c>
      <c r="AA190">
        <v>0.99987190000000004</v>
      </c>
      <c r="AB190">
        <v>27</v>
      </c>
      <c r="AC190">
        <v>31.843999999999902</v>
      </c>
      <c r="AD190">
        <v>-1.158485</v>
      </c>
      <c r="AE190">
        <v>0.25150000000002098</v>
      </c>
      <c r="AF190">
        <v>0.51463902475064005</v>
      </c>
      <c r="AG190">
        <v>-1.158485</v>
      </c>
      <c r="AH190">
        <v>31.798740210788601</v>
      </c>
      <c r="AI190">
        <v>92.086192023952606</v>
      </c>
      <c r="AJ190">
        <v>89.072791254653495</v>
      </c>
      <c r="AK190">
        <v>31.823997546101001</v>
      </c>
      <c r="AL190">
        <v>88.901360591995697</v>
      </c>
      <c r="AM190">
        <v>83.031202174674704</v>
      </c>
      <c r="AN190">
        <v>1.0000000020639701</v>
      </c>
    </row>
    <row r="191" spans="1:40" x14ac:dyDescent="0.25">
      <c r="A191" t="str">
        <f>"20190312161226940"</f>
        <v>20190312161226940</v>
      </c>
      <c r="B191" t="str">
        <f>"1552378346936109"</f>
        <v>1552378346936109</v>
      </c>
      <c r="C191" t="s">
        <v>40</v>
      </c>
      <c r="D191">
        <v>5.6939250000000001</v>
      </c>
      <c r="E191">
        <v>0.46222629999999998</v>
      </c>
      <c r="F191" t="s">
        <v>41</v>
      </c>
      <c r="G191">
        <v>-418.29669999999999</v>
      </c>
      <c r="H191">
        <v>-0.05</v>
      </c>
      <c r="I191">
        <v>368.43459999999999</v>
      </c>
      <c r="J191">
        <v>-450.99380000000002</v>
      </c>
      <c r="K191">
        <v>1.1084860000000001</v>
      </c>
      <c r="L191">
        <v>368.25299999999999</v>
      </c>
      <c r="M191">
        <v>0.99971849999999995</v>
      </c>
      <c r="N191">
        <v>0</v>
      </c>
      <c r="O191">
        <v>2.345394E-2</v>
      </c>
      <c r="P191">
        <v>0.99505279999999996</v>
      </c>
      <c r="Q191">
        <v>1.552387E-2</v>
      </c>
      <c r="R191">
        <v>-9.8128000000000007E-2</v>
      </c>
      <c r="S191">
        <v>3.0180660000000001</v>
      </c>
      <c r="T191">
        <v>-0.1060705</v>
      </c>
      <c r="U191">
        <v>1.715088E-2</v>
      </c>
      <c r="V191">
        <v>0.121461</v>
      </c>
      <c r="W191">
        <v>1.8968220000000001E-2</v>
      </c>
      <c r="X191">
        <v>0.99241500000000005</v>
      </c>
      <c r="Y191">
        <v>1.7747200000000001E-2</v>
      </c>
      <c r="Z191">
        <v>-1.1357330000000001E-3</v>
      </c>
      <c r="AA191">
        <v>0.99984189999999995</v>
      </c>
      <c r="AB191">
        <v>27</v>
      </c>
      <c r="AC191">
        <v>32.697099999999999</v>
      </c>
      <c r="AD191">
        <v>-1.1584859999999999</v>
      </c>
      <c r="AE191">
        <v>0.181599999999946</v>
      </c>
      <c r="AF191">
        <v>0.58459684977937698</v>
      </c>
      <c r="AG191">
        <v>-1.1584859999999999</v>
      </c>
      <c r="AH191">
        <v>32.651377300568697</v>
      </c>
      <c r="AI191">
        <v>92.0317030740608</v>
      </c>
      <c r="AJ191">
        <v>88.974274391587997</v>
      </c>
      <c r="AK191">
        <v>32.677152307278298</v>
      </c>
      <c r="AL191">
        <v>88.9131359224737</v>
      </c>
      <c r="AM191">
        <v>83.0223101948487</v>
      </c>
      <c r="AN191">
        <v>1.00000005005798</v>
      </c>
    </row>
    <row r="192" spans="1:40" x14ac:dyDescent="0.25">
      <c r="A192" t="str">
        <f>"20190312161226961"</f>
        <v>20190312161226961</v>
      </c>
      <c r="B192" t="str">
        <f>"1552378346955629"</f>
        <v>1552378346955629</v>
      </c>
      <c r="C192" t="s">
        <v>40</v>
      </c>
      <c r="D192">
        <v>5.7587210000000004</v>
      </c>
      <c r="E192">
        <v>0.46235009999999999</v>
      </c>
      <c r="F192" t="s">
        <v>41</v>
      </c>
      <c r="G192">
        <v>-418.35939999999999</v>
      </c>
      <c r="H192">
        <v>-0.05</v>
      </c>
      <c r="I192">
        <v>368.39890000000003</v>
      </c>
      <c r="J192">
        <v>-450.73180000000002</v>
      </c>
      <c r="K192">
        <v>1.108487</v>
      </c>
      <c r="L192">
        <v>368.25850000000003</v>
      </c>
      <c r="M192">
        <v>0.99973259999999997</v>
      </c>
      <c r="N192">
        <v>0</v>
      </c>
      <c r="O192">
        <v>2.2839640000000001E-2</v>
      </c>
      <c r="P192">
        <v>0.99500200000000005</v>
      </c>
      <c r="Q192">
        <v>1.597751E-2</v>
      </c>
      <c r="R192">
        <v>-9.8570190000000002E-2</v>
      </c>
      <c r="S192">
        <v>3.0179140000000002</v>
      </c>
      <c r="T192">
        <v>-0.1071329</v>
      </c>
      <c r="U192">
        <v>1.3488770000000001E-2</v>
      </c>
      <c r="V192">
        <v>0.1212926</v>
      </c>
      <c r="W192">
        <v>1.9465469999999999E-2</v>
      </c>
      <c r="X192">
        <v>0.99242589999999997</v>
      </c>
      <c r="Y192">
        <v>1.834527E-2</v>
      </c>
      <c r="Z192">
        <v>-1.135982E-3</v>
      </c>
      <c r="AA192">
        <v>0.99983109999999997</v>
      </c>
      <c r="AB192">
        <v>27</v>
      </c>
      <c r="AC192">
        <v>32.372399999999999</v>
      </c>
      <c r="AD192">
        <v>-1.158487</v>
      </c>
      <c r="AE192">
        <v>0.140399999999999</v>
      </c>
      <c r="AF192">
        <v>0.59824928506786801</v>
      </c>
      <c r="AG192">
        <v>-1.158487</v>
      </c>
      <c r="AH192">
        <v>32.325764567028997</v>
      </c>
      <c r="AI192">
        <v>92.052129993560698</v>
      </c>
      <c r="AJ192">
        <v>88.939754495233103</v>
      </c>
      <c r="AK192">
        <v>32.352048608693103</v>
      </c>
      <c r="AL192">
        <v>88.884640260610595</v>
      </c>
      <c r="AM192">
        <v>83.031965040458999</v>
      </c>
      <c r="AN192">
        <v>0.99999998316394501</v>
      </c>
    </row>
    <row r="193" spans="1:40" x14ac:dyDescent="0.25">
      <c r="A193" t="str">
        <f>"20190312161226986"</f>
        <v>20190312161226986</v>
      </c>
      <c r="B193" t="str">
        <f>"1552378346976127"</f>
        <v>1552378346976127</v>
      </c>
      <c r="C193" t="s">
        <v>40</v>
      </c>
      <c r="D193">
        <v>5.6804030000000001</v>
      </c>
      <c r="E193">
        <v>0.4624663</v>
      </c>
      <c r="F193" t="s">
        <v>41</v>
      </c>
      <c r="G193">
        <v>-418.58420000000001</v>
      </c>
      <c r="H193">
        <v>-0.05</v>
      </c>
      <c r="I193">
        <v>368.37549999999999</v>
      </c>
      <c r="J193">
        <v>-450.4316</v>
      </c>
      <c r="K193">
        <v>1.108484</v>
      </c>
      <c r="L193">
        <v>368.26459999999997</v>
      </c>
      <c r="M193">
        <v>0.99974819999999998</v>
      </c>
      <c r="N193">
        <v>0</v>
      </c>
      <c r="O193">
        <v>2.2136090000000001E-2</v>
      </c>
      <c r="P193">
        <v>0.9949616</v>
      </c>
      <c r="Q193">
        <v>1.5964019999999999E-2</v>
      </c>
      <c r="R193">
        <v>-9.8980040000000005E-2</v>
      </c>
      <c r="S193">
        <v>3.0179140000000002</v>
      </c>
      <c r="T193">
        <v>-0.10875509999999999</v>
      </c>
      <c r="U193">
        <v>1.0986330000000001E-2</v>
      </c>
      <c r="V193">
        <v>0.12100329999999999</v>
      </c>
      <c r="W193">
        <v>1.9501709999999998E-2</v>
      </c>
      <c r="X193">
        <v>0.99246049999999997</v>
      </c>
      <c r="Y193">
        <v>1.847029E-2</v>
      </c>
      <c r="Z193">
        <v>-1.130088E-3</v>
      </c>
      <c r="AA193">
        <v>0.99982879999999996</v>
      </c>
      <c r="AB193">
        <v>27</v>
      </c>
      <c r="AC193">
        <v>31.8474</v>
      </c>
      <c r="AD193">
        <v>-1.1584840000000001</v>
      </c>
      <c r="AE193">
        <v>0.110900000000015</v>
      </c>
      <c r="AF193">
        <v>0.59332376801852105</v>
      </c>
      <c r="AG193">
        <v>-1.1584840000000001</v>
      </c>
      <c r="AH193">
        <v>31.799973275051901</v>
      </c>
      <c r="AI193">
        <v>92.086019610114306</v>
      </c>
      <c r="AJ193">
        <v>88.931099610080906</v>
      </c>
      <c r="AK193">
        <v>31.826599230297401</v>
      </c>
      <c r="AL193">
        <v>88.882563463411202</v>
      </c>
      <c r="AM193">
        <v>83.0486619574515</v>
      </c>
      <c r="AN193">
        <v>0.99999997968203103</v>
      </c>
    </row>
    <row r="194" spans="1:40" x14ac:dyDescent="0.25">
      <c r="A194" t="str">
        <f>"20190312161227010"</f>
        <v>20190312161227010</v>
      </c>
      <c r="B194" t="str">
        <f>"1552378346995645"</f>
        <v>1552378346995645</v>
      </c>
      <c r="C194" t="s">
        <v>40</v>
      </c>
      <c r="D194">
        <v>5.6408399999999999</v>
      </c>
      <c r="E194">
        <v>0.46255770000000002</v>
      </c>
      <c r="F194" t="s">
        <v>41</v>
      </c>
      <c r="G194">
        <v>-418.1669</v>
      </c>
      <c r="H194">
        <v>-0.05</v>
      </c>
      <c r="I194">
        <v>368.35930000000002</v>
      </c>
      <c r="J194">
        <v>-450.16219999999998</v>
      </c>
      <c r="K194">
        <v>1.108481</v>
      </c>
      <c r="L194">
        <v>368.27</v>
      </c>
      <c r="M194">
        <v>0.99976180000000003</v>
      </c>
      <c r="N194">
        <v>0</v>
      </c>
      <c r="O194">
        <v>2.150498E-2</v>
      </c>
      <c r="P194">
        <v>0.99491280000000004</v>
      </c>
      <c r="Q194">
        <v>1.4904300000000001E-2</v>
      </c>
      <c r="R194">
        <v>-9.9633379999999994E-2</v>
      </c>
      <c r="S194">
        <v>3.017792</v>
      </c>
      <c r="T194">
        <v>-0.10835549999999999</v>
      </c>
      <c r="U194">
        <v>8.8500980000000007E-3</v>
      </c>
      <c r="V194">
        <v>0.121028</v>
      </c>
      <c r="W194">
        <v>1.8486699999999998E-2</v>
      </c>
      <c r="X194">
        <v>0.9924769</v>
      </c>
      <c r="Y194">
        <v>1.8547279999999999E-2</v>
      </c>
      <c r="Z194">
        <v>-1.10472E-3</v>
      </c>
      <c r="AA194">
        <v>0.99982740000000003</v>
      </c>
      <c r="AB194">
        <v>27</v>
      </c>
      <c r="AC194">
        <v>31.995299999999901</v>
      </c>
      <c r="AD194">
        <v>-1.1584809999999901</v>
      </c>
      <c r="AE194">
        <v>8.9300000000037003E-2</v>
      </c>
      <c r="AF194">
        <v>0.59799973661616701</v>
      </c>
      <c r="AG194">
        <v>-1.1584809999999901</v>
      </c>
      <c r="AH194">
        <v>31.947937423485399</v>
      </c>
      <c r="AI194">
        <v>92.076359168666698</v>
      </c>
      <c r="AJ194">
        <v>88.927665971583394</v>
      </c>
      <c r="AK194">
        <v>31.974527166594498</v>
      </c>
      <c r="AL194">
        <v>88.940729735264199</v>
      </c>
      <c r="AM194">
        <v>83.0473706562085</v>
      </c>
      <c r="AN194">
        <v>0.99999996594724905</v>
      </c>
    </row>
    <row r="195" spans="1:40" x14ac:dyDescent="0.25">
      <c r="A195" t="str">
        <f>"20190312161227032"</f>
        <v>20190312161227032</v>
      </c>
      <c r="B195" t="str">
        <f>"1552378347025902"</f>
        <v>1552378347025902</v>
      </c>
      <c r="C195" t="s">
        <v>40</v>
      </c>
      <c r="D195">
        <v>5.6286880000000004</v>
      </c>
      <c r="E195">
        <v>0.46247860000000002</v>
      </c>
      <c r="F195" t="s">
        <v>41</v>
      </c>
      <c r="G195">
        <v>-418.67</v>
      </c>
      <c r="H195">
        <v>-0.05</v>
      </c>
      <c r="I195">
        <v>368.3372</v>
      </c>
      <c r="J195">
        <v>-449.86160000000001</v>
      </c>
      <c r="K195">
        <v>1.108481</v>
      </c>
      <c r="L195">
        <v>368.27569999999997</v>
      </c>
      <c r="M195">
        <v>0.99977640000000001</v>
      </c>
      <c r="N195">
        <v>0</v>
      </c>
      <c r="O195">
        <v>2.080214E-2</v>
      </c>
      <c r="P195">
        <v>0.99481509999999995</v>
      </c>
      <c r="Q195">
        <v>1.542841E-2</v>
      </c>
      <c r="R195">
        <v>-0.100523</v>
      </c>
      <c r="S195">
        <v>3.0176699999999999</v>
      </c>
      <c r="T195">
        <v>-0.1110091</v>
      </c>
      <c r="U195">
        <v>6.4392090000000004E-3</v>
      </c>
      <c r="V195">
        <v>0.1212186</v>
      </c>
      <c r="W195">
        <v>1.9059759999999999E-2</v>
      </c>
      <c r="X195">
        <v>0.99244279999999996</v>
      </c>
      <c r="Y195">
        <v>1.8642189999999999E-2</v>
      </c>
      <c r="Z195">
        <v>-1.1077089999999999E-3</v>
      </c>
      <c r="AA195">
        <v>0.99982559999999998</v>
      </c>
      <c r="AB195">
        <v>28</v>
      </c>
      <c r="AC195">
        <v>31.191599999999902</v>
      </c>
      <c r="AD195">
        <v>-1.1584809999999901</v>
      </c>
      <c r="AE195">
        <v>6.1500000000023598E-2</v>
      </c>
      <c r="AF195">
        <v>0.586560894788408</v>
      </c>
      <c r="AG195">
        <v>-1.1584809999999901</v>
      </c>
      <c r="AH195">
        <v>31.143169819374599</v>
      </c>
      <c r="AI195">
        <v>92.129960715991203</v>
      </c>
      <c r="AJ195">
        <v>88.920999665212094</v>
      </c>
      <c r="AK195">
        <v>31.1702287176252</v>
      </c>
      <c r="AL195">
        <v>88.907890028397503</v>
      </c>
      <c r="AM195">
        <v>83.036291868131997</v>
      </c>
      <c r="AN195">
        <v>0.99999996735452801</v>
      </c>
    </row>
    <row r="196" spans="1:40" x14ac:dyDescent="0.25">
      <c r="A196" t="str">
        <f>"20190312161227063"</f>
        <v>20190312161227063</v>
      </c>
      <c r="B196" t="str">
        <f>"1552378347056157"</f>
        <v>1552378347056157</v>
      </c>
      <c r="C196" t="s">
        <v>40</v>
      </c>
      <c r="D196">
        <v>5.6675440000000004</v>
      </c>
      <c r="E196">
        <v>0.46237869999999998</v>
      </c>
      <c r="F196" t="s">
        <v>41</v>
      </c>
      <c r="G196">
        <v>-418.17149999999998</v>
      </c>
      <c r="H196">
        <v>-0.05</v>
      </c>
      <c r="I196">
        <v>368.32029999999997</v>
      </c>
      <c r="J196">
        <v>-449.46420000000001</v>
      </c>
      <c r="K196">
        <v>1.1084830000000001</v>
      </c>
      <c r="L196">
        <v>368.28309999999999</v>
      </c>
      <c r="M196">
        <v>0.99979499999999999</v>
      </c>
      <c r="N196">
        <v>0</v>
      </c>
      <c r="O196">
        <v>1.9872810000000001E-2</v>
      </c>
      <c r="P196">
        <v>0.99475780000000003</v>
      </c>
      <c r="Q196">
        <v>1.585247E-2</v>
      </c>
      <c r="R196">
        <v>-0.1010234</v>
      </c>
      <c r="S196">
        <v>3.017792</v>
      </c>
      <c r="T196">
        <v>-0.1103201</v>
      </c>
      <c r="U196">
        <v>4.2419429999999998E-3</v>
      </c>
      <c r="V196">
        <v>0.120795899999999</v>
      </c>
      <c r="W196">
        <v>1.9549380000000002E-2</v>
      </c>
      <c r="X196">
        <v>0.9924849</v>
      </c>
      <c r="Y196">
        <v>1.844198E-2</v>
      </c>
      <c r="Z196">
        <v>-1.0631810000000001E-3</v>
      </c>
      <c r="AA196">
        <v>0.99982939999999998</v>
      </c>
      <c r="AB196">
        <v>28</v>
      </c>
      <c r="AC196">
        <v>31.2927</v>
      </c>
      <c r="AD196">
        <v>-1.1584829999999999</v>
      </c>
      <c r="AE196">
        <v>3.7199999999984301E-2</v>
      </c>
      <c r="AF196">
        <v>0.58388566087799398</v>
      </c>
      <c r="AG196">
        <v>-1.1584829999999999</v>
      </c>
      <c r="AH196">
        <v>31.244437537302701</v>
      </c>
      <c r="AI196">
        <v>92.123073030906895</v>
      </c>
      <c r="AJ196">
        <v>88.929400138091907</v>
      </c>
      <c r="AK196">
        <v>31.271358818392802</v>
      </c>
      <c r="AL196">
        <v>88.879831734016093</v>
      </c>
      <c r="AM196">
        <v>83.060629236026102</v>
      </c>
      <c r="AN196">
        <v>1.0000000522215999</v>
      </c>
    </row>
    <row r="197" spans="1:40" x14ac:dyDescent="0.25">
      <c r="A197" t="str">
        <f>"20190312161227086"</f>
        <v>20190312161227086</v>
      </c>
      <c r="B197" t="str">
        <f>"1552378347075677"</f>
        <v>1552378347075677</v>
      </c>
      <c r="C197" t="s">
        <v>40</v>
      </c>
      <c r="D197">
        <v>5.6480860000000002</v>
      </c>
      <c r="E197">
        <v>0.4624048</v>
      </c>
      <c r="F197" t="s">
        <v>41</v>
      </c>
      <c r="G197">
        <v>-416.42869999999999</v>
      </c>
      <c r="H197">
        <v>-0.05</v>
      </c>
      <c r="I197">
        <v>368.31909999999999</v>
      </c>
      <c r="J197">
        <v>-449.17779999999999</v>
      </c>
      <c r="K197">
        <v>1.1084830000000001</v>
      </c>
      <c r="L197">
        <v>368.28809999999999</v>
      </c>
      <c r="M197">
        <v>0.99980800000000003</v>
      </c>
      <c r="N197">
        <v>0</v>
      </c>
      <c r="O197">
        <v>1.9203769999999998E-2</v>
      </c>
      <c r="P197">
        <v>0.99474569999999995</v>
      </c>
      <c r="Q197">
        <v>1.5987580000000001E-2</v>
      </c>
      <c r="R197">
        <v>-0.1011223</v>
      </c>
      <c r="S197">
        <v>3.0178530000000001</v>
      </c>
      <c r="T197">
        <v>-0.1058296</v>
      </c>
      <c r="U197">
        <v>3.2958979999999998E-3</v>
      </c>
      <c r="V197">
        <v>0.1202309</v>
      </c>
      <c r="W197">
        <v>1.9732929999999999E-2</v>
      </c>
      <c r="X197">
        <v>0.99254980000000004</v>
      </c>
      <c r="Y197">
        <v>1.8089049999999999E-2</v>
      </c>
      <c r="Z197">
        <v>-9.9027449999999993E-4</v>
      </c>
      <c r="AA197">
        <v>0.9998359</v>
      </c>
      <c r="AB197">
        <v>28</v>
      </c>
      <c r="AC197">
        <v>32.749099999999999</v>
      </c>
      <c r="AD197">
        <v>-1.1584829999999999</v>
      </c>
      <c r="AE197">
        <v>3.1000000000005901E-2</v>
      </c>
      <c r="AF197">
        <v>0.59716940346983505</v>
      </c>
      <c r="AG197">
        <v>-1.1584829999999999</v>
      </c>
      <c r="AH197">
        <v>32.702733290359198</v>
      </c>
      <c r="AI197">
        <v>92.028496875124105</v>
      </c>
      <c r="AJ197">
        <v>88.953864683613304</v>
      </c>
      <c r="AK197">
        <v>32.728694731353002</v>
      </c>
      <c r="AL197">
        <v>88.869312985313002</v>
      </c>
      <c r="AM197">
        <v>83.093219824408806</v>
      </c>
      <c r="AN197">
        <v>0.99999998166061699</v>
      </c>
    </row>
    <row r="198" spans="1:40" x14ac:dyDescent="0.25">
      <c r="A198" t="str">
        <f>"20190312161227108"</f>
        <v>20190312161227108</v>
      </c>
      <c r="B198" t="str">
        <f>"1552378347096173"</f>
        <v>1552378347096173</v>
      </c>
      <c r="C198" t="s">
        <v>40</v>
      </c>
      <c r="D198">
        <v>5.6793879999999897</v>
      </c>
      <c r="E198">
        <v>0.46236739999999998</v>
      </c>
      <c r="F198" t="s">
        <v>41</v>
      </c>
      <c r="G198">
        <v>-416.18900000000002</v>
      </c>
      <c r="H198">
        <v>-0.05</v>
      </c>
      <c r="I198">
        <v>368.31670000000003</v>
      </c>
      <c r="J198">
        <v>-448.90390000000002</v>
      </c>
      <c r="K198">
        <v>1.1084830000000001</v>
      </c>
      <c r="L198">
        <v>368.29270000000002</v>
      </c>
      <c r="M198">
        <v>0.99981989999999998</v>
      </c>
      <c r="N198">
        <v>0</v>
      </c>
      <c r="O198">
        <v>1.8564420000000002E-2</v>
      </c>
      <c r="P198">
        <v>0.99473639999999997</v>
      </c>
      <c r="Q198">
        <v>1.619584E-2</v>
      </c>
      <c r="R198">
        <v>-0.1011811</v>
      </c>
      <c r="S198">
        <v>3.0178530000000001</v>
      </c>
      <c r="T198">
        <v>-0.1059792</v>
      </c>
      <c r="U198">
        <v>2.6245119999999999E-3</v>
      </c>
      <c r="V198">
        <v>0.11965530000000001</v>
      </c>
      <c r="W198">
        <v>1.9987029999999999E-2</v>
      </c>
      <c r="X198">
        <v>0.99261429999999995</v>
      </c>
      <c r="Y198">
        <v>1.7672710000000001E-2</v>
      </c>
      <c r="Z198">
        <v>-9.6192360000000004E-4</v>
      </c>
      <c r="AA198">
        <v>0.99984340000000005</v>
      </c>
      <c r="AB198">
        <v>28</v>
      </c>
      <c r="AC198">
        <v>32.7149</v>
      </c>
      <c r="AD198">
        <v>-1.1584829999999999</v>
      </c>
      <c r="AE198">
        <v>2.4000000000000899E-2</v>
      </c>
      <c r="AF198">
        <v>0.58261141737893096</v>
      </c>
      <c r="AG198">
        <v>-1.1584829999999999</v>
      </c>
      <c r="AH198">
        <v>32.668741888834397</v>
      </c>
      <c r="AI198">
        <v>92.030621350071797</v>
      </c>
      <c r="AJ198">
        <v>88.978300506398497</v>
      </c>
      <c r="AK198">
        <v>32.694467659288001</v>
      </c>
      <c r="AL198">
        <v>88.854751288329098</v>
      </c>
      <c r="AM198">
        <v>83.126410988110607</v>
      </c>
      <c r="AN198">
        <v>1.0000000103754001</v>
      </c>
    </row>
    <row r="199" spans="1:40" x14ac:dyDescent="0.25">
      <c r="A199" t="str">
        <f>"20190312161227140"</f>
        <v>20190312161227140</v>
      </c>
      <c r="B199" t="str">
        <f>"1552378347136189"</f>
        <v>1552378347136189</v>
      </c>
      <c r="C199" t="s">
        <v>40</v>
      </c>
      <c r="D199">
        <v>5.6696530000000003</v>
      </c>
      <c r="E199">
        <v>0.46119769999999999</v>
      </c>
      <c r="F199" t="s">
        <v>41</v>
      </c>
      <c r="G199">
        <v>-415.75900000000001</v>
      </c>
      <c r="H199">
        <v>-0.05</v>
      </c>
      <c r="I199">
        <v>368.32249999999999</v>
      </c>
      <c r="J199">
        <v>-448.49919999999997</v>
      </c>
      <c r="K199">
        <v>1.108484</v>
      </c>
      <c r="L199">
        <v>368.29919999999998</v>
      </c>
      <c r="M199">
        <v>0.99983670000000002</v>
      </c>
      <c r="N199">
        <v>0</v>
      </c>
      <c r="O199">
        <v>1.762E-2</v>
      </c>
      <c r="P199">
        <v>0.99480789999999997</v>
      </c>
      <c r="Q199">
        <v>1.7206260000000001E-2</v>
      </c>
      <c r="R199">
        <v>-0.1003057</v>
      </c>
      <c r="S199">
        <v>3.0178829999999999</v>
      </c>
      <c r="T199">
        <v>-0.1054813</v>
      </c>
      <c r="U199">
        <v>2.7160639999999998E-3</v>
      </c>
      <c r="V199">
        <v>0.1178452</v>
      </c>
      <c r="W199">
        <v>2.106684E-2</v>
      </c>
      <c r="X199">
        <v>0.99280849999999998</v>
      </c>
      <c r="Y199">
        <v>1.6699329999999998E-2</v>
      </c>
      <c r="Z199">
        <v>-9.0739629999999998E-4</v>
      </c>
      <c r="AA199">
        <v>0.99986019999999998</v>
      </c>
      <c r="AB199">
        <v>28</v>
      </c>
      <c r="AC199">
        <v>32.740199999999902</v>
      </c>
      <c r="AD199">
        <v>-1.1584840000000001</v>
      </c>
      <c r="AE199">
        <v>2.3300000000006E-2</v>
      </c>
      <c r="AF199">
        <v>0.55289833854272397</v>
      </c>
      <c r="AG199">
        <v>-1.1584840000000001</v>
      </c>
      <c r="AH199">
        <v>32.694592895765602</v>
      </c>
      <c r="AI199">
        <v>92.029051362912995</v>
      </c>
      <c r="AJ199">
        <v>89.031163285397099</v>
      </c>
      <c r="AK199">
        <v>32.719782798344902</v>
      </c>
      <c r="AL199">
        <v>88.792869691747498</v>
      </c>
      <c r="AM199">
        <v>83.230731526910105</v>
      </c>
      <c r="AN199">
        <v>1.0000000102914299</v>
      </c>
    </row>
    <row r="200" spans="1:40" x14ac:dyDescent="0.25">
      <c r="A200" t="str">
        <f>"20190312161227162"</f>
        <v>20190312161227162</v>
      </c>
      <c r="B200" t="str">
        <f>"1552378347155709"</f>
        <v>1552378347155709</v>
      </c>
      <c r="C200" t="s">
        <v>40</v>
      </c>
      <c r="D200">
        <v>5.6828149999999997</v>
      </c>
      <c r="E200">
        <v>0.46826810000000002</v>
      </c>
      <c r="F200" t="s">
        <v>52</v>
      </c>
      <c r="G200">
        <v>-158.78319999999999</v>
      </c>
      <c r="H200">
        <v>2.7058200000000001</v>
      </c>
      <c r="I200">
        <v>369.161</v>
      </c>
      <c r="J200">
        <v>-448.2099</v>
      </c>
      <c r="K200">
        <v>1.1084889999999901</v>
      </c>
      <c r="L200">
        <v>368.30360000000002</v>
      </c>
      <c r="M200">
        <v>0.99984799999999996</v>
      </c>
      <c r="N200">
        <v>0</v>
      </c>
      <c r="O200">
        <v>1.6945479999999999E-2</v>
      </c>
      <c r="P200">
        <v>0.99488960000000004</v>
      </c>
      <c r="Q200">
        <v>1.816415E-2</v>
      </c>
      <c r="R200">
        <v>-9.9322740000000007E-2</v>
      </c>
      <c r="S200">
        <v>3.016235</v>
      </c>
      <c r="T200">
        <v>1.663077E-2</v>
      </c>
      <c r="U200">
        <v>8.9721680000000009E-3</v>
      </c>
      <c r="V200">
        <v>0.1161953</v>
      </c>
      <c r="W200">
        <v>2.2075109999999998E-2</v>
      </c>
      <c r="X200">
        <v>0.992981</v>
      </c>
      <c r="Y200">
        <v>1.397089E-2</v>
      </c>
      <c r="Z200">
        <v>1.3194469999999999E-4</v>
      </c>
      <c r="AA200">
        <v>0.99990239999999997</v>
      </c>
      <c r="AB200">
        <v>28</v>
      </c>
      <c r="AC200">
        <v>289.42669999999998</v>
      </c>
      <c r="AD200">
        <v>1.5973310000000001</v>
      </c>
      <c r="AE200">
        <v>0.85739999999998395</v>
      </c>
      <c r="AF200">
        <v>4.0471154647631904</v>
      </c>
      <c r="AG200">
        <v>1.5973310000000001</v>
      </c>
      <c r="AH200">
        <v>289.39085673972102</v>
      </c>
      <c r="AI200">
        <v>89.683782520722005</v>
      </c>
      <c r="AJ200">
        <v>89.198773856863696</v>
      </c>
      <c r="AK200">
        <v>289.42356257647401</v>
      </c>
      <c r="AL200">
        <v>88.735086568561599</v>
      </c>
      <c r="AM200">
        <v>83.325793033230994</v>
      </c>
      <c r="AN200">
        <v>0.99999996229230004</v>
      </c>
    </row>
    <row r="201" spans="1:40" x14ac:dyDescent="0.25">
      <c r="A201" t="str">
        <f>"20190312161227184"</f>
        <v>20190312161227184</v>
      </c>
      <c r="B201" t="str">
        <f>"1552378347176204"</f>
        <v>1552378347176204</v>
      </c>
      <c r="C201" t="s">
        <v>40</v>
      </c>
      <c r="D201">
        <v>5.754937</v>
      </c>
      <c r="E201">
        <v>0.46890920000000003</v>
      </c>
      <c r="F201" t="s">
        <v>52</v>
      </c>
      <c r="G201">
        <v>-168.84350000000001</v>
      </c>
      <c r="H201">
        <v>12.195360000000001</v>
      </c>
      <c r="I201">
        <v>363.77199999999999</v>
      </c>
      <c r="J201">
        <v>-447.92129999999997</v>
      </c>
      <c r="K201">
        <v>1.1084849999999999</v>
      </c>
      <c r="L201">
        <v>368.30779999999999</v>
      </c>
      <c r="M201">
        <v>0.99985900000000005</v>
      </c>
      <c r="N201">
        <v>0</v>
      </c>
      <c r="O201">
        <v>1.6272910000000002E-2</v>
      </c>
      <c r="P201">
        <v>0.99488569999999998</v>
      </c>
      <c r="Q201">
        <v>1.8097579999999999E-2</v>
      </c>
      <c r="R201">
        <v>-9.9373429999999999E-2</v>
      </c>
      <c r="S201">
        <v>3.0083310000000001</v>
      </c>
      <c r="T201">
        <v>0.1193888</v>
      </c>
      <c r="U201">
        <v>-4.8797609999999998E-2</v>
      </c>
      <c r="V201">
        <v>0.11557820000000001</v>
      </c>
      <c r="W201">
        <v>2.2057E-2</v>
      </c>
      <c r="X201">
        <v>0.99305339999999998</v>
      </c>
      <c r="Y201">
        <v>3.2449110000000003E-2</v>
      </c>
      <c r="Z201">
        <v>1.28911E-3</v>
      </c>
      <c r="AA201">
        <v>0.99947260000000004</v>
      </c>
      <c r="AB201">
        <v>29</v>
      </c>
      <c r="AC201">
        <v>279.07780000000002</v>
      </c>
      <c r="AD201">
        <v>11.086874999999999</v>
      </c>
      <c r="AE201">
        <v>-4.5357999999999903</v>
      </c>
      <c r="AF201">
        <v>9.0623477021563001</v>
      </c>
      <c r="AG201">
        <v>11.086874999999999</v>
      </c>
      <c r="AH201">
        <v>278.52757277823503</v>
      </c>
      <c r="AI201">
        <v>87.721731756325994</v>
      </c>
      <c r="AJ201">
        <v>88.1364460225317</v>
      </c>
      <c r="AK201">
        <v>278.89541721024301</v>
      </c>
      <c r="AL201">
        <v>88.736124424004402</v>
      </c>
      <c r="AM201">
        <v>83.361401433189201</v>
      </c>
      <c r="AN201">
        <v>0.999999943407898</v>
      </c>
    </row>
    <row r="202" spans="1:40" x14ac:dyDescent="0.25">
      <c r="A202" t="str">
        <f>"20190312161227207"</f>
        <v>20190312161227207</v>
      </c>
      <c r="B202" t="str">
        <f>"1552378347195724"</f>
        <v>1552378347195724</v>
      </c>
      <c r="C202" t="s">
        <v>40</v>
      </c>
      <c r="D202">
        <v>5.700215</v>
      </c>
      <c r="E202">
        <v>0.46932760000000001</v>
      </c>
      <c r="F202" t="s">
        <v>52</v>
      </c>
      <c r="G202">
        <v>-170.08879999999999</v>
      </c>
      <c r="H202">
        <v>12.88654</v>
      </c>
      <c r="I202">
        <v>363.26740000000001</v>
      </c>
      <c r="J202">
        <v>-447.6311</v>
      </c>
      <c r="K202">
        <v>1.1084940000000001</v>
      </c>
      <c r="L202">
        <v>368.31189999999998</v>
      </c>
      <c r="M202">
        <v>0.99986960000000003</v>
      </c>
      <c r="N202">
        <v>0</v>
      </c>
      <c r="O202">
        <v>1.5596769999999999E-2</v>
      </c>
      <c r="P202">
        <v>0.99486509999999995</v>
      </c>
      <c r="Q202">
        <v>1.7421929999999999E-2</v>
      </c>
      <c r="R202">
        <v>-9.9699990000000002E-2</v>
      </c>
      <c r="S202">
        <v>3.0076900000000002</v>
      </c>
      <c r="T202">
        <v>0.1275048</v>
      </c>
      <c r="U202">
        <v>-5.4565429999999998E-2</v>
      </c>
      <c r="V202">
        <v>0.1152323</v>
      </c>
      <c r="W202">
        <v>2.1430109999999999E-2</v>
      </c>
      <c r="X202">
        <v>0.99310739999999997</v>
      </c>
      <c r="Y202">
        <v>3.3686880000000002E-2</v>
      </c>
      <c r="Z202">
        <v>1.374515E-3</v>
      </c>
      <c r="AA202">
        <v>0.99943150000000003</v>
      </c>
      <c r="AB202">
        <v>29</v>
      </c>
      <c r="AC202">
        <v>277.54230000000001</v>
      </c>
      <c r="AD202">
        <v>11.778046</v>
      </c>
      <c r="AE202">
        <v>-5.04449999999997</v>
      </c>
      <c r="AF202">
        <v>9.3558444194208192</v>
      </c>
      <c r="AG202">
        <v>11.778046</v>
      </c>
      <c r="AH202">
        <v>276.93130220411899</v>
      </c>
      <c r="AI202">
        <v>87.566032501740807</v>
      </c>
      <c r="AJ202">
        <v>88.065055873084503</v>
      </c>
      <c r="AK202">
        <v>277.33950373657098</v>
      </c>
      <c r="AL202">
        <v>88.772051165970197</v>
      </c>
      <c r="AM202">
        <v>83.381449448544501</v>
      </c>
      <c r="AN202">
        <v>1.0000000202563299</v>
      </c>
    </row>
    <row r="203" spans="1:40" x14ac:dyDescent="0.25">
      <c r="A203" t="str">
        <f>"20190312161227233"</f>
        <v>20190312161227233</v>
      </c>
      <c r="B203" t="str">
        <f>"1552378347225981"</f>
        <v>1552378347225981</v>
      </c>
      <c r="C203" t="s">
        <v>40</v>
      </c>
      <c r="D203">
        <v>5.7685550000000001</v>
      </c>
      <c r="E203">
        <v>0.46920889999999998</v>
      </c>
      <c r="F203" t="s">
        <v>52</v>
      </c>
      <c r="G203">
        <v>-170.08879999999999</v>
      </c>
      <c r="H203">
        <v>12.68402</v>
      </c>
      <c r="I203">
        <v>362.89589999999998</v>
      </c>
      <c r="J203">
        <v>-447.29730000000001</v>
      </c>
      <c r="K203">
        <v>1.108493</v>
      </c>
      <c r="L203">
        <v>368.31630000000001</v>
      </c>
      <c r="M203">
        <v>0.99988129999999997</v>
      </c>
      <c r="N203">
        <v>0</v>
      </c>
      <c r="O203">
        <v>1.481934E-2</v>
      </c>
      <c r="P203">
        <v>0.99474640000000003</v>
      </c>
      <c r="Q203">
        <v>1.8178989999999999E-2</v>
      </c>
      <c r="R203">
        <v>-0.1007446</v>
      </c>
      <c r="S203">
        <v>3.007355</v>
      </c>
      <c r="T203">
        <v>0.1254294</v>
      </c>
      <c r="U203">
        <v>-5.8685300000000003E-2</v>
      </c>
      <c r="V203">
        <v>0.115504</v>
      </c>
      <c r="W203">
        <v>2.2241489999999999E-2</v>
      </c>
      <c r="X203">
        <v>0.993058</v>
      </c>
      <c r="Y203">
        <v>3.4282050000000001E-2</v>
      </c>
      <c r="Z203">
        <v>1.3322939999999999E-3</v>
      </c>
      <c r="AA203">
        <v>0.9994113</v>
      </c>
      <c r="AB203">
        <v>29</v>
      </c>
      <c r="AC203">
        <v>277.20850000000002</v>
      </c>
      <c r="AD203">
        <v>11.575526999999999</v>
      </c>
      <c r="AE203">
        <v>-5.4204000000000203</v>
      </c>
      <c r="AF203">
        <v>9.5113098751162504</v>
      </c>
      <c r="AG203">
        <v>11.575526999999999</v>
      </c>
      <c r="AH203">
        <v>276.615584474282</v>
      </c>
      <c r="AI203">
        <v>87.605156367481598</v>
      </c>
      <c r="AJ203">
        <v>88.030684717252299</v>
      </c>
      <c r="AK203">
        <v>277.02100897750898</v>
      </c>
      <c r="AL203">
        <v>88.725551434717403</v>
      </c>
      <c r="AM203">
        <v>83.365655796801605</v>
      </c>
      <c r="AN203">
        <v>1.0000000246287</v>
      </c>
    </row>
    <row r="204" spans="1:40" x14ac:dyDescent="0.25">
      <c r="A204" t="str">
        <f>"20190312161227253"</f>
        <v>20190312161227253</v>
      </c>
      <c r="B204" t="str">
        <f>"1552378347245501"</f>
        <v>1552378347245501</v>
      </c>
      <c r="C204" t="s">
        <v>40</v>
      </c>
      <c r="D204">
        <v>5.6888579999999997</v>
      </c>
      <c r="E204">
        <v>0.46940559999999998</v>
      </c>
      <c r="F204" t="s">
        <v>52</v>
      </c>
      <c r="G204">
        <v>-170.08879999999999</v>
      </c>
      <c r="H204">
        <v>13.14395</v>
      </c>
      <c r="I204">
        <v>362.70150000000001</v>
      </c>
      <c r="J204">
        <v>-447.02910000000003</v>
      </c>
      <c r="K204">
        <v>1.108498</v>
      </c>
      <c r="L204">
        <v>368.31959999999998</v>
      </c>
      <c r="M204">
        <v>0.99989030000000001</v>
      </c>
      <c r="N204">
        <v>0</v>
      </c>
      <c r="O204">
        <v>1.419524E-2</v>
      </c>
      <c r="P204">
        <v>0.9946448</v>
      </c>
      <c r="Q204">
        <v>1.9015919999999999E-2</v>
      </c>
      <c r="R204">
        <v>-0.1015901</v>
      </c>
      <c r="S204">
        <v>3.0073240000000001</v>
      </c>
      <c r="T204">
        <v>0.13056869999999901</v>
      </c>
      <c r="U204">
        <v>-6.0913090000000003E-2</v>
      </c>
      <c r="V204">
        <v>0.1157295</v>
      </c>
      <c r="W204">
        <v>2.3121510000000001E-2</v>
      </c>
      <c r="X204">
        <v>0.99301159999999999</v>
      </c>
      <c r="Y204">
        <v>3.4395420000000003E-2</v>
      </c>
      <c r="Z204">
        <v>1.3622160000000001E-3</v>
      </c>
      <c r="AA204">
        <v>0.99940739999999995</v>
      </c>
      <c r="AB204">
        <v>29</v>
      </c>
      <c r="AC204">
        <v>276.94029999999998</v>
      </c>
      <c r="AD204">
        <v>12.035451999999999</v>
      </c>
      <c r="AE204">
        <v>-5.6180999999999699</v>
      </c>
      <c r="AF204">
        <v>9.5308100985786393</v>
      </c>
      <c r="AG204">
        <v>12.035451999999999</v>
      </c>
      <c r="AH204">
        <v>276.311003381614</v>
      </c>
      <c r="AI204">
        <v>87.507388756635095</v>
      </c>
      <c r="AJ204">
        <v>88.024476862350298</v>
      </c>
      <c r="AK204">
        <v>276.737165981972</v>
      </c>
      <c r="AL204">
        <v>88.675116968056898</v>
      </c>
      <c r="AM204">
        <v>83.3525114556424</v>
      </c>
      <c r="AN204">
        <v>0.99999997956474496</v>
      </c>
    </row>
    <row r="205" spans="1:40" x14ac:dyDescent="0.25">
      <c r="A205" t="str">
        <f>"20190312161227274"</f>
        <v>20190312161227274</v>
      </c>
      <c r="B205" t="str">
        <f>"1552378347265997"</f>
        <v>1552378347265997</v>
      </c>
      <c r="C205" t="s">
        <v>40</v>
      </c>
      <c r="D205">
        <v>5.7447280000000003</v>
      </c>
      <c r="E205">
        <v>0.46953099999999998</v>
      </c>
      <c r="F205" t="s">
        <v>52</v>
      </c>
      <c r="G205">
        <v>-168.84350000000001</v>
      </c>
      <c r="H205">
        <v>12.27929</v>
      </c>
      <c r="I205">
        <v>362.31790000000001</v>
      </c>
      <c r="J205">
        <v>-446.74360000000001</v>
      </c>
      <c r="K205">
        <v>1.1085</v>
      </c>
      <c r="L205">
        <v>368.32310000000001</v>
      </c>
      <c r="M205">
        <v>0.99989899999999998</v>
      </c>
      <c r="N205">
        <v>0</v>
      </c>
      <c r="O205">
        <v>1.3531799999999899E-2</v>
      </c>
      <c r="P205">
        <v>0.99450439999999996</v>
      </c>
      <c r="Q205">
        <v>1.960433E-2</v>
      </c>
      <c r="R205">
        <v>-0.1028444</v>
      </c>
      <c r="S205">
        <v>3.0072329999999998</v>
      </c>
      <c r="T205">
        <v>0.12075900000000001</v>
      </c>
      <c r="U205">
        <v>-6.4880370000000007E-2</v>
      </c>
      <c r="V205">
        <v>0.11632389999999999</v>
      </c>
      <c r="W205">
        <v>2.3755999999999999E-2</v>
      </c>
      <c r="X205">
        <v>0.99292720000000001</v>
      </c>
      <c r="Y205">
        <v>3.5057419999999999E-2</v>
      </c>
      <c r="Z205">
        <v>1.2466370000000001E-3</v>
      </c>
      <c r="AA205">
        <v>0.99938450000000001</v>
      </c>
      <c r="AB205">
        <v>29</v>
      </c>
      <c r="AC205">
        <v>277.90010000000001</v>
      </c>
      <c r="AD205">
        <v>11.17079</v>
      </c>
      <c r="AE205">
        <v>-6.0052000000000003</v>
      </c>
      <c r="AF205">
        <v>9.7494283585881796</v>
      </c>
      <c r="AG205">
        <v>11.17079</v>
      </c>
      <c r="AH205">
        <v>277.34546484082199</v>
      </c>
      <c r="AI205">
        <v>87.694936512149496</v>
      </c>
      <c r="AJ205">
        <v>87.986730452105803</v>
      </c>
      <c r="AK205">
        <v>277.74150710744499</v>
      </c>
      <c r="AL205">
        <v>88.638753420185907</v>
      </c>
      <c r="AM205">
        <v>83.318114302192996</v>
      </c>
      <c r="AN205">
        <v>1.0000000108735201</v>
      </c>
    </row>
    <row r="206" spans="1:40" x14ac:dyDescent="0.25">
      <c r="A206" t="str">
        <f>"20190312161227296"</f>
        <v>20190312161227296</v>
      </c>
      <c r="B206" t="str">
        <f>"1552378347285517"</f>
        <v>1552378347285517</v>
      </c>
      <c r="C206" t="s">
        <v>40</v>
      </c>
      <c r="D206">
        <v>5.8024149999999999</v>
      </c>
      <c r="E206">
        <v>0.46946680000000002</v>
      </c>
      <c r="F206" t="s">
        <v>52</v>
      </c>
      <c r="G206">
        <v>-168.84350000000001</v>
      </c>
      <c r="H206">
        <v>11.841939999999999</v>
      </c>
      <c r="I206">
        <v>361.94659999999999</v>
      </c>
      <c r="J206">
        <v>-446.46280000000002</v>
      </c>
      <c r="K206">
        <v>1.1084969999999901</v>
      </c>
      <c r="L206">
        <v>368.32619999999997</v>
      </c>
      <c r="M206">
        <v>0.99990760000000001</v>
      </c>
      <c r="N206">
        <v>0</v>
      </c>
      <c r="O206">
        <v>1.287932E-2</v>
      </c>
      <c r="P206">
        <v>0.99440600000000001</v>
      </c>
      <c r="Q206">
        <v>1.9322019999999999E-2</v>
      </c>
      <c r="R206">
        <v>-0.10384589999999901</v>
      </c>
      <c r="S206">
        <v>3.0071720000000002</v>
      </c>
      <c r="T206">
        <v>0.116148</v>
      </c>
      <c r="U206">
        <v>-6.9000240000000004E-2</v>
      </c>
      <c r="V206">
        <v>0.1166758</v>
      </c>
      <c r="W206">
        <v>2.3519080000000001E-2</v>
      </c>
      <c r="X206">
        <v>0.99289159999999999</v>
      </c>
      <c r="Y206">
        <v>3.5777080000000003E-2</v>
      </c>
      <c r="Z206">
        <v>1.1877820000000001E-3</v>
      </c>
      <c r="AA206">
        <v>0.99935909999999994</v>
      </c>
      <c r="AB206">
        <v>29</v>
      </c>
      <c r="AC206">
        <v>277.61930000000001</v>
      </c>
      <c r="AD206">
        <v>10.733442999999999</v>
      </c>
      <c r="AE206">
        <v>-6.3795999999999804</v>
      </c>
      <c r="AF206">
        <v>9.9398024441757098</v>
      </c>
      <c r="AG206">
        <v>10.733442999999999</v>
      </c>
      <c r="AH206">
        <v>277.10012105317901</v>
      </c>
      <c r="AI206">
        <v>87.7831875069852</v>
      </c>
      <c r="AJ206">
        <v>87.945635496263804</v>
      </c>
      <c r="AK206">
        <v>277.48600605967499</v>
      </c>
      <c r="AL206">
        <v>88.652331795405502</v>
      </c>
      <c r="AM206">
        <v>83.297845928679806</v>
      </c>
      <c r="AN206">
        <v>1.0000000593901199</v>
      </c>
    </row>
    <row r="207" spans="1:40" x14ac:dyDescent="0.25">
      <c r="A207" t="str">
        <f>"20190312161227320"</f>
        <v>20190312161227320</v>
      </c>
      <c r="B207" t="str">
        <f>"1552378347315775"</f>
        <v>1552378347315775</v>
      </c>
      <c r="C207" t="s">
        <v>40</v>
      </c>
      <c r="D207">
        <v>5.7152419999999999</v>
      </c>
      <c r="E207">
        <v>0.4692887</v>
      </c>
      <c r="F207" t="s">
        <v>52</v>
      </c>
      <c r="G207">
        <v>-168.84350000000001</v>
      </c>
      <c r="H207">
        <v>11.91957</v>
      </c>
      <c r="I207">
        <v>361.71100000000001</v>
      </c>
      <c r="J207">
        <v>-446.15609999999998</v>
      </c>
      <c r="K207">
        <v>1.108493</v>
      </c>
      <c r="L207">
        <v>368.32940000000002</v>
      </c>
      <c r="M207">
        <v>0.99991629999999998</v>
      </c>
      <c r="N207">
        <v>0</v>
      </c>
      <c r="O207">
        <v>1.2167519999999999E-2</v>
      </c>
      <c r="P207">
        <v>0.99426979999999998</v>
      </c>
      <c r="Q207">
        <v>1.910821E-2</v>
      </c>
      <c r="R207">
        <v>-0.10517899999999999</v>
      </c>
      <c r="S207">
        <v>3.0071409999999998</v>
      </c>
      <c r="T207">
        <v>0.11710520000000001</v>
      </c>
      <c r="U207">
        <v>-7.1655269999999993E-2</v>
      </c>
      <c r="V207">
        <v>0.1173005</v>
      </c>
      <c r="W207">
        <v>2.3353659999999998E-2</v>
      </c>
      <c r="X207">
        <v>0.99282179999999998</v>
      </c>
      <c r="Y207">
        <v>3.5947590000000001E-2</v>
      </c>
      <c r="Z207">
        <v>1.1731770000000001E-3</v>
      </c>
      <c r="AA207">
        <v>0.99935300000000005</v>
      </c>
      <c r="AB207">
        <v>29</v>
      </c>
      <c r="AC207">
        <v>277.31259999999997</v>
      </c>
      <c r="AD207">
        <v>10.811076999999999</v>
      </c>
      <c r="AE207">
        <v>-6.6184000000000003</v>
      </c>
      <c r="AF207">
        <v>9.9769944608128291</v>
      </c>
      <c r="AG207">
        <v>10.811076999999999</v>
      </c>
      <c r="AH207">
        <v>276.791101161065</v>
      </c>
      <c r="AI207">
        <v>87.764693377127401</v>
      </c>
      <c r="AJ207">
        <v>87.935655097968805</v>
      </c>
      <c r="AK207">
        <v>277.18176975826799</v>
      </c>
      <c r="AL207">
        <v>88.661812138548299</v>
      </c>
      <c r="AM207">
        <v>83.261821279888807</v>
      </c>
      <c r="AN207">
        <v>0.99999996364544197</v>
      </c>
    </row>
    <row r="208" spans="1:40" x14ac:dyDescent="0.25">
      <c r="A208" t="str">
        <f>"20190312161227342"</f>
        <v>20190312161227342</v>
      </c>
      <c r="B208" t="str">
        <f>"1552378347336269"</f>
        <v>1552378347336269</v>
      </c>
      <c r="C208" t="s">
        <v>40</v>
      </c>
      <c r="D208">
        <v>5.7648140000000003</v>
      </c>
      <c r="E208">
        <v>0.46904020000000002</v>
      </c>
      <c r="F208" t="s">
        <v>54</v>
      </c>
      <c r="G208">
        <v>-249.79669999999999</v>
      </c>
      <c r="H208">
        <v>8.7009349999999994</v>
      </c>
      <c r="I208">
        <v>363.47519999999997</v>
      </c>
      <c r="J208">
        <v>-445.87049999999999</v>
      </c>
      <c r="K208">
        <v>1.1084959999999999</v>
      </c>
      <c r="L208">
        <v>368.3322</v>
      </c>
      <c r="M208">
        <v>0.99992389999999998</v>
      </c>
      <c r="N208">
        <v>0</v>
      </c>
      <c r="O208">
        <v>1.1504550000000001E-2</v>
      </c>
      <c r="P208">
        <v>0.99416329999999997</v>
      </c>
      <c r="Q208">
        <v>1.9605310000000001E-2</v>
      </c>
      <c r="R208">
        <v>-0.1060913</v>
      </c>
      <c r="S208">
        <v>3.0072019999999999</v>
      </c>
      <c r="T208">
        <v>0.1162779</v>
      </c>
      <c r="U208">
        <v>-7.4340820000000002E-2</v>
      </c>
      <c r="V208">
        <v>0.11755409999999999</v>
      </c>
      <c r="W208">
        <v>2.3897109999999999E-2</v>
      </c>
      <c r="X208">
        <v>0.99277890000000002</v>
      </c>
      <c r="Y208">
        <v>3.6177290000000001E-2</v>
      </c>
      <c r="Z208">
        <v>1.1436759999999999E-3</v>
      </c>
      <c r="AA208">
        <v>0.99934469999999997</v>
      </c>
      <c r="AB208">
        <v>30</v>
      </c>
      <c r="AC208">
        <v>196.07380000000001</v>
      </c>
      <c r="AD208">
        <v>7.5924389999999997</v>
      </c>
      <c r="AE208">
        <v>-4.8570000000000197</v>
      </c>
      <c r="AF208">
        <v>7.1017997171257301</v>
      </c>
      <c r="AG208">
        <v>7.5924389999999997</v>
      </c>
      <c r="AH208">
        <v>195.71167135191601</v>
      </c>
      <c r="AI208">
        <v>87.779841205118899</v>
      </c>
      <c r="AJ208">
        <v>87.921816863058794</v>
      </c>
      <c r="AK208">
        <v>195.987599078491</v>
      </c>
      <c r="AL208">
        <v>88.630666090071401</v>
      </c>
      <c r="AM208">
        <v>83.247098828243907</v>
      </c>
      <c r="AN208">
        <v>0.99999999128918604</v>
      </c>
    </row>
    <row r="209" spans="1:40" x14ac:dyDescent="0.25">
      <c r="A209" t="str">
        <f>"20190312161227900"</f>
        <v>20190312161227900</v>
      </c>
      <c r="B209" t="str">
        <f>"1552378347895968"</f>
        <v>1552378347895968</v>
      </c>
      <c r="C209" t="s">
        <v>40</v>
      </c>
      <c r="D209">
        <v>5.4958369999999999</v>
      </c>
      <c r="E209">
        <v>0.45644129999999999</v>
      </c>
      <c r="F209" t="s">
        <v>54</v>
      </c>
      <c r="G209">
        <v>-249.63810000000001</v>
      </c>
      <c r="H209">
        <v>9.0207189999999997</v>
      </c>
      <c r="I209">
        <v>363.43540000000002</v>
      </c>
      <c r="J209">
        <v>-437.98270000000002</v>
      </c>
      <c r="K209">
        <v>1.098762</v>
      </c>
      <c r="L209">
        <v>368.3374</v>
      </c>
      <c r="M209">
        <v>0.99989229999999996</v>
      </c>
      <c r="N209">
        <v>0</v>
      </c>
      <c r="O209">
        <v>-6.3407869999999996E-3</v>
      </c>
      <c r="P209">
        <v>0.99206170000000005</v>
      </c>
      <c r="Q209">
        <v>8.2003879999999994E-3</v>
      </c>
      <c r="R209">
        <v>-0.12548519999999999</v>
      </c>
      <c r="S209">
        <v>3.0072329999999998</v>
      </c>
      <c r="T209">
        <v>0.121255</v>
      </c>
      <c r="U209">
        <v>-7.5042719999999993E-2</v>
      </c>
      <c r="V209">
        <v>0.1192309</v>
      </c>
      <c r="W209">
        <v>2.11188E-2</v>
      </c>
      <c r="X209">
        <v>0.99264189999999997</v>
      </c>
      <c r="Y209">
        <v>1.8596499999999998E-2</v>
      </c>
      <c r="Z209">
        <v>1.191652E-4</v>
      </c>
      <c r="AA209">
        <v>0.99982709999999997</v>
      </c>
      <c r="AB209">
        <v>33</v>
      </c>
      <c r="AC209">
        <v>188.34460000000001</v>
      </c>
      <c r="AD209">
        <v>7.9219569999999999</v>
      </c>
      <c r="AE209">
        <v>-4.9019999999999797</v>
      </c>
      <c r="AF209">
        <v>3.7010007245163998</v>
      </c>
      <c r="AG209">
        <v>7.9219569999999999</v>
      </c>
      <c r="AH209">
        <v>188.039458120283</v>
      </c>
      <c r="AI209">
        <v>87.588066236317999</v>
      </c>
      <c r="AJ209">
        <v>88.872447579671302</v>
      </c>
      <c r="AK209">
        <v>188.24264293523501</v>
      </c>
      <c r="AL209">
        <v>88.7898918996097</v>
      </c>
      <c r="AM209">
        <v>83.1507472313764</v>
      </c>
      <c r="AN209">
        <v>0.99999997643192895</v>
      </c>
    </row>
    <row r="210" spans="1:40" x14ac:dyDescent="0.25">
      <c r="A210" t="str">
        <f>"20190312161228035"</f>
        <v>20190312161228035</v>
      </c>
      <c r="B210" t="str">
        <f>"1552378348025777"</f>
        <v>1552378348025777</v>
      </c>
      <c r="C210" t="s">
        <v>40</v>
      </c>
      <c r="D210">
        <v>5.382587</v>
      </c>
      <c r="E210">
        <v>0.46128760000000002</v>
      </c>
      <c r="F210" t="s">
        <v>43</v>
      </c>
      <c r="G210">
        <v>-435.38780000000003</v>
      </c>
      <c r="H210">
        <v>0.93795050000000002</v>
      </c>
      <c r="I210">
        <v>368.3039</v>
      </c>
      <c r="J210">
        <v>-435.97719999999998</v>
      </c>
      <c r="K210">
        <v>1.0839049999999999</v>
      </c>
      <c r="L210">
        <v>368.31650000000002</v>
      </c>
      <c r="M210">
        <v>0.99980199999999997</v>
      </c>
      <c r="N210">
        <v>0</v>
      </c>
      <c r="O210">
        <v>-1.0580859999999999E-2</v>
      </c>
      <c r="P210">
        <v>0.99135050000000002</v>
      </c>
      <c r="Q210">
        <v>8.3103789999999997E-3</v>
      </c>
      <c r="R210">
        <v>-0.13097890000000001</v>
      </c>
      <c r="S210">
        <v>3.0227360000000001</v>
      </c>
      <c r="T210">
        <v>-0.48747469999999998</v>
      </c>
      <c r="U210">
        <v>-5.3802490000000001E-2</v>
      </c>
      <c r="V210">
        <v>0.12053129999999999</v>
      </c>
      <c r="W210">
        <v>2.4792809999999998E-2</v>
      </c>
      <c r="X210">
        <v>0.9923999</v>
      </c>
      <c r="Y210">
        <v>7.2577049999999997E-3</v>
      </c>
      <c r="Z210">
        <v>1.11404E-3</v>
      </c>
      <c r="AA210">
        <v>0.99997309999999995</v>
      </c>
      <c r="AB210">
        <v>33</v>
      </c>
      <c r="AC210">
        <v>0.58939999999995496</v>
      </c>
      <c r="AD210">
        <v>-0.14595449999999999</v>
      </c>
      <c r="AE210">
        <v>-1.26000000000203E-2</v>
      </c>
      <c r="AF210">
        <v>5.9946171655778499E-3</v>
      </c>
      <c r="AG210">
        <v>-0.14595449999999999</v>
      </c>
      <c r="AH210">
        <v>0.55545444142017097</v>
      </c>
      <c r="AI210">
        <v>104.721737059837</v>
      </c>
      <c r="AJ210">
        <v>89.381672187972697</v>
      </c>
      <c r="AK210">
        <v>0.57434161263015404</v>
      </c>
      <c r="AL210">
        <v>88.579331083635196</v>
      </c>
      <c r="AM210">
        <v>83.075094683028695</v>
      </c>
      <c r="AN210">
        <v>1.00000001961369</v>
      </c>
    </row>
    <row r="211" spans="1:40" x14ac:dyDescent="0.25">
      <c r="A211" t="str">
        <f>"20190312161228071"</f>
        <v>20190312161228071</v>
      </c>
      <c r="B211" t="str">
        <f>"1552378348065792"</f>
        <v>1552378348065792</v>
      </c>
      <c r="C211" t="s">
        <v>40</v>
      </c>
      <c r="D211">
        <v>5.2716989999999999</v>
      </c>
      <c r="E211">
        <v>0.46473350000000002</v>
      </c>
      <c r="F211" t="s">
        <v>43</v>
      </c>
      <c r="G211">
        <v>-435.0813</v>
      </c>
      <c r="H211">
        <v>0.95838440000000003</v>
      </c>
      <c r="I211">
        <v>368.29629999999997</v>
      </c>
      <c r="J211">
        <v>-435.48489999999998</v>
      </c>
      <c r="K211">
        <v>1.0799909999999999</v>
      </c>
      <c r="L211">
        <v>368.31009999999998</v>
      </c>
      <c r="M211">
        <v>0.99978789999999995</v>
      </c>
      <c r="N211">
        <v>0</v>
      </c>
      <c r="O211">
        <v>-1.162264E-2</v>
      </c>
      <c r="P211">
        <v>0.99117540000000004</v>
      </c>
      <c r="Q211">
        <v>8.9269209999999904E-3</v>
      </c>
      <c r="R211">
        <v>-0.1322565</v>
      </c>
      <c r="S211">
        <v>3.0209350000000001</v>
      </c>
      <c r="T211">
        <v>-0.4234347</v>
      </c>
      <c r="U211">
        <v>-6.6314699999999893E-2</v>
      </c>
      <c r="V211">
        <v>0.12077309999999999</v>
      </c>
      <c r="W211">
        <v>2.557649E-2</v>
      </c>
      <c r="X211">
        <v>0.99235059999999997</v>
      </c>
      <c r="Y211">
        <v>1.0336E-2</v>
      </c>
      <c r="Z211">
        <v>9.0037479999999996E-4</v>
      </c>
      <c r="AA211">
        <v>0.99994620000000001</v>
      </c>
      <c r="AB211">
        <v>33</v>
      </c>
      <c r="AC211">
        <v>0.40359999999998297</v>
      </c>
      <c r="AD211">
        <v>-0.121606599999999</v>
      </c>
      <c r="AE211">
        <v>-1.3800000000003299E-2</v>
      </c>
      <c r="AF211">
        <v>8.3502990081415502E-3</v>
      </c>
      <c r="AG211">
        <v>-0.121606599999999</v>
      </c>
      <c r="AH211">
        <v>0.37016694694775898</v>
      </c>
      <c r="AI211">
        <v>108.18197485507901</v>
      </c>
      <c r="AJ211">
        <v>88.707729674053198</v>
      </c>
      <c r="AK211">
        <v>0.38971972142773398</v>
      </c>
      <c r="AL211">
        <v>88.534415260249204</v>
      </c>
      <c r="AM211">
        <v>83.060996449662795</v>
      </c>
      <c r="AN211">
        <v>1.00000000592234</v>
      </c>
    </row>
    <row r="212" spans="1:40" x14ac:dyDescent="0.25">
      <c r="A212" t="str">
        <f>"20190312161228092"</f>
        <v>20190312161228092</v>
      </c>
      <c r="B212" t="str">
        <f>"1552378348086288"</f>
        <v>1552378348086288</v>
      </c>
      <c r="C212" t="s">
        <v>40</v>
      </c>
      <c r="D212">
        <v>5.5017120000000004</v>
      </c>
      <c r="E212">
        <v>0.46559440000000002</v>
      </c>
      <c r="F212" t="s">
        <v>43</v>
      </c>
      <c r="G212">
        <v>-434.48329999999999</v>
      </c>
      <c r="H212">
        <v>0.97131250000000002</v>
      </c>
      <c r="I212">
        <v>368.27609999999999</v>
      </c>
      <c r="J212">
        <v>-435.14940000000001</v>
      </c>
      <c r="K212">
        <v>1.077466</v>
      </c>
      <c r="L212">
        <v>368.30549999999999</v>
      </c>
      <c r="M212">
        <v>0.99978210000000001</v>
      </c>
      <c r="N212">
        <v>0</v>
      </c>
      <c r="O212">
        <v>-1.228361E-2</v>
      </c>
      <c r="P212">
        <v>0.99107979999999996</v>
      </c>
      <c r="Q212">
        <v>9.5290840000000002E-3</v>
      </c>
      <c r="R212">
        <v>-0.13292979999999999</v>
      </c>
      <c r="S212">
        <v>3.0161129999999998</v>
      </c>
      <c r="T212">
        <v>-0.32746700000000001</v>
      </c>
      <c r="U212">
        <v>-0.10150149999999999</v>
      </c>
      <c r="V212">
        <v>0.1207892</v>
      </c>
      <c r="W212">
        <v>2.608129E-2</v>
      </c>
      <c r="X212">
        <v>0.99233550000000004</v>
      </c>
      <c r="Y212">
        <v>2.130017E-2</v>
      </c>
      <c r="Z212">
        <v>1.7688250000000001E-4</v>
      </c>
      <c r="AA212">
        <v>0.99977309999999997</v>
      </c>
      <c r="AB212">
        <v>33</v>
      </c>
      <c r="AC212">
        <v>0.666100000000028</v>
      </c>
      <c r="AD212">
        <v>-0.1061535</v>
      </c>
      <c r="AE212">
        <v>-2.9400000000009599E-2</v>
      </c>
      <c r="AF212">
        <v>2.06900505634207E-2</v>
      </c>
      <c r="AG212">
        <v>-0.1061535</v>
      </c>
      <c r="AH212">
        <v>0.64993630332834795</v>
      </c>
      <c r="AI212">
        <v>99.271545888796396</v>
      </c>
      <c r="AJ212">
        <v>88.176663826909106</v>
      </c>
      <c r="AK212">
        <v>0.65887316088810699</v>
      </c>
      <c r="AL212">
        <v>88.505482696029006</v>
      </c>
      <c r="AM212">
        <v>83.0599758741687</v>
      </c>
      <c r="AN212">
        <v>1.00000000454247</v>
      </c>
    </row>
    <row r="213" spans="1:40" x14ac:dyDescent="0.25">
      <c r="A213" t="str">
        <f>"20190312161228115"</f>
        <v>20190312161228115</v>
      </c>
      <c r="B213" t="str">
        <f>"1552378348106314"</f>
        <v>1552378348106314</v>
      </c>
      <c r="C213" t="s">
        <v>40</v>
      </c>
      <c r="D213">
        <v>5.5547060000000004</v>
      </c>
      <c r="E213">
        <v>0.46652329999999997</v>
      </c>
      <c r="F213" t="s">
        <v>43</v>
      </c>
      <c r="G213">
        <v>-434.1832</v>
      </c>
      <c r="H213">
        <v>0.98074419999999995</v>
      </c>
      <c r="I213">
        <v>368.26949999999999</v>
      </c>
      <c r="J213">
        <v>-434.8098</v>
      </c>
      <c r="K213">
        <v>1.0750820000000001</v>
      </c>
      <c r="L213">
        <v>368.30070000000001</v>
      </c>
      <c r="M213">
        <v>0.99977819999999995</v>
      </c>
      <c r="N213">
        <v>0</v>
      </c>
      <c r="O213">
        <v>-1.289122E-2</v>
      </c>
      <c r="P213">
        <v>0.99102990000000002</v>
      </c>
      <c r="Q213">
        <v>1.036922E-2</v>
      </c>
      <c r="R213">
        <v>-0.1332382</v>
      </c>
      <c r="S213">
        <v>3.015015</v>
      </c>
      <c r="T213">
        <v>-0.3020234</v>
      </c>
      <c r="U213">
        <v>-0.1113586</v>
      </c>
      <c r="V213">
        <v>0.12049319999999999</v>
      </c>
      <c r="W213">
        <v>2.6710500000000002E-2</v>
      </c>
      <c r="X213">
        <v>0.99235479999999998</v>
      </c>
      <c r="Y213">
        <v>2.3966899999999999E-2</v>
      </c>
      <c r="Z213" s="1">
        <v>9.0752499999999995E-5</v>
      </c>
      <c r="AA213">
        <v>0.99971279999999996</v>
      </c>
      <c r="AB213">
        <v>33</v>
      </c>
      <c r="AC213">
        <v>0.62659999999999605</v>
      </c>
      <c r="AD213">
        <v>-9.4337799999999902E-2</v>
      </c>
      <c r="AE213">
        <v>-3.1200000000012499E-2</v>
      </c>
      <c r="AF213">
        <v>2.2607475428498499E-2</v>
      </c>
      <c r="AG213">
        <v>-9.4337799999999902E-2</v>
      </c>
      <c r="AH213">
        <v>0.61308779465199204</v>
      </c>
      <c r="AI213">
        <v>98.741828346146704</v>
      </c>
      <c r="AJ213">
        <v>87.888187765116001</v>
      </c>
      <c r="AK213">
        <v>0.62071520233141797</v>
      </c>
      <c r="AL213">
        <v>88.469419130549397</v>
      </c>
      <c r="AM213">
        <v>83.076950836258206</v>
      </c>
      <c r="AN213">
        <v>1.0000000555697599</v>
      </c>
    </row>
    <row r="214" spans="1:40" x14ac:dyDescent="0.25">
      <c r="A214" t="str">
        <f>"20190312161228133"</f>
        <v>20190312161228133</v>
      </c>
      <c r="B214" t="str">
        <f>"1552378348125835"</f>
        <v>1552378348125835</v>
      </c>
      <c r="C214" t="s">
        <v>40</v>
      </c>
      <c r="D214">
        <v>5.5483900000000004</v>
      </c>
      <c r="E214">
        <v>0.46727239999999998</v>
      </c>
      <c r="F214" t="s">
        <v>43</v>
      </c>
      <c r="G214">
        <v>-433.88350000000003</v>
      </c>
      <c r="H214">
        <v>0.98994839999999995</v>
      </c>
      <c r="I214">
        <v>368.26339999999999</v>
      </c>
      <c r="J214">
        <v>-434.5256</v>
      </c>
      <c r="K214">
        <v>1.0732520000000001</v>
      </c>
      <c r="L214">
        <v>368.29649999999998</v>
      </c>
      <c r="M214">
        <v>0.99977609999999995</v>
      </c>
      <c r="N214">
        <v>0</v>
      </c>
      <c r="O214">
        <v>-1.335044E-2</v>
      </c>
      <c r="P214">
        <v>0.99102559999999995</v>
      </c>
      <c r="Q214">
        <v>1.037808E-2</v>
      </c>
      <c r="R214">
        <v>-0.133269</v>
      </c>
      <c r="S214">
        <v>3.0137939999999999</v>
      </c>
      <c r="T214">
        <v>-0.27712109999999901</v>
      </c>
      <c r="U214">
        <v>-0.1208801</v>
      </c>
      <c r="V214">
        <v>0.12006509999999999</v>
      </c>
      <c r="W214">
        <v>2.6492180000000001E-2</v>
      </c>
      <c r="X214">
        <v>0.99241250000000003</v>
      </c>
      <c r="Y214">
        <v>2.6675529999999999E-2</v>
      </c>
      <c r="Z214" s="1">
        <v>1.2188679999999899E-6</v>
      </c>
      <c r="AA214">
        <v>0.99964419999999998</v>
      </c>
      <c r="AB214">
        <v>33</v>
      </c>
      <c r="AC214">
        <v>0.64209999999997003</v>
      </c>
      <c r="AD214">
        <v>-8.3303600000000005E-2</v>
      </c>
      <c r="AE214">
        <v>-3.3099999999990297E-2</v>
      </c>
      <c r="AF214">
        <v>2.41186989569303E-2</v>
      </c>
      <c r="AG214">
        <v>-8.3303600000000005E-2</v>
      </c>
      <c r="AH214">
        <v>0.631877475801223</v>
      </c>
      <c r="AI214">
        <v>97.504878433651896</v>
      </c>
      <c r="AJ214">
        <v>87.814087095921593</v>
      </c>
      <c r="AK214">
        <v>0.63780118049221302</v>
      </c>
      <c r="AL214">
        <v>88.481932314057701</v>
      </c>
      <c r="AM214">
        <v>83.101707499869704</v>
      </c>
      <c r="AN214">
        <v>1.0000000169976999</v>
      </c>
    </row>
    <row r="215" spans="1:40" x14ac:dyDescent="0.25">
      <c r="A215" t="str">
        <f>"20190312161228158"</f>
        <v>20190312161228158</v>
      </c>
      <c r="B215" t="str">
        <f>"1552378348145355"</f>
        <v>1552378348145355</v>
      </c>
      <c r="C215" t="s">
        <v>40</v>
      </c>
      <c r="D215">
        <v>5.5956440000000001</v>
      </c>
      <c r="E215">
        <v>0.46779300000000001</v>
      </c>
      <c r="F215" t="s">
        <v>43</v>
      </c>
      <c r="G215">
        <v>-433.58789999999999</v>
      </c>
      <c r="H215">
        <v>0.99143199999999998</v>
      </c>
      <c r="I215">
        <v>368.25670000000002</v>
      </c>
      <c r="J215">
        <v>-434.18220000000002</v>
      </c>
      <c r="K215">
        <v>1.0712649999999999</v>
      </c>
      <c r="L215">
        <v>368.29129999999998</v>
      </c>
      <c r="M215">
        <v>0.99977479999999996</v>
      </c>
      <c r="N215">
        <v>0</v>
      </c>
      <c r="O215">
        <v>-1.3847730000000001E-2</v>
      </c>
      <c r="P215">
        <v>0.99098920000000001</v>
      </c>
      <c r="Q215">
        <v>1.055684E-2</v>
      </c>
      <c r="R215">
        <v>-0.13352649999999999</v>
      </c>
      <c r="S215">
        <v>3.0127869999999999</v>
      </c>
      <c r="T215">
        <v>-0.262903</v>
      </c>
      <c r="U215">
        <v>-0.1273193</v>
      </c>
      <c r="V215">
        <v>0.11982569999999999</v>
      </c>
      <c r="W215">
        <v>2.6359670000000002E-2</v>
      </c>
      <c r="X215">
        <v>0.99244489999999996</v>
      </c>
      <c r="Y215">
        <v>2.8325840000000001E-2</v>
      </c>
      <c r="Z215" s="1">
        <v>-2.7400439999999999E-5</v>
      </c>
      <c r="AA215">
        <v>0.99959869999999995</v>
      </c>
      <c r="AB215">
        <v>33</v>
      </c>
      <c r="AC215">
        <v>0.59430000000003202</v>
      </c>
      <c r="AD215">
        <v>-7.9832999999999904E-2</v>
      </c>
      <c r="AE215">
        <v>-3.4599999999954799E-2</v>
      </c>
      <c r="AF215">
        <v>2.5900126070197899E-2</v>
      </c>
      <c r="AG215">
        <v>-7.9832999999999904E-2</v>
      </c>
      <c r="AH215">
        <v>0.584215717754759</v>
      </c>
      <c r="AI215">
        <v>97.7737237049447</v>
      </c>
      <c r="AJ215">
        <v>87.461559486550001</v>
      </c>
      <c r="AK215">
        <v>0.59021363021465401</v>
      </c>
      <c r="AL215">
        <v>88.489527136439804</v>
      </c>
      <c r="AM215">
        <v>83.115552590568797</v>
      </c>
      <c r="AN215">
        <v>0.99999995505950301</v>
      </c>
    </row>
    <row r="216" spans="1:40" x14ac:dyDescent="0.25">
      <c r="A216" t="str">
        <f>"20190312161228178"</f>
        <v>20190312161228178</v>
      </c>
      <c r="B216" t="str">
        <f>"1552378348175611"</f>
        <v>1552378348175611</v>
      </c>
      <c r="C216" t="s">
        <v>40</v>
      </c>
      <c r="D216">
        <v>5.5825559999999896</v>
      </c>
      <c r="E216">
        <v>0.46818589999999999</v>
      </c>
      <c r="F216" t="s">
        <v>43</v>
      </c>
      <c r="G216">
        <v>-433.28960000000001</v>
      </c>
      <c r="H216">
        <v>0.99820339999999996</v>
      </c>
      <c r="I216">
        <v>368.25170000000003</v>
      </c>
      <c r="J216">
        <v>-433.86610000000002</v>
      </c>
      <c r="K216">
        <v>1.0696460000000001</v>
      </c>
      <c r="L216">
        <v>368.28640000000001</v>
      </c>
      <c r="M216">
        <v>0.99977400000000005</v>
      </c>
      <c r="N216">
        <v>0</v>
      </c>
      <c r="O216">
        <v>-1.425414E-2</v>
      </c>
      <c r="P216">
        <v>0.99096200000000001</v>
      </c>
      <c r="Q216">
        <v>1.092222E-2</v>
      </c>
      <c r="R216">
        <v>-0.13369729999999999</v>
      </c>
      <c r="S216">
        <v>3.0119929999999999</v>
      </c>
      <c r="T216">
        <v>-0.24679519999999999</v>
      </c>
      <c r="U216">
        <v>-0.13262939999999901</v>
      </c>
      <c r="V216">
        <v>0.1195899</v>
      </c>
      <c r="W216">
        <v>2.642688E-2</v>
      </c>
      <c r="X216">
        <v>0.99247160000000001</v>
      </c>
      <c r="Y216">
        <v>2.9692920000000001E-2</v>
      </c>
      <c r="Z216" s="1">
        <v>-4.8404440000000003E-5</v>
      </c>
      <c r="AA216">
        <v>0.99955899999999998</v>
      </c>
      <c r="AB216">
        <v>33</v>
      </c>
      <c r="AC216">
        <v>0.57650000000001</v>
      </c>
      <c r="AD216">
        <v>-7.1442599999999898E-2</v>
      </c>
      <c r="AE216">
        <v>-3.4699999999986603E-2</v>
      </c>
      <c r="AF216">
        <v>2.6078883319679599E-2</v>
      </c>
      <c r="AG216">
        <v>-7.1442599999999898E-2</v>
      </c>
      <c r="AH216">
        <v>0.56824093108940599</v>
      </c>
      <c r="AI216">
        <v>97.158506982473199</v>
      </c>
      <c r="AJ216">
        <v>87.372307900617898</v>
      </c>
      <c r="AK216">
        <v>0.57330786582369198</v>
      </c>
      <c r="AL216">
        <v>88.485675013772095</v>
      </c>
      <c r="AM216">
        <v>83.129153647717402</v>
      </c>
      <c r="AN216">
        <v>1.00000000048755</v>
      </c>
    </row>
    <row r="217" spans="1:40" x14ac:dyDescent="0.25">
      <c r="A217" t="str">
        <f>"20190312161228202"</f>
        <v>20190312161228202</v>
      </c>
      <c r="B217" t="str">
        <f>"1552378348195638"</f>
        <v>1552378348195638</v>
      </c>
      <c r="C217" t="s">
        <v>40</v>
      </c>
      <c r="D217">
        <v>5.6411419999999897</v>
      </c>
      <c r="E217">
        <v>0.46845569999999997</v>
      </c>
      <c r="F217" t="s">
        <v>43</v>
      </c>
      <c r="G217">
        <v>-432.98970000000003</v>
      </c>
      <c r="H217">
        <v>1.0036700000000001</v>
      </c>
      <c r="I217">
        <v>368.24630000000002</v>
      </c>
      <c r="J217">
        <v>-433.52339999999998</v>
      </c>
      <c r="K217">
        <v>1.0681099999999999</v>
      </c>
      <c r="L217">
        <v>368.28109999999998</v>
      </c>
      <c r="M217">
        <v>0.99977380000000005</v>
      </c>
      <c r="N217">
        <v>0</v>
      </c>
      <c r="O217">
        <v>-1.464619E-2</v>
      </c>
      <c r="P217">
        <v>0.99091359999999995</v>
      </c>
      <c r="Q217">
        <v>1.059586E-2</v>
      </c>
      <c r="R217">
        <v>-0.13408249999999999</v>
      </c>
      <c r="S217">
        <v>3.0113219999999998</v>
      </c>
      <c r="T217">
        <v>-0.2267478</v>
      </c>
      <c r="U217">
        <v>-0.1374512</v>
      </c>
      <c r="V217">
        <v>0.11958199999999999</v>
      </c>
      <c r="W217">
        <v>2.5776219999999999E-2</v>
      </c>
      <c r="X217">
        <v>0.99248959999999997</v>
      </c>
      <c r="Y217">
        <v>3.0913779999999998E-2</v>
      </c>
      <c r="Z217" s="1">
        <v>-6.0916760000000003E-5</v>
      </c>
      <c r="AA217">
        <v>0.99952200000000002</v>
      </c>
      <c r="AB217">
        <v>33</v>
      </c>
      <c r="AC217">
        <v>0.53369999999995299</v>
      </c>
      <c r="AD217">
        <v>-6.4439999999999997E-2</v>
      </c>
      <c r="AE217">
        <v>-3.4799999999961501E-2</v>
      </c>
      <c r="AF217">
        <v>2.6592622491836498E-2</v>
      </c>
      <c r="AG217">
        <v>-6.4439999999999997E-2</v>
      </c>
      <c r="AH217">
        <v>0.52650920428896797</v>
      </c>
      <c r="AI217">
        <v>96.968989992530098</v>
      </c>
      <c r="AJ217">
        <v>87.108594881107905</v>
      </c>
      <c r="AK217">
        <v>0.53110415491878404</v>
      </c>
      <c r="AL217">
        <v>88.522967698555604</v>
      </c>
      <c r="AM217">
        <v>83.1297266031292</v>
      </c>
      <c r="AN217">
        <v>0.99999993717482205</v>
      </c>
    </row>
    <row r="218" spans="1:40" x14ac:dyDescent="0.25">
      <c r="A218" t="str">
        <f>"20190312161228223"</f>
        <v>20190312161228223</v>
      </c>
      <c r="B218" t="str">
        <f>"1552378348216133"</f>
        <v>1552378348216133</v>
      </c>
      <c r="C218" t="s">
        <v>40</v>
      </c>
      <c r="D218">
        <v>5.6475790000000003</v>
      </c>
      <c r="E218">
        <v>0.46873999999999999</v>
      </c>
      <c r="F218" t="s">
        <v>41</v>
      </c>
      <c r="G218">
        <v>-417.9846</v>
      </c>
      <c r="H218">
        <v>-0.05</v>
      </c>
      <c r="I218">
        <v>367.5523</v>
      </c>
      <c r="J218">
        <v>-433.20490000000001</v>
      </c>
      <c r="K218">
        <v>1.066859</v>
      </c>
      <c r="L218">
        <v>368.27600000000001</v>
      </c>
      <c r="M218">
        <v>0.99977360000000004</v>
      </c>
      <c r="N218">
        <v>0</v>
      </c>
      <c r="O218">
        <v>-1.497764E-2</v>
      </c>
      <c r="P218">
        <v>0.99089369999999999</v>
      </c>
      <c r="Q218">
        <v>1.0165189999999999E-2</v>
      </c>
      <c r="R218">
        <v>-0.1342622</v>
      </c>
      <c r="S218">
        <v>3.010742</v>
      </c>
      <c r="T218">
        <v>-0.21663979999999999</v>
      </c>
      <c r="U218">
        <v>-0.14120479999999899</v>
      </c>
      <c r="V218">
        <v>0.1194293</v>
      </c>
      <c r="W218">
        <v>2.5052140000000001E-2</v>
      </c>
      <c r="X218">
        <v>0.99252660000000004</v>
      </c>
      <c r="Y218">
        <v>3.1837200000000003E-2</v>
      </c>
      <c r="Z218" s="1">
        <v>-6.7584100000000002E-5</v>
      </c>
      <c r="AA218">
        <v>0.99949310000000002</v>
      </c>
      <c r="AB218">
        <v>33</v>
      </c>
      <c r="AC218">
        <v>15.2203</v>
      </c>
      <c r="AD218">
        <v>-1.116859</v>
      </c>
      <c r="AE218">
        <v>-0.723700000000007</v>
      </c>
      <c r="AF218">
        <v>0.492980095585071</v>
      </c>
      <c r="AG218">
        <v>-1.116859</v>
      </c>
      <c r="AH218">
        <v>15.1480512784367</v>
      </c>
      <c r="AI218">
        <v>94.214539016200604</v>
      </c>
      <c r="AJ218">
        <v>88.136016784071899</v>
      </c>
      <c r="AK218">
        <v>15.1971662139581</v>
      </c>
      <c r="AL218">
        <v>88.564467938268393</v>
      </c>
      <c r="AM218">
        <v>83.138669244367904</v>
      </c>
      <c r="AN218">
        <v>1.0000000095623101</v>
      </c>
    </row>
    <row r="219" spans="1:40" x14ac:dyDescent="0.25">
      <c r="A219" t="str">
        <f>"20190312161228247"</f>
        <v>20190312161228247</v>
      </c>
      <c r="B219" t="str">
        <f>"1552378348236629"</f>
        <v>1552378348236629</v>
      </c>
      <c r="C219" t="s">
        <v>40</v>
      </c>
      <c r="D219">
        <v>5.6573330000000004</v>
      </c>
      <c r="E219">
        <v>0.46890110000000002</v>
      </c>
      <c r="F219" t="s">
        <v>41</v>
      </c>
      <c r="G219">
        <v>-417.1773</v>
      </c>
      <c r="H219">
        <v>-0.05</v>
      </c>
      <c r="I219">
        <v>367.50850000000003</v>
      </c>
      <c r="J219">
        <v>-432.8623</v>
      </c>
      <c r="K219">
        <v>1.0656870000000001</v>
      </c>
      <c r="L219">
        <v>368.2704</v>
      </c>
      <c r="M219">
        <v>0.99977329999999998</v>
      </c>
      <c r="N219">
        <v>0</v>
      </c>
      <c r="O219">
        <v>-1.530547E-2</v>
      </c>
      <c r="P219">
        <v>0.99089910000000003</v>
      </c>
      <c r="Q219">
        <v>1.0039859999999999E-2</v>
      </c>
      <c r="R219">
        <v>-0.1342323</v>
      </c>
      <c r="S219">
        <v>3.0101930000000001</v>
      </c>
      <c r="T219">
        <v>-0.20976030000000001</v>
      </c>
      <c r="U219">
        <v>-0.1441345</v>
      </c>
      <c r="V219">
        <v>0.1190713</v>
      </c>
      <c r="W219">
        <v>2.4625020000000001E-2</v>
      </c>
      <c r="X219">
        <v>0.99258029999999997</v>
      </c>
      <c r="Y219">
        <v>3.2490570000000003E-2</v>
      </c>
      <c r="Z219" s="1">
        <v>-6.5384549999999994E-5</v>
      </c>
      <c r="AA219">
        <v>0.99947200000000003</v>
      </c>
      <c r="AB219">
        <v>33</v>
      </c>
      <c r="AC219">
        <v>15.685</v>
      </c>
      <c r="AD219">
        <v>-1.1156870000000001</v>
      </c>
      <c r="AE219">
        <v>-0.76189999999996805</v>
      </c>
      <c r="AF219">
        <v>0.51909789316577204</v>
      </c>
      <c r="AG219">
        <v>-1.1156870000000001</v>
      </c>
      <c r="AH219">
        <v>15.616000204456</v>
      </c>
      <c r="AI219">
        <v>94.084311797156701</v>
      </c>
      <c r="AJ219">
        <v>88.096108454682707</v>
      </c>
      <c r="AK219">
        <v>15.664408143630199</v>
      </c>
      <c r="AL219">
        <v>88.588947663412597</v>
      </c>
      <c r="AM219">
        <v>83.159408093916994</v>
      </c>
      <c r="AN219">
        <v>1.00000000902089</v>
      </c>
    </row>
    <row r="220" spans="1:40" x14ac:dyDescent="0.25">
      <c r="A220" t="str">
        <f>"20190312161228269"</f>
        <v>20190312161228269</v>
      </c>
      <c r="B220" t="str">
        <f>"1552378348265910"</f>
        <v>1552378348265910</v>
      </c>
      <c r="C220" t="s">
        <v>40</v>
      </c>
      <c r="D220">
        <v>5.6459989999999998</v>
      </c>
      <c r="E220">
        <v>0.44289519999999999</v>
      </c>
      <c r="F220" t="s">
        <v>41</v>
      </c>
      <c r="G220">
        <v>-416.2928</v>
      </c>
      <c r="H220">
        <v>-0.05</v>
      </c>
      <c r="I220">
        <v>367.46570000000003</v>
      </c>
      <c r="J220">
        <v>-432.53750000000002</v>
      </c>
      <c r="K220">
        <v>1.0647310000000001</v>
      </c>
      <c r="L220">
        <v>368.26510000000002</v>
      </c>
      <c r="M220">
        <v>0.99977300000000002</v>
      </c>
      <c r="N220">
        <v>0</v>
      </c>
      <c r="O220">
        <v>-1.559368E-2</v>
      </c>
      <c r="P220">
        <v>0.99100520000000003</v>
      </c>
      <c r="Q220">
        <v>9.9564140000000002E-3</v>
      </c>
      <c r="R220">
        <v>-0.1334534</v>
      </c>
      <c r="S220">
        <v>3.009827</v>
      </c>
      <c r="T220">
        <v>-0.2026627</v>
      </c>
      <c r="U220">
        <v>-0.14617920000000001</v>
      </c>
      <c r="V220">
        <v>0.1180025</v>
      </c>
      <c r="W220">
        <v>2.427609E-2</v>
      </c>
      <c r="X220">
        <v>0.9927165</v>
      </c>
      <c r="Y220">
        <v>3.2888220000000003E-2</v>
      </c>
      <c r="Z220" s="1">
        <v>-5.7184600000000001E-5</v>
      </c>
      <c r="AA220">
        <v>0.99945899999999999</v>
      </c>
      <c r="AB220">
        <v>33</v>
      </c>
      <c r="AC220">
        <v>16.244700000000002</v>
      </c>
      <c r="AD220">
        <v>-1.1147309999999999</v>
      </c>
      <c r="AE220">
        <v>-0.79939999999999101</v>
      </c>
      <c r="AF220">
        <v>0.54340876607640998</v>
      </c>
      <c r="AG220">
        <v>-1.1147309999999999</v>
      </c>
      <c r="AH220">
        <v>16.179189645808599</v>
      </c>
      <c r="AI220">
        <v>93.939182433869505</v>
      </c>
      <c r="AJ220">
        <v>88.076335722074404</v>
      </c>
      <c r="AK220">
        <v>16.226647709383801</v>
      </c>
      <c r="AL220">
        <v>88.608945823464794</v>
      </c>
      <c r="AM220">
        <v>83.221157582355701</v>
      </c>
      <c r="AN220">
        <v>0.999999983962093</v>
      </c>
    </row>
    <row r="221" spans="1:40" x14ac:dyDescent="0.25">
      <c r="A221" t="str">
        <f>"20190312161228292"</f>
        <v>20190312161228292</v>
      </c>
      <c r="B221" t="str">
        <f>"1552378348285431"</f>
        <v>1552378348285431</v>
      </c>
      <c r="C221" t="s">
        <v>40</v>
      </c>
      <c r="D221">
        <v>5.6446249999999996</v>
      </c>
      <c r="E221">
        <v>0.44308449999999999</v>
      </c>
      <c r="F221" t="s">
        <v>41</v>
      </c>
      <c r="G221">
        <v>-406.1309</v>
      </c>
      <c r="H221">
        <v>-0.05</v>
      </c>
      <c r="I221">
        <v>368.7765</v>
      </c>
      <c r="J221">
        <v>-432.21030000000002</v>
      </c>
      <c r="K221">
        <v>1.063922</v>
      </c>
      <c r="L221">
        <v>368.25959999999998</v>
      </c>
      <c r="M221">
        <v>0.99977229999999995</v>
      </c>
      <c r="N221">
        <v>0</v>
      </c>
      <c r="O221">
        <v>-1.5873290000000002E-2</v>
      </c>
      <c r="P221">
        <v>0.99101269999999997</v>
      </c>
      <c r="Q221">
        <v>9.9435229999999993E-3</v>
      </c>
      <c r="R221">
        <v>-0.13339809999999999</v>
      </c>
      <c r="S221">
        <v>3.036438</v>
      </c>
      <c r="T221">
        <v>-0.12818060000000001</v>
      </c>
      <c r="U221">
        <v>5.8807369999999998E-2</v>
      </c>
      <c r="V221">
        <v>0.1176682</v>
      </c>
      <c r="W221">
        <v>2.4017239999999999E-2</v>
      </c>
      <c r="X221">
        <v>0.99276249999999999</v>
      </c>
      <c r="Y221">
        <v>-3.5187620000000003E-2</v>
      </c>
      <c r="Z221">
        <v>1.412097E-3</v>
      </c>
      <c r="AA221">
        <v>0.99937980000000004</v>
      </c>
      <c r="AB221">
        <v>33</v>
      </c>
      <c r="AC221">
        <v>26.0794</v>
      </c>
      <c r="AD221">
        <v>-1.1139219999999901</v>
      </c>
      <c r="AE221">
        <v>0.51690000000002101</v>
      </c>
      <c r="AF221">
        <v>-0.92914839602552002</v>
      </c>
      <c r="AG221">
        <v>-1.1139219999999901</v>
      </c>
      <c r="AH221">
        <v>26.0204554308207</v>
      </c>
      <c r="AI221">
        <v>92.449746009327498</v>
      </c>
      <c r="AJ221">
        <v>92.045070735890206</v>
      </c>
      <c r="AK221">
        <v>26.0608564669553</v>
      </c>
      <c r="AL221">
        <v>88.623781193924302</v>
      </c>
      <c r="AM221">
        <v>83.2404943368971</v>
      </c>
      <c r="AN221">
        <v>1.0000000072573501</v>
      </c>
    </row>
    <row r="222" spans="1:40" x14ac:dyDescent="0.25">
      <c r="A222" t="str">
        <f>"20190312161228313"</f>
        <v>20190312161228313</v>
      </c>
      <c r="B222" t="str">
        <f>"1552378348305456"</f>
        <v>1552378348305456</v>
      </c>
      <c r="C222" t="s">
        <v>40</v>
      </c>
      <c r="D222">
        <v>5.5946420000000003</v>
      </c>
      <c r="E222">
        <v>0.44364209999999898</v>
      </c>
      <c r="F222" t="s">
        <v>41</v>
      </c>
      <c r="G222">
        <v>-407.58390000000003</v>
      </c>
      <c r="H222">
        <v>-0.05</v>
      </c>
      <c r="I222">
        <v>368.72789999999998</v>
      </c>
      <c r="J222">
        <v>-431.90710000000001</v>
      </c>
      <c r="K222">
        <v>1.0632330000000001</v>
      </c>
      <c r="L222">
        <v>368.25450000000001</v>
      </c>
      <c r="M222">
        <v>0.99977340000000003</v>
      </c>
      <c r="N222">
        <v>0</v>
      </c>
      <c r="O222">
        <v>-1.612794E-2</v>
      </c>
      <c r="P222">
        <v>0.99109440000000004</v>
      </c>
      <c r="Q222">
        <v>1.0182729999999999E-2</v>
      </c>
      <c r="R222">
        <v>-0.1327728</v>
      </c>
      <c r="S222">
        <v>3.0362849999999999</v>
      </c>
      <c r="T222">
        <v>-0.13733970000000001</v>
      </c>
      <c r="U222">
        <v>5.7739260000000001E-2</v>
      </c>
      <c r="V222">
        <v>0.1167875</v>
      </c>
      <c r="W222">
        <v>2.3889959999999998E-2</v>
      </c>
      <c r="X222">
        <v>0.99286960000000002</v>
      </c>
      <c r="Y222">
        <v>-3.5084740000000003E-2</v>
      </c>
      <c r="Z222">
        <v>1.522161E-3</v>
      </c>
      <c r="AA222">
        <v>0.99938320000000003</v>
      </c>
      <c r="AB222">
        <v>33</v>
      </c>
      <c r="AC222">
        <v>24.3231999999999</v>
      </c>
      <c r="AD222">
        <v>-1.1132329999999999</v>
      </c>
      <c r="AE222">
        <v>0.47339999999996901</v>
      </c>
      <c r="AF222">
        <v>-0.86385053491875696</v>
      </c>
      <c r="AG222">
        <v>-1.1132329999999999</v>
      </c>
      <c r="AH222">
        <v>24.261597555984601</v>
      </c>
      <c r="AI222">
        <v>92.625488186780601</v>
      </c>
      <c r="AJ222">
        <v>92.039193403202802</v>
      </c>
      <c r="AK222">
        <v>24.3024822071229</v>
      </c>
      <c r="AL222">
        <v>88.631075947446604</v>
      </c>
      <c r="AM222">
        <v>83.291340757919002</v>
      </c>
      <c r="AN222">
        <v>1.0000000464745999</v>
      </c>
    </row>
    <row r="223" spans="1:40" x14ac:dyDescent="0.25">
      <c r="A223" t="str">
        <f>"20190312161228335"</f>
        <v>20190312161228335</v>
      </c>
      <c r="B223" t="str">
        <f>"1552378348325952"</f>
        <v>1552378348325952</v>
      </c>
      <c r="C223" t="s">
        <v>40</v>
      </c>
      <c r="D223">
        <v>5.5898729999999999</v>
      </c>
      <c r="E223">
        <v>0.44157350000000001</v>
      </c>
      <c r="F223" t="s">
        <v>41</v>
      </c>
      <c r="G223">
        <v>-406.8759</v>
      </c>
      <c r="H223">
        <v>-0.05</v>
      </c>
      <c r="I223">
        <v>368.71140000000003</v>
      </c>
      <c r="J223">
        <v>-431.56229999999999</v>
      </c>
      <c r="K223">
        <v>1.062322</v>
      </c>
      <c r="L223">
        <v>368.24860000000001</v>
      </c>
      <c r="M223">
        <v>0.99978730000000005</v>
      </c>
      <c r="N223">
        <v>0</v>
      </c>
      <c r="O223">
        <v>-1.6408289999999999E-2</v>
      </c>
      <c r="P223">
        <v>0.99114530000000001</v>
      </c>
      <c r="Q223">
        <v>1.133696E-2</v>
      </c>
      <c r="R223">
        <v>-0.13229739999999901</v>
      </c>
      <c r="S223">
        <v>3.0357669999999999</v>
      </c>
      <c r="T223">
        <v>-0.13501199999999999</v>
      </c>
      <c r="U223">
        <v>5.5419919999999998E-2</v>
      </c>
      <c r="V223">
        <v>0.1160315</v>
      </c>
      <c r="W223">
        <v>2.3663050000000001E-2</v>
      </c>
      <c r="X223">
        <v>0.99296359999999995</v>
      </c>
      <c r="Y223">
        <v>-3.4606579999999998E-2</v>
      </c>
      <c r="Z223">
        <v>1.4984760000000001E-3</v>
      </c>
      <c r="AA223">
        <v>0.99939990000000001</v>
      </c>
      <c r="AB223">
        <v>33</v>
      </c>
      <c r="AC223">
        <v>24.6863999999999</v>
      </c>
      <c r="AD223">
        <v>-1.112322</v>
      </c>
      <c r="AE223">
        <v>0.46280000000001498</v>
      </c>
      <c r="AF223">
        <v>-0.86607320820354805</v>
      </c>
      <c r="AG223">
        <v>-1.112322</v>
      </c>
      <c r="AH223">
        <v>24.6255038187529</v>
      </c>
      <c r="AI223">
        <v>92.584668632198003</v>
      </c>
      <c r="AJ223">
        <v>92.014248951761999</v>
      </c>
      <c r="AK223">
        <v>24.665822130248699</v>
      </c>
      <c r="AL223">
        <v>88.644080518379695</v>
      </c>
      <c r="AM223">
        <v>83.335001189954198</v>
      </c>
      <c r="AN223">
        <v>0.999999979926256</v>
      </c>
    </row>
    <row r="224" spans="1:40" x14ac:dyDescent="0.25">
      <c r="A224" t="str">
        <f>"20190312161228358"</f>
        <v>20190312161228358</v>
      </c>
      <c r="B224" t="str">
        <f>"1552378348345474"</f>
        <v>1552378348345474</v>
      </c>
      <c r="C224" t="s">
        <v>40</v>
      </c>
      <c r="D224">
        <v>5.5773640000000002</v>
      </c>
      <c r="E224">
        <v>0.44507869999999999</v>
      </c>
      <c r="F224" t="s">
        <v>42</v>
      </c>
      <c r="G224">
        <v>-348.3492</v>
      </c>
      <c r="H224" s="1">
        <v>-8.9715969999999999E-7</v>
      </c>
      <c r="I224">
        <v>370.12869999999998</v>
      </c>
      <c r="J224">
        <v>-431.21530000000001</v>
      </c>
      <c r="K224">
        <v>1.061499</v>
      </c>
      <c r="L224">
        <v>368.24250000000001</v>
      </c>
      <c r="M224">
        <v>0.99980150000000001</v>
      </c>
      <c r="N224">
        <v>0</v>
      </c>
      <c r="O224">
        <v>-1.668735E-2</v>
      </c>
      <c r="P224">
        <v>0.99111320000000003</v>
      </c>
      <c r="Q224">
        <v>1.270718E-2</v>
      </c>
      <c r="R224">
        <v>-0.13241439999999999</v>
      </c>
      <c r="S224">
        <v>3.0363769999999999</v>
      </c>
      <c r="T224">
        <v>-3.8763279999999997E-2</v>
      </c>
      <c r="U224">
        <v>6.8603520000000001E-2</v>
      </c>
      <c r="V224">
        <v>0.11587020000000001</v>
      </c>
      <c r="W224">
        <v>2.3458059999999999E-2</v>
      </c>
      <c r="X224">
        <v>0.99298730000000002</v>
      </c>
      <c r="Y224">
        <v>-3.9264489999999999E-2</v>
      </c>
      <c r="Z224">
        <v>4.6360390000000002E-4</v>
      </c>
      <c r="AA224">
        <v>0.99922869999999997</v>
      </c>
      <c r="AB224">
        <v>33</v>
      </c>
      <c r="AC224">
        <v>82.866100000000003</v>
      </c>
      <c r="AD224">
        <v>-1.0614998971597001</v>
      </c>
      <c r="AE224">
        <v>1.8861999999999699</v>
      </c>
      <c r="AF224">
        <v>-3.2682988534344402</v>
      </c>
      <c r="AG224">
        <v>-1.0614998971597001</v>
      </c>
      <c r="AH224">
        <v>82.809501220988807</v>
      </c>
      <c r="AI224">
        <v>90.733838824733297</v>
      </c>
      <c r="AJ224">
        <v>92.260158401521693</v>
      </c>
      <c r="AK224">
        <v>82.880770097145998</v>
      </c>
      <c r="AL224">
        <v>88.655828842978195</v>
      </c>
      <c r="AM224">
        <v>83.344340715328002</v>
      </c>
      <c r="AN224">
        <v>0.99999998089414599</v>
      </c>
    </row>
    <row r="225" spans="1:40" x14ac:dyDescent="0.25">
      <c r="A225" t="str">
        <f>"20190312161228379"</f>
        <v>20190312161228379</v>
      </c>
      <c r="B225" t="str">
        <f>"1552378348375728"</f>
        <v>1552378348375728</v>
      </c>
      <c r="C225" t="s">
        <v>40</v>
      </c>
      <c r="D225">
        <v>5.5146490000000004</v>
      </c>
      <c r="E225">
        <v>0.4449978</v>
      </c>
      <c r="F225" t="s">
        <v>41</v>
      </c>
      <c r="G225">
        <v>-403.78530000000001</v>
      </c>
      <c r="H225">
        <v>-0.05</v>
      </c>
      <c r="I225">
        <v>368.6447</v>
      </c>
      <c r="J225">
        <v>-430.89260000000002</v>
      </c>
      <c r="K225">
        <v>1.0608679999999999</v>
      </c>
      <c r="L225">
        <v>368.23700000000002</v>
      </c>
      <c r="M225">
        <v>0.99981189999999998</v>
      </c>
      <c r="N225">
        <v>0</v>
      </c>
      <c r="O225">
        <v>-1.694273E-2</v>
      </c>
      <c r="P225">
        <v>0.99109950000000002</v>
      </c>
      <c r="Q225">
        <v>1.382945E-2</v>
      </c>
      <c r="R225">
        <v>-0.13240499999999999</v>
      </c>
      <c r="S225">
        <v>3.0343930000000001</v>
      </c>
      <c r="T225">
        <v>-0.1229581</v>
      </c>
      <c r="U225">
        <v>4.449463E-2</v>
      </c>
      <c r="V225">
        <v>0.1156061</v>
      </c>
      <c r="W225">
        <v>2.3151540000000002E-2</v>
      </c>
      <c r="X225">
        <v>0.9930253</v>
      </c>
      <c r="Y225">
        <v>-3.1561619999999999E-2</v>
      </c>
      <c r="Z225">
        <v>1.3254180000000001E-3</v>
      </c>
      <c r="AA225">
        <v>0.99950090000000003</v>
      </c>
      <c r="AB225">
        <v>34</v>
      </c>
      <c r="AC225">
        <v>27.107299999999999</v>
      </c>
      <c r="AD225">
        <v>-1.110868</v>
      </c>
      <c r="AE225">
        <v>0.40770000000003298</v>
      </c>
      <c r="AF225">
        <v>-0.86548044974327598</v>
      </c>
      <c r="AG225">
        <v>-1.110868</v>
      </c>
      <c r="AH225">
        <v>27.051081728929798</v>
      </c>
      <c r="AI225">
        <v>92.350361071597405</v>
      </c>
      <c r="AJ225">
        <v>91.832513308152897</v>
      </c>
      <c r="AK225">
        <v>27.087711361935899</v>
      </c>
      <c r="AL225">
        <v>88.673395949210104</v>
      </c>
      <c r="AM225">
        <v>83.3596269959464</v>
      </c>
      <c r="AN225">
        <v>1.00000000530083</v>
      </c>
    </row>
    <row r="226" spans="1:40" x14ac:dyDescent="0.25">
      <c r="A226" t="str">
        <f>"20190312161228401"</f>
        <v>20190312161228401</v>
      </c>
      <c r="B226" t="str">
        <f>"1552378348396224"</f>
        <v>1552378348396224</v>
      </c>
      <c r="C226" t="s">
        <v>40</v>
      </c>
      <c r="D226">
        <v>5.4780290000000003</v>
      </c>
      <c r="E226">
        <v>0.44528139999999999</v>
      </c>
      <c r="F226" t="s">
        <v>41</v>
      </c>
      <c r="G226">
        <v>-404.95190000000002</v>
      </c>
      <c r="H226">
        <v>-0.05</v>
      </c>
      <c r="I226">
        <v>368.62619999999998</v>
      </c>
      <c r="J226">
        <v>-430.56009999999998</v>
      </c>
      <c r="K226">
        <v>1.0603260000000001</v>
      </c>
      <c r="L226">
        <v>368.23110000000003</v>
      </c>
      <c r="M226">
        <v>0.99982000000000004</v>
      </c>
      <c r="N226">
        <v>0</v>
      </c>
      <c r="O226">
        <v>-1.7194250000000001E-2</v>
      </c>
      <c r="P226">
        <v>0.9911124</v>
      </c>
      <c r="Q226">
        <v>1.540272E-2</v>
      </c>
      <c r="R226">
        <v>-0.13213259999999999</v>
      </c>
      <c r="S226">
        <v>3.034821</v>
      </c>
      <c r="T226">
        <v>-0.12996099999999999</v>
      </c>
      <c r="U226">
        <v>4.553223E-2</v>
      </c>
      <c r="V226">
        <v>0.11508309999999999</v>
      </c>
      <c r="W226">
        <v>2.331076E-2</v>
      </c>
      <c r="X226">
        <v>0.99308229999999997</v>
      </c>
      <c r="Y226">
        <v>-3.214703E-2</v>
      </c>
      <c r="Z226">
        <v>1.4239229999999999E-3</v>
      </c>
      <c r="AA226">
        <v>0.99948219999999999</v>
      </c>
      <c r="AB226">
        <v>34</v>
      </c>
      <c r="AC226">
        <v>25.608199999999901</v>
      </c>
      <c r="AD226">
        <v>-1.1103259999999999</v>
      </c>
      <c r="AE226">
        <v>0.39509999999995599</v>
      </c>
      <c r="AF226">
        <v>-0.833802421408122</v>
      </c>
      <c r="AG226">
        <v>-1.1103259999999999</v>
      </c>
      <c r="AH226">
        <v>25.549600211612201</v>
      </c>
      <c r="AI226">
        <v>92.487052800011398</v>
      </c>
      <c r="AJ226">
        <v>91.869164693556201</v>
      </c>
      <c r="AK226">
        <v>25.587303907942999</v>
      </c>
      <c r="AL226">
        <v>88.6642708227714</v>
      </c>
      <c r="AM226">
        <v>83.389777513944097</v>
      </c>
      <c r="AN226">
        <v>0.99999998300533799</v>
      </c>
    </row>
    <row r="227" spans="1:40" x14ac:dyDescent="0.25">
      <c r="A227" t="str">
        <f>"20190312161228424"</f>
        <v>20190312161228424</v>
      </c>
      <c r="B227" t="str">
        <f>"1552378348415743"</f>
        <v>1552378348415743</v>
      </c>
      <c r="C227" t="s">
        <v>40</v>
      </c>
      <c r="D227">
        <v>5.4112830000000001</v>
      </c>
      <c r="E227">
        <v>0.44585809999999998</v>
      </c>
      <c r="F227" t="s">
        <v>41</v>
      </c>
      <c r="G227">
        <v>-402.43709999999999</v>
      </c>
      <c r="H227">
        <v>-0.05</v>
      </c>
      <c r="I227">
        <v>368.63839999999999</v>
      </c>
      <c r="J227">
        <v>-430.20870000000002</v>
      </c>
      <c r="K227">
        <v>1.059852</v>
      </c>
      <c r="L227">
        <v>368.22489999999999</v>
      </c>
      <c r="M227">
        <v>0.99982610000000005</v>
      </c>
      <c r="N227">
        <v>0</v>
      </c>
      <c r="O227">
        <v>-1.744242E-2</v>
      </c>
      <c r="P227">
        <v>0.99105149999999997</v>
      </c>
      <c r="Q227">
        <v>1.7540429999999999E-2</v>
      </c>
      <c r="R227">
        <v>-0.13232349999999901</v>
      </c>
      <c r="S227">
        <v>3.0346069999999998</v>
      </c>
      <c r="T227">
        <v>-0.1198096</v>
      </c>
      <c r="U227">
        <v>4.3945310000000001E-2</v>
      </c>
      <c r="V227">
        <v>0.1150288</v>
      </c>
      <c r="W227">
        <v>2.4042020000000001E-2</v>
      </c>
      <c r="X227">
        <v>0.99307120000000004</v>
      </c>
      <c r="Y227">
        <v>-3.1880209999999999E-2</v>
      </c>
      <c r="Z227">
        <v>1.317407E-3</v>
      </c>
      <c r="AA227">
        <v>0.99949089999999996</v>
      </c>
      <c r="AB227">
        <v>34</v>
      </c>
      <c r="AC227">
        <v>27.771599999999999</v>
      </c>
      <c r="AD227">
        <v>-1.1098520000000001</v>
      </c>
      <c r="AE227">
        <v>0.41349999999999898</v>
      </c>
      <c r="AF227">
        <v>-0.89642020340877804</v>
      </c>
      <c r="AG227">
        <v>-1.1098520000000001</v>
      </c>
      <c r="AH227">
        <v>27.715907428686201</v>
      </c>
      <c r="AI227">
        <v>92.291922013414606</v>
      </c>
      <c r="AJ227">
        <v>91.852481157684295</v>
      </c>
      <c r="AK227">
        <v>27.752601053567702</v>
      </c>
      <c r="AL227">
        <v>88.622361020135699</v>
      </c>
      <c r="AM227">
        <v>83.392795654043198</v>
      </c>
      <c r="AN227">
        <v>1.0000000259122701</v>
      </c>
    </row>
    <row r="228" spans="1:40" x14ac:dyDescent="0.25">
      <c r="A228" t="str">
        <f>"20190312161228446"</f>
        <v>20190312161228446</v>
      </c>
      <c r="B228" t="str">
        <f>"1552378348436239"</f>
        <v>1552378348436239</v>
      </c>
      <c r="C228" t="s">
        <v>40</v>
      </c>
      <c r="D228">
        <v>5.4314830000000001</v>
      </c>
      <c r="E228">
        <v>0.44601010000000002</v>
      </c>
      <c r="F228" t="s">
        <v>41</v>
      </c>
      <c r="G228">
        <v>-399.67090000000002</v>
      </c>
      <c r="H228">
        <v>-0.05</v>
      </c>
      <c r="I228">
        <v>368.61619999999999</v>
      </c>
      <c r="J228">
        <v>-429.85539999999997</v>
      </c>
      <c r="K228">
        <v>1.0594629999999901</v>
      </c>
      <c r="L228">
        <v>368.21859999999998</v>
      </c>
      <c r="M228">
        <v>0.99982979999999999</v>
      </c>
      <c r="N228">
        <v>0</v>
      </c>
      <c r="O228">
        <v>-1.7669109999999998E-2</v>
      </c>
      <c r="P228">
        <v>0.9909753</v>
      </c>
      <c r="Q228">
        <v>1.8685819999999999E-2</v>
      </c>
      <c r="R228">
        <v>-0.13273650000000001</v>
      </c>
      <c r="S228">
        <v>3.0342709999999999</v>
      </c>
      <c r="T228">
        <v>-0.1102759</v>
      </c>
      <c r="U228">
        <v>3.887939E-2</v>
      </c>
      <c r="V228">
        <v>0.1152181</v>
      </c>
      <c r="W228">
        <v>2.391093E-2</v>
      </c>
      <c r="X228">
        <v>0.99305239999999995</v>
      </c>
      <c r="Y228">
        <v>-3.0446520000000001E-2</v>
      </c>
      <c r="Z228">
        <v>1.1949809999999999E-3</v>
      </c>
      <c r="AA228">
        <v>0.99953570000000003</v>
      </c>
      <c r="AB228">
        <v>34</v>
      </c>
      <c r="AC228">
        <v>30.1844999999999</v>
      </c>
      <c r="AD228">
        <v>-1.1094630000000001</v>
      </c>
      <c r="AE228">
        <v>0.397600000000011</v>
      </c>
      <c r="AF228">
        <v>-0.92962298296614598</v>
      </c>
      <c r="AG228">
        <v>-1.1094630000000001</v>
      </c>
      <c r="AH228">
        <v>30.132060830389701</v>
      </c>
      <c r="AI228">
        <v>92.107677089744598</v>
      </c>
      <c r="AJ228">
        <v>91.767107277518093</v>
      </c>
      <c r="AK228">
        <v>30.166806210222699</v>
      </c>
      <c r="AL228">
        <v>88.629874056424597</v>
      </c>
      <c r="AM228">
        <v>83.381894542379598</v>
      </c>
      <c r="AN228">
        <v>1.00000000614341</v>
      </c>
    </row>
    <row r="229" spans="1:40" x14ac:dyDescent="0.25">
      <c r="A229" t="str">
        <f>"20190312161228471"</f>
        <v>20190312161228471</v>
      </c>
      <c r="B229" t="str">
        <f>"1552378348465520"</f>
        <v>1552378348465520</v>
      </c>
      <c r="C229" t="s">
        <v>40</v>
      </c>
      <c r="D229">
        <v>5.3271269999999999</v>
      </c>
      <c r="E229">
        <v>0.44657010000000003</v>
      </c>
      <c r="F229" t="s">
        <v>42</v>
      </c>
      <c r="G229">
        <v>-398.6542</v>
      </c>
      <c r="H229" s="1">
        <v>-7.4147809999999903E-7</v>
      </c>
      <c r="I229">
        <v>368.59129999999999</v>
      </c>
      <c r="J229">
        <v>-429.47879999999998</v>
      </c>
      <c r="K229">
        <v>1.0591649999999999</v>
      </c>
      <c r="L229">
        <v>368.21179999999998</v>
      </c>
      <c r="M229">
        <v>0.99983129999999998</v>
      </c>
      <c r="N229">
        <v>0</v>
      </c>
      <c r="O229">
        <v>-1.7878979999999999E-2</v>
      </c>
      <c r="P229">
        <v>0.9908361</v>
      </c>
      <c r="Q229">
        <v>1.9678000000000001E-2</v>
      </c>
      <c r="R229">
        <v>-0.13362850000000001</v>
      </c>
      <c r="S229">
        <v>3.0341490000000002</v>
      </c>
      <c r="T229">
        <v>-0.1030266</v>
      </c>
      <c r="U229">
        <v>3.6254880000000003E-2</v>
      </c>
      <c r="V229">
        <v>0.1159039</v>
      </c>
      <c r="W229">
        <v>2.3784610000000001E-2</v>
      </c>
      <c r="X229">
        <v>0.99297559999999996</v>
      </c>
      <c r="Y229">
        <v>-2.9796570000000001E-2</v>
      </c>
      <c r="Z229">
        <v>1.112612E-3</v>
      </c>
      <c r="AA229">
        <v>0.99955530000000004</v>
      </c>
      <c r="AB229">
        <v>35</v>
      </c>
      <c r="AC229">
        <v>30.824599999999901</v>
      </c>
      <c r="AD229">
        <v>-1.0591657414780999</v>
      </c>
      <c r="AE229">
        <v>0.379500000000007</v>
      </c>
      <c r="AF229">
        <v>-0.92945939736580596</v>
      </c>
      <c r="AG229">
        <v>-1.0591657414780999</v>
      </c>
      <c r="AH229">
        <v>30.7765559027841</v>
      </c>
      <c r="AI229">
        <v>91.970141269970298</v>
      </c>
      <c r="AJ229">
        <v>91.729820565539001</v>
      </c>
      <c r="AK229">
        <v>30.808799393622401</v>
      </c>
      <c r="AL229">
        <v>88.637113685225302</v>
      </c>
      <c r="AM229">
        <v>83.342344599440096</v>
      </c>
      <c r="AN229">
        <v>0.99999998195171003</v>
      </c>
    </row>
    <row r="230" spans="1:40" x14ac:dyDescent="0.25">
      <c r="A230" t="str">
        <f>"20190312161228492"</f>
        <v>20190312161228492</v>
      </c>
      <c r="B230" t="str">
        <f>"1552378348486016"</f>
        <v>1552378348486016</v>
      </c>
      <c r="C230" t="s">
        <v>40</v>
      </c>
      <c r="D230">
        <v>5.3490789999999997</v>
      </c>
      <c r="E230">
        <v>0.44678479999999998</v>
      </c>
      <c r="F230" t="s">
        <v>42</v>
      </c>
      <c r="G230">
        <v>-395.99290000000002</v>
      </c>
      <c r="H230" s="1">
        <v>-1.893672E-6</v>
      </c>
      <c r="I230">
        <v>368.53210000000001</v>
      </c>
      <c r="J230">
        <v>-429.13369999999998</v>
      </c>
      <c r="K230">
        <v>1.0590040000000001</v>
      </c>
      <c r="L230">
        <v>368.20549999999997</v>
      </c>
      <c r="M230">
        <v>0.99983140000000004</v>
      </c>
      <c r="N230">
        <v>0</v>
      </c>
      <c r="O230">
        <v>-1.8034479999999999E-2</v>
      </c>
      <c r="P230">
        <v>0.99069300000000005</v>
      </c>
      <c r="Q230">
        <v>2.0710650000000001E-2</v>
      </c>
      <c r="R230">
        <v>-0.13453109999999999</v>
      </c>
      <c r="S230">
        <v>3.0335390000000002</v>
      </c>
      <c r="T230">
        <v>-9.59512E-2</v>
      </c>
      <c r="U230">
        <v>2.9022220000000001E-2</v>
      </c>
      <c r="V230">
        <v>0.1166543</v>
      </c>
      <c r="W230">
        <v>2.408159E-2</v>
      </c>
      <c r="X230">
        <v>0.9928806</v>
      </c>
      <c r="Y230">
        <v>-2.7576079999999999E-2</v>
      </c>
      <c r="Z230">
        <v>1.006268E-3</v>
      </c>
      <c r="AA230">
        <v>0.99961920000000004</v>
      </c>
      <c r="AB230">
        <v>35</v>
      </c>
      <c r="AC230">
        <v>33.140799999999899</v>
      </c>
      <c r="AD230">
        <v>-1.0590058936719999</v>
      </c>
      <c r="AE230">
        <v>0.32660000000004102</v>
      </c>
      <c r="AF230">
        <v>-0.92328486259161702</v>
      </c>
      <c r="AG230">
        <v>-1.0590058936719999</v>
      </c>
      <c r="AH230">
        <v>33.095729041426701</v>
      </c>
      <c r="AI230">
        <v>91.832027897276703</v>
      </c>
      <c r="AJ230">
        <v>91.597988935727102</v>
      </c>
      <c r="AK230">
        <v>33.125537417585498</v>
      </c>
      <c r="AL230">
        <v>88.620093157668094</v>
      </c>
      <c r="AM230">
        <v>83.298996147602296</v>
      </c>
      <c r="AN230">
        <v>1.0000000172708801</v>
      </c>
    </row>
    <row r="231" spans="1:40" x14ac:dyDescent="0.25">
      <c r="A231" t="str">
        <f>"20190312161228548"</f>
        <v>20190312161228548</v>
      </c>
      <c r="B231" t="str">
        <f>"1552378348535792"</f>
        <v>1552378348535792</v>
      </c>
      <c r="C231" t="s">
        <v>40</v>
      </c>
      <c r="D231">
        <v>5.2164820000000001</v>
      </c>
      <c r="E231">
        <v>0.44720769999999999</v>
      </c>
      <c r="F231" t="s">
        <v>42</v>
      </c>
      <c r="G231">
        <v>-392.88400000000001</v>
      </c>
      <c r="H231" s="1">
        <v>-3.2339940000000001E-6</v>
      </c>
      <c r="I231">
        <v>368.49459999999999</v>
      </c>
      <c r="J231">
        <v>-428.2509</v>
      </c>
      <c r="K231">
        <v>1.058951</v>
      </c>
      <c r="L231">
        <v>368.18920000000003</v>
      </c>
      <c r="M231">
        <v>0.99982919999999997</v>
      </c>
      <c r="N231">
        <v>0</v>
      </c>
      <c r="O231">
        <v>-1.8277959999999999E-2</v>
      </c>
      <c r="P231">
        <v>0.99063299999999999</v>
      </c>
      <c r="Q231">
        <v>2.1069569999999999E-2</v>
      </c>
      <c r="R231">
        <v>-0.1349166</v>
      </c>
      <c r="S231">
        <v>3.033325</v>
      </c>
      <c r="T231">
        <v>-8.8616249999999994E-2</v>
      </c>
      <c r="U231">
        <v>2.420044E-2</v>
      </c>
      <c r="V231">
        <v>0.11679580000000001</v>
      </c>
      <c r="W231">
        <v>2.380701E-2</v>
      </c>
      <c r="X231">
        <v>0.99287060000000005</v>
      </c>
      <c r="Y231">
        <v>-2.6235060000000001E-2</v>
      </c>
      <c r="Z231">
        <v>9.1697420000000005E-4</v>
      </c>
      <c r="AA231">
        <v>0.99965539999999997</v>
      </c>
      <c r="AB231">
        <v>36</v>
      </c>
      <c r="AC231">
        <v>35.366899999999902</v>
      </c>
      <c r="AD231">
        <v>-1.0589542339939999</v>
      </c>
      <c r="AE231">
        <v>0.30539999999996298</v>
      </c>
      <c r="AF231">
        <v>-0.95093371588895004</v>
      </c>
      <c r="AG231">
        <v>-1.0589542339939999</v>
      </c>
      <c r="AH231">
        <v>35.323743486578998</v>
      </c>
      <c r="AI231">
        <v>91.716507997299402</v>
      </c>
      <c r="AJ231">
        <v>91.542060012849504</v>
      </c>
      <c r="AK231">
        <v>35.352404626946402</v>
      </c>
      <c r="AL231">
        <v>88.635829962441093</v>
      </c>
      <c r="AM231">
        <v>83.290875020423798</v>
      </c>
      <c r="AN231">
        <v>1.0000000304835599</v>
      </c>
    </row>
    <row r="232" spans="1:40" x14ac:dyDescent="0.25">
      <c r="A232" t="str">
        <f>"20190312161228569"</f>
        <v>20190312161228569</v>
      </c>
      <c r="B232" t="str">
        <f>"1552378348566048"</f>
        <v>1552378348566048</v>
      </c>
      <c r="C232" t="s">
        <v>40</v>
      </c>
      <c r="D232">
        <v>5.2188290000000004</v>
      </c>
      <c r="E232">
        <v>0.44721450000000001</v>
      </c>
      <c r="F232" t="s">
        <v>42</v>
      </c>
      <c r="G232">
        <v>-388.952</v>
      </c>
      <c r="H232" s="1">
        <v>-6.5497839999999997E-7</v>
      </c>
      <c r="I232">
        <v>368.44260000000003</v>
      </c>
      <c r="J232">
        <v>-427.91199999999998</v>
      </c>
      <c r="K232">
        <v>1.0590010000000001</v>
      </c>
      <c r="L232">
        <v>368.18290000000002</v>
      </c>
      <c r="M232">
        <v>0.99982800000000005</v>
      </c>
      <c r="N232">
        <v>0</v>
      </c>
      <c r="O232">
        <v>-1.8325020000000001E-2</v>
      </c>
      <c r="P232">
        <v>0.99069940000000001</v>
      </c>
      <c r="Q232">
        <v>2.0937919999999999E-2</v>
      </c>
      <c r="R232">
        <v>-0.13444890000000001</v>
      </c>
      <c r="S232">
        <v>3.0328059999999999</v>
      </c>
      <c r="T232">
        <v>-8.1722139999999999E-2</v>
      </c>
      <c r="U232">
        <v>1.9561769999999999E-2</v>
      </c>
      <c r="V232">
        <v>0.1162784</v>
      </c>
      <c r="W232">
        <v>2.3743609999999998E-2</v>
      </c>
      <c r="X232">
        <v>0.99293279999999995</v>
      </c>
      <c r="Y232">
        <v>-2.4757919999999999E-2</v>
      </c>
      <c r="Z232">
        <v>8.2718080000000001E-4</v>
      </c>
      <c r="AA232">
        <v>0.99969319999999895</v>
      </c>
      <c r="AB232">
        <v>36</v>
      </c>
      <c r="AC232">
        <v>38.959999999999901</v>
      </c>
      <c r="AD232">
        <v>-1.0590016549784</v>
      </c>
      <c r="AE232">
        <v>0.25970000000000898</v>
      </c>
      <c r="AF232">
        <v>-0.97288330367252795</v>
      </c>
      <c r="AG232">
        <v>-1.0590016549784</v>
      </c>
      <c r="AH232">
        <v>38.919944198591203</v>
      </c>
      <c r="AI232">
        <v>91.558132339287496</v>
      </c>
      <c r="AJ232">
        <v>91.431926550016897</v>
      </c>
      <c r="AK232">
        <v>38.946502318555702</v>
      </c>
      <c r="AL232">
        <v>88.639463480405993</v>
      </c>
      <c r="AM232">
        <v>83.320741626894304</v>
      </c>
      <c r="AN232">
        <v>0.99999998531911605</v>
      </c>
    </row>
    <row r="233" spans="1:40" x14ac:dyDescent="0.25">
      <c r="A233" t="str">
        <f>"20190312161228591"</f>
        <v>20190312161228591</v>
      </c>
      <c r="B233" t="str">
        <f>"1552378348585568"</f>
        <v>1552378348585568</v>
      </c>
      <c r="C233" t="s">
        <v>40</v>
      </c>
      <c r="D233">
        <v>5.1529179999999997</v>
      </c>
      <c r="E233">
        <v>0.44722119999999999</v>
      </c>
      <c r="F233" t="s">
        <v>42</v>
      </c>
      <c r="G233">
        <v>-386.8134</v>
      </c>
      <c r="H233" s="1">
        <v>-1.554088E-6</v>
      </c>
      <c r="I233">
        <v>368.46199999999999</v>
      </c>
      <c r="J233">
        <v>-427.56189999999998</v>
      </c>
      <c r="K233">
        <v>1.0590520000000001</v>
      </c>
      <c r="L233">
        <v>368.17649999999998</v>
      </c>
      <c r="M233">
        <v>0.99982709999999997</v>
      </c>
      <c r="N233">
        <v>0</v>
      </c>
      <c r="O233">
        <v>-1.8352879999999999E-2</v>
      </c>
      <c r="P233">
        <v>0.99070659999999999</v>
      </c>
      <c r="Q233">
        <v>2.1410709999999999E-2</v>
      </c>
      <c r="R233">
        <v>-0.13432140000000001</v>
      </c>
      <c r="S233">
        <v>3.0326230000000001</v>
      </c>
      <c r="T233">
        <v>-7.8142760000000006E-2</v>
      </c>
      <c r="U233">
        <v>2.0599369999999999E-2</v>
      </c>
      <c r="V233">
        <v>0.1161215</v>
      </c>
      <c r="W233">
        <v>2.4354259999999999E-2</v>
      </c>
      <c r="X233">
        <v>0.99293640000000005</v>
      </c>
      <c r="Y233">
        <v>-2.51294E-2</v>
      </c>
      <c r="Z233">
        <v>7.9651329999999999E-4</v>
      </c>
      <c r="AA233">
        <v>0.99968389999999996</v>
      </c>
      <c r="AB233">
        <v>36</v>
      </c>
      <c r="AC233">
        <v>40.7484999999999</v>
      </c>
      <c r="AD233">
        <v>-1.0590535540879999</v>
      </c>
      <c r="AE233">
        <v>0.28550000000001302</v>
      </c>
      <c r="AF233">
        <v>-1.03261011421152</v>
      </c>
      <c r="AG233">
        <v>-1.0590535540879999</v>
      </c>
      <c r="AH233">
        <v>40.708900263687298</v>
      </c>
      <c r="AI233">
        <v>91.489750802358898</v>
      </c>
      <c r="AJ233">
        <v>91.453036481275802</v>
      </c>
      <c r="AK233">
        <v>40.735763632921298</v>
      </c>
      <c r="AL233">
        <v>88.604465729081298</v>
      </c>
      <c r="AM233">
        <v>83.329696966992898</v>
      </c>
      <c r="AN233">
        <v>1.00000001359367</v>
      </c>
    </row>
    <row r="234" spans="1:40" x14ac:dyDescent="0.25">
      <c r="A234" t="str">
        <f>"20190312161228613"</f>
        <v>20190312161228613</v>
      </c>
      <c r="B234" t="str">
        <f>"1552378348606063"</f>
        <v>1552378348606063</v>
      </c>
      <c r="C234" t="s">
        <v>40</v>
      </c>
      <c r="D234">
        <v>5.1098949999999999</v>
      </c>
      <c r="E234">
        <v>0.44727739999999999</v>
      </c>
      <c r="F234" t="s">
        <v>42</v>
      </c>
      <c r="G234">
        <v>-385.56729999999999</v>
      </c>
      <c r="H234" s="1">
        <v>-2.0870129999999998E-6</v>
      </c>
      <c r="I234">
        <v>368.47129999999999</v>
      </c>
      <c r="J234">
        <v>-427.18959999999998</v>
      </c>
      <c r="K234">
        <v>1.0590850000000001</v>
      </c>
      <c r="L234">
        <v>368.1696</v>
      </c>
      <c r="M234">
        <v>0.9998264</v>
      </c>
      <c r="N234">
        <v>0</v>
      </c>
      <c r="O234">
        <v>-1.8361039999999999E-2</v>
      </c>
      <c r="P234">
        <v>0.99077340000000003</v>
      </c>
      <c r="Q234">
        <v>2.1131090000000002E-2</v>
      </c>
      <c r="R234">
        <v>-0.1338713</v>
      </c>
      <c r="S234">
        <v>3.032715</v>
      </c>
      <c r="T234">
        <v>-7.6481339999999995E-2</v>
      </c>
      <c r="U234">
        <v>2.1301270000000001E-2</v>
      </c>
      <c r="V234">
        <v>0.1156606</v>
      </c>
      <c r="W234">
        <v>2.425749E-2</v>
      </c>
      <c r="X234">
        <v>0.99299249999999994</v>
      </c>
      <c r="Y234">
        <v>-2.5369249999999999E-2</v>
      </c>
      <c r="Z234">
        <v>7.8278970000000001E-4</v>
      </c>
      <c r="AA234">
        <v>0.99967779999999995</v>
      </c>
      <c r="AB234">
        <v>36</v>
      </c>
      <c r="AC234">
        <v>41.622300000000003</v>
      </c>
      <c r="AD234">
        <v>-1.059087087013</v>
      </c>
      <c r="AE234">
        <v>0.30169999999998198</v>
      </c>
      <c r="AF234">
        <v>-1.06519206167291</v>
      </c>
      <c r="AG234">
        <v>-1.059087087013</v>
      </c>
      <c r="AH234">
        <v>41.582822076360003</v>
      </c>
      <c r="AI234">
        <v>91.458492108354903</v>
      </c>
      <c r="AJ234">
        <v>91.467376730349102</v>
      </c>
      <c r="AK234">
        <v>41.609943420057</v>
      </c>
      <c r="AL234">
        <v>88.610011795350104</v>
      </c>
      <c r="AM234">
        <v>83.356307029915399</v>
      </c>
      <c r="AN234">
        <v>0.99999995263485297</v>
      </c>
    </row>
    <row r="235" spans="1:40" x14ac:dyDescent="0.25">
      <c r="A235" t="str">
        <f>"20190312161228636"</f>
        <v>20190312161228636</v>
      </c>
      <c r="B235" t="str">
        <f>"1552378348625584"</f>
        <v>1552378348625584</v>
      </c>
      <c r="C235" t="s">
        <v>40</v>
      </c>
      <c r="D235">
        <v>5.1149300000000002</v>
      </c>
      <c r="E235">
        <v>0.44730310000000001</v>
      </c>
      <c r="F235" t="s">
        <v>42</v>
      </c>
      <c r="G235">
        <v>-384.6114</v>
      </c>
      <c r="H235" s="1">
        <v>-2.4965129999999999E-6</v>
      </c>
      <c r="I235">
        <v>368.47460000000001</v>
      </c>
      <c r="J235">
        <v>-426.82839999999999</v>
      </c>
      <c r="K235">
        <v>1.0591010000000001</v>
      </c>
      <c r="L235">
        <v>368.16289999999998</v>
      </c>
      <c r="M235">
        <v>0.99982629999999995</v>
      </c>
      <c r="N235">
        <v>0</v>
      </c>
      <c r="O235">
        <v>-1.8342899999999999E-2</v>
      </c>
      <c r="P235">
        <v>0.99077990000000005</v>
      </c>
      <c r="Q235">
        <v>2.0712169999999998E-2</v>
      </c>
      <c r="R235">
        <v>-0.13389000000000001</v>
      </c>
      <c r="S235">
        <v>3.0325009999999999</v>
      </c>
      <c r="T235">
        <v>-7.5430150000000001E-2</v>
      </c>
      <c r="U235">
        <v>2.1728520000000001E-2</v>
      </c>
      <c r="V235">
        <v>0.1156956</v>
      </c>
      <c r="W235">
        <v>2.4032970000000001E-2</v>
      </c>
      <c r="X235">
        <v>0.99299400000000004</v>
      </c>
      <c r="Y235">
        <v>-2.5492790000000001E-2</v>
      </c>
      <c r="Z235">
        <v>7.7317339999999997E-4</v>
      </c>
      <c r="AA235">
        <v>0.99967470000000003</v>
      </c>
      <c r="AB235">
        <v>36</v>
      </c>
      <c r="AC235">
        <v>42.216999999999899</v>
      </c>
      <c r="AD235">
        <v>-1.059103496513</v>
      </c>
      <c r="AE235">
        <v>0.31170000000003001</v>
      </c>
      <c r="AF235">
        <v>-1.0853509463283999</v>
      </c>
      <c r="AG235">
        <v>-1.059103496513</v>
      </c>
      <c r="AH235">
        <v>42.1776359551315</v>
      </c>
      <c r="AI235">
        <v>91.4379502566387</v>
      </c>
      <c r="AJ235">
        <v>91.4740586201208</v>
      </c>
      <c r="AK235">
        <v>42.2048890729099</v>
      </c>
      <c r="AL235">
        <v>88.622879757205098</v>
      </c>
      <c r="AM235">
        <v>83.354324514663105</v>
      </c>
      <c r="AN235">
        <v>1.0000000697711799</v>
      </c>
    </row>
    <row r="236" spans="1:40" x14ac:dyDescent="0.25">
      <c r="A236" t="str">
        <f>"20190312161228659"</f>
        <v>20190312161228659</v>
      </c>
      <c r="B236" t="str">
        <f>"1552378348655840"</f>
        <v>1552378348655840</v>
      </c>
      <c r="C236" t="s">
        <v>40</v>
      </c>
      <c r="D236">
        <v>5.0855930000000003</v>
      </c>
      <c r="E236">
        <v>0.44727060000000002</v>
      </c>
      <c r="F236" t="s">
        <v>42</v>
      </c>
      <c r="G236">
        <v>-384.45</v>
      </c>
      <c r="H236" s="1">
        <v>-2.5680269999999999E-6</v>
      </c>
      <c r="I236">
        <v>368.46179999999998</v>
      </c>
      <c r="J236">
        <v>-426.4427</v>
      </c>
      <c r="K236">
        <v>1.0591159999999999</v>
      </c>
      <c r="L236">
        <v>368.15589999999997</v>
      </c>
      <c r="M236">
        <v>0.9998264</v>
      </c>
      <c r="N236">
        <v>0</v>
      </c>
      <c r="O236">
        <v>-1.829391E-2</v>
      </c>
      <c r="P236">
        <v>0.99086989999999997</v>
      </c>
      <c r="Q236">
        <v>1.9384999999999999E-2</v>
      </c>
      <c r="R236">
        <v>-0.13342129999999999</v>
      </c>
      <c r="S236">
        <v>3.03241</v>
      </c>
      <c r="T236">
        <v>-7.5784679999999993E-2</v>
      </c>
      <c r="U236">
        <v>2.139282E-2</v>
      </c>
      <c r="V236">
        <v>0.1152725</v>
      </c>
      <c r="W236">
        <v>2.2916519999999999E-2</v>
      </c>
      <c r="X236">
        <v>0.99306950000000005</v>
      </c>
      <c r="Y236">
        <v>-2.5333319999999999E-2</v>
      </c>
      <c r="Z236">
        <v>7.7361390000000002E-4</v>
      </c>
      <c r="AA236">
        <v>0.99967870000000003</v>
      </c>
      <c r="AB236">
        <v>36</v>
      </c>
      <c r="AC236">
        <v>41.992699999999999</v>
      </c>
      <c r="AD236">
        <v>-1.0591185680270001</v>
      </c>
      <c r="AE236">
        <v>0.305900000000008</v>
      </c>
      <c r="AF236">
        <v>-1.07338151742675</v>
      </c>
      <c r="AG236">
        <v>-1.0591185680270001</v>
      </c>
      <c r="AH236">
        <v>41.953390264546002</v>
      </c>
      <c r="AI236">
        <v>91.445659051341394</v>
      </c>
      <c r="AJ236">
        <v>91.465598282870403</v>
      </c>
      <c r="AK236">
        <v>41.980481592192298</v>
      </c>
      <c r="AL236">
        <v>88.686865135780195</v>
      </c>
      <c r="AM236">
        <v>83.378910556089593</v>
      </c>
      <c r="AN236">
        <v>0.99999997398770402</v>
      </c>
    </row>
    <row r="237" spans="1:40" x14ac:dyDescent="0.25">
      <c r="A237" t="str">
        <f>"20190312161228683"</f>
        <v>20190312161228683</v>
      </c>
      <c r="B237" t="str">
        <f>"1552378348676336"</f>
        <v>1552378348676336</v>
      </c>
      <c r="C237" t="s">
        <v>40</v>
      </c>
      <c r="D237">
        <v>5.044098</v>
      </c>
      <c r="E237">
        <v>0.44719999999999999</v>
      </c>
      <c r="F237" t="s">
        <v>42</v>
      </c>
      <c r="G237">
        <v>-384.73500000000001</v>
      </c>
      <c r="H237" s="1">
        <v>-2.443891E-6</v>
      </c>
      <c r="I237">
        <v>368.47239999999999</v>
      </c>
      <c r="J237">
        <v>-426.06490000000002</v>
      </c>
      <c r="K237">
        <v>1.0591200000000001</v>
      </c>
      <c r="L237">
        <v>368.14909999999998</v>
      </c>
      <c r="M237">
        <v>0.99982700000000002</v>
      </c>
      <c r="N237">
        <v>0</v>
      </c>
      <c r="O237">
        <v>-1.8221210000000002E-2</v>
      </c>
      <c r="P237">
        <v>0.9909751</v>
      </c>
      <c r="Q237">
        <v>1.8627129999999999E-2</v>
      </c>
      <c r="R237">
        <v>-0.13274530000000001</v>
      </c>
      <c r="S237">
        <v>3.0322269999999998</v>
      </c>
      <c r="T237">
        <v>-7.6999780000000004E-2</v>
      </c>
      <c r="U237">
        <v>2.3010249999999999E-2</v>
      </c>
      <c r="V237">
        <v>0.1146657</v>
      </c>
      <c r="W237">
        <v>2.2360189999999999E-2</v>
      </c>
      <c r="X237">
        <v>0.99315240000000005</v>
      </c>
      <c r="Y237">
        <v>-2.5793710000000001E-2</v>
      </c>
      <c r="Z237">
        <v>7.9005949999999905E-4</v>
      </c>
      <c r="AA237">
        <v>0.99966699999999997</v>
      </c>
      <c r="AB237">
        <v>36</v>
      </c>
      <c r="AC237">
        <v>41.329900000000002</v>
      </c>
      <c r="AD237">
        <v>-1.0591224438910001</v>
      </c>
      <c r="AE237">
        <v>0.32330000000001702</v>
      </c>
      <c r="AF237">
        <v>-1.07562605289375</v>
      </c>
      <c r="AG237">
        <v>-1.0591224438910001</v>
      </c>
      <c r="AH237">
        <v>41.290034059650402</v>
      </c>
      <c r="AI237">
        <v>91.468862325804096</v>
      </c>
      <c r="AJ237">
        <v>91.492246233576097</v>
      </c>
      <c r="AK237">
        <v>41.317618813333198</v>
      </c>
      <c r="AL237">
        <v>88.718748632323098</v>
      </c>
      <c r="AM237">
        <v>83.414002197537201</v>
      </c>
      <c r="AN237">
        <v>0.99999994523954105</v>
      </c>
    </row>
    <row r="238" spans="1:40" x14ac:dyDescent="0.25">
      <c r="A238" t="str">
        <f>"20190312161228704"</f>
        <v>20190312161228704</v>
      </c>
      <c r="B238" t="str">
        <f>"1552378348695856"</f>
        <v>1552378348695856</v>
      </c>
      <c r="C238" t="s">
        <v>40</v>
      </c>
      <c r="D238">
        <v>5.649273</v>
      </c>
      <c r="E238">
        <v>0.47500019999999998</v>
      </c>
      <c r="F238" t="s">
        <v>42</v>
      </c>
      <c r="G238">
        <v>-385.03140000000002</v>
      </c>
      <c r="H238" s="1">
        <v>-2.3129419999999998E-6</v>
      </c>
      <c r="I238">
        <v>368.49380000000002</v>
      </c>
      <c r="J238">
        <v>-425.71390000000002</v>
      </c>
      <c r="K238">
        <v>1.059115</v>
      </c>
      <c r="L238">
        <v>368.14269999999999</v>
      </c>
      <c r="M238">
        <v>0.99982780000000004</v>
      </c>
      <c r="N238">
        <v>0</v>
      </c>
      <c r="O238">
        <v>-1.8137400000000001E-2</v>
      </c>
      <c r="P238">
        <v>0.99107299999999998</v>
      </c>
      <c r="Q238">
        <v>1.72969E-2</v>
      </c>
      <c r="R238">
        <v>-0.13219429999999999</v>
      </c>
      <c r="S238">
        <v>3.032257</v>
      </c>
      <c r="T238">
        <v>-7.8265790000000002E-2</v>
      </c>
      <c r="U238">
        <v>2.548218E-2</v>
      </c>
      <c r="V238">
        <v>0.1141953</v>
      </c>
      <c r="W238">
        <v>2.1207480000000001E-2</v>
      </c>
      <c r="X238">
        <v>0.993232</v>
      </c>
      <c r="Y238">
        <v>-2.652405E-2</v>
      </c>
      <c r="Z238">
        <v>8.1029660000000005E-4</v>
      </c>
      <c r="AA238">
        <v>0.99964790000000003</v>
      </c>
      <c r="AB238">
        <v>36</v>
      </c>
      <c r="AC238">
        <v>40.682499999999997</v>
      </c>
      <c r="AD238">
        <v>-1.059117312942</v>
      </c>
      <c r="AE238">
        <v>0.35110000000003</v>
      </c>
      <c r="AF238">
        <v>-1.0881852352852801</v>
      </c>
      <c r="AG238">
        <v>-1.059117312942</v>
      </c>
      <c r="AH238">
        <v>40.641896485445798</v>
      </c>
      <c r="AI238">
        <v>91.492240784834195</v>
      </c>
      <c r="AJ238">
        <v>91.5337258824255</v>
      </c>
      <c r="AK238">
        <v>40.670254812609201</v>
      </c>
      <c r="AL238">
        <v>88.784809878929906</v>
      </c>
      <c r="AM238">
        <v>83.441305503285605</v>
      </c>
      <c r="AN238">
        <v>1.00000006478701</v>
      </c>
    </row>
    <row r="239" spans="1:40" x14ac:dyDescent="0.25">
      <c r="A239" t="str">
        <f>"20190312161228725"</f>
        <v>20190312161228725</v>
      </c>
      <c r="B239" t="str">
        <f>"1552378348716352"</f>
        <v>1552378348716352</v>
      </c>
      <c r="C239" t="s">
        <v>40</v>
      </c>
      <c r="D239">
        <v>5.0151820000000003</v>
      </c>
      <c r="E239">
        <v>0.54542080000000004</v>
      </c>
      <c r="F239" t="s">
        <v>42</v>
      </c>
      <c r="G239">
        <v>-387.86630000000002</v>
      </c>
      <c r="H239" s="1">
        <v>-1.750975E-6</v>
      </c>
      <c r="I239">
        <v>365.71199999999999</v>
      </c>
      <c r="J239">
        <v>-425.36619999999999</v>
      </c>
      <c r="K239">
        <v>1.0591189999999999</v>
      </c>
      <c r="L239">
        <v>368.13650000000001</v>
      </c>
      <c r="M239">
        <v>0.99982890000000002</v>
      </c>
      <c r="N239">
        <v>0</v>
      </c>
      <c r="O239">
        <v>-1.804358E-2</v>
      </c>
      <c r="P239">
        <v>0.9910947</v>
      </c>
      <c r="Q239">
        <v>1.7050630000000001E-2</v>
      </c>
      <c r="R239">
        <v>-0.13206370000000001</v>
      </c>
      <c r="S239">
        <v>3.0028079999999999</v>
      </c>
      <c r="T239">
        <v>-8.4029560000000003E-2</v>
      </c>
      <c r="U239">
        <v>-0.1928406</v>
      </c>
      <c r="V239">
        <v>0.1141567</v>
      </c>
      <c r="W239">
        <v>2.1124049999999998E-2</v>
      </c>
      <c r="X239">
        <v>0.99323819999999996</v>
      </c>
      <c r="Y239">
        <v>4.6060070000000002E-2</v>
      </c>
      <c r="Z239">
        <v>-1.3945780000000001E-4</v>
      </c>
      <c r="AA239">
        <v>0.99893869999999896</v>
      </c>
      <c r="AB239">
        <v>37</v>
      </c>
      <c r="AC239">
        <v>37.499899999999897</v>
      </c>
      <c r="AD239">
        <v>-1.059120750975</v>
      </c>
      <c r="AE239">
        <v>-2.4245000000000201</v>
      </c>
      <c r="AF239">
        <v>1.7460802044819499</v>
      </c>
      <c r="AG239">
        <v>-1.059120750975</v>
      </c>
      <c r="AH239">
        <v>37.507747213343002</v>
      </c>
      <c r="AI239">
        <v>91.615704414189295</v>
      </c>
      <c r="AJ239">
        <v>87.334661272116406</v>
      </c>
      <c r="AK239">
        <v>37.563301690155903</v>
      </c>
      <c r="AL239">
        <v>88.789591118449394</v>
      </c>
      <c r="AM239">
        <v>83.443543720630601</v>
      </c>
      <c r="AN239">
        <v>1.00000004979126</v>
      </c>
    </row>
    <row r="240" spans="1:40" x14ac:dyDescent="0.25">
      <c r="A240" t="str">
        <f>"20190312161228749"</f>
        <v>20190312161228749</v>
      </c>
      <c r="B240" t="str">
        <f>"1552378348745632"</f>
        <v>1552378348745632</v>
      </c>
      <c r="C240" t="s">
        <v>40</v>
      </c>
      <c r="D240">
        <v>4.9002980000000003</v>
      </c>
      <c r="E240">
        <v>0.62148999999999999</v>
      </c>
      <c r="F240" t="s">
        <v>55</v>
      </c>
      <c r="G240">
        <v>-265.97879999999998</v>
      </c>
      <c r="H240">
        <v>28.71697</v>
      </c>
      <c r="I240">
        <v>325.69929999999999</v>
      </c>
      <c r="J240">
        <v>-424.98989999999998</v>
      </c>
      <c r="K240">
        <v>1.0591140000000001</v>
      </c>
      <c r="L240">
        <v>368.12979999999999</v>
      </c>
      <c r="M240">
        <v>0.9998302</v>
      </c>
      <c r="N240">
        <v>0</v>
      </c>
      <c r="O240">
        <v>-1.7934160000000001E-2</v>
      </c>
      <c r="P240">
        <v>0.99111550000000004</v>
      </c>
      <c r="Q240">
        <v>1.81294E-2</v>
      </c>
      <c r="R240">
        <v>-0.131764299999999</v>
      </c>
      <c r="S240">
        <v>2.9148860000000001</v>
      </c>
      <c r="T240">
        <v>0.50580849999999999</v>
      </c>
      <c r="U240">
        <v>-0.77609249999999996</v>
      </c>
      <c r="V240">
        <v>0.11396489999999999</v>
      </c>
      <c r="W240">
        <v>2.236544E-2</v>
      </c>
      <c r="X240">
        <v>0.99323300000000003</v>
      </c>
      <c r="Y240">
        <v>0.23686309999999999</v>
      </c>
      <c r="Z240">
        <v>1.7021359999999999E-2</v>
      </c>
      <c r="AA240">
        <v>0.97139390000000003</v>
      </c>
      <c r="AB240">
        <v>37</v>
      </c>
      <c r="AC240">
        <v>159.0111</v>
      </c>
      <c r="AD240">
        <v>27.657855999999999</v>
      </c>
      <c r="AE240">
        <v>-42.430500000000002</v>
      </c>
      <c r="AF240">
        <v>38.484989818793998</v>
      </c>
      <c r="AG240">
        <v>27.657855999999999</v>
      </c>
      <c r="AH240">
        <v>155.35869907614401</v>
      </c>
      <c r="AI240">
        <v>80.195948402706193</v>
      </c>
      <c r="AJ240">
        <v>76.086934650531006</v>
      </c>
      <c r="AK240">
        <v>162.42652744703199</v>
      </c>
      <c r="AL240">
        <v>88.718447826735698</v>
      </c>
      <c r="AM240">
        <v>83.454429882909807</v>
      </c>
      <c r="AN240">
        <v>1.0000000018137001</v>
      </c>
    </row>
    <row r="241" spans="1:40" x14ac:dyDescent="0.25">
      <c r="A241" t="str">
        <f>"20190312161228770"</f>
        <v>20190312161228770</v>
      </c>
      <c r="B241" t="str">
        <f>"1552378348766128"</f>
        <v>1552378348766128</v>
      </c>
      <c r="C241" t="s">
        <v>40</v>
      </c>
      <c r="D241">
        <v>4.5807640000000003</v>
      </c>
      <c r="E241">
        <v>0.68694580000000005</v>
      </c>
      <c r="F241" t="s">
        <v>54</v>
      </c>
      <c r="G241">
        <v>-404.61130000000003</v>
      </c>
      <c r="H241">
        <v>6.5160910000000003</v>
      </c>
      <c r="I241">
        <v>358.12549999999999</v>
      </c>
      <c r="J241">
        <v>-424.64150000000001</v>
      </c>
      <c r="K241">
        <v>1.05911</v>
      </c>
      <c r="L241">
        <v>368.12360000000001</v>
      </c>
      <c r="M241">
        <v>0.99983169999999999</v>
      </c>
      <c r="N241">
        <v>0</v>
      </c>
      <c r="O241">
        <v>-1.7826990000000001E-2</v>
      </c>
      <c r="P241">
        <v>0.99110730000000002</v>
      </c>
      <c r="Q241">
        <v>1.8313200000000002E-2</v>
      </c>
      <c r="R241">
        <v>-0.13179979999999999</v>
      </c>
      <c r="S241">
        <v>2.8283999999999998</v>
      </c>
      <c r="T241">
        <v>0.75740229999999997</v>
      </c>
      <c r="U241">
        <v>-1.3885190000000001</v>
      </c>
      <c r="V241">
        <v>0.1141065</v>
      </c>
      <c r="W241">
        <v>2.2684840000000001E-2</v>
      </c>
      <c r="X241">
        <v>0.99320949999999997</v>
      </c>
      <c r="Y241">
        <v>0.41336620000000002</v>
      </c>
      <c r="Z241">
        <v>4.7142589999999998E-2</v>
      </c>
      <c r="AA241">
        <v>0.90934369999999998</v>
      </c>
      <c r="AB241">
        <v>37</v>
      </c>
      <c r="AC241">
        <v>20.030199999999901</v>
      </c>
      <c r="AD241">
        <v>5.4569809999999999</v>
      </c>
      <c r="AE241">
        <v>-9.9981000000000204</v>
      </c>
      <c r="AF241">
        <v>9.0987961069550192</v>
      </c>
      <c r="AG241">
        <v>5.4569809999999999</v>
      </c>
      <c r="AH241">
        <v>19.072030095921001</v>
      </c>
      <c r="AI241">
        <v>75.520170948203102</v>
      </c>
      <c r="AJ241">
        <v>64.495339400591206</v>
      </c>
      <c r="AK241">
        <v>21.824506047331699</v>
      </c>
      <c r="AL241">
        <v>88.700142912004495</v>
      </c>
      <c r="AM241">
        <v>83.446214084881305</v>
      </c>
      <c r="AN241">
        <v>1.00000000309916</v>
      </c>
    </row>
    <row r="242" spans="1:40" x14ac:dyDescent="0.25">
      <c r="A242" t="str">
        <f>"20190312161228792"</f>
        <v>20190312161228792</v>
      </c>
      <c r="B242" t="str">
        <f>"1552378348785649"</f>
        <v>1552378348785649</v>
      </c>
      <c r="C242" t="s">
        <v>40</v>
      </c>
      <c r="D242">
        <v>4.8827109999999996</v>
      </c>
      <c r="E242">
        <v>0.69258619999999904</v>
      </c>
      <c r="F242" t="s">
        <v>55</v>
      </c>
      <c r="G242">
        <v>-359.20800000000003</v>
      </c>
      <c r="H242">
        <v>24.01812</v>
      </c>
      <c r="I242">
        <v>322.61450000000002</v>
      </c>
      <c r="J242">
        <v>-424.2559</v>
      </c>
      <c r="K242">
        <v>1.0590900000000001</v>
      </c>
      <c r="L242">
        <v>368.11680000000001</v>
      </c>
      <c r="M242">
        <v>0.99983319999999998</v>
      </c>
      <c r="N242">
        <v>0</v>
      </c>
      <c r="O242">
        <v>-1.770623E-2</v>
      </c>
      <c r="P242">
        <v>0.99104329999999996</v>
      </c>
      <c r="Q242">
        <v>1.8494610000000002E-2</v>
      </c>
      <c r="R242">
        <v>-0.1322555</v>
      </c>
      <c r="S242">
        <v>2.7543030000000002</v>
      </c>
      <c r="T242">
        <v>0.96641600000000005</v>
      </c>
      <c r="U242">
        <v>-1.915619</v>
      </c>
      <c r="V242">
        <v>0.1146828</v>
      </c>
      <c r="W242">
        <v>2.3001859999999999E-2</v>
      </c>
      <c r="X242">
        <v>0.99313580000000001</v>
      </c>
      <c r="Y242">
        <v>0.53537069999999998</v>
      </c>
      <c r="Z242">
        <v>7.7367829999999999E-2</v>
      </c>
      <c r="AA242">
        <v>0.84106619999999999</v>
      </c>
      <c r="AB242">
        <v>37</v>
      </c>
      <c r="AC242">
        <v>65.047899999999899</v>
      </c>
      <c r="AD242">
        <v>22.959029999999998</v>
      </c>
      <c r="AE242">
        <v>-45.502299999999899</v>
      </c>
      <c r="AF242">
        <v>40.920524680531102</v>
      </c>
      <c r="AG242">
        <v>22.959029999999998</v>
      </c>
      <c r="AH242">
        <v>60.760918859379601</v>
      </c>
      <c r="AI242">
        <v>72.598486045697101</v>
      </c>
      <c r="AJ242">
        <v>56.041001253989698</v>
      </c>
      <c r="AK242">
        <v>76.769106151543596</v>
      </c>
      <c r="AL242">
        <v>88.681974224233102</v>
      </c>
      <c r="AM242">
        <v>83.412919531856303</v>
      </c>
      <c r="AN242">
        <v>0.999999973710469</v>
      </c>
    </row>
    <row r="243" spans="1:40" x14ac:dyDescent="0.25">
      <c r="A243" t="str">
        <f>"20190312161228814"</f>
        <v>20190312161228814</v>
      </c>
      <c r="B243" t="str">
        <f>"1552378348806144"</f>
        <v>1552378348806144</v>
      </c>
      <c r="C243" t="s">
        <v>40</v>
      </c>
      <c r="D243">
        <v>4.6406159999999996</v>
      </c>
      <c r="E243">
        <v>0.694384</v>
      </c>
      <c r="F243" t="s">
        <v>55</v>
      </c>
      <c r="G243">
        <v>-359.48719999999997</v>
      </c>
      <c r="H243">
        <v>24.65728</v>
      </c>
      <c r="I243">
        <v>321.80630000000002</v>
      </c>
      <c r="J243">
        <v>-423.88260000000002</v>
      </c>
      <c r="K243">
        <v>1.059075</v>
      </c>
      <c r="L243">
        <v>368.1103</v>
      </c>
      <c r="M243">
        <v>0.99983469999999997</v>
      </c>
      <c r="N243">
        <v>0</v>
      </c>
      <c r="O243">
        <v>-1.7587490000000001E-2</v>
      </c>
      <c r="P243">
        <v>0.99103459999999999</v>
      </c>
      <c r="Q243">
        <v>1.852005E-2</v>
      </c>
      <c r="R243">
        <v>-0.132317299999999</v>
      </c>
      <c r="S243">
        <v>2.7463989999999998</v>
      </c>
      <c r="T243">
        <v>1.0006389999999901</v>
      </c>
      <c r="U243">
        <v>-1.9637150000000001</v>
      </c>
      <c r="V243">
        <v>0.1148622</v>
      </c>
      <c r="W243">
        <v>2.3145820000000001E-2</v>
      </c>
      <c r="X243">
        <v>0.99311170000000004</v>
      </c>
      <c r="Y243">
        <v>0.54464409999999996</v>
      </c>
      <c r="Z243">
        <v>8.1343579999999999E-2</v>
      </c>
      <c r="AA243">
        <v>0.83471319999999904</v>
      </c>
      <c r="AB243">
        <v>37</v>
      </c>
      <c r="AC243">
        <v>64.395399999999995</v>
      </c>
      <c r="AD243">
        <v>23.598205</v>
      </c>
      <c r="AE243">
        <v>-46.303999999999903</v>
      </c>
      <c r="AF243">
        <v>41.4913815448405</v>
      </c>
      <c r="AG243">
        <v>23.598205</v>
      </c>
      <c r="AH243">
        <v>59.897579183480701</v>
      </c>
      <c r="AI243">
        <v>72.054746762097906</v>
      </c>
      <c r="AJ243">
        <v>55.289442112093099</v>
      </c>
      <c r="AK243">
        <v>76.590665317406007</v>
      </c>
      <c r="AL243">
        <v>88.673723697311701</v>
      </c>
      <c r="AM243">
        <v>83.402547344865695</v>
      </c>
      <c r="AN243">
        <v>0.99999995132459996</v>
      </c>
    </row>
    <row r="244" spans="1:40" x14ac:dyDescent="0.25">
      <c r="A244" t="str">
        <f>"20190312161228837"</f>
        <v>20190312161228837</v>
      </c>
      <c r="B244" t="str">
        <f>"1552378348825664"</f>
        <v>1552378348825664</v>
      </c>
      <c r="C244" t="s">
        <v>40</v>
      </c>
      <c r="D244">
        <v>4.7112299999999996</v>
      </c>
      <c r="E244">
        <v>0.69497350000000002</v>
      </c>
      <c r="F244" t="s">
        <v>55</v>
      </c>
      <c r="G244">
        <v>-359.48719999999997</v>
      </c>
      <c r="H244">
        <v>24.79645</v>
      </c>
      <c r="I244">
        <v>321.67840000000001</v>
      </c>
      <c r="J244">
        <v>-423.5068</v>
      </c>
      <c r="K244">
        <v>1.0590569999999999</v>
      </c>
      <c r="L244">
        <v>368.10379999999998</v>
      </c>
      <c r="M244">
        <v>0.99983619999999995</v>
      </c>
      <c r="N244">
        <v>0</v>
      </c>
      <c r="O244">
        <v>-1.746837E-2</v>
      </c>
      <c r="P244">
        <v>0.99102939999999995</v>
      </c>
      <c r="Q244">
        <v>1.8597160000000001E-2</v>
      </c>
      <c r="R244">
        <v>-0.1323444</v>
      </c>
      <c r="S244">
        <v>2.744049</v>
      </c>
      <c r="T244">
        <v>1.0115080000000001</v>
      </c>
      <c r="U244">
        <v>-1.978577</v>
      </c>
      <c r="V244">
        <v>0.1150075</v>
      </c>
      <c r="W244">
        <v>2.333031E-2</v>
      </c>
      <c r="X244">
        <v>0.99309060000000005</v>
      </c>
      <c r="Y244">
        <v>0.54749130000000001</v>
      </c>
      <c r="Z244">
        <v>8.2629729999999998E-2</v>
      </c>
      <c r="AA244">
        <v>0.83272190000000001</v>
      </c>
      <c r="AB244">
        <v>37</v>
      </c>
      <c r="AC244">
        <v>64.019599999999997</v>
      </c>
      <c r="AD244">
        <v>23.737393000000001</v>
      </c>
      <c r="AE244">
        <v>-46.425399999999897</v>
      </c>
      <c r="AF244">
        <v>41.555843712966698</v>
      </c>
      <c r="AG244">
        <v>23.737393000000001</v>
      </c>
      <c r="AH244">
        <v>59.463235917887999</v>
      </c>
      <c r="AI244">
        <v>71.881406354269998</v>
      </c>
      <c r="AJ244">
        <v>55.0522503306955</v>
      </c>
      <c r="AK244">
        <v>76.329734697294498</v>
      </c>
      <c r="AL244">
        <v>88.663150387031195</v>
      </c>
      <c r="AM244">
        <v>83.394136209389302</v>
      </c>
      <c r="AN244">
        <v>0.99999998411465296</v>
      </c>
    </row>
    <row r="245" spans="1:40" x14ac:dyDescent="0.25">
      <c r="A245" t="str">
        <f>"20190312161228860"</f>
        <v>20190312161228860</v>
      </c>
      <c r="B245" t="str">
        <f>"1552378348855920"</f>
        <v>1552378348855920</v>
      </c>
      <c r="C245" t="s">
        <v>40</v>
      </c>
      <c r="D245">
        <v>4.71312</v>
      </c>
      <c r="E245">
        <v>0.69581660000000001</v>
      </c>
      <c r="F245" t="s">
        <v>55</v>
      </c>
      <c r="G245">
        <v>-359.48719999999997</v>
      </c>
      <c r="H245">
        <v>24.897860000000001</v>
      </c>
      <c r="I245">
        <v>321.81209999999999</v>
      </c>
      <c r="J245">
        <v>-423.11619999999999</v>
      </c>
      <c r="K245">
        <v>1.0590389999999901</v>
      </c>
      <c r="L245">
        <v>368.09699999999998</v>
      </c>
      <c r="M245">
        <v>0.9998378</v>
      </c>
      <c r="N245">
        <v>0</v>
      </c>
      <c r="O245">
        <v>-1.7344470000000001E-2</v>
      </c>
      <c r="P245">
        <v>0.99104700000000001</v>
      </c>
      <c r="Q245">
        <v>1.818763E-2</v>
      </c>
      <c r="R245">
        <v>-0.13226979999999999</v>
      </c>
      <c r="S245">
        <v>2.743134</v>
      </c>
      <c r="T245">
        <v>1.021452</v>
      </c>
      <c r="U245">
        <v>-1.9835210000000001</v>
      </c>
      <c r="V245">
        <v>0.1150554</v>
      </c>
      <c r="W245">
        <v>2.3021880000000002E-2</v>
      </c>
      <c r="X245">
        <v>0.99309230000000004</v>
      </c>
      <c r="Y245">
        <v>0.54823849999999996</v>
      </c>
      <c r="Z245">
        <v>8.3550570000000005E-2</v>
      </c>
      <c r="AA245">
        <v>0.83213809999999999</v>
      </c>
      <c r="AB245">
        <v>37</v>
      </c>
      <c r="AC245">
        <v>63.628999999999998</v>
      </c>
      <c r="AD245">
        <v>23.838820999999999</v>
      </c>
      <c r="AE245">
        <v>-46.284899999999901</v>
      </c>
      <c r="AF245">
        <v>41.376235653475703</v>
      </c>
      <c r="AG245">
        <v>23.838820999999999</v>
      </c>
      <c r="AH245">
        <v>59.0058591340078</v>
      </c>
      <c r="AI245">
        <v>71.696512469961206</v>
      </c>
      <c r="AJ245">
        <v>54.960997601089197</v>
      </c>
      <c r="AK245">
        <v>75.907665460507801</v>
      </c>
      <c r="AL245">
        <v>88.680826938640806</v>
      </c>
      <c r="AM245">
        <v>83.391420447495193</v>
      </c>
      <c r="AN245">
        <v>1.00000003417359</v>
      </c>
    </row>
    <row r="246" spans="1:40" x14ac:dyDescent="0.25">
      <c r="A246" t="str">
        <f>"20190312161228882"</f>
        <v>20190312161228882</v>
      </c>
      <c r="B246" t="str">
        <f>"1552378348875441"</f>
        <v>1552378348875441</v>
      </c>
      <c r="C246" t="s">
        <v>40</v>
      </c>
      <c r="D246">
        <v>4.66594</v>
      </c>
      <c r="E246">
        <v>0.69637469999999901</v>
      </c>
      <c r="F246" t="s">
        <v>55</v>
      </c>
      <c r="G246">
        <v>-359.4871</v>
      </c>
      <c r="H246">
        <v>24.914639999999999</v>
      </c>
      <c r="I246">
        <v>321.92039999999997</v>
      </c>
      <c r="J246">
        <v>-422.75630000000001</v>
      </c>
      <c r="K246">
        <v>1.059023</v>
      </c>
      <c r="L246">
        <v>368.09089999999998</v>
      </c>
      <c r="M246">
        <v>0.99983940000000004</v>
      </c>
      <c r="N246">
        <v>0</v>
      </c>
      <c r="O246">
        <v>-1.7230680000000002E-2</v>
      </c>
      <c r="P246">
        <v>0.9910409</v>
      </c>
      <c r="Q246">
        <v>1.785614E-2</v>
      </c>
      <c r="R246">
        <v>-0.13235829999999901</v>
      </c>
      <c r="S246">
        <v>2.7426149999999998</v>
      </c>
      <c r="T246">
        <v>1.028251</v>
      </c>
      <c r="U246">
        <v>-1.990356</v>
      </c>
      <c r="V246">
        <v>0.115257</v>
      </c>
      <c r="W246">
        <v>2.277446E-2</v>
      </c>
      <c r="X246">
        <v>0.99307460000000003</v>
      </c>
      <c r="Y246">
        <v>0.54942829999999998</v>
      </c>
      <c r="Z246">
        <v>8.4273139999999996E-2</v>
      </c>
      <c r="AA246">
        <v>0.83128009999999997</v>
      </c>
      <c r="AB246">
        <v>37</v>
      </c>
      <c r="AC246">
        <v>63.269199999999998</v>
      </c>
      <c r="AD246">
        <v>23.855616999999999</v>
      </c>
      <c r="AE246">
        <v>-46.170499999999997</v>
      </c>
      <c r="AF246">
        <v>41.247140324932303</v>
      </c>
      <c r="AG246">
        <v>23.855616999999999</v>
      </c>
      <c r="AH246">
        <v>58.617656753282397</v>
      </c>
      <c r="AI246">
        <v>71.591075452078499</v>
      </c>
      <c r="AJ246">
        <v>54.867324813228798</v>
      </c>
      <c r="AK246">
        <v>75.541026804518495</v>
      </c>
      <c r="AL246">
        <v>88.695006741915506</v>
      </c>
      <c r="AM246">
        <v>83.379826647548896</v>
      </c>
      <c r="AN246">
        <v>1.00000000662122</v>
      </c>
    </row>
    <row r="247" spans="1:40" x14ac:dyDescent="0.25">
      <c r="A247" t="str">
        <f>"20190312161228906"</f>
        <v>20190312161228906</v>
      </c>
      <c r="B247" t="str">
        <f>"1552378348895936"</f>
        <v>1552378348895936</v>
      </c>
      <c r="C247" t="s">
        <v>40</v>
      </c>
      <c r="D247">
        <v>4.7049240000000001</v>
      </c>
      <c r="E247">
        <v>0.69616869999999997</v>
      </c>
      <c r="F247" t="s">
        <v>55</v>
      </c>
      <c r="G247">
        <v>-359.48719999999997</v>
      </c>
      <c r="H247">
        <v>24.74607</v>
      </c>
      <c r="I247">
        <v>322.04969999999997</v>
      </c>
      <c r="J247">
        <v>-422.3562</v>
      </c>
      <c r="K247">
        <v>1.0590189999999999</v>
      </c>
      <c r="L247">
        <v>368.084</v>
      </c>
      <c r="M247">
        <v>0.99984119999999999</v>
      </c>
      <c r="N247">
        <v>0</v>
      </c>
      <c r="O247">
        <v>-1.7104370000000001E-2</v>
      </c>
      <c r="P247">
        <v>0.99102299999999999</v>
      </c>
      <c r="Q247">
        <v>1.7430850000000001E-2</v>
      </c>
      <c r="R247">
        <v>-0.13255149999999999</v>
      </c>
      <c r="S247">
        <v>2.7421259999999998</v>
      </c>
      <c r="T247">
        <v>1.026613</v>
      </c>
      <c r="U247">
        <v>-1.9954529999999999</v>
      </c>
      <c r="V247">
        <v>0.1155757</v>
      </c>
      <c r="W247">
        <v>2.243361E-2</v>
      </c>
      <c r="X247">
        <v>0.99304530000000002</v>
      </c>
      <c r="Y247">
        <v>0.55064679999999999</v>
      </c>
      <c r="Z247">
        <v>8.4358649999999993E-2</v>
      </c>
      <c r="AA247">
        <v>0.8304648</v>
      </c>
      <c r="AB247">
        <v>38</v>
      </c>
      <c r="AC247">
        <v>62.869</v>
      </c>
      <c r="AD247">
        <v>23.687051</v>
      </c>
      <c r="AE247">
        <v>-46.034300000000002</v>
      </c>
      <c r="AF247">
        <v>41.149624292221901</v>
      </c>
      <c r="AG247">
        <v>23.687051</v>
      </c>
      <c r="AH247">
        <v>58.263163161394097</v>
      </c>
      <c r="AI247">
        <v>71.629724289694195</v>
      </c>
      <c r="AJ247">
        <v>54.767519972129598</v>
      </c>
      <c r="AK247">
        <v>75.159591177965098</v>
      </c>
      <c r="AL247">
        <v>88.714540976197796</v>
      </c>
      <c r="AM247">
        <v>83.361490082129393</v>
      </c>
      <c r="AN247">
        <v>0.99999998857010597</v>
      </c>
    </row>
    <row r="248" spans="1:40" x14ac:dyDescent="0.25">
      <c r="A248" t="str">
        <f>"20190312161228930"</f>
        <v>20190312161228930</v>
      </c>
      <c r="B248" t="str">
        <f>"1552378348926192"</f>
        <v>1552378348926192</v>
      </c>
      <c r="C248" t="s">
        <v>40</v>
      </c>
      <c r="D248">
        <v>4.6716519999999999</v>
      </c>
      <c r="E248">
        <v>0.69557060000000004</v>
      </c>
      <c r="F248" t="s">
        <v>55</v>
      </c>
      <c r="G248">
        <v>-359.4873</v>
      </c>
      <c r="H248">
        <v>24.530819999999999</v>
      </c>
      <c r="I248">
        <v>322.34559999999999</v>
      </c>
      <c r="J248">
        <v>-421.96730000000002</v>
      </c>
      <c r="K248">
        <v>1.0590079999999999</v>
      </c>
      <c r="L248">
        <v>368.07749999999999</v>
      </c>
      <c r="M248">
        <v>0.99984309999999998</v>
      </c>
      <c r="N248">
        <v>0</v>
      </c>
      <c r="O248">
        <v>-1.6980430000000001E-2</v>
      </c>
      <c r="P248">
        <v>0.99100759999999999</v>
      </c>
      <c r="Q248">
        <v>1.6923870000000001E-2</v>
      </c>
      <c r="R248">
        <v>-0.1327323</v>
      </c>
      <c r="S248">
        <v>2.7423099999999998</v>
      </c>
      <c r="T248">
        <v>1.023827</v>
      </c>
      <c r="U248">
        <v>-1.9950870000000001</v>
      </c>
      <c r="V248">
        <v>0.11587980000000001</v>
      </c>
      <c r="W248">
        <v>2.2000749999999999E-2</v>
      </c>
      <c r="X248">
        <v>0.9930196</v>
      </c>
      <c r="Y248">
        <v>0.5507649</v>
      </c>
      <c r="Z248">
        <v>8.4198389999999998E-2</v>
      </c>
      <c r="AA248">
        <v>0.83040270000000005</v>
      </c>
      <c r="AB248">
        <v>38</v>
      </c>
      <c r="AC248">
        <v>62.48</v>
      </c>
      <c r="AD248">
        <v>23.471812</v>
      </c>
      <c r="AE248">
        <v>-45.731900000000003</v>
      </c>
      <c r="AF248">
        <v>40.9053514536715</v>
      </c>
      <c r="AG248">
        <v>23.471812</v>
      </c>
      <c r="AH248">
        <v>57.924561509329898</v>
      </c>
      <c r="AI248">
        <v>71.685484578303402</v>
      </c>
      <c r="AJ248">
        <v>54.770904377640697</v>
      </c>
      <c r="AK248">
        <v>74.695572574014506</v>
      </c>
      <c r="AL248">
        <v>88.739348220279496</v>
      </c>
      <c r="AM248">
        <v>83.344008797072604</v>
      </c>
      <c r="AN248">
        <v>1.0000000435163801</v>
      </c>
    </row>
    <row r="249" spans="1:40" x14ac:dyDescent="0.25">
      <c r="A249" t="str">
        <f>"20190312161228952"</f>
        <v>20190312161228952</v>
      </c>
      <c r="B249" t="str">
        <f>"1552378348945712"</f>
        <v>1552378348945712</v>
      </c>
      <c r="C249" t="s">
        <v>40</v>
      </c>
      <c r="D249">
        <v>4.5711170000000001</v>
      </c>
      <c r="E249">
        <v>0.68166459999999995</v>
      </c>
      <c r="F249" t="s">
        <v>55</v>
      </c>
      <c r="G249">
        <v>-358.99869999999999</v>
      </c>
      <c r="H249">
        <v>24.49898</v>
      </c>
      <c r="I249">
        <v>322.36930000000001</v>
      </c>
      <c r="J249">
        <v>-421.59800000000001</v>
      </c>
      <c r="K249">
        <v>1.0589999999999999</v>
      </c>
      <c r="L249">
        <v>368.07139999999998</v>
      </c>
      <c r="M249">
        <v>0.99984470000000003</v>
      </c>
      <c r="N249">
        <v>0</v>
      </c>
      <c r="O249">
        <v>-1.685884E-2</v>
      </c>
      <c r="P249">
        <v>0.9910717</v>
      </c>
      <c r="Q249">
        <v>1.6192669999999999E-2</v>
      </c>
      <c r="R249">
        <v>-0.1323454</v>
      </c>
      <c r="S249">
        <v>2.743134</v>
      </c>
      <c r="T249">
        <v>1.021128</v>
      </c>
      <c r="U249">
        <v>-1.9912110000000001</v>
      </c>
      <c r="V249">
        <v>0.11561250000000001</v>
      </c>
      <c r="W249">
        <v>2.1334289999999999E-2</v>
      </c>
      <c r="X249">
        <v>0.99306519999999998</v>
      </c>
      <c r="Y249">
        <v>0.55011339999999997</v>
      </c>
      <c r="Z249">
        <v>8.3930009999999999E-2</v>
      </c>
      <c r="AA249">
        <v>0.83086159999999998</v>
      </c>
      <c r="AB249">
        <v>38</v>
      </c>
      <c r="AC249">
        <v>62.599299999999999</v>
      </c>
      <c r="AD249">
        <v>23.439979999999998</v>
      </c>
      <c r="AE249">
        <v>-45.702099999999902</v>
      </c>
      <c r="AF249">
        <v>40.899564696849197</v>
      </c>
      <c r="AG249">
        <v>23.439979999999998</v>
      </c>
      <c r="AH249">
        <v>58.0515065256455</v>
      </c>
      <c r="AI249">
        <v>71.732810546703007</v>
      </c>
      <c r="AJ249">
        <v>54.8338016472456</v>
      </c>
      <c r="AK249">
        <v>74.780909761042693</v>
      </c>
      <c r="AL249">
        <v>88.7775424130636</v>
      </c>
      <c r="AM249">
        <v>83.359527098310096</v>
      </c>
      <c r="AN249">
        <v>0.99999994676854498</v>
      </c>
    </row>
    <row r="250" spans="1:40" x14ac:dyDescent="0.25">
      <c r="A250" t="str">
        <f>"20190312161228972"</f>
        <v>20190312161228972</v>
      </c>
      <c r="B250" t="str">
        <f>"1552378348966209"</f>
        <v>1552378348966209</v>
      </c>
      <c r="C250" t="s">
        <v>40</v>
      </c>
      <c r="D250">
        <v>4.843356</v>
      </c>
      <c r="E250">
        <v>0.68625459999999905</v>
      </c>
      <c r="F250" t="s">
        <v>55</v>
      </c>
      <c r="G250">
        <v>-358.98149999999998</v>
      </c>
      <c r="H250">
        <v>20.347159999999999</v>
      </c>
      <c r="I250">
        <v>325.63400000000001</v>
      </c>
      <c r="J250">
        <v>-421.24329999999998</v>
      </c>
      <c r="K250">
        <v>1.0589949999999999</v>
      </c>
      <c r="L250">
        <v>368.06549999999999</v>
      </c>
      <c r="M250">
        <v>0.99984640000000002</v>
      </c>
      <c r="N250">
        <v>0</v>
      </c>
      <c r="O250">
        <v>-1.673819E-2</v>
      </c>
      <c r="P250">
        <v>0.99106150000000004</v>
      </c>
      <c r="Q250">
        <v>1.541798E-2</v>
      </c>
      <c r="R250">
        <v>-0.13251060000000001</v>
      </c>
      <c r="S250">
        <v>2.7630620000000001</v>
      </c>
      <c r="T250">
        <v>0.85112389999999905</v>
      </c>
      <c r="U250">
        <v>-1.87262</v>
      </c>
      <c r="V250">
        <v>0.1158979</v>
      </c>
      <c r="W250">
        <v>2.0615850000000002E-2</v>
      </c>
      <c r="X250">
        <v>0.99304720000000002</v>
      </c>
      <c r="Y250">
        <v>0.53069259999999996</v>
      </c>
      <c r="Z250">
        <v>6.8177950000000001E-2</v>
      </c>
      <c r="AA250">
        <v>0.84481779999999995</v>
      </c>
      <c r="AB250">
        <v>38</v>
      </c>
      <c r="AC250">
        <v>62.261800000000001</v>
      </c>
      <c r="AD250">
        <v>19.288164999999999</v>
      </c>
      <c r="AE250">
        <v>-42.4314999999999</v>
      </c>
      <c r="AF250">
        <v>38.838176294725201</v>
      </c>
      <c r="AG250">
        <v>19.288164999999999</v>
      </c>
      <c r="AH250">
        <v>59.090861671962699</v>
      </c>
      <c r="AI250">
        <v>74.742485723949898</v>
      </c>
      <c r="AJ250">
        <v>56.684602968787601</v>
      </c>
      <c r="AK250">
        <v>73.295069275514095</v>
      </c>
      <c r="AL250">
        <v>88.818715162919304</v>
      </c>
      <c r="AM250">
        <v>83.343161845710696</v>
      </c>
      <c r="AN250">
        <v>1.0000000389617301</v>
      </c>
    </row>
    <row r="251" spans="1:40" x14ac:dyDescent="0.25">
      <c r="A251" t="str">
        <f>"20190312161229017"</f>
        <v>20190312161229017</v>
      </c>
      <c r="B251" t="str">
        <f>"1552378349006224"</f>
        <v>1552378349006224</v>
      </c>
      <c r="C251" t="s">
        <v>40</v>
      </c>
      <c r="D251">
        <v>4.9428960000000002</v>
      </c>
      <c r="E251">
        <v>0.53847409999999996</v>
      </c>
      <c r="F251" t="s">
        <v>55</v>
      </c>
      <c r="G251">
        <v>-359.2081</v>
      </c>
      <c r="H251">
        <v>23.80442</v>
      </c>
      <c r="I251">
        <v>324.9051</v>
      </c>
      <c r="J251">
        <v>-420.44409999999999</v>
      </c>
      <c r="K251">
        <v>1.0590090000000001</v>
      </c>
      <c r="L251">
        <v>368.05239999999998</v>
      </c>
      <c r="M251">
        <v>0.99985089999999999</v>
      </c>
      <c r="N251">
        <v>0</v>
      </c>
      <c r="O251">
        <v>-1.6432579999999999E-2</v>
      </c>
      <c r="P251">
        <v>0.99113340000000005</v>
      </c>
      <c r="Q251">
        <v>1.5600569999999999E-2</v>
      </c>
      <c r="R251">
        <v>-0.13195190000000001</v>
      </c>
      <c r="S251">
        <v>2.7550659999999998</v>
      </c>
      <c r="T251">
        <v>1.010154</v>
      </c>
      <c r="U251">
        <v>-1.916809</v>
      </c>
      <c r="V251">
        <v>0.1156403</v>
      </c>
      <c r="W251">
        <v>2.0913810000000001E-2</v>
      </c>
      <c r="X251">
        <v>0.99307100000000004</v>
      </c>
      <c r="Y251">
        <v>0.53464959999999995</v>
      </c>
      <c r="Z251">
        <v>8.0977250000000001E-2</v>
      </c>
      <c r="AA251">
        <v>0.84118519999999897</v>
      </c>
      <c r="AB251">
        <v>38</v>
      </c>
      <c r="AC251">
        <v>61.235999999999898</v>
      </c>
      <c r="AD251">
        <v>22.745410999999901</v>
      </c>
      <c r="AE251">
        <v>-43.147299999999902</v>
      </c>
      <c r="AF251">
        <v>38.5784660167309</v>
      </c>
      <c r="AG251">
        <v>22.745410999999901</v>
      </c>
      <c r="AH251">
        <v>56.7085388452141</v>
      </c>
      <c r="AI251">
        <v>71.652965887364104</v>
      </c>
      <c r="AJ251">
        <v>55.7727895114921</v>
      </c>
      <c r="AK251">
        <v>72.260017573497294</v>
      </c>
      <c r="AL251">
        <v>88.801639631093195</v>
      </c>
      <c r="AM251">
        <v>83.357983052291004</v>
      </c>
      <c r="AN251">
        <v>1.0000000387368999</v>
      </c>
    </row>
    <row r="252" spans="1:40" x14ac:dyDescent="0.25">
      <c r="A252" t="str">
        <f>"20190312161229040"</f>
        <v>20190312161229040</v>
      </c>
      <c r="B252" t="str">
        <f>"1552378349035504"</f>
        <v>1552378349035504</v>
      </c>
      <c r="C252" t="s">
        <v>40</v>
      </c>
      <c r="D252">
        <v>4.8896160000000002</v>
      </c>
      <c r="E252">
        <v>0.4671189</v>
      </c>
      <c r="F252" t="s">
        <v>55</v>
      </c>
      <c r="G252">
        <v>-265.97969999999998</v>
      </c>
      <c r="H252">
        <v>25.870539999999998</v>
      </c>
      <c r="I252">
        <v>329.97680000000003</v>
      </c>
      <c r="J252">
        <v>-420.07170000000002</v>
      </c>
      <c r="K252">
        <v>1.0590269999999999</v>
      </c>
      <c r="L252">
        <v>368.04640000000001</v>
      </c>
      <c r="M252">
        <v>0.99985360000000001</v>
      </c>
      <c r="N252">
        <v>0</v>
      </c>
      <c r="O252">
        <v>-1.6261649999999999E-2</v>
      </c>
      <c r="P252">
        <v>0.99118799999999996</v>
      </c>
      <c r="Q252">
        <v>1.601027E-2</v>
      </c>
      <c r="R252">
        <v>-0.1314922</v>
      </c>
      <c r="S252">
        <v>2.923492</v>
      </c>
      <c r="T252">
        <v>0.46959899999999999</v>
      </c>
      <c r="U252">
        <v>-0.72064209999999995</v>
      </c>
      <c r="V252">
        <v>0.1153487</v>
      </c>
      <c r="W252">
        <v>2.137385E-2</v>
      </c>
      <c r="X252">
        <v>0.99309510000000001</v>
      </c>
      <c r="Y252">
        <v>0.2210423</v>
      </c>
      <c r="Z252">
        <v>1.4827949999999999E-2</v>
      </c>
      <c r="AA252">
        <v>0.97515149999999995</v>
      </c>
      <c r="AB252">
        <v>38</v>
      </c>
      <c r="AC252">
        <v>154.09200000000001</v>
      </c>
      <c r="AD252">
        <v>24.811513000000001</v>
      </c>
      <c r="AE252">
        <v>-38.069599999999902</v>
      </c>
      <c r="AF252">
        <v>34.710580866024102</v>
      </c>
      <c r="AG252">
        <v>24.811513000000001</v>
      </c>
      <c r="AH252">
        <v>151.00097085926799</v>
      </c>
      <c r="AI252">
        <v>80.902057392672603</v>
      </c>
      <c r="AJ252">
        <v>77.054314347149102</v>
      </c>
      <c r="AK252">
        <v>156.91312501459899</v>
      </c>
      <c r="AL252">
        <v>88.7752753656859</v>
      </c>
      <c r="AM252">
        <v>83.374741907445497</v>
      </c>
      <c r="AN252">
        <v>1.0000000208497599</v>
      </c>
    </row>
    <row r="253" spans="1:40" x14ac:dyDescent="0.25">
      <c r="A253" t="str">
        <f>"20190312161229060"</f>
        <v>20190312161229060</v>
      </c>
      <c r="B253" t="str">
        <f>"1552378349056000"</f>
        <v>1552378349056000</v>
      </c>
      <c r="C253" t="s">
        <v>40</v>
      </c>
      <c r="D253">
        <v>4.819318</v>
      </c>
      <c r="E253">
        <v>0.46949380000000002</v>
      </c>
      <c r="F253" t="s">
        <v>42</v>
      </c>
      <c r="G253">
        <v>-363.73770000000002</v>
      </c>
      <c r="H253" s="1">
        <v>-3.3771280000000002E-6</v>
      </c>
      <c r="I253">
        <v>365.62329999999997</v>
      </c>
      <c r="J253">
        <v>-419.70190000000002</v>
      </c>
      <c r="K253">
        <v>1.0590379999999999</v>
      </c>
      <c r="L253">
        <v>368.04050000000001</v>
      </c>
      <c r="M253">
        <v>0.99985650000000004</v>
      </c>
      <c r="N253">
        <v>0</v>
      </c>
      <c r="O253">
        <v>-1.606482E-2</v>
      </c>
      <c r="P253">
        <v>0.99125099999999999</v>
      </c>
      <c r="Q253">
        <v>1.5858980000000002E-2</v>
      </c>
      <c r="R253">
        <v>-0.13103670000000001</v>
      </c>
      <c r="S253">
        <v>3.0104060000000001</v>
      </c>
      <c r="T253">
        <v>-5.6592940000000001E-2</v>
      </c>
      <c r="U253">
        <v>-0.12948609999999999</v>
      </c>
      <c r="V253">
        <v>0.11508640000000001</v>
      </c>
      <c r="W253">
        <v>2.127136E-2</v>
      </c>
      <c r="X253">
        <v>0.99312769999999995</v>
      </c>
      <c r="Y253">
        <v>2.6915430000000001E-2</v>
      </c>
      <c r="Z253" s="1">
        <v>4.8952790000000003E-5</v>
      </c>
      <c r="AA253">
        <v>0.99963769999999996</v>
      </c>
      <c r="AB253">
        <v>38</v>
      </c>
      <c r="AC253">
        <v>55.964199999999998</v>
      </c>
      <c r="AD253">
        <v>-1.0590413771279901</v>
      </c>
      <c r="AE253">
        <v>-2.41720000000003</v>
      </c>
      <c r="AF253">
        <v>1.51727793908163</v>
      </c>
      <c r="AG253">
        <v>-1.0590413771279901</v>
      </c>
      <c r="AH253">
        <v>55.975802539542997</v>
      </c>
      <c r="AI253">
        <v>91.083487667563901</v>
      </c>
      <c r="AJ253">
        <v>88.447323009386395</v>
      </c>
      <c r="AK253">
        <v>56.006376163154798</v>
      </c>
      <c r="AL253">
        <v>88.781148906999903</v>
      </c>
      <c r="AM253">
        <v>83.389889158864904</v>
      </c>
      <c r="AN253">
        <v>0.99999998936424905</v>
      </c>
    </row>
    <row r="254" spans="1:40" x14ac:dyDescent="0.25">
      <c r="A254" t="str">
        <f>"20190312161229086"</f>
        <v>20190312161229086</v>
      </c>
      <c r="B254" t="str">
        <f>"1552378349075521"</f>
        <v>1552378349075521</v>
      </c>
      <c r="C254" t="s">
        <v>40</v>
      </c>
      <c r="D254">
        <v>4.79481</v>
      </c>
      <c r="E254">
        <v>0.4711555</v>
      </c>
      <c r="F254" t="s">
        <v>42</v>
      </c>
      <c r="G254">
        <v>-360.25400000000002</v>
      </c>
      <c r="H254" s="1">
        <v>-4.9574470000000004E-6</v>
      </c>
      <c r="I254">
        <v>365.13929999999999</v>
      </c>
      <c r="J254">
        <v>-419.28579999999999</v>
      </c>
      <c r="K254">
        <v>1.0590630000000001</v>
      </c>
      <c r="L254">
        <v>368.03410000000002</v>
      </c>
      <c r="M254">
        <v>0.99986030000000004</v>
      </c>
      <c r="N254">
        <v>0</v>
      </c>
      <c r="O254">
        <v>-1.5807499999999999E-2</v>
      </c>
      <c r="P254">
        <v>0.9913343</v>
      </c>
      <c r="Q254">
        <v>1.566567E-2</v>
      </c>
      <c r="R254">
        <v>-0.13042799999999999</v>
      </c>
      <c r="S254">
        <v>3.0079349999999998</v>
      </c>
      <c r="T254">
        <v>-5.3585170000000001E-2</v>
      </c>
      <c r="U254">
        <v>-0.14678959999999999</v>
      </c>
      <c r="V254">
        <v>0.11473079999999999</v>
      </c>
      <c r="W254">
        <v>2.1130719999999999E-2</v>
      </c>
      <c r="X254">
        <v>0.9931719</v>
      </c>
      <c r="Y254">
        <v>3.294503E-2</v>
      </c>
      <c r="Z254" s="1">
        <v>-1.1870810000000001E-5</v>
      </c>
      <c r="AA254">
        <v>0.99945720000000005</v>
      </c>
      <c r="AB254">
        <v>39</v>
      </c>
      <c r="AC254">
        <v>59.031799999999897</v>
      </c>
      <c r="AD254">
        <v>-1.0590679574470001</v>
      </c>
      <c r="AE254">
        <v>-2.8948000000000298</v>
      </c>
      <c r="AF254">
        <v>1.96064979704927</v>
      </c>
      <c r="AG254">
        <v>-1.0590679574470001</v>
      </c>
      <c r="AH254">
        <v>59.0512231944085</v>
      </c>
      <c r="AI254">
        <v>91.026908629293402</v>
      </c>
      <c r="AJ254">
        <v>88.098333966607498</v>
      </c>
      <c r="AK254">
        <v>59.093254550083898</v>
      </c>
      <c r="AL254">
        <v>88.789208862525797</v>
      </c>
      <c r="AM254">
        <v>83.410424202510896</v>
      </c>
      <c r="AN254">
        <v>1.0000000433729801</v>
      </c>
    </row>
    <row r="255" spans="1:40" x14ac:dyDescent="0.25">
      <c r="A255" t="str">
        <f>"20190312161229107"</f>
        <v>20190312161229107</v>
      </c>
      <c r="B255" t="str">
        <f>"1552378349096016"</f>
        <v>1552378349096016</v>
      </c>
      <c r="C255" t="s">
        <v>40</v>
      </c>
      <c r="D255">
        <v>4.7861500000000001</v>
      </c>
      <c r="E255">
        <v>0.47249560000000002</v>
      </c>
      <c r="F255" t="s">
        <v>42</v>
      </c>
      <c r="G255">
        <v>-354.54599999999999</v>
      </c>
      <c r="H255" s="1">
        <v>-3.207807E-6</v>
      </c>
      <c r="I255">
        <v>364.62299999999999</v>
      </c>
      <c r="J255">
        <v>-418.90390000000002</v>
      </c>
      <c r="K255">
        <v>1.0590949999999999</v>
      </c>
      <c r="L255">
        <v>368.0283</v>
      </c>
      <c r="M255">
        <v>0.99986439999999999</v>
      </c>
      <c r="N255">
        <v>0</v>
      </c>
      <c r="O255">
        <v>-1.553586E-2</v>
      </c>
      <c r="P255">
        <v>0.99140629999999996</v>
      </c>
      <c r="Q255">
        <v>1.5585669999999999E-2</v>
      </c>
      <c r="R255">
        <v>-0.1298889</v>
      </c>
      <c r="S255">
        <v>3.0061339999999999</v>
      </c>
      <c r="T255">
        <v>-4.9176690000000002E-2</v>
      </c>
      <c r="U255">
        <v>-0.1583862</v>
      </c>
      <c r="V255">
        <v>0.114459199999999</v>
      </c>
      <c r="W255">
        <v>2.1097830000000001E-2</v>
      </c>
      <c r="X255">
        <v>0.99320390000000003</v>
      </c>
      <c r="Y255">
        <v>3.7090909999999998E-2</v>
      </c>
      <c r="Z255" s="1">
        <v>-4.9225670000000003E-5</v>
      </c>
      <c r="AA255">
        <v>0.99931190000000003</v>
      </c>
      <c r="AB255">
        <v>39</v>
      </c>
      <c r="AC255">
        <v>64.357900000000001</v>
      </c>
      <c r="AD255">
        <v>-1.0590982078069999</v>
      </c>
      <c r="AE255">
        <v>-3.4052999999999498</v>
      </c>
      <c r="AF255">
        <v>2.4043694590396498</v>
      </c>
      <c r="AG255">
        <v>-1.0590982078069999</v>
      </c>
      <c r="AH255">
        <v>64.385649786329097</v>
      </c>
      <c r="AI255">
        <v>90.941733601347394</v>
      </c>
      <c r="AJ255">
        <v>87.861383087849603</v>
      </c>
      <c r="AK255">
        <v>64.439231683169297</v>
      </c>
      <c r="AL255">
        <v>88.791093696774098</v>
      </c>
      <c r="AM255">
        <v>83.426096821880606</v>
      </c>
      <c r="AN255">
        <v>1.0000000069352699</v>
      </c>
    </row>
    <row r="256" spans="1:40" x14ac:dyDescent="0.25">
      <c r="A256" t="str">
        <f>"20190312161229130"</f>
        <v>20190312161229130</v>
      </c>
      <c r="B256" t="str">
        <f>"1552378349126272"</f>
        <v>1552378349126272</v>
      </c>
      <c r="C256" t="s">
        <v>40</v>
      </c>
      <c r="D256">
        <v>4.7599330000000002</v>
      </c>
      <c r="E256">
        <v>0.47402290000000002</v>
      </c>
      <c r="F256" t="s">
        <v>42</v>
      </c>
      <c r="G256">
        <v>-359.54230000000001</v>
      </c>
      <c r="H256" s="1">
        <v>-1.441981E-6</v>
      </c>
      <c r="I256">
        <v>364.72989999999999</v>
      </c>
      <c r="J256">
        <v>-418.50889999999998</v>
      </c>
      <c r="K256">
        <v>1.059129</v>
      </c>
      <c r="L256">
        <v>368.02229999999997</v>
      </c>
      <c r="M256">
        <v>0.99986900000000001</v>
      </c>
      <c r="N256">
        <v>0</v>
      </c>
      <c r="O256">
        <v>-1.5218310000000001E-2</v>
      </c>
      <c r="P256">
        <v>0.99149080000000001</v>
      </c>
      <c r="Q256">
        <v>1.5067809999999999E-2</v>
      </c>
      <c r="R256">
        <v>-0.1293039</v>
      </c>
      <c r="S256">
        <v>3.0049739999999998</v>
      </c>
      <c r="T256">
        <v>-5.3612949999999999E-2</v>
      </c>
      <c r="U256">
        <v>-0.16696169999999999</v>
      </c>
      <c r="V256">
        <v>0.1141871</v>
      </c>
      <c r="W256">
        <v>2.062634E-2</v>
      </c>
      <c r="X256">
        <v>0.99324509999999999</v>
      </c>
      <c r="Y256">
        <v>4.0270689999999998E-2</v>
      </c>
      <c r="Z256" s="1">
        <v>-8.7684599999999997E-5</v>
      </c>
      <c r="AA256">
        <v>0.99918879999999999</v>
      </c>
      <c r="AB256">
        <v>39</v>
      </c>
      <c r="AC256">
        <v>58.9665999999999</v>
      </c>
      <c r="AD256">
        <v>-1.0591304419809999</v>
      </c>
      <c r="AE256">
        <v>-3.2923999999999798</v>
      </c>
      <c r="AF256">
        <v>2.3938631791148501</v>
      </c>
      <c r="AG256">
        <v>-1.0591304419809999</v>
      </c>
      <c r="AH256">
        <v>58.990904380827303</v>
      </c>
      <c r="AI256">
        <v>91.027739748102604</v>
      </c>
      <c r="AJ256">
        <v>87.676200356109604</v>
      </c>
      <c r="AK256">
        <v>59.048955434295102</v>
      </c>
      <c r="AL256">
        <v>88.818113937644597</v>
      </c>
      <c r="AM256">
        <v>83.441858102795095</v>
      </c>
      <c r="AN256">
        <v>0.99999998419110703</v>
      </c>
    </row>
    <row r="257" spans="1:40" x14ac:dyDescent="0.25">
      <c r="A257" t="str">
        <f>"20190312161229150"</f>
        <v>20190312161229150</v>
      </c>
      <c r="B257" t="str">
        <f>"1552378349145793"</f>
        <v>1552378349145793</v>
      </c>
      <c r="C257" t="s">
        <v>40</v>
      </c>
      <c r="D257">
        <v>4.7786939999999998</v>
      </c>
      <c r="E257">
        <v>0.47453240000000002</v>
      </c>
      <c r="F257" t="s">
        <v>42</v>
      </c>
      <c r="G257">
        <v>-360.69920000000002</v>
      </c>
      <c r="H257" s="1">
        <v>-4.8613819999999997E-6</v>
      </c>
      <c r="I257">
        <v>364.60419999999999</v>
      </c>
      <c r="J257">
        <v>-418.14850000000001</v>
      </c>
      <c r="K257">
        <v>1.0591549999999901</v>
      </c>
      <c r="L257">
        <v>368.01710000000003</v>
      </c>
      <c r="M257">
        <v>0.99987369999999998</v>
      </c>
      <c r="N257">
        <v>0</v>
      </c>
      <c r="O257">
        <v>-1.4898389999999999E-2</v>
      </c>
      <c r="P257">
        <v>0.99149730000000003</v>
      </c>
      <c r="Q257">
        <v>1.5156799999999899E-2</v>
      </c>
      <c r="R257">
        <v>-0.12924240000000001</v>
      </c>
      <c r="S257">
        <v>3.0034179999999999</v>
      </c>
      <c r="T257">
        <v>-5.5025699999999997E-2</v>
      </c>
      <c r="U257">
        <v>-0.17758180000000001</v>
      </c>
      <c r="V257">
        <v>0.1144419</v>
      </c>
      <c r="W257">
        <v>2.0755530000000001E-2</v>
      </c>
      <c r="X257">
        <v>0.99321309999999996</v>
      </c>
      <c r="Y257">
        <v>4.4139409999999997E-2</v>
      </c>
      <c r="Z257">
        <v>-1.3129360000000001E-4</v>
      </c>
      <c r="AA257">
        <v>0.9990253</v>
      </c>
      <c r="AB257">
        <v>39</v>
      </c>
      <c r="AC257">
        <v>57.449300000000001</v>
      </c>
      <c r="AD257">
        <v>-1.0591598613819999</v>
      </c>
      <c r="AE257">
        <v>-3.4129000000000298</v>
      </c>
      <c r="AF257">
        <v>2.5557403727596202</v>
      </c>
      <c r="AG257">
        <v>-1.0591598613819999</v>
      </c>
      <c r="AH257">
        <v>57.474304242951199</v>
      </c>
      <c r="AI257">
        <v>91.054708413705995</v>
      </c>
      <c r="AJ257">
        <v>87.453875499755199</v>
      </c>
      <c r="AK257">
        <v>57.540848765691997</v>
      </c>
      <c r="AL257">
        <v>88.810710331094796</v>
      </c>
      <c r="AM257">
        <v>83.427142094098002</v>
      </c>
      <c r="AN257">
        <v>1.0000000012564001</v>
      </c>
    </row>
    <row r="258" spans="1:40" x14ac:dyDescent="0.25">
      <c r="A258" t="str">
        <f>"20190312161229172"</f>
        <v>20190312161229172</v>
      </c>
      <c r="B258" t="str">
        <f>"1552378349166288"</f>
        <v>1552378349166288</v>
      </c>
      <c r="C258" t="s">
        <v>40</v>
      </c>
      <c r="D258">
        <v>4.7203109999999997</v>
      </c>
      <c r="E258">
        <v>0.47514859999999998</v>
      </c>
      <c r="F258" t="s">
        <v>42</v>
      </c>
      <c r="G258">
        <v>-358.88139999999999</v>
      </c>
      <c r="H258" s="1">
        <v>-1.7458089999999999E-6</v>
      </c>
      <c r="I258">
        <v>364.43329999999997</v>
      </c>
      <c r="J258">
        <v>-417.76420000000002</v>
      </c>
      <c r="K258">
        <v>1.059175</v>
      </c>
      <c r="L258">
        <v>368.01159999999999</v>
      </c>
      <c r="M258">
        <v>0.99987899999999996</v>
      </c>
      <c r="N258">
        <v>0</v>
      </c>
      <c r="O258">
        <v>-1.4532099999999999E-2</v>
      </c>
      <c r="P258">
        <v>0.99148939999999997</v>
      </c>
      <c r="Q258">
        <v>1.465613E-2</v>
      </c>
      <c r="R258">
        <v>-0.12936249999999999</v>
      </c>
      <c r="S258">
        <v>3.0028990000000002</v>
      </c>
      <c r="T258">
        <v>-5.3664450000000002E-2</v>
      </c>
      <c r="U258">
        <v>-0.18157960000000001</v>
      </c>
      <c r="V258">
        <v>0.11492479999999999</v>
      </c>
      <c r="W258">
        <v>2.0296439999999999E-2</v>
      </c>
      <c r="X258">
        <v>0.99316680000000002</v>
      </c>
      <c r="Y258">
        <v>4.584067E-2</v>
      </c>
      <c r="Z258">
        <v>-1.4978769999999999E-4</v>
      </c>
      <c r="AA258">
        <v>0.99894879999999997</v>
      </c>
      <c r="AB258">
        <v>39</v>
      </c>
      <c r="AC258">
        <v>58.882800000000003</v>
      </c>
      <c r="AD258">
        <v>-1.059176745809</v>
      </c>
      <c r="AE258">
        <v>-3.5783000000000098</v>
      </c>
      <c r="AF258">
        <v>2.72134092727965</v>
      </c>
      <c r="AG258">
        <v>-1.059176745809</v>
      </c>
      <c r="AH258">
        <v>58.909592122440699</v>
      </c>
      <c r="AI258">
        <v>91.028952825601706</v>
      </c>
      <c r="AJ258">
        <v>87.355089824670102</v>
      </c>
      <c r="AK258">
        <v>58.981926010038698</v>
      </c>
      <c r="AL258">
        <v>88.837019761747101</v>
      </c>
      <c r="AM258">
        <v>83.399346438159299</v>
      </c>
      <c r="AN258">
        <v>0.99999997387697603</v>
      </c>
    </row>
    <row r="259" spans="1:40" x14ac:dyDescent="0.25">
      <c r="A259" t="str">
        <f>"20190312161229194"</f>
        <v>20190312161229194</v>
      </c>
      <c r="B259" t="str">
        <f>"1552378349185810"</f>
        <v>1552378349185810</v>
      </c>
      <c r="C259" t="s">
        <v>40</v>
      </c>
      <c r="D259">
        <v>4.7876799999999999</v>
      </c>
      <c r="E259">
        <v>0.47576469999999998</v>
      </c>
      <c r="F259" t="s">
        <v>42</v>
      </c>
      <c r="G259">
        <v>-356.9434</v>
      </c>
      <c r="H259" s="1">
        <v>-2.4599689999999999E-6</v>
      </c>
      <c r="I259">
        <v>364.22789999999998</v>
      </c>
      <c r="J259">
        <v>-417.3655</v>
      </c>
      <c r="K259">
        <v>1.0591999999999999</v>
      </c>
      <c r="L259">
        <v>368.00619999999998</v>
      </c>
      <c r="M259">
        <v>0.99988440000000001</v>
      </c>
      <c r="N259">
        <v>0</v>
      </c>
      <c r="O259">
        <v>-1.412911E-2</v>
      </c>
      <c r="P259">
        <v>0.99157839999999997</v>
      </c>
      <c r="Q259">
        <v>1.419724E-2</v>
      </c>
      <c r="R259">
        <v>-0.12872729999999999</v>
      </c>
      <c r="S259">
        <v>3.0021969999999998</v>
      </c>
      <c r="T259">
        <v>-5.2282330000000002E-2</v>
      </c>
      <c r="U259">
        <v>-0.18676760000000001</v>
      </c>
      <c r="V259">
        <v>0.1146879</v>
      </c>
      <c r="W259">
        <v>1.9877860000000001E-2</v>
      </c>
      <c r="X259">
        <v>0.99320269999999999</v>
      </c>
      <c r="Y259">
        <v>4.797688E-2</v>
      </c>
      <c r="Z259">
        <v>-1.7154759999999999E-4</v>
      </c>
      <c r="AA259">
        <v>0.99884839999999997</v>
      </c>
      <c r="AB259">
        <v>39</v>
      </c>
      <c r="AC259">
        <v>60.4221</v>
      </c>
      <c r="AD259">
        <v>-1.059202459969</v>
      </c>
      <c r="AE259">
        <v>-3.7783000000000002</v>
      </c>
      <c r="AF259">
        <v>2.9233040278306901</v>
      </c>
      <c r="AG259">
        <v>-1.059202459969</v>
      </c>
      <c r="AH259">
        <v>60.450948900800597</v>
      </c>
      <c r="AI259">
        <v>91.002644429006807</v>
      </c>
      <c r="AJ259">
        <v>87.231431319585795</v>
      </c>
      <c r="AK259">
        <v>60.530858570629498</v>
      </c>
      <c r="AL259">
        <v>88.861007526403796</v>
      </c>
      <c r="AM259">
        <v>83.413068987447701</v>
      </c>
      <c r="AN259">
        <v>1.0000000235059301</v>
      </c>
    </row>
    <row r="260" spans="1:40" x14ac:dyDescent="0.25">
      <c r="A260" t="str">
        <f>"20190312161229217"</f>
        <v>20190312161229217</v>
      </c>
      <c r="B260" t="str">
        <f>"1552378349206304"</f>
        <v>1552378349206304</v>
      </c>
      <c r="C260" t="s">
        <v>40</v>
      </c>
      <c r="D260">
        <v>4.71488</v>
      </c>
      <c r="E260">
        <v>0.47633510000000001</v>
      </c>
      <c r="F260" t="s">
        <v>42</v>
      </c>
      <c r="G260">
        <v>-353.17880000000002</v>
      </c>
      <c r="H260" s="1">
        <v>-3.91556E-6</v>
      </c>
      <c r="I260">
        <v>363.93959999999998</v>
      </c>
      <c r="J260">
        <v>-416.97289999999998</v>
      </c>
      <c r="K260">
        <v>1.0592189999999999</v>
      </c>
      <c r="L260">
        <v>368.00099999999998</v>
      </c>
      <c r="M260">
        <v>0.9998901</v>
      </c>
      <c r="N260">
        <v>0</v>
      </c>
      <c r="O260">
        <v>-1.371469E-2</v>
      </c>
      <c r="P260">
        <v>0.9916893</v>
      </c>
      <c r="Q260">
        <v>1.3826450000000001E-2</v>
      </c>
      <c r="R260">
        <v>-0.12791130000000001</v>
      </c>
      <c r="S260">
        <v>3.0014340000000002</v>
      </c>
      <c r="T260">
        <v>-4.952931E-2</v>
      </c>
      <c r="U260">
        <v>-0.19015499999999999</v>
      </c>
      <c r="V260">
        <v>0.11428140000000001</v>
      </c>
      <c r="W260">
        <v>1.954461E-2</v>
      </c>
      <c r="X260">
        <v>0.99325620000000003</v>
      </c>
      <c r="Y260">
        <v>4.952968E-2</v>
      </c>
      <c r="Z260">
        <v>-1.8217950000000001E-4</v>
      </c>
      <c r="AA260">
        <v>0.99877260000000001</v>
      </c>
      <c r="AB260">
        <v>39</v>
      </c>
      <c r="AC260">
        <v>63.794099999999901</v>
      </c>
      <c r="AD260">
        <v>-1.0592229155599999</v>
      </c>
      <c r="AE260">
        <v>-4.0613999999999901</v>
      </c>
      <c r="AF260">
        <v>3.18521326713992</v>
      </c>
      <c r="AG260">
        <v>-1.0592229155599999</v>
      </c>
      <c r="AH260">
        <v>63.826276710124098</v>
      </c>
      <c r="AI260">
        <v>90.949577907069994</v>
      </c>
      <c r="AJ260">
        <v>87.143057521148094</v>
      </c>
      <c r="AK260">
        <v>63.914482986404103</v>
      </c>
      <c r="AL260">
        <v>88.880105089651494</v>
      </c>
      <c r="AM260">
        <v>83.436562090625799</v>
      </c>
      <c r="AN260">
        <v>1.0000000545022201</v>
      </c>
    </row>
    <row r="261" spans="1:40" x14ac:dyDescent="0.25">
      <c r="A261" t="str">
        <f>"20190312161229238"</f>
        <v>20190312161229238</v>
      </c>
      <c r="B261" t="str">
        <f>"1552378349225824"</f>
        <v>1552378349225824</v>
      </c>
      <c r="C261" t="s">
        <v>40</v>
      </c>
      <c r="D261">
        <v>4.6764590000000004</v>
      </c>
      <c r="E261">
        <v>0.47682560000000002</v>
      </c>
      <c r="F261" t="s">
        <v>42</v>
      </c>
      <c r="G261">
        <v>-345.51929999999999</v>
      </c>
      <c r="H261" s="1">
        <v>-3.352889E-6</v>
      </c>
      <c r="I261">
        <v>363.42250000000001</v>
      </c>
      <c r="J261">
        <v>-416.59350000000001</v>
      </c>
      <c r="K261">
        <v>1.059231</v>
      </c>
      <c r="L261">
        <v>367.99610000000001</v>
      </c>
      <c r="M261">
        <v>0.99989530000000004</v>
      </c>
      <c r="N261">
        <v>0</v>
      </c>
      <c r="O261">
        <v>-1.3302309999999999E-2</v>
      </c>
      <c r="P261">
        <v>0.99175340000000001</v>
      </c>
      <c r="Q261">
        <v>1.3567589999999999E-2</v>
      </c>
      <c r="R261">
        <v>-0.12743950000000001</v>
      </c>
      <c r="S261">
        <v>3.0009769999999998</v>
      </c>
      <c r="T261">
        <v>-4.4486280000000003E-2</v>
      </c>
      <c r="U261">
        <v>-0.1922913</v>
      </c>
      <c r="V261">
        <v>0.11421779999999999</v>
      </c>
      <c r="W261">
        <v>1.9320540000000001E-2</v>
      </c>
      <c r="X261">
        <v>0.99326780000000003</v>
      </c>
      <c r="Y261">
        <v>5.0660049999999998E-2</v>
      </c>
      <c r="Z261">
        <v>-1.7812780000000001E-4</v>
      </c>
      <c r="AA261">
        <v>0.99871589999999999</v>
      </c>
      <c r="AB261">
        <v>39</v>
      </c>
      <c r="AC261">
        <v>71.074200000000005</v>
      </c>
      <c r="AD261">
        <v>-1.059234352889</v>
      </c>
      <c r="AE261">
        <v>-4.5735999999999901</v>
      </c>
      <c r="AF261">
        <v>3.6269267005894901</v>
      </c>
      <c r="AG261">
        <v>-1.059234352889</v>
      </c>
      <c r="AH261">
        <v>71.113022118111004</v>
      </c>
      <c r="AI261">
        <v>90.852254700922302</v>
      </c>
      <c r="AJ261">
        <v>87.080314101014196</v>
      </c>
      <c r="AK261">
        <v>71.213330841049199</v>
      </c>
      <c r="AL261">
        <v>88.892945669733805</v>
      </c>
      <c r="AM261">
        <v>83.440258878693896</v>
      </c>
      <c r="AN261">
        <v>0.99999995580978396</v>
      </c>
    </row>
    <row r="262" spans="1:40" x14ac:dyDescent="0.25">
      <c r="A262" t="str">
        <f>"20190312161229260"</f>
        <v>20190312161229260</v>
      </c>
      <c r="B262" t="str">
        <f>"1552378349256080"</f>
        <v>1552378349256080</v>
      </c>
      <c r="C262" t="s">
        <v>40</v>
      </c>
      <c r="D262">
        <v>4.6202350000000001</v>
      </c>
      <c r="E262">
        <v>0.44340770000000002</v>
      </c>
      <c r="F262" t="s">
        <v>42</v>
      </c>
      <c r="G262">
        <v>-343.3399</v>
      </c>
      <c r="H262" s="1">
        <v>-4.2586579999999997E-6</v>
      </c>
      <c r="I262">
        <v>363.24639999999999</v>
      </c>
      <c r="J262">
        <v>-416.19560000000001</v>
      </c>
      <c r="K262">
        <v>1.0592490000000001</v>
      </c>
      <c r="L262">
        <v>367.99110000000002</v>
      </c>
      <c r="M262">
        <v>0.99990089999999998</v>
      </c>
      <c r="N262">
        <v>0</v>
      </c>
      <c r="O262">
        <v>-1.2861569999999999E-2</v>
      </c>
      <c r="P262">
        <v>0.99176600000000004</v>
      </c>
      <c r="Q262">
        <v>1.355694E-2</v>
      </c>
      <c r="R262">
        <v>-0.12734380000000001</v>
      </c>
      <c r="S262">
        <v>3.0005190000000002</v>
      </c>
      <c r="T262">
        <v>-4.3387059999999998E-2</v>
      </c>
      <c r="U262">
        <v>-0.19454959999999999</v>
      </c>
      <c r="V262">
        <v>0.11455899999999999</v>
      </c>
      <c r="W262">
        <v>1.9345330000000001E-2</v>
      </c>
      <c r="X262">
        <v>0.99322809999999995</v>
      </c>
      <c r="Y262">
        <v>5.1858550000000003E-2</v>
      </c>
      <c r="Z262">
        <v>-1.887692E-4</v>
      </c>
      <c r="AA262">
        <v>0.99865440000000005</v>
      </c>
      <c r="AB262">
        <v>40</v>
      </c>
      <c r="AC262">
        <v>72.855699999999999</v>
      </c>
      <c r="AD262">
        <v>-1.0592532586579999</v>
      </c>
      <c r="AE262">
        <v>-4.7447000000000203</v>
      </c>
      <c r="AF262">
        <v>3.8064522717729798</v>
      </c>
      <c r="AG262">
        <v>-1.0592532586579999</v>
      </c>
      <c r="AH262">
        <v>72.8953550994663</v>
      </c>
      <c r="AI262">
        <v>90.831382366162103</v>
      </c>
      <c r="AJ262">
        <v>87.010841823071402</v>
      </c>
      <c r="AK262">
        <v>73.002355382826806</v>
      </c>
      <c r="AL262">
        <v>88.891525126749698</v>
      </c>
      <c r="AM262">
        <v>83.420574005913906</v>
      </c>
      <c r="AN262">
        <v>1.0000000324517</v>
      </c>
    </row>
    <row r="263" spans="1:40" x14ac:dyDescent="0.25">
      <c r="A263" t="str">
        <f>"20190312161229284"</f>
        <v>20190312161229284</v>
      </c>
      <c r="B263" t="str">
        <f>"1552378349275600"</f>
        <v>1552378349275600</v>
      </c>
      <c r="C263" t="s">
        <v>40</v>
      </c>
      <c r="D263">
        <v>4.5530390000000001</v>
      </c>
      <c r="E263">
        <v>0.43848239999999999</v>
      </c>
      <c r="F263" t="s">
        <v>42</v>
      </c>
      <c r="G263">
        <v>-351.91489999999999</v>
      </c>
      <c r="H263" s="1">
        <v>-3.4739619999999999E-6</v>
      </c>
      <c r="I263">
        <v>369.48570000000001</v>
      </c>
      <c r="J263">
        <v>-415.77229999999997</v>
      </c>
      <c r="K263">
        <v>1.0592619999999999</v>
      </c>
      <c r="L263">
        <v>367.98599999999999</v>
      </c>
      <c r="M263">
        <v>0.99990670000000004</v>
      </c>
      <c r="N263">
        <v>0</v>
      </c>
      <c r="O263">
        <v>-1.238758E-2</v>
      </c>
      <c r="P263">
        <v>0.99176779999999998</v>
      </c>
      <c r="Q263">
        <v>1.354606E-2</v>
      </c>
      <c r="R263">
        <v>-0.12733119999999901</v>
      </c>
      <c r="S263">
        <v>3.034637</v>
      </c>
      <c r="T263">
        <v>-5.0006389999999998E-2</v>
      </c>
      <c r="U263">
        <v>7.0556640000000004E-2</v>
      </c>
      <c r="V263">
        <v>0.1150163</v>
      </c>
      <c r="W263">
        <v>1.9369649999999999E-2</v>
      </c>
      <c r="X263">
        <v>0.99317469999999997</v>
      </c>
      <c r="Y263">
        <v>-3.5620289999999999E-2</v>
      </c>
      <c r="Z263">
        <v>4.9752019999999995E-4</v>
      </c>
      <c r="AA263">
        <v>0.99936530000000001</v>
      </c>
      <c r="AB263">
        <v>40</v>
      </c>
      <c r="AC263">
        <v>63.857399999999899</v>
      </c>
      <c r="AD263">
        <v>-1.059265473962</v>
      </c>
      <c r="AE263">
        <v>1.49970000000001</v>
      </c>
      <c r="AF263">
        <v>-2.2900069106197898</v>
      </c>
      <c r="AG263">
        <v>-1.059265473962</v>
      </c>
      <c r="AH263">
        <v>63.816372052076701</v>
      </c>
      <c r="AI263">
        <v>90.950333573480407</v>
      </c>
      <c r="AJ263">
        <v>92.055138082103497</v>
      </c>
      <c r="AK263">
        <v>63.866231428542001</v>
      </c>
      <c r="AL263">
        <v>88.890131350389794</v>
      </c>
      <c r="AM263">
        <v>83.394189687129</v>
      </c>
      <c r="AN263">
        <v>0.99999995866345004</v>
      </c>
    </row>
    <row r="264" spans="1:40" x14ac:dyDescent="0.25">
      <c r="A264" t="str">
        <f>"20190312161229307"</f>
        <v>20190312161229307</v>
      </c>
      <c r="B264" t="str">
        <f>"1552378349296097"</f>
        <v>1552378349296097</v>
      </c>
      <c r="C264" t="s">
        <v>40</v>
      </c>
      <c r="D264">
        <v>4.6235790000000003</v>
      </c>
      <c r="E264">
        <v>0.43712899999999999</v>
      </c>
      <c r="F264" t="s">
        <v>41</v>
      </c>
      <c r="G264">
        <v>-284.60680000000002</v>
      </c>
      <c r="H264">
        <v>-0.05</v>
      </c>
      <c r="I264">
        <v>372.65910000000002</v>
      </c>
      <c r="J264">
        <v>-415.3689</v>
      </c>
      <c r="K264">
        <v>1.0592809999999999</v>
      </c>
      <c r="L264">
        <v>367.98140000000001</v>
      </c>
      <c r="M264">
        <v>0.99991220000000003</v>
      </c>
      <c r="N264">
        <v>0</v>
      </c>
      <c r="O264">
        <v>-1.193315E-2</v>
      </c>
      <c r="P264">
        <v>0.99182369999999997</v>
      </c>
      <c r="Q264">
        <v>1.3804749999999999E-2</v>
      </c>
      <c r="R264">
        <v>-0.12686620000000001</v>
      </c>
      <c r="S264">
        <v>3.0391240000000002</v>
      </c>
      <c r="T264">
        <v>-2.5701760000000001E-2</v>
      </c>
      <c r="U264">
        <v>0.10827639999999999</v>
      </c>
      <c r="V264">
        <v>0.11500150000000001</v>
      </c>
      <c r="W264">
        <v>1.9660939999999998E-2</v>
      </c>
      <c r="X264">
        <v>0.99317069999999996</v>
      </c>
      <c r="Y264">
        <v>-4.7526029999999997E-2</v>
      </c>
      <c r="Z264">
        <v>3.0178540000000003E-4</v>
      </c>
      <c r="AA264">
        <v>0.99887000000000004</v>
      </c>
      <c r="AB264">
        <v>40</v>
      </c>
      <c r="AC264">
        <v>130.76209999999901</v>
      </c>
      <c r="AD264">
        <v>-1.109281</v>
      </c>
      <c r="AE264">
        <v>4.6777000000000104</v>
      </c>
      <c r="AF264">
        <v>-6.23734828050363</v>
      </c>
      <c r="AG264">
        <v>-1.109281</v>
      </c>
      <c r="AH264">
        <v>130.687575602072</v>
      </c>
      <c r="AI264">
        <v>90.485764111876193</v>
      </c>
      <c r="AJ264">
        <v>92.732491964980596</v>
      </c>
      <c r="AK264">
        <v>130.841038801503</v>
      </c>
      <c r="AL264">
        <v>88.873438494039405</v>
      </c>
      <c r="AM264">
        <v>83.395005828071902</v>
      </c>
      <c r="AN264">
        <v>0.99999996845121097</v>
      </c>
    </row>
    <row r="265" spans="1:40" x14ac:dyDescent="0.25">
      <c r="A265" t="str">
        <f>"20190312161229330"</f>
        <v>20190312161229330</v>
      </c>
      <c r="B265" t="str">
        <f>"1552378349326353"</f>
        <v>1552378349326353</v>
      </c>
      <c r="C265" t="s">
        <v>40</v>
      </c>
      <c r="D265">
        <v>4.5354080000000003</v>
      </c>
      <c r="E265">
        <v>0.43656719999999999</v>
      </c>
      <c r="F265" t="s">
        <v>52</v>
      </c>
      <c r="G265">
        <v>-158.19499999999999</v>
      </c>
      <c r="H265">
        <v>0.29178520000000002</v>
      </c>
      <c r="I265">
        <v>378.0933</v>
      </c>
      <c r="J265">
        <v>-414.96449999999999</v>
      </c>
      <c r="K265">
        <v>1.059291</v>
      </c>
      <c r="L265">
        <v>367.9769</v>
      </c>
      <c r="M265">
        <v>0.99991739999999996</v>
      </c>
      <c r="N265">
        <v>0</v>
      </c>
      <c r="O265">
        <v>-1.1475040000000001E-2</v>
      </c>
      <c r="P265">
        <v>0.9919327</v>
      </c>
      <c r="Q265">
        <v>1.409905E-2</v>
      </c>
      <c r="R265">
        <v>-0.12598029999999999</v>
      </c>
      <c r="S265">
        <v>3.0401919999999998</v>
      </c>
      <c r="T265">
        <v>-9.0719459999999991E-3</v>
      </c>
      <c r="U265">
        <v>0.1195374</v>
      </c>
      <c r="V265">
        <v>0.1145684</v>
      </c>
      <c r="W265">
        <v>1.998608E-2</v>
      </c>
      <c r="X265">
        <v>0.99321429999999999</v>
      </c>
      <c r="Y265">
        <v>-5.0752169999999999E-2</v>
      </c>
      <c r="Z265">
        <v>1.099231E-4</v>
      </c>
      <c r="AA265">
        <v>0.99871129999999997</v>
      </c>
      <c r="AB265">
        <v>40</v>
      </c>
      <c r="AC265">
        <v>256.76949999999999</v>
      </c>
      <c r="AD265">
        <v>-0.76750579999999902</v>
      </c>
      <c r="AE265">
        <v>10.116400000000001</v>
      </c>
      <c r="AF265">
        <v>-13.0621070471715</v>
      </c>
      <c r="AG265">
        <v>-0.76750579999999902</v>
      </c>
      <c r="AH265">
        <v>256.63421619915903</v>
      </c>
      <c r="AI265">
        <v>90.171130192059096</v>
      </c>
      <c r="AJ265">
        <v>92.913712567646897</v>
      </c>
      <c r="AK265">
        <v>256.96756338071401</v>
      </c>
      <c r="AL265">
        <v>88.854805722546402</v>
      </c>
      <c r="AM265">
        <v>83.419948251041106</v>
      </c>
      <c r="AN265">
        <v>1.0000000036984</v>
      </c>
    </row>
    <row r="266" spans="1:40" x14ac:dyDescent="0.25">
      <c r="A266" t="str">
        <f>"20190312161229349"</f>
        <v>20190312161229349</v>
      </c>
      <c r="B266" t="str">
        <f>"1552378349345873"</f>
        <v>1552378349345873</v>
      </c>
      <c r="C266" t="s">
        <v>40</v>
      </c>
      <c r="D266">
        <v>4.4851289999999997</v>
      </c>
      <c r="E266">
        <v>0.4432297</v>
      </c>
      <c r="F266" t="s">
        <v>52</v>
      </c>
      <c r="G266">
        <v>-158.19499999999999</v>
      </c>
      <c r="H266">
        <v>1.4337489999999999</v>
      </c>
      <c r="I266">
        <v>378.62639999999999</v>
      </c>
      <c r="J266">
        <v>-414.60930000000002</v>
      </c>
      <c r="K266">
        <v>1.059302</v>
      </c>
      <c r="L266">
        <v>367.97309999999999</v>
      </c>
      <c r="M266">
        <v>0.99992170000000002</v>
      </c>
      <c r="N266">
        <v>0</v>
      </c>
      <c r="O266">
        <v>-1.1071879999999999E-2</v>
      </c>
      <c r="P266">
        <v>0.99200580000000005</v>
      </c>
      <c r="Q266">
        <v>1.330127E-2</v>
      </c>
      <c r="R266">
        <v>-0.1254903</v>
      </c>
      <c r="S266">
        <v>3.040375</v>
      </c>
      <c r="T266">
        <v>4.4349430000000002E-3</v>
      </c>
      <c r="U266">
        <v>0.12609860000000001</v>
      </c>
      <c r="V266">
        <v>0.11447830000000001</v>
      </c>
      <c r="W266">
        <v>1.9215179999999998E-2</v>
      </c>
      <c r="X266">
        <v>0.99323989999999995</v>
      </c>
      <c r="Y266">
        <v>-5.2499030000000002E-2</v>
      </c>
      <c r="Z266" s="1">
        <v>-5.441762E-5</v>
      </c>
      <c r="AA266">
        <v>0.99862099999999998</v>
      </c>
      <c r="AB266">
        <v>40</v>
      </c>
      <c r="AC266">
        <v>256.41430000000003</v>
      </c>
      <c r="AD266">
        <v>0.37444699999999997</v>
      </c>
      <c r="AE266">
        <v>10.6533</v>
      </c>
      <c r="AF266">
        <v>-13.491654894745</v>
      </c>
      <c r="AG266">
        <v>0.37444699999999997</v>
      </c>
      <c r="AH266">
        <v>256.28008286514302</v>
      </c>
      <c r="AI266">
        <v>89.916401814275204</v>
      </c>
      <c r="AJ266">
        <v>93.013507514677499</v>
      </c>
      <c r="AK266">
        <v>256.63523888141202</v>
      </c>
      <c r="AL266">
        <v>88.898983524663706</v>
      </c>
      <c r="AM266">
        <v>83.4252456522822</v>
      </c>
      <c r="AN266">
        <v>1.00000000163266</v>
      </c>
    </row>
    <row r="267" spans="1:40" x14ac:dyDescent="0.25">
      <c r="A267" t="str">
        <f>"20190312161229373"</f>
        <v>20190312161229373</v>
      </c>
      <c r="B267" t="str">
        <f>"1552378349365392"</f>
        <v>1552378349365392</v>
      </c>
      <c r="C267" t="s">
        <v>40</v>
      </c>
      <c r="D267">
        <v>4.5251299999999999</v>
      </c>
      <c r="E267">
        <v>0.43928099999999998</v>
      </c>
      <c r="F267" t="s">
        <v>42</v>
      </c>
      <c r="G267">
        <v>-371.48899999999998</v>
      </c>
      <c r="H267" s="1">
        <v>-3.7269799999999999E-6</v>
      </c>
      <c r="I267">
        <v>369.08940000000001</v>
      </c>
      <c r="J267">
        <v>-414.19299999999998</v>
      </c>
      <c r="K267">
        <v>1.0593140000000001</v>
      </c>
      <c r="L267">
        <v>367.96890000000002</v>
      </c>
      <c r="M267">
        <v>0.99992669999999995</v>
      </c>
      <c r="N267">
        <v>0</v>
      </c>
      <c r="O267">
        <v>-1.059912E-2</v>
      </c>
      <c r="P267">
        <v>0.992031</v>
      </c>
      <c r="Q267">
        <v>1.38161E-2</v>
      </c>
      <c r="R267">
        <v>-0.12523500000000001</v>
      </c>
      <c r="S267">
        <v>3.035126</v>
      </c>
      <c r="T267">
        <v>-7.4561600000000006E-2</v>
      </c>
      <c r="U267">
        <v>7.8582760000000001E-2</v>
      </c>
      <c r="V267">
        <v>0.1146915</v>
      </c>
      <c r="W267">
        <v>1.9761049999999999E-2</v>
      </c>
      <c r="X267">
        <v>0.99320459999999999</v>
      </c>
      <c r="Y267">
        <v>-3.6462540000000002E-2</v>
      </c>
      <c r="Z267">
        <v>7.0803819999999999E-4</v>
      </c>
      <c r="AA267">
        <v>0.99933479999999997</v>
      </c>
      <c r="AB267">
        <v>40</v>
      </c>
      <c r="AC267">
        <v>42.704000000000001</v>
      </c>
      <c r="AD267">
        <v>-1.05931772697999</v>
      </c>
      <c r="AE267">
        <v>1.1204999999999901</v>
      </c>
      <c r="AF267">
        <v>-1.57210291671641</v>
      </c>
      <c r="AG267">
        <v>-1.05931772697999</v>
      </c>
      <c r="AH267">
        <v>42.663490117131502</v>
      </c>
      <c r="AI267">
        <v>91.421375208836494</v>
      </c>
      <c r="AJ267">
        <v>92.110331946231696</v>
      </c>
      <c r="AK267">
        <v>42.705585707282097</v>
      </c>
      <c r="AL267">
        <v>88.867701543982903</v>
      </c>
      <c r="AM267">
        <v>83.412876534245001</v>
      </c>
      <c r="AN267">
        <v>1.00000000836525</v>
      </c>
    </row>
    <row r="268" spans="1:40" x14ac:dyDescent="0.25">
      <c r="A268" t="str">
        <f>"20190312161229395"</f>
        <v>20190312161229395</v>
      </c>
      <c r="B268" t="str">
        <f>"1552378349385888"</f>
        <v>1552378349385888</v>
      </c>
      <c r="C268" t="s">
        <v>40</v>
      </c>
      <c r="D268">
        <v>4.6942690000000002</v>
      </c>
      <c r="E268">
        <v>0.43824540000000001</v>
      </c>
      <c r="F268" t="s">
        <v>42</v>
      </c>
      <c r="G268">
        <v>-354.9513</v>
      </c>
      <c r="H268" s="1">
        <v>-2.2778290000000002E-6</v>
      </c>
      <c r="I268">
        <v>370.10359999999997</v>
      </c>
      <c r="J268">
        <v>-413.7749</v>
      </c>
      <c r="K268">
        <v>1.0593239999999999</v>
      </c>
      <c r="L268">
        <v>367.96480000000003</v>
      </c>
      <c r="M268">
        <v>0.99993140000000003</v>
      </c>
      <c r="N268">
        <v>0</v>
      </c>
      <c r="O268">
        <v>-1.0123500000000001E-2</v>
      </c>
      <c r="P268">
        <v>0.9921103</v>
      </c>
      <c r="Q268">
        <v>1.4449979999999999E-2</v>
      </c>
      <c r="R268">
        <v>-0.1245324</v>
      </c>
      <c r="S268">
        <v>3.0386660000000001</v>
      </c>
      <c r="T268">
        <v>-5.4335120000000001E-2</v>
      </c>
      <c r="U268">
        <v>0.1094971</v>
      </c>
      <c r="V268">
        <v>0.11445959999999999</v>
      </c>
      <c r="W268">
        <v>2.0424680000000001E-2</v>
      </c>
      <c r="X268">
        <v>0.99321789999999999</v>
      </c>
      <c r="Y268">
        <v>-4.6117499999999999E-2</v>
      </c>
      <c r="Z268">
        <v>5.9310910000000001E-4</v>
      </c>
      <c r="AA268">
        <v>0.99893580000000004</v>
      </c>
      <c r="AB268">
        <v>40</v>
      </c>
      <c r="AC268">
        <v>58.823599999999999</v>
      </c>
      <c r="AD268">
        <v>-1.059326277829</v>
      </c>
      <c r="AE268">
        <v>2.1387999999999399</v>
      </c>
      <c r="AF268">
        <v>-2.73331618228065</v>
      </c>
      <c r="AG268">
        <v>-1.059326277829</v>
      </c>
      <c r="AH268">
        <v>58.7798954626031</v>
      </c>
      <c r="AI268">
        <v>91.031353677203199</v>
      </c>
      <c r="AJ268">
        <v>92.662385621021002</v>
      </c>
      <c r="AK268">
        <v>58.852946401261597</v>
      </c>
      <c r="AL268">
        <v>88.829670637107199</v>
      </c>
      <c r="AM268">
        <v>83.426165901515105</v>
      </c>
      <c r="AN268">
        <v>0.99999998223283604</v>
      </c>
    </row>
    <row r="269" spans="1:40" x14ac:dyDescent="0.25">
      <c r="A269" t="str">
        <f>"20190312161229418"</f>
        <v>20190312161229418</v>
      </c>
      <c r="B269" t="str">
        <f>"1552378349405409"</f>
        <v>1552378349405409</v>
      </c>
      <c r="C269" t="s">
        <v>40</v>
      </c>
      <c r="D269">
        <v>4.6348260000000003</v>
      </c>
      <c r="E269">
        <v>0.43764930000000002</v>
      </c>
      <c r="F269" t="s">
        <v>42</v>
      </c>
      <c r="G269">
        <v>-277.01670000000001</v>
      </c>
      <c r="H269" s="1">
        <v>-2.2448059999999998E-6</v>
      </c>
      <c r="I269">
        <v>373.30939999999998</v>
      </c>
      <c r="J269">
        <v>-413.3766</v>
      </c>
      <c r="K269">
        <v>1.059329</v>
      </c>
      <c r="L269">
        <v>367.96109999999999</v>
      </c>
      <c r="M269">
        <v>0.99993589999999999</v>
      </c>
      <c r="N269">
        <v>0</v>
      </c>
      <c r="O269">
        <v>-9.6701719999999994E-3</v>
      </c>
      <c r="P269">
        <v>0.99214599999999997</v>
      </c>
      <c r="Q269">
        <v>1.4492150000000001E-2</v>
      </c>
      <c r="R269">
        <v>-0.12424300000000001</v>
      </c>
      <c r="S269">
        <v>3.0391539999999999</v>
      </c>
      <c r="T269">
        <v>-2.354121E-2</v>
      </c>
      <c r="U269">
        <v>0.1187744</v>
      </c>
      <c r="V269">
        <v>0.11461979999999999</v>
      </c>
      <c r="W269">
        <v>2.0495240000000001E-2</v>
      </c>
      <c r="X269">
        <v>0.99319800000000003</v>
      </c>
      <c r="Y269">
        <v>-4.8710980000000001E-2</v>
      </c>
      <c r="Z269">
        <v>2.6346140000000002E-4</v>
      </c>
      <c r="AA269">
        <v>0.9988129</v>
      </c>
      <c r="AB269">
        <v>40</v>
      </c>
      <c r="AC269">
        <v>136.35989999999899</v>
      </c>
      <c r="AD269">
        <v>-1.0593312448059999</v>
      </c>
      <c r="AE269">
        <v>5.3482999999999903</v>
      </c>
      <c r="AF269">
        <v>-6.6662947696971004</v>
      </c>
      <c r="AG269">
        <v>-1.0593312448059999</v>
      </c>
      <c r="AH269">
        <v>136.29359116414699</v>
      </c>
      <c r="AI269">
        <v>90.444786289152006</v>
      </c>
      <c r="AJ269">
        <v>92.800178692276901</v>
      </c>
      <c r="AK269">
        <v>136.460634107652</v>
      </c>
      <c r="AL269">
        <v>88.825627033367098</v>
      </c>
      <c r="AM269">
        <v>83.416914991188406</v>
      </c>
      <c r="AN269">
        <v>1.00000001030934</v>
      </c>
    </row>
    <row r="270" spans="1:40" x14ac:dyDescent="0.25">
      <c r="A270" t="str">
        <f>"20190312161229439"</f>
        <v>20190312161229439</v>
      </c>
      <c r="B270" t="str">
        <f>"1552378349425905"</f>
        <v>1552378349425905</v>
      </c>
      <c r="C270" t="s">
        <v>40</v>
      </c>
      <c r="D270">
        <v>4.6657219999999997</v>
      </c>
      <c r="E270">
        <v>0.43724639999999998</v>
      </c>
      <c r="F270" t="s">
        <v>52</v>
      </c>
      <c r="G270">
        <v>-158.19499999999999</v>
      </c>
      <c r="H270">
        <v>0.1394234</v>
      </c>
      <c r="I270">
        <v>378.36110000000002</v>
      </c>
      <c r="J270">
        <v>-412.99239999999998</v>
      </c>
      <c r="K270">
        <v>1.059329</v>
      </c>
      <c r="L270">
        <v>367.95769999999999</v>
      </c>
      <c r="M270">
        <v>0.99993989999999999</v>
      </c>
      <c r="N270">
        <v>0</v>
      </c>
      <c r="O270">
        <v>-9.230673E-3</v>
      </c>
      <c r="P270">
        <v>0.99213980000000002</v>
      </c>
      <c r="Q270">
        <v>1.42811E-2</v>
      </c>
      <c r="R270">
        <v>-0.1243187</v>
      </c>
      <c r="S270">
        <v>3.0393979999999998</v>
      </c>
      <c r="T270">
        <v>-1.0955690000000001E-2</v>
      </c>
      <c r="U270">
        <v>0.1238708</v>
      </c>
      <c r="V270">
        <v>0.1151317</v>
      </c>
      <c r="W270">
        <v>2.031169E-2</v>
      </c>
      <c r="X270">
        <v>0.99314250000000004</v>
      </c>
      <c r="Y270">
        <v>-4.9942309999999997E-2</v>
      </c>
      <c r="Z270">
        <v>1.232328E-4</v>
      </c>
      <c r="AA270">
        <v>0.99875210000000003</v>
      </c>
      <c r="AB270">
        <v>41</v>
      </c>
      <c r="AC270">
        <v>254.79740000000001</v>
      </c>
      <c r="AD270">
        <v>-0.91990559999999999</v>
      </c>
      <c r="AE270">
        <v>10.4034</v>
      </c>
      <c r="AF270">
        <v>-12.7547834165327</v>
      </c>
      <c r="AG270">
        <v>-0.91990559999999999</v>
      </c>
      <c r="AH270">
        <v>254.68719806603201</v>
      </c>
      <c r="AI270">
        <v>90.206686907204997</v>
      </c>
      <c r="AJ270">
        <v>92.866988331550402</v>
      </c>
      <c r="AK270">
        <v>255.00803827534901</v>
      </c>
      <c r="AL270">
        <v>88.836145792201606</v>
      </c>
      <c r="AM270">
        <v>83.387408014488699</v>
      </c>
      <c r="AN270">
        <v>0.99999994920089597</v>
      </c>
    </row>
    <row r="271" spans="1:40" x14ac:dyDescent="0.25">
      <c r="A271" t="str">
        <f>"20190312161229462"</f>
        <v>20190312161229462</v>
      </c>
      <c r="B271" t="str">
        <f>"1552378349456160"</f>
        <v>1552378349456160</v>
      </c>
      <c r="C271" t="s">
        <v>40</v>
      </c>
      <c r="D271">
        <v>4.5519990000000004</v>
      </c>
      <c r="E271">
        <v>0.43724970000000002</v>
      </c>
      <c r="F271" t="s">
        <v>52</v>
      </c>
      <c r="G271">
        <v>-158.19499999999999</v>
      </c>
      <c r="H271">
        <v>0.79728319999999997</v>
      </c>
      <c r="I271">
        <v>378.55349999999999</v>
      </c>
      <c r="J271">
        <v>-412.56549999999999</v>
      </c>
      <c r="K271">
        <v>1.059339</v>
      </c>
      <c r="L271">
        <v>367.95409999999998</v>
      </c>
      <c r="M271">
        <v>0.99994419999999995</v>
      </c>
      <c r="N271">
        <v>0</v>
      </c>
      <c r="O271">
        <v>-8.7386029999999993E-3</v>
      </c>
      <c r="P271">
        <v>0.99217330000000004</v>
      </c>
      <c r="Q271">
        <v>1.432932E-2</v>
      </c>
      <c r="R271">
        <v>-0.1240458</v>
      </c>
      <c r="S271">
        <v>3.0396420000000002</v>
      </c>
      <c r="T271">
        <v>-3.125072E-3</v>
      </c>
      <c r="U271">
        <v>0.12640380000000001</v>
      </c>
      <c r="V271">
        <v>0.1153469</v>
      </c>
      <c r="W271">
        <v>2.0389879999999999E-2</v>
      </c>
      <c r="X271">
        <v>0.993116</v>
      </c>
      <c r="Y271">
        <v>-5.0278780000000002E-2</v>
      </c>
      <c r="Z271" s="1">
        <v>3.4815569999999997E-5</v>
      </c>
      <c r="AA271">
        <v>0.99873520000000005</v>
      </c>
      <c r="AB271">
        <v>41</v>
      </c>
      <c r="AC271">
        <v>254.37049999999999</v>
      </c>
      <c r="AD271">
        <v>-0.26205580000000001</v>
      </c>
      <c r="AE271">
        <v>10.599399999999999</v>
      </c>
      <c r="AF271">
        <v>-12.8218636662401</v>
      </c>
      <c r="AG271">
        <v>-0.26205580000000001</v>
      </c>
      <c r="AH271">
        <v>254.26789222484999</v>
      </c>
      <c r="AI271">
        <v>90.058975721436695</v>
      </c>
      <c r="AJ271">
        <v>92.886785765989799</v>
      </c>
      <c r="AK271">
        <v>254.59110329621799</v>
      </c>
      <c r="AL271">
        <v>88.831664992053902</v>
      </c>
      <c r="AM271">
        <v>83.374982560682994</v>
      </c>
      <c r="AN271">
        <v>1.0000000220010099</v>
      </c>
    </row>
    <row r="272" spans="1:40" x14ac:dyDescent="0.25">
      <c r="A272" t="str">
        <f>"20190312161229485"</f>
        <v>20190312161229485</v>
      </c>
      <c r="B272" t="str">
        <f>"1552378349475681"</f>
        <v>1552378349475681</v>
      </c>
      <c r="C272" t="s">
        <v>40</v>
      </c>
      <c r="D272">
        <v>4.5496400000000001</v>
      </c>
      <c r="E272">
        <v>0.43772539999999999</v>
      </c>
      <c r="F272" t="s">
        <v>52</v>
      </c>
      <c r="G272">
        <v>-158.19499999999999</v>
      </c>
      <c r="H272">
        <v>0.91871740000000002</v>
      </c>
      <c r="I272">
        <v>378.58859999999999</v>
      </c>
      <c r="J272">
        <v>-412.14330000000001</v>
      </c>
      <c r="K272">
        <v>1.0593490000000001</v>
      </c>
      <c r="L272">
        <v>367.95080000000002</v>
      </c>
      <c r="M272">
        <v>0.99994810000000001</v>
      </c>
      <c r="N272">
        <v>0</v>
      </c>
      <c r="O272">
        <v>-8.2434209999999904E-3</v>
      </c>
      <c r="P272">
        <v>0.99225929999999996</v>
      </c>
      <c r="Q272">
        <v>1.4728430000000001E-2</v>
      </c>
      <c r="R272">
        <v>-0.12330720000000001</v>
      </c>
      <c r="S272">
        <v>3.0395810000000001</v>
      </c>
      <c r="T272">
        <v>-1.679301E-3</v>
      </c>
      <c r="U272">
        <v>0.1270752</v>
      </c>
      <c r="V272">
        <v>0.11509850000000001</v>
      </c>
      <c r="W272">
        <v>2.081846E-2</v>
      </c>
      <c r="X272">
        <v>0.99313589999999996</v>
      </c>
      <c r="Y272">
        <v>-5.0005260000000003E-2</v>
      </c>
      <c r="Z272" s="1">
        <v>1.8359920000000002E-5</v>
      </c>
      <c r="AA272">
        <v>0.998749</v>
      </c>
      <c r="AB272">
        <v>41</v>
      </c>
      <c r="AC272">
        <v>253.94829999999999</v>
      </c>
      <c r="AD272">
        <v>-0.140631599999999</v>
      </c>
      <c r="AE272">
        <v>10.637799999999899</v>
      </c>
      <c r="AF272">
        <v>-12.7308749104449</v>
      </c>
      <c r="AG272">
        <v>-0.140631599999999</v>
      </c>
      <c r="AH272">
        <v>253.85189999538801</v>
      </c>
      <c r="AI272">
        <v>90.031701486410697</v>
      </c>
      <c r="AJ272">
        <v>92.871023602934898</v>
      </c>
      <c r="AK272">
        <v>254.17097018444301</v>
      </c>
      <c r="AL272">
        <v>88.807103920296399</v>
      </c>
      <c r="AM272">
        <v>83.3892544337114</v>
      </c>
      <c r="AN272">
        <v>0.99999999442391496</v>
      </c>
    </row>
    <row r="273" spans="1:40" x14ac:dyDescent="0.25">
      <c r="A273" t="str">
        <f>"20190312161229507"</f>
        <v>20190312161229507</v>
      </c>
      <c r="B273" t="str">
        <f>"1552378349496177"</f>
        <v>1552378349496177</v>
      </c>
      <c r="C273" t="s">
        <v>40</v>
      </c>
      <c r="D273">
        <v>4.5617179999999999</v>
      </c>
      <c r="E273">
        <v>0.43789260000000002</v>
      </c>
      <c r="F273" t="s">
        <v>52</v>
      </c>
      <c r="G273">
        <v>-158.19499999999999</v>
      </c>
      <c r="H273">
        <v>0.3645678</v>
      </c>
      <c r="I273">
        <v>378.46190000000001</v>
      </c>
      <c r="J273">
        <v>-411.73439999999999</v>
      </c>
      <c r="K273">
        <v>1.0593709999999901</v>
      </c>
      <c r="L273">
        <v>367.9477</v>
      </c>
      <c r="M273">
        <v>0.99995179999999995</v>
      </c>
      <c r="N273">
        <v>0</v>
      </c>
      <c r="O273">
        <v>-7.7488100000000001E-3</v>
      </c>
      <c r="P273">
        <v>0.99237390000000003</v>
      </c>
      <c r="Q273">
        <v>1.505841E-2</v>
      </c>
      <c r="R273">
        <v>-0.12234100000000001</v>
      </c>
      <c r="S273">
        <v>3.0391849999999998</v>
      </c>
      <c r="T273">
        <v>-8.3138940000000005E-3</v>
      </c>
      <c r="U273">
        <v>0.1257935</v>
      </c>
      <c r="V273">
        <v>0.1146218</v>
      </c>
      <c r="W273">
        <v>2.1177919999999999E-2</v>
      </c>
      <c r="X273">
        <v>0.99318340000000005</v>
      </c>
      <c r="Y273">
        <v>-4.9095989999999999E-2</v>
      </c>
      <c r="Z273" s="1">
        <v>8.8313189999999898E-5</v>
      </c>
      <c r="AA273">
        <v>0.99879410000000002</v>
      </c>
      <c r="AB273">
        <v>41</v>
      </c>
      <c r="AC273">
        <v>253.5394</v>
      </c>
      <c r="AD273">
        <v>-0.69480319999999895</v>
      </c>
      <c r="AE273">
        <v>10.514200000000001</v>
      </c>
      <c r="AF273">
        <v>-12.478455125191299</v>
      </c>
      <c r="AG273">
        <v>-0.69480319999999895</v>
      </c>
      <c r="AH273">
        <v>253.448413724711</v>
      </c>
      <c r="AI273">
        <v>90.156880165829705</v>
      </c>
      <c r="AJ273">
        <v>92.818664116734695</v>
      </c>
      <c r="AK273">
        <v>253.75636546374699</v>
      </c>
      <c r="AL273">
        <v>88.786503799821205</v>
      </c>
      <c r="AM273">
        <v>83.416705206400906</v>
      </c>
      <c r="AN273">
        <v>0.99999996368316202</v>
      </c>
    </row>
    <row r="274" spans="1:40" x14ac:dyDescent="0.25">
      <c r="A274" t="str">
        <f>"20190312161229531"</f>
        <v>20190312161229531</v>
      </c>
      <c r="B274" t="str">
        <f>"1552378349525457"</f>
        <v>1552378349525457</v>
      </c>
      <c r="C274" t="s">
        <v>40</v>
      </c>
      <c r="D274">
        <v>5.5815659999999996</v>
      </c>
      <c r="E274">
        <v>0.43801240000000002</v>
      </c>
      <c r="F274" t="s">
        <v>52</v>
      </c>
      <c r="G274">
        <v>-158.19499999999999</v>
      </c>
      <c r="H274">
        <v>0.37799929999999998</v>
      </c>
      <c r="I274">
        <v>378.59809999999999</v>
      </c>
      <c r="J274">
        <v>-411.33359999999999</v>
      </c>
      <c r="K274">
        <v>1.059396</v>
      </c>
      <c r="L274">
        <v>367.94499999999999</v>
      </c>
      <c r="M274">
        <v>0.9999557</v>
      </c>
      <c r="N274">
        <v>0</v>
      </c>
      <c r="O274">
        <v>-7.2421279999999996E-3</v>
      </c>
      <c r="P274">
        <v>0.9923881</v>
      </c>
      <c r="Q274">
        <v>1.516812E-2</v>
      </c>
      <c r="R274">
        <v>-0.122214</v>
      </c>
      <c r="S274">
        <v>3.03891</v>
      </c>
      <c r="T274">
        <v>-8.1658359999999992E-3</v>
      </c>
      <c r="U274">
        <v>0.12765499999999999</v>
      </c>
      <c r="V274">
        <v>0.1149966</v>
      </c>
      <c r="W274">
        <v>2.1318549999999999E-2</v>
      </c>
      <c r="X274">
        <v>0.99313709999999999</v>
      </c>
      <c r="Y274">
        <v>-4.9204419999999999E-2</v>
      </c>
      <c r="Z274" s="1">
        <v>8.5531819999999995E-5</v>
      </c>
      <c r="AA274">
        <v>0.99878869999999997</v>
      </c>
      <c r="AB274">
        <v>41</v>
      </c>
      <c r="AC274">
        <v>253.1386</v>
      </c>
      <c r="AD274">
        <v>-0.68139669999999997</v>
      </c>
      <c r="AE274">
        <v>10.653099999999901</v>
      </c>
      <c r="AF274">
        <v>-12.486025586155099</v>
      </c>
      <c r="AG274">
        <v>-0.68139669999999997</v>
      </c>
      <c r="AH274">
        <v>253.052978488262</v>
      </c>
      <c r="AI274">
        <v>90.154092725303499</v>
      </c>
      <c r="AJ274">
        <v>92.824771533861494</v>
      </c>
      <c r="AK274">
        <v>253.361747424866</v>
      </c>
      <c r="AL274">
        <v>88.778444517638206</v>
      </c>
      <c r="AM274">
        <v>83.395063290456207</v>
      </c>
      <c r="AN274">
        <v>0.99999999899103598</v>
      </c>
    </row>
    <row r="275" spans="1:40" x14ac:dyDescent="0.25">
      <c r="A275" t="str">
        <f>"20190312161229552"</f>
        <v>20190312161229552</v>
      </c>
      <c r="B275" t="str">
        <f>"1552378349545953"</f>
        <v>1552378349545953</v>
      </c>
      <c r="C275" t="s">
        <v>40</v>
      </c>
      <c r="D275">
        <v>4.6895280000000001</v>
      </c>
      <c r="E275">
        <v>0.43822939999999999</v>
      </c>
      <c r="F275" t="s">
        <v>52</v>
      </c>
      <c r="G275">
        <v>-158.19499999999999</v>
      </c>
      <c r="H275">
        <v>0.61645130000000004</v>
      </c>
      <c r="I275">
        <v>378.51569999999998</v>
      </c>
      <c r="J275">
        <v>-410.92230000000001</v>
      </c>
      <c r="K275">
        <v>1.0594300000000001</v>
      </c>
      <c r="L275">
        <v>367.94240000000002</v>
      </c>
      <c r="M275">
        <v>0.99995919999999905</v>
      </c>
      <c r="N275">
        <v>0</v>
      </c>
      <c r="O275">
        <v>-6.6938120000000004E-3</v>
      </c>
      <c r="P275">
        <v>0.99247870000000005</v>
      </c>
      <c r="Q275">
        <v>1.5766800000000001E-2</v>
      </c>
      <c r="R275">
        <v>-0.121397699999999</v>
      </c>
      <c r="S275">
        <v>3.0387270000000002</v>
      </c>
      <c r="T275">
        <v>-5.3161379999999998E-3</v>
      </c>
      <c r="U275">
        <v>0.12689210000000001</v>
      </c>
      <c r="V275">
        <v>0.1147224</v>
      </c>
      <c r="W275">
        <v>2.1949739999999999E-2</v>
      </c>
      <c r="X275">
        <v>0.99315509999999996</v>
      </c>
      <c r="Y275">
        <v>-4.8409029999999999E-2</v>
      </c>
      <c r="Z275" s="1">
        <v>5.4032439999999997E-5</v>
      </c>
      <c r="AA275">
        <v>0.99882760000000004</v>
      </c>
      <c r="AB275">
        <v>41</v>
      </c>
      <c r="AC275">
        <v>252.72730000000001</v>
      </c>
      <c r="AD275">
        <v>-0.442978699999999</v>
      </c>
      <c r="AE275">
        <v>10.5732999999999</v>
      </c>
      <c r="AF275">
        <v>-12.2647656484111</v>
      </c>
      <c r="AG275">
        <v>-0.442978699999999</v>
      </c>
      <c r="AH275">
        <v>252.650085896121</v>
      </c>
      <c r="AI275">
        <v>90.100340084561793</v>
      </c>
      <c r="AJ275">
        <v>92.779211744926101</v>
      </c>
      <c r="AK275">
        <v>252.947991907144</v>
      </c>
      <c r="AL275">
        <v>88.742271574864105</v>
      </c>
      <c r="AM275">
        <v>83.410791935130902</v>
      </c>
      <c r="AN275">
        <v>1.0000000364019099</v>
      </c>
    </row>
    <row r="276" spans="1:40" x14ac:dyDescent="0.25">
      <c r="A276" t="str">
        <f>"20190312161229584"</f>
        <v>20190312161229584</v>
      </c>
      <c r="B276" t="str">
        <f>"1552378349576209"</f>
        <v>1552378349576209</v>
      </c>
      <c r="C276" t="s">
        <v>40</v>
      </c>
      <c r="D276">
        <v>4.7385330000000003</v>
      </c>
      <c r="E276">
        <v>0.43860900000000003</v>
      </c>
      <c r="F276" t="s">
        <v>52</v>
      </c>
      <c r="G276">
        <v>-158.19499999999999</v>
      </c>
      <c r="H276">
        <v>0.51577189999999995</v>
      </c>
      <c r="I276">
        <v>378.55</v>
      </c>
      <c r="J276">
        <v>-410.31040000000002</v>
      </c>
      <c r="K276">
        <v>1.0594730000000001</v>
      </c>
      <c r="L276">
        <v>367.93900000000002</v>
      </c>
      <c r="M276">
        <v>0.99996439999999998</v>
      </c>
      <c r="N276">
        <v>0</v>
      </c>
      <c r="O276">
        <v>-5.834311E-3</v>
      </c>
      <c r="P276">
        <v>0.99263020000000002</v>
      </c>
      <c r="Q276">
        <v>1.723162E-2</v>
      </c>
      <c r="R276">
        <v>-0.119952</v>
      </c>
      <c r="S276">
        <v>3.038513</v>
      </c>
      <c r="T276">
        <v>-6.5352919999999998E-3</v>
      </c>
      <c r="U276">
        <v>0.12753299999999901</v>
      </c>
      <c r="V276">
        <v>0.1141252</v>
      </c>
      <c r="W276">
        <v>2.3463310000000001E-2</v>
      </c>
      <c r="X276">
        <v>0.99318930000000005</v>
      </c>
      <c r="Y276">
        <v>-4.7763699999999902E-2</v>
      </c>
      <c r="Z276" s="1">
        <v>6.3886469999999997E-5</v>
      </c>
      <c r="AA276">
        <v>0.99885869999999999</v>
      </c>
      <c r="AB276">
        <v>41</v>
      </c>
      <c r="AC276">
        <v>252.11539999999999</v>
      </c>
      <c r="AD276">
        <v>-0.54370109999999905</v>
      </c>
      <c r="AE276">
        <v>10.610999999999899</v>
      </c>
      <c r="AF276">
        <v>-12.081710288975399</v>
      </c>
      <c r="AG276">
        <v>-0.54370109999999905</v>
      </c>
      <c r="AH276">
        <v>252.04802974234499</v>
      </c>
      <c r="AI276">
        <v>90.123452674143607</v>
      </c>
      <c r="AJ276">
        <v>92.744324418374902</v>
      </c>
      <c r="AK276">
        <v>252.33801265641799</v>
      </c>
      <c r="AL276">
        <v>88.655528032643701</v>
      </c>
      <c r="AM276">
        <v>83.445017228019907</v>
      </c>
      <c r="AN276">
        <v>1.0000000369128399</v>
      </c>
    </row>
    <row r="277" spans="1:40" x14ac:dyDescent="0.25">
      <c r="A277" t="str">
        <f>"20190312161229608"</f>
        <v>20190312161229608</v>
      </c>
      <c r="B277" t="str">
        <f>"1552378349595729"</f>
        <v>1552378349595729</v>
      </c>
      <c r="C277" t="s">
        <v>40</v>
      </c>
      <c r="D277">
        <v>4.8675819999999996</v>
      </c>
      <c r="E277">
        <v>0.4386679</v>
      </c>
      <c r="F277" t="s">
        <v>52</v>
      </c>
      <c r="G277">
        <v>-158.19499999999999</v>
      </c>
      <c r="H277">
        <v>0.499361</v>
      </c>
      <c r="I277">
        <v>378.70229999999998</v>
      </c>
      <c r="J277">
        <v>-409.88740000000001</v>
      </c>
      <c r="K277">
        <v>1.059504</v>
      </c>
      <c r="L277">
        <v>367.93700000000001</v>
      </c>
      <c r="M277">
        <v>0.99996779999999996</v>
      </c>
      <c r="N277">
        <v>0</v>
      </c>
      <c r="O277">
        <v>-5.2084940000000001E-3</v>
      </c>
      <c r="P277">
        <v>0.99271189999999998</v>
      </c>
      <c r="Q277">
        <v>1.7493450000000001E-2</v>
      </c>
      <c r="R277">
        <v>-0.1192368</v>
      </c>
      <c r="S277">
        <v>3.0380549999999999</v>
      </c>
      <c r="T277">
        <v>-6.7484379999999998E-3</v>
      </c>
      <c r="U277">
        <v>0.1296997</v>
      </c>
      <c r="V277">
        <v>0.1140294</v>
      </c>
      <c r="W277">
        <v>2.375886E-2</v>
      </c>
      <c r="X277">
        <v>0.99319329999999995</v>
      </c>
      <c r="Y277">
        <v>-4.7855979999999999E-2</v>
      </c>
      <c r="Z277" s="1">
        <v>6.4691880000000002E-5</v>
      </c>
      <c r="AA277">
        <v>0.99885420000000003</v>
      </c>
      <c r="AB277">
        <v>41</v>
      </c>
      <c r="AC277">
        <v>251.69239999999999</v>
      </c>
      <c r="AD277">
        <v>-0.56014299999999995</v>
      </c>
      <c r="AE277">
        <v>10.7653</v>
      </c>
      <c r="AF277">
        <v>-12.0760570544433</v>
      </c>
      <c r="AG277">
        <v>-0.56014299999999995</v>
      </c>
      <c r="AH277">
        <v>251.63166977183201</v>
      </c>
      <c r="AI277">
        <v>90.127396056718993</v>
      </c>
      <c r="AJ277">
        <v>92.747574064473099</v>
      </c>
      <c r="AK277">
        <v>251.92189691712599</v>
      </c>
      <c r="AL277">
        <v>88.6385895739745</v>
      </c>
      <c r="AM277">
        <v>83.450497990806795</v>
      </c>
      <c r="AN277">
        <v>1.00000005932887</v>
      </c>
    </row>
    <row r="278" spans="1:40" x14ac:dyDescent="0.25">
      <c r="A278" t="str">
        <f>"20190312161229629"</f>
        <v>20190312161229629</v>
      </c>
      <c r="B278" t="str">
        <f>"1552378349625984"</f>
        <v>1552378349625984</v>
      </c>
      <c r="C278" t="s">
        <v>40</v>
      </c>
      <c r="D278">
        <v>4.8985849999999997</v>
      </c>
      <c r="E278">
        <v>0.46637679999999998</v>
      </c>
      <c r="F278" t="s">
        <v>52</v>
      </c>
      <c r="G278">
        <v>-158.19499999999999</v>
      </c>
      <c r="H278">
        <v>0.57325649999999995</v>
      </c>
      <c r="I278">
        <v>378.82929999999999</v>
      </c>
      <c r="J278">
        <v>-409.49950000000001</v>
      </c>
      <c r="K278">
        <v>1.059528</v>
      </c>
      <c r="L278">
        <v>367.93540000000002</v>
      </c>
      <c r="M278">
        <v>0.99997049999999998</v>
      </c>
      <c r="N278">
        <v>0</v>
      </c>
      <c r="O278">
        <v>-4.6093940000000002E-3</v>
      </c>
      <c r="P278">
        <v>0.99281960000000002</v>
      </c>
      <c r="Q278">
        <v>1.7362019999999999E-2</v>
      </c>
      <c r="R278">
        <v>-0.1183567</v>
      </c>
      <c r="S278">
        <v>3.0379330000000002</v>
      </c>
      <c r="T278">
        <v>-5.8679580000000004E-3</v>
      </c>
      <c r="U278">
        <v>0.13146969999999999</v>
      </c>
      <c r="V278">
        <v>0.1137426</v>
      </c>
      <c r="W278">
        <v>2.365828E-2</v>
      </c>
      <c r="X278">
        <v>0.99322860000000002</v>
      </c>
      <c r="Y278">
        <v>-4.7840189999999998E-2</v>
      </c>
      <c r="Z278" s="1">
        <v>5.5081019999999998E-5</v>
      </c>
      <c r="AA278">
        <v>0.99885500000000005</v>
      </c>
      <c r="AB278">
        <v>41</v>
      </c>
      <c r="AC278">
        <v>251.30449999999999</v>
      </c>
      <c r="AD278">
        <v>-0.48627150000000002</v>
      </c>
      <c r="AE278">
        <v>10.893899999999901</v>
      </c>
      <c r="AF278">
        <v>-12.052122546285</v>
      </c>
      <c r="AG278">
        <v>-0.48627150000000002</v>
      </c>
      <c r="AH278">
        <v>251.25067602356199</v>
      </c>
      <c r="AI278">
        <v>90.110762969862904</v>
      </c>
      <c r="AJ278">
        <v>92.746288531367</v>
      </c>
      <c r="AK278">
        <v>251.54004118656599</v>
      </c>
      <c r="AL278">
        <v>88.644354021391806</v>
      </c>
      <c r="AM278">
        <v>83.467058505583594</v>
      </c>
      <c r="AN278">
        <v>1.0000000725626299</v>
      </c>
    </row>
    <row r="279" spans="1:40" x14ac:dyDescent="0.25">
      <c r="A279" t="str">
        <f>"20190312161229651"</f>
        <v>20190312161229651</v>
      </c>
      <c r="B279" t="str">
        <f>"1552378349645505"</f>
        <v>1552378349645505</v>
      </c>
      <c r="C279" t="s">
        <v>40</v>
      </c>
      <c r="D279">
        <v>4.9139210000000002</v>
      </c>
      <c r="E279">
        <v>0.46908440000000001</v>
      </c>
      <c r="F279" t="s">
        <v>42</v>
      </c>
      <c r="G279">
        <v>-346.98110000000003</v>
      </c>
      <c r="H279" s="1">
        <v>-2.051639E-6</v>
      </c>
      <c r="I279">
        <v>366.20330000000001</v>
      </c>
      <c r="J279">
        <v>-409.08199999999999</v>
      </c>
      <c r="K279">
        <v>1.059547</v>
      </c>
      <c r="L279">
        <v>367.93400000000003</v>
      </c>
      <c r="M279">
        <v>0.99997309999999995</v>
      </c>
      <c r="N279">
        <v>0</v>
      </c>
      <c r="O279">
        <v>-3.945807E-3</v>
      </c>
      <c r="P279">
        <v>0.99291399999999996</v>
      </c>
      <c r="Q279">
        <v>1.7049930000000001E-2</v>
      </c>
      <c r="R279">
        <v>-0.11760760000000001</v>
      </c>
      <c r="S279">
        <v>3.0126040000000001</v>
      </c>
      <c r="T279">
        <v>-5.1056150000000002E-2</v>
      </c>
      <c r="U279">
        <v>-8.3465579999999998E-2</v>
      </c>
      <c r="V279">
        <v>0.1136514</v>
      </c>
      <c r="W279">
        <v>2.3378929999999999E-2</v>
      </c>
      <c r="X279">
        <v>0.99324559999999995</v>
      </c>
      <c r="Y279">
        <v>2.374741E-2</v>
      </c>
      <c r="Z279">
        <v>-1.3432259999999999E-4</v>
      </c>
      <c r="AA279">
        <v>0.999718</v>
      </c>
      <c r="AB279">
        <v>42</v>
      </c>
      <c r="AC279">
        <v>62.100899999999903</v>
      </c>
      <c r="AD279">
        <v>-1.059549051639</v>
      </c>
      <c r="AE279">
        <v>-1.7307000000000099</v>
      </c>
      <c r="AF279">
        <v>1.48521166281152</v>
      </c>
      <c r="AG279">
        <v>-1.059549051639</v>
      </c>
      <c r="AH279">
        <v>62.089185374788201</v>
      </c>
      <c r="AI279">
        <v>90.977375378925203</v>
      </c>
      <c r="AJ279">
        <v>88.629710884082996</v>
      </c>
      <c r="AK279">
        <v>62.115983759262697</v>
      </c>
      <c r="AL279">
        <v>88.660363952234903</v>
      </c>
      <c r="AM279">
        <v>83.472362219319805</v>
      </c>
      <c r="AN279">
        <v>1.0000000185046301</v>
      </c>
    </row>
    <row r="280" spans="1:40" x14ac:dyDescent="0.25">
      <c r="A280" t="str">
        <f>"20190312161229674"</f>
        <v>20190312161229674</v>
      </c>
      <c r="B280" t="str">
        <f>"1552378349666001"</f>
        <v>1552378349666001</v>
      </c>
      <c r="C280" t="s">
        <v>40</v>
      </c>
      <c r="D280">
        <v>4.9614339999999997</v>
      </c>
      <c r="E280">
        <v>0.47078419999999999</v>
      </c>
      <c r="F280" t="s">
        <v>42</v>
      </c>
      <c r="G280">
        <v>-336.64830000000001</v>
      </c>
      <c r="H280" s="1">
        <v>-2.23326E-6</v>
      </c>
      <c r="I280">
        <v>365.45749999999998</v>
      </c>
      <c r="J280">
        <v>-408.64319999999998</v>
      </c>
      <c r="K280">
        <v>1.059569</v>
      </c>
      <c r="L280">
        <v>367.93279999999999</v>
      </c>
      <c r="M280">
        <v>0.99997550000000002</v>
      </c>
      <c r="N280">
        <v>0</v>
      </c>
      <c r="O280">
        <v>-3.2322890000000002E-3</v>
      </c>
      <c r="P280">
        <v>0.99302860000000004</v>
      </c>
      <c r="Q280">
        <v>1.6657680000000001E-2</v>
      </c>
      <c r="R280">
        <v>-0.1166919</v>
      </c>
      <c r="S280">
        <v>3.0099490000000002</v>
      </c>
      <c r="T280">
        <v>-4.4028999999999999E-2</v>
      </c>
      <c r="U280">
        <v>-0.10290530000000001</v>
      </c>
      <c r="V280">
        <v>0.1134433</v>
      </c>
      <c r="W280">
        <v>2.301949E-2</v>
      </c>
      <c r="X280">
        <v>0.99327779999999999</v>
      </c>
      <c r="Y280">
        <v>3.0934819999999998E-2</v>
      </c>
      <c r="Z280">
        <v>-1.7891119999999901E-4</v>
      </c>
      <c r="AA280">
        <v>0.9995214</v>
      </c>
      <c r="AB280">
        <v>42</v>
      </c>
      <c r="AC280">
        <v>71.994899999999902</v>
      </c>
      <c r="AD280">
        <v>-1.05957123326</v>
      </c>
      <c r="AE280">
        <v>-2.4752999999999998</v>
      </c>
      <c r="AF280">
        <v>2.2420891984312399</v>
      </c>
      <c r="AG280">
        <v>-1.05957123326</v>
      </c>
      <c r="AH280">
        <v>71.986951027114202</v>
      </c>
      <c r="AI280">
        <v>90.842863289244903</v>
      </c>
      <c r="AJ280">
        <v>88.216055381838501</v>
      </c>
      <c r="AK280">
        <v>72.029652042420807</v>
      </c>
      <c r="AL280">
        <v>88.680963911096796</v>
      </c>
      <c r="AM280">
        <v>83.484421104814999</v>
      </c>
      <c r="AN280">
        <v>1.00000003360379</v>
      </c>
    </row>
    <row r="281" spans="1:40" x14ac:dyDescent="0.25">
      <c r="A281" t="str">
        <f>"20190312161229700"</f>
        <v>20190312161229700</v>
      </c>
      <c r="B281" t="str">
        <f>"1552378349696257"</f>
        <v>1552378349696257</v>
      </c>
      <c r="C281" t="s">
        <v>40</v>
      </c>
      <c r="D281">
        <v>5.0208640000000004</v>
      </c>
      <c r="E281">
        <v>0.4722558</v>
      </c>
      <c r="F281" t="s">
        <v>42</v>
      </c>
      <c r="G281">
        <v>-336.19400000000002</v>
      </c>
      <c r="H281" s="1">
        <v>-2.4580609999999998E-6</v>
      </c>
      <c r="I281">
        <v>365.1936</v>
      </c>
      <c r="J281">
        <v>-408.1728</v>
      </c>
      <c r="K281">
        <v>1.0595859999999999</v>
      </c>
      <c r="L281">
        <v>367.93180000000001</v>
      </c>
      <c r="M281">
        <v>0.99997760000000002</v>
      </c>
      <c r="N281">
        <v>0</v>
      </c>
      <c r="O281">
        <v>-2.4567959999999998E-3</v>
      </c>
      <c r="P281">
        <v>0.99312100000000003</v>
      </c>
      <c r="Q281">
        <v>1.6657269999999998E-2</v>
      </c>
      <c r="R281">
        <v>-0.11590250000000001</v>
      </c>
      <c r="S281">
        <v>3.0084230000000001</v>
      </c>
      <c r="T281">
        <v>-4.3998240000000001E-2</v>
      </c>
      <c r="U281">
        <v>-0.11373900000000001</v>
      </c>
      <c r="V281">
        <v>0.1134231</v>
      </c>
      <c r="W281">
        <v>2.3053339999999999E-2</v>
      </c>
      <c r="X281">
        <v>0.99327929999999998</v>
      </c>
      <c r="Y281">
        <v>3.5321159999999997E-2</v>
      </c>
      <c r="Z281">
        <v>-2.2226409999999999E-4</v>
      </c>
      <c r="AA281">
        <v>0.99937600000000004</v>
      </c>
      <c r="AB281">
        <v>42</v>
      </c>
      <c r="AC281">
        <v>71.978799999999893</v>
      </c>
      <c r="AD281">
        <v>-1.059588458061</v>
      </c>
      <c r="AE281">
        <v>-2.7382</v>
      </c>
      <c r="AF281">
        <v>2.5607969496835001</v>
      </c>
      <c r="AG281">
        <v>-1.059588458061</v>
      </c>
      <c r="AH281">
        <v>71.969736562617001</v>
      </c>
      <c r="AI281">
        <v>90.842953963355995</v>
      </c>
      <c r="AJ281">
        <v>87.962185329971206</v>
      </c>
      <c r="AK281">
        <v>72.023075396781294</v>
      </c>
      <c r="AL281">
        <v>88.679023905602705</v>
      </c>
      <c r="AM281">
        <v>83.485581064700995</v>
      </c>
      <c r="AN281">
        <v>1.0000000119536201</v>
      </c>
    </row>
    <row r="282" spans="1:40" x14ac:dyDescent="0.25">
      <c r="A282" t="str">
        <f>"20190312161229720"</f>
        <v>20190312161229720</v>
      </c>
      <c r="B282" t="str">
        <f>"1552378349715777"</f>
        <v>1552378349715777</v>
      </c>
      <c r="C282" t="s">
        <v>40</v>
      </c>
      <c r="D282">
        <v>5.0830719999999996</v>
      </c>
      <c r="E282">
        <v>0.47283120000000001</v>
      </c>
      <c r="F282" t="s">
        <v>42</v>
      </c>
      <c r="G282">
        <v>-339.60390000000001</v>
      </c>
      <c r="H282" s="1">
        <v>-1.3154290000000001E-6</v>
      </c>
      <c r="I282">
        <v>365.1268</v>
      </c>
      <c r="J282">
        <v>-407.78190000000001</v>
      </c>
      <c r="K282">
        <v>1.059599</v>
      </c>
      <c r="L282">
        <v>367.93130000000002</v>
      </c>
      <c r="M282">
        <v>0.99997879999999995</v>
      </c>
      <c r="N282">
        <v>0</v>
      </c>
      <c r="O282">
        <v>-1.80697E-3</v>
      </c>
      <c r="P282">
        <v>0.99332940000000003</v>
      </c>
      <c r="Q282">
        <v>1.6039959999999999E-2</v>
      </c>
      <c r="R282">
        <v>-0.11419169999999999</v>
      </c>
      <c r="S282">
        <v>3.0071720000000002</v>
      </c>
      <c r="T282">
        <v>-4.6469450000000002E-2</v>
      </c>
      <c r="U282">
        <v>-0.1230164</v>
      </c>
      <c r="V282">
        <v>0.11235779999999999</v>
      </c>
      <c r="W282">
        <v>2.2463170000000001E-2</v>
      </c>
      <c r="X282">
        <v>0.99341389999999996</v>
      </c>
      <c r="Y282">
        <v>3.9063479999999998E-2</v>
      </c>
      <c r="Z282">
        <v>-2.7376750000000002E-4</v>
      </c>
      <c r="AA282">
        <v>0.99923669999999998</v>
      </c>
      <c r="AB282">
        <v>42</v>
      </c>
      <c r="AC282">
        <v>68.177999999999997</v>
      </c>
      <c r="AD282">
        <v>-1.0596003154289999</v>
      </c>
      <c r="AE282">
        <v>-2.8045000000000102</v>
      </c>
      <c r="AF282">
        <v>2.6806510094569398</v>
      </c>
      <c r="AG282">
        <v>-1.0596003154289999</v>
      </c>
      <c r="AH282">
        <v>68.166519059613705</v>
      </c>
      <c r="AI282">
        <v>90.889862946095207</v>
      </c>
      <c r="AJ282">
        <v>87.748001641197803</v>
      </c>
      <c r="AK282">
        <v>68.227435562005695</v>
      </c>
      <c r="AL282">
        <v>88.712846930316303</v>
      </c>
      <c r="AM282">
        <v>83.547114651877493</v>
      </c>
      <c r="AN282">
        <v>1.0000000229702399</v>
      </c>
    </row>
    <row r="283" spans="1:40" x14ac:dyDescent="0.25">
      <c r="A283" t="str">
        <f>"20190312161229741"</f>
        <v>20190312161229741</v>
      </c>
      <c r="B283" t="str">
        <f>"1552378349736273"</f>
        <v>1552378349736273</v>
      </c>
      <c r="C283" t="s">
        <v>40</v>
      </c>
      <c r="D283">
        <v>5.1066089999999997</v>
      </c>
      <c r="E283">
        <v>0.47327520000000001</v>
      </c>
      <c r="F283" t="s">
        <v>42</v>
      </c>
      <c r="G283">
        <v>-340.38029999999998</v>
      </c>
      <c r="H283" s="1">
        <v>-5.3138930000000001E-6</v>
      </c>
      <c r="I283">
        <v>365.18470000000002</v>
      </c>
      <c r="J283">
        <v>-407.39510000000001</v>
      </c>
      <c r="K283">
        <v>1.0596019999999999</v>
      </c>
      <c r="L283">
        <v>367.93099999999998</v>
      </c>
      <c r="M283">
        <v>0.99997959999999997</v>
      </c>
      <c r="N283">
        <v>0</v>
      </c>
      <c r="O283">
        <v>-1.1607290000000001E-3</v>
      </c>
      <c r="P283">
        <v>0.99351089999999997</v>
      </c>
      <c r="Q283">
        <v>1.6460550000000001E-2</v>
      </c>
      <c r="R283">
        <v>-0.11254069999999999</v>
      </c>
      <c r="S283">
        <v>3.0068359999999998</v>
      </c>
      <c r="T283">
        <v>-4.7269699999999998E-2</v>
      </c>
      <c r="U283">
        <v>-0.1225281</v>
      </c>
      <c r="V283">
        <v>0.1113471</v>
      </c>
      <c r="W283">
        <v>2.2909369999999998E-2</v>
      </c>
      <c r="X283">
        <v>0.99351750000000005</v>
      </c>
      <c r="Y283">
        <v>3.9551490000000002E-2</v>
      </c>
      <c r="Z283">
        <v>-2.9250229999999998E-4</v>
      </c>
      <c r="AA283">
        <v>0.99921749999999998</v>
      </c>
      <c r="AB283">
        <v>42</v>
      </c>
      <c r="AC283">
        <v>67.014799999999994</v>
      </c>
      <c r="AD283">
        <v>-1.059607313893</v>
      </c>
      <c r="AE283">
        <v>-2.7462999999999602</v>
      </c>
      <c r="AF283">
        <v>2.6678447377413499</v>
      </c>
      <c r="AG283">
        <v>-1.059607313893</v>
      </c>
      <c r="AH283">
        <v>67.001220080432702</v>
      </c>
      <c r="AI283">
        <v>90.905325425110703</v>
      </c>
      <c r="AJ283">
        <v>87.719809611143603</v>
      </c>
      <c r="AK283">
        <v>67.062684523294493</v>
      </c>
      <c r="AL283">
        <v>88.687274967765106</v>
      </c>
      <c r="AM283">
        <v>83.605339017628097</v>
      </c>
      <c r="AN283">
        <v>1.00000001935922</v>
      </c>
    </row>
    <row r="284" spans="1:40" x14ac:dyDescent="0.25">
      <c r="A284" t="str">
        <f>"20190312161229765"</f>
        <v>20190312161229765</v>
      </c>
      <c r="B284" t="str">
        <f>"1552378349755793"</f>
        <v>1552378349755793</v>
      </c>
      <c r="C284" t="s">
        <v>40</v>
      </c>
      <c r="D284">
        <v>5.1042630000000004</v>
      </c>
      <c r="E284">
        <v>0.47395340000000002</v>
      </c>
      <c r="F284" t="s">
        <v>42</v>
      </c>
      <c r="G284">
        <v>-336.46120000000002</v>
      </c>
      <c r="H284" s="1">
        <v>-2.3979949999999998E-6</v>
      </c>
      <c r="I284">
        <v>365.07760000000002</v>
      </c>
      <c r="J284">
        <v>-406.94069999999999</v>
      </c>
      <c r="K284">
        <v>1.0596190000000001</v>
      </c>
      <c r="L284">
        <v>367.93099999999998</v>
      </c>
      <c r="M284">
        <v>0.99997999999999998</v>
      </c>
      <c r="N284">
        <v>0</v>
      </c>
      <c r="O284">
        <v>-4.0017280000000002E-4</v>
      </c>
      <c r="P284">
        <v>0.99363120000000005</v>
      </c>
      <c r="Q284">
        <v>1.643441E-2</v>
      </c>
      <c r="R284">
        <v>-0.11147609999999999</v>
      </c>
      <c r="S284">
        <v>3.0066220000000001</v>
      </c>
      <c r="T284">
        <v>-4.4912580000000001E-2</v>
      </c>
      <c r="U284">
        <v>-0.1209412</v>
      </c>
      <c r="V284">
        <v>0.1110376</v>
      </c>
      <c r="W284">
        <v>2.291414E-2</v>
      </c>
      <c r="X284">
        <v>0.99355199999999999</v>
      </c>
      <c r="Y284">
        <v>3.9788179999999999E-2</v>
      </c>
      <c r="Z284">
        <v>-2.9106379999999999E-4</v>
      </c>
      <c r="AA284">
        <v>0.99920810000000004</v>
      </c>
      <c r="AB284">
        <v>42</v>
      </c>
      <c r="AC284">
        <v>70.479499999999902</v>
      </c>
      <c r="AD284">
        <v>-1.059621397995</v>
      </c>
      <c r="AE284">
        <v>-2.8533999999999602</v>
      </c>
      <c r="AF284">
        <v>2.8245578264839502</v>
      </c>
      <c r="AG284">
        <v>-1.059621397995</v>
      </c>
      <c r="AH284">
        <v>70.464734795363498</v>
      </c>
      <c r="AI284">
        <v>90.860835606038293</v>
      </c>
      <c r="AJ284">
        <v>87.704544715406101</v>
      </c>
      <c r="AK284">
        <v>70.529283097187005</v>
      </c>
      <c r="AL284">
        <v>88.687001558639096</v>
      </c>
      <c r="AM284">
        <v>83.623186576376</v>
      </c>
      <c r="AN284">
        <v>0.99999999156484898</v>
      </c>
    </row>
    <row r="285" spans="1:40" x14ac:dyDescent="0.25">
      <c r="A285" t="str">
        <f>"20190312161229788"</f>
        <v>20190312161229788</v>
      </c>
      <c r="B285" t="str">
        <f>"1552378349776288"</f>
        <v>1552378349776288</v>
      </c>
      <c r="C285" t="s">
        <v>40</v>
      </c>
      <c r="D285">
        <v>5.1439360000000001</v>
      </c>
      <c r="E285">
        <v>0.4744256</v>
      </c>
      <c r="F285" t="s">
        <v>42</v>
      </c>
      <c r="G285">
        <v>-337.23480000000001</v>
      </c>
      <c r="H285" s="1">
        <v>-2.135427E-6</v>
      </c>
      <c r="I285">
        <v>365.07499999999999</v>
      </c>
      <c r="J285">
        <v>-406.5086</v>
      </c>
      <c r="K285">
        <v>1.05962</v>
      </c>
      <c r="L285">
        <v>367.9314</v>
      </c>
      <c r="M285">
        <v>0.99997990000000003</v>
      </c>
      <c r="N285">
        <v>0</v>
      </c>
      <c r="O285">
        <v>3.234822E-4</v>
      </c>
      <c r="P285">
        <v>0.99375519999999995</v>
      </c>
      <c r="Q285">
        <v>1.6173159999999999E-2</v>
      </c>
      <c r="R285">
        <v>-0.1104044</v>
      </c>
      <c r="S285">
        <v>3.006195</v>
      </c>
      <c r="T285">
        <v>-4.5698049999999997E-2</v>
      </c>
      <c r="U285">
        <v>-0.123168899999999</v>
      </c>
      <c r="V285">
        <v>0.1106847</v>
      </c>
      <c r="W285">
        <v>2.26815E-2</v>
      </c>
      <c r="X285">
        <v>0.9935967</v>
      </c>
      <c r="Y285">
        <v>4.1255779999999999E-2</v>
      </c>
      <c r="Z285">
        <v>-3.1833600000000001E-4</v>
      </c>
      <c r="AA285">
        <v>0.99914849999999999</v>
      </c>
      <c r="AB285">
        <v>42</v>
      </c>
      <c r="AC285">
        <v>69.273799999999994</v>
      </c>
      <c r="AD285">
        <v>-1.0596221354269999</v>
      </c>
      <c r="AE285">
        <v>-2.8563999999999998</v>
      </c>
      <c r="AF285">
        <v>2.8781368803545502</v>
      </c>
      <c r="AG285">
        <v>-1.0596221354269999</v>
      </c>
      <c r="AH285">
        <v>69.256695733238701</v>
      </c>
      <c r="AI285">
        <v>90.875796823106896</v>
      </c>
      <c r="AJ285">
        <v>87.620298503871396</v>
      </c>
      <c r="AK285">
        <v>69.324572662644997</v>
      </c>
      <c r="AL285">
        <v>88.700334296212006</v>
      </c>
      <c r="AM285">
        <v>83.643570857102702</v>
      </c>
      <c r="AN285">
        <v>0.99999997775361404</v>
      </c>
    </row>
    <row r="286" spans="1:40" x14ac:dyDescent="0.25">
      <c r="A286" t="str">
        <f>"20190312161229808"</f>
        <v>20190312161229808</v>
      </c>
      <c r="B286" t="str">
        <f>"1552378349795809"</f>
        <v>1552378349795809</v>
      </c>
      <c r="C286" t="s">
        <v>40</v>
      </c>
      <c r="D286">
        <v>5.1888899999999998</v>
      </c>
      <c r="E286">
        <v>0.47495189999999998</v>
      </c>
      <c r="F286" t="s">
        <v>42</v>
      </c>
      <c r="G286">
        <v>-339.17570000000001</v>
      </c>
      <c r="H286" s="1">
        <v>-1.451784E-6</v>
      </c>
      <c r="I286">
        <v>365.16199999999998</v>
      </c>
      <c r="J286">
        <v>-406.12430000000001</v>
      </c>
      <c r="K286">
        <v>1.0596270000000001</v>
      </c>
      <c r="L286">
        <v>367.93189999999998</v>
      </c>
      <c r="M286">
        <v>0.99997930000000002</v>
      </c>
      <c r="N286">
        <v>0</v>
      </c>
      <c r="O286">
        <v>9.6690510000000003E-4</v>
      </c>
      <c r="P286">
        <v>0.99385659999999998</v>
      </c>
      <c r="Q286">
        <v>1.5893689999999999E-2</v>
      </c>
      <c r="R286">
        <v>-0.1095291</v>
      </c>
      <c r="S286">
        <v>3.0058590000000001</v>
      </c>
      <c r="T286">
        <v>-4.7303320000000003E-2</v>
      </c>
      <c r="U286">
        <v>-0.12362670000000001</v>
      </c>
      <c r="V286">
        <v>0.1104488</v>
      </c>
      <c r="W286">
        <v>2.2427409999999998E-2</v>
      </c>
      <c r="X286">
        <v>0.99362870000000003</v>
      </c>
      <c r="Y286">
        <v>4.2054609999999999E-2</v>
      </c>
      <c r="Z286">
        <v>-3.4595639999999999E-4</v>
      </c>
      <c r="AA286">
        <v>0.99911519999999998</v>
      </c>
      <c r="AB286">
        <v>42</v>
      </c>
      <c r="AC286">
        <v>66.948599999999999</v>
      </c>
      <c r="AD286">
        <v>-1.059628451784</v>
      </c>
      <c r="AE286">
        <v>-2.7698999999999998</v>
      </c>
      <c r="AF286">
        <v>2.8339242458346798</v>
      </c>
      <c r="AG286">
        <v>-1.059628451784</v>
      </c>
      <c r="AH286">
        <v>66.929152680502696</v>
      </c>
      <c r="AI286">
        <v>90.906224363224297</v>
      </c>
      <c r="AJ286">
        <v>87.575421771713096</v>
      </c>
      <c r="AK286">
        <v>66.997503070017501</v>
      </c>
      <c r="AL286">
        <v>88.714896262456705</v>
      </c>
      <c r="AM286">
        <v>83.657210260140104</v>
      </c>
      <c r="AN286">
        <v>0.99999995980221801</v>
      </c>
    </row>
    <row r="287" spans="1:40" x14ac:dyDescent="0.25">
      <c r="A287" t="str">
        <f>"20190312161229830"</f>
        <v>20190312161229830</v>
      </c>
      <c r="B287" t="str">
        <f>"1552378349825957"</f>
        <v>1552378349825957</v>
      </c>
      <c r="C287" t="s">
        <v>40</v>
      </c>
      <c r="D287">
        <v>5.2316370000000001</v>
      </c>
      <c r="E287">
        <v>0.47552800000000001</v>
      </c>
      <c r="F287" t="s">
        <v>42</v>
      </c>
      <c r="G287">
        <v>-342.65159999999997</v>
      </c>
      <c r="H287" s="1">
        <v>-4.2211470000000004E-6</v>
      </c>
      <c r="I287">
        <v>365.29219999999998</v>
      </c>
      <c r="J287">
        <v>-405.70569999999998</v>
      </c>
      <c r="K287">
        <v>1.059631</v>
      </c>
      <c r="L287">
        <v>367.93279999999999</v>
      </c>
      <c r="M287">
        <v>0.99997829999999999</v>
      </c>
      <c r="N287">
        <v>0</v>
      </c>
      <c r="O287">
        <v>1.6668869999999999E-3</v>
      </c>
      <c r="P287">
        <v>0.99392579999999997</v>
      </c>
      <c r="Q287">
        <v>1.537785E-2</v>
      </c>
      <c r="R287">
        <v>-0.1089744</v>
      </c>
      <c r="S287">
        <v>3.005585</v>
      </c>
      <c r="T287">
        <v>-5.0176140000000001E-2</v>
      </c>
      <c r="U287">
        <v>-0.125</v>
      </c>
      <c r="V287">
        <v>0.1105902</v>
      </c>
      <c r="W287">
        <v>2.193877E-2</v>
      </c>
      <c r="X287">
        <v>0.9936239</v>
      </c>
      <c r="Y287">
        <v>4.3212510000000003E-2</v>
      </c>
      <c r="Z287">
        <v>-3.883348E-4</v>
      </c>
      <c r="AA287">
        <v>0.9990658</v>
      </c>
      <c r="AB287">
        <v>42</v>
      </c>
      <c r="AC287">
        <v>63.054099999999998</v>
      </c>
      <c r="AD287">
        <v>-1.0596352211469999</v>
      </c>
      <c r="AE287">
        <v>-2.6406000000000001</v>
      </c>
      <c r="AF287">
        <v>2.7449286768344798</v>
      </c>
      <c r="AG287">
        <v>-1.0596352211469999</v>
      </c>
      <c r="AH287">
        <v>63.031840821990599</v>
      </c>
      <c r="AI287">
        <v>90.962203156758406</v>
      </c>
      <c r="AJ287">
        <v>87.506442474443901</v>
      </c>
      <c r="AK287">
        <v>63.100478743441897</v>
      </c>
      <c r="AL287">
        <v>88.742900187891294</v>
      </c>
      <c r="AM287">
        <v>83.649125899949695</v>
      </c>
      <c r="AN287">
        <v>0.99999997830818099</v>
      </c>
    </row>
    <row r="288" spans="1:40" x14ac:dyDescent="0.25">
      <c r="A288" t="str">
        <f>"20190312161229853"</f>
        <v>20190312161229853</v>
      </c>
      <c r="B288" t="str">
        <f>"1552378349845478"</f>
        <v>1552378349845478</v>
      </c>
      <c r="C288" t="s">
        <v>40</v>
      </c>
      <c r="D288">
        <v>5.2639620000000003</v>
      </c>
      <c r="E288">
        <v>0.47656280000000001</v>
      </c>
      <c r="F288" t="s">
        <v>42</v>
      </c>
      <c r="G288">
        <v>-346.21429999999998</v>
      </c>
      <c r="H288" s="1">
        <v>-2.5603010000000001E-6</v>
      </c>
      <c r="I288">
        <v>365.39839999999998</v>
      </c>
      <c r="J288">
        <v>-405.27390000000003</v>
      </c>
      <c r="K288">
        <v>1.0596380000000001</v>
      </c>
      <c r="L288">
        <v>367.93400000000003</v>
      </c>
      <c r="M288">
        <v>0.99997659999999999</v>
      </c>
      <c r="N288">
        <v>0</v>
      </c>
      <c r="O288">
        <v>2.3890370000000001E-3</v>
      </c>
      <c r="P288">
        <v>0.99401470000000003</v>
      </c>
      <c r="Q288">
        <v>1.524703E-2</v>
      </c>
      <c r="R288">
        <v>-0.10817839999999999</v>
      </c>
      <c r="S288">
        <v>3.0051269999999999</v>
      </c>
      <c r="T288">
        <v>-5.3525919999999998E-2</v>
      </c>
      <c r="U288">
        <v>-0.1280212</v>
      </c>
      <c r="V288">
        <v>0.1105117</v>
      </c>
      <c r="W288">
        <v>2.183628E-2</v>
      </c>
      <c r="X288">
        <v>0.99363489999999999</v>
      </c>
      <c r="Y288">
        <v>4.494165E-2</v>
      </c>
      <c r="Z288">
        <v>-4.4255800000000001E-4</v>
      </c>
      <c r="AA288">
        <v>0.99898949999999997</v>
      </c>
      <c r="AB288">
        <v>43</v>
      </c>
      <c r="AC288">
        <v>59.059600000000003</v>
      </c>
      <c r="AD288">
        <v>-1.059640560301</v>
      </c>
      <c r="AE288">
        <v>-2.53560000000004</v>
      </c>
      <c r="AF288">
        <v>2.6758314369484002</v>
      </c>
      <c r="AG288">
        <v>-1.059640560301</v>
      </c>
      <c r="AH288">
        <v>59.034404810339403</v>
      </c>
      <c r="AI288">
        <v>91.027268108257999</v>
      </c>
      <c r="AJ288">
        <v>87.404750956922499</v>
      </c>
      <c r="AK288">
        <v>59.104516437468803</v>
      </c>
      <c r="AL288">
        <v>88.748773850097706</v>
      </c>
      <c r="AM288">
        <v>83.653666816170002</v>
      </c>
      <c r="AN288">
        <v>0.99999998672956902</v>
      </c>
    </row>
    <row r="289" spans="1:40" x14ac:dyDescent="0.25">
      <c r="A289" t="str">
        <f>"20190312161229876"</f>
        <v>20190312161229876</v>
      </c>
      <c r="B289" t="str">
        <f>"1552378349865974"</f>
        <v>1552378349865974</v>
      </c>
      <c r="C289" t="s">
        <v>40</v>
      </c>
      <c r="D289">
        <v>5.9886410000000003</v>
      </c>
      <c r="E289">
        <v>0.498392</v>
      </c>
      <c r="F289" t="s">
        <v>42</v>
      </c>
      <c r="G289">
        <v>-353.05500000000001</v>
      </c>
      <c r="H289" s="1">
        <v>-3.6714780000000002E-6</v>
      </c>
      <c r="I289">
        <v>365.61509999999998</v>
      </c>
      <c r="J289">
        <v>-404.8261</v>
      </c>
      <c r="K289">
        <v>1.0596509999999999</v>
      </c>
      <c r="L289">
        <v>367.93549999999999</v>
      </c>
      <c r="M289">
        <v>0.99997440000000004</v>
      </c>
      <c r="N289">
        <v>0</v>
      </c>
      <c r="O289">
        <v>3.1372280000000002E-3</v>
      </c>
      <c r="P289">
        <v>0.99407559999999995</v>
      </c>
      <c r="Q289">
        <v>1.525492E-2</v>
      </c>
      <c r="R289">
        <v>-0.10761610000000001</v>
      </c>
      <c r="S289">
        <v>3.0045169999999999</v>
      </c>
      <c r="T289">
        <v>-6.0968399999999999E-2</v>
      </c>
      <c r="U289">
        <v>-0.13342290000000001</v>
      </c>
      <c r="V289">
        <v>0.1106926</v>
      </c>
      <c r="W289">
        <v>2.1872989999999998E-2</v>
      </c>
      <c r="X289">
        <v>0.993614</v>
      </c>
      <c r="Y289">
        <v>4.7487290000000001E-2</v>
      </c>
      <c r="Z289">
        <v>-5.4515110000000005E-4</v>
      </c>
      <c r="AA289">
        <v>0.99887170000000003</v>
      </c>
      <c r="AB289">
        <v>43</v>
      </c>
      <c r="AC289">
        <v>51.771099999999898</v>
      </c>
      <c r="AD289">
        <v>-1.059654671478</v>
      </c>
      <c r="AE289">
        <v>-2.3203999999999998</v>
      </c>
      <c r="AF289">
        <v>2.4817720496188498</v>
      </c>
      <c r="AG289">
        <v>-1.059654671478</v>
      </c>
      <c r="AH289">
        <v>51.741932032481103</v>
      </c>
      <c r="AI289">
        <v>91.171884445918494</v>
      </c>
      <c r="AJ289">
        <v>87.253945400753295</v>
      </c>
      <c r="AK289">
        <v>51.812253289959799</v>
      </c>
      <c r="AL289">
        <v>88.746670074003006</v>
      </c>
      <c r="AM289">
        <v>83.643230662484299</v>
      </c>
      <c r="AN289">
        <v>1.00000003019114</v>
      </c>
    </row>
    <row r="290" spans="1:40" x14ac:dyDescent="0.25">
      <c r="A290" t="str">
        <f>"20190312161229899"</f>
        <v>20190312161229899</v>
      </c>
      <c r="B290" t="str">
        <f>"1552378349885494"</f>
        <v>1552378349885494</v>
      </c>
      <c r="C290" t="s">
        <v>40</v>
      </c>
      <c r="D290">
        <v>5.8326140000000004</v>
      </c>
      <c r="E290">
        <v>0.50118980000000002</v>
      </c>
      <c r="F290" t="s">
        <v>43</v>
      </c>
      <c r="G290">
        <v>-403.89400000000001</v>
      </c>
      <c r="H290">
        <v>0.92728069999999896</v>
      </c>
      <c r="I290">
        <v>367.84550000000002</v>
      </c>
      <c r="J290">
        <v>-404.39589999999998</v>
      </c>
      <c r="K290">
        <v>1.05966</v>
      </c>
      <c r="L290">
        <v>367.93740000000003</v>
      </c>
      <c r="M290">
        <v>0.99997159999999996</v>
      </c>
      <c r="N290">
        <v>0</v>
      </c>
      <c r="O290">
        <v>3.8564480000000002E-3</v>
      </c>
      <c r="P290">
        <v>0.99408869999999905</v>
      </c>
      <c r="Q290">
        <v>1.507651E-2</v>
      </c>
      <c r="R290">
        <v>-0.107519</v>
      </c>
      <c r="S290">
        <v>2.9931950000000001</v>
      </c>
      <c r="T290">
        <v>-0.42527779999999998</v>
      </c>
      <c r="U290">
        <v>-0.28784179999999998</v>
      </c>
      <c r="V290">
        <v>0.1113104</v>
      </c>
      <c r="W290">
        <v>2.172282E-2</v>
      </c>
      <c r="X290">
        <v>0.99354819999999999</v>
      </c>
      <c r="Y290">
        <v>9.8542790000000005E-2</v>
      </c>
      <c r="Z290">
        <v>-7.4937780000000004E-3</v>
      </c>
      <c r="AA290">
        <v>0.99510460000000001</v>
      </c>
      <c r="AB290">
        <v>43</v>
      </c>
      <c r="AC290">
        <v>0.50189999999997703</v>
      </c>
      <c r="AD290">
        <v>-0.13237930000000001</v>
      </c>
      <c r="AE290">
        <v>-9.1900000000009599E-2</v>
      </c>
      <c r="AF290">
        <v>8.7917146823370304E-2</v>
      </c>
      <c r="AG290">
        <v>-0.13237930000000001</v>
      </c>
      <c r="AH290">
        <v>0.469911778464219</v>
      </c>
      <c r="AI290">
        <v>105.477743756509</v>
      </c>
      <c r="AJ290">
        <v>79.402880565864393</v>
      </c>
      <c r="AK290">
        <v>0.496055222040306</v>
      </c>
      <c r="AL290">
        <v>88.7552761333055</v>
      </c>
      <c r="AM290">
        <v>83.607625138365407</v>
      </c>
      <c r="AN290">
        <v>0.99999995589007495</v>
      </c>
    </row>
    <row r="291" spans="1:40" x14ac:dyDescent="0.25">
      <c r="A291" t="str">
        <f>"20190312161229922"</f>
        <v>20190312161229922</v>
      </c>
      <c r="B291" t="str">
        <f>"1552378349916255"</f>
        <v>1552378349916255</v>
      </c>
      <c r="C291" t="s">
        <v>40</v>
      </c>
      <c r="D291">
        <v>5.4246400000000001</v>
      </c>
      <c r="E291">
        <v>0.50849259999999996</v>
      </c>
      <c r="F291" t="s">
        <v>43</v>
      </c>
      <c r="G291">
        <v>-403.51350000000002</v>
      </c>
      <c r="H291">
        <v>0.91953859999999998</v>
      </c>
      <c r="I291">
        <v>367.84690000000001</v>
      </c>
      <c r="J291">
        <v>-403.95429999999999</v>
      </c>
      <c r="K291">
        <v>1.0596639999999999</v>
      </c>
      <c r="L291">
        <v>367.93970000000002</v>
      </c>
      <c r="M291">
        <v>0.99996850000000004</v>
      </c>
      <c r="N291">
        <v>0</v>
      </c>
      <c r="O291">
        <v>4.5946160000000002E-3</v>
      </c>
      <c r="P291">
        <v>0.99414100000000005</v>
      </c>
      <c r="Q291">
        <v>1.4672579999999999E-2</v>
      </c>
      <c r="R291">
        <v>-0.1070918</v>
      </c>
      <c r="S291">
        <v>2.9918819999999999</v>
      </c>
      <c r="T291">
        <v>-0.47516350000000002</v>
      </c>
      <c r="U291">
        <v>-0.30657960000000001</v>
      </c>
      <c r="V291">
        <v>0.1116173</v>
      </c>
      <c r="W291">
        <v>2.134716E-2</v>
      </c>
      <c r="X291">
        <v>0.99352200000000002</v>
      </c>
      <c r="Y291">
        <v>0.10514510000000001</v>
      </c>
      <c r="Z291">
        <v>-8.9995379999999996E-3</v>
      </c>
      <c r="AA291">
        <v>0.99441619999999997</v>
      </c>
      <c r="AB291">
        <v>43</v>
      </c>
      <c r="AC291">
        <v>0.440799999999967</v>
      </c>
      <c r="AD291">
        <v>-0.14012539999999901</v>
      </c>
      <c r="AE291">
        <v>-9.2800000000011096E-2</v>
      </c>
      <c r="AF291">
        <v>8.64582713643888E-2</v>
      </c>
      <c r="AG291">
        <v>-0.14012539999999901</v>
      </c>
      <c r="AH291">
        <v>0.40151639306316</v>
      </c>
      <c r="AI291">
        <v>108.838133158687</v>
      </c>
      <c r="AJ291">
        <v>77.848083414996395</v>
      </c>
      <c r="AK291">
        <v>0.433964945947168</v>
      </c>
      <c r="AL291">
        <v>88.776804966943502</v>
      </c>
      <c r="AM291">
        <v>83.589979234724098</v>
      </c>
      <c r="AN291">
        <v>1.0000000436916701</v>
      </c>
    </row>
    <row r="292" spans="1:40" x14ac:dyDescent="0.25">
      <c r="A292" t="str">
        <f>"20190312161229942"</f>
        <v>20190312161229942</v>
      </c>
      <c r="B292" t="str">
        <f>"1552378349935776"</f>
        <v>1552378349935776</v>
      </c>
      <c r="C292" t="s">
        <v>40</v>
      </c>
      <c r="D292">
        <v>5.4146900000000002</v>
      </c>
      <c r="E292">
        <v>0.49983169999999999</v>
      </c>
      <c r="F292" t="s">
        <v>43</v>
      </c>
      <c r="G292">
        <v>-403.154</v>
      </c>
      <c r="H292">
        <v>0.86503779999999997</v>
      </c>
      <c r="I292">
        <v>367.8451</v>
      </c>
      <c r="J292">
        <v>-403.55349999999999</v>
      </c>
      <c r="K292">
        <v>1.0596639999999999</v>
      </c>
      <c r="L292">
        <v>367.94189999999998</v>
      </c>
      <c r="M292">
        <v>0.99996490000000005</v>
      </c>
      <c r="N292">
        <v>0</v>
      </c>
      <c r="O292">
        <v>5.264716E-3</v>
      </c>
      <c r="P292">
        <v>0.99421899999999996</v>
      </c>
      <c r="Q292">
        <v>1.452763E-2</v>
      </c>
      <c r="R292">
        <v>-0.1063853</v>
      </c>
      <c r="S292">
        <v>2.9906009999999998</v>
      </c>
      <c r="T292">
        <v>-0.72733239999999999</v>
      </c>
      <c r="U292">
        <v>-0.35150150000000002</v>
      </c>
      <c r="V292">
        <v>0.111577</v>
      </c>
      <c r="W292">
        <v>2.1227019999999999E-2</v>
      </c>
      <c r="X292">
        <v>0.99352910000000005</v>
      </c>
      <c r="Y292">
        <v>0.1184021</v>
      </c>
      <c r="Z292">
        <v>-1.5402580000000001E-2</v>
      </c>
      <c r="AA292">
        <v>0.99284629999999996</v>
      </c>
      <c r="AB292">
        <v>43</v>
      </c>
      <c r="AC292">
        <v>0.39949999999998898</v>
      </c>
      <c r="AD292">
        <v>-0.194626199999999</v>
      </c>
      <c r="AE292">
        <v>-9.6799999999973296E-2</v>
      </c>
      <c r="AF292">
        <v>8.0790546104796898E-2</v>
      </c>
      <c r="AG292">
        <v>-0.194626199999999</v>
      </c>
      <c r="AH292">
        <v>0.32592077107901202</v>
      </c>
      <c r="AI292">
        <v>120.09725839630499</v>
      </c>
      <c r="AJ292">
        <v>76.077919171498493</v>
      </c>
      <c r="AK292">
        <v>0.38811186414111198</v>
      </c>
      <c r="AL292">
        <v>88.783690040796003</v>
      </c>
      <c r="AM292">
        <v>83.592319763122802</v>
      </c>
      <c r="AN292">
        <v>1.00000004292694</v>
      </c>
    </row>
    <row r="293" spans="1:40" x14ac:dyDescent="0.25">
      <c r="A293" t="str">
        <f>"20190312161229965"</f>
        <v>20190312161229965</v>
      </c>
      <c r="B293" t="str">
        <f>"1552378349956272"</f>
        <v>1552378349956272</v>
      </c>
      <c r="C293" t="s">
        <v>40</v>
      </c>
      <c r="D293">
        <v>5.6211979999999997</v>
      </c>
      <c r="E293">
        <v>0.50442489999999995</v>
      </c>
      <c r="F293" t="s">
        <v>43</v>
      </c>
      <c r="G293">
        <v>-402.75</v>
      </c>
      <c r="H293">
        <v>0.90443750000000001</v>
      </c>
      <c r="I293">
        <v>367.86430000000001</v>
      </c>
      <c r="J293">
        <v>-403.11619999999999</v>
      </c>
      <c r="K293">
        <v>1.0596719999999999</v>
      </c>
      <c r="L293">
        <v>367.94470000000001</v>
      </c>
      <c r="M293">
        <v>0.99996070000000004</v>
      </c>
      <c r="N293">
        <v>0</v>
      </c>
      <c r="O293">
        <v>5.9949519999999996E-3</v>
      </c>
      <c r="P293">
        <v>0.99435410000000002</v>
      </c>
      <c r="Q293">
        <v>1.389891E-2</v>
      </c>
      <c r="R293">
        <v>-0.1052017</v>
      </c>
      <c r="S293">
        <v>2.9950559999999999</v>
      </c>
      <c r="T293">
        <v>-0.57866450000000003</v>
      </c>
      <c r="U293">
        <v>-0.28854370000000001</v>
      </c>
      <c r="V293">
        <v>0.1111207</v>
      </c>
      <c r="W293">
        <v>2.0625379999999999E-2</v>
      </c>
      <c r="X293">
        <v>0.9935929</v>
      </c>
      <c r="Y293">
        <v>9.9920560000000005E-2</v>
      </c>
      <c r="Z293">
        <v>-1.06878999999999E-2</v>
      </c>
      <c r="AA293">
        <v>0.99493799999999999</v>
      </c>
      <c r="AB293">
        <v>43</v>
      </c>
      <c r="AC293">
        <v>0.36619999999999198</v>
      </c>
      <c r="AD293">
        <v>-0.155234499999999</v>
      </c>
      <c r="AE293">
        <v>-8.0399999999997293E-2</v>
      </c>
      <c r="AF293">
        <v>7.0506768538374703E-2</v>
      </c>
      <c r="AG293">
        <v>-0.155234499999999</v>
      </c>
      <c r="AH293">
        <v>0.31219149835493598</v>
      </c>
      <c r="AI293">
        <v>115.87457055548499</v>
      </c>
      <c r="AJ293">
        <v>77.2735638505943</v>
      </c>
      <c r="AK293">
        <v>0.35571405095255099</v>
      </c>
      <c r="AL293">
        <v>88.818169011698203</v>
      </c>
      <c r="AM293">
        <v>83.618714077676103</v>
      </c>
      <c r="AN293">
        <v>1.0000000335995201</v>
      </c>
    </row>
    <row r="294" spans="1:40" x14ac:dyDescent="0.25">
      <c r="A294" t="str">
        <f>"20190312161229988"</f>
        <v>20190312161229988</v>
      </c>
      <c r="B294" t="str">
        <f>"1552378349975792"</f>
        <v>1552378349975792</v>
      </c>
      <c r="C294" t="s">
        <v>40</v>
      </c>
      <c r="D294">
        <v>5.4494499999999997</v>
      </c>
      <c r="E294">
        <v>0.5045115</v>
      </c>
      <c r="F294" t="s">
        <v>43</v>
      </c>
      <c r="G294">
        <v>-402.35019999999997</v>
      </c>
      <c r="H294">
        <v>0.93088190000000004</v>
      </c>
      <c r="I294">
        <v>367.86110000000002</v>
      </c>
      <c r="J294">
        <v>-402.67540000000002</v>
      </c>
      <c r="K294">
        <v>1.0596699999999999</v>
      </c>
      <c r="L294">
        <v>367.94779999999997</v>
      </c>
      <c r="M294">
        <v>0.99995579999999995</v>
      </c>
      <c r="N294">
        <v>0</v>
      </c>
      <c r="O294">
        <v>6.7306719999999896E-3</v>
      </c>
      <c r="P294">
        <v>0.99440059999999997</v>
      </c>
      <c r="Q294">
        <v>1.323452E-2</v>
      </c>
      <c r="R294">
        <v>-0.10484690000000001</v>
      </c>
      <c r="S294">
        <v>2.989716</v>
      </c>
      <c r="T294">
        <v>-0.50293719999999997</v>
      </c>
      <c r="U294">
        <v>-0.32492070000000001</v>
      </c>
      <c r="V294">
        <v>0.11149829999999999</v>
      </c>
      <c r="W294">
        <v>1.998894E-2</v>
      </c>
      <c r="X294">
        <v>0.99356359999999999</v>
      </c>
      <c r="Y294">
        <v>0.11306819999999999</v>
      </c>
      <c r="Z294">
        <v>-1.053804E-2</v>
      </c>
      <c r="AA294">
        <v>0.99353130000000001</v>
      </c>
      <c r="AB294">
        <v>43</v>
      </c>
      <c r="AC294">
        <v>0.325200000000052</v>
      </c>
      <c r="AD294">
        <v>-0.12878809999999999</v>
      </c>
      <c r="AE294">
        <v>-8.6699999999950705E-2</v>
      </c>
      <c r="AF294">
        <v>7.7533666279428606E-2</v>
      </c>
      <c r="AG294">
        <v>-0.12878809999999999</v>
      </c>
      <c r="AH294">
        <v>0.28314782121610099</v>
      </c>
      <c r="AI294">
        <v>113.68678858517001</v>
      </c>
      <c r="AJ294">
        <v>74.686222336750404</v>
      </c>
      <c r="AK294">
        <v>0.32057843465798602</v>
      </c>
      <c r="AL294">
        <v>88.854641851638902</v>
      </c>
      <c r="AM294">
        <v>83.597022315874995</v>
      </c>
      <c r="AN294">
        <v>1.00000002793508</v>
      </c>
    </row>
    <row r="295" spans="1:40" x14ac:dyDescent="0.25">
      <c r="A295" t="str">
        <f>"20190312161230010"</f>
        <v>20190312161230010</v>
      </c>
      <c r="B295" t="str">
        <f>"1552378350005578"</f>
        <v>1552378350005578</v>
      </c>
      <c r="C295" t="s">
        <v>40</v>
      </c>
      <c r="D295">
        <v>6.2494129999999997</v>
      </c>
      <c r="E295">
        <v>0.50483409999999995</v>
      </c>
      <c r="F295" t="s">
        <v>43</v>
      </c>
      <c r="G295">
        <v>-401.95870000000002</v>
      </c>
      <c r="H295">
        <v>0.93910470000000001</v>
      </c>
      <c r="I295">
        <v>367.86989999999997</v>
      </c>
      <c r="J295">
        <v>-402.2423</v>
      </c>
      <c r="K295">
        <v>1.0596719999999999</v>
      </c>
      <c r="L295">
        <v>367.95119999999997</v>
      </c>
      <c r="M295">
        <v>0.99995060000000002</v>
      </c>
      <c r="N295">
        <v>0</v>
      </c>
      <c r="O295">
        <v>7.4519599999999997E-3</v>
      </c>
      <c r="P295">
        <v>0.99446559999999995</v>
      </c>
      <c r="Q295">
        <v>1.2710330000000001E-2</v>
      </c>
      <c r="R295">
        <v>-0.1042937</v>
      </c>
      <c r="S295">
        <v>2.9894099999999999</v>
      </c>
      <c r="T295">
        <v>-0.50307609999999903</v>
      </c>
      <c r="U295">
        <v>-0.32403559999999998</v>
      </c>
      <c r="V295">
        <v>0.1116632</v>
      </c>
      <c r="W295">
        <v>1.949122E-2</v>
      </c>
      <c r="X295">
        <v>0.99355490000000002</v>
      </c>
      <c r="Y295">
        <v>0.1134877</v>
      </c>
      <c r="Z295">
        <v>-1.06973E-2</v>
      </c>
      <c r="AA295">
        <v>0.99348179999999997</v>
      </c>
      <c r="AB295">
        <v>43</v>
      </c>
      <c r="AC295">
        <v>0.28359999999997798</v>
      </c>
      <c r="AD295">
        <v>-0.1205673</v>
      </c>
      <c r="AE295">
        <v>-8.1299999999998804E-2</v>
      </c>
      <c r="AF295">
        <v>7.1474144879392104E-2</v>
      </c>
      <c r="AG295">
        <v>-0.1205673</v>
      </c>
      <c r="AH295">
        <v>0.24248794173726701</v>
      </c>
      <c r="AI295">
        <v>115.497568875938</v>
      </c>
      <c r="AJ295">
        <v>73.576939722688806</v>
      </c>
      <c r="AK295">
        <v>0.28008111165072602</v>
      </c>
      <c r="AL295">
        <v>88.883164586867807</v>
      </c>
      <c r="AM295">
        <v>83.5875757927042</v>
      </c>
      <c r="AN295">
        <v>0.99999995860266799</v>
      </c>
    </row>
    <row r="296" spans="1:40" x14ac:dyDescent="0.25">
      <c r="A296" t="str">
        <f>"20190312161230031"</f>
        <v>20190312161230031</v>
      </c>
      <c r="B296" t="str">
        <f>"1552378350026074"</f>
        <v>1552378350026074</v>
      </c>
      <c r="C296" t="s">
        <v>40</v>
      </c>
      <c r="D296">
        <v>5.4945500000000003</v>
      </c>
      <c r="E296">
        <v>0.51269240000000005</v>
      </c>
      <c r="F296" t="s">
        <v>43</v>
      </c>
      <c r="G296">
        <v>-401.20499999999998</v>
      </c>
      <c r="H296">
        <v>0.88615880000000002</v>
      </c>
      <c r="I296">
        <v>367.83850000000001</v>
      </c>
      <c r="J296">
        <v>-401.82249999999999</v>
      </c>
      <c r="K296">
        <v>1.0596699999999999</v>
      </c>
      <c r="L296">
        <v>367.95479999999998</v>
      </c>
      <c r="M296">
        <v>0.99994490000000003</v>
      </c>
      <c r="N296">
        <v>0</v>
      </c>
      <c r="O296">
        <v>8.1482719999999998E-3</v>
      </c>
      <c r="P296">
        <v>0.99457289999999998</v>
      </c>
      <c r="Q296">
        <v>1.26353E-2</v>
      </c>
      <c r="R296">
        <v>-0.1032753</v>
      </c>
      <c r="S296">
        <v>2.9890439999999998</v>
      </c>
      <c r="T296">
        <v>-0.50004009999999999</v>
      </c>
      <c r="U296">
        <v>-0.32440190000000002</v>
      </c>
      <c r="V296">
        <v>0.11133750000000001</v>
      </c>
      <c r="W296">
        <v>1.9441159999999999E-2</v>
      </c>
      <c r="X296">
        <v>0.99359249999999999</v>
      </c>
      <c r="Y296">
        <v>0.1143115</v>
      </c>
      <c r="Z296">
        <v>-1.081844E-2</v>
      </c>
      <c r="AA296">
        <v>0.99338599999999999</v>
      </c>
      <c r="AB296">
        <v>43</v>
      </c>
      <c r="AC296">
        <v>0.61750000000000604</v>
      </c>
      <c r="AD296">
        <v>-0.1735112</v>
      </c>
      <c r="AE296">
        <v>-0.116299999999967</v>
      </c>
      <c r="AF296">
        <v>0.112731939307293</v>
      </c>
      <c r="AG296">
        <v>-0.1735112</v>
      </c>
      <c r="AH296">
        <v>0.57285160785123002</v>
      </c>
      <c r="AI296">
        <v>106.55144267393101</v>
      </c>
      <c r="AJ296">
        <v>78.866976435364194</v>
      </c>
      <c r="AK296">
        <v>0.60907601437190395</v>
      </c>
      <c r="AL296">
        <v>88.886033433311198</v>
      </c>
      <c r="AM296">
        <v>83.6063644332243</v>
      </c>
      <c r="AN296">
        <v>1.0000000268323199</v>
      </c>
    </row>
    <row r="297" spans="1:40" x14ac:dyDescent="0.25">
      <c r="A297" t="str">
        <f>"20190312161230054"</f>
        <v>20190312161230054</v>
      </c>
      <c r="B297" t="str">
        <f>"1552378350045595"</f>
        <v>1552378350045595</v>
      </c>
      <c r="C297" t="s">
        <v>40</v>
      </c>
      <c r="D297">
        <v>6.3746489999999998</v>
      </c>
      <c r="E297">
        <v>0.51570190000000005</v>
      </c>
      <c r="F297" t="s">
        <v>43</v>
      </c>
      <c r="G297">
        <v>-400.81200000000001</v>
      </c>
      <c r="H297">
        <v>0.89050359999999995</v>
      </c>
      <c r="I297">
        <v>367.8245</v>
      </c>
      <c r="J297">
        <v>-401.38330000000002</v>
      </c>
      <c r="K297">
        <v>1.05967099999999</v>
      </c>
      <c r="L297">
        <v>367.95890000000003</v>
      </c>
      <c r="M297">
        <v>0.99993869999999896</v>
      </c>
      <c r="N297">
        <v>0</v>
      </c>
      <c r="O297">
        <v>8.8736030000000007E-3</v>
      </c>
      <c r="P297">
        <v>0.99472780000000005</v>
      </c>
      <c r="Q297">
        <v>1.248205E-2</v>
      </c>
      <c r="R297">
        <v>-0.1017904</v>
      </c>
      <c r="S297">
        <v>2.9828489999999999</v>
      </c>
      <c r="T297">
        <v>-0.49943510000000002</v>
      </c>
      <c r="U297">
        <v>-0.38406370000000001</v>
      </c>
      <c r="V297">
        <v>0.1105752</v>
      </c>
      <c r="W297">
        <v>1.931244E-2</v>
      </c>
      <c r="X297">
        <v>0.99368009999999996</v>
      </c>
      <c r="Y297">
        <v>0.13453470000000001</v>
      </c>
      <c r="Z297">
        <v>-1.2609830000000001E-2</v>
      </c>
      <c r="AA297">
        <v>0.99082859999999995</v>
      </c>
      <c r="AB297">
        <v>44</v>
      </c>
      <c r="AC297">
        <v>0.57130000000006398</v>
      </c>
      <c r="AD297">
        <v>-0.169167399999999</v>
      </c>
      <c r="AE297">
        <v>-0.134400000000027</v>
      </c>
      <c r="AF297">
        <v>0.128766069292788</v>
      </c>
      <c r="AG297">
        <v>-0.169167399999999</v>
      </c>
      <c r="AH297">
        <v>0.52635393390573204</v>
      </c>
      <c r="AI297">
        <v>107.33777014173</v>
      </c>
      <c r="AJ297">
        <v>76.253278260376803</v>
      </c>
      <c r="AK297">
        <v>0.56766783735025395</v>
      </c>
      <c r="AL297">
        <v>88.893409893517898</v>
      </c>
      <c r="AM297">
        <v>83.650336476876802</v>
      </c>
      <c r="AN297">
        <v>0.99999999316490096</v>
      </c>
    </row>
    <row r="298" spans="1:40" x14ac:dyDescent="0.25">
      <c r="A298" t="str">
        <f>"20190312161230075"</f>
        <v>20190312161230075</v>
      </c>
      <c r="B298" t="str">
        <f>"1552378350066090"</f>
        <v>1552378350066090</v>
      </c>
      <c r="C298" t="s">
        <v>40</v>
      </c>
      <c r="D298">
        <v>5.5595299999999996</v>
      </c>
      <c r="E298">
        <v>0.51780029999999999</v>
      </c>
      <c r="F298" t="s">
        <v>43</v>
      </c>
      <c r="G298">
        <v>-400.41539999999998</v>
      </c>
      <c r="H298">
        <v>0.90226600000000001</v>
      </c>
      <c r="I298">
        <v>367.82690000000002</v>
      </c>
      <c r="J298">
        <v>-400.94880000000001</v>
      </c>
      <c r="K298">
        <v>1.05979</v>
      </c>
      <c r="L298">
        <v>367.96319999999997</v>
      </c>
      <c r="M298">
        <v>0.99992890000000001</v>
      </c>
      <c r="N298">
        <v>0</v>
      </c>
      <c r="O298">
        <v>9.5433129999999994E-3</v>
      </c>
      <c r="P298">
        <v>0.99486240000000004</v>
      </c>
      <c r="Q298">
        <v>1.12742E-2</v>
      </c>
      <c r="R298">
        <v>-0.10060760000000001</v>
      </c>
      <c r="S298">
        <v>2.9804379999999999</v>
      </c>
      <c r="T298">
        <v>-0.48479630000000001</v>
      </c>
      <c r="U298">
        <v>-0.40600589999999998</v>
      </c>
      <c r="V298">
        <v>0.1100613</v>
      </c>
      <c r="W298">
        <v>1.8613040000000001E-2</v>
      </c>
      <c r="X298">
        <v>0.99375049999999998</v>
      </c>
      <c r="Y298">
        <v>0.1424647</v>
      </c>
      <c r="Z298">
        <v>-1.299457E-2</v>
      </c>
      <c r="AA298">
        <v>0.9897146</v>
      </c>
      <c r="AB298">
        <v>44</v>
      </c>
      <c r="AC298">
        <v>0.53340000000002796</v>
      </c>
      <c r="AD298">
        <v>-0.157524</v>
      </c>
      <c r="AE298">
        <v>-0.13629999999994799</v>
      </c>
      <c r="AF298">
        <v>0.130685307019656</v>
      </c>
      <c r="AG298">
        <v>-0.157524</v>
      </c>
      <c r="AH298">
        <v>0.491811054602449</v>
      </c>
      <c r="AI298">
        <v>107.199996116194</v>
      </c>
      <c r="AJ298">
        <v>75.119095167345193</v>
      </c>
      <c r="AK298">
        <v>0.53270120468795201</v>
      </c>
      <c r="AL298">
        <v>88.933489772152996</v>
      </c>
      <c r="AM298">
        <v>83.680051401943899</v>
      </c>
      <c r="AN298">
        <v>0.99999999563299002</v>
      </c>
    </row>
    <row r="299" spans="1:40" x14ac:dyDescent="0.25">
      <c r="A299" t="str">
        <f>"20190312161230100"</f>
        <v>20190312161230100</v>
      </c>
      <c r="B299" t="str">
        <f>"1552378350096347"</f>
        <v>1552378350096347</v>
      </c>
      <c r="C299" t="s">
        <v>40</v>
      </c>
      <c r="D299">
        <v>6.0111589999999904</v>
      </c>
      <c r="E299">
        <v>0.51901299999999995</v>
      </c>
      <c r="F299" t="s">
        <v>43</v>
      </c>
      <c r="G299">
        <v>-400.0231</v>
      </c>
      <c r="H299">
        <v>0.91273570000000004</v>
      </c>
      <c r="I299">
        <v>367.83199999999999</v>
      </c>
      <c r="J299">
        <v>-400.50049999999999</v>
      </c>
      <c r="K299">
        <v>1.0603400000000001</v>
      </c>
      <c r="L299">
        <v>367.96789999999999</v>
      </c>
      <c r="M299">
        <v>0.99990990000000002</v>
      </c>
      <c r="N299">
        <v>0</v>
      </c>
      <c r="O299">
        <v>1.0142699999999999E-2</v>
      </c>
      <c r="P299">
        <v>0.9949327</v>
      </c>
      <c r="Q299">
        <v>7.8674590000000003E-3</v>
      </c>
      <c r="R299">
        <v>-0.10023650000000001</v>
      </c>
      <c r="S299">
        <v>2.9783940000000002</v>
      </c>
      <c r="T299">
        <v>-0.47346199999999999</v>
      </c>
      <c r="U299">
        <v>-0.41992190000000001</v>
      </c>
      <c r="V299">
        <v>0.110292</v>
      </c>
      <c r="W299">
        <v>1.6817550000000001E-2</v>
      </c>
      <c r="X299">
        <v>0.99375690000000005</v>
      </c>
      <c r="Y299">
        <v>0.147701</v>
      </c>
      <c r="Z299">
        <v>-1.320495E-2</v>
      </c>
      <c r="AA299">
        <v>0.98894389999999999</v>
      </c>
      <c r="AB299">
        <v>44</v>
      </c>
      <c r="AC299">
        <v>0.477399999999988</v>
      </c>
      <c r="AD299">
        <v>-0.14760429999999999</v>
      </c>
      <c r="AE299">
        <v>-0.135899999999992</v>
      </c>
      <c r="AF299">
        <v>0.12930136709282999</v>
      </c>
      <c r="AG299">
        <v>-0.14760429999999999</v>
      </c>
      <c r="AH299">
        <v>0.43732491389842898</v>
      </c>
      <c r="AI299">
        <v>107.934987417798</v>
      </c>
      <c r="AJ299">
        <v>73.528932329934307</v>
      </c>
      <c r="AK299">
        <v>0.47933177781869801</v>
      </c>
      <c r="AL299">
        <v>89.036379903184098</v>
      </c>
      <c r="AM299">
        <v>83.666952108903601</v>
      </c>
      <c r="AN299">
        <v>0.99999996577480499</v>
      </c>
    </row>
    <row r="300" spans="1:40" x14ac:dyDescent="0.25">
      <c r="A300" t="str">
        <f>"20190312161230121"</f>
        <v>20190312161230121</v>
      </c>
      <c r="B300" t="str">
        <f>"1552378350116372"</f>
        <v>1552378350116372</v>
      </c>
      <c r="C300" t="s">
        <v>40</v>
      </c>
      <c r="D300">
        <v>5.4467639999999999</v>
      </c>
      <c r="E300">
        <v>0.51921709999999999</v>
      </c>
      <c r="F300" t="s">
        <v>43</v>
      </c>
      <c r="G300">
        <v>-399.6352</v>
      </c>
      <c r="H300">
        <v>0.9218478</v>
      </c>
      <c r="I300">
        <v>367.84359999999998</v>
      </c>
      <c r="J300">
        <v>-400.0899</v>
      </c>
      <c r="K300">
        <v>1.0610379999999999</v>
      </c>
      <c r="L300">
        <v>367.97250000000003</v>
      </c>
      <c r="M300">
        <v>0.9998977</v>
      </c>
      <c r="N300">
        <v>0</v>
      </c>
      <c r="O300">
        <v>1.0691259999999999E-2</v>
      </c>
      <c r="P300">
        <v>0.99497679999999999</v>
      </c>
      <c r="Q300">
        <v>6.3509869999999998E-3</v>
      </c>
      <c r="R300">
        <v>-9.9906999999999996E-2</v>
      </c>
      <c r="S300">
        <v>2.976013</v>
      </c>
      <c r="T300">
        <v>-0.4763037</v>
      </c>
      <c r="U300">
        <v>-0.42742920000000001</v>
      </c>
      <c r="V300">
        <v>0.11050989999999999</v>
      </c>
      <c r="W300">
        <v>1.6006090000000001E-2</v>
      </c>
      <c r="X300">
        <v>0.99374609999999997</v>
      </c>
      <c r="Y300">
        <v>0.15072720000000001</v>
      </c>
      <c r="Z300">
        <v>-1.3617590000000001E-2</v>
      </c>
      <c r="AA300">
        <v>0.98848159999999896</v>
      </c>
      <c r="AB300">
        <v>43</v>
      </c>
      <c r="AC300">
        <v>0.45470000000000199</v>
      </c>
      <c r="AD300">
        <v>-0.13919019999999899</v>
      </c>
      <c r="AE300">
        <v>-0.12890000000004401</v>
      </c>
      <c r="AF300">
        <v>0.12307884220042201</v>
      </c>
      <c r="AG300">
        <v>-0.13919019999999899</v>
      </c>
      <c r="AH300">
        <v>0.41711692935390898</v>
      </c>
      <c r="AI300">
        <v>107.747459899538</v>
      </c>
      <c r="AJ300">
        <v>73.560232293942803</v>
      </c>
      <c r="AK300">
        <v>0.456627688524327</v>
      </c>
      <c r="AL300">
        <v>89.082879407780297</v>
      </c>
      <c r="AM300">
        <v>83.654473690054303</v>
      </c>
      <c r="AN300">
        <v>0.99999997209015301</v>
      </c>
    </row>
    <row r="301" spans="1:40" x14ac:dyDescent="0.25">
      <c r="A301" t="str">
        <f>"20190312161230143"</f>
        <v>20190312161230143</v>
      </c>
      <c r="B301" t="str">
        <f>"1552378350135892"</f>
        <v>1552378350135892</v>
      </c>
      <c r="C301" t="s">
        <v>40</v>
      </c>
      <c r="D301">
        <v>5.3969849999999999</v>
      </c>
      <c r="E301">
        <v>0.51954549999999999</v>
      </c>
      <c r="F301" t="s">
        <v>43</v>
      </c>
      <c r="G301">
        <v>-399.24900000000002</v>
      </c>
      <c r="H301">
        <v>0.92409430000000004</v>
      </c>
      <c r="I301">
        <v>367.85140000000001</v>
      </c>
      <c r="J301">
        <v>-399.64589999999998</v>
      </c>
      <c r="K301">
        <v>1.0617920000000001</v>
      </c>
      <c r="L301">
        <v>367.97789999999998</v>
      </c>
      <c r="M301">
        <v>0.99990120000000005</v>
      </c>
      <c r="N301">
        <v>0</v>
      </c>
      <c r="O301">
        <v>1.122272E-2</v>
      </c>
      <c r="P301">
        <v>0.99505940000000004</v>
      </c>
      <c r="Q301">
        <v>7.6391269999999999E-3</v>
      </c>
      <c r="R301">
        <v>-9.8988439999999997E-2</v>
      </c>
      <c r="S301">
        <v>2.9752200000000002</v>
      </c>
      <c r="T301">
        <v>-0.48464849999999998</v>
      </c>
      <c r="U301">
        <v>-0.4277649</v>
      </c>
      <c r="V301">
        <v>0.1101182</v>
      </c>
      <c r="W301">
        <v>1.6265930000000001E-2</v>
      </c>
      <c r="X301">
        <v>0.99378540000000004</v>
      </c>
      <c r="Y301">
        <v>0.15131240000000001</v>
      </c>
      <c r="Z301">
        <v>-1.3989349999999999E-2</v>
      </c>
      <c r="AA301">
        <v>0.98838700000000002</v>
      </c>
      <c r="AB301">
        <v>43</v>
      </c>
      <c r="AC301">
        <v>0.39689999999995901</v>
      </c>
      <c r="AD301">
        <v>-0.13769769999999901</v>
      </c>
      <c r="AE301">
        <v>-0.126499999999964</v>
      </c>
      <c r="AF301">
        <v>0.11804816298592</v>
      </c>
      <c r="AG301">
        <v>-0.13769769999999901</v>
      </c>
      <c r="AH301">
        <v>0.35650263773399199</v>
      </c>
      <c r="AI301">
        <v>110.13631508767</v>
      </c>
      <c r="AJ301">
        <v>71.678824157964002</v>
      </c>
      <c r="AK301">
        <v>0.39998769491189901</v>
      </c>
      <c r="AL301">
        <v>89.067989768626703</v>
      </c>
      <c r="AM301">
        <v>83.677030804526794</v>
      </c>
      <c r="AN301">
        <v>1.00000000985158</v>
      </c>
    </row>
    <row r="302" spans="1:40" x14ac:dyDescent="0.25">
      <c r="A302" t="str">
        <f>"20190312161230166"</f>
        <v>20190312161230166</v>
      </c>
      <c r="B302" t="str">
        <f>"1552378350155412"</f>
        <v>1552378350155412</v>
      </c>
      <c r="C302" t="s">
        <v>40</v>
      </c>
      <c r="D302">
        <v>6.0185269999999997</v>
      </c>
      <c r="E302">
        <v>0.51990839999999905</v>
      </c>
      <c r="F302" t="s">
        <v>43</v>
      </c>
      <c r="G302">
        <v>-398.85629999999998</v>
      </c>
      <c r="H302">
        <v>0.93376820000000005</v>
      </c>
      <c r="I302">
        <v>367.8639</v>
      </c>
      <c r="J302">
        <v>-399.21100000000001</v>
      </c>
      <c r="K302">
        <v>1.062667</v>
      </c>
      <c r="L302">
        <v>367.98340000000002</v>
      </c>
      <c r="M302">
        <v>0.99991050000000004</v>
      </c>
      <c r="N302">
        <v>0</v>
      </c>
      <c r="O302">
        <v>1.170914E-2</v>
      </c>
      <c r="P302">
        <v>0.99513169999999995</v>
      </c>
      <c r="Q302">
        <v>9.0170409999999999E-3</v>
      </c>
      <c r="R302">
        <v>-9.8143859999999999E-2</v>
      </c>
      <c r="S302">
        <v>2.9759519999999999</v>
      </c>
      <c r="T302">
        <v>-0.48274220000000001</v>
      </c>
      <c r="U302">
        <v>-0.42816159999999998</v>
      </c>
      <c r="V302">
        <v>0.109759</v>
      </c>
      <c r="W302">
        <v>1.5680449999999999E-2</v>
      </c>
      <c r="X302">
        <v>0.99383460000000001</v>
      </c>
      <c r="Y302">
        <v>0.15189149999999901</v>
      </c>
      <c r="Z302">
        <v>-1.4055979999999999E-2</v>
      </c>
      <c r="AA302">
        <v>0.98829719999999999</v>
      </c>
      <c r="AB302">
        <v>43</v>
      </c>
      <c r="AC302">
        <v>0.35470000000003599</v>
      </c>
      <c r="AD302">
        <v>-0.12889880000000001</v>
      </c>
      <c r="AE302">
        <v>-0.119500000000016</v>
      </c>
      <c r="AF302">
        <v>0.11053563964588201</v>
      </c>
      <c r="AG302">
        <v>-0.12889880000000001</v>
      </c>
      <c r="AH302">
        <v>0.315820244888466</v>
      </c>
      <c r="AI302">
        <v>111.068015742851</v>
      </c>
      <c r="AJ302">
        <v>70.710187494836802</v>
      </c>
      <c r="AK302">
        <v>0.35857419783745598</v>
      </c>
      <c r="AL302">
        <v>89.101539630127505</v>
      </c>
      <c r="AM302">
        <v>83.697799265654396</v>
      </c>
      <c r="AN302">
        <v>1.00000006337517</v>
      </c>
    </row>
    <row r="303" spans="1:40" x14ac:dyDescent="0.25">
      <c r="A303" t="str">
        <f>"20190312161230188"</f>
        <v>20190312161230188</v>
      </c>
      <c r="B303" t="str">
        <f>"1552378350185668"</f>
        <v>1552378350185668</v>
      </c>
      <c r="C303" t="s">
        <v>40</v>
      </c>
      <c r="D303">
        <v>5.3259919999999896</v>
      </c>
      <c r="E303">
        <v>0.52043930000000005</v>
      </c>
      <c r="F303" t="s">
        <v>43</v>
      </c>
      <c r="G303">
        <v>-398.4615</v>
      </c>
      <c r="H303">
        <v>0.94320059999999994</v>
      </c>
      <c r="I303">
        <v>367.87490000000003</v>
      </c>
      <c r="J303">
        <v>-398.77370000000002</v>
      </c>
      <c r="K303">
        <v>1.0637760000000001</v>
      </c>
      <c r="L303">
        <v>367.98919999999998</v>
      </c>
      <c r="M303">
        <v>0.99991589999999997</v>
      </c>
      <c r="N303">
        <v>0</v>
      </c>
      <c r="O303">
        <v>1.22226E-2</v>
      </c>
      <c r="P303">
        <v>0.99515339999999997</v>
      </c>
      <c r="Q303">
        <v>9.8219550000000003E-3</v>
      </c>
      <c r="R303">
        <v>-9.7844719999999996E-2</v>
      </c>
      <c r="S303">
        <v>2.9766539999999999</v>
      </c>
      <c r="T303">
        <v>-0.47466589999999997</v>
      </c>
      <c r="U303">
        <v>-0.4291992</v>
      </c>
      <c r="V303">
        <v>0.1099753</v>
      </c>
      <c r="W303">
        <v>1.43631E-2</v>
      </c>
      <c r="X303">
        <v>0.99383060000000001</v>
      </c>
      <c r="Y303">
        <v>0.15275639999999999</v>
      </c>
      <c r="Z303">
        <v>-1.396936E-2</v>
      </c>
      <c r="AA303">
        <v>0.98816510000000002</v>
      </c>
      <c r="AB303">
        <v>44</v>
      </c>
      <c r="AC303">
        <v>0.31220000000001802</v>
      </c>
      <c r="AD303">
        <v>-0.1205754</v>
      </c>
      <c r="AE303">
        <v>-0.11429999999995701</v>
      </c>
      <c r="AF303">
        <v>0.10437850870736499</v>
      </c>
      <c r="AG303">
        <v>-0.1205754</v>
      </c>
      <c r="AH303">
        <v>0.27465438520145302</v>
      </c>
      <c r="AI303">
        <v>112.311890232487</v>
      </c>
      <c r="AJ303">
        <v>69.191414869153704</v>
      </c>
      <c r="AK303">
        <v>0.31759775105551602</v>
      </c>
      <c r="AL303">
        <v>89.177026743400901</v>
      </c>
      <c r="AM303">
        <v>83.685454652416595</v>
      </c>
      <c r="AN303">
        <v>1.00000006337402</v>
      </c>
    </row>
    <row r="304" spans="1:40" x14ac:dyDescent="0.25">
      <c r="A304" t="str">
        <f>"20190312161230210"</f>
        <v>20190312161230210</v>
      </c>
      <c r="B304" t="str">
        <f>"1552378350206165"</f>
        <v>1552378350206165</v>
      </c>
      <c r="C304" t="s">
        <v>40</v>
      </c>
      <c r="D304">
        <v>5.3085250000000004</v>
      </c>
      <c r="E304">
        <v>0.52087649999999996</v>
      </c>
      <c r="F304" t="s">
        <v>43</v>
      </c>
      <c r="G304">
        <v>-398.06560000000002</v>
      </c>
      <c r="H304">
        <v>0.95190189999999997</v>
      </c>
      <c r="I304">
        <v>367.88600000000002</v>
      </c>
      <c r="J304">
        <v>-398.35469999999998</v>
      </c>
      <c r="K304">
        <v>1.0652509999999999</v>
      </c>
      <c r="L304">
        <v>367.9948</v>
      </c>
      <c r="M304">
        <v>0.99991430000000003</v>
      </c>
      <c r="N304">
        <v>0</v>
      </c>
      <c r="O304">
        <v>1.2726289999999999E-2</v>
      </c>
      <c r="P304">
        <v>0.99517860000000002</v>
      </c>
      <c r="Q304">
        <v>9.7352770000000005E-3</v>
      </c>
      <c r="R304">
        <v>-9.7596299999999997E-2</v>
      </c>
      <c r="S304">
        <v>2.9766849999999998</v>
      </c>
      <c r="T304">
        <v>-0.47037960000000001</v>
      </c>
      <c r="U304">
        <v>-0.43289179999999999</v>
      </c>
      <c r="V304">
        <v>0.110233399999999</v>
      </c>
      <c r="W304">
        <v>1.296419E-2</v>
      </c>
      <c r="X304">
        <v>0.99382119999999996</v>
      </c>
      <c r="Y304">
        <v>0.15446309999999999</v>
      </c>
      <c r="Z304">
        <v>-1.4055450000000001E-2</v>
      </c>
      <c r="AA304">
        <v>0.98789859999999896</v>
      </c>
      <c r="AB304">
        <v>44</v>
      </c>
      <c r="AC304">
        <v>0.289099999999962</v>
      </c>
      <c r="AD304">
        <v>-0.113349099999999</v>
      </c>
      <c r="AE304">
        <v>-0.10880000000003</v>
      </c>
      <c r="AF304">
        <v>9.9123207899302401E-2</v>
      </c>
      <c r="AG304">
        <v>-0.113349099999999</v>
      </c>
      <c r="AH304">
        <v>0.25355076469305698</v>
      </c>
      <c r="AI304">
        <v>112.604924872285</v>
      </c>
      <c r="AJ304">
        <v>68.6474694530541</v>
      </c>
      <c r="AK304">
        <v>0.29489221605782001</v>
      </c>
      <c r="AL304">
        <v>89.257185838383293</v>
      </c>
      <c r="AM304">
        <v>83.670695853052294</v>
      </c>
      <c r="AN304">
        <v>1.00000002513367</v>
      </c>
    </row>
    <row r="305" spans="1:40" x14ac:dyDescent="0.25">
      <c r="A305" t="str">
        <f>"20190312161230233"</f>
        <v>20190312161230233</v>
      </c>
      <c r="B305" t="str">
        <f>"1552378350225685"</f>
        <v>1552378350225685</v>
      </c>
      <c r="C305" t="s">
        <v>40</v>
      </c>
      <c r="D305">
        <v>5.3400030000000003</v>
      </c>
      <c r="E305">
        <v>0.52064319999999997</v>
      </c>
      <c r="F305" t="s">
        <v>43</v>
      </c>
      <c r="G305">
        <v>-397.30520000000001</v>
      </c>
      <c r="H305">
        <v>0.89931859999999997</v>
      </c>
      <c r="I305">
        <v>367.84129999999999</v>
      </c>
      <c r="J305">
        <v>-397.90260000000001</v>
      </c>
      <c r="K305">
        <v>1.067645</v>
      </c>
      <c r="L305">
        <v>368.00099999999998</v>
      </c>
      <c r="M305">
        <v>0.99990820000000002</v>
      </c>
      <c r="N305">
        <v>0</v>
      </c>
      <c r="O305">
        <v>1.326601E-2</v>
      </c>
      <c r="P305">
        <v>0.99521139999999997</v>
      </c>
      <c r="Q305">
        <v>9.9959579999999992E-3</v>
      </c>
      <c r="R305">
        <v>-9.7233929999999996E-2</v>
      </c>
      <c r="S305">
        <v>2.9764400000000002</v>
      </c>
      <c r="T305">
        <v>-0.470611</v>
      </c>
      <c r="U305">
        <v>-0.43539430000000001</v>
      </c>
      <c r="V305">
        <v>0.11041140000000001</v>
      </c>
      <c r="W305">
        <v>1.287026E-2</v>
      </c>
      <c r="X305">
        <v>0.99380270000000004</v>
      </c>
      <c r="Y305">
        <v>0.15579609999999999</v>
      </c>
      <c r="Z305">
        <v>-1.4251160000000001E-2</v>
      </c>
      <c r="AA305">
        <v>0.98768650000000002</v>
      </c>
      <c r="AB305">
        <v>44</v>
      </c>
      <c r="AC305">
        <v>0.59739999999999305</v>
      </c>
      <c r="AD305">
        <v>-0.16832639999999999</v>
      </c>
      <c r="AE305">
        <v>-0.15969999999998599</v>
      </c>
      <c r="AF305">
        <v>0.15604846516888801</v>
      </c>
      <c r="AG305">
        <v>-0.16832639999999999</v>
      </c>
      <c r="AH305">
        <v>0.55416706763402901</v>
      </c>
      <c r="AI305">
        <v>106.297653805381</v>
      </c>
      <c r="AJ305">
        <v>74.273257491221997</v>
      </c>
      <c r="AK305">
        <v>0.59982167289005495</v>
      </c>
      <c r="AL305">
        <v>89.2625681082949</v>
      </c>
      <c r="AM305">
        <v>83.660441665275101</v>
      </c>
      <c r="AN305">
        <v>1.0000000636848501</v>
      </c>
    </row>
    <row r="306" spans="1:40" x14ac:dyDescent="0.25">
      <c r="A306" t="str">
        <f>"20190312161230254"</f>
        <v>20190312161230254</v>
      </c>
      <c r="B306" t="str">
        <f>"1552378350246181"</f>
        <v>1552378350246181</v>
      </c>
      <c r="C306" t="s">
        <v>40</v>
      </c>
      <c r="D306">
        <v>5.2613839999999996</v>
      </c>
      <c r="E306">
        <v>0.52830959999999905</v>
      </c>
      <c r="F306" t="s">
        <v>43</v>
      </c>
      <c r="G306">
        <v>-396.91059999999999</v>
      </c>
      <c r="H306">
        <v>0.91052820000000001</v>
      </c>
      <c r="I306">
        <v>367.85669999999999</v>
      </c>
      <c r="J306">
        <v>-397.46429999999998</v>
      </c>
      <c r="K306">
        <v>1.0704929999999999</v>
      </c>
      <c r="L306">
        <v>368.00709999999998</v>
      </c>
      <c r="M306">
        <v>0.99990140000000005</v>
      </c>
      <c r="N306">
        <v>0</v>
      </c>
      <c r="O306">
        <v>1.377449E-2</v>
      </c>
      <c r="P306">
        <v>0.9952548</v>
      </c>
      <c r="Q306">
        <v>1.0497370000000001E-2</v>
      </c>
      <c r="R306">
        <v>-9.6736740000000002E-2</v>
      </c>
      <c r="S306">
        <v>2.9769899999999998</v>
      </c>
      <c r="T306">
        <v>-0.47169139999999998</v>
      </c>
      <c r="U306">
        <v>-0.43222050000000001</v>
      </c>
      <c r="V306">
        <v>0.1104221</v>
      </c>
      <c r="W306">
        <v>1.3385670000000001E-2</v>
      </c>
      <c r="X306">
        <v>0.99379459999999997</v>
      </c>
      <c r="Y306">
        <v>0.1552325</v>
      </c>
      <c r="Z306">
        <v>-1.431753E-2</v>
      </c>
      <c r="AA306">
        <v>0.98777420000000005</v>
      </c>
      <c r="AB306">
        <v>44</v>
      </c>
      <c r="AC306">
        <v>0.55369999999999198</v>
      </c>
      <c r="AD306">
        <v>-0.15996479999999999</v>
      </c>
      <c r="AE306">
        <v>-0.15039999999998999</v>
      </c>
      <c r="AF306">
        <v>0.146616330978419</v>
      </c>
      <c r="AG306">
        <v>-0.15996479999999999</v>
      </c>
      <c r="AH306">
        <v>0.51179442880220605</v>
      </c>
      <c r="AI306">
        <v>106.72396435115</v>
      </c>
      <c r="AJ306">
        <v>74.014313696707603</v>
      </c>
      <c r="AK306">
        <v>0.55589443521372806</v>
      </c>
      <c r="AL306">
        <v>89.2330346688248</v>
      </c>
      <c r="AM306">
        <v>83.659781044431696</v>
      </c>
      <c r="AN306">
        <v>0.99999996165945804</v>
      </c>
    </row>
    <row r="307" spans="1:40" x14ac:dyDescent="0.25">
      <c r="A307" t="str">
        <f>"20190312161230278"</f>
        <v>20190312161230278</v>
      </c>
      <c r="B307" t="str">
        <f>"1552378350265701"</f>
        <v>1552378350265701</v>
      </c>
      <c r="C307" t="s">
        <v>40</v>
      </c>
      <c r="D307">
        <v>5.3058529999999999</v>
      </c>
      <c r="E307">
        <v>0.52262350000000002</v>
      </c>
      <c r="F307" t="s">
        <v>43</v>
      </c>
      <c r="G307">
        <v>-396.53769999999997</v>
      </c>
      <c r="H307">
        <v>0.86411489999999902</v>
      </c>
      <c r="I307">
        <v>367.85610000000003</v>
      </c>
      <c r="J307">
        <v>-397.0093</v>
      </c>
      <c r="K307">
        <v>1.073706</v>
      </c>
      <c r="L307">
        <v>368.01350000000002</v>
      </c>
      <c r="M307">
        <v>0.99989499999999998</v>
      </c>
      <c r="N307">
        <v>0</v>
      </c>
      <c r="O307">
        <v>1.4251990000000001E-2</v>
      </c>
      <c r="P307">
        <v>0.99530700000000005</v>
      </c>
      <c r="Q307">
        <v>1.080852E-2</v>
      </c>
      <c r="R307">
        <v>-9.6161689999999994E-2</v>
      </c>
      <c r="S307">
        <v>2.974335</v>
      </c>
      <c r="T307">
        <v>-0.66254449999999998</v>
      </c>
      <c r="U307">
        <v>-0.48300169999999998</v>
      </c>
      <c r="V307">
        <v>0.1103237</v>
      </c>
      <c r="W307">
        <v>1.351393E-2</v>
      </c>
      <c r="X307">
        <v>0.99380389999999996</v>
      </c>
      <c r="Y307">
        <v>0.16993929999999999</v>
      </c>
      <c r="Z307">
        <v>-2.1698169999999999E-2</v>
      </c>
      <c r="AA307">
        <v>0.98521559999999997</v>
      </c>
      <c r="AB307">
        <v>44</v>
      </c>
      <c r="AC307">
        <v>0.471600000000023</v>
      </c>
      <c r="AD307">
        <v>-0.2095911</v>
      </c>
      <c r="AE307">
        <v>-0.15739999999999499</v>
      </c>
      <c r="AF307">
        <v>0.139341807157675</v>
      </c>
      <c r="AG307">
        <v>-0.2095911</v>
      </c>
      <c r="AH307">
        <v>0.39849017974412398</v>
      </c>
      <c r="AI307">
        <v>116.403708206031</v>
      </c>
      <c r="AJ307">
        <v>70.726576013770597</v>
      </c>
      <c r="AK307">
        <v>0.47131623330167699</v>
      </c>
      <c r="AL307">
        <v>89.225685329715901</v>
      </c>
      <c r="AM307">
        <v>83.665443826424095</v>
      </c>
      <c r="AN307">
        <v>1.00000006837047</v>
      </c>
    </row>
    <row r="308" spans="1:40" x14ac:dyDescent="0.25">
      <c r="A308" t="str">
        <f>"20190312161230300"</f>
        <v>20190312161230300</v>
      </c>
      <c r="B308" t="str">
        <f>"1552378350295956"</f>
        <v>1552378350295956</v>
      </c>
      <c r="C308" t="s">
        <v>40</v>
      </c>
      <c r="D308">
        <v>5.246861</v>
      </c>
      <c r="E308">
        <v>0.52106679999999905</v>
      </c>
      <c r="F308" t="s">
        <v>43</v>
      </c>
      <c r="G308">
        <v>-396.13010000000003</v>
      </c>
      <c r="H308">
        <v>0.8988469</v>
      </c>
      <c r="I308">
        <v>367.88350000000003</v>
      </c>
      <c r="J308">
        <v>-396.572</v>
      </c>
      <c r="K308">
        <v>1.0769329999999999</v>
      </c>
      <c r="L308">
        <v>368.01979999999998</v>
      </c>
      <c r="M308">
        <v>0.9998899</v>
      </c>
      <c r="N308">
        <v>0</v>
      </c>
      <c r="O308">
        <v>1.464378E-2</v>
      </c>
      <c r="P308">
        <v>0.99541259999999998</v>
      </c>
      <c r="Q308">
        <v>1.1123009999999999E-2</v>
      </c>
      <c r="R308">
        <v>-9.5027769999999998E-2</v>
      </c>
      <c r="S308">
        <v>2.9780880000000001</v>
      </c>
      <c r="T308">
        <v>-0.5924391</v>
      </c>
      <c r="U308">
        <v>-0.43978879999999998</v>
      </c>
      <c r="V308">
        <v>0.10958130000000001</v>
      </c>
      <c r="W308">
        <v>1.360834E-2</v>
      </c>
      <c r="X308">
        <v>0.99388469999999995</v>
      </c>
      <c r="Y308">
        <v>0.1572625</v>
      </c>
      <c r="Z308">
        <v>-1.8279819999999999E-2</v>
      </c>
      <c r="AA308">
        <v>0.98738769999999998</v>
      </c>
      <c r="AB308">
        <v>44</v>
      </c>
      <c r="AC308">
        <v>0.44189999999991803</v>
      </c>
      <c r="AD308">
        <v>-0.178086099999999</v>
      </c>
      <c r="AE308">
        <v>-0.13629999999994799</v>
      </c>
      <c r="AF308">
        <v>0.124319746788958</v>
      </c>
      <c r="AG308">
        <v>-0.178086099999999</v>
      </c>
      <c r="AH308">
        <v>0.38304996884572201</v>
      </c>
      <c r="AI308">
        <v>113.855455962238</v>
      </c>
      <c r="AJ308">
        <v>72.019042407115293</v>
      </c>
      <c r="AK308">
        <v>0.44033775342070097</v>
      </c>
      <c r="AL308">
        <v>89.220275502353701</v>
      </c>
      <c r="AM308">
        <v>83.708235266601093</v>
      </c>
      <c r="AN308">
        <v>1.00000002256066</v>
      </c>
    </row>
    <row r="309" spans="1:40" x14ac:dyDescent="0.25">
      <c r="A309" t="str">
        <f>"20190312161230322"</f>
        <v>20190312161230322</v>
      </c>
      <c r="B309" t="str">
        <f>"1552378350315984"</f>
        <v>1552378350315984</v>
      </c>
      <c r="C309" t="s">
        <v>40</v>
      </c>
      <c r="D309">
        <v>5.2032999999999996</v>
      </c>
      <c r="E309">
        <v>0.52059449999999996</v>
      </c>
      <c r="F309" t="s">
        <v>43</v>
      </c>
      <c r="G309">
        <v>-395.726</v>
      </c>
      <c r="H309">
        <v>0.91847920000000005</v>
      </c>
      <c r="I309">
        <v>367.89890000000003</v>
      </c>
      <c r="J309">
        <v>-396.13060000000002</v>
      </c>
      <c r="K309">
        <v>1.0802529999999999</v>
      </c>
      <c r="L309">
        <v>368.02629999999999</v>
      </c>
      <c r="M309">
        <v>0.99988509999999997</v>
      </c>
      <c r="N309">
        <v>0</v>
      </c>
      <c r="O309">
        <v>1.49768E-2</v>
      </c>
      <c r="P309">
        <v>0.99549909999999997</v>
      </c>
      <c r="Q309">
        <v>1.2130409999999999E-2</v>
      </c>
      <c r="R309">
        <v>-9.3991519999999995E-2</v>
      </c>
      <c r="S309">
        <v>2.9794309999999999</v>
      </c>
      <c r="T309">
        <v>-0.55812229999999996</v>
      </c>
      <c r="U309">
        <v>-0.42520140000000001</v>
      </c>
      <c r="V309">
        <v>0.1088771</v>
      </c>
      <c r="W309">
        <v>1.4576220000000001E-2</v>
      </c>
      <c r="X309">
        <v>0.99394830000000001</v>
      </c>
      <c r="Y309">
        <v>0.15322230000000001</v>
      </c>
      <c r="Z309">
        <v>-1.6925889999999999E-2</v>
      </c>
      <c r="AA309">
        <v>0.9880468</v>
      </c>
      <c r="AB309">
        <v>44</v>
      </c>
      <c r="AC309">
        <v>0.404600000000016</v>
      </c>
      <c r="AD309">
        <v>-0.1617738</v>
      </c>
      <c r="AE309">
        <v>-0.12739999999996501</v>
      </c>
      <c r="AF309">
        <v>0.116500552596269</v>
      </c>
      <c r="AG309">
        <v>-0.1617738</v>
      </c>
      <c r="AH309">
        <v>0.35151881451644301</v>
      </c>
      <c r="AI309">
        <v>113.59797421798601</v>
      </c>
      <c r="AJ309">
        <v>71.663743600406505</v>
      </c>
      <c r="AK309">
        <v>0.404114610080757</v>
      </c>
      <c r="AL309">
        <v>89.164814499505297</v>
      </c>
      <c r="AM309">
        <v>83.748743590217302</v>
      </c>
      <c r="AN309">
        <v>0.99999995608339298</v>
      </c>
    </row>
    <row r="310" spans="1:40" x14ac:dyDescent="0.25">
      <c r="A310" t="str">
        <f>"20190312161230345"</f>
        <v>20190312161230345</v>
      </c>
      <c r="B310" t="str">
        <f>"1552378350336479"</f>
        <v>1552378350336479</v>
      </c>
      <c r="C310" t="s">
        <v>40</v>
      </c>
      <c r="D310">
        <v>5.1604999999999999</v>
      </c>
      <c r="E310">
        <v>0.5200496</v>
      </c>
      <c r="F310" t="s">
        <v>43</v>
      </c>
      <c r="G310">
        <v>-395.3227</v>
      </c>
      <c r="H310">
        <v>0.93301449999999997</v>
      </c>
      <c r="I310">
        <v>367.91239999999999</v>
      </c>
      <c r="J310">
        <v>-395.67790000000002</v>
      </c>
      <c r="K310">
        <v>1.083618</v>
      </c>
      <c r="L310">
        <v>368.03309999999999</v>
      </c>
      <c r="M310">
        <v>0.99988010000000005</v>
      </c>
      <c r="N310">
        <v>0</v>
      </c>
      <c r="O310">
        <v>1.527135E-2</v>
      </c>
      <c r="P310">
        <v>0.99557770000000001</v>
      </c>
      <c r="Q310">
        <v>1.3004979999999999E-2</v>
      </c>
      <c r="R310">
        <v>-9.3039289999999997E-2</v>
      </c>
      <c r="S310">
        <v>2.9806520000000001</v>
      </c>
      <c r="T310">
        <v>-0.5434483</v>
      </c>
      <c r="U310">
        <v>-0.4188538</v>
      </c>
      <c r="V310">
        <v>0.1082182</v>
      </c>
      <c r="W310">
        <v>1.5676160000000001E-2</v>
      </c>
      <c r="X310">
        <v>0.99400350000000004</v>
      </c>
      <c r="Y310">
        <v>0.15156459999999999</v>
      </c>
      <c r="Z310">
        <v>-1.6387760000000001E-2</v>
      </c>
      <c r="AA310">
        <v>0.98831150000000001</v>
      </c>
      <c r="AB310">
        <v>44</v>
      </c>
      <c r="AC310">
        <v>0.355200000000024</v>
      </c>
      <c r="AD310">
        <v>-0.150603499999999</v>
      </c>
      <c r="AE310">
        <v>-0.120699999999999</v>
      </c>
      <c r="AF310">
        <v>0.108606874566295</v>
      </c>
      <c r="AG310">
        <v>-0.150603499999999</v>
      </c>
      <c r="AH310">
        <v>0.30427700826731402</v>
      </c>
      <c r="AI310">
        <v>114.992621819731</v>
      </c>
      <c r="AJ310">
        <v>70.356778745950606</v>
      </c>
      <c r="AK310">
        <v>0.35645668064354802</v>
      </c>
      <c r="AL310">
        <v>89.1017853478631</v>
      </c>
      <c r="AM310">
        <v>83.786620347404494</v>
      </c>
      <c r="AN310">
        <v>0.99999993940791598</v>
      </c>
    </row>
    <row r="311" spans="1:40" x14ac:dyDescent="0.25">
      <c r="A311" t="str">
        <f>"20190312161230366"</f>
        <v>20190312161230366</v>
      </c>
      <c r="B311" t="str">
        <f>"1552378350355999"</f>
        <v>1552378350355999</v>
      </c>
      <c r="C311" t="s">
        <v>40</v>
      </c>
      <c r="D311">
        <v>5.1254390000000001</v>
      </c>
      <c r="E311">
        <v>0.52022279999999999</v>
      </c>
      <c r="F311" t="s">
        <v>43</v>
      </c>
      <c r="G311">
        <v>-394.91890000000001</v>
      </c>
      <c r="H311">
        <v>0.94725040000000005</v>
      </c>
      <c r="I311">
        <v>367.9282</v>
      </c>
      <c r="J311">
        <v>-395.24979999999999</v>
      </c>
      <c r="K311">
        <v>1.0866819999999999</v>
      </c>
      <c r="L311">
        <v>368.03980000000001</v>
      </c>
      <c r="M311">
        <v>0.99987499999999996</v>
      </c>
      <c r="N311">
        <v>0</v>
      </c>
      <c r="O311">
        <v>1.552453E-2</v>
      </c>
      <c r="P311">
        <v>0.99561520000000003</v>
      </c>
      <c r="Q311">
        <v>1.3441079999999999E-2</v>
      </c>
      <c r="R311">
        <v>-9.2573580000000003E-2</v>
      </c>
      <c r="S311">
        <v>2.9818730000000002</v>
      </c>
      <c r="T311">
        <v>-0.53582799999999997</v>
      </c>
      <c r="U311">
        <v>-0.41152949999999999</v>
      </c>
      <c r="V311">
        <v>0.10800419999999999</v>
      </c>
      <c r="W311">
        <v>1.654866E-2</v>
      </c>
      <c r="X311">
        <v>0.99401269999999997</v>
      </c>
      <c r="Y311">
        <v>0.1494817</v>
      </c>
      <c r="Z311">
        <v>-1.601791E-2</v>
      </c>
      <c r="AA311">
        <v>0.98863480000000004</v>
      </c>
      <c r="AB311">
        <v>45</v>
      </c>
      <c r="AC311">
        <v>0.33089999999998498</v>
      </c>
      <c r="AD311">
        <v>-0.13943159999999899</v>
      </c>
      <c r="AE311">
        <v>-0.111600000000009</v>
      </c>
      <c r="AF311">
        <v>0.100674163464591</v>
      </c>
      <c r="AG311">
        <v>-0.13943159999999899</v>
      </c>
      <c r="AH311">
        <v>0.28387260077672299</v>
      </c>
      <c r="AI311">
        <v>114.84067787886799</v>
      </c>
      <c r="AJ311">
        <v>70.473173662789307</v>
      </c>
      <c r="AK311">
        <v>0.33190376879390199</v>
      </c>
      <c r="AL311">
        <v>89.051788349020399</v>
      </c>
      <c r="AM311">
        <v>83.798868346245399</v>
      </c>
      <c r="AN311">
        <v>1.0000000065633601</v>
      </c>
    </row>
    <row r="312" spans="1:40" x14ac:dyDescent="0.25">
      <c r="A312" t="str">
        <f>"20190312161230389"</f>
        <v>20190312161230389</v>
      </c>
      <c r="B312" t="str">
        <f>"1552378350386256"</f>
        <v>1552378350386256</v>
      </c>
      <c r="C312" t="s">
        <v>40</v>
      </c>
      <c r="D312">
        <v>4.9669460000000001</v>
      </c>
      <c r="E312">
        <v>0.49516270000000001</v>
      </c>
      <c r="F312" t="s">
        <v>43</v>
      </c>
      <c r="G312">
        <v>-394.5163</v>
      </c>
      <c r="H312">
        <v>0.95695609999999998</v>
      </c>
      <c r="I312">
        <v>367.93799999999999</v>
      </c>
      <c r="J312">
        <v>-394.8159</v>
      </c>
      <c r="K312">
        <v>1.089604</v>
      </c>
      <c r="L312">
        <v>368.04649999999998</v>
      </c>
      <c r="M312">
        <v>0.99986920000000001</v>
      </c>
      <c r="N312">
        <v>0</v>
      </c>
      <c r="O312">
        <v>1.5765789999999998E-2</v>
      </c>
      <c r="P312">
        <v>0.99565709999999996</v>
      </c>
      <c r="Q312">
        <v>1.3662280000000001E-2</v>
      </c>
      <c r="R312">
        <v>-9.2089840000000006E-2</v>
      </c>
      <c r="S312">
        <v>2.9820859999999998</v>
      </c>
      <c r="T312">
        <v>-0.52770609999999996</v>
      </c>
      <c r="U312">
        <v>-0.41174319999999998</v>
      </c>
      <c r="V312">
        <v>0.10776040000000001</v>
      </c>
      <c r="W312">
        <v>1.738396E-2</v>
      </c>
      <c r="X312">
        <v>0.99402489999999999</v>
      </c>
      <c r="Y312">
        <v>0.1498487</v>
      </c>
      <c r="Z312">
        <v>-1.5851899999999999E-2</v>
      </c>
      <c r="AA312">
        <v>0.98858179999999996</v>
      </c>
      <c r="AB312">
        <v>45</v>
      </c>
      <c r="AC312">
        <v>0.29959999999999798</v>
      </c>
      <c r="AD312">
        <v>-0.13264790000000001</v>
      </c>
      <c r="AE312">
        <v>-0.108499999999935</v>
      </c>
      <c r="AF312">
        <v>9.6488598215908994E-2</v>
      </c>
      <c r="AG312">
        <v>-0.13264790000000001</v>
      </c>
      <c r="AH312">
        <v>0.25385870345484501</v>
      </c>
      <c r="AI312">
        <v>116.032500035837</v>
      </c>
      <c r="AJ312">
        <v>69.188812885641894</v>
      </c>
      <c r="AK312">
        <v>0.302241222006291</v>
      </c>
      <c r="AL312">
        <v>89.003922290854405</v>
      </c>
      <c r="AM312">
        <v>83.812832940499803</v>
      </c>
      <c r="AN312">
        <v>1.0000000038467201</v>
      </c>
    </row>
    <row r="313" spans="1:40" x14ac:dyDescent="0.25">
      <c r="A313" t="str">
        <f>"20190312161230410"</f>
        <v>20190312161230410</v>
      </c>
      <c r="B313" t="str">
        <f>"1552378350405775"</f>
        <v>1552378350405775</v>
      </c>
      <c r="C313" t="s">
        <v>40</v>
      </c>
      <c r="D313">
        <v>4.9621839999999997</v>
      </c>
      <c r="E313">
        <v>0.48566920000000002</v>
      </c>
      <c r="F313" t="s">
        <v>43</v>
      </c>
      <c r="G313">
        <v>-393.68900000000002</v>
      </c>
      <c r="H313">
        <v>1.021655</v>
      </c>
      <c r="I313">
        <v>367.96030000000002</v>
      </c>
      <c r="J313">
        <v>-394.37020000000001</v>
      </c>
      <c r="K313">
        <v>1.0923499999999999</v>
      </c>
      <c r="L313">
        <v>368.05369999999999</v>
      </c>
      <c r="M313">
        <v>0.99986229999999998</v>
      </c>
      <c r="N313">
        <v>0</v>
      </c>
      <c r="O313">
        <v>1.5999799999999901E-2</v>
      </c>
      <c r="P313">
        <v>0.99564920000000001</v>
      </c>
      <c r="Q313">
        <v>1.275107E-2</v>
      </c>
      <c r="R313">
        <v>-9.2308189999999998E-2</v>
      </c>
      <c r="S313">
        <v>2.9945680000000001</v>
      </c>
      <c r="T313">
        <v>-0.18089930000000001</v>
      </c>
      <c r="U313">
        <v>-0.2274475</v>
      </c>
      <c r="V313">
        <v>0.10821160000000001</v>
      </c>
      <c r="W313">
        <v>1.7250939999999999E-2</v>
      </c>
      <c r="X313">
        <v>0.99397820000000003</v>
      </c>
      <c r="Y313">
        <v>9.1484670000000004E-2</v>
      </c>
      <c r="Z313">
        <v>-3.7211729999999999E-3</v>
      </c>
      <c r="AA313">
        <v>0.99579949999999995</v>
      </c>
      <c r="AB313">
        <v>45</v>
      </c>
      <c r="AC313">
        <v>0.68119999999998904</v>
      </c>
      <c r="AD313">
        <v>-7.0694999999999897E-2</v>
      </c>
      <c r="AE313">
        <v>-9.3399999999974101E-2</v>
      </c>
      <c r="AF313">
        <v>0.103196267105783</v>
      </c>
      <c r="AG313">
        <v>-7.0694999999999897E-2</v>
      </c>
      <c r="AH313">
        <v>0.67250893124621103</v>
      </c>
      <c r="AI313">
        <v>95.932035851628996</v>
      </c>
      <c r="AJ313">
        <v>81.276031202878897</v>
      </c>
      <c r="AK313">
        <v>0.68404350386177204</v>
      </c>
      <c r="AL313">
        <v>89.011544918343006</v>
      </c>
      <c r="AM313">
        <v>83.786839420200593</v>
      </c>
      <c r="AN313">
        <v>1.00000000369034</v>
      </c>
    </row>
    <row r="314" spans="1:40" x14ac:dyDescent="0.25">
      <c r="A314" t="str">
        <f>"20190312161230433"</f>
        <v>20190312161230433</v>
      </c>
      <c r="B314" t="str">
        <f>"1552378350426272"</f>
        <v>1552378350426272</v>
      </c>
      <c r="C314" t="s">
        <v>40</v>
      </c>
      <c r="D314">
        <v>4.9203020000000004</v>
      </c>
      <c r="E314">
        <v>0.48331849999999998</v>
      </c>
      <c r="F314" t="s">
        <v>42</v>
      </c>
      <c r="G314">
        <v>-352.64350000000002</v>
      </c>
      <c r="H314" s="1">
        <v>-3.8045370000000001E-6</v>
      </c>
      <c r="I314">
        <v>365.86009999999999</v>
      </c>
      <c r="J314">
        <v>-393.91930000000002</v>
      </c>
      <c r="K314">
        <v>1.094854</v>
      </c>
      <c r="L314">
        <v>368.06110000000001</v>
      </c>
      <c r="M314">
        <v>0.99985429999999997</v>
      </c>
      <c r="N314">
        <v>0</v>
      </c>
      <c r="O314">
        <v>1.6228679999999999E-2</v>
      </c>
      <c r="P314">
        <v>0.99562530000000005</v>
      </c>
      <c r="Q314">
        <v>1.181868E-2</v>
      </c>
      <c r="R314">
        <v>-9.2685959999999998E-2</v>
      </c>
      <c r="S314">
        <v>2.9995419999999999</v>
      </c>
      <c r="T314">
        <v>-7.8524109999999994E-2</v>
      </c>
      <c r="U314">
        <v>-0.157684299999999</v>
      </c>
      <c r="V314">
        <v>0.1088175</v>
      </c>
      <c r="W314">
        <v>1.7184189999999998E-2</v>
      </c>
      <c r="X314">
        <v>0.99391320000000005</v>
      </c>
      <c r="Y314">
        <v>6.8667569999999997E-2</v>
      </c>
      <c r="Z314">
        <v>-1.322557E-3</v>
      </c>
      <c r="AA314">
        <v>0.99763869999999999</v>
      </c>
      <c r="AB314">
        <v>45</v>
      </c>
      <c r="AC314">
        <v>41.275799999999997</v>
      </c>
      <c r="AD314">
        <v>-1.0948578045370001</v>
      </c>
      <c r="AE314">
        <v>-2.2010000000000201</v>
      </c>
      <c r="AF314">
        <v>2.8685586763630302</v>
      </c>
      <c r="AG314">
        <v>-1.0948578045370001</v>
      </c>
      <c r="AH314">
        <v>41.205734203385902</v>
      </c>
      <c r="AI314">
        <v>91.518347545592803</v>
      </c>
      <c r="AJ314">
        <v>86.017749223580196</v>
      </c>
      <c r="AK314">
        <v>41.319969430433702</v>
      </c>
      <c r="AL314">
        <v>89.015369971939705</v>
      </c>
      <c r="AM314">
        <v>83.751919598880804</v>
      </c>
      <c r="AN314">
        <v>0.99999999691322305</v>
      </c>
    </row>
    <row r="315" spans="1:40" x14ac:dyDescent="0.25">
      <c r="A315" t="str">
        <f>"20190312161230455"</f>
        <v>20190312161230455</v>
      </c>
      <c r="B315" t="str">
        <f>"1552378350445795"</f>
        <v>1552378350445795</v>
      </c>
      <c r="C315" t="s">
        <v>40</v>
      </c>
      <c r="D315">
        <v>4.8880019999999904</v>
      </c>
      <c r="E315">
        <v>0.48228260000000001</v>
      </c>
      <c r="F315" t="s">
        <v>41</v>
      </c>
      <c r="G315">
        <v>-296.95420000000001</v>
      </c>
      <c r="H315">
        <v>-0.05</v>
      </c>
      <c r="I315">
        <v>363.47890000000001</v>
      </c>
      <c r="J315">
        <v>-393.46969999999999</v>
      </c>
      <c r="K315">
        <v>1.0970979999999999</v>
      </c>
      <c r="L315">
        <v>368.0686</v>
      </c>
      <c r="M315">
        <v>0.9998454</v>
      </c>
      <c r="N315">
        <v>0</v>
      </c>
      <c r="O315">
        <v>1.64517E-2</v>
      </c>
      <c r="P315">
        <v>0.99559869999999995</v>
      </c>
      <c r="Q315">
        <v>1.089419E-2</v>
      </c>
      <c r="R315">
        <v>-9.3085630000000003E-2</v>
      </c>
      <c r="S315">
        <v>3.0003660000000001</v>
      </c>
      <c r="T315">
        <v>-3.5424949999999997E-2</v>
      </c>
      <c r="U315">
        <v>-0.14178470000000001</v>
      </c>
      <c r="V315">
        <v>0.10943890000000001</v>
      </c>
      <c r="W315">
        <v>1.716703E-2</v>
      </c>
      <c r="X315">
        <v>0.99384530000000004</v>
      </c>
      <c r="Y315">
        <v>6.3624829999999993E-2</v>
      </c>
      <c r="Z315">
        <v>-5.6952680000000005E-4</v>
      </c>
      <c r="AA315">
        <v>0.99797369999999996</v>
      </c>
      <c r="AB315">
        <v>45</v>
      </c>
      <c r="AC315">
        <v>96.515499999999903</v>
      </c>
      <c r="AD315">
        <v>-1.147098</v>
      </c>
      <c r="AE315">
        <v>-4.5896999999999899</v>
      </c>
      <c r="AF315">
        <v>6.1760830053871603</v>
      </c>
      <c r="AG315">
        <v>-1.147098</v>
      </c>
      <c r="AH315">
        <v>96.413339189413904</v>
      </c>
      <c r="AI315">
        <v>90.680262275874</v>
      </c>
      <c r="AJ315">
        <v>86.334732747891493</v>
      </c>
      <c r="AK315">
        <v>96.617761352475995</v>
      </c>
      <c r="AL315">
        <v>89.016353345163694</v>
      </c>
      <c r="AM315">
        <v>83.716098803107997</v>
      </c>
      <c r="AN315">
        <v>1.0000000300421601</v>
      </c>
    </row>
    <row r="316" spans="1:40" x14ac:dyDescent="0.25">
      <c r="A316" t="str">
        <f>"20190312161230477"</f>
        <v>20190312161230477</v>
      </c>
      <c r="B316" t="str">
        <f>"1552378350466287"</f>
        <v>1552378350466287</v>
      </c>
      <c r="C316" t="s">
        <v>40</v>
      </c>
      <c r="D316">
        <v>4.8845130000000001</v>
      </c>
      <c r="E316">
        <v>0.48132550000000002</v>
      </c>
      <c r="F316" t="s">
        <v>42</v>
      </c>
      <c r="G316">
        <v>-261.74770000000001</v>
      </c>
      <c r="H316" s="1">
        <v>-4.852802E-6</v>
      </c>
      <c r="I316">
        <v>362.11680000000001</v>
      </c>
      <c r="J316">
        <v>-393.04050000000001</v>
      </c>
      <c r="K316">
        <v>1.0989850000000001</v>
      </c>
      <c r="L316">
        <v>368.07580000000002</v>
      </c>
      <c r="M316">
        <v>0.99983599999999995</v>
      </c>
      <c r="N316">
        <v>0</v>
      </c>
      <c r="O316">
        <v>1.6659070000000002E-2</v>
      </c>
      <c r="P316">
        <v>0.99554100000000001</v>
      </c>
      <c r="Q316">
        <v>9.5234680000000002E-3</v>
      </c>
      <c r="R316">
        <v>-9.3849429999999998E-2</v>
      </c>
      <c r="S316">
        <v>3.0008240000000002</v>
      </c>
      <c r="T316">
        <v>-2.4993660000000001E-2</v>
      </c>
      <c r="U316">
        <v>-0.1355896</v>
      </c>
      <c r="V316">
        <v>0.1104089</v>
      </c>
      <c r="W316">
        <v>1.6664040000000001E-2</v>
      </c>
      <c r="X316">
        <v>0.99374649999999998</v>
      </c>
      <c r="Y316">
        <v>6.1771600000000003E-2</v>
      </c>
      <c r="Z316">
        <v>-3.9580090000000001E-4</v>
      </c>
      <c r="AA316">
        <v>0.99809020000000004</v>
      </c>
      <c r="AB316">
        <v>45</v>
      </c>
      <c r="AC316">
        <v>131.2928</v>
      </c>
      <c r="AD316">
        <v>-1.0989898528019999</v>
      </c>
      <c r="AE316">
        <v>-5.9589999999999996</v>
      </c>
      <c r="AF316">
        <v>8.1448746316930993</v>
      </c>
      <c r="AG316">
        <v>-1.0989898528019999</v>
      </c>
      <c r="AH316">
        <v>131.166134066713</v>
      </c>
      <c r="AI316">
        <v>90.479124948877498</v>
      </c>
      <c r="AJ316">
        <v>86.446731301785505</v>
      </c>
      <c r="AK316">
        <v>131.423367357063</v>
      </c>
      <c r="AL316">
        <v>89.045176606643395</v>
      </c>
      <c r="AM316">
        <v>83.660228442540202</v>
      </c>
      <c r="AN316">
        <v>0.99999996084528997</v>
      </c>
    </row>
    <row r="317" spans="1:40" x14ac:dyDescent="0.25">
      <c r="A317" t="str">
        <f>"20190312161230500"</f>
        <v>20190312161230500</v>
      </c>
      <c r="B317" t="str">
        <f>"1552378350495568"</f>
        <v>1552378350495568</v>
      </c>
      <c r="C317" t="s">
        <v>40</v>
      </c>
      <c r="D317">
        <v>4.8822619999999999</v>
      </c>
      <c r="E317">
        <v>0.48043190000000002</v>
      </c>
      <c r="F317" t="s">
        <v>42</v>
      </c>
      <c r="G317">
        <v>-242.1172</v>
      </c>
      <c r="H317" s="1">
        <v>-5.1676030000000002E-6</v>
      </c>
      <c r="I317">
        <v>361.51240000000001</v>
      </c>
      <c r="J317">
        <v>-392.58499999999998</v>
      </c>
      <c r="K317">
        <v>1.1007370000000001</v>
      </c>
      <c r="L317">
        <v>368.08350000000002</v>
      </c>
      <c r="M317">
        <v>0.99982579999999999</v>
      </c>
      <c r="N317">
        <v>0</v>
      </c>
      <c r="O317">
        <v>1.6871480000000001E-2</v>
      </c>
      <c r="P317">
        <v>0.99549240000000006</v>
      </c>
      <c r="Q317">
        <v>8.0668679999999996E-3</v>
      </c>
      <c r="R317">
        <v>-9.449987E-2</v>
      </c>
      <c r="S317">
        <v>3.0013429999999999</v>
      </c>
      <c r="T317">
        <v>-2.1855119999999999E-2</v>
      </c>
      <c r="U317">
        <v>-0.13052369999999999</v>
      </c>
      <c r="V317">
        <v>0.1112707</v>
      </c>
      <c r="W317">
        <v>1.6092390000000002E-2</v>
      </c>
      <c r="X317">
        <v>0.99365990000000004</v>
      </c>
      <c r="Y317">
        <v>6.0295219999999997E-2</v>
      </c>
      <c r="Z317">
        <v>-3.4222719999999997E-4</v>
      </c>
      <c r="AA317">
        <v>0.99818050000000003</v>
      </c>
      <c r="AB317">
        <v>45</v>
      </c>
      <c r="AC317">
        <v>150.46779999999899</v>
      </c>
      <c r="AD317">
        <v>-1.100742167603</v>
      </c>
      <c r="AE317">
        <v>-6.5711000000000004</v>
      </c>
      <c r="AF317">
        <v>9.1083735021377592</v>
      </c>
      <c r="AG317">
        <v>-1.100742167603</v>
      </c>
      <c r="AH317">
        <v>150.327484684929</v>
      </c>
      <c r="AI317">
        <v>90.418761153039497</v>
      </c>
      <c r="AJ317">
        <v>86.532675729293103</v>
      </c>
      <c r="AK317">
        <v>150.60719356282999</v>
      </c>
      <c r="AL317">
        <v>89.077934230867697</v>
      </c>
      <c r="AM317">
        <v>83.610598571512398</v>
      </c>
      <c r="AN317">
        <v>1.0000000652812</v>
      </c>
    </row>
    <row r="318" spans="1:40" x14ac:dyDescent="0.25">
      <c r="A318" t="str">
        <f>"20190312161230522"</f>
        <v>20190312161230522</v>
      </c>
      <c r="B318" t="str">
        <f>"1552378350516063"</f>
        <v>1552378350516063</v>
      </c>
      <c r="C318" t="s">
        <v>40</v>
      </c>
      <c r="D318">
        <v>4.8622120000000004</v>
      </c>
      <c r="E318">
        <v>0.47986649999999997</v>
      </c>
      <c r="F318" t="s">
        <v>41</v>
      </c>
      <c r="G318">
        <v>-289.2056</v>
      </c>
      <c r="H318">
        <v>-0.05</v>
      </c>
      <c r="I318">
        <v>363.7747</v>
      </c>
      <c r="J318">
        <v>-392.13830000000002</v>
      </c>
      <c r="K318">
        <v>1.102214</v>
      </c>
      <c r="L318">
        <v>368.09120000000001</v>
      </c>
      <c r="M318">
        <v>0.99981560000000003</v>
      </c>
      <c r="N318">
        <v>0</v>
      </c>
      <c r="O318">
        <v>1.7068369999999999E-2</v>
      </c>
      <c r="P318">
        <v>0.9954731</v>
      </c>
      <c r="Q318">
        <v>7.4060840000000003E-3</v>
      </c>
      <c r="R318">
        <v>-9.4755370000000005E-2</v>
      </c>
      <c r="S318">
        <v>3.0019840000000002</v>
      </c>
      <c r="T318">
        <v>-3.3415680000000003E-2</v>
      </c>
      <c r="U318">
        <v>-0.12512210000000001</v>
      </c>
      <c r="V318">
        <v>0.1117223</v>
      </c>
      <c r="W318">
        <v>1.6240660000000001E-2</v>
      </c>
      <c r="X318">
        <v>0.99360669999999995</v>
      </c>
      <c r="Y318">
        <v>5.8687120000000002E-2</v>
      </c>
      <c r="Z318">
        <v>-5.1639760000000002E-4</v>
      </c>
      <c r="AA318">
        <v>0.99827630000000001</v>
      </c>
      <c r="AB318">
        <v>44</v>
      </c>
      <c r="AC318">
        <v>102.9327</v>
      </c>
      <c r="AD318">
        <v>-1.1522139999999901</v>
      </c>
      <c r="AE318">
        <v>-4.3165000000000102</v>
      </c>
      <c r="AF318">
        <v>6.0720730708408697</v>
      </c>
      <c r="AG318">
        <v>-1.1522139999999901</v>
      </c>
      <c r="AH318">
        <v>102.831163243703</v>
      </c>
      <c r="AI318">
        <v>90.640851039185193</v>
      </c>
      <c r="AJ318">
        <v>86.620667921071401</v>
      </c>
      <c r="AK318">
        <v>103.016725838732</v>
      </c>
      <c r="AL318">
        <v>89.069437771163194</v>
      </c>
      <c r="AM318">
        <v>83.584541867312296</v>
      </c>
      <c r="AN318">
        <v>0.999999952819706</v>
      </c>
    </row>
    <row r="319" spans="1:40" x14ac:dyDescent="0.25">
      <c r="A319" t="str">
        <f>"20190312161230546"</f>
        <v>20190312161230546</v>
      </c>
      <c r="B319" t="str">
        <f>"1552378350535583"</f>
        <v>1552378350535583</v>
      </c>
      <c r="C319" t="s">
        <v>40</v>
      </c>
      <c r="D319">
        <v>4.8489230000000001</v>
      </c>
      <c r="E319">
        <v>0.47953119999999999</v>
      </c>
      <c r="F319" t="s">
        <v>41</v>
      </c>
      <c r="G319">
        <v>-290.85509999999999</v>
      </c>
      <c r="H319">
        <v>-0.05</v>
      </c>
      <c r="I319">
        <v>363.9907</v>
      </c>
      <c r="J319">
        <v>-391.68599999999998</v>
      </c>
      <c r="K319">
        <v>1.10349599999999</v>
      </c>
      <c r="L319">
        <v>368.0992</v>
      </c>
      <c r="M319">
        <v>0.99980539999999996</v>
      </c>
      <c r="N319">
        <v>0</v>
      </c>
      <c r="O319">
        <v>1.7252719999999999E-2</v>
      </c>
      <c r="P319">
        <v>0.99551029999999996</v>
      </c>
      <c r="Q319">
        <v>7.1704819999999997E-3</v>
      </c>
      <c r="R319">
        <v>-9.4381320000000005E-2</v>
      </c>
      <c r="S319">
        <v>3.0022890000000002</v>
      </c>
      <c r="T319">
        <v>-3.4154530000000002E-2</v>
      </c>
      <c r="U319">
        <v>-0.12155150000000001</v>
      </c>
      <c r="V319">
        <v>0.1115328</v>
      </c>
      <c r="W319">
        <v>1.6757009999999999E-2</v>
      </c>
      <c r="X319">
        <v>0.99361940000000004</v>
      </c>
      <c r="Y319">
        <v>5.7681660000000003E-2</v>
      </c>
      <c r="Z319">
        <v>-5.2415510000000003E-4</v>
      </c>
      <c r="AA319">
        <v>0.99833490000000003</v>
      </c>
      <c r="AB319">
        <v>44</v>
      </c>
      <c r="AC319">
        <v>100.8309</v>
      </c>
      <c r="AD319">
        <v>-1.1534960000000001</v>
      </c>
      <c r="AE319">
        <v>-4.1084999999999896</v>
      </c>
      <c r="AF319">
        <v>5.8468114081926599</v>
      </c>
      <c r="AG319">
        <v>-1.1534960000000001</v>
      </c>
      <c r="AH319">
        <v>100.731843916462</v>
      </c>
      <c r="AI319">
        <v>90.654971914764204</v>
      </c>
      <c r="AJ319">
        <v>86.678089494894095</v>
      </c>
      <c r="AK319">
        <v>100.90797855212099</v>
      </c>
      <c r="AL319">
        <v>89.039849051467797</v>
      </c>
      <c r="AM319">
        <v>83.595414258974699</v>
      </c>
      <c r="AN319">
        <v>0.99999993745816795</v>
      </c>
    </row>
    <row r="320" spans="1:40" x14ac:dyDescent="0.25">
      <c r="A320" t="str">
        <f>"20190312161230569"</f>
        <v>20190312161230569</v>
      </c>
      <c r="B320" t="str">
        <f>"1552378350565839"</f>
        <v>1552378350565839</v>
      </c>
      <c r="C320" t="s">
        <v>40</v>
      </c>
      <c r="D320">
        <v>4.847067</v>
      </c>
      <c r="E320">
        <v>0.47932770000000002</v>
      </c>
      <c r="F320" t="s">
        <v>41</v>
      </c>
      <c r="G320">
        <v>-301.53980000000001</v>
      </c>
      <c r="H320">
        <v>-0.05</v>
      </c>
      <c r="I320">
        <v>364.56540000000001</v>
      </c>
      <c r="J320">
        <v>-391.23430000000002</v>
      </c>
      <c r="K320">
        <v>1.1045780000000001</v>
      </c>
      <c r="L320">
        <v>368.1071</v>
      </c>
      <c r="M320">
        <v>0.99979560000000001</v>
      </c>
      <c r="N320">
        <v>0</v>
      </c>
      <c r="O320">
        <v>1.7416959999999999E-2</v>
      </c>
      <c r="P320">
        <v>0.99556500000000003</v>
      </c>
      <c r="Q320">
        <v>6.6193569999999898E-3</v>
      </c>
      <c r="R320">
        <v>-9.3845319999999996E-2</v>
      </c>
      <c r="S320">
        <v>3.0026860000000002</v>
      </c>
      <c r="T320">
        <v>-3.8421869999999997E-2</v>
      </c>
      <c r="U320">
        <v>-0.1177063</v>
      </c>
      <c r="V320">
        <v>0.11116180000000001</v>
      </c>
      <c r="W320">
        <v>1.6886209999999999E-2</v>
      </c>
      <c r="X320">
        <v>0.99365879999999995</v>
      </c>
      <c r="Y320">
        <v>5.656278E-2</v>
      </c>
      <c r="Z320">
        <v>-5.845224E-4</v>
      </c>
      <c r="AA320">
        <v>0.99839889999999998</v>
      </c>
      <c r="AB320">
        <v>44</v>
      </c>
      <c r="AC320">
        <v>89.694500000000005</v>
      </c>
      <c r="AD320">
        <v>-1.1545780000000001</v>
      </c>
      <c r="AE320">
        <v>-3.5416999999999899</v>
      </c>
      <c r="AF320">
        <v>5.1026064029609204</v>
      </c>
      <c r="AG320">
        <v>-1.1545780000000001</v>
      </c>
      <c r="AH320">
        <v>89.604380126144306</v>
      </c>
      <c r="AI320">
        <v>90.737037660994702</v>
      </c>
      <c r="AJ320">
        <v>86.7407575259179</v>
      </c>
      <c r="AK320">
        <v>89.756975106407197</v>
      </c>
      <c r="AL320">
        <v>89.0324454011852</v>
      </c>
      <c r="AM320">
        <v>83.616793195097301</v>
      </c>
      <c r="AN320">
        <v>0.99999995034241995</v>
      </c>
    </row>
    <row r="321" spans="1:40" x14ac:dyDescent="0.25">
      <c r="A321" t="str">
        <f>"20190312161230589"</f>
        <v>20190312161230589</v>
      </c>
      <c r="B321" t="str">
        <f>"1552378350586335"</f>
        <v>1552378350586335</v>
      </c>
      <c r="C321" t="s">
        <v>40</v>
      </c>
      <c r="D321">
        <v>4.857704</v>
      </c>
      <c r="E321">
        <v>0.47922340000000002</v>
      </c>
      <c r="F321" t="s">
        <v>41</v>
      </c>
      <c r="G321">
        <v>-313.6497</v>
      </c>
      <c r="H321">
        <v>-0.05</v>
      </c>
      <c r="I321">
        <v>365.15339999999998</v>
      </c>
      <c r="J321">
        <v>-390.82400000000001</v>
      </c>
      <c r="K321">
        <v>1.105402</v>
      </c>
      <c r="L321">
        <v>368.11430000000001</v>
      </c>
      <c r="M321">
        <v>0.99978739999999999</v>
      </c>
      <c r="N321">
        <v>0</v>
      </c>
      <c r="O321">
        <v>1.7545749999999999E-2</v>
      </c>
      <c r="P321">
        <v>0.99554620000000005</v>
      </c>
      <c r="Q321">
        <v>5.6629030000000004E-3</v>
      </c>
      <c r="R321">
        <v>-9.4105590000000003E-2</v>
      </c>
      <c r="S321">
        <v>3.0028990000000002</v>
      </c>
      <c r="T321">
        <v>-4.4687749999999998E-2</v>
      </c>
      <c r="U321">
        <v>-0.1143188</v>
      </c>
      <c r="V321">
        <v>0.1115512</v>
      </c>
      <c r="W321">
        <v>1.6484769999999999E-2</v>
      </c>
      <c r="X321">
        <v>0.99362189999999995</v>
      </c>
      <c r="Y321">
        <v>5.5562069999999998E-2</v>
      </c>
      <c r="Z321">
        <v>-6.7427769999999995E-4</v>
      </c>
      <c r="AA321">
        <v>0.99845499999999998</v>
      </c>
      <c r="AB321">
        <v>44</v>
      </c>
      <c r="AC321">
        <v>77.174300000000002</v>
      </c>
      <c r="AD321">
        <v>-1.155402</v>
      </c>
      <c r="AE321">
        <v>-2.9609000000000298</v>
      </c>
      <c r="AF321">
        <v>4.3136391077898102</v>
      </c>
      <c r="AG321">
        <v>-1.155402</v>
      </c>
      <c r="AH321">
        <v>77.093209917932398</v>
      </c>
      <c r="AI321">
        <v>90.857291316323895</v>
      </c>
      <c r="AJ321">
        <v>86.797436898835798</v>
      </c>
      <c r="AK321">
        <v>77.222441372856494</v>
      </c>
      <c r="AL321">
        <v>89.055449421399601</v>
      </c>
      <c r="AM321">
        <v>83.594382434045102</v>
      </c>
      <c r="AN321">
        <v>0.99999994901150002</v>
      </c>
    </row>
    <row r="322" spans="1:40" x14ac:dyDescent="0.25">
      <c r="A322" t="str">
        <f>"20190312161230623"</f>
        <v>20190312161230623</v>
      </c>
      <c r="B322" t="str">
        <f>"1552378350615615"</f>
        <v>1552378350615615</v>
      </c>
      <c r="C322" t="s">
        <v>40</v>
      </c>
      <c r="D322">
        <v>4.8896059999999997</v>
      </c>
      <c r="E322">
        <v>0.4791339</v>
      </c>
      <c r="F322" t="s">
        <v>42</v>
      </c>
      <c r="G322">
        <v>-322.6123</v>
      </c>
      <c r="H322" s="1">
        <v>-3.876843E-6</v>
      </c>
      <c r="I322">
        <v>365.52789999999999</v>
      </c>
      <c r="J322">
        <v>-390.14879999999999</v>
      </c>
      <c r="K322">
        <v>1.1064889999999901</v>
      </c>
      <c r="L322">
        <v>368.12630000000001</v>
      </c>
      <c r="M322">
        <v>0.99977519999999998</v>
      </c>
      <c r="N322">
        <v>0</v>
      </c>
      <c r="O322">
        <v>1.772025E-2</v>
      </c>
      <c r="P322">
        <v>0.99549960000000004</v>
      </c>
      <c r="Q322">
        <v>5.0128029999999997E-3</v>
      </c>
      <c r="R322">
        <v>-9.4634209999999996E-2</v>
      </c>
      <c r="S322">
        <v>3.0028990000000002</v>
      </c>
      <c r="T322">
        <v>-4.8663499999999998E-2</v>
      </c>
      <c r="U322">
        <v>-0.11386110000000001</v>
      </c>
      <c r="V322">
        <v>0.11225400000000001</v>
      </c>
      <c r="W322">
        <v>1.6631139999999999E-2</v>
      </c>
      <c r="X322">
        <v>0.99354030000000004</v>
      </c>
      <c r="Y322">
        <v>5.5582989999999999E-2</v>
      </c>
      <c r="Z322">
        <v>-7.372597E-4</v>
      </c>
      <c r="AA322">
        <v>0.99845379999999995</v>
      </c>
      <c r="AB322">
        <v>44</v>
      </c>
      <c r="AC322">
        <v>67.536499999999904</v>
      </c>
      <c r="AD322">
        <v>-1.10649287684299</v>
      </c>
      <c r="AE322">
        <v>-2.5984000000000198</v>
      </c>
      <c r="AF322">
        <v>3.7938198884744798</v>
      </c>
      <c r="AG322">
        <v>-1.10649287684299</v>
      </c>
      <c r="AH322">
        <v>67.461765294090696</v>
      </c>
      <c r="AI322">
        <v>90.938186285504898</v>
      </c>
      <c r="AJ322">
        <v>86.781270802570802</v>
      </c>
      <c r="AK322">
        <v>67.577416141989801</v>
      </c>
      <c r="AL322">
        <v>89.047061880719397</v>
      </c>
      <c r="AM322">
        <v>83.553839127251905</v>
      </c>
      <c r="AN322">
        <v>0.99999994152889304</v>
      </c>
    </row>
    <row r="323" spans="1:40" x14ac:dyDescent="0.25">
      <c r="A323" t="str">
        <f>"20190312161230645"</f>
        <v>20190312161230645</v>
      </c>
      <c r="B323" t="str">
        <f>"1552378350636112"</f>
        <v>1552378350636112</v>
      </c>
      <c r="C323" t="s">
        <v>40</v>
      </c>
      <c r="D323">
        <v>4.9213699999999996</v>
      </c>
      <c r="E323">
        <v>0.47920950000000001</v>
      </c>
      <c r="F323" t="s">
        <v>42</v>
      </c>
      <c r="G323">
        <v>-326.8571</v>
      </c>
      <c r="H323" s="1">
        <v>-2.0955990000000001E-6</v>
      </c>
      <c r="I323">
        <v>365.70780000000002</v>
      </c>
      <c r="J323">
        <v>-389.70209999999997</v>
      </c>
      <c r="K323">
        <v>1.107075</v>
      </c>
      <c r="L323">
        <v>368.13440000000003</v>
      </c>
      <c r="M323">
        <v>0.99976799999999999</v>
      </c>
      <c r="N323">
        <v>0</v>
      </c>
      <c r="O323">
        <v>1.7812890000000001E-2</v>
      </c>
      <c r="P323">
        <v>0.9954577</v>
      </c>
      <c r="Q323">
        <v>4.8061029999999999E-3</v>
      </c>
      <c r="R323">
        <v>-9.5085820000000001E-2</v>
      </c>
      <c r="S323">
        <v>3.0029300000000001</v>
      </c>
      <c r="T323">
        <v>-5.2498339999999998E-2</v>
      </c>
      <c r="U323">
        <v>-0.1147461</v>
      </c>
      <c r="V323">
        <v>0.1127978</v>
      </c>
      <c r="W323">
        <v>1.6883349999999998E-2</v>
      </c>
      <c r="X323">
        <v>0.99347450000000004</v>
      </c>
      <c r="Y323">
        <v>5.5967410000000002E-2</v>
      </c>
      <c r="Z323">
        <v>-8.0031709999999997E-4</v>
      </c>
      <c r="AA323">
        <v>0.99843230000000005</v>
      </c>
      <c r="AB323">
        <v>44</v>
      </c>
      <c r="AC323">
        <v>62.844999999999899</v>
      </c>
      <c r="AD323">
        <v>-1.1070770955989999</v>
      </c>
      <c r="AE323">
        <v>-2.4266000000000001</v>
      </c>
      <c r="AF323">
        <v>3.54464974770289</v>
      </c>
      <c r="AG323">
        <v>-1.1070770955989999</v>
      </c>
      <c r="AH323">
        <v>62.772348770621001</v>
      </c>
      <c r="AI323">
        <v>91.008778762159693</v>
      </c>
      <c r="AJ323">
        <v>86.768035285484103</v>
      </c>
      <c r="AK323">
        <v>62.882095478045102</v>
      </c>
      <c r="AL323">
        <v>89.032609325633899</v>
      </c>
      <c r="AM323">
        <v>83.522450927232597</v>
      </c>
      <c r="AN323">
        <v>0.99999998667115597</v>
      </c>
    </row>
    <row r="324" spans="1:40" x14ac:dyDescent="0.25">
      <c r="A324" t="str">
        <f>"20190312161230669"</f>
        <v>20190312161230669</v>
      </c>
      <c r="B324" t="str">
        <f>"1552378350666367"</f>
        <v>1552378350666367</v>
      </c>
      <c r="C324" t="s">
        <v>40</v>
      </c>
      <c r="D324">
        <v>4.9475499999999997</v>
      </c>
      <c r="E324">
        <v>0.47940859999999902</v>
      </c>
      <c r="F324" t="s">
        <v>42</v>
      </c>
      <c r="G324">
        <v>-327.52409999999998</v>
      </c>
      <c r="H324" s="1">
        <v>-1.866259E-6</v>
      </c>
      <c r="I324">
        <v>365.71660000000003</v>
      </c>
      <c r="J324">
        <v>-389.25630000000001</v>
      </c>
      <c r="K324">
        <v>1.1075699999999999</v>
      </c>
      <c r="L324">
        <v>368.14240000000001</v>
      </c>
      <c r="M324">
        <v>0.99976149999999997</v>
      </c>
      <c r="N324">
        <v>0</v>
      </c>
      <c r="O324">
        <v>1.7888959999999999E-2</v>
      </c>
      <c r="P324">
        <v>0.99547280000000005</v>
      </c>
      <c r="Q324">
        <v>4.8982690000000002E-3</v>
      </c>
      <c r="R324">
        <v>-9.4921480000000003E-2</v>
      </c>
      <c r="S324">
        <v>3.0028380000000001</v>
      </c>
      <c r="T324">
        <v>-5.3465369999999998E-2</v>
      </c>
      <c r="U324">
        <v>-0.1167603</v>
      </c>
      <c r="V324">
        <v>0.11271009999999999</v>
      </c>
      <c r="W324">
        <v>1.7381569999999999E-2</v>
      </c>
      <c r="X324">
        <v>0.99347589999999997</v>
      </c>
      <c r="Y324">
        <v>5.6712779999999997E-2</v>
      </c>
      <c r="Z324">
        <v>-8.2306000000000002E-4</v>
      </c>
      <c r="AA324">
        <v>0.99839020000000001</v>
      </c>
      <c r="AB324">
        <v>44</v>
      </c>
      <c r="AC324">
        <v>61.732199999999999</v>
      </c>
      <c r="AD324">
        <v>-1.1075718662589999</v>
      </c>
      <c r="AE324">
        <v>-2.4257999999999802</v>
      </c>
      <c r="AF324">
        <v>3.5286891464683801</v>
      </c>
      <c r="AG324">
        <v>-1.1075718662589999</v>
      </c>
      <c r="AH324">
        <v>61.6591041681109</v>
      </c>
      <c r="AI324">
        <v>91.027402826970302</v>
      </c>
      <c r="AJ324">
        <v>86.724592288871804</v>
      </c>
      <c r="AK324">
        <v>61.7699238249917</v>
      </c>
      <c r="AL324">
        <v>89.004059269279793</v>
      </c>
      <c r="AM324">
        <v>83.527453494095596</v>
      </c>
      <c r="AN324">
        <v>1.00000002474924</v>
      </c>
    </row>
    <row r="325" spans="1:40" x14ac:dyDescent="0.25">
      <c r="A325" t="str">
        <f>"20190312161230689"</f>
        <v>20190312161230689</v>
      </c>
      <c r="B325" t="str">
        <f>"1552378350685887"</f>
        <v>1552378350685887</v>
      </c>
      <c r="C325" t="s">
        <v>40</v>
      </c>
      <c r="D325">
        <v>4.9605600000000001</v>
      </c>
      <c r="E325">
        <v>0.47940450000000001</v>
      </c>
      <c r="F325" t="s">
        <v>42</v>
      </c>
      <c r="G325">
        <v>-327.90280000000001</v>
      </c>
      <c r="H325" s="1">
        <v>-1.731559E-6</v>
      </c>
      <c r="I325">
        <v>365.73849999999999</v>
      </c>
      <c r="J325">
        <v>-388.83870000000002</v>
      </c>
      <c r="K325">
        <v>1.1079559999999999</v>
      </c>
      <c r="L325">
        <v>368.1499</v>
      </c>
      <c r="M325">
        <v>0.99975619999999998</v>
      </c>
      <c r="N325">
        <v>0</v>
      </c>
      <c r="O325">
        <v>1.7947640000000001E-2</v>
      </c>
      <c r="P325">
        <v>0.99545459999999997</v>
      </c>
      <c r="Q325">
        <v>5.2046530000000001E-3</v>
      </c>
      <c r="R325">
        <v>-9.5096680000000003E-2</v>
      </c>
      <c r="S325">
        <v>3.0027159999999999</v>
      </c>
      <c r="T325">
        <v>-5.420589E-2</v>
      </c>
      <c r="U325">
        <v>-0.11764529999999999</v>
      </c>
      <c r="V325">
        <v>0.112944</v>
      </c>
      <c r="W325">
        <v>1.8023290000000001E-2</v>
      </c>
      <c r="X325">
        <v>0.99343789999999998</v>
      </c>
      <c r="Y325">
        <v>5.7066430000000001E-2</v>
      </c>
      <c r="Z325">
        <v>-8.3873789999999997E-4</v>
      </c>
      <c r="AA325">
        <v>0.99837010000000004</v>
      </c>
      <c r="AB325">
        <v>44</v>
      </c>
      <c r="AC325">
        <v>60.935899999999997</v>
      </c>
      <c r="AD325">
        <v>-1.1079577315589999</v>
      </c>
      <c r="AE325">
        <v>-2.4114000000000102</v>
      </c>
      <c r="AF325">
        <v>3.5036011206216302</v>
      </c>
      <c r="AG325">
        <v>-1.1079577315589999</v>
      </c>
      <c r="AH325">
        <v>60.862711181358002</v>
      </c>
      <c r="AI325">
        <v>91.041186019439394</v>
      </c>
      <c r="AJ325">
        <v>86.705367639525306</v>
      </c>
      <c r="AK325">
        <v>60.973538551512199</v>
      </c>
      <c r="AL325">
        <v>88.967285658345503</v>
      </c>
      <c r="AM325">
        <v>83.513889795580596</v>
      </c>
      <c r="AN325">
        <v>1.00000002363741</v>
      </c>
    </row>
    <row r="326" spans="1:40" x14ac:dyDescent="0.25">
      <c r="A326" t="str">
        <f>"20190312161230713"</f>
        <v>20190312161230713</v>
      </c>
      <c r="B326" t="str">
        <f>"1552378350706384"</f>
        <v>1552378350706384</v>
      </c>
      <c r="C326" t="s">
        <v>40</v>
      </c>
      <c r="D326">
        <v>5.010764</v>
      </c>
      <c r="E326">
        <v>0.4794947</v>
      </c>
      <c r="F326" t="s">
        <v>42</v>
      </c>
      <c r="G326">
        <v>-325.26229999999998</v>
      </c>
      <c r="H326" s="1">
        <v>-2.7198880000000001E-6</v>
      </c>
      <c r="I326">
        <v>365.64139999999998</v>
      </c>
      <c r="J326">
        <v>-388.38060000000002</v>
      </c>
      <c r="K326">
        <v>1.1083050000000001</v>
      </c>
      <c r="L326">
        <v>368.15820000000002</v>
      </c>
      <c r="M326">
        <v>0.99975080000000005</v>
      </c>
      <c r="N326">
        <v>0</v>
      </c>
      <c r="O326">
        <v>1.8003599999999901E-2</v>
      </c>
      <c r="P326">
        <v>0.99550019999999995</v>
      </c>
      <c r="Q326">
        <v>6.012412E-3</v>
      </c>
      <c r="R326">
        <v>-9.4570000000000001E-2</v>
      </c>
      <c r="S326">
        <v>3.0025940000000002</v>
      </c>
      <c r="T326">
        <v>-5.23268E-2</v>
      </c>
      <c r="U326">
        <v>-0.1184692</v>
      </c>
      <c r="V326">
        <v>0.1124742</v>
      </c>
      <c r="W326">
        <v>1.915654E-2</v>
      </c>
      <c r="X326">
        <v>0.99346999999999996</v>
      </c>
      <c r="Y326">
        <v>5.7398299999999999E-2</v>
      </c>
      <c r="Z326">
        <v>-8.1356229999999998E-4</v>
      </c>
      <c r="AA326">
        <v>0.99835099999999999</v>
      </c>
      <c r="AB326">
        <v>44</v>
      </c>
      <c r="AC326">
        <v>63.118299999999998</v>
      </c>
      <c r="AD326">
        <v>-1.10830771988799</v>
      </c>
      <c r="AE326">
        <v>-2.5168000000000399</v>
      </c>
      <c r="AF326">
        <v>3.6517234974215298</v>
      </c>
      <c r="AG326">
        <v>-1.10830771988799</v>
      </c>
      <c r="AH326">
        <v>63.0433456801617</v>
      </c>
      <c r="AI326">
        <v>91.005476214619506</v>
      </c>
      <c r="AJ326">
        <v>86.684902876308897</v>
      </c>
      <c r="AK326">
        <v>63.158743377714103</v>
      </c>
      <c r="AL326">
        <v>88.9023439986277</v>
      </c>
      <c r="AM326">
        <v>83.540847767564003</v>
      </c>
      <c r="AN326">
        <v>1.0000000297952001</v>
      </c>
    </row>
    <row r="327" spans="1:40" x14ac:dyDescent="0.25">
      <c r="A327" t="str">
        <f>"20190312161230736"</f>
        <v>20190312161230736</v>
      </c>
      <c r="B327" t="str">
        <f>"1552378350725903"</f>
        <v>1552378350725903</v>
      </c>
      <c r="C327" t="s">
        <v>40</v>
      </c>
      <c r="D327">
        <v>5.079167</v>
      </c>
      <c r="E327">
        <v>0.47957470000000002</v>
      </c>
      <c r="F327" t="s">
        <v>42</v>
      </c>
      <c r="G327">
        <v>-323.69909999999999</v>
      </c>
      <c r="H327" s="1">
        <v>-3.392082E-6</v>
      </c>
      <c r="I327">
        <v>365.63240000000002</v>
      </c>
      <c r="J327">
        <v>-387.94139999999999</v>
      </c>
      <c r="K327">
        <v>1.1085830000000001</v>
      </c>
      <c r="L327">
        <v>368.16609999999997</v>
      </c>
      <c r="M327">
        <v>0.99974629999999998</v>
      </c>
      <c r="N327">
        <v>0</v>
      </c>
      <c r="O327">
        <v>1.8051970000000001E-2</v>
      </c>
      <c r="P327">
        <v>0.9954923</v>
      </c>
      <c r="Q327">
        <v>5.848074E-3</v>
      </c>
      <c r="R327">
        <v>-9.4665379999999993E-2</v>
      </c>
      <c r="S327">
        <v>3.0027159999999999</v>
      </c>
      <c r="T327">
        <v>-5.1451089999999998E-2</v>
      </c>
      <c r="U327">
        <v>-0.11724850000000001</v>
      </c>
      <c r="V327">
        <v>0.1126181</v>
      </c>
      <c r="W327">
        <v>1.926715E-2</v>
      </c>
      <c r="X327">
        <v>0.99345150000000004</v>
      </c>
      <c r="Y327">
        <v>5.7040260000000002E-2</v>
      </c>
      <c r="Z327">
        <v>-7.9768619999999999E-4</v>
      </c>
      <c r="AA327">
        <v>0.99837149999999997</v>
      </c>
      <c r="AB327">
        <v>44</v>
      </c>
      <c r="AC327">
        <v>64.2423</v>
      </c>
      <c r="AD327">
        <v>-1.1085863920819901</v>
      </c>
      <c r="AE327">
        <v>-2.5336999999999499</v>
      </c>
      <c r="AF327">
        <v>3.6919946675847601</v>
      </c>
      <c r="AG327">
        <v>-1.1085863920819901</v>
      </c>
      <c r="AH327">
        <v>64.167009346888307</v>
      </c>
      <c r="AI327">
        <v>90.988142614803294</v>
      </c>
      <c r="AJ327">
        <v>86.706987829853404</v>
      </c>
      <c r="AK327">
        <v>64.282695003693206</v>
      </c>
      <c r="AL327">
        <v>88.896005278036498</v>
      </c>
      <c r="AM327">
        <v>83.532534455903303</v>
      </c>
      <c r="AN327">
        <v>0.99999997118449002</v>
      </c>
    </row>
    <row r="328" spans="1:40" x14ac:dyDescent="0.25">
      <c r="A328" t="str">
        <f>"20190312161230758"</f>
        <v>20190312161230758</v>
      </c>
      <c r="B328" t="str">
        <f>"1552378350745423"</f>
        <v>1552378350745423</v>
      </c>
      <c r="C328" t="s">
        <v>40</v>
      </c>
      <c r="D328">
        <v>5.1207789999999997</v>
      </c>
      <c r="E328">
        <v>0.4795198</v>
      </c>
      <c r="F328" t="s">
        <v>42</v>
      </c>
      <c r="G328">
        <v>-324.21080000000001</v>
      </c>
      <c r="H328" s="1">
        <v>-3.167462E-6</v>
      </c>
      <c r="I328">
        <v>365.66129999999998</v>
      </c>
      <c r="J328">
        <v>-387.50619999999998</v>
      </c>
      <c r="K328">
        <v>1.108808</v>
      </c>
      <c r="L328">
        <v>368.17399999999998</v>
      </c>
      <c r="M328">
        <v>0.99974220000000003</v>
      </c>
      <c r="N328">
        <v>0</v>
      </c>
      <c r="O328">
        <v>1.809608E-2</v>
      </c>
      <c r="P328">
        <v>0.99554069999999995</v>
      </c>
      <c r="Q328">
        <v>6.2221849999999999E-3</v>
      </c>
      <c r="R328">
        <v>-9.412951E-2</v>
      </c>
      <c r="S328">
        <v>3.0026549999999999</v>
      </c>
      <c r="T328">
        <v>-5.2230720000000001E-2</v>
      </c>
      <c r="U328">
        <v>-0.11801150000000001</v>
      </c>
      <c r="V328">
        <v>0.1121277</v>
      </c>
      <c r="W328">
        <v>1.9883100000000001E-2</v>
      </c>
      <c r="X328">
        <v>0.99349489999999996</v>
      </c>
      <c r="Y328">
        <v>5.7338050000000002E-2</v>
      </c>
      <c r="Z328">
        <v>-8.1314110000000001E-4</v>
      </c>
      <c r="AA328">
        <v>0.99835450000000003</v>
      </c>
      <c r="AB328">
        <v>44</v>
      </c>
      <c r="AC328">
        <v>63.295399999999901</v>
      </c>
      <c r="AD328">
        <v>-1.108811167462</v>
      </c>
      <c r="AE328">
        <v>-2.5127000000000499</v>
      </c>
      <c r="AF328">
        <v>3.6566744160047699</v>
      </c>
      <c r="AG328">
        <v>-1.108811167462</v>
      </c>
      <c r="AH328">
        <v>63.220188705117998</v>
      </c>
      <c r="AI328">
        <v>91.003124425318006</v>
      </c>
      <c r="AJ328">
        <v>86.689683431069795</v>
      </c>
      <c r="AK328">
        <v>63.3355586531017</v>
      </c>
      <c r="AL328">
        <v>88.860707253179996</v>
      </c>
      <c r="AM328">
        <v>83.560739158922601</v>
      </c>
      <c r="AN328">
        <v>1.00000003754945</v>
      </c>
    </row>
    <row r="329" spans="1:40" x14ac:dyDescent="0.25">
      <c r="A329" t="str">
        <f>"20190312161230780"</f>
        <v>20190312161230780</v>
      </c>
      <c r="B329" t="str">
        <f>"1552378350775679"</f>
        <v>1552378350775679</v>
      </c>
      <c r="C329" t="s">
        <v>40</v>
      </c>
      <c r="D329">
        <v>5.260046</v>
      </c>
      <c r="E329">
        <v>0.49784450000000002</v>
      </c>
      <c r="F329" t="s">
        <v>42</v>
      </c>
      <c r="G329">
        <v>-321.80579999999998</v>
      </c>
      <c r="H329" s="1">
        <v>-4.2036410000000004E-6</v>
      </c>
      <c r="I329">
        <v>365.63600000000002</v>
      </c>
      <c r="J329">
        <v>-387.07990000000001</v>
      </c>
      <c r="K329">
        <v>1.108997</v>
      </c>
      <c r="L329">
        <v>368.18180000000001</v>
      </c>
      <c r="M329">
        <v>0.99973849999999997</v>
      </c>
      <c r="N329">
        <v>0</v>
      </c>
      <c r="O329">
        <v>1.8133369999999999E-2</v>
      </c>
      <c r="P329">
        <v>0.99551730000000005</v>
      </c>
      <c r="Q329">
        <v>6.5832319999999996E-3</v>
      </c>
      <c r="R329">
        <v>-9.4351889999999994E-2</v>
      </c>
      <c r="S329">
        <v>3.0028079999999999</v>
      </c>
      <c r="T329">
        <v>-5.0677779999999999E-2</v>
      </c>
      <c r="U329">
        <v>-0.1159973</v>
      </c>
      <c r="V329">
        <v>0.112387</v>
      </c>
      <c r="W329">
        <v>2.0449950000000001E-2</v>
      </c>
      <c r="X329">
        <v>0.99345399999999995</v>
      </c>
      <c r="Y329">
        <v>5.6705449999999998E-2</v>
      </c>
      <c r="Z329">
        <v>-7.8423199999999897E-4</v>
      </c>
      <c r="AA329">
        <v>0.99839060000000002</v>
      </c>
      <c r="AB329">
        <v>44</v>
      </c>
      <c r="AC329">
        <v>65.274100000000004</v>
      </c>
      <c r="AD329">
        <v>-1.109001203641</v>
      </c>
      <c r="AE329">
        <v>-2.5458000000000398</v>
      </c>
      <c r="AF329">
        <v>3.7280611366423502</v>
      </c>
      <c r="AG329">
        <v>-1.109001203641</v>
      </c>
      <c r="AH329">
        <v>65.198405534874396</v>
      </c>
      <c r="AI329">
        <v>90.972897550294505</v>
      </c>
      <c r="AJ329">
        <v>86.727376593967705</v>
      </c>
      <c r="AK329">
        <v>65.314320082185404</v>
      </c>
      <c r="AL329">
        <v>88.828222425656193</v>
      </c>
      <c r="AM329">
        <v>83.545710134687397</v>
      </c>
      <c r="AN329">
        <v>0.99999994416999904</v>
      </c>
    </row>
    <row r="330" spans="1:40" x14ac:dyDescent="0.25">
      <c r="A330" t="str">
        <f>"20190312161230803"</f>
        <v>20190312161230803</v>
      </c>
      <c r="B330" t="str">
        <f>"1552378350796176"</f>
        <v>1552378350796176</v>
      </c>
      <c r="C330" t="s">
        <v>40</v>
      </c>
      <c r="D330">
        <v>5.193225</v>
      </c>
      <c r="E330">
        <v>0.50343950000000004</v>
      </c>
      <c r="F330" t="s">
        <v>42</v>
      </c>
      <c r="G330">
        <v>-343.23169999999999</v>
      </c>
      <c r="H330" s="1">
        <v>-4.1139529999999997E-6</v>
      </c>
      <c r="I330">
        <v>364.35079999999999</v>
      </c>
      <c r="J330">
        <v>-386.64159999999998</v>
      </c>
      <c r="K330">
        <v>1.1091580000000001</v>
      </c>
      <c r="L330">
        <v>368.18970000000002</v>
      </c>
      <c r="M330">
        <v>0.99973520000000005</v>
      </c>
      <c r="N330">
        <v>0</v>
      </c>
      <c r="O330">
        <v>1.8163350000000002E-2</v>
      </c>
      <c r="P330">
        <v>0.99548360000000002</v>
      </c>
      <c r="Q330">
        <v>6.9518419999999997E-3</v>
      </c>
      <c r="R330">
        <v>-9.4679299999999994E-2</v>
      </c>
      <c r="S330">
        <v>2.989258</v>
      </c>
      <c r="T330">
        <v>-7.5603719999999999E-2</v>
      </c>
      <c r="U330">
        <v>-0.2611694</v>
      </c>
      <c r="V330">
        <v>0.1127441</v>
      </c>
      <c r="W330">
        <v>2.1004390000000001E-2</v>
      </c>
      <c r="X330">
        <v>0.99340200000000001</v>
      </c>
      <c r="Y330">
        <v>0.10508049999999999</v>
      </c>
      <c r="Z330">
        <v>-1.7846559999999999E-3</v>
      </c>
      <c r="AA330">
        <v>0.99446210000000002</v>
      </c>
      <c r="AB330">
        <v>44</v>
      </c>
      <c r="AC330">
        <v>43.409899999999901</v>
      </c>
      <c r="AD330">
        <v>-1.1091621139529999</v>
      </c>
      <c r="AE330">
        <v>-3.8389000000000202</v>
      </c>
      <c r="AF330">
        <v>4.62381926815846</v>
      </c>
      <c r="AG330">
        <v>-1.1091621139529999</v>
      </c>
      <c r="AH330">
        <v>43.304950919351597</v>
      </c>
      <c r="AI330">
        <v>91.458897029435903</v>
      </c>
      <c r="AJ330">
        <v>83.9054221729875</v>
      </c>
      <c r="AK330">
        <v>43.565223738058201</v>
      </c>
      <c r="AL330">
        <v>88.796448562630601</v>
      </c>
      <c r="AM330">
        <v>83.525040017544399</v>
      </c>
      <c r="AN330">
        <v>0.99999997504404003</v>
      </c>
    </row>
    <row r="331" spans="1:40" x14ac:dyDescent="0.25">
      <c r="A331" t="str">
        <f>"20190312161230824"</f>
        <v>20190312161230824</v>
      </c>
      <c r="B331" t="str">
        <f>"1552378350815697"</f>
        <v>1552378350815697</v>
      </c>
      <c r="C331" t="s">
        <v>40</v>
      </c>
      <c r="D331">
        <v>5.2571500000000002</v>
      </c>
      <c r="E331">
        <v>0.50437600000000005</v>
      </c>
      <c r="F331" t="s">
        <v>42</v>
      </c>
      <c r="G331">
        <v>-339.2226</v>
      </c>
      <c r="H331" s="1">
        <v>-1.9273850000000002E-6</v>
      </c>
      <c r="I331">
        <v>363.31450000000001</v>
      </c>
      <c r="J331">
        <v>-386.20749999999998</v>
      </c>
      <c r="K331">
        <v>1.109291</v>
      </c>
      <c r="L331">
        <v>368.1977</v>
      </c>
      <c r="M331">
        <v>0.99973250000000002</v>
      </c>
      <c r="N331">
        <v>0</v>
      </c>
      <c r="O331">
        <v>1.81862E-2</v>
      </c>
      <c r="P331">
        <v>0.99551449999999997</v>
      </c>
      <c r="Q331">
        <v>7.3228290000000003E-3</v>
      </c>
      <c r="R331">
        <v>-9.4326699999999999E-2</v>
      </c>
      <c r="S331">
        <v>2.9849549999999998</v>
      </c>
      <c r="T331">
        <v>-6.9819930000000002E-2</v>
      </c>
      <c r="U331">
        <v>-0.30688480000000001</v>
      </c>
      <c r="V331">
        <v>0.1124154</v>
      </c>
      <c r="W331">
        <v>2.1536420000000001E-2</v>
      </c>
      <c r="X331">
        <v>0.99342790000000003</v>
      </c>
      <c r="Y331">
        <v>0.12030970000000001</v>
      </c>
      <c r="Z331">
        <v>-1.8275050000000001E-3</v>
      </c>
      <c r="AA331">
        <v>0.99273469999999997</v>
      </c>
      <c r="AB331">
        <v>44</v>
      </c>
      <c r="AC331">
        <v>46.984899999999897</v>
      </c>
      <c r="AD331">
        <v>-1.1092929273850001</v>
      </c>
      <c r="AE331">
        <v>-4.88319999999998</v>
      </c>
      <c r="AF331">
        <v>5.7337943501621602</v>
      </c>
      <c r="AG331">
        <v>-1.1092929273850001</v>
      </c>
      <c r="AH331">
        <v>46.862469474549002</v>
      </c>
      <c r="AI331">
        <v>91.345975372737399</v>
      </c>
      <c r="AJ331">
        <v>83.024323757405199</v>
      </c>
      <c r="AK331">
        <v>47.224971929073</v>
      </c>
      <c r="AL331">
        <v>88.765958640438598</v>
      </c>
      <c r="AM331">
        <v>83.543924733001205</v>
      </c>
      <c r="AN331">
        <v>1.0000000160209901</v>
      </c>
    </row>
    <row r="332" spans="1:40" x14ac:dyDescent="0.25">
      <c r="A332" t="str">
        <f>"20190312161230847"</f>
        <v>20190312161230847</v>
      </c>
      <c r="B332" t="str">
        <f>"1552378350836192"</f>
        <v>1552378350836192</v>
      </c>
      <c r="C332" t="s">
        <v>40</v>
      </c>
      <c r="D332">
        <v>5.7314540000000003</v>
      </c>
      <c r="E332">
        <v>0.50442640000000005</v>
      </c>
      <c r="F332" t="s">
        <v>41</v>
      </c>
      <c r="G332">
        <v>-316.4384</v>
      </c>
      <c r="H332">
        <v>-0.05</v>
      </c>
      <c r="I332">
        <v>360.84699999999998</v>
      </c>
      <c r="J332">
        <v>-385.7561</v>
      </c>
      <c r="K332">
        <v>1.109397</v>
      </c>
      <c r="L332">
        <v>368.20589999999999</v>
      </c>
      <c r="M332">
        <v>0.99973009999999995</v>
      </c>
      <c r="N332">
        <v>0</v>
      </c>
      <c r="O332">
        <v>1.8201579999999998E-2</v>
      </c>
      <c r="P332">
        <v>0.99559609999999998</v>
      </c>
      <c r="Q332">
        <v>6.7968610000000004E-3</v>
      </c>
      <c r="R332">
        <v>-9.3503520000000007E-2</v>
      </c>
      <c r="S332">
        <v>2.98407</v>
      </c>
      <c r="T332">
        <v>-4.9583670000000003E-2</v>
      </c>
      <c r="U332">
        <v>-0.31439210000000001</v>
      </c>
      <c r="V332">
        <v>0.1116098</v>
      </c>
      <c r="W332">
        <v>2.11579E-2</v>
      </c>
      <c r="X332">
        <v>0.99352689999999999</v>
      </c>
      <c r="Y332">
        <v>0.1228436</v>
      </c>
      <c r="Z332">
        <v>-1.319382E-3</v>
      </c>
      <c r="AA332">
        <v>0.99242509999999995</v>
      </c>
      <c r="AB332">
        <v>44</v>
      </c>
      <c r="AC332">
        <v>69.317700000000002</v>
      </c>
      <c r="AD332">
        <v>-1.159397</v>
      </c>
      <c r="AE332">
        <v>-7.3589000000000002</v>
      </c>
      <c r="AF332">
        <v>8.6171200156280499</v>
      </c>
      <c r="AG332">
        <v>-1.159397</v>
      </c>
      <c r="AH332">
        <v>69.153126447626505</v>
      </c>
      <c r="AI332">
        <v>90.953140850367902</v>
      </c>
      <c r="AJ332">
        <v>82.897027952602699</v>
      </c>
      <c r="AK332">
        <v>69.697588597086806</v>
      </c>
      <c r="AL332">
        <v>88.7876512262647</v>
      </c>
      <c r="AM332">
        <v>83.590437712876806</v>
      </c>
      <c r="AN332">
        <v>1.00000005260602</v>
      </c>
    </row>
    <row r="333" spans="1:40" x14ac:dyDescent="0.25">
      <c r="A333" t="str">
        <f>"20190312161230870"</f>
        <v>20190312161230870</v>
      </c>
      <c r="B333" t="str">
        <f>"1552378350866447"</f>
        <v>1552378350866447</v>
      </c>
      <c r="C333" t="s">
        <v>40</v>
      </c>
      <c r="D333">
        <v>5.2724089999999997</v>
      </c>
      <c r="E333">
        <v>0.5041485</v>
      </c>
      <c r="F333" t="s">
        <v>41</v>
      </c>
      <c r="G333">
        <v>-287.55970000000002</v>
      </c>
      <c r="H333">
        <v>-0.05</v>
      </c>
      <c r="I333">
        <v>357.8997</v>
      </c>
      <c r="J333">
        <v>-385.3347</v>
      </c>
      <c r="K333">
        <v>1.1094740000000001</v>
      </c>
      <c r="L333">
        <v>368.21359999999999</v>
      </c>
      <c r="M333">
        <v>0.99972850000000002</v>
      </c>
      <c r="N333">
        <v>0</v>
      </c>
      <c r="O333">
        <v>1.8194200000000001E-2</v>
      </c>
      <c r="P333">
        <v>0.99562700000000004</v>
      </c>
      <c r="Q333">
        <v>6.3787180000000002E-3</v>
      </c>
      <c r="R333">
        <v>-9.3201339999999994E-2</v>
      </c>
      <c r="S333">
        <v>2.9841310000000001</v>
      </c>
      <c r="T333">
        <v>-3.5233380000000002E-2</v>
      </c>
      <c r="U333">
        <v>-0.31320189999999998</v>
      </c>
      <c r="V333">
        <v>0.111302</v>
      </c>
      <c r="W333">
        <v>2.085565E-2</v>
      </c>
      <c r="X333">
        <v>0.9935678</v>
      </c>
      <c r="Y333">
        <v>0.1224522</v>
      </c>
      <c r="Z333">
        <v>-9.3517299999999997E-4</v>
      </c>
      <c r="AA333">
        <v>0.99247399999999997</v>
      </c>
      <c r="AB333">
        <v>44</v>
      </c>
      <c r="AC333">
        <v>97.774999999999906</v>
      </c>
      <c r="AD333">
        <v>-1.1594739999999999</v>
      </c>
      <c r="AE333">
        <v>-10.313899999999901</v>
      </c>
      <c r="AF333">
        <v>12.0896373976432</v>
      </c>
      <c r="AG333">
        <v>-1.1594739999999999</v>
      </c>
      <c r="AH333">
        <v>97.5575708323546</v>
      </c>
      <c r="AI333">
        <v>90.675761057492096</v>
      </c>
      <c r="AJ333">
        <v>82.935743789845901</v>
      </c>
      <c r="AK333">
        <v>98.310647129764405</v>
      </c>
      <c r="AL333">
        <v>88.804972673936206</v>
      </c>
      <c r="AM333">
        <v>83.608228592662599</v>
      </c>
      <c r="AN333">
        <v>1.0000000332688801</v>
      </c>
    </row>
    <row r="334" spans="1:40" x14ac:dyDescent="0.25">
      <c r="A334" t="str">
        <f>"20190312161230892"</f>
        <v>20190312161230892</v>
      </c>
      <c r="B334" t="str">
        <f>"1552378350885967"</f>
        <v>1552378350885967</v>
      </c>
      <c r="C334" t="s">
        <v>40</v>
      </c>
      <c r="D334">
        <v>4.8589869999999999</v>
      </c>
      <c r="E334">
        <v>0.5041485</v>
      </c>
      <c r="F334" t="s">
        <v>42</v>
      </c>
      <c r="G334">
        <v>-277.77120000000002</v>
      </c>
      <c r="H334">
        <v>7.9986130000000003E-2</v>
      </c>
      <c r="I334">
        <v>357.02719999999999</v>
      </c>
      <c r="J334">
        <v>-384.8999</v>
      </c>
      <c r="K334">
        <v>1.1095219999999999</v>
      </c>
      <c r="L334">
        <v>368.22149999999999</v>
      </c>
      <c r="M334">
        <v>0.9997277</v>
      </c>
      <c r="N334">
        <v>0</v>
      </c>
      <c r="O334">
        <v>1.814731E-2</v>
      </c>
      <c r="P334">
        <v>0.99557150000000005</v>
      </c>
      <c r="Q334">
        <v>5.771885E-3</v>
      </c>
      <c r="R334">
        <v>-9.3831949999999997E-2</v>
      </c>
      <c r="S334">
        <v>2.9843139999999999</v>
      </c>
      <c r="T334">
        <v>-2.8562779999999999E-2</v>
      </c>
      <c r="U334">
        <v>-0.31036380000000002</v>
      </c>
      <c r="V334">
        <v>0.11188620000000001</v>
      </c>
      <c r="W334">
        <v>2.034888E-2</v>
      </c>
      <c r="X334">
        <v>0.99351259999999997</v>
      </c>
      <c r="Y334">
        <v>0.1214691</v>
      </c>
      <c r="Z334">
        <v>-7.5298070000000001E-4</v>
      </c>
      <c r="AA334">
        <v>0.99259500000000001</v>
      </c>
      <c r="AB334">
        <v>44</v>
      </c>
      <c r="AC334">
        <v>107.128699999999</v>
      </c>
      <c r="AD334">
        <v>-1.0295358699999999</v>
      </c>
      <c r="AE334">
        <v>-11.194299999999901</v>
      </c>
      <c r="AF334">
        <v>13.1355630573239</v>
      </c>
      <c r="AG334">
        <v>-1.0295358699999999</v>
      </c>
      <c r="AH334">
        <v>106.898120196779</v>
      </c>
      <c r="AI334">
        <v>90.547679583700898</v>
      </c>
      <c r="AJ334">
        <v>82.994654179900607</v>
      </c>
      <c r="AK334">
        <v>107.707061340219</v>
      </c>
      <c r="AL334">
        <v>88.834014513759797</v>
      </c>
      <c r="AM334">
        <v>83.574605403898005</v>
      </c>
      <c r="AN334">
        <v>0.99999994251322499</v>
      </c>
    </row>
    <row r="335" spans="1:40" x14ac:dyDescent="0.25">
      <c r="A335" t="str">
        <f>"20190312161230960"</f>
        <v>20190312161230960</v>
      </c>
      <c r="B335" t="str">
        <f>"1552378350956240"</f>
        <v>1552378350956240</v>
      </c>
      <c r="C335" t="s">
        <v>40</v>
      </c>
      <c r="D335">
        <v>8.6057429999999897</v>
      </c>
      <c r="E335">
        <v>0.51418129999999995</v>
      </c>
      <c r="F335" t="s">
        <v>41</v>
      </c>
      <c r="G335">
        <v>-271.0684</v>
      </c>
      <c r="H335">
        <v>-0.05</v>
      </c>
      <c r="I335">
        <v>356.3125</v>
      </c>
      <c r="J335">
        <v>-383.57850000000002</v>
      </c>
      <c r="K335">
        <v>1.109575</v>
      </c>
      <c r="L335">
        <v>368.24509999999998</v>
      </c>
      <c r="M335">
        <v>0.99973140000000005</v>
      </c>
      <c r="N335">
        <v>0</v>
      </c>
      <c r="O335">
        <v>1.7734159999999999E-2</v>
      </c>
      <c r="P335">
        <v>0.99525149999999996</v>
      </c>
      <c r="Q335">
        <v>5.8033520000000003E-3</v>
      </c>
      <c r="R335">
        <v>-9.7164150000000005E-2</v>
      </c>
      <c r="S335">
        <v>2.9841000000000002</v>
      </c>
      <c r="T335">
        <v>-3.0396940000000001E-2</v>
      </c>
      <c r="U335">
        <v>-0.31219479999999999</v>
      </c>
      <c r="V335">
        <v>0.1148081</v>
      </c>
      <c r="W335">
        <v>2.0588680000000002E-2</v>
      </c>
      <c r="X335">
        <v>0.99317429999999995</v>
      </c>
      <c r="Y335">
        <v>0.121667899999999</v>
      </c>
      <c r="Z335">
        <v>-7.9817410000000005E-4</v>
      </c>
      <c r="AA335">
        <v>0.99257059999999997</v>
      </c>
      <c r="AB335">
        <v>43</v>
      </c>
      <c r="AC335">
        <v>112.51009999999999</v>
      </c>
      <c r="AD335">
        <v>-1.159575</v>
      </c>
      <c r="AE335">
        <v>-11.9325999999999</v>
      </c>
      <c r="AF335">
        <v>13.9247546204271</v>
      </c>
      <c r="AG335">
        <v>-1.159575</v>
      </c>
      <c r="AH335">
        <v>112.268971442813</v>
      </c>
      <c r="AI335">
        <v>90.587261417489401</v>
      </c>
      <c r="AJ335">
        <v>82.929694909752001</v>
      </c>
      <c r="AK335">
        <v>113.135164092544</v>
      </c>
      <c r="AL335">
        <v>88.820272164114797</v>
      </c>
      <c r="AM335">
        <v>83.4060393486387</v>
      </c>
      <c r="AN335">
        <v>0.99999999187512101</v>
      </c>
    </row>
    <row r="336" spans="1:40" x14ac:dyDescent="0.25">
      <c r="A336" t="str">
        <f>"20190312161230980"</f>
        <v>20190312161230980</v>
      </c>
      <c r="B336" t="str">
        <f>"1552378350975760"</f>
        <v>1552378350975760</v>
      </c>
      <c r="C336" t="s">
        <v>40</v>
      </c>
      <c r="D336">
        <v>5.517353</v>
      </c>
      <c r="E336">
        <v>0.50355220000000001</v>
      </c>
      <c r="F336" t="s">
        <v>43</v>
      </c>
      <c r="G336">
        <v>-382.76339999999999</v>
      </c>
      <c r="H336">
        <v>0.86376309999999901</v>
      </c>
      <c r="I336">
        <v>368.14620000000002</v>
      </c>
      <c r="J336">
        <v>-383.1859</v>
      </c>
      <c r="K336">
        <v>1.1095630000000001</v>
      </c>
      <c r="L336">
        <v>368.2518</v>
      </c>
      <c r="M336">
        <v>0.99973449999999997</v>
      </c>
      <c r="N336">
        <v>0</v>
      </c>
      <c r="O336">
        <v>1.7509710000000001E-2</v>
      </c>
      <c r="P336">
        <v>0.99527149999999998</v>
      </c>
      <c r="Q336">
        <v>6.290805E-3</v>
      </c>
      <c r="R336">
        <v>-9.6927940000000004E-2</v>
      </c>
      <c r="S336">
        <v>2.984283</v>
      </c>
      <c r="T336">
        <v>-0.89995409999999998</v>
      </c>
      <c r="U336">
        <v>-0.36135859999999997</v>
      </c>
      <c r="V336">
        <v>0.114352</v>
      </c>
      <c r="W336">
        <v>2.1118319999999999E-2</v>
      </c>
      <c r="X336">
        <v>0.99321579999999998</v>
      </c>
      <c r="Y336">
        <v>0.1310569</v>
      </c>
      <c r="Z336">
        <v>-2.4414729999999999E-2</v>
      </c>
      <c r="AA336">
        <v>0.99107409999999996</v>
      </c>
      <c r="AB336">
        <v>43</v>
      </c>
      <c r="AC336">
        <v>0.42250000000001298</v>
      </c>
      <c r="AD336">
        <v>-0.24579989999999999</v>
      </c>
      <c r="AE336">
        <v>-0.105599999999981</v>
      </c>
      <c r="AF336">
        <v>8.5686181111780502E-2</v>
      </c>
      <c r="AG336">
        <v>-0.24579989999999999</v>
      </c>
      <c r="AH336">
        <v>0.318973379224535</v>
      </c>
      <c r="AI336">
        <v>126.65708118573799</v>
      </c>
      <c r="AJ336">
        <v>74.963551108272597</v>
      </c>
      <c r="AK336">
        <v>0.411708305876199</v>
      </c>
      <c r="AL336">
        <v>88.789919429412905</v>
      </c>
      <c r="AM336">
        <v>83.432277981638805</v>
      </c>
      <c r="AN336">
        <v>0.99999999435663101</v>
      </c>
    </row>
    <row r="337" spans="1:40" x14ac:dyDescent="0.25">
      <c r="A337" t="str">
        <f>"20190312161231004"</f>
        <v>20190312161231004</v>
      </c>
      <c r="B337" t="str">
        <f>"1552378350996256"</f>
        <v>1552378350996256</v>
      </c>
      <c r="C337" t="s">
        <v>40</v>
      </c>
      <c r="D337">
        <v>5.3715440000000001</v>
      </c>
      <c r="E337">
        <v>0.51000730000000005</v>
      </c>
      <c r="F337" t="s">
        <v>42</v>
      </c>
      <c r="G337">
        <v>-364.24459999999999</v>
      </c>
      <c r="H337" s="1">
        <v>-3.0422689999999999E-6</v>
      </c>
      <c r="I337">
        <v>366.2851</v>
      </c>
      <c r="J337">
        <v>-382.73430000000002</v>
      </c>
      <c r="K337">
        <v>1.1095429999999999</v>
      </c>
      <c r="L337">
        <v>368.2595</v>
      </c>
      <c r="M337">
        <v>0.99973920000000005</v>
      </c>
      <c r="N337">
        <v>0</v>
      </c>
      <c r="O337">
        <v>1.7189799999999901E-2</v>
      </c>
      <c r="P337">
        <v>0.99534710000000004</v>
      </c>
      <c r="Q337">
        <v>6.4546339999999999E-3</v>
      </c>
      <c r="R337">
        <v>-9.6137410000000006E-2</v>
      </c>
      <c r="S337">
        <v>2.9851679999999998</v>
      </c>
      <c r="T337">
        <v>-0.17486750000000001</v>
      </c>
      <c r="U337">
        <v>-0.3099365</v>
      </c>
      <c r="V337">
        <v>0.1132481</v>
      </c>
      <c r="W337">
        <v>2.132332E-2</v>
      </c>
      <c r="X337">
        <v>0.9933379</v>
      </c>
      <c r="Y337">
        <v>0.1201219</v>
      </c>
      <c r="Z337">
        <v>-4.5095909999999899E-3</v>
      </c>
      <c r="AA337">
        <v>0.99274890000000005</v>
      </c>
      <c r="AB337">
        <v>43</v>
      </c>
      <c r="AC337">
        <v>18.489699999999999</v>
      </c>
      <c r="AD337">
        <v>-1.109546042269</v>
      </c>
      <c r="AE337">
        <v>-1.9743999999999999</v>
      </c>
      <c r="AF337">
        <v>2.28384682083027</v>
      </c>
      <c r="AG337">
        <v>-1.109546042269</v>
      </c>
      <c r="AH337">
        <v>18.387555790436299</v>
      </c>
      <c r="AI337">
        <v>93.426898709970601</v>
      </c>
      <c r="AJ337">
        <v>82.919774637793594</v>
      </c>
      <c r="AK337">
        <v>18.5620380526315</v>
      </c>
      <c r="AL337">
        <v>88.778171155682898</v>
      </c>
      <c r="AM337">
        <v>83.495926361925001</v>
      </c>
      <c r="AN337">
        <v>0.99999999985292098</v>
      </c>
    </row>
    <row r="338" spans="1:40" x14ac:dyDescent="0.25">
      <c r="A338" t="str">
        <f>"20190312161231025"</f>
        <v>20190312161231025</v>
      </c>
      <c r="B338" t="str">
        <f>"1552378351015776"</f>
        <v>1552378351015776</v>
      </c>
      <c r="C338" t="s">
        <v>40</v>
      </c>
      <c r="D338">
        <v>5.5518269999999896</v>
      </c>
      <c r="E338">
        <v>0.5086562</v>
      </c>
      <c r="F338" t="s">
        <v>42</v>
      </c>
      <c r="G338">
        <v>-350.52370000000002</v>
      </c>
      <c r="H338" s="1">
        <v>-4.9821460000000001E-6</v>
      </c>
      <c r="I338">
        <v>364.34789999999998</v>
      </c>
      <c r="J338">
        <v>-382.30340000000001</v>
      </c>
      <c r="K338">
        <v>1.1095219999999999</v>
      </c>
      <c r="L338">
        <v>368.26659999999998</v>
      </c>
      <c r="M338">
        <v>0.99974479999999999</v>
      </c>
      <c r="N338">
        <v>0</v>
      </c>
      <c r="O338">
        <v>1.6827700000000001E-2</v>
      </c>
      <c r="P338">
        <v>0.99538139999999997</v>
      </c>
      <c r="Q338">
        <v>6.8662990000000002E-3</v>
      </c>
      <c r="R338">
        <v>-9.5755499999999993E-2</v>
      </c>
      <c r="S338">
        <v>2.9797669999999998</v>
      </c>
      <c r="T338">
        <v>-0.1026425</v>
      </c>
      <c r="U338">
        <v>-0.36184690000000003</v>
      </c>
      <c r="V338">
        <v>0.11251029999999999</v>
      </c>
      <c r="W338">
        <v>2.176668E-2</v>
      </c>
      <c r="X338">
        <v>0.99341210000000002</v>
      </c>
      <c r="Y338">
        <v>0.13714879999999999</v>
      </c>
      <c r="Z338">
        <v>-2.9303710000000002E-3</v>
      </c>
      <c r="AA338">
        <v>0.99054609999999998</v>
      </c>
      <c r="AB338">
        <v>43</v>
      </c>
      <c r="AC338">
        <v>31.779699999999899</v>
      </c>
      <c r="AD338">
        <v>-1.1095269821460001</v>
      </c>
      <c r="AE338">
        <v>-3.9186999999999999</v>
      </c>
      <c r="AF338">
        <v>4.4476448730818401</v>
      </c>
      <c r="AG338">
        <v>-1.1095269821460001</v>
      </c>
      <c r="AH338">
        <v>31.6712223283055</v>
      </c>
      <c r="AI338">
        <v>91.986922085351907</v>
      </c>
      <c r="AJ338">
        <v>82.0061296639403</v>
      </c>
      <c r="AK338">
        <v>32.001233082650401</v>
      </c>
      <c r="AL338">
        <v>88.752762573804105</v>
      </c>
      <c r="AM338">
        <v>83.538418750538696</v>
      </c>
      <c r="AN338">
        <v>0.99999997819536102</v>
      </c>
    </row>
    <row r="339" spans="1:40" x14ac:dyDescent="0.25">
      <c r="A339" t="str">
        <f>"20190312161231047"</f>
        <v>20190312161231047</v>
      </c>
      <c r="B339" t="str">
        <f>"1552378351036272"</f>
        <v>1552378351036272</v>
      </c>
      <c r="C339" t="s">
        <v>40</v>
      </c>
      <c r="D339">
        <v>5.6092620000000002</v>
      </c>
      <c r="E339">
        <v>0.5088897</v>
      </c>
      <c r="F339" t="s">
        <v>42</v>
      </c>
      <c r="G339">
        <v>-323.96620000000001</v>
      </c>
      <c r="H339" s="1">
        <v>-4.2341540000000001E-6</v>
      </c>
      <c r="I339">
        <v>361.36779999999999</v>
      </c>
      <c r="J339">
        <v>-381.87110000000001</v>
      </c>
      <c r="K339">
        <v>1.10949599999999</v>
      </c>
      <c r="L339">
        <v>368.27350000000001</v>
      </c>
      <c r="M339">
        <v>0.9997509</v>
      </c>
      <c r="N339">
        <v>0</v>
      </c>
      <c r="O339">
        <v>1.6417810000000001E-2</v>
      </c>
      <c r="P339">
        <v>0.99542750000000002</v>
      </c>
      <c r="Q339">
        <v>7.7682940000000002E-3</v>
      </c>
      <c r="R339">
        <v>-9.5203670000000004E-2</v>
      </c>
      <c r="S339">
        <v>2.9803769999999998</v>
      </c>
      <c r="T339">
        <v>-5.668426E-2</v>
      </c>
      <c r="U339">
        <v>-0.35244750000000002</v>
      </c>
      <c r="V339">
        <v>0.1115554</v>
      </c>
      <c r="W339">
        <v>2.269533E-2</v>
      </c>
      <c r="X339">
        <v>0.99349900000000002</v>
      </c>
      <c r="Y339">
        <v>0.13370119999999999</v>
      </c>
      <c r="Z339">
        <v>-1.5781549999999999E-3</v>
      </c>
      <c r="AA339">
        <v>0.99102040000000002</v>
      </c>
      <c r="AB339">
        <v>43</v>
      </c>
      <c r="AC339">
        <v>57.904899999999998</v>
      </c>
      <c r="AD339">
        <v>-1.1095002341539999</v>
      </c>
      <c r="AE339">
        <v>-6.9057000000000199</v>
      </c>
      <c r="AF339">
        <v>7.8527067877950101</v>
      </c>
      <c r="AG339">
        <v>-1.1095002341539999</v>
      </c>
      <c r="AH339">
        <v>57.762795008743304</v>
      </c>
      <c r="AI339">
        <v>91.090367201975695</v>
      </c>
      <c r="AJ339">
        <v>82.258243642710895</v>
      </c>
      <c r="AK339">
        <v>58.304686620260398</v>
      </c>
      <c r="AL339">
        <v>88.699541686831097</v>
      </c>
      <c r="AM339">
        <v>83.593357418618197</v>
      </c>
      <c r="AN339">
        <v>0.99999997413698405</v>
      </c>
    </row>
    <row r="340" spans="1:40" x14ac:dyDescent="0.25">
      <c r="A340" t="str">
        <f>"20190312161231070"</f>
        <v>20190312161231070</v>
      </c>
      <c r="B340" t="str">
        <f>"1552378351065552"</f>
        <v>1552378351065552</v>
      </c>
      <c r="C340" t="s">
        <v>40</v>
      </c>
      <c r="D340">
        <v>5.5611329999999999</v>
      </c>
      <c r="E340">
        <v>0.50731409999999999</v>
      </c>
      <c r="F340" t="s">
        <v>42</v>
      </c>
      <c r="G340">
        <v>-333.2681</v>
      </c>
      <c r="H340" s="1">
        <v>-4.1610800000000001E-6</v>
      </c>
      <c r="I340">
        <v>362.53530000000001</v>
      </c>
      <c r="J340">
        <v>-381.46409999999997</v>
      </c>
      <c r="K340">
        <v>1.1094740000000001</v>
      </c>
      <c r="L340">
        <v>368.27980000000002</v>
      </c>
      <c r="M340">
        <v>0.99975729999999996</v>
      </c>
      <c r="N340">
        <v>0</v>
      </c>
      <c r="O340">
        <v>1.5996420000000001E-2</v>
      </c>
      <c r="P340">
        <v>0.9954383</v>
      </c>
      <c r="Q340">
        <v>8.1406810000000003E-3</v>
      </c>
      <c r="R340">
        <v>-9.5061999999999994E-2</v>
      </c>
      <c r="S340">
        <v>2.9806520000000001</v>
      </c>
      <c r="T340">
        <v>-6.8041560000000001E-2</v>
      </c>
      <c r="U340">
        <v>-0.35189819999999999</v>
      </c>
      <c r="V340">
        <v>0.1109979</v>
      </c>
      <c r="W340">
        <v>2.3088609999999999E-2</v>
      </c>
      <c r="X340">
        <v>0.9935524</v>
      </c>
      <c r="Y340">
        <v>0.13308110000000001</v>
      </c>
      <c r="Z340">
        <v>-1.8774869999999999E-3</v>
      </c>
      <c r="AA340">
        <v>0.99110339999999997</v>
      </c>
      <c r="AB340">
        <v>43</v>
      </c>
      <c r="AC340">
        <v>48.195999999999898</v>
      </c>
      <c r="AD340">
        <v>-1.10947816108</v>
      </c>
      <c r="AE340">
        <v>-5.7445000000000102</v>
      </c>
      <c r="AF340">
        <v>6.5114145049496601</v>
      </c>
      <c r="AG340">
        <v>-1.10947816108</v>
      </c>
      <c r="AH340">
        <v>48.072811671314803</v>
      </c>
      <c r="AI340">
        <v>91.310142066556395</v>
      </c>
      <c r="AJ340">
        <v>82.286288114345297</v>
      </c>
      <c r="AK340">
        <v>48.524475088669199</v>
      </c>
      <c r="AL340">
        <v>88.677002522535204</v>
      </c>
      <c r="AM340">
        <v>83.625450294421697</v>
      </c>
      <c r="AN340">
        <v>0.99999999463095102</v>
      </c>
    </row>
    <row r="341" spans="1:40" x14ac:dyDescent="0.25">
      <c r="A341" t="str">
        <f>"20190312161231091"</f>
        <v>20190312161231091</v>
      </c>
      <c r="B341" t="str">
        <f>"1552378351086048"</f>
        <v>1552378351086048</v>
      </c>
      <c r="C341" t="s">
        <v>40</v>
      </c>
      <c r="D341">
        <v>5.5764490000000002</v>
      </c>
      <c r="E341">
        <v>0.50656639999999997</v>
      </c>
      <c r="F341" t="s">
        <v>42</v>
      </c>
      <c r="G341">
        <v>-333.20589999999999</v>
      </c>
      <c r="H341" s="1">
        <v>-4.1136139999999998E-6</v>
      </c>
      <c r="I341">
        <v>362.79320000000001</v>
      </c>
      <c r="J341">
        <v>-381.03559999999999</v>
      </c>
      <c r="K341">
        <v>1.1094550000000001</v>
      </c>
      <c r="L341">
        <v>368.28629999999998</v>
      </c>
      <c r="M341">
        <v>0.99976410000000004</v>
      </c>
      <c r="N341">
        <v>0</v>
      </c>
      <c r="O341">
        <v>1.552765E-2</v>
      </c>
      <c r="P341">
        <v>0.9954383</v>
      </c>
      <c r="Q341">
        <v>8.3931849999999992E-3</v>
      </c>
      <c r="R341">
        <v>-9.5038239999999996E-2</v>
      </c>
      <c r="S341">
        <v>2.9819339999999999</v>
      </c>
      <c r="T341">
        <v>-6.8555829999999998E-2</v>
      </c>
      <c r="U341">
        <v>-0.33901979999999998</v>
      </c>
      <c r="V341">
        <v>0.1105105</v>
      </c>
      <c r="W341">
        <v>2.336034E-2</v>
      </c>
      <c r="X341">
        <v>0.99360040000000005</v>
      </c>
      <c r="Y341">
        <v>0.1283424</v>
      </c>
      <c r="Z341">
        <v>-1.8262949999999999E-3</v>
      </c>
      <c r="AA341">
        <v>0.99172819999999995</v>
      </c>
      <c r="AB341">
        <v>43</v>
      </c>
      <c r="AC341">
        <v>47.829700000000003</v>
      </c>
      <c r="AD341">
        <v>-1.109459113614</v>
      </c>
      <c r="AE341">
        <v>-5.4930999999999699</v>
      </c>
      <c r="AF341">
        <v>6.2318966365356596</v>
      </c>
      <c r="AG341">
        <v>-1.109459113614</v>
      </c>
      <c r="AH341">
        <v>47.7132892870181</v>
      </c>
      <c r="AI341">
        <v>91.320822605946802</v>
      </c>
      <c r="AJ341">
        <v>82.5586455028552</v>
      </c>
      <c r="AK341">
        <v>48.131335009533203</v>
      </c>
      <c r="AL341">
        <v>88.6614293676909</v>
      </c>
      <c r="AM341">
        <v>83.653516607714494</v>
      </c>
      <c r="AN341">
        <v>1.00000001548766</v>
      </c>
    </row>
    <row r="342" spans="1:40" x14ac:dyDescent="0.25">
      <c r="A342" t="str">
        <f>"20190312161231114"</f>
        <v>20190312161231114</v>
      </c>
      <c r="B342" t="str">
        <f>"1552378351105568"</f>
        <v>1552378351105568</v>
      </c>
      <c r="C342" t="s">
        <v>40</v>
      </c>
      <c r="D342">
        <v>5.5864729999999998</v>
      </c>
      <c r="E342">
        <v>0.50613949999999996</v>
      </c>
      <c r="F342" t="s">
        <v>42</v>
      </c>
      <c r="G342">
        <v>-331.34399999999999</v>
      </c>
      <c r="H342" s="1">
        <v>-4.9162709999999997E-6</v>
      </c>
      <c r="I342">
        <v>362.73540000000003</v>
      </c>
      <c r="J342">
        <v>-380.6037</v>
      </c>
      <c r="K342">
        <v>1.1094389999999901</v>
      </c>
      <c r="L342">
        <v>368.29259999999999</v>
      </c>
      <c r="M342">
        <v>0.99977139999999998</v>
      </c>
      <c r="N342">
        <v>0</v>
      </c>
      <c r="O342">
        <v>1.503759E-2</v>
      </c>
      <c r="P342">
        <v>0.99534389999999995</v>
      </c>
      <c r="Q342">
        <v>8.2377379999999997E-3</v>
      </c>
      <c r="R342">
        <v>-9.6034649999999999E-2</v>
      </c>
      <c r="S342">
        <v>2.982513</v>
      </c>
      <c r="T342">
        <v>-6.6590189999999994E-2</v>
      </c>
      <c r="U342">
        <v>-0.33316040000000002</v>
      </c>
      <c r="V342">
        <v>0.1110199</v>
      </c>
      <c r="W342">
        <v>2.321923E-2</v>
      </c>
      <c r="X342">
        <v>0.99354690000000001</v>
      </c>
      <c r="Y342">
        <v>0.1259132</v>
      </c>
      <c r="Z342">
        <v>-1.7358530000000001E-3</v>
      </c>
      <c r="AA342">
        <v>0.99203969999999997</v>
      </c>
      <c r="AB342">
        <v>43</v>
      </c>
      <c r="AC342">
        <v>49.259700000000002</v>
      </c>
      <c r="AD342">
        <v>-1.1094439162709999</v>
      </c>
      <c r="AE342">
        <v>-5.5571999999999599</v>
      </c>
      <c r="AF342">
        <v>6.2942515745698202</v>
      </c>
      <c r="AG342">
        <v>-1.1094439162709999</v>
      </c>
      <c r="AH342">
        <v>49.145936045187199</v>
      </c>
      <c r="AI342">
        <v>91.2827290238709</v>
      </c>
      <c r="AJ342">
        <v>82.701706789315807</v>
      </c>
      <c r="AK342">
        <v>49.559777021743699</v>
      </c>
      <c r="AL342">
        <v>88.669516543580002</v>
      </c>
      <c r="AM342">
        <v>83.624162245561706</v>
      </c>
      <c r="AN342">
        <v>0.99999999666870598</v>
      </c>
    </row>
    <row r="343" spans="1:40" x14ac:dyDescent="0.25">
      <c r="A343" t="str">
        <f>"20190312161231137"</f>
        <v>20190312161231137</v>
      </c>
      <c r="B343" t="str">
        <f>"1552378351126063"</f>
        <v>1552378351126063</v>
      </c>
      <c r="C343" t="s">
        <v>40</v>
      </c>
      <c r="D343">
        <v>5.684761</v>
      </c>
      <c r="E343">
        <v>0.50533419999999996</v>
      </c>
      <c r="F343" t="s">
        <v>42</v>
      </c>
      <c r="G343">
        <v>-331.13279999999997</v>
      </c>
      <c r="H343" s="1">
        <v>-4.9989340000000002E-6</v>
      </c>
      <c r="I343">
        <v>362.7801</v>
      </c>
      <c r="J343">
        <v>-380.16160000000002</v>
      </c>
      <c r="K343">
        <v>1.109426</v>
      </c>
      <c r="L343">
        <v>368.29880000000003</v>
      </c>
      <c r="M343">
        <v>0.99977870000000002</v>
      </c>
      <c r="N343">
        <v>0</v>
      </c>
      <c r="O343">
        <v>1.4525899999999901E-2</v>
      </c>
      <c r="P343">
        <v>0.99526029999999999</v>
      </c>
      <c r="Q343">
        <v>8.4789280000000002E-3</v>
      </c>
      <c r="R343">
        <v>-9.6878119999999998E-2</v>
      </c>
      <c r="S343">
        <v>2.9825439999999999</v>
      </c>
      <c r="T343">
        <v>-6.6887139999999998E-2</v>
      </c>
      <c r="U343">
        <v>-0.33233639999999998</v>
      </c>
      <c r="V343">
        <v>0.111355</v>
      </c>
      <c r="W343">
        <v>2.3472369999999999E-2</v>
      </c>
      <c r="X343">
        <v>0.99350349999999998</v>
      </c>
      <c r="Y343">
        <v>0.12513369999999999</v>
      </c>
      <c r="Z343">
        <v>-1.723444E-3</v>
      </c>
      <c r="AA343">
        <v>0.99213839999999998</v>
      </c>
      <c r="AB343">
        <v>43</v>
      </c>
      <c r="AC343">
        <v>49.028799999999997</v>
      </c>
      <c r="AD343">
        <v>-1.1094309989339901</v>
      </c>
      <c r="AE343">
        <v>-5.5187000000000204</v>
      </c>
      <c r="AF343">
        <v>6.2272388605428199</v>
      </c>
      <c r="AG343">
        <v>-1.1094309989339901</v>
      </c>
      <c r="AH343">
        <v>48.918717959450298</v>
      </c>
      <c r="AI343">
        <v>91.288795491697201</v>
      </c>
      <c r="AJ343">
        <v>82.745399007161097</v>
      </c>
      <c r="AK343">
        <v>49.325959775395098</v>
      </c>
      <c r="AL343">
        <v>88.655008802585996</v>
      </c>
      <c r="AM343">
        <v>83.604799709066199</v>
      </c>
      <c r="AN343">
        <v>1.00000004634533</v>
      </c>
    </row>
    <row r="344" spans="1:40" x14ac:dyDescent="0.25">
      <c r="A344" t="str">
        <f>"20190312161231160"</f>
        <v>20190312161231160</v>
      </c>
      <c r="B344" t="str">
        <f>"1552378351156320"</f>
        <v>1552378351156320</v>
      </c>
      <c r="C344" t="s">
        <v>40</v>
      </c>
      <c r="D344">
        <v>5.6702209999999997</v>
      </c>
      <c r="E344">
        <v>0.50456389999999995</v>
      </c>
      <c r="F344" t="s">
        <v>42</v>
      </c>
      <c r="G344">
        <v>-321.12790000000001</v>
      </c>
      <c r="H344" s="1">
        <v>-5.1779720000000003E-6</v>
      </c>
      <c r="I344">
        <v>361.78280000000001</v>
      </c>
      <c r="J344">
        <v>-379.73480000000001</v>
      </c>
      <c r="K344">
        <v>1.109423</v>
      </c>
      <c r="L344">
        <v>368.30459999999999</v>
      </c>
      <c r="M344">
        <v>0.99978549999999999</v>
      </c>
      <c r="N344">
        <v>0</v>
      </c>
      <c r="O344">
        <v>1.402662E-2</v>
      </c>
      <c r="P344">
        <v>0.99517290000000003</v>
      </c>
      <c r="Q344">
        <v>8.5622279999999999E-3</v>
      </c>
      <c r="R344">
        <v>-9.7763240000000001E-2</v>
      </c>
      <c r="S344">
        <v>2.9827270000000001</v>
      </c>
      <c r="T344">
        <v>-5.605483E-2</v>
      </c>
      <c r="U344">
        <v>-0.32922360000000001</v>
      </c>
      <c r="V344">
        <v>0.1117438</v>
      </c>
      <c r="W344">
        <v>2.3565800000000001E-2</v>
      </c>
      <c r="X344">
        <v>0.99345760000000005</v>
      </c>
      <c r="Y344">
        <v>0.1236192</v>
      </c>
      <c r="Z344">
        <v>-1.4208370000000001E-3</v>
      </c>
      <c r="AA344">
        <v>0.99232869999999995</v>
      </c>
      <c r="AB344">
        <v>43</v>
      </c>
      <c r="AC344">
        <v>58.606900000000003</v>
      </c>
      <c r="AD344">
        <v>-1.1094281779719899</v>
      </c>
      <c r="AE344">
        <v>-6.5217999999999803</v>
      </c>
      <c r="AF344">
        <v>7.3407120978037597</v>
      </c>
      <c r="AG344">
        <v>-1.1094281779719899</v>
      </c>
      <c r="AH344">
        <v>58.488940778289702</v>
      </c>
      <c r="AI344">
        <v>91.078209138624402</v>
      </c>
      <c r="AJ344">
        <v>82.846440663615795</v>
      </c>
      <c r="AK344">
        <v>58.958231641995503</v>
      </c>
      <c r="AL344">
        <v>88.649654132480094</v>
      </c>
      <c r="AM344">
        <v>83.582362569717901</v>
      </c>
      <c r="AN344">
        <v>1.0000000133829099</v>
      </c>
    </row>
    <row r="345" spans="1:40" x14ac:dyDescent="0.25">
      <c r="A345" t="str">
        <f>"20190312161231180"</f>
        <v>20190312161231180</v>
      </c>
      <c r="B345" t="str">
        <f>"1552378351175839"</f>
        <v>1552378351175839</v>
      </c>
      <c r="C345" t="s">
        <v>40</v>
      </c>
      <c r="D345">
        <v>5.6679300000000001</v>
      </c>
      <c r="E345">
        <v>0.50411470000000003</v>
      </c>
      <c r="F345" t="s">
        <v>41</v>
      </c>
      <c r="G345">
        <v>-305.33210000000003</v>
      </c>
      <c r="H345">
        <v>-0.05</v>
      </c>
      <c r="I345">
        <v>360.17129999999997</v>
      </c>
      <c r="J345">
        <v>-379.33089999999999</v>
      </c>
      <c r="K345">
        <v>1.109415</v>
      </c>
      <c r="L345">
        <v>368.30990000000003</v>
      </c>
      <c r="M345">
        <v>0.99979180000000001</v>
      </c>
      <c r="N345">
        <v>0</v>
      </c>
      <c r="O345">
        <v>1.35516E-2</v>
      </c>
      <c r="P345">
        <v>0.99509769999999997</v>
      </c>
      <c r="Q345">
        <v>8.7082959999999904E-3</v>
      </c>
      <c r="R345">
        <v>-9.8513130000000004E-2</v>
      </c>
      <c r="S345">
        <v>2.9829409999999998</v>
      </c>
      <c r="T345">
        <v>-4.6483400000000001E-2</v>
      </c>
      <c r="U345">
        <v>-0.32608029999999999</v>
      </c>
      <c r="V345">
        <v>0.1120216</v>
      </c>
      <c r="W345">
        <v>2.3719770000000001E-2</v>
      </c>
      <c r="X345">
        <v>0.99342260000000004</v>
      </c>
      <c r="Y345">
        <v>0.1221144</v>
      </c>
      <c r="Z345">
        <v>-1.1591699999999999E-3</v>
      </c>
      <c r="AA345">
        <v>0.99251540000000005</v>
      </c>
      <c r="AB345">
        <v>43</v>
      </c>
      <c r="AC345">
        <v>73.998799999999903</v>
      </c>
      <c r="AD345">
        <v>-1.1594149999999901</v>
      </c>
      <c r="AE345">
        <v>-8.13860000000005</v>
      </c>
      <c r="AF345">
        <v>9.1385547375455793</v>
      </c>
      <c r="AG345">
        <v>-1.1594149999999901</v>
      </c>
      <c r="AH345">
        <v>73.863783549577505</v>
      </c>
      <c r="AI345">
        <v>90.892475220140398</v>
      </c>
      <c r="AJ345">
        <v>82.947107940398496</v>
      </c>
      <c r="AK345">
        <v>74.435985558681097</v>
      </c>
      <c r="AL345">
        <v>88.6408297680033</v>
      </c>
      <c r="AM345">
        <v>83.566316880441406</v>
      </c>
      <c r="AN345">
        <v>0.99999996427308502</v>
      </c>
    </row>
    <row r="346" spans="1:40" x14ac:dyDescent="0.25">
      <c r="A346" t="str">
        <f>"20190312161231203"</f>
        <v>20190312161231203</v>
      </c>
      <c r="B346" t="str">
        <f>"1552378351196336"</f>
        <v>1552378351196336</v>
      </c>
      <c r="C346" t="s">
        <v>40</v>
      </c>
      <c r="D346">
        <v>5.553668</v>
      </c>
      <c r="E346">
        <v>0.5038321</v>
      </c>
      <c r="F346" t="s">
        <v>41</v>
      </c>
      <c r="G346">
        <v>-299.71690000000001</v>
      </c>
      <c r="H346">
        <v>-0.05</v>
      </c>
      <c r="I346">
        <v>359.63560000000001</v>
      </c>
      <c r="J346">
        <v>-378.89449999999999</v>
      </c>
      <c r="K346">
        <v>1.109413</v>
      </c>
      <c r="L346">
        <v>368.31540000000001</v>
      </c>
      <c r="M346">
        <v>0.99979850000000003</v>
      </c>
      <c r="N346">
        <v>0</v>
      </c>
      <c r="O346">
        <v>1.3037689999999999E-2</v>
      </c>
      <c r="P346">
        <v>0.99499610000000005</v>
      </c>
      <c r="Q346">
        <v>8.7414850000000002E-3</v>
      </c>
      <c r="R346">
        <v>-9.9532889999999999E-2</v>
      </c>
      <c r="S346">
        <v>2.9830019999999999</v>
      </c>
      <c r="T346">
        <v>-4.3441300000000002E-2</v>
      </c>
      <c r="U346">
        <v>-0.32501219999999997</v>
      </c>
      <c r="V346">
        <v>0.11253000000000001</v>
      </c>
      <c r="W346">
        <v>2.3758390000000001E-2</v>
      </c>
      <c r="X346">
        <v>0.99336429999999998</v>
      </c>
      <c r="Y346">
        <v>0.121253</v>
      </c>
      <c r="Z346">
        <v>-1.0695979999999999E-3</v>
      </c>
      <c r="AA346">
        <v>0.99262110000000003</v>
      </c>
      <c r="AB346">
        <v>43</v>
      </c>
      <c r="AC346">
        <v>79.177599999999899</v>
      </c>
      <c r="AD346">
        <v>-1.159413</v>
      </c>
      <c r="AE346">
        <v>-8.6798000000000002</v>
      </c>
      <c r="AF346">
        <v>9.7094181686406902</v>
      </c>
      <c r="AG346">
        <v>-1.159413</v>
      </c>
      <c r="AH346">
        <v>79.040944110096007</v>
      </c>
      <c r="AI346">
        <v>90.834114698515506</v>
      </c>
      <c r="AJ346">
        <v>82.996850352002994</v>
      </c>
      <c r="AK346">
        <v>79.643504979963197</v>
      </c>
      <c r="AL346">
        <v>88.638616494152402</v>
      </c>
      <c r="AM346">
        <v>83.536988580957001</v>
      </c>
      <c r="AN346">
        <v>1.00000004725494</v>
      </c>
    </row>
    <row r="347" spans="1:40" x14ac:dyDescent="0.25">
      <c r="A347" t="str">
        <f>"20190312161231226"</f>
        <v>20190312161231226</v>
      </c>
      <c r="B347" t="str">
        <f>"1552378351215856"</f>
        <v>1552378351215856</v>
      </c>
      <c r="C347" t="s">
        <v>40</v>
      </c>
      <c r="D347">
        <v>5.6916180000000001</v>
      </c>
      <c r="E347">
        <v>0.50522769999999995</v>
      </c>
      <c r="F347" t="s">
        <v>41</v>
      </c>
      <c r="G347">
        <v>-311.04349999999999</v>
      </c>
      <c r="H347">
        <v>-0.05</v>
      </c>
      <c r="I347">
        <v>360.90870000000001</v>
      </c>
      <c r="J347">
        <v>-378.45699999999999</v>
      </c>
      <c r="K347">
        <v>1.1094040000000001</v>
      </c>
      <c r="L347">
        <v>368.32069999999999</v>
      </c>
      <c r="M347">
        <v>0.99980500000000005</v>
      </c>
      <c r="N347">
        <v>0</v>
      </c>
      <c r="O347">
        <v>1.2522480000000001E-2</v>
      </c>
      <c r="P347">
        <v>0.99496039999999997</v>
      </c>
      <c r="Q347">
        <v>8.4436440000000001E-3</v>
      </c>
      <c r="R347">
        <v>-9.9914600000000006E-2</v>
      </c>
      <c r="S347">
        <v>2.982971</v>
      </c>
      <c r="T347">
        <v>-5.0971870000000002E-2</v>
      </c>
      <c r="U347">
        <v>-0.32562259999999998</v>
      </c>
      <c r="V347">
        <v>0.1123996</v>
      </c>
      <c r="W347">
        <v>2.3467120000000001E-2</v>
      </c>
      <c r="X347">
        <v>0.99338599999999999</v>
      </c>
      <c r="Y347">
        <v>0.12093810000000001</v>
      </c>
      <c r="Z347">
        <v>-1.243524E-3</v>
      </c>
      <c r="AA347">
        <v>0.99265930000000002</v>
      </c>
      <c r="AB347">
        <v>43</v>
      </c>
      <c r="AC347">
        <v>67.413499999999999</v>
      </c>
      <c r="AD347">
        <v>-1.1594040000000001</v>
      </c>
      <c r="AE347">
        <v>-7.4119999999999697</v>
      </c>
      <c r="AF347">
        <v>8.2532892885858296</v>
      </c>
      <c r="AG347">
        <v>-1.1594040000000001</v>
      </c>
      <c r="AH347">
        <v>67.295718177234207</v>
      </c>
      <c r="AI347">
        <v>90.979683640615704</v>
      </c>
      <c r="AJ347">
        <v>83.008040403243598</v>
      </c>
      <c r="AK347">
        <v>67.809842107956797</v>
      </c>
      <c r="AL347">
        <v>88.655309707195002</v>
      </c>
      <c r="AM347">
        <v>83.544554501298506</v>
      </c>
      <c r="AN347">
        <v>1.0000000603986201</v>
      </c>
    </row>
    <row r="348" spans="1:40" x14ac:dyDescent="0.25">
      <c r="A348" t="str">
        <f>"20190312161231247"</f>
        <v>20190312161231247</v>
      </c>
      <c r="B348" t="str">
        <f>"1552378351236352"</f>
        <v>1552378351236352</v>
      </c>
      <c r="C348" t="s">
        <v>40</v>
      </c>
      <c r="D348">
        <v>5.604133</v>
      </c>
      <c r="E348">
        <v>0.5334584</v>
      </c>
      <c r="F348" t="s">
        <v>43</v>
      </c>
      <c r="G348">
        <v>-377.70940000000002</v>
      </c>
      <c r="H348">
        <v>0.99554900000000002</v>
      </c>
      <c r="I348">
        <v>368.2407</v>
      </c>
      <c r="J348">
        <v>-378.05799999999999</v>
      </c>
      <c r="K348">
        <v>1.109402</v>
      </c>
      <c r="L348">
        <v>368.32530000000003</v>
      </c>
      <c r="M348">
        <v>0.9998108</v>
      </c>
      <c r="N348">
        <v>0</v>
      </c>
      <c r="O348">
        <v>1.205236E-2</v>
      </c>
      <c r="P348">
        <v>0.99488279999999996</v>
      </c>
      <c r="Q348">
        <v>7.9531040000000008E-3</v>
      </c>
      <c r="R348">
        <v>-0.10072490000000001</v>
      </c>
      <c r="S348">
        <v>2.9870610000000002</v>
      </c>
      <c r="T348">
        <v>-0.4549646</v>
      </c>
      <c r="U348">
        <v>-0.3187256</v>
      </c>
      <c r="V348">
        <v>0.11274140000000001</v>
      </c>
      <c r="W348">
        <v>2.2980400000000002E-2</v>
      </c>
      <c r="X348">
        <v>0.99335859999999998</v>
      </c>
      <c r="Y348">
        <v>0.11661009999999999</v>
      </c>
      <c r="Z348">
        <v>-1.062565E-2</v>
      </c>
      <c r="AA348">
        <v>0.99312089999999997</v>
      </c>
      <c r="AB348">
        <v>43</v>
      </c>
      <c r="AC348">
        <v>0.34860000000003299</v>
      </c>
      <c r="AD348">
        <v>-0.113852999999999</v>
      </c>
      <c r="AE348">
        <v>-8.4600000000023101E-2</v>
      </c>
      <c r="AF348">
        <v>8.0669541062062894E-2</v>
      </c>
      <c r="AG348">
        <v>-0.113852999999999</v>
      </c>
      <c r="AH348">
        <v>0.31574801426176502</v>
      </c>
      <c r="AI348">
        <v>109.257375416096</v>
      </c>
      <c r="AJ348">
        <v>75.6682469890699</v>
      </c>
      <c r="AK348">
        <v>0.34520557494688803</v>
      </c>
      <c r="AL348">
        <v>88.683204171338005</v>
      </c>
      <c r="AM348">
        <v>83.524913280392695</v>
      </c>
      <c r="AN348">
        <v>1.00000001512603</v>
      </c>
    </row>
    <row r="349" spans="1:40" x14ac:dyDescent="0.25">
      <c r="A349" t="str">
        <f>"20190312161231269"</f>
        <v>20190312161231269</v>
      </c>
      <c r="B349" t="str">
        <f>"1552378351265632"</f>
        <v>1552378351265632</v>
      </c>
      <c r="C349" t="s">
        <v>40</v>
      </c>
      <c r="D349">
        <v>5.6014850000000003</v>
      </c>
      <c r="E349">
        <v>0.52442939999999905</v>
      </c>
      <c r="F349" t="s">
        <v>43</v>
      </c>
      <c r="G349">
        <v>-377.3553</v>
      </c>
      <c r="H349">
        <v>0.93670370000000003</v>
      </c>
      <c r="I349">
        <v>368.19909999999999</v>
      </c>
      <c r="J349">
        <v>-377.63900000000001</v>
      </c>
      <c r="K349">
        <v>1.1094010000000001</v>
      </c>
      <c r="L349">
        <v>368.32990000000001</v>
      </c>
      <c r="M349">
        <v>0.9998165</v>
      </c>
      <c r="N349">
        <v>0</v>
      </c>
      <c r="O349">
        <v>1.1557960000000001E-2</v>
      </c>
      <c r="P349">
        <v>0.99483140000000003</v>
      </c>
      <c r="Q349">
        <v>7.9135879999999992E-3</v>
      </c>
      <c r="R349">
        <v>-0.10123210000000001</v>
      </c>
      <c r="S349">
        <v>2.967438</v>
      </c>
      <c r="T349">
        <v>-0.72927869999999995</v>
      </c>
      <c r="U349">
        <v>-0.5317383</v>
      </c>
      <c r="V349">
        <v>0.1127571</v>
      </c>
      <c r="W349">
        <v>2.294417E-2</v>
      </c>
      <c r="X349">
        <v>0.99335770000000001</v>
      </c>
      <c r="Y349">
        <v>0.1821575</v>
      </c>
      <c r="Z349">
        <v>-2.466718E-2</v>
      </c>
      <c r="AA349">
        <v>0.9829599</v>
      </c>
      <c r="AB349">
        <v>43</v>
      </c>
      <c r="AC349">
        <v>0.28370000000001</v>
      </c>
      <c r="AD349">
        <v>-0.1726973</v>
      </c>
      <c r="AE349">
        <v>-0.13080000000002101</v>
      </c>
      <c r="AF349">
        <v>0.10268928569852</v>
      </c>
      <c r="AG349">
        <v>-0.1726973</v>
      </c>
      <c r="AH349">
        <v>0.21612295382806601</v>
      </c>
      <c r="AI349">
        <v>125.81955460130099</v>
      </c>
      <c r="AJ349">
        <v>64.585602231077502</v>
      </c>
      <c r="AK349">
        <v>0.295090796189801</v>
      </c>
      <c r="AL349">
        <v>88.6852806030153</v>
      </c>
      <c r="AM349">
        <v>83.524013422840298</v>
      </c>
      <c r="AN349">
        <v>1.00000005934334</v>
      </c>
    </row>
    <row r="350" spans="1:40" x14ac:dyDescent="0.25">
      <c r="A350" t="str">
        <f>"20190312161231292"</f>
        <v>20190312161231292</v>
      </c>
      <c r="B350" t="str">
        <f>"1552378351286128"</f>
        <v>1552378351286128</v>
      </c>
      <c r="C350" t="s">
        <v>40</v>
      </c>
      <c r="D350">
        <v>5.6173080000000004</v>
      </c>
      <c r="E350">
        <v>0.52303920000000004</v>
      </c>
      <c r="F350" t="s">
        <v>43</v>
      </c>
      <c r="G350">
        <v>-376.62209999999999</v>
      </c>
      <c r="H350">
        <v>0.86828709999999898</v>
      </c>
      <c r="I350">
        <v>368.17110000000002</v>
      </c>
      <c r="J350">
        <v>-377.19880000000001</v>
      </c>
      <c r="K350">
        <v>1.109407</v>
      </c>
      <c r="L350">
        <v>368.33449999999999</v>
      </c>
      <c r="M350">
        <v>0.99982219999999999</v>
      </c>
      <c r="N350">
        <v>0</v>
      </c>
      <c r="O350">
        <v>1.10372E-2</v>
      </c>
      <c r="P350">
        <v>0.99478809999999995</v>
      </c>
      <c r="Q350">
        <v>8.2338859999999993E-3</v>
      </c>
      <c r="R350">
        <v>-0.10163179999999999</v>
      </c>
      <c r="S350">
        <v>2.974091</v>
      </c>
      <c r="T350">
        <v>-0.70522669999999998</v>
      </c>
      <c r="U350">
        <v>-0.46304319999999999</v>
      </c>
      <c r="V350">
        <v>0.1126394</v>
      </c>
      <c r="W350">
        <v>2.326833E-2</v>
      </c>
      <c r="X350">
        <v>0.99336340000000001</v>
      </c>
      <c r="Y350">
        <v>0.16009999999999999</v>
      </c>
      <c r="Z350">
        <v>-2.118186E-2</v>
      </c>
      <c r="AA350">
        <v>0.98687349999999996</v>
      </c>
      <c r="AB350">
        <v>43</v>
      </c>
      <c r="AC350">
        <v>0.57670000000001598</v>
      </c>
      <c r="AD350">
        <v>-0.2411199</v>
      </c>
      <c r="AE350">
        <v>-0.16339999999996699</v>
      </c>
      <c r="AF350">
        <v>0.14611218244552701</v>
      </c>
      <c r="AG350">
        <v>-0.2411199</v>
      </c>
      <c r="AH350">
        <v>0.49479399574136401</v>
      </c>
      <c r="AI350">
        <v>115.04961054412099</v>
      </c>
      <c r="AJ350">
        <v>73.548181027582402</v>
      </c>
      <c r="AK350">
        <v>0.56948105697793805</v>
      </c>
      <c r="AL350">
        <v>88.666702494347106</v>
      </c>
      <c r="AM350">
        <v>83.530752765482902</v>
      </c>
      <c r="AN350">
        <v>0.99999994703645301</v>
      </c>
    </row>
    <row r="351" spans="1:40" x14ac:dyDescent="0.25">
      <c r="A351" t="str">
        <f>"20190312161231315"</f>
        <v>20190312161231315</v>
      </c>
      <c r="B351" t="str">
        <f>"1552378351305648"</f>
        <v>1552378351305648</v>
      </c>
      <c r="C351" t="s">
        <v>40</v>
      </c>
      <c r="D351">
        <v>5.6086150000000004</v>
      </c>
      <c r="E351">
        <v>0.5214413</v>
      </c>
      <c r="F351" t="s">
        <v>43</v>
      </c>
      <c r="G351">
        <v>-376.23790000000002</v>
      </c>
      <c r="H351">
        <v>0.88049599999999995</v>
      </c>
      <c r="I351">
        <v>368.18799999999999</v>
      </c>
      <c r="J351">
        <v>-376.76350000000002</v>
      </c>
      <c r="K351">
        <v>1.1094109999999999</v>
      </c>
      <c r="L351">
        <v>368.33890000000002</v>
      </c>
      <c r="M351">
        <v>0.99982780000000004</v>
      </c>
      <c r="N351">
        <v>0</v>
      </c>
      <c r="O351">
        <v>1.05209E-2</v>
      </c>
      <c r="P351">
        <v>0.99472430000000001</v>
      </c>
      <c r="Q351">
        <v>8.1503189999999996E-3</v>
      </c>
      <c r="R351">
        <v>-0.1022614</v>
      </c>
      <c r="S351">
        <v>2.9751889999999999</v>
      </c>
      <c r="T351">
        <v>-0.70865730000000005</v>
      </c>
      <c r="U351">
        <v>-0.45370480000000002</v>
      </c>
      <c r="V351">
        <v>0.1127552</v>
      </c>
      <c r="W351">
        <v>2.318682E-2</v>
      </c>
      <c r="X351">
        <v>0.99335220000000002</v>
      </c>
      <c r="Y351">
        <v>0.1565752</v>
      </c>
      <c r="Z351">
        <v>-2.074705E-2</v>
      </c>
      <c r="AA351">
        <v>0.98744810000000005</v>
      </c>
      <c r="AB351">
        <v>43</v>
      </c>
      <c r="AC351">
        <v>0.52559999999999696</v>
      </c>
      <c r="AD351">
        <v>-0.22891500000000001</v>
      </c>
      <c r="AE351">
        <v>-0.150899999999978</v>
      </c>
      <c r="AF351">
        <v>0.13309770949338101</v>
      </c>
      <c r="AG351">
        <v>-0.22891500000000001</v>
      </c>
      <c r="AH351">
        <v>0.44585108035868198</v>
      </c>
      <c r="AI351">
        <v>116.19624633142701</v>
      </c>
      <c r="AJ351">
        <v>73.378318630732295</v>
      </c>
      <c r="AK351">
        <v>0.51855594042917696</v>
      </c>
      <c r="AL351">
        <v>88.671373975728599</v>
      </c>
      <c r="AM351">
        <v>83.524086067591298</v>
      </c>
      <c r="AN351">
        <v>0.99999997849679501</v>
      </c>
    </row>
    <row r="352" spans="1:40" x14ac:dyDescent="0.25">
      <c r="A352" t="str">
        <f>"20190312161231337"</f>
        <v>20190312161231337</v>
      </c>
      <c r="B352" t="str">
        <f>"1552378351326144"</f>
        <v>1552378351326144</v>
      </c>
      <c r="C352" t="s">
        <v>40</v>
      </c>
      <c r="D352">
        <v>5.6178309999999998</v>
      </c>
      <c r="E352">
        <v>0.51996830000000005</v>
      </c>
      <c r="F352" t="s">
        <v>43</v>
      </c>
      <c r="G352">
        <v>-375.85300000000001</v>
      </c>
      <c r="H352">
        <v>0.89454979999999995</v>
      </c>
      <c r="I352">
        <v>368.20280000000002</v>
      </c>
      <c r="J352">
        <v>-376.33789999999999</v>
      </c>
      <c r="K352">
        <v>1.109413</v>
      </c>
      <c r="L352">
        <v>368.34300000000002</v>
      </c>
      <c r="M352">
        <v>0.99983290000000002</v>
      </c>
      <c r="N352">
        <v>0</v>
      </c>
      <c r="O352">
        <v>1.001589E-2</v>
      </c>
      <c r="P352">
        <v>0.99470700000000001</v>
      </c>
      <c r="Q352">
        <v>7.9751000000000006E-3</v>
      </c>
      <c r="R352">
        <v>-0.1024436</v>
      </c>
      <c r="S352">
        <v>2.976105</v>
      </c>
      <c r="T352">
        <v>-0.70230479999999995</v>
      </c>
      <c r="U352">
        <v>-0.44351200000000002</v>
      </c>
      <c r="V352">
        <v>0.1124354</v>
      </c>
      <c r="W352">
        <v>2.3013769999999999E-2</v>
      </c>
      <c r="X352">
        <v>0.99339250000000001</v>
      </c>
      <c r="Y352">
        <v>0.152916</v>
      </c>
      <c r="Z352">
        <v>-2.002425E-2</v>
      </c>
      <c r="AA352">
        <v>0.98803629999999998</v>
      </c>
      <c r="AB352">
        <v>42</v>
      </c>
      <c r="AC352">
        <v>0.48489999999998101</v>
      </c>
      <c r="AD352">
        <v>-0.2148632</v>
      </c>
      <c r="AE352">
        <v>-0.140199999999993</v>
      </c>
      <c r="AF352">
        <v>0.12279932638552001</v>
      </c>
      <c r="AG352">
        <v>-0.2148632</v>
      </c>
      <c r="AH352">
        <v>0.40930609905141302</v>
      </c>
      <c r="AI352">
        <v>116.693414916367</v>
      </c>
      <c r="AJ352">
        <v>73.299793014673597</v>
      </c>
      <c r="AK352">
        <v>0.478306755122341</v>
      </c>
      <c r="AL352">
        <v>88.681291693275696</v>
      </c>
      <c r="AM352">
        <v>83.542557660602</v>
      </c>
      <c r="AN352">
        <v>1.00000000591951</v>
      </c>
    </row>
    <row r="353" spans="1:40" x14ac:dyDescent="0.25">
      <c r="A353" t="str">
        <f>"20190312161231360"</f>
        <v>20190312161231360</v>
      </c>
      <c r="B353" t="str">
        <f>"1552378351356400"</f>
        <v>1552378351356400</v>
      </c>
      <c r="C353" t="s">
        <v>40</v>
      </c>
      <c r="D353">
        <v>5.6474019999999996</v>
      </c>
      <c r="E353">
        <v>0.51583900000000005</v>
      </c>
      <c r="F353" t="s">
        <v>43</v>
      </c>
      <c r="G353">
        <v>-375.46960000000001</v>
      </c>
      <c r="H353">
        <v>0.90624170000000004</v>
      </c>
      <c r="I353">
        <v>368.21679999999998</v>
      </c>
      <c r="J353">
        <v>-375.91559999999998</v>
      </c>
      <c r="K353">
        <v>1.1094139999999999</v>
      </c>
      <c r="L353">
        <v>368.3467</v>
      </c>
      <c r="M353">
        <v>0.9998378</v>
      </c>
      <c r="N353">
        <v>0</v>
      </c>
      <c r="O353">
        <v>9.5145980000000008E-3</v>
      </c>
      <c r="P353">
        <v>0.99469660000000004</v>
      </c>
      <c r="Q353">
        <v>7.7240219999999997E-3</v>
      </c>
      <c r="R353">
        <v>-0.10256460000000001</v>
      </c>
      <c r="S353">
        <v>2.977112</v>
      </c>
      <c r="T353">
        <v>-0.69666719999999904</v>
      </c>
      <c r="U353">
        <v>-0.43197629999999998</v>
      </c>
      <c r="V353">
        <v>0.1120577</v>
      </c>
      <c r="W353">
        <v>2.2764449999999999E-2</v>
      </c>
      <c r="X353">
        <v>0.99344089999999996</v>
      </c>
      <c r="Y353">
        <v>0.14881429999999901</v>
      </c>
      <c r="Z353">
        <v>-1.9280200000000001E-2</v>
      </c>
      <c r="AA353">
        <v>0.98867720000000003</v>
      </c>
      <c r="AB353">
        <v>42</v>
      </c>
      <c r="AC353">
        <v>0.44599999999996898</v>
      </c>
      <c r="AD353">
        <v>-0.2031723</v>
      </c>
      <c r="AE353">
        <v>-0.12990000000002</v>
      </c>
      <c r="AF353">
        <v>0.11259882839333001</v>
      </c>
      <c r="AG353">
        <v>-0.2031723</v>
      </c>
      <c r="AH353">
        <v>0.37332876944002003</v>
      </c>
      <c r="AI353">
        <v>117.521106839423</v>
      </c>
      <c r="AJ353">
        <v>73.216284994325207</v>
      </c>
      <c r="AK353">
        <v>0.43969517820240001</v>
      </c>
      <c r="AL353">
        <v>88.695580393256506</v>
      </c>
      <c r="AM353">
        <v>83.564378515788107</v>
      </c>
      <c r="AN353">
        <v>0.99999998505295096</v>
      </c>
    </row>
    <row r="354" spans="1:40" x14ac:dyDescent="0.25">
      <c r="A354" t="str">
        <f>"20190312161231383"</f>
        <v>20190312161231383</v>
      </c>
      <c r="B354" t="str">
        <f>"1552378351375920"</f>
        <v>1552378351375920</v>
      </c>
      <c r="C354" t="s">
        <v>40</v>
      </c>
      <c r="D354">
        <v>5.6595120000000003</v>
      </c>
      <c r="E354">
        <v>0.51701920000000001</v>
      </c>
      <c r="F354" t="s">
        <v>43</v>
      </c>
      <c r="G354">
        <v>-375.08150000000001</v>
      </c>
      <c r="H354">
        <v>0.92907249999999997</v>
      </c>
      <c r="I354">
        <v>368.23379999999997</v>
      </c>
      <c r="J354">
        <v>-375.47890000000001</v>
      </c>
      <c r="K354">
        <v>1.109416</v>
      </c>
      <c r="L354">
        <v>368.35039999999998</v>
      </c>
      <c r="M354">
        <v>0.99984260000000003</v>
      </c>
      <c r="N354">
        <v>0</v>
      </c>
      <c r="O354">
        <v>8.9949139999999997E-3</v>
      </c>
      <c r="P354">
        <v>0.99469890000000005</v>
      </c>
      <c r="Q354">
        <v>7.2019769999999896E-3</v>
      </c>
      <c r="R354">
        <v>-0.10258050000000001</v>
      </c>
      <c r="S354">
        <v>2.9795530000000001</v>
      </c>
      <c r="T354">
        <v>-0.64424650000000006</v>
      </c>
      <c r="U354">
        <v>-0.40188600000000002</v>
      </c>
      <c r="V354">
        <v>0.1115565</v>
      </c>
      <c r="W354">
        <v>2.224435E-2</v>
      </c>
      <c r="X354">
        <v>0.99350910000000003</v>
      </c>
      <c r="Y354">
        <v>0.13921520000000001</v>
      </c>
      <c r="Z354">
        <v>-1.672879E-2</v>
      </c>
      <c r="AA354">
        <v>0.99012080000000002</v>
      </c>
      <c r="AB354">
        <v>42</v>
      </c>
      <c r="AC354">
        <v>0.39740000000000397</v>
      </c>
      <c r="AD354">
        <v>-0.18034349999999899</v>
      </c>
      <c r="AE354">
        <v>-0.11660000000000501</v>
      </c>
      <c r="AF354">
        <v>0.101015825365699</v>
      </c>
      <c r="AG354">
        <v>-0.18034349999999899</v>
      </c>
      <c r="AH354">
        <v>0.3331614650345</v>
      </c>
      <c r="AI354">
        <v>117.38513000394801</v>
      </c>
      <c r="AJ354">
        <v>73.132496580725004</v>
      </c>
      <c r="AK354">
        <v>0.39207720763963999</v>
      </c>
      <c r="AL354">
        <v>88.725387494027601</v>
      </c>
      <c r="AM354">
        <v>83.593359359670202</v>
      </c>
      <c r="AN354">
        <v>0.99999999779099102</v>
      </c>
    </row>
    <row r="355" spans="1:40" x14ac:dyDescent="0.25">
      <c r="A355" t="str">
        <f>"20190312161231405"</f>
        <v>20190312161231405</v>
      </c>
      <c r="B355" t="str">
        <f>"1552378351396416"</f>
        <v>1552378351396416</v>
      </c>
      <c r="C355" t="s">
        <v>40</v>
      </c>
      <c r="D355">
        <v>5.6696519999999904</v>
      </c>
      <c r="E355">
        <v>0.51788769999999995</v>
      </c>
      <c r="F355" t="s">
        <v>43</v>
      </c>
      <c r="G355">
        <v>-374.69920000000002</v>
      </c>
      <c r="H355">
        <v>0.93804030000000005</v>
      </c>
      <c r="I355">
        <v>368.24259999999998</v>
      </c>
      <c r="J355">
        <v>-375.06330000000003</v>
      </c>
      <c r="K355">
        <v>1.109418</v>
      </c>
      <c r="L355">
        <v>368.35379999999998</v>
      </c>
      <c r="M355">
        <v>0.99984700000000004</v>
      </c>
      <c r="N355">
        <v>0</v>
      </c>
      <c r="O355">
        <v>8.5006279999999997E-3</v>
      </c>
      <c r="P355">
        <v>0.99468840000000003</v>
      </c>
      <c r="Q355">
        <v>6.924085E-3</v>
      </c>
      <c r="R355">
        <v>-0.1026994</v>
      </c>
      <c r="S355">
        <v>2.9783019999999998</v>
      </c>
      <c r="T355">
        <v>-0.65458000000000005</v>
      </c>
      <c r="U355">
        <v>-0.4111938</v>
      </c>
      <c r="V355">
        <v>0.1111838</v>
      </c>
      <c r="W355">
        <v>2.1967380000000002E-2</v>
      </c>
      <c r="X355">
        <v>0.99355700000000002</v>
      </c>
      <c r="Y355">
        <v>0.14166379999999901</v>
      </c>
      <c r="Z355">
        <v>-1.7152250000000001E-2</v>
      </c>
      <c r="AA355">
        <v>0.98976620000000004</v>
      </c>
      <c r="AB355">
        <v>42</v>
      </c>
      <c r="AC355">
        <v>0.36410000000000697</v>
      </c>
      <c r="AD355">
        <v>-0.17137769999999899</v>
      </c>
      <c r="AE355">
        <v>-0.111199999999996</v>
      </c>
      <c r="AF355">
        <v>9.5033319320461607E-2</v>
      </c>
      <c r="AG355">
        <v>-0.17137769999999899</v>
      </c>
      <c r="AH355">
        <v>0.30195213200770299</v>
      </c>
      <c r="AI355">
        <v>118.430467092451</v>
      </c>
      <c r="AJ355">
        <v>72.529660171239399</v>
      </c>
      <c r="AK355">
        <v>0.35996769002557999</v>
      </c>
      <c r="AL355">
        <v>88.741260534522496</v>
      </c>
      <c r="AM355">
        <v>83.614891576363803</v>
      </c>
      <c r="AN355">
        <v>0.99999995770775096</v>
      </c>
    </row>
    <row r="356" spans="1:40" x14ac:dyDescent="0.25">
      <c r="A356" t="str">
        <f>"20190312161231427"</f>
        <v>20190312161231427</v>
      </c>
      <c r="B356" t="str">
        <f>"1552378351415936"</f>
        <v>1552378351415936</v>
      </c>
      <c r="C356" t="s">
        <v>40</v>
      </c>
      <c r="D356">
        <v>5.7234129999999999</v>
      </c>
      <c r="E356">
        <v>0.51867839999999998</v>
      </c>
      <c r="F356" t="s">
        <v>43</v>
      </c>
      <c r="G356">
        <v>-374.31880000000001</v>
      </c>
      <c r="H356">
        <v>0.94383229999999996</v>
      </c>
      <c r="I356">
        <v>368.24880000000002</v>
      </c>
      <c r="J356">
        <v>-374.6447</v>
      </c>
      <c r="K356">
        <v>1.109413</v>
      </c>
      <c r="L356">
        <v>368.3569</v>
      </c>
      <c r="M356">
        <v>0.99985100000000005</v>
      </c>
      <c r="N356">
        <v>0</v>
      </c>
      <c r="O356">
        <v>8.0024250000000005E-3</v>
      </c>
      <c r="P356">
        <v>0.99463449999999998</v>
      </c>
      <c r="Q356">
        <v>6.9021550000000001E-3</v>
      </c>
      <c r="R356">
        <v>-0.1032221</v>
      </c>
      <c r="S356">
        <v>2.9774479999999999</v>
      </c>
      <c r="T356">
        <v>-0.66241459999999996</v>
      </c>
      <c r="U356">
        <v>-0.41815190000000002</v>
      </c>
      <c r="V356">
        <v>0.1112107</v>
      </c>
      <c r="W356">
        <v>2.1944020000000002E-2</v>
      </c>
      <c r="X356">
        <v>0.99355450000000001</v>
      </c>
      <c r="Y356">
        <v>0.14336489999999999</v>
      </c>
      <c r="Z356">
        <v>-1.7431909999999998E-2</v>
      </c>
      <c r="AA356">
        <v>0.98951639999999996</v>
      </c>
      <c r="AB356">
        <v>42</v>
      </c>
      <c r="AC356">
        <v>0.32589999999998998</v>
      </c>
      <c r="AD356">
        <v>-0.165580699999999</v>
      </c>
      <c r="AE356">
        <v>-0.108099999999979</v>
      </c>
      <c r="AF356">
        <v>8.9817625738651902E-2</v>
      </c>
      <c r="AG356">
        <v>-0.165580699999999</v>
      </c>
      <c r="AH356">
        <v>0.26370049943000401</v>
      </c>
      <c r="AI356">
        <v>120.72641629191099</v>
      </c>
      <c r="AJ356">
        <v>71.190916621656697</v>
      </c>
      <c r="AK356">
        <v>0.32407117660392498</v>
      </c>
      <c r="AL356">
        <v>88.742599279699107</v>
      </c>
      <c r="AM356">
        <v>83.613343577947305</v>
      </c>
      <c r="AN356">
        <v>0.99999995213924897</v>
      </c>
    </row>
    <row r="357" spans="1:40" x14ac:dyDescent="0.25">
      <c r="A357" t="str">
        <f>"20190312161231448"</f>
        <v>20190312161231448</v>
      </c>
      <c r="B357" t="str">
        <f>"1552378351436432"</f>
        <v>1552378351436432</v>
      </c>
      <c r="C357" t="s">
        <v>40</v>
      </c>
      <c r="D357">
        <v>5.6673539999999996</v>
      </c>
      <c r="E357">
        <v>0.51964079999999901</v>
      </c>
      <c r="F357" t="s">
        <v>43</v>
      </c>
      <c r="G357">
        <v>-373.93819999999999</v>
      </c>
      <c r="H357">
        <v>0.95094909999999999</v>
      </c>
      <c r="I357">
        <v>368.25549999999998</v>
      </c>
      <c r="J357">
        <v>-374.25619999999998</v>
      </c>
      <c r="K357">
        <v>1.1094139999999999</v>
      </c>
      <c r="L357">
        <v>368.3596</v>
      </c>
      <c r="M357">
        <v>0.99985469999999999</v>
      </c>
      <c r="N357">
        <v>0</v>
      </c>
      <c r="O357">
        <v>7.5394549999999996E-3</v>
      </c>
      <c r="P357">
        <v>0.99462859999999997</v>
      </c>
      <c r="Q357">
        <v>6.9375039999999997E-3</v>
      </c>
      <c r="R357">
        <v>-0.1032761</v>
      </c>
      <c r="S357">
        <v>2.9765929999999998</v>
      </c>
      <c r="T357">
        <v>-0.66769049999999996</v>
      </c>
      <c r="U357">
        <v>-0.4260254</v>
      </c>
      <c r="V357">
        <v>0.1108046</v>
      </c>
      <c r="W357">
        <v>2.19793E-2</v>
      </c>
      <c r="X357">
        <v>0.99359909999999996</v>
      </c>
      <c r="Y357">
        <v>0.14541509999999999</v>
      </c>
      <c r="Z357">
        <v>-1.7693090000000002E-2</v>
      </c>
      <c r="AA357">
        <v>0.98921250000000005</v>
      </c>
      <c r="AB357">
        <v>42</v>
      </c>
      <c r="AC357">
        <v>0.31799999999998302</v>
      </c>
      <c r="AD357">
        <v>-0.15846489999999899</v>
      </c>
      <c r="AE357">
        <v>-0.104100000000016</v>
      </c>
      <c r="AF357">
        <v>8.6985360403745104E-2</v>
      </c>
      <c r="AG357">
        <v>-0.15846489999999899</v>
      </c>
      <c r="AH357">
        <v>0.25909491983913802</v>
      </c>
      <c r="AI357">
        <v>120.10540760929101</v>
      </c>
      <c r="AJ357">
        <v>71.441667845501897</v>
      </c>
      <c r="AK357">
        <v>0.31592365366181202</v>
      </c>
      <c r="AL357">
        <v>88.740577407086207</v>
      </c>
      <c r="AM357">
        <v>83.636756903502302</v>
      </c>
      <c r="AN357">
        <v>0.99999996026522897</v>
      </c>
    </row>
    <row r="358" spans="1:40" x14ac:dyDescent="0.25">
      <c r="A358" t="str">
        <f>"20190312161231470"</f>
        <v>20190312161231470</v>
      </c>
      <c r="B358" t="str">
        <f>"1552378351465712"</f>
        <v>1552378351465712</v>
      </c>
      <c r="C358" t="s">
        <v>40</v>
      </c>
      <c r="D358">
        <v>5.6430720000000001</v>
      </c>
      <c r="E358">
        <v>0.52028699999999894</v>
      </c>
      <c r="F358" t="s">
        <v>43</v>
      </c>
      <c r="G358">
        <v>-373.55959999999999</v>
      </c>
      <c r="H358">
        <v>0.95428069999999998</v>
      </c>
      <c r="I358">
        <v>368.25760000000002</v>
      </c>
      <c r="J358">
        <v>-373.8297</v>
      </c>
      <c r="K358">
        <v>1.109418</v>
      </c>
      <c r="L358">
        <v>368.36239999999998</v>
      </c>
      <c r="M358">
        <v>0.99985840000000004</v>
      </c>
      <c r="N358">
        <v>0</v>
      </c>
      <c r="O358">
        <v>7.0310800000000003E-3</v>
      </c>
      <c r="P358">
        <v>0.99457759999999995</v>
      </c>
      <c r="Q358">
        <v>6.4142499999999998E-3</v>
      </c>
      <c r="R358">
        <v>-0.1038007</v>
      </c>
      <c r="S358">
        <v>2.9757690000000001</v>
      </c>
      <c r="T358">
        <v>-0.66281250000000003</v>
      </c>
      <c r="U358">
        <v>-0.43405149999999998</v>
      </c>
      <c r="V358">
        <v>0.11082259999999999</v>
      </c>
      <c r="W358">
        <v>2.1454419999999998E-2</v>
      </c>
      <c r="X358">
        <v>0.99360859999999995</v>
      </c>
      <c r="Y358">
        <v>0.1475776</v>
      </c>
      <c r="Z358">
        <v>-1.769372E-2</v>
      </c>
      <c r="AA358">
        <v>0.9888922</v>
      </c>
      <c r="AB358">
        <v>42</v>
      </c>
      <c r="AC358">
        <v>0.270100000000013</v>
      </c>
      <c r="AD358">
        <v>-0.15513730000000001</v>
      </c>
      <c r="AE358">
        <v>-0.104799999999954</v>
      </c>
      <c r="AF358">
        <v>8.2920595522453094E-2</v>
      </c>
      <c r="AG358">
        <v>-0.15513730000000001</v>
      </c>
      <c r="AH358">
        <v>0.20933342801042101</v>
      </c>
      <c r="AI358">
        <v>124.567386339775</v>
      </c>
      <c r="AJ358">
        <v>68.390624006058403</v>
      </c>
      <c r="AK358">
        <v>0.27342986503979799</v>
      </c>
      <c r="AL358">
        <v>88.770657954729501</v>
      </c>
      <c r="AM358">
        <v>83.635792037753205</v>
      </c>
      <c r="AN358">
        <v>0.99999999540112805</v>
      </c>
    </row>
    <row r="359" spans="1:40" x14ac:dyDescent="0.25">
      <c r="A359" t="str">
        <f>"20190312161231494"</f>
        <v>20190312161231494</v>
      </c>
      <c r="B359" t="str">
        <f>"1552378351486209"</f>
        <v>1552378351486209</v>
      </c>
      <c r="C359" t="s">
        <v>40</v>
      </c>
      <c r="D359">
        <v>5.6939419999999998</v>
      </c>
      <c r="E359">
        <v>0.52053320000000003</v>
      </c>
      <c r="F359" t="s">
        <v>43</v>
      </c>
      <c r="G359">
        <v>-372.83600000000001</v>
      </c>
      <c r="H359">
        <v>0.88526800000000005</v>
      </c>
      <c r="I359">
        <v>368.2149</v>
      </c>
      <c r="J359">
        <v>-373.38799999999998</v>
      </c>
      <c r="K359">
        <v>1.1094170000000001</v>
      </c>
      <c r="L359">
        <v>368.36500000000001</v>
      </c>
      <c r="M359">
        <v>0.99986200000000003</v>
      </c>
      <c r="N359">
        <v>0</v>
      </c>
      <c r="O359">
        <v>6.5037609999999899E-3</v>
      </c>
      <c r="P359">
        <v>0.99452660000000004</v>
      </c>
      <c r="Q359">
        <v>6.0822869999999996E-3</v>
      </c>
      <c r="R359">
        <v>-0.1043075</v>
      </c>
      <c r="S359">
        <v>2.9747620000000001</v>
      </c>
      <c r="T359">
        <v>-0.67106719999999997</v>
      </c>
      <c r="U359">
        <v>-0.44027709999999998</v>
      </c>
      <c r="V359">
        <v>0.1108045</v>
      </c>
      <c r="W359">
        <v>2.1120710000000001E-2</v>
      </c>
      <c r="X359">
        <v>0.9936178</v>
      </c>
      <c r="Y359">
        <v>0.14901439999999999</v>
      </c>
      <c r="Z359">
        <v>-1.7954339999999999E-2</v>
      </c>
      <c r="AA359">
        <v>0.988672</v>
      </c>
      <c r="AB359">
        <v>42</v>
      </c>
      <c r="AC359">
        <v>0.55200000000002003</v>
      </c>
      <c r="AD359">
        <v>-0.22414899999999999</v>
      </c>
      <c r="AE359">
        <v>-0.150100000000009</v>
      </c>
      <c r="AF359">
        <v>0.13323128789510999</v>
      </c>
      <c r="AG359">
        <v>-0.22414899999999999</v>
      </c>
      <c r="AH359">
        <v>0.47767140103706401</v>
      </c>
      <c r="AI359">
        <v>114.32301622573399</v>
      </c>
      <c r="AJ359">
        <v>74.415241584713996</v>
      </c>
      <c r="AK359">
        <v>0.54420889155167396</v>
      </c>
      <c r="AL359">
        <v>88.789782501514395</v>
      </c>
      <c r="AM359">
        <v>83.636881373726595</v>
      </c>
      <c r="AN359">
        <v>1.0000000270439899</v>
      </c>
    </row>
    <row r="360" spans="1:40" x14ac:dyDescent="0.25">
      <c r="A360" t="str">
        <f>"20190312161231516"</f>
        <v>20190312161231516</v>
      </c>
      <c r="B360" t="str">
        <f>"1552378351505728"</f>
        <v>1552378351505728</v>
      </c>
      <c r="C360" t="s">
        <v>40</v>
      </c>
      <c r="D360">
        <v>5.6991379999999996</v>
      </c>
      <c r="E360">
        <v>0.52078190000000002</v>
      </c>
      <c r="F360" t="s">
        <v>43</v>
      </c>
      <c r="G360">
        <v>-372.45549999999997</v>
      </c>
      <c r="H360">
        <v>0.89763150000000003</v>
      </c>
      <c r="I360">
        <v>368.226</v>
      </c>
      <c r="J360">
        <v>-372.96719999999999</v>
      </c>
      <c r="K360">
        <v>1.1094200000000001</v>
      </c>
      <c r="L360">
        <v>368.3673</v>
      </c>
      <c r="M360">
        <v>0.99986509999999995</v>
      </c>
      <c r="N360">
        <v>0</v>
      </c>
      <c r="O360">
        <v>6.0013590000000004E-3</v>
      </c>
      <c r="P360">
        <v>0.9944577</v>
      </c>
      <c r="Q360">
        <v>6.0751049999999999E-3</v>
      </c>
      <c r="R360">
        <v>-0.1049626</v>
      </c>
      <c r="S360">
        <v>2.9741520000000001</v>
      </c>
      <c r="T360">
        <v>-0.67545710000000003</v>
      </c>
      <c r="U360">
        <v>-0.44335940000000001</v>
      </c>
      <c r="V360">
        <v>0.1109598</v>
      </c>
      <c r="W360">
        <v>2.1110219999999999E-2</v>
      </c>
      <c r="X360">
        <v>0.9936007</v>
      </c>
      <c r="Y360">
        <v>0.14949970000000001</v>
      </c>
      <c r="Z360">
        <v>-1.8013210000000002E-2</v>
      </c>
      <c r="AA360">
        <v>0.98859770000000002</v>
      </c>
      <c r="AB360">
        <v>42</v>
      </c>
      <c r="AC360">
        <v>0.51170000000001803</v>
      </c>
      <c r="AD360">
        <v>-0.21178849999999999</v>
      </c>
      <c r="AE360">
        <v>-0.14130000000000101</v>
      </c>
      <c r="AF360">
        <v>0.12454495423881801</v>
      </c>
      <c r="AG360">
        <v>-0.21178849999999999</v>
      </c>
      <c r="AH360">
        <v>0.44069715672812798</v>
      </c>
      <c r="AI360">
        <v>114.81878668702601</v>
      </c>
      <c r="AJ360">
        <v>74.219233976883501</v>
      </c>
      <c r="AK360">
        <v>0.50455901370093004</v>
      </c>
      <c r="AL360">
        <v>88.790383677669496</v>
      </c>
      <c r="AM360">
        <v>83.627927574978898</v>
      </c>
      <c r="AN360">
        <v>1.00000003482248</v>
      </c>
    </row>
    <row r="361" spans="1:40" x14ac:dyDescent="0.25">
      <c r="A361" t="str">
        <f>"20190312161231530"</f>
        <v>20190312161231530</v>
      </c>
      <c r="B361" t="str">
        <f>"1552378351526225"</f>
        <v>1552378351526225</v>
      </c>
      <c r="C361" t="s">
        <v>40</v>
      </c>
      <c r="D361">
        <v>5.6549589999999998</v>
      </c>
      <c r="E361">
        <v>0.52126119999999998</v>
      </c>
      <c r="F361" t="s">
        <v>43</v>
      </c>
      <c r="G361">
        <v>-372.07639999999998</v>
      </c>
      <c r="H361">
        <v>0.90697119999999998</v>
      </c>
      <c r="I361">
        <v>368.2328</v>
      </c>
      <c r="J361">
        <v>-372.70620000000002</v>
      </c>
      <c r="K361">
        <v>1.109424</v>
      </c>
      <c r="L361">
        <v>368.36860000000001</v>
      </c>
      <c r="M361">
        <v>0.99986699999999995</v>
      </c>
      <c r="N361">
        <v>0</v>
      </c>
      <c r="O361">
        <v>5.689609E-3</v>
      </c>
      <c r="P361">
        <v>0.99444100000000002</v>
      </c>
      <c r="Q361">
        <v>6.0512219999999898E-3</v>
      </c>
      <c r="R361">
        <v>-0.1051222</v>
      </c>
      <c r="S361">
        <v>2.9736020000000001</v>
      </c>
      <c r="T361">
        <v>-0.67593190000000003</v>
      </c>
      <c r="U361">
        <v>-0.4473877</v>
      </c>
      <c r="V361">
        <v>0.11080909999999999</v>
      </c>
      <c r="W361">
        <v>2.1085429999999999E-2</v>
      </c>
      <c r="X361">
        <v>0.993618</v>
      </c>
      <c r="Y361">
        <v>0.1505049</v>
      </c>
      <c r="Z361">
        <v>-1.806963E-2</v>
      </c>
      <c r="AA361">
        <v>0.98844410000000005</v>
      </c>
      <c r="AB361">
        <v>42</v>
      </c>
      <c r="AC361">
        <v>0.62980000000004499</v>
      </c>
      <c r="AD361">
        <v>-0.20245279999999999</v>
      </c>
      <c r="AE361">
        <v>-0.13580000000001699</v>
      </c>
      <c r="AF361">
        <v>0.126855466089946</v>
      </c>
      <c r="AG361">
        <v>-0.20245279999999999</v>
      </c>
      <c r="AH361">
        <v>0.57248797295158504</v>
      </c>
      <c r="AI361">
        <v>109.047852053005</v>
      </c>
      <c r="AJ361">
        <v>77.505920448265996</v>
      </c>
      <c r="AK361">
        <v>0.62034016851962204</v>
      </c>
      <c r="AL361">
        <v>88.791804303215102</v>
      </c>
      <c r="AM361">
        <v>83.636620648856805</v>
      </c>
      <c r="AN361">
        <v>0.99999999096254699</v>
      </c>
    </row>
    <row r="362" spans="1:40" x14ac:dyDescent="0.25">
      <c r="A362" t="str">
        <f>"20190312161231550"</f>
        <v>20190312161231550</v>
      </c>
      <c r="B362" t="str">
        <f>"1552378351545744"</f>
        <v>1552378351545744</v>
      </c>
      <c r="C362" t="s">
        <v>40</v>
      </c>
      <c r="D362">
        <v>6.2978319999999997</v>
      </c>
      <c r="E362">
        <v>0.52136709999999997</v>
      </c>
      <c r="F362" t="s">
        <v>43</v>
      </c>
      <c r="G362">
        <v>-371.71129999999999</v>
      </c>
      <c r="H362">
        <v>0.88221240000000001</v>
      </c>
      <c r="I362">
        <v>368.21699999999998</v>
      </c>
      <c r="J362">
        <v>-372.34140000000002</v>
      </c>
      <c r="K362">
        <v>1.1094269999999999</v>
      </c>
      <c r="L362">
        <v>368.37029999999999</v>
      </c>
      <c r="M362">
        <v>0.99986940000000002</v>
      </c>
      <c r="N362">
        <v>0</v>
      </c>
      <c r="O362">
        <v>5.2538970000000004E-3</v>
      </c>
      <c r="P362">
        <v>0.99441679999999999</v>
      </c>
      <c r="Q362">
        <v>5.7366190000000001E-3</v>
      </c>
      <c r="R362">
        <v>-0.1053668</v>
      </c>
      <c r="S362">
        <v>2.9731139999999998</v>
      </c>
      <c r="T362">
        <v>-0.67908789999999997</v>
      </c>
      <c r="U362">
        <v>-0.45196530000000001</v>
      </c>
      <c r="V362">
        <v>0.1106203</v>
      </c>
      <c r="W362">
        <v>2.076888E-2</v>
      </c>
      <c r="X362">
        <v>0.99364569999999997</v>
      </c>
      <c r="Y362">
        <v>0.151535</v>
      </c>
      <c r="Z362">
        <v>-1.8170550000000001E-2</v>
      </c>
      <c r="AA362">
        <v>0.98828490000000002</v>
      </c>
      <c r="AB362">
        <v>42</v>
      </c>
      <c r="AC362">
        <v>0.63010000000002697</v>
      </c>
      <c r="AD362">
        <v>-0.22721459999999999</v>
      </c>
      <c r="AE362">
        <v>-0.15330000000000099</v>
      </c>
      <c r="AF362">
        <v>0.13948474391195501</v>
      </c>
      <c r="AG362">
        <v>-0.22721459999999999</v>
      </c>
      <c r="AH362">
        <v>0.56047804522752698</v>
      </c>
      <c r="AI362">
        <v>111.474420184306</v>
      </c>
      <c r="AJ362">
        <v>76.024845850768898</v>
      </c>
      <c r="AK362">
        <v>0.62065941338177799</v>
      </c>
      <c r="AL362">
        <v>88.809945250720403</v>
      </c>
      <c r="AM362">
        <v>83.6475497063783</v>
      </c>
      <c r="AN362">
        <v>0.99999998713851701</v>
      </c>
    </row>
    <row r="363" spans="1:40" x14ac:dyDescent="0.25">
      <c r="A363" t="str">
        <f>"20190312161231573"</f>
        <v>20190312161231573</v>
      </c>
      <c r="B363" t="str">
        <f>"1552378351566241"</f>
        <v>1552378351566241</v>
      </c>
      <c r="C363" t="s">
        <v>40</v>
      </c>
      <c r="D363">
        <v>5.7496289999999997</v>
      </c>
      <c r="E363">
        <v>0.52079160000000002</v>
      </c>
      <c r="F363" t="s">
        <v>43</v>
      </c>
      <c r="G363">
        <v>-371.33679999999998</v>
      </c>
      <c r="H363">
        <v>0.88225710000000002</v>
      </c>
      <c r="I363">
        <v>368.21660000000003</v>
      </c>
      <c r="J363">
        <v>-371.91370000000001</v>
      </c>
      <c r="K363">
        <v>1.1094280000000001</v>
      </c>
      <c r="L363">
        <v>368.37209999999999</v>
      </c>
      <c r="M363">
        <v>0.99987210000000004</v>
      </c>
      <c r="N363">
        <v>0</v>
      </c>
      <c r="O363">
        <v>4.742273E-3</v>
      </c>
      <c r="P363">
        <v>0.99438000000000004</v>
      </c>
      <c r="Q363">
        <v>5.721388E-3</v>
      </c>
      <c r="R363">
        <v>-0.1057162</v>
      </c>
      <c r="S363">
        <v>2.972626</v>
      </c>
      <c r="T363">
        <v>-0.67228669999999902</v>
      </c>
      <c r="U363">
        <v>-0.45379639999999999</v>
      </c>
      <c r="V363">
        <v>0.1104608</v>
      </c>
      <c r="W363">
        <v>2.0750770000000002E-2</v>
      </c>
      <c r="X363">
        <v>0.99366379999999999</v>
      </c>
      <c r="Y363">
        <v>0.15173329999999999</v>
      </c>
      <c r="Z363">
        <v>-1.790342E-2</v>
      </c>
      <c r="AA363">
        <v>0.98825929999999995</v>
      </c>
      <c r="AB363">
        <v>42</v>
      </c>
      <c r="AC363">
        <v>0.57690000000002295</v>
      </c>
      <c r="AD363">
        <v>-0.22717090000000001</v>
      </c>
      <c r="AE363">
        <v>-0.15549999999996</v>
      </c>
      <c r="AF363">
        <v>0.138249238206196</v>
      </c>
      <c r="AG363">
        <v>-0.22717090000000001</v>
      </c>
      <c r="AH363">
        <v>0.50338696667453497</v>
      </c>
      <c r="AI363">
        <v>113.517302598424</v>
      </c>
      <c r="AJ363">
        <v>74.643028216838999</v>
      </c>
      <c r="AK363">
        <v>0.56931354093258102</v>
      </c>
      <c r="AL363">
        <v>88.810983074771698</v>
      </c>
      <c r="AM363">
        <v>83.656748997598996</v>
      </c>
      <c r="AN363">
        <v>0.99999996511133504</v>
      </c>
    </row>
    <row r="364" spans="1:40" x14ac:dyDescent="0.25">
      <c r="A364" t="str">
        <f>"20190312161231595"</f>
        <v>20190312161231595</v>
      </c>
      <c r="B364" t="str">
        <f>"1552378351585761"</f>
        <v>1552378351585761</v>
      </c>
      <c r="C364" t="s">
        <v>40</v>
      </c>
      <c r="D364">
        <v>5.7424730000000004</v>
      </c>
      <c r="E364">
        <v>0.52047379999999999</v>
      </c>
      <c r="F364" t="s">
        <v>43</v>
      </c>
      <c r="G364">
        <v>-370.95659999999998</v>
      </c>
      <c r="H364">
        <v>0.89753320000000003</v>
      </c>
      <c r="I364">
        <v>368.22649999999999</v>
      </c>
      <c r="J364">
        <v>-371.4896</v>
      </c>
      <c r="K364">
        <v>1.1094269999999999</v>
      </c>
      <c r="L364">
        <v>368.37369999999999</v>
      </c>
      <c r="M364">
        <v>0.99987440000000005</v>
      </c>
      <c r="N364">
        <v>0</v>
      </c>
      <c r="O364">
        <v>4.2348780000000001E-3</v>
      </c>
      <c r="P364">
        <v>0.99436500000000005</v>
      </c>
      <c r="Q364">
        <v>5.8621819999999996E-3</v>
      </c>
      <c r="R364">
        <v>-0.1058497</v>
      </c>
      <c r="S364">
        <v>2.9728089999999998</v>
      </c>
      <c r="T364">
        <v>-0.65827209999999903</v>
      </c>
      <c r="U364">
        <v>-0.45077509999999998</v>
      </c>
      <c r="V364">
        <v>0.1100899</v>
      </c>
      <c r="W364">
        <v>2.0889970000000001E-2</v>
      </c>
      <c r="X364">
        <v>0.99370210000000003</v>
      </c>
      <c r="Y364">
        <v>0.1504412</v>
      </c>
      <c r="Z364">
        <v>-1.7288209999999998E-2</v>
      </c>
      <c r="AA364">
        <v>0.98846780000000001</v>
      </c>
      <c r="AB364">
        <v>42</v>
      </c>
      <c r="AC364">
        <v>0.53300000000001502</v>
      </c>
      <c r="AD364">
        <v>-0.21189379999999899</v>
      </c>
      <c r="AE364">
        <v>-0.147199999999998</v>
      </c>
      <c r="AF364">
        <v>0.13031933883210201</v>
      </c>
      <c r="AG364">
        <v>-0.21189379999999899</v>
      </c>
      <c r="AH364">
        <v>0.464205356006824</v>
      </c>
      <c r="AI364">
        <v>113.724329963597</v>
      </c>
      <c r="AJ364">
        <v>74.318636023148002</v>
      </c>
      <c r="AK364">
        <v>0.52665807227982198</v>
      </c>
      <c r="AL364">
        <v>88.803005838753805</v>
      </c>
      <c r="AM364">
        <v>83.678117013602801</v>
      </c>
      <c r="AN364">
        <v>1.00000002023651</v>
      </c>
    </row>
    <row r="365" spans="1:40" x14ac:dyDescent="0.25">
      <c r="A365" t="str">
        <f>"20190312161231616"</f>
        <v>20190312161231616</v>
      </c>
      <c r="B365" t="str">
        <f>"1552378351606256"</f>
        <v>1552378351606256</v>
      </c>
      <c r="C365" t="s">
        <v>40</v>
      </c>
      <c r="D365">
        <v>5.7948320000000004</v>
      </c>
      <c r="E365">
        <v>0.51608100000000001</v>
      </c>
      <c r="F365" t="s">
        <v>43</v>
      </c>
      <c r="G365">
        <v>-370.57810000000001</v>
      </c>
      <c r="H365">
        <v>0.90987050000000003</v>
      </c>
      <c r="I365">
        <v>368.23540000000003</v>
      </c>
      <c r="J365">
        <v>-371.09530000000001</v>
      </c>
      <c r="K365">
        <v>1.109429</v>
      </c>
      <c r="L365">
        <v>368.37490000000003</v>
      </c>
      <c r="M365">
        <v>0.9998764</v>
      </c>
      <c r="N365">
        <v>0</v>
      </c>
      <c r="O365">
        <v>3.7630039999999999E-3</v>
      </c>
      <c r="P365">
        <v>0.99438550000000003</v>
      </c>
      <c r="Q365">
        <v>5.9741400000000002E-3</v>
      </c>
      <c r="R365">
        <v>-0.10565140000000001</v>
      </c>
      <c r="S365">
        <v>2.9730219999999998</v>
      </c>
      <c r="T365">
        <v>-0.65102450000000001</v>
      </c>
      <c r="U365">
        <v>-0.44934079999999899</v>
      </c>
      <c r="V365">
        <v>0.1094229</v>
      </c>
      <c r="W365">
        <v>2.1000580000000001E-2</v>
      </c>
      <c r="X365">
        <v>0.99377340000000003</v>
      </c>
      <c r="Y365">
        <v>0.14960789999999999</v>
      </c>
      <c r="Z365">
        <v>-1.6910359999999999E-2</v>
      </c>
      <c r="AA365">
        <v>0.98860079999999995</v>
      </c>
      <c r="AB365">
        <v>42</v>
      </c>
      <c r="AC365">
        <v>0.51720000000000199</v>
      </c>
      <c r="AD365">
        <v>-0.1995585</v>
      </c>
      <c r="AE365">
        <v>-0.13949999999999799</v>
      </c>
      <c r="AF365">
        <v>0.124207958239595</v>
      </c>
      <c r="AG365">
        <v>-0.1995585</v>
      </c>
      <c r="AH365">
        <v>0.45370625391703701</v>
      </c>
      <c r="AI365">
        <v>112.988148355844</v>
      </c>
      <c r="AJ365">
        <v>74.689664544790105</v>
      </c>
      <c r="AK365">
        <v>0.51098001590642494</v>
      </c>
      <c r="AL365">
        <v>88.796666917264105</v>
      </c>
      <c r="AM365">
        <v>83.716559221902997</v>
      </c>
      <c r="AN365">
        <v>0.999999982976153</v>
      </c>
    </row>
    <row r="366" spans="1:40" x14ac:dyDescent="0.25">
      <c r="A366" t="str">
        <f>"20190312161231694"</f>
        <v>20190312161231694</v>
      </c>
      <c r="B366" t="str">
        <f>"1552378351686100"</f>
        <v>1552378351686100</v>
      </c>
      <c r="C366" t="s">
        <v>40</v>
      </c>
      <c r="D366">
        <v>6.3828389999999997</v>
      </c>
      <c r="E366">
        <v>0.44816220000000001</v>
      </c>
      <c r="F366" t="s">
        <v>42</v>
      </c>
      <c r="G366">
        <v>-367.90980000000002</v>
      </c>
      <c r="H366" s="1">
        <v>-1.118856E-6</v>
      </c>
      <c r="I366">
        <v>368.26409999999998</v>
      </c>
      <c r="J366">
        <v>-369.63339999999999</v>
      </c>
      <c r="K366">
        <v>1.109442</v>
      </c>
      <c r="L366">
        <v>368.37790000000001</v>
      </c>
      <c r="M366">
        <v>0.99988160000000004</v>
      </c>
      <c r="N366">
        <v>0</v>
      </c>
      <c r="O366">
        <v>2.0112810000000002E-3</v>
      </c>
      <c r="P366">
        <v>0.99410240000000005</v>
      </c>
      <c r="Q366">
        <v>5.3122530000000003E-3</v>
      </c>
      <c r="R366">
        <v>-0.10831499999999999</v>
      </c>
      <c r="S366">
        <v>3.0085449999999998</v>
      </c>
      <c r="T366">
        <v>-1.5517379999999901</v>
      </c>
      <c r="U366">
        <v>-0.1582336</v>
      </c>
      <c r="V366">
        <v>0.1103432</v>
      </c>
      <c r="W366">
        <v>2.0324080000000001E-2</v>
      </c>
      <c r="X366">
        <v>0.99368570000000001</v>
      </c>
      <c r="Y366">
        <v>4.8254770000000002E-2</v>
      </c>
      <c r="Z366">
        <v>-1.268041E-2</v>
      </c>
      <c r="AA366">
        <v>0.99875460000000005</v>
      </c>
      <c r="AB366">
        <v>42</v>
      </c>
      <c r="AC366">
        <v>1.72359999999997</v>
      </c>
      <c r="AD366">
        <v>-1.1094431188560001</v>
      </c>
      <c r="AE366">
        <v>-0.11380000000002601</v>
      </c>
      <c r="AF366">
        <v>8.3019411486054503E-2</v>
      </c>
      <c r="AG366">
        <v>-1.1094431188560001</v>
      </c>
      <c r="AH366">
        <v>1.22006350620065</v>
      </c>
      <c r="AI366">
        <v>132.21539580516301</v>
      </c>
      <c r="AJ366">
        <v>86.107300269725599</v>
      </c>
      <c r="AK366">
        <v>1.6511545099787099</v>
      </c>
      <c r="AL366">
        <v>88.835435786988398</v>
      </c>
      <c r="AM366">
        <v>83.663585776149802</v>
      </c>
      <c r="AN366">
        <v>0.99999998019928804</v>
      </c>
    </row>
    <row r="367" spans="1:40" x14ac:dyDescent="0.25">
      <c r="A367" t="str">
        <f>"20190312161231717"</f>
        <v>20190312161231717</v>
      </c>
      <c r="B367" t="str">
        <f>"1552378351705620"</f>
        <v>1552378351705620</v>
      </c>
      <c r="C367" t="s">
        <v>40</v>
      </c>
      <c r="D367">
        <v>6.3982109999999999</v>
      </c>
      <c r="E367">
        <v>0.4543951</v>
      </c>
      <c r="F367" t="s">
        <v>43</v>
      </c>
      <c r="G367">
        <v>-368.7303</v>
      </c>
      <c r="H367">
        <v>0.87393410000000005</v>
      </c>
      <c r="I367">
        <v>368.41469999999998</v>
      </c>
      <c r="J367">
        <v>-369.22269999999997</v>
      </c>
      <c r="K367">
        <v>1.109448</v>
      </c>
      <c r="L367">
        <v>368.37830000000002</v>
      </c>
      <c r="M367">
        <v>0.99988239999999995</v>
      </c>
      <c r="N367">
        <v>0</v>
      </c>
      <c r="O367">
        <v>1.51921E-3</v>
      </c>
      <c r="P367">
        <v>0.99399079999999995</v>
      </c>
      <c r="Q367">
        <v>5.5824669999999998E-3</v>
      </c>
      <c r="R367">
        <v>-0.1093215</v>
      </c>
      <c r="S367">
        <v>3.0355829999999999</v>
      </c>
      <c r="T367">
        <v>-0.79167759999999998</v>
      </c>
      <c r="U367">
        <v>0.12429809999999999</v>
      </c>
      <c r="V367">
        <v>0.1108606</v>
      </c>
      <c r="W367">
        <v>2.0588200000000001E-2</v>
      </c>
      <c r="X367">
        <v>0.99362269999999997</v>
      </c>
      <c r="Y367">
        <v>-3.8170679999999998E-2</v>
      </c>
      <c r="Z367">
        <v>4.5040360000000003E-3</v>
      </c>
      <c r="AA367">
        <v>0.99926110000000001</v>
      </c>
      <c r="AB367">
        <v>42</v>
      </c>
      <c r="AC367">
        <v>0.49239999999997502</v>
      </c>
      <c r="AD367">
        <v>-0.235513899999999</v>
      </c>
      <c r="AE367">
        <v>3.6399999999957799E-2</v>
      </c>
      <c r="AF367">
        <v>-2.90436414169719E-2</v>
      </c>
      <c r="AG367">
        <v>-0.235513899999999</v>
      </c>
      <c r="AH367">
        <v>0.40117677217122399</v>
      </c>
      <c r="AI367">
        <v>120.35005023168701</v>
      </c>
      <c r="AJ367">
        <v>94.140767971274101</v>
      </c>
      <c r="AK367">
        <v>0.46610420801542801</v>
      </c>
      <c r="AL367">
        <v>88.820299691279502</v>
      </c>
      <c r="AM367">
        <v>83.6337173268616</v>
      </c>
      <c r="AN367">
        <v>1.0000000082834399</v>
      </c>
    </row>
    <row r="368" spans="1:40" x14ac:dyDescent="0.25">
      <c r="A368" t="str">
        <f>"20190312161231762"</f>
        <v>20190312161231762</v>
      </c>
      <c r="B368" t="str">
        <f>"1552378351756373"</f>
        <v>1552378351756373</v>
      </c>
      <c r="C368" t="s">
        <v>40</v>
      </c>
      <c r="D368">
        <v>5.6846050000000004</v>
      </c>
      <c r="E368">
        <v>0.46106710000000001</v>
      </c>
      <c r="F368" t="s">
        <v>42</v>
      </c>
      <c r="G368">
        <v>-252.0145</v>
      </c>
      <c r="H368" s="1">
        <v>-3.4496430000000001E-6</v>
      </c>
      <c r="I368">
        <v>369.77249999999998</v>
      </c>
      <c r="J368">
        <v>-368.38749999999999</v>
      </c>
      <c r="K368">
        <v>1.1094619999999999</v>
      </c>
      <c r="L368">
        <v>368.3784</v>
      </c>
      <c r="M368">
        <v>0.99988370000000004</v>
      </c>
      <c r="N368">
        <v>0</v>
      </c>
      <c r="O368">
        <v>5.1696119999999999E-4</v>
      </c>
      <c r="P368">
        <v>0.99392119999999995</v>
      </c>
      <c r="Q368">
        <v>6.4322069999999997E-3</v>
      </c>
      <c r="R368">
        <v>-0.10990610000000001</v>
      </c>
      <c r="S368">
        <v>3.0222470000000001</v>
      </c>
      <c r="T368">
        <v>-2.8607489999999999E-2</v>
      </c>
      <c r="U368">
        <v>3.5949710000000003E-2</v>
      </c>
      <c r="V368">
        <v>0.11045000000000001</v>
      </c>
      <c r="W368">
        <v>2.1431059999999998E-2</v>
      </c>
      <c r="X368">
        <v>0.99365060000000005</v>
      </c>
      <c r="Y368">
        <v>-1.137671E-2</v>
      </c>
      <c r="Z368" s="1">
        <v>4.8947150000000001E-5</v>
      </c>
      <c r="AA368">
        <v>0.99993529999999997</v>
      </c>
      <c r="AB368">
        <v>41</v>
      </c>
      <c r="AC368">
        <v>116.373</v>
      </c>
      <c r="AD368">
        <v>-1.1094654496430001</v>
      </c>
      <c r="AE368">
        <v>1.3940999999999799</v>
      </c>
      <c r="AF368">
        <v>-1.3338112838590499</v>
      </c>
      <c r="AG368">
        <v>-1.1094654496430001</v>
      </c>
      <c r="AH368">
        <v>116.363130327655</v>
      </c>
      <c r="AI368">
        <v>90.546234758490797</v>
      </c>
      <c r="AJ368">
        <v>90.656723571253494</v>
      </c>
      <c r="AK368">
        <v>116.376063113407</v>
      </c>
      <c r="AL368">
        <v>88.771996702335102</v>
      </c>
      <c r="AM368">
        <v>83.657280565769398</v>
      </c>
      <c r="AN368">
        <v>1.00000000385654</v>
      </c>
    </row>
    <row r="369" spans="1:40" x14ac:dyDescent="0.25">
      <c r="A369" t="str">
        <f>"20190312161231785"</f>
        <v>20190312161231785</v>
      </c>
      <c r="B369" t="str">
        <f>"1552378351775894"</f>
        <v>1552378351775894</v>
      </c>
      <c r="C369" t="s">
        <v>40</v>
      </c>
      <c r="D369">
        <v>5.6346179999999997</v>
      </c>
      <c r="E369">
        <v>0.46357310000000002</v>
      </c>
      <c r="F369" t="s">
        <v>52</v>
      </c>
      <c r="G369">
        <v>-158.19499999999999</v>
      </c>
      <c r="H369">
        <v>0.68253949999999997</v>
      </c>
      <c r="I369">
        <v>366.98970000000003</v>
      </c>
      <c r="J369">
        <v>-367.96499999999997</v>
      </c>
      <c r="K369">
        <v>1.109467</v>
      </c>
      <c r="L369">
        <v>368.37819999999999</v>
      </c>
      <c r="M369">
        <v>0.99988390000000005</v>
      </c>
      <c r="N369">
        <v>0</v>
      </c>
      <c r="O369" s="1">
        <v>9.6972730000000006E-6</v>
      </c>
      <c r="P369">
        <v>0.99392769999999997</v>
      </c>
      <c r="Q369">
        <v>5.3630860000000004E-3</v>
      </c>
      <c r="R369">
        <v>-0.109907199999999</v>
      </c>
      <c r="S369">
        <v>3.0162049999999998</v>
      </c>
      <c r="T369">
        <v>-6.1249729999999997E-3</v>
      </c>
      <c r="U369">
        <v>-1.9927980000000001E-2</v>
      </c>
      <c r="V369">
        <v>0.1099453</v>
      </c>
      <c r="W369">
        <v>2.035936E-2</v>
      </c>
      <c r="X369">
        <v>0.99372910000000003</v>
      </c>
      <c r="Y369">
        <v>6.6165119999999997E-3</v>
      </c>
      <c r="Z369" s="1">
        <v>-6.7376529999999996E-6</v>
      </c>
      <c r="AA369">
        <v>0.99997809999999998</v>
      </c>
      <c r="AB369">
        <v>41</v>
      </c>
      <c r="AC369">
        <v>209.77</v>
      </c>
      <c r="AD369">
        <v>-0.42692749999999902</v>
      </c>
      <c r="AE369">
        <v>-1.3884999999999601</v>
      </c>
      <c r="AF369">
        <v>1.3905286736207201</v>
      </c>
      <c r="AG369">
        <v>-0.42692749999999902</v>
      </c>
      <c r="AH369">
        <v>209.76911767546201</v>
      </c>
      <c r="AI369">
        <v>90.116607120214994</v>
      </c>
      <c r="AJ369">
        <v>89.620200255222301</v>
      </c>
      <c r="AK369">
        <v>209.77416086692901</v>
      </c>
      <c r="AL369">
        <v>88.833413994693203</v>
      </c>
      <c r="AM369">
        <v>83.686523689419701</v>
      </c>
      <c r="AN369">
        <v>0.99999999835925402</v>
      </c>
    </row>
    <row r="370" spans="1:40" x14ac:dyDescent="0.25">
      <c r="A370" t="str">
        <f>"20190312161231808"</f>
        <v>20190312161231808</v>
      </c>
      <c r="B370" t="str">
        <f>"1552378351796388"</f>
        <v>1552378351796388</v>
      </c>
      <c r="C370" t="s">
        <v>40</v>
      </c>
      <c r="D370">
        <v>5.6401370000000002</v>
      </c>
      <c r="E370">
        <v>0.46536729999999998</v>
      </c>
      <c r="F370" t="s">
        <v>53</v>
      </c>
      <c r="G370">
        <v>-195.2062</v>
      </c>
      <c r="H370" s="1">
        <v>-7.6765569999999994E-6</v>
      </c>
      <c r="I370">
        <v>366.14800000000002</v>
      </c>
      <c r="J370">
        <v>-367.55360000000002</v>
      </c>
      <c r="K370">
        <v>1.1094649999999999</v>
      </c>
      <c r="L370">
        <v>368.37779999999998</v>
      </c>
      <c r="M370">
        <v>0.99988390000000005</v>
      </c>
      <c r="N370">
        <v>0</v>
      </c>
      <c r="O370">
        <v>-4.845753E-4</v>
      </c>
      <c r="P370">
        <v>0.99384550000000005</v>
      </c>
      <c r="Q370">
        <v>5.6363250000000002E-3</v>
      </c>
      <c r="R370">
        <v>-0.1106347</v>
      </c>
      <c r="S370">
        <v>3.0140989999999999</v>
      </c>
      <c r="T370">
        <v>-1.9356849999999998E-2</v>
      </c>
      <c r="U370">
        <v>-3.8909909999999999E-2</v>
      </c>
      <c r="V370">
        <v>0.1101818</v>
      </c>
      <c r="W370">
        <v>2.062777E-2</v>
      </c>
      <c r="X370">
        <v>0.99369739999999995</v>
      </c>
      <c r="Y370">
        <v>1.2423389999999999E-2</v>
      </c>
      <c r="Z370" s="1">
        <v>-3.6777869999999997E-5</v>
      </c>
      <c r="AA370">
        <v>0.9999228</v>
      </c>
      <c r="AB370">
        <v>41</v>
      </c>
      <c r="AC370">
        <v>172.34739999999999</v>
      </c>
      <c r="AD370">
        <v>-1.109472676557</v>
      </c>
      <c r="AE370">
        <v>-2.2297999999999498</v>
      </c>
      <c r="AF370">
        <v>2.14618583376794</v>
      </c>
      <c r="AG370">
        <v>-1.109472676557</v>
      </c>
      <c r="AH370">
        <v>172.341319697057</v>
      </c>
      <c r="AI370">
        <v>90.368816343837096</v>
      </c>
      <c r="AJ370">
        <v>89.286526095201495</v>
      </c>
      <c r="AK370">
        <v>172.35825340892799</v>
      </c>
      <c r="AL370">
        <v>88.818032039452405</v>
      </c>
      <c r="AM370">
        <v>83.672852778455706</v>
      </c>
      <c r="AN370">
        <v>1.00000002835658</v>
      </c>
    </row>
    <row r="371" spans="1:40" x14ac:dyDescent="0.25">
      <c r="A371" t="str">
        <f>"20190312161231828"</f>
        <v>20190312161231828</v>
      </c>
      <c r="B371" t="str">
        <f>"1552378351816414"</f>
        <v>1552378351816414</v>
      </c>
      <c r="C371" t="s">
        <v>40</v>
      </c>
      <c r="D371">
        <v>5.6339160000000001</v>
      </c>
      <c r="E371">
        <v>0.46647709999999998</v>
      </c>
      <c r="F371" t="s">
        <v>42</v>
      </c>
      <c r="G371">
        <v>-249.54089999999999</v>
      </c>
      <c r="H371" s="1">
        <v>-1.0603940000000001E-6</v>
      </c>
      <c r="I371">
        <v>366.23430000000002</v>
      </c>
      <c r="J371">
        <v>-367.17059999999998</v>
      </c>
      <c r="K371">
        <v>1.1094710000000001</v>
      </c>
      <c r="L371">
        <v>368.37720000000002</v>
      </c>
      <c r="M371">
        <v>0.99988350000000004</v>
      </c>
      <c r="N371">
        <v>0</v>
      </c>
      <c r="O371">
        <v>-9.4416089999999997E-4</v>
      </c>
      <c r="P371">
        <v>0.99377689999999996</v>
      </c>
      <c r="Q371">
        <v>6.1010530000000004E-3</v>
      </c>
      <c r="R371">
        <v>-0.11122310000000001</v>
      </c>
      <c r="S371">
        <v>3.0126040000000001</v>
      </c>
      <c r="T371">
        <v>-2.8322219999999999E-2</v>
      </c>
      <c r="U371">
        <v>-5.4718019999999999E-2</v>
      </c>
      <c r="V371">
        <v>0.110314</v>
      </c>
      <c r="W371">
        <v>2.1088289999999999E-2</v>
      </c>
      <c r="X371">
        <v>0.99367300000000003</v>
      </c>
      <c r="Y371">
        <v>1.7215189999999998E-2</v>
      </c>
      <c r="Z371" s="1">
        <v>-7.2037299999999996E-5</v>
      </c>
      <c r="AA371">
        <v>0.99985179999999996</v>
      </c>
      <c r="AB371">
        <v>41</v>
      </c>
      <c r="AC371">
        <v>117.6297</v>
      </c>
      <c r="AD371">
        <v>-1.10947206039399</v>
      </c>
      <c r="AE371">
        <v>-2.1428999999999898</v>
      </c>
      <c r="AF371">
        <v>2.0316441138312098</v>
      </c>
      <c r="AG371">
        <v>-1.10947206039399</v>
      </c>
      <c r="AH371">
        <v>117.621210827615</v>
      </c>
      <c r="AI371">
        <v>90.540350682930793</v>
      </c>
      <c r="AJ371">
        <v>89.010441585643605</v>
      </c>
      <c r="AK371">
        <v>117.643987277771</v>
      </c>
      <c r="AL371">
        <v>88.791640366744204</v>
      </c>
      <c r="AM371">
        <v>83.665168635886602</v>
      </c>
      <c r="AN371">
        <v>0.99999996275006098</v>
      </c>
    </row>
    <row r="372" spans="1:40" x14ac:dyDescent="0.25">
      <c r="A372" t="str">
        <f>"20190312161231850"</f>
        <v>20190312161231850</v>
      </c>
      <c r="B372" t="str">
        <f>"1552378351845696"</f>
        <v>1552378351845696</v>
      </c>
      <c r="C372" t="s">
        <v>40</v>
      </c>
      <c r="D372">
        <v>5.6049490000000004</v>
      </c>
      <c r="E372">
        <v>0.46677590000000002</v>
      </c>
      <c r="F372" t="s">
        <v>42</v>
      </c>
      <c r="G372">
        <v>-251.4134</v>
      </c>
      <c r="H372" s="1">
        <v>-4.3314389999999997E-6</v>
      </c>
      <c r="I372">
        <v>365.8646</v>
      </c>
      <c r="J372">
        <v>-366.75850000000003</v>
      </c>
      <c r="K372">
        <v>1.10947</v>
      </c>
      <c r="L372">
        <v>368.37639999999999</v>
      </c>
      <c r="M372">
        <v>0.99988299999999997</v>
      </c>
      <c r="N372">
        <v>0</v>
      </c>
      <c r="O372">
        <v>-1.438784E-3</v>
      </c>
      <c r="P372">
        <v>0.99367720000000004</v>
      </c>
      <c r="Q372">
        <v>5.9575349999999999E-3</v>
      </c>
      <c r="R372">
        <v>-0.1121176</v>
      </c>
      <c r="S372">
        <v>3.0116580000000002</v>
      </c>
      <c r="T372">
        <v>-2.886522E-2</v>
      </c>
      <c r="U372">
        <v>-6.536865E-2</v>
      </c>
      <c r="V372">
        <v>0.1107168</v>
      </c>
      <c r="W372">
        <v>2.0939550000000001E-2</v>
      </c>
      <c r="X372">
        <v>0.99363140000000005</v>
      </c>
      <c r="Y372">
        <v>2.02606E-2</v>
      </c>
      <c r="Z372" s="1">
        <v>-8.3290529999999993E-5</v>
      </c>
      <c r="AA372">
        <v>0.99979470000000004</v>
      </c>
      <c r="AB372">
        <v>41</v>
      </c>
      <c r="AC372">
        <v>115.3451</v>
      </c>
      <c r="AD372">
        <v>-1.1094743314390001</v>
      </c>
      <c r="AE372">
        <v>-2.5117999999999898</v>
      </c>
      <c r="AF372">
        <v>2.3456045550608802</v>
      </c>
      <c r="AG372">
        <v>-1.1094743314390001</v>
      </c>
      <c r="AH372">
        <v>115.33792891928999</v>
      </c>
      <c r="AI372">
        <v>90.551016448223905</v>
      </c>
      <c r="AJ372">
        <v>88.834947709146604</v>
      </c>
      <c r="AK372">
        <v>115.36711247756899</v>
      </c>
      <c r="AL372">
        <v>88.800164488443301</v>
      </c>
      <c r="AM372">
        <v>83.641962732567293</v>
      </c>
      <c r="AN372">
        <v>1.0000000168112</v>
      </c>
    </row>
    <row r="373" spans="1:40" x14ac:dyDescent="0.25">
      <c r="A373" t="str">
        <f>"20190312161231873"</f>
        <v>20190312161231873</v>
      </c>
      <c r="B373" t="str">
        <f>"1552378351866191"</f>
        <v>1552378351866191</v>
      </c>
      <c r="C373" t="s">
        <v>40</v>
      </c>
      <c r="D373">
        <v>5.6255759999999997</v>
      </c>
      <c r="E373">
        <v>0.46693449999999997</v>
      </c>
      <c r="F373" t="s">
        <v>42</v>
      </c>
      <c r="G373">
        <v>-231.0616</v>
      </c>
      <c r="H373" s="1">
        <v>-4.6032780000000003E-6</v>
      </c>
      <c r="I373">
        <v>365.18299999999999</v>
      </c>
      <c r="J373">
        <v>-366.33120000000002</v>
      </c>
      <c r="K373">
        <v>1.1094660000000001</v>
      </c>
      <c r="L373">
        <v>368.37529999999998</v>
      </c>
      <c r="M373">
        <v>0.99988220000000005</v>
      </c>
      <c r="N373">
        <v>0</v>
      </c>
      <c r="O373">
        <v>-1.951642E-3</v>
      </c>
      <c r="P373">
        <v>0.99353769999999997</v>
      </c>
      <c r="Q373">
        <v>5.6578349999999999E-3</v>
      </c>
      <c r="R373">
        <v>-0.1133625</v>
      </c>
      <c r="S373">
        <v>3.0112299999999999</v>
      </c>
      <c r="T373">
        <v>-2.4620179999999998E-2</v>
      </c>
      <c r="U373">
        <v>-7.0861820000000006E-2</v>
      </c>
      <c r="V373">
        <v>0.1114516</v>
      </c>
      <c r="W373">
        <v>2.0632540000000001E-2</v>
      </c>
      <c r="X373">
        <v>0.99355570000000004</v>
      </c>
      <c r="Y373">
        <v>2.157398E-2</v>
      </c>
      <c r="Z373" s="1">
        <v>-7.2225880000000001E-5</v>
      </c>
      <c r="AA373">
        <v>0.99976719999999997</v>
      </c>
      <c r="AB373">
        <v>41</v>
      </c>
      <c r="AC373">
        <v>135.2696</v>
      </c>
      <c r="AD373">
        <v>-1.109470603278</v>
      </c>
      <c r="AE373">
        <v>-3.1922999999999302</v>
      </c>
      <c r="AF373">
        <v>2.92806862069411</v>
      </c>
      <c r="AG373">
        <v>-1.109470603278</v>
      </c>
      <c r="AH373">
        <v>135.26647875886101</v>
      </c>
      <c r="AI373">
        <v>90.469825718421504</v>
      </c>
      <c r="AJ373">
        <v>88.759930921799295</v>
      </c>
      <c r="AK373">
        <v>135.302715370714</v>
      </c>
      <c r="AL373">
        <v>88.817758700006095</v>
      </c>
      <c r="AM373">
        <v>83.599631415004694</v>
      </c>
      <c r="AN373">
        <v>1.0000000449259401</v>
      </c>
    </row>
    <row r="374" spans="1:40" x14ac:dyDescent="0.25">
      <c r="A374" t="str">
        <f>"20190312161231895"</f>
        <v>20190312161231895</v>
      </c>
      <c r="B374" t="str">
        <f>"1552378351885711"</f>
        <v>1552378351885711</v>
      </c>
      <c r="C374" t="s">
        <v>40</v>
      </c>
      <c r="D374">
        <v>5.615596</v>
      </c>
      <c r="E374">
        <v>0.46704230000000002</v>
      </c>
      <c r="F374" t="s">
        <v>42</v>
      </c>
      <c r="G374">
        <v>-236.53659999999999</v>
      </c>
      <c r="H374" s="1">
        <v>-2.3647259999999999E-6</v>
      </c>
      <c r="I374">
        <v>365.1062</v>
      </c>
      <c r="J374">
        <v>-365.91989999999998</v>
      </c>
      <c r="K374">
        <v>1.1094729999999999</v>
      </c>
      <c r="L374">
        <v>368.37400000000002</v>
      </c>
      <c r="M374">
        <v>0.99988109999999997</v>
      </c>
      <c r="N374">
        <v>0</v>
      </c>
      <c r="O374">
        <v>-2.4448339999999999E-3</v>
      </c>
      <c r="P374">
        <v>0.99349960000000004</v>
      </c>
      <c r="Q374">
        <v>5.2944759999999898E-3</v>
      </c>
      <c r="R374">
        <v>-0.1137131</v>
      </c>
      <c r="S374">
        <v>3.0109859999999999</v>
      </c>
      <c r="T374">
        <v>-2.573752E-2</v>
      </c>
      <c r="U374">
        <v>-7.5836180000000003E-2</v>
      </c>
      <c r="V374">
        <v>0.1113114</v>
      </c>
      <c r="W374">
        <v>2.0265930000000001E-2</v>
      </c>
      <c r="X374">
        <v>0.99357890000000004</v>
      </c>
      <c r="Y374">
        <v>2.2733349999999999E-2</v>
      </c>
      <c r="Z374" s="1">
        <v>-7.6247049999999994E-5</v>
      </c>
      <c r="AA374">
        <v>0.99974160000000001</v>
      </c>
      <c r="AB374">
        <v>41</v>
      </c>
      <c r="AC374">
        <v>129.38329999999999</v>
      </c>
      <c r="AD374">
        <v>-1.1094753647259901</v>
      </c>
      <c r="AE374">
        <v>-3.2678000000000198</v>
      </c>
      <c r="AF374">
        <v>2.9512159996473399</v>
      </c>
      <c r="AG374">
        <v>-1.1094753647259901</v>
      </c>
      <c r="AH374">
        <v>129.38139572606499</v>
      </c>
      <c r="AI374">
        <v>90.491184746014</v>
      </c>
      <c r="AJ374">
        <v>88.693298191113996</v>
      </c>
      <c r="AK374">
        <v>129.419805947491</v>
      </c>
      <c r="AL374">
        <v>88.838768226375095</v>
      </c>
      <c r="AM374">
        <v>83.607764066378905</v>
      </c>
      <c r="AN374">
        <v>0.99999998310696703</v>
      </c>
    </row>
    <row r="375" spans="1:40" x14ac:dyDescent="0.25">
      <c r="A375" t="str">
        <f>"20190312161231918"</f>
        <v>20190312161231918</v>
      </c>
      <c r="B375" t="str">
        <f>"1552378351906207"</f>
        <v>1552378351906207</v>
      </c>
      <c r="C375" t="s">
        <v>40</v>
      </c>
      <c r="D375">
        <v>5.6376200000000001</v>
      </c>
      <c r="E375">
        <v>0.46718530000000003</v>
      </c>
      <c r="F375" t="s">
        <v>42</v>
      </c>
      <c r="G375">
        <v>-243.12569999999999</v>
      </c>
      <c r="H375" s="1">
        <v>-4.0116120000000002E-6</v>
      </c>
      <c r="I375">
        <v>365.21019999999999</v>
      </c>
      <c r="J375">
        <v>-365.51310000000001</v>
      </c>
      <c r="K375">
        <v>1.10947</v>
      </c>
      <c r="L375">
        <v>368.37259999999998</v>
      </c>
      <c r="M375">
        <v>0.99987999999999999</v>
      </c>
      <c r="N375">
        <v>0</v>
      </c>
      <c r="O375">
        <v>-2.9323130000000002E-3</v>
      </c>
      <c r="P375">
        <v>0.99349940000000003</v>
      </c>
      <c r="Q375">
        <v>5.5533129999999998E-3</v>
      </c>
      <c r="R375">
        <v>-0.11370280000000001</v>
      </c>
      <c r="S375">
        <v>3.0108640000000002</v>
      </c>
      <c r="T375">
        <v>-2.7203919999999999E-2</v>
      </c>
      <c r="U375">
        <v>-7.7575679999999994E-2</v>
      </c>
      <c r="V375">
        <v>0.110817</v>
      </c>
      <c r="W375">
        <v>2.0521930000000001E-2</v>
      </c>
      <c r="X375">
        <v>0.99362890000000004</v>
      </c>
      <c r="Y375">
        <v>2.2824110000000002E-2</v>
      </c>
      <c r="Z375" s="1">
        <v>-7.6599550000000001E-5</v>
      </c>
      <c r="AA375">
        <v>0.9997395</v>
      </c>
      <c r="AB375">
        <v>41</v>
      </c>
      <c r="AC375">
        <v>122.3874</v>
      </c>
      <c r="AD375">
        <v>-1.1094740116120001</v>
      </c>
      <c r="AE375">
        <v>-3.1623999999999901</v>
      </c>
      <c r="AF375">
        <v>2.8032364963159999</v>
      </c>
      <c r="AG375">
        <v>-1.1094740116120001</v>
      </c>
      <c r="AH375">
        <v>122.386097068807</v>
      </c>
      <c r="AI375">
        <v>90.519256447828397</v>
      </c>
      <c r="AJ375">
        <v>88.687877584265905</v>
      </c>
      <c r="AK375">
        <v>122.42322419856499</v>
      </c>
      <c r="AL375">
        <v>88.824097444635299</v>
      </c>
      <c r="AM375">
        <v>83.636239939055599</v>
      </c>
      <c r="AN375">
        <v>0.99999997400756702</v>
      </c>
    </row>
    <row r="376" spans="1:40" x14ac:dyDescent="0.25">
      <c r="A376" t="str">
        <f>"20190312161231939"</f>
        <v>20190312161231939</v>
      </c>
      <c r="B376" t="str">
        <f>"1552378351926233"</f>
        <v>1552378351926233</v>
      </c>
      <c r="C376" t="s">
        <v>40</v>
      </c>
      <c r="D376">
        <v>5.6389950000000004</v>
      </c>
      <c r="E376">
        <v>0.46718759999999998</v>
      </c>
      <c r="F376" t="s">
        <v>42</v>
      </c>
      <c r="G376">
        <v>-244.69300000000001</v>
      </c>
      <c r="H376" s="1">
        <v>-3.271102E-6</v>
      </c>
      <c r="I376">
        <v>365.2081</v>
      </c>
      <c r="J376">
        <v>-365.11649999999997</v>
      </c>
      <c r="K376">
        <v>1.109475</v>
      </c>
      <c r="L376">
        <v>368.37099999999998</v>
      </c>
      <c r="M376">
        <v>0.99987859999999995</v>
      </c>
      <c r="N376">
        <v>0</v>
      </c>
      <c r="O376">
        <v>-3.407869E-3</v>
      </c>
      <c r="P376">
        <v>0.99350629999999995</v>
      </c>
      <c r="Q376">
        <v>5.9561789999999998E-3</v>
      </c>
      <c r="R376">
        <v>-0.1136229</v>
      </c>
      <c r="S376">
        <v>3.0107729999999999</v>
      </c>
      <c r="T376">
        <v>-2.7647499999999998E-2</v>
      </c>
      <c r="U376">
        <v>-7.8857419999999998E-2</v>
      </c>
      <c r="V376">
        <v>0.1102651</v>
      </c>
      <c r="W376">
        <v>2.0922389999999999E-2</v>
      </c>
      <c r="X376">
        <v>0.99368199999999995</v>
      </c>
      <c r="Y376">
        <v>2.2774719999999998E-2</v>
      </c>
      <c r="Z376" s="1">
        <v>-7.3257199999999994E-5</v>
      </c>
      <c r="AA376">
        <v>0.99974059999999998</v>
      </c>
      <c r="AB376">
        <v>41</v>
      </c>
      <c r="AC376">
        <v>120.4235</v>
      </c>
      <c r="AD376">
        <v>-1.1094782711019999</v>
      </c>
      <c r="AE376">
        <v>-3.1628999999999698</v>
      </c>
      <c r="AF376">
        <v>2.7522132216298099</v>
      </c>
      <c r="AG376">
        <v>-1.1094782711019999</v>
      </c>
      <c r="AH376">
        <v>120.423365839762</v>
      </c>
      <c r="AI376">
        <v>90.527721755562297</v>
      </c>
      <c r="AJ376">
        <v>88.690762759136604</v>
      </c>
      <c r="AK376">
        <v>120.459921383954</v>
      </c>
      <c r="AL376">
        <v>88.801147912744696</v>
      </c>
      <c r="AM376">
        <v>83.668010811570298</v>
      </c>
      <c r="AN376">
        <v>1.00000002790266</v>
      </c>
    </row>
    <row r="377" spans="1:40" x14ac:dyDescent="0.25">
      <c r="A377" t="str">
        <f>"20190312161231963"</f>
        <v>20190312161231963</v>
      </c>
      <c r="B377" t="str">
        <f>"1552378351955513"</f>
        <v>1552378351955513</v>
      </c>
      <c r="C377" t="s">
        <v>40</v>
      </c>
      <c r="D377">
        <v>5.6387039999999997</v>
      </c>
      <c r="E377">
        <v>0.46735700000000002</v>
      </c>
      <c r="F377" t="s">
        <v>42</v>
      </c>
      <c r="G377">
        <v>-236.25049999999999</v>
      </c>
      <c r="H377" s="1">
        <v>-2.4862859999999998E-6</v>
      </c>
      <c r="I377">
        <v>365.01530000000002</v>
      </c>
      <c r="J377">
        <v>-364.68830000000003</v>
      </c>
      <c r="K377">
        <v>1.1094820000000001</v>
      </c>
      <c r="L377">
        <v>368.36900000000003</v>
      </c>
      <c r="M377">
        <v>0.99987669999999995</v>
      </c>
      <c r="N377">
        <v>0</v>
      </c>
      <c r="O377">
        <v>-3.9212079999999998E-3</v>
      </c>
      <c r="P377">
        <v>0.99345229999999995</v>
      </c>
      <c r="Q377">
        <v>6.3785819999999998E-3</v>
      </c>
      <c r="R377">
        <v>-0.1140714</v>
      </c>
      <c r="S377">
        <v>3.0107729999999999</v>
      </c>
      <c r="T377">
        <v>-2.5921340000000001E-2</v>
      </c>
      <c r="U377">
        <v>-7.8399659999999996E-2</v>
      </c>
      <c r="V377">
        <v>0.1102038</v>
      </c>
      <c r="W377">
        <v>2.1340479999999998E-2</v>
      </c>
      <c r="X377">
        <v>0.99367989999999995</v>
      </c>
      <c r="Y377">
        <v>2.2109690000000001E-2</v>
      </c>
      <c r="Z377" s="1">
        <v>-6.1402320000000001E-5</v>
      </c>
      <c r="AA377">
        <v>0.99975559999999997</v>
      </c>
      <c r="AB377">
        <v>41</v>
      </c>
      <c r="AC377">
        <v>128.43780000000001</v>
      </c>
      <c r="AD377">
        <v>-1.109484486286</v>
      </c>
      <c r="AE377">
        <v>-3.3536999999999999</v>
      </c>
      <c r="AF377">
        <v>2.8497721440704198</v>
      </c>
      <c r="AG377">
        <v>-1.109484486286</v>
      </c>
      <c r="AH377">
        <v>128.44038669730699</v>
      </c>
      <c r="AI377">
        <v>90.494794192402296</v>
      </c>
      <c r="AJ377">
        <v>88.728957961807197</v>
      </c>
      <c r="AK377">
        <v>128.47678814498801</v>
      </c>
      <c r="AL377">
        <v>88.777187759308006</v>
      </c>
      <c r="AM377">
        <v>83.671489138550996</v>
      </c>
      <c r="AN377">
        <v>1.00000001864254</v>
      </c>
    </row>
    <row r="378" spans="1:40" x14ac:dyDescent="0.25">
      <c r="A378" t="str">
        <f>"20190312161231986"</f>
        <v>20190312161231986</v>
      </c>
      <c r="B378" t="str">
        <f>"1552378351976010"</f>
        <v>1552378351976010</v>
      </c>
      <c r="C378" t="s">
        <v>40</v>
      </c>
      <c r="D378">
        <v>5.60189</v>
      </c>
      <c r="E378">
        <v>0.46745779999999998</v>
      </c>
      <c r="F378" t="s">
        <v>42</v>
      </c>
      <c r="G378">
        <v>-239.07050000000001</v>
      </c>
      <c r="H378" s="1">
        <v>-1.5321129999999901E-6</v>
      </c>
      <c r="I378">
        <v>364.99470000000002</v>
      </c>
      <c r="J378">
        <v>-364.26260000000002</v>
      </c>
      <c r="K378">
        <v>1.109488</v>
      </c>
      <c r="L378">
        <v>368.36689999999999</v>
      </c>
      <c r="M378">
        <v>0.99987470000000001</v>
      </c>
      <c r="N378">
        <v>0</v>
      </c>
      <c r="O378">
        <v>-4.431216E-3</v>
      </c>
      <c r="P378">
        <v>0.99338669999999996</v>
      </c>
      <c r="Q378">
        <v>6.7493509999999998E-3</v>
      </c>
      <c r="R378">
        <v>-0.11462020000000001</v>
      </c>
      <c r="S378">
        <v>3.0106510000000002</v>
      </c>
      <c r="T378">
        <v>-2.6590699999999998E-2</v>
      </c>
      <c r="U378">
        <v>-8.0871579999999998E-2</v>
      </c>
      <c r="V378">
        <v>0.11024630000000001</v>
      </c>
      <c r="W378">
        <v>2.1706610000000001E-2</v>
      </c>
      <c r="X378">
        <v>0.99366719999999997</v>
      </c>
      <c r="Y378">
        <v>2.2421050000000001E-2</v>
      </c>
      <c r="Z378" s="1">
        <v>-5.9860500000000001E-5</v>
      </c>
      <c r="AA378">
        <v>0.99974859999999999</v>
      </c>
      <c r="AB378">
        <v>41</v>
      </c>
      <c r="AC378">
        <v>125.1921</v>
      </c>
      <c r="AD378">
        <v>-1.1094895321130001</v>
      </c>
      <c r="AE378">
        <v>-3.3721999999999599</v>
      </c>
      <c r="AF378">
        <v>2.8171284793339502</v>
      </c>
      <c r="AG378">
        <v>-1.1094895321130001</v>
      </c>
      <c r="AH378">
        <v>125.19598946507</v>
      </c>
      <c r="AI378">
        <v>90.507614642973394</v>
      </c>
      <c r="AJ378">
        <v>88.710962395206295</v>
      </c>
      <c r="AK378">
        <v>125.23259542958</v>
      </c>
      <c r="AL378">
        <v>88.756205127029205</v>
      </c>
      <c r="AM378">
        <v>83.668988108548405</v>
      </c>
      <c r="AN378">
        <v>0.99999996396861002</v>
      </c>
    </row>
    <row r="379" spans="1:40" x14ac:dyDescent="0.25">
      <c r="A379" t="str">
        <f>"20190312161232010"</f>
        <v>20190312161232010</v>
      </c>
      <c r="B379" t="str">
        <f>"1552378351995528"</f>
        <v>1552378351995528</v>
      </c>
      <c r="C379" t="s">
        <v>40</v>
      </c>
      <c r="D379">
        <v>5.593731</v>
      </c>
      <c r="E379">
        <v>0.46745429999999999</v>
      </c>
      <c r="F379" t="s">
        <v>42</v>
      </c>
      <c r="G379">
        <v>-237.08070000000001</v>
      </c>
      <c r="H379" s="1">
        <v>-2.252238E-6</v>
      </c>
      <c r="I379">
        <v>364.8331</v>
      </c>
      <c r="J379">
        <v>-363.84870000000001</v>
      </c>
      <c r="K379">
        <v>1.109494</v>
      </c>
      <c r="L379">
        <v>368.3646</v>
      </c>
      <c r="M379">
        <v>0.99987239999999999</v>
      </c>
      <c r="N379">
        <v>0</v>
      </c>
      <c r="O379">
        <v>-4.9277499999999998E-3</v>
      </c>
      <c r="P379">
        <v>0.9933012</v>
      </c>
      <c r="Q379">
        <v>6.9425399999999996E-3</v>
      </c>
      <c r="R379">
        <v>-0.115345699999999</v>
      </c>
      <c r="S379">
        <v>3.010529</v>
      </c>
      <c r="T379">
        <v>-2.626276E-2</v>
      </c>
      <c r="U379">
        <v>-8.3648680000000003E-2</v>
      </c>
      <c r="V379">
        <v>0.1104791</v>
      </c>
      <c r="W379">
        <v>2.189491E-2</v>
      </c>
      <c r="X379">
        <v>0.99363729999999995</v>
      </c>
      <c r="Y379">
        <v>2.284723E-2</v>
      </c>
      <c r="Z379" s="1">
        <v>-5.6651460000000002E-5</v>
      </c>
      <c r="AA379">
        <v>0.99973900000000004</v>
      </c>
      <c r="AB379">
        <v>41</v>
      </c>
      <c r="AC379">
        <v>126.76799999999901</v>
      </c>
      <c r="AD379">
        <v>-1.1094962522380001</v>
      </c>
      <c r="AE379">
        <v>-3.5314999999999901</v>
      </c>
      <c r="AF379">
        <v>2.9064815027006099</v>
      </c>
      <c r="AG379">
        <v>-1.1094962522380001</v>
      </c>
      <c r="AH379">
        <v>126.77416140637899</v>
      </c>
      <c r="AI379">
        <v>90.501294034361507</v>
      </c>
      <c r="AJ379">
        <v>88.686641240151502</v>
      </c>
      <c r="AK379">
        <v>126.81232833187001</v>
      </c>
      <c r="AL379">
        <v>88.745413876180095</v>
      </c>
      <c r="AM379">
        <v>83.655538860991399</v>
      </c>
      <c r="AN379">
        <v>1.0000000512859999</v>
      </c>
    </row>
    <row r="380" spans="1:40" x14ac:dyDescent="0.25">
      <c r="A380" t="str">
        <f>"20190312161232032"</f>
        <v>20190312161232032</v>
      </c>
      <c r="B380" t="str">
        <f>"1552378352026309"</f>
        <v>1552378352026309</v>
      </c>
      <c r="C380" t="s">
        <v>40</v>
      </c>
      <c r="D380">
        <v>5.5387909999999998</v>
      </c>
      <c r="E380">
        <v>0.4674661</v>
      </c>
      <c r="F380" t="s">
        <v>42</v>
      </c>
      <c r="G380">
        <v>-237.85570000000001</v>
      </c>
      <c r="H380" s="1">
        <v>-2.004461E-6</v>
      </c>
      <c r="I380">
        <v>364.7731</v>
      </c>
      <c r="J380">
        <v>-363.44009999999997</v>
      </c>
      <c r="K380">
        <v>1.1094999999999999</v>
      </c>
      <c r="L380">
        <v>368.36219999999997</v>
      </c>
      <c r="M380">
        <v>0.99986989999999998</v>
      </c>
      <c r="N380">
        <v>0</v>
      </c>
      <c r="O380">
        <v>-5.416634E-3</v>
      </c>
      <c r="P380">
        <v>0.99325039999999998</v>
      </c>
      <c r="Q380">
        <v>7.52783599999999E-3</v>
      </c>
      <c r="R380">
        <v>-0.115745899999999</v>
      </c>
      <c r="S380">
        <v>3.0104980000000001</v>
      </c>
      <c r="T380">
        <v>-2.6510479999999999E-2</v>
      </c>
      <c r="U380">
        <v>-8.5815429999999998E-2</v>
      </c>
      <c r="V380">
        <v>0.1103942</v>
      </c>
      <c r="W380">
        <v>2.2476510000000002E-2</v>
      </c>
      <c r="X380">
        <v>0.99363369999999995</v>
      </c>
      <c r="Y380">
        <v>2.307766E-2</v>
      </c>
      <c r="Z380" s="1">
        <v>-5.3895720000000001E-5</v>
      </c>
      <c r="AA380">
        <v>0.99973369999999995</v>
      </c>
      <c r="AB380">
        <v>41</v>
      </c>
      <c r="AC380">
        <v>125.58439999999899</v>
      </c>
      <c r="AD380">
        <v>-1.109502004461</v>
      </c>
      <c r="AE380">
        <v>-3.58909999999997</v>
      </c>
      <c r="AF380">
        <v>2.9084972469167698</v>
      </c>
      <c r="AG380">
        <v>-1.109502004461</v>
      </c>
      <c r="AH380">
        <v>125.59220558824001</v>
      </c>
      <c r="AI380">
        <v>90.506011420583903</v>
      </c>
      <c r="AJ380">
        <v>88.673366432343201</v>
      </c>
      <c r="AK380">
        <v>125.63077829677</v>
      </c>
      <c r="AL380">
        <v>88.7120823837421</v>
      </c>
      <c r="AM380">
        <v>83.660351903096398</v>
      </c>
      <c r="AN380">
        <v>1.0000000013355499</v>
      </c>
    </row>
    <row r="381" spans="1:40" x14ac:dyDescent="0.25">
      <c r="A381" t="str">
        <f>"20190312161232053"</f>
        <v>20190312161232053</v>
      </c>
      <c r="B381" t="str">
        <f>"1552378352045829"</f>
        <v>1552378352045829</v>
      </c>
      <c r="C381" t="s">
        <v>40</v>
      </c>
      <c r="D381">
        <v>5.4726939999999997</v>
      </c>
      <c r="E381">
        <v>0.46765610000000002</v>
      </c>
      <c r="F381" t="s">
        <v>42</v>
      </c>
      <c r="G381">
        <v>-240.60300000000001</v>
      </c>
      <c r="H381" s="1">
        <v>-5.2736300000000002E-6</v>
      </c>
      <c r="I381">
        <v>364.81819999999999</v>
      </c>
      <c r="J381">
        <v>-363.0455</v>
      </c>
      <c r="K381">
        <v>1.109507</v>
      </c>
      <c r="L381">
        <v>368.3596</v>
      </c>
      <c r="M381">
        <v>0.99986739999999996</v>
      </c>
      <c r="N381">
        <v>0</v>
      </c>
      <c r="O381">
        <v>-5.8875079999999996E-3</v>
      </c>
      <c r="P381">
        <v>0.99317619999999895</v>
      </c>
      <c r="Q381">
        <v>7.9998039999999992E-3</v>
      </c>
      <c r="R381">
        <v>-0.1163507</v>
      </c>
      <c r="S381">
        <v>3.0104679999999999</v>
      </c>
      <c r="T381">
        <v>-2.719152E-2</v>
      </c>
      <c r="U381">
        <v>-8.6853029999999998E-2</v>
      </c>
      <c r="V381">
        <v>0.1105319</v>
      </c>
      <c r="W381">
        <v>2.294417E-2</v>
      </c>
      <c r="X381">
        <v>0.99360769999999998</v>
      </c>
      <c r="Y381">
        <v>2.2951409999999998E-2</v>
      </c>
      <c r="Z381" s="1">
        <v>-5.0458119999999999E-5</v>
      </c>
      <c r="AA381">
        <v>0.99973659999999998</v>
      </c>
      <c r="AB381">
        <v>41</v>
      </c>
      <c r="AC381">
        <v>122.4425</v>
      </c>
      <c r="AD381">
        <v>-1.1095122736299901</v>
      </c>
      <c r="AE381">
        <v>-3.5413999999999999</v>
      </c>
      <c r="AF381">
        <v>2.8201429362702202</v>
      </c>
      <c r="AG381">
        <v>-1.1095122736299901</v>
      </c>
      <c r="AH381">
        <v>122.451183669293</v>
      </c>
      <c r="AI381">
        <v>90.518996859144593</v>
      </c>
      <c r="AJ381">
        <v>88.680668299544806</v>
      </c>
      <c r="AK381">
        <v>122.488679500096</v>
      </c>
      <c r="AL381">
        <v>88.685280523242</v>
      </c>
      <c r="AM381">
        <v>83.652343918177294</v>
      </c>
      <c r="AN381">
        <v>0.999999998676944</v>
      </c>
    </row>
    <row r="382" spans="1:40" x14ac:dyDescent="0.25">
      <c r="A382" t="str">
        <f>"20190312161232075"</f>
        <v>20190312161232075</v>
      </c>
      <c r="B382" t="str">
        <f>"1552378352066325"</f>
        <v>1552378352066325</v>
      </c>
      <c r="C382" t="s">
        <v>40</v>
      </c>
      <c r="D382">
        <v>5.5574770000000004</v>
      </c>
      <c r="E382">
        <v>0.46753909999999999</v>
      </c>
      <c r="F382" t="s">
        <v>42</v>
      </c>
      <c r="G382">
        <v>-242.98859999999999</v>
      </c>
      <c r="H382" s="1">
        <v>-4.1561470000000001E-6</v>
      </c>
      <c r="I382">
        <v>364.76049999999998</v>
      </c>
      <c r="J382">
        <v>-362.64449999999999</v>
      </c>
      <c r="K382">
        <v>1.109513</v>
      </c>
      <c r="L382">
        <v>368.35680000000002</v>
      </c>
      <c r="M382">
        <v>0.99986439999999999</v>
      </c>
      <c r="N382">
        <v>0</v>
      </c>
      <c r="O382">
        <v>-6.3625449999999998E-3</v>
      </c>
      <c r="P382">
        <v>0.99310860000000001</v>
      </c>
      <c r="Q382">
        <v>8.2866290000000002E-3</v>
      </c>
      <c r="R382">
        <v>-0.11690589999999999</v>
      </c>
      <c r="S382">
        <v>3.0102540000000002</v>
      </c>
      <c r="T382">
        <v>-2.7819400000000001E-2</v>
      </c>
      <c r="U382">
        <v>-9.0240479999999998E-2</v>
      </c>
      <c r="V382">
        <v>0.1106153</v>
      </c>
      <c r="W382">
        <v>2.3227339999999999E-2</v>
      </c>
      <c r="X382">
        <v>0.99359180000000002</v>
      </c>
      <c r="Y382">
        <v>2.360247E-2</v>
      </c>
      <c r="Z382" s="1">
        <v>-5.0244470000000001E-5</v>
      </c>
      <c r="AA382">
        <v>0.99972139999999998</v>
      </c>
      <c r="AB382">
        <v>41</v>
      </c>
      <c r="AC382">
        <v>119.6559</v>
      </c>
      <c r="AD382">
        <v>-1.1095171561470001</v>
      </c>
      <c r="AE382">
        <v>-3.5963000000000398</v>
      </c>
      <c r="AF382">
        <v>2.834579810123</v>
      </c>
      <c r="AG382">
        <v>-1.1095171561470001</v>
      </c>
      <c r="AH382">
        <v>119.666082063259</v>
      </c>
      <c r="AI382">
        <v>90.531069474344093</v>
      </c>
      <c r="AJ382">
        <v>88.643065005514899</v>
      </c>
      <c r="AK382">
        <v>119.704791330132</v>
      </c>
      <c r="AL382">
        <v>88.669051699937796</v>
      </c>
      <c r="AM382">
        <v>83.6474927149211</v>
      </c>
      <c r="AN382">
        <v>0.99999995947240194</v>
      </c>
    </row>
    <row r="383" spans="1:40" x14ac:dyDescent="0.25">
      <c r="A383" t="str">
        <f>"20190312161232097"</f>
        <v>20190312161232097</v>
      </c>
      <c r="B383" t="str">
        <f>"1552378352085845"</f>
        <v>1552378352085845</v>
      </c>
      <c r="C383" t="s">
        <v>40</v>
      </c>
      <c r="D383">
        <v>5.4919399999999996</v>
      </c>
      <c r="E383">
        <v>0.46752149999999998</v>
      </c>
      <c r="F383" t="s">
        <v>42</v>
      </c>
      <c r="G383">
        <v>-244.71170000000001</v>
      </c>
      <c r="H383" s="1">
        <v>-3.3356739999999998E-6</v>
      </c>
      <c r="I383">
        <v>364.79410000000001</v>
      </c>
      <c r="J383">
        <v>-362.23</v>
      </c>
      <c r="K383">
        <v>1.1095189999999999</v>
      </c>
      <c r="L383">
        <v>368.3537</v>
      </c>
      <c r="M383">
        <v>0.99986140000000001</v>
      </c>
      <c r="N383">
        <v>0</v>
      </c>
      <c r="O383">
        <v>-6.8488769999999997E-3</v>
      </c>
      <c r="P383">
        <v>0.99304650000000005</v>
      </c>
      <c r="Q383">
        <v>7.8361000000000004E-3</v>
      </c>
      <c r="R383">
        <v>-0.11746180000000001</v>
      </c>
      <c r="S383">
        <v>3.0103759999999999</v>
      </c>
      <c r="T383">
        <v>-2.8321740000000001E-2</v>
      </c>
      <c r="U383">
        <v>-9.0942380000000003E-2</v>
      </c>
      <c r="V383">
        <v>0.11068749999999999</v>
      </c>
      <c r="W383">
        <v>2.277351E-2</v>
      </c>
      <c r="X383">
        <v>0.99359430000000004</v>
      </c>
      <c r="Y383">
        <v>2.334789E-2</v>
      </c>
      <c r="Z383" s="1">
        <v>-4.5377709999999998E-5</v>
      </c>
      <c r="AA383">
        <v>0.99972740000000004</v>
      </c>
      <c r="AB383">
        <v>41</v>
      </c>
      <c r="AC383">
        <v>117.5183</v>
      </c>
      <c r="AD383">
        <v>-1.1095223356739901</v>
      </c>
      <c r="AE383">
        <v>-3.5595999999999801</v>
      </c>
      <c r="AF383">
        <v>2.7543101389070199</v>
      </c>
      <c r="AG383">
        <v>-1.1095223356739901</v>
      </c>
      <c r="AH383">
        <v>117.529458485679</v>
      </c>
      <c r="AI383">
        <v>90.540729206323604</v>
      </c>
      <c r="AJ383">
        <v>88.6575155875598</v>
      </c>
      <c r="AK383">
        <v>117.56696337020701</v>
      </c>
      <c r="AL383">
        <v>88.695061170819102</v>
      </c>
      <c r="AM383">
        <v>83.643396145700393</v>
      </c>
      <c r="AN383">
        <v>0.99999999420323005</v>
      </c>
    </row>
    <row r="384" spans="1:40" x14ac:dyDescent="0.25">
      <c r="A384" t="str">
        <f>"20190312161232119"</f>
        <v>20190312161232119</v>
      </c>
      <c r="B384" t="str">
        <f>"1552378352106341"</f>
        <v>1552378352106341</v>
      </c>
      <c r="C384" t="s">
        <v>40</v>
      </c>
      <c r="D384">
        <v>5.4438329999999997</v>
      </c>
      <c r="E384">
        <v>0.4676787</v>
      </c>
      <c r="F384" t="s">
        <v>42</v>
      </c>
      <c r="G384">
        <v>-253.6765</v>
      </c>
      <c r="H384" s="1">
        <v>-3.5113199999999901E-6</v>
      </c>
      <c r="I384">
        <v>365.01490000000001</v>
      </c>
      <c r="J384">
        <v>-361.85359999999997</v>
      </c>
      <c r="K384">
        <v>1.109526</v>
      </c>
      <c r="L384">
        <v>368.35070000000002</v>
      </c>
      <c r="M384">
        <v>0.99985840000000004</v>
      </c>
      <c r="N384">
        <v>0</v>
      </c>
      <c r="O384">
        <v>-7.2838139999999996E-3</v>
      </c>
      <c r="P384">
        <v>0.99294079999999996</v>
      </c>
      <c r="Q384">
        <v>7.517429E-3</v>
      </c>
      <c r="R384">
        <v>-0.11837300000000001</v>
      </c>
      <c r="S384">
        <v>3.010345</v>
      </c>
      <c r="T384">
        <v>-3.0768630000000002E-2</v>
      </c>
      <c r="U384">
        <v>-9.2590329999999998E-2</v>
      </c>
      <c r="V384">
        <v>0.1111664</v>
      </c>
      <c r="W384">
        <v>2.2450769999999998E-2</v>
      </c>
      <c r="X384">
        <v>0.99354819999999999</v>
      </c>
      <c r="Y384">
        <v>2.345997E-2</v>
      </c>
      <c r="Z384" s="1">
        <v>-4.5426239999999998E-5</v>
      </c>
      <c r="AA384">
        <v>0.99972479999999997</v>
      </c>
      <c r="AB384">
        <v>41</v>
      </c>
      <c r="AC384">
        <v>108.177099999999</v>
      </c>
      <c r="AD384">
        <v>-1.1095295113200001</v>
      </c>
      <c r="AE384">
        <v>-3.3357999999999999</v>
      </c>
      <c r="AF384">
        <v>2.54741120799692</v>
      </c>
      <c r="AG384">
        <v>-1.1095295113200001</v>
      </c>
      <c r="AH384">
        <v>108.18715958377101</v>
      </c>
      <c r="AI384">
        <v>90.587421983321406</v>
      </c>
      <c r="AJ384">
        <v>88.651143570783205</v>
      </c>
      <c r="AK384">
        <v>108.22283427448799</v>
      </c>
      <c r="AL384">
        <v>88.713557567755899</v>
      </c>
      <c r="AM384">
        <v>83.615826501635695</v>
      </c>
      <c r="AN384">
        <v>1.0000000156428901</v>
      </c>
    </row>
    <row r="385" spans="1:40" x14ac:dyDescent="0.25">
      <c r="A385" t="str">
        <f>"20190312161232142"</f>
        <v>20190312161232142</v>
      </c>
      <c r="B385" t="str">
        <f>"1552378352135621"</f>
        <v>1552378352135621</v>
      </c>
      <c r="C385" t="s">
        <v>40</v>
      </c>
      <c r="D385">
        <v>5.4469399999999997</v>
      </c>
      <c r="E385">
        <v>0.46764020000000001</v>
      </c>
      <c r="F385" t="s">
        <v>42</v>
      </c>
      <c r="G385">
        <v>-263.416</v>
      </c>
      <c r="H385" s="1">
        <v>-3.590538E-6</v>
      </c>
      <c r="I385">
        <v>365.19799999999998</v>
      </c>
      <c r="J385">
        <v>-361.43299999999999</v>
      </c>
      <c r="K385">
        <v>1.109532</v>
      </c>
      <c r="L385">
        <v>368.34719999999999</v>
      </c>
      <c r="M385">
        <v>0.99985489999999999</v>
      </c>
      <c r="N385">
        <v>0</v>
      </c>
      <c r="O385">
        <v>-7.760894E-3</v>
      </c>
      <c r="P385">
        <v>0.99294669999999896</v>
      </c>
      <c r="Q385">
        <v>7.9672930000000003E-3</v>
      </c>
      <c r="R385">
        <v>-0.1182946</v>
      </c>
      <c r="S385">
        <v>3.010132</v>
      </c>
      <c r="T385">
        <v>-3.3928390000000003E-2</v>
      </c>
      <c r="U385">
        <v>-9.6405030000000003E-2</v>
      </c>
      <c r="V385">
        <v>0.1106139</v>
      </c>
      <c r="W385">
        <v>2.2899829999999999E-2</v>
      </c>
      <c r="X385">
        <v>0.99359960000000003</v>
      </c>
      <c r="Y385">
        <v>2.4250620000000001E-2</v>
      </c>
      <c r="Z385" s="1">
        <v>-4.9172190000000003E-5</v>
      </c>
      <c r="AA385">
        <v>0.99970590000000004</v>
      </c>
      <c r="AB385">
        <v>41</v>
      </c>
      <c r="AC385">
        <v>98.016999999999996</v>
      </c>
      <c r="AD385">
        <v>-1.109535590538</v>
      </c>
      <c r="AE385">
        <v>-3.1491999999999498</v>
      </c>
      <c r="AF385">
        <v>2.3880124327213101</v>
      </c>
      <c r="AG385">
        <v>-1.109535590538</v>
      </c>
      <c r="AH385">
        <v>98.025942895140005</v>
      </c>
      <c r="AI385">
        <v>90.648299187394599</v>
      </c>
      <c r="AJ385">
        <v>88.604492105846205</v>
      </c>
      <c r="AK385">
        <v>98.0613030358396</v>
      </c>
      <c r="AL385">
        <v>88.6878216889681</v>
      </c>
      <c r="AM385">
        <v>83.647621918480894</v>
      </c>
      <c r="AN385">
        <v>1.00000000110369</v>
      </c>
    </row>
    <row r="386" spans="1:40" x14ac:dyDescent="0.25">
      <c r="A386" t="str">
        <f>"20190312161232163"</f>
        <v>20190312161232163</v>
      </c>
      <c r="B386" t="str">
        <f>"1552378352156117"</f>
        <v>1552378352156117</v>
      </c>
      <c r="C386" t="s">
        <v>40</v>
      </c>
      <c r="D386">
        <v>5.4350709999999998</v>
      </c>
      <c r="E386">
        <v>0.46763660000000001</v>
      </c>
      <c r="F386" t="s">
        <v>42</v>
      </c>
      <c r="G386">
        <v>-264.35410000000002</v>
      </c>
      <c r="H386" s="1">
        <v>-3.1759419999999998E-6</v>
      </c>
      <c r="I386">
        <v>365.26659999999998</v>
      </c>
      <c r="J386">
        <v>-361.03469999999999</v>
      </c>
      <c r="K386">
        <v>1.1095410000000001</v>
      </c>
      <c r="L386">
        <v>368.34370000000001</v>
      </c>
      <c r="M386">
        <v>0.9998513</v>
      </c>
      <c r="N386">
        <v>0</v>
      </c>
      <c r="O386">
        <v>-8.2021939999999995E-3</v>
      </c>
      <c r="P386">
        <v>0.99292780000000003</v>
      </c>
      <c r="Q386">
        <v>8.3366580000000003E-3</v>
      </c>
      <c r="R386">
        <v>-0.1184278</v>
      </c>
      <c r="S386">
        <v>3.0101619999999998</v>
      </c>
      <c r="T386">
        <v>-3.4403799999999998E-2</v>
      </c>
      <c r="U386">
        <v>-9.5520019999999997E-2</v>
      </c>
      <c r="V386">
        <v>0.1103083</v>
      </c>
      <c r="W386">
        <v>2.326833E-2</v>
      </c>
      <c r="X386">
        <v>0.99362499999999998</v>
      </c>
      <c r="Y386">
        <v>2.3515479999999998E-2</v>
      </c>
      <c r="Z386" s="1">
        <v>-4.0618589999999997E-5</v>
      </c>
      <c r="AA386">
        <v>0.99972349999999999</v>
      </c>
      <c r="AB386">
        <v>41</v>
      </c>
      <c r="AC386">
        <v>96.680599999999899</v>
      </c>
      <c r="AD386">
        <v>-1.1095441759419999</v>
      </c>
      <c r="AE386">
        <v>-3.0771000000000299</v>
      </c>
      <c r="AF386">
        <v>2.28361171494524</v>
      </c>
      <c r="AG386">
        <v>-1.1095441759419999</v>
      </c>
      <c r="AH386">
        <v>96.689867036840099</v>
      </c>
      <c r="AI386">
        <v>90.657273502210799</v>
      </c>
      <c r="AJ386">
        <v>88.647045471563999</v>
      </c>
      <c r="AK386">
        <v>96.723194520987704</v>
      </c>
      <c r="AL386">
        <v>88.666702549543501</v>
      </c>
      <c r="AM386">
        <v>83.665189780669607</v>
      </c>
      <c r="AN386">
        <v>0.99999998842743898</v>
      </c>
    </row>
    <row r="387" spans="1:40" x14ac:dyDescent="0.25">
      <c r="A387" t="str">
        <f>"20190312161232187"</f>
        <v>20190312161232187</v>
      </c>
      <c r="B387" t="str">
        <f>"1552378352175637"</f>
        <v>1552378352175637</v>
      </c>
      <c r="C387" t="s">
        <v>40</v>
      </c>
      <c r="D387">
        <v>5.4141750000000002</v>
      </c>
      <c r="E387">
        <v>0.46761960000000002</v>
      </c>
      <c r="F387" t="s">
        <v>42</v>
      </c>
      <c r="G387">
        <v>-264.2321</v>
      </c>
      <c r="H387" s="1">
        <v>-3.22925E-6</v>
      </c>
      <c r="I387">
        <v>365.2611</v>
      </c>
      <c r="J387">
        <v>-360.61669999999998</v>
      </c>
      <c r="K387">
        <v>1.109553</v>
      </c>
      <c r="L387">
        <v>368.3399</v>
      </c>
      <c r="M387">
        <v>0.99984770000000001</v>
      </c>
      <c r="N387">
        <v>0</v>
      </c>
      <c r="O387">
        <v>-8.6538129999999998E-3</v>
      </c>
      <c r="P387">
        <v>0.99289170000000004</v>
      </c>
      <c r="Q387">
        <v>8.0941490000000001E-3</v>
      </c>
      <c r="R387">
        <v>-0.11874700000000001</v>
      </c>
      <c r="S387">
        <v>3.0101930000000001</v>
      </c>
      <c r="T387">
        <v>-3.4502629999999999E-2</v>
      </c>
      <c r="U387">
        <v>-9.5855709999999997E-2</v>
      </c>
      <c r="V387">
        <v>0.1101779</v>
      </c>
      <c r="W387">
        <v>2.3024260000000001E-2</v>
      </c>
      <c r="X387">
        <v>0.99364520000000001</v>
      </c>
      <c r="Y387">
        <v>2.3175009999999999E-2</v>
      </c>
      <c r="Z387" s="1">
        <v>-3.3609129999999999E-5</v>
      </c>
      <c r="AA387">
        <v>0.99973140000000005</v>
      </c>
      <c r="AB387">
        <v>41</v>
      </c>
      <c r="AC387">
        <v>96.384599999999907</v>
      </c>
      <c r="AD387">
        <v>-1.1095562292500001</v>
      </c>
      <c r="AE387">
        <v>-3.0788000000000002</v>
      </c>
      <c r="AF387">
        <v>2.2441974769728201</v>
      </c>
      <c r="AG387">
        <v>-1.1095562292500001</v>
      </c>
      <c r="AH387">
        <v>96.394875191016496</v>
      </c>
      <c r="AI387">
        <v>90.659297104338506</v>
      </c>
      <c r="AJ387">
        <v>88.666321008750302</v>
      </c>
      <c r="AK387">
        <v>96.427379412867893</v>
      </c>
      <c r="AL387">
        <v>88.680690539414499</v>
      </c>
      <c r="AM387">
        <v>83.672745236178699</v>
      </c>
      <c r="AN387">
        <v>1.00000003483999</v>
      </c>
    </row>
    <row r="388" spans="1:40" x14ac:dyDescent="0.25">
      <c r="A388" t="str">
        <f>"20190312161232209"</f>
        <v>20190312161232209</v>
      </c>
      <c r="B388" t="str">
        <f>"1552378352196133"</f>
        <v>1552378352196133</v>
      </c>
      <c r="C388" t="s">
        <v>40</v>
      </c>
      <c r="D388">
        <v>5.4161429999999999</v>
      </c>
      <c r="E388">
        <v>0.46755619999999998</v>
      </c>
      <c r="F388" t="s">
        <v>42</v>
      </c>
      <c r="G388">
        <v>-267.96949999999998</v>
      </c>
      <c r="H388" s="1">
        <v>-1.8074010000000001E-6</v>
      </c>
      <c r="I388">
        <v>365.36799999999999</v>
      </c>
      <c r="J388">
        <v>-360.21379999999999</v>
      </c>
      <c r="K388">
        <v>1.109567</v>
      </c>
      <c r="L388">
        <v>368.33600000000001</v>
      </c>
      <c r="M388">
        <v>0.99984399999999996</v>
      </c>
      <c r="N388">
        <v>0</v>
      </c>
      <c r="O388">
        <v>-9.0729880000000006E-3</v>
      </c>
      <c r="P388">
        <v>0.99284150000000004</v>
      </c>
      <c r="Q388">
        <v>7.7299269999999897E-3</v>
      </c>
      <c r="R388">
        <v>-0.1191892</v>
      </c>
      <c r="S388">
        <v>3.0102229999999999</v>
      </c>
      <c r="T388">
        <v>-3.6050800000000001E-2</v>
      </c>
      <c r="U388">
        <v>-9.6557619999999997E-2</v>
      </c>
      <c r="V388">
        <v>0.1102028</v>
      </c>
      <c r="W388">
        <v>2.2659100000000001E-2</v>
      </c>
      <c r="X388">
        <v>0.99365079999999995</v>
      </c>
      <c r="Y388">
        <v>2.2988390000000001E-2</v>
      </c>
      <c r="Z388" s="1">
        <v>-2.898077E-5</v>
      </c>
      <c r="AA388">
        <v>0.9997357</v>
      </c>
      <c r="AB388">
        <v>40</v>
      </c>
      <c r="AC388">
        <v>92.244299999999996</v>
      </c>
      <c r="AD388">
        <v>-1.1095688074009999</v>
      </c>
      <c r="AE388">
        <v>-2.96799999999996</v>
      </c>
      <c r="AF388">
        <v>2.1305423180480298</v>
      </c>
      <c r="AG388">
        <v>-1.1095688074009999</v>
      </c>
      <c r="AH388">
        <v>92.254099875180401</v>
      </c>
      <c r="AI388">
        <v>90.688897301281898</v>
      </c>
      <c r="AJ388">
        <v>88.677030202804801</v>
      </c>
      <c r="AK388">
        <v>92.285368814818696</v>
      </c>
      <c r="AL388">
        <v>88.701618083301497</v>
      </c>
      <c r="AM388">
        <v>83.671362267170807</v>
      </c>
      <c r="AN388">
        <v>1.0000000021406401</v>
      </c>
    </row>
    <row r="389" spans="1:40" x14ac:dyDescent="0.25">
      <c r="A389" t="str">
        <f>"20190312161232229"</f>
        <v>20190312161232229</v>
      </c>
      <c r="B389" t="str">
        <f>"1552378352225922"</f>
        <v>1552378352225922</v>
      </c>
      <c r="C389" t="s">
        <v>40</v>
      </c>
      <c r="D389">
        <v>5.4098629999999996</v>
      </c>
      <c r="E389">
        <v>0.46755730000000001</v>
      </c>
      <c r="F389" t="s">
        <v>42</v>
      </c>
      <c r="G389">
        <v>-272.89030000000002</v>
      </c>
      <c r="H389" s="1">
        <v>-3.7608870000000001E-6</v>
      </c>
      <c r="I389">
        <v>365.50920000000002</v>
      </c>
      <c r="J389">
        <v>-359.84249999999997</v>
      </c>
      <c r="K389">
        <v>1.109585</v>
      </c>
      <c r="L389">
        <v>368.33229999999998</v>
      </c>
      <c r="M389">
        <v>0.99984059999999997</v>
      </c>
      <c r="N389">
        <v>0</v>
      </c>
      <c r="O389">
        <v>-9.4456669999999996E-3</v>
      </c>
      <c r="P389">
        <v>0.99276050000000005</v>
      </c>
      <c r="Q389">
        <v>7.8185459999999991E-3</v>
      </c>
      <c r="R389">
        <v>-0.1198581</v>
      </c>
      <c r="S389">
        <v>3.0101930000000001</v>
      </c>
      <c r="T389">
        <v>-3.8248780000000003E-2</v>
      </c>
      <c r="U389">
        <v>-9.7442630000000002E-2</v>
      </c>
      <c r="V389">
        <v>0.11050119999999999</v>
      </c>
      <c r="W389">
        <v>2.274586E-2</v>
      </c>
      <c r="X389">
        <v>0.99361569999999999</v>
      </c>
      <c r="Y389">
        <v>2.2909619999999999E-2</v>
      </c>
      <c r="Z389" s="1">
        <v>-2.5513430000000001E-5</v>
      </c>
      <c r="AA389">
        <v>0.9997376</v>
      </c>
      <c r="AB389">
        <v>40</v>
      </c>
      <c r="AC389">
        <v>86.952199999999905</v>
      </c>
      <c r="AD389">
        <v>-1.1095887608869901</v>
      </c>
      <c r="AE389">
        <v>-2.82309999999995</v>
      </c>
      <c r="AF389">
        <v>2.0012326787789201</v>
      </c>
      <c r="AG389">
        <v>-1.1095887608869901</v>
      </c>
      <c r="AH389">
        <v>86.960843328921996</v>
      </c>
      <c r="AI389">
        <v>90.730840175538901</v>
      </c>
      <c r="AJ389">
        <v>88.681683080864403</v>
      </c>
      <c r="AK389">
        <v>86.990944309911995</v>
      </c>
      <c r="AL389">
        <v>88.696645848865401</v>
      </c>
      <c r="AM389">
        <v>83.654143257811199</v>
      </c>
      <c r="AN389">
        <v>1.00000002431753</v>
      </c>
    </row>
    <row r="390" spans="1:40" x14ac:dyDescent="0.25">
      <c r="A390" t="str">
        <f>"20190312161232253"</f>
        <v>20190312161232253</v>
      </c>
      <c r="B390" t="str">
        <f>"1552378352246416"</f>
        <v>1552378352246416</v>
      </c>
      <c r="C390" t="s">
        <v>40</v>
      </c>
      <c r="D390">
        <v>5.42021</v>
      </c>
      <c r="E390">
        <v>0.46755980000000003</v>
      </c>
      <c r="F390" t="s">
        <v>42</v>
      </c>
      <c r="G390">
        <v>-276.65219999999999</v>
      </c>
      <c r="H390" s="1">
        <v>-2.1983440000000001E-6</v>
      </c>
      <c r="I390">
        <v>365.58359999999999</v>
      </c>
      <c r="J390">
        <v>-359.4153</v>
      </c>
      <c r="K390">
        <v>1.1095999999999999</v>
      </c>
      <c r="L390">
        <v>368.3279</v>
      </c>
      <c r="M390">
        <v>0.99983670000000002</v>
      </c>
      <c r="N390">
        <v>0</v>
      </c>
      <c r="O390">
        <v>-9.8599099999999995E-3</v>
      </c>
      <c r="P390">
        <v>0.99266849999999995</v>
      </c>
      <c r="Q390">
        <v>7.4984489999999999E-3</v>
      </c>
      <c r="R390">
        <v>-0.1206363</v>
      </c>
      <c r="S390">
        <v>3.0101930000000001</v>
      </c>
      <c r="T390">
        <v>-4.0149690000000002E-2</v>
      </c>
      <c r="U390">
        <v>-9.9456790000000003E-2</v>
      </c>
      <c r="V390">
        <v>0.1108674</v>
      </c>
      <c r="W390">
        <v>2.2423599999999998E-2</v>
      </c>
      <c r="X390">
        <v>0.99358219999999997</v>
      </c>
      <c r="Y390">
        <v>2.3163530000000002E-2</v>
      </c>
      <c r="Z390" s="1">
        <v>-2.2950570000000001E-5</v>
      </c>
      <c r="AA390">
        <v>0.9997317</v>
      </c>
      <c r="AB390">
        <v>40</v>
      </c>
      <c r="AC390">
        <v>82.763099999999994</v>
      </c>
      <c r="AD390">
        <v>-1.1096021983440001</v>
      </c>
      <c r="AE390">
        <v>-2.7443</v>
      </c>
      <c r="AF390">
        <v>1.92769013849004</v>
      </c>
      <c r="AG390">
        <v>-1.1096021983440001</v>
      </c>
      <c r="AH390">
        <v>82.771276079246306</v>
      </c>
      <c r="AI390">
        <v>90.767832592614994</v>
      </c>
      <c r="AJ390">
        <v>88.665859075886203</v>
      </c>
      <c r="AK390">
        <v>82.801155487682806</v>
      </c>
      <c r="AL390">
        <v>88.715114657201696</v>
      </c>
      <c r="AM390">
        <v>83.633072651819901</v>
      </c>
      <c r="AN390">
        <v>0.99999999318827903</v>
      </c>
    </row>
    <row r="391" spans="1:40" x14ac:dyDescent="0.25">
      <c r="A391" t="str">
        <f>"20190312161232275"</f>
        <v>20190312161232275</v>
      </c>
      <c r="B391" t="str">
        <f>"1552378352265935"</f>
        <v>1552378352265935</v>
      </c>
      <c r="C391" t="s">
        <v>40</v>
      </c>
      <c r="D391">
        <v>5.4020599999999996</v>
      </c>
      <c r="E391">
        <v>0.4675395</v>
      </c>
      <c r="F391" t="s">
        <v>41</v>
      </c>
      <c r="G391">
        <v>-277.12479999999999</v>
      </c>
      <c r="H391">
        <v>-0.05</v>
      </c>
      <c r="I391">
        <v>365.54969999999997</v>
      </c>
      <c r="J391">
        <v>-359.01319999999998</v>
      </c>
      <c r="K391">
        <v>1.109613</v>
      </c>
      <c r="L391">
        <v>368.32350000000002</v>
      </c>
      <c r="M391">
        <v>0.99983310000000003</v>
      </c>
      <c r="N391">
        <v>0</v>
      </c>
      <c r="O391">
        <v>-1.023639E-2</v>
      </c>
      <c r="P391">
        <v>0.99256420000000001</v>
      </c>
      <c r="Q391">
        <v>7.33025E-3</v>
      </c>
      <c r="R391">
        <v>-0.1215036</v>
      </c>
      <c r="S391">
        <v>3.010132</v>
      </c>
      <c r="T391">
        <v>-4.2417410000000003E-2</v>
      </c>
      <c r="U391">
        <v>-0.10162350000000001</v>
      </c>
      <c r="V391">
        <v>0.1113604</v>
      </c>
      <c r="W391">
        <v>2.2252460000000002E-2</v>
      </c>
      <c r="X391">
        <v>0.99353089999999999</v>
      </c>
      <c r="Y391">
        <v>2.3506450000000002E-2</v>
      </c>
      <c r="Z391" s="1">
        <v>-2.1358970000000001E-5</v>
      </c>
      <c r="AA391">
        <v>0.99972369999999999</v>
      </c>
      <c r="AB391">
        <v>40</v>
      </c>
      <c r="AC391">
        <v>81.888399999999905</v>
      </c>
      <c r="AD391">
        <v>-1.159613</v>
      </c>
      <c r="AE391">
        <v>-2.7738000000000498</v>
      </c>
      <c r="AF391">
        <v>1.93492948069773</v>
      </c>
      <c r="AG391">
        <v>-1.159613</v>
      </c>
      <c r="AH391">
        <v>81.896101690529505</v>
      </c>
      <c r="AI391">
        <v>90.811002682990505</v>
      </c>
      <c r="AJ391">
        <v>88.646545209236905</v>
      </c>
      <c r="AK391">
        <v>81.927163544886497</v>
      </c>
      <c r="AL391">
        <v>88.724922687468094</v>
      </c>
      <c r="AM391">
        <v>83.604667069180195</v>
      </c>
      <c r="AN391">
        <v>0.99999997995950995</v>
      </c>
    </row>
    <row r="392" spans="1:40" x14ac:dyDescent="0.25">
      <c r="A392" t="str">
        <f>"20190312161232298"</f>
        <v>20190312161232298</v>
      </c>
      <c r="B392" t="str">
        <f>"1552378352286432"</f>
        <v>1552378352286432</v>
      </c>
      <c r="C392" t="s">
        <v>40</v>
      </c>
      <c r="D392">
        <v>5.3799130000000002</v>
      </c>
      <c r="E392">
        <v>0.46747519999999998</v>
      </c>
      <c r="F392" t="s">
        <v>41</v>
      </c>
      <c r="G392">
        <v>-279.95979999999997</v>
      </c>
      <c r="H392">
        <v>-0.05</v>
      </c>
      <c r="I392">
        <v>365.5881</v>
      </c>
      <c r="J392">
        <v>-358.61110000000002</v>
      </c>
      <c r="K392">
        <v>1.1096189999999999</v>
      </c>
      <c r="L392">
        <v>368.31909999999999</v>
      </c>
      <c r="M392">
        <v>0.99982939999999998</v>
      </c>
      <c r="N392">
        <v>0</v>
      </c>
      <c r="O392">
        <v>-1.059857E-2</v>
      </c>
      <c r="P392">
        <v>0.99251250000000002</v>
      </c>
      <c r="Q392">
        <v>7.01433E-3</v>
      </c>
      <c r="R392">
        <v>-0.1219422</v>
      </c>
      <c r="S392">
        <v>3.01004</v>
      </c>
      <c r="T392">
        <v>-4.4153449999999997E-2</v>
      </c>
      <c r="U392">
        <v>-0.1041565</v>
      </c>
      <c r="V392">
        <v>0.1114387</v>
      </c>
      <c r="W392">
        <v>2.1935909999999999E-2</v>
      </c>
      <c r="X392">
        <v>0.9935292</v>
      </c>
      <c r="Y392">
        <v>2.39855E-2</v>
      </c>
      <c r="Z392" s="1">
        <v>-2.0435169999999998E-5</v>
      </c>
      <c r="AA392">
        <v>0.9997123</v>
      </c>
      <c r="AB392">
        <v>40</v>
      </c>
      <c r="AC392">
        <v>78.651300000000006</v>
      </c>
      <c r="AD392">
        <v>-1.159619</v>
      </c>
      <c r="AE392">
        <v>-2.7309999999999901</v>
      </c>
      <c r="AF392">
        <v>1.89674805149958</v>
      </c>
      <c r="AG392">
        <v>-1.159619</v>
      </c>
      <c r="AH392">
        <v>78.658751214985699</v>
      </c>
      <c r="AI392">
        <v>90.844370863188402</v>
      </c>
      <c r="AJ392">
        <v>88.618658444963899</v>
      </c>
      <c r="AK392">
        <v>78.690161469506705</v>
      </c>
      <c r="AL392">
        <v>88.743064145214404</v>
      </c>
      <c r="AM392">
        <v>83.600196802595804</v>
      </c>
      <c r="AN392">
        <v>1.00000001962892</v>
      </c>
    </row>
    <row r="393" spans="1:40" x14ac:dyDescent="0.25">
      <c r="A393" t="str">
        <f>"20190312161232319"</f>
        <v>20190312161232319</v>
      </c>
      <c r="B393" t="str">
        <f>"1552378352316219"</f>
        <v>1552378352316219</v>
      </c>
      <c r="C393" t="s">
        <v>40</v>
      </c>
      <c r="D393">
        <v>5.3964359999999996</v>
      </c>
      <c r="E393">
        <v>0.46738619999999997</v>
      </c>
      <c r="F393" t="s">
        <v>41</v>
      </c>
      <c r="G393">
        <v>-284.03129999999999</v>
      </c>
      <c r="H393">
        <v>-0.05</v>
      </c>
      <c r="I393">
        <v>365.72030000000001</v>
      </c>
      <c r="J393">
        <v>-358.23880000000003</v>
      </c>
      <c r="K393">
        <v>1.109632</v>
      </c>
      <c r="L393">
        <v>368.31490000000002</v>
      </c>
      <c r="M393">
        <v>0.99982590000000005</v>
      </c>
      <c r="N393">
        <v>0</v>
      </c>
      <c r="O393">
        <v>-1.091986E-2</v>
      </c>
      <c r="P393">
        <v>0.99251500000000004</v>
      </c>
      <c r="Q393">
        <v>6.5315700000000004E-3</v>
      </c>
      <c r="R393">
        <v>-0.1219483</v>
      </c>
      <c r="S393">
        <v>3.0100709999999999</v>
      </c>
      <c r="T393">
        <v>-4.680264E-2</v>
      </c>
      <c r="U393">
        <v>-0.10488889999999999</v>
      </c>
      <c r="V393">
        <v>0.111124</v>
      </c>
      <c r="W393">
        <v>2.1453940000000001E-2</v>
      </c>
      <c r="X393">
        <v>0.99357499999999999</v>
      </c>
      <c r="Y393">
        <v>2.3906730000000001E-2</v>
      </c>
      <c r="Z393" s="1">
        <v>-1.6054900000000001E-5</v>
      </c>
      <c r="AA393">
        <v>0.9997142</v>
      </c>
      <c r="AB393">
        <v>40</v>
      </c>
      <c r="AC393">
        <v>74.207499999999996</v>
      </c>
      <c r="AD393">
        <v>-1.159632</v>
      </c>
      <c r="AE393">
        <v>-2.59460000000001</v>
      </c>
      <c r="AF393">
        <v>1.78358196709376</v>
      </c>
      <c r="AG393">
        <v>-1.159632</v>
      </c>
      <c r="AH393">
        <v>74.213309666543296</v>
      </c>
      <c r="AI393">
        <v>90.894953178811605</v>
      </c>
      <c r="AJ393">
        <v>88.6232651352868</v>
      </c>
      <c r="AK393">
        <v>74.243795987752506</v>
      </c>
      <c r="AL393">
        <v>88.770685527424604</v>
      </c>
      <c r="AM393">
        <v>83.618412114563</v>
      </c>
      <c r="AN393">
        <v>1.0000000477712601</v>
      </c>
    </row>
    <row r="394" spans="1:40" x14ac:dyDescent="0.25">
      <c r="A394" t="str">
        <f>"20190312161232342"</f>
        <v>20190312161232342</v>
      </c>
      <c r="B394" t="str">
        <f>"1552378352335739"</f>
        <v>1552378352335739</v>
      </c>
      <c r="C394" t="s">
        <v>40</v>
      </c>
      <c r="D394">
        <v>5.428115</v>
      </c>
      <c r="E394">
        <v>0.46732000000000001</v>
      </c>
      <c r="F394" t="s">
        <v>41</v>
      </c>
      <c r="G394">
        <v>-288.29050000000001</v>
      </c>
      <c r="H394">
        <v>-0.05</v>
      </c>
      <c r="I394">
        <v>365.8981</v>
      </c>
      <c r="J394">
        <v>-357.82199999999898</v>
      </c>
      <c r="K394">
        <v>1.1096459999999999</v>
      </c>
      <c r="L394">
        <v>368.31</v>
      </c>
      <c r="M394">
        <v>0.99982210000000005</v>
      </c>
      <c r="N394">
        <v>0</v>
      </c>
      <c r="O394">
        <v>-1.1264100000000001E-2</v>
      </c>
      <c r="P394">
        <v>0.99252479999999998</v>
      </c>
      <c r="Q394">
        <v>6.524485E-3</v>
      </c>
      <c r="R394">
        <v>-0.12186859999999999</v>
      </c>
      <c r="S394">
        <v>3.0101619999999998</v>
      </c>
      <c r="T394">
        <v>-4.9903749999999997E-2</v>
      </c>
      <c r="U394">
        <v>-0.1040039</v>
      </c>
      <c r="V394">
        <v>0.1107013</v>
      </c>
      <c r="W394">
        <v>2.1447270000000001E-2</v>
      </c>
      <c r="X394">
        <v>0.99362229999999996</v>
      </c>
      <c r="Y394">
        <v>2.3267820000000002E-2</v>
      </c>
      <c r="Z394" s="1">
        <v>-6.1192989999999998E-6</v>
      </c>
      <c r="AA394">
        <v>0.99972930000000004</v>
      </c>
      <c r="AB394">
        <v>40</v>
      </c>
      <c r="AC394">
        <v>69.531499999999895</v>
      </c>
      <c r="AD394">
        <v>-1.159646</v>
      </c>
      <c r="AE394">
        <v>-2.4119000000000002</v>
      </c>
      <c r="AF394">
        <v>1.62799523925148</v>
      </c>
      <c r="AG394">
        <v>-1.159646</v>
      </c>
      <c r="AH394">
        <v>69.534940483756799</v>
      </c>
      <c r="AI394">
        <v>90.955181156755998</v>
      </c>
      <c r="AJ394">
        <v>88.658800627492795</v>
      </c>
      <c r="AK394">
        <v>69.563662176627403</v>
      </c>
      <c r="AL394">
        <v>88.771067743010306</v>
      </c>
      <c r="AM394">
        <v>83.642787805099204</v>
      </c>
      <c r="AN394">
        <v>1.00000001913471</v>
      </c>
    </row>
    <row r="395" spans="1:40" x14ac:dyDescent="0.25">
      <c r="A395" t="str">
        <f>"20190312161232365"</f>
        <v>20190312161232365</v>
      </c>
      <c r="B395" t="str">
        <f>"1552378352356235"</f>
        <v>1552378352356235</v>
      </c>
      <c r="C395" t="s">
        <v>40</v>
      </c>
      <c r="D395">
        <v>5.444229</v>
      </c>
      <c r="E395">
        <v>0.46724589999999999</v>
      </c>
      <c r="F395" t="s">
        <v>41</v>
      </c>
      <c r="G395">
        <v>-289.85059999999999</v>
      </c>
      <c r="H395">
        <v>-0.05</v>
      </c>
      <c r="I395">
        <v>365.97739999999999</v>
      </c>
      <c r="J395">
        <v>-357.40530000000001</v>
      </c>
      <c r="K395">
        <v>1.1096710000000001</v>
      </c>
      <c r="L395">
        <v>368.30500000000001</v>
      </c>
      <c r="M395">
        <v>0.9998184</v>
      </c>
      <c r="N395">
        <v>0</v>
      </c>
      <c r="O395">
        <v>-1.159103E-2</v>
      </c>
      <c r="P395">
        <v>0.99255709999999997</v>
      </c>
      <c r="Q395">
        <v>6.6351719999999999E-3</v>
      </c>
      <c r="R395">
        <v>-0.1216</v>
      </c>
      <c r="S395">
        <v>3.010284</v>
      </c>
      <c r="T395">
        <v>-5.135787E-2</v>
      </c>
      <c r="U395">
        <v>-0.103302</v>
      </c>
      <c r="V395">
        <v>0.1101061</v>
      </c>
      <c r="W395">
        <v>2.1559780000000001E-2</v>
      </c>
      <c r="X395">
        <v>0.99368599999999996</v>
      </c>
      <c r="Y395">
        <v>2.270672E-2</v>
      </c>
      <c r="Z395" s="1">
        <v>4.06288E-6</v>
      </c>
      <c r="AA395">
        <v>0.99974220000000003</v>
      </c>
      <c r="AB395">
        <v>40</v>
      </c>
      <c r="AC395">
        <v>67.554699999999997</v>
      </c>
      <c r="AD395">
        <v>-1.1596709999999999</v>
      </c>
      <c r="AE395">
        <v>-2.3276000000000101</v>
      </c>
      <c r="AF395">
        <v>1.5438710294371201</v>
      </c>
      <c r="AG395">
        <v>-1.1596709999999999</v>
      </c>
      <c r="AH395">
        <v>67.557258599452197</v>
      </c>
      <c r="AI395">
        <v>90.983171784891994</v>
      </c>
      <c r="AJ395">
        <v>88.6908601409894</v>
      </c>
      <c r="AK395">
        <v>67.584847148284894</v>
      </c>
      <c r="AL395">
        <v>88.764619907579203</v>
      </c>
      <c r="AM395">
        <v>83.6770926523361</v>
      </c>
      <c r="AN395">
        <v>1.00000002198342</v>
      </c>
    </row>
    <row r="396" spans="1:40" x14ac:dyDescent="0.25">
      <c r="A396" t="str">
        <f>"20190312161232388"</f>
        <v>20190312161232388</v>
      </c>
      <c r="B396" t="str">
        <f>"1552378352375755"</f>
        <v>1552378352375755</v>
      </c>
      <c r="C396" t="s">
        <v>40</v>
      </c>
      <c r="D396">
        <v>5.3884740000000004</v>
      </c>
      <c r="E396">
        <v>0.46713680000000002</v>
      </c>
      <c r="F396" t="s">
        <v>41</v>
      </c>
      <c r="G396">
        <v>-290.92259999999999</v>
      </c>
      <c r="H396">
        <v>-0.05</v>
      </c>
      <c r="I396">
        <v>366.05189999999999</v>
      </c>
      <c r="J396">
        <v>-356.99950000000001</v>
      </c>
      <c r="K396">
        <v>1.1096969999999999</v>
      </c>
      <c r="L396">
        <v>368.3</v>
      </c>
      <c r="M396">
        <v>0.99981500000000001</v>
      </c>
      <c r="N396">
        <v>0</v>
      </c>
      <c r="O396">
        <v>-1.189281E-2</v>
      </c>
      <c r="P396">
        <v>0.99260570000000004</v>
      </c>
      <c r="Q396">
        <v>6.6709999999999903E-3</v>
      </c>
      <c r="R396">
        <v>-0.12119969999999999</v>
      </c>
      <c r="S396">
        <v>3.010345</v>
      </c>
      <c r="T396">
        <v>-5.2510019999999998E-2</v>
      </c>
      <c r="U396">
        <v>-0.10202029999999999</v>
      </c>
      <c r="V396">
        <v>0.1094045</v>
      </c>
      <c r="W396">
        <v>2.1598389999999999E-2</v>
      </c>
      <c r="X396">
        <v>0.99376260000000005</v>
      </c>
      <c r="Y396">
        <v>2.1979169999999999E-2</v>
      </c>
      <c r="Z396" s="1">
        <v>1.5758970000000001E-5</v>
      </c>
      <c r="AA396">
        <v>0.99975840000000005</v>
      </c>
      <c r="AB396">
        <v>40</v>
      </c>
      <c r="AC396">
        <v>66.076899999999995</v>
      </c>
      <c r="AD396">
        <v>-1.159697</v>
      </c>
      <c r="AE396">
        <v>-2.24810000000002</v>
      </c>
      <c r="AF396">
        <v>1.4615614674817401</v>
      </c>
      <c r="AG396">
        <v>-1.159697</v>
      </c>
      <c r="AH396">
        <v>66.078634609711997</v>
      </c>
      <c r="AI396">
        <v>91.005206609139705</v>
      </c>
      <c r="AJ396">
        <v>88.732908876413802</v>
      </c>
      <c r="AK396">
        <v>66.104969638740997</v>
      </c>
      <c r="AL396">
        <v>88.762407138137704</v>
      </c>
      <c r="AM396">
        <v>83.717539634536394</v>
      </c>
      <c r="AN396">
        <v>0.99999997011480002</v>
      </c>
    </row>
    <row r="397" spans="1:40" x14ac:dyDescent="0.25">
      <c r="A397" t="str">
        <f>"20190312161232410"</f>
        <v>20190312161232410</v>
      </c>
      <c r="B397" t="str">
        <f>"1552378352406011"</f>
        <v>1552378352406011</v>
      </c>
      <c r="C397" t="s">
        <v>40</v>
      </c>
      <c r="D397">
        <v>5.4005539999999996</v>
      </c>
      <c r="E397">
        <v>0.46702919999999998</v>
      </c>
      <c r="F397" t="s">
        <v>41</v>
      </c>
      <c r="G397">
        <v>-291.6728</v>
      </c>
      <c r="H397">
        <v>-0.05</v>
      </c>
      <c r="I397">
        <v>366.13319999999999</v>
      </c>
      <c r="J397">
        <v>-356.60649999999998</v>
      </c>
      <c r="K397">
        <v>1.1097159999999999</v>
      </c>
      <c r="L397">
        <v>368.29500000000002</v>
      </c>
      <c r="M397">
        <v>0.99981180000000003</v>
      </c>
      <c r="N397">
        <v>0</v>
      </c>
      <c r="O397">
        <v>-1.216922E-2</v>
      </c>
      <c r="P397">
        <v>0.99260709999999996</v>
      </c>
      <c r="Q397">
        <v>6.2695090000000004E-3</v>
      </c>
      <c r="R397">
        <v>-0.1212119</v>
      </c>
      <c r="S397">
        <v>3.010529</v>
      </c>
      <c r="T397">
        <v>-5.3443669999999999E-2</v>
      </c>
      <c r="U397">
        <v>-9.9853520000000001E-2</v>
      </c>
      <c r="V397">
        <v>0.10914069999999999</v>
      </c>
      <c r="W397">
        <v>2.1196989999999999E-2</v>
      </c>
      <c r="X397">
        <v>0.99380029999999997</v>
      </c>
      <c r="Y397">
        <v>2.0982110000000002E-2</v>
      </c>
      <c r="Z397" s="1">
        <v>2.9790490000000001E-5</v>
      </c>
      <c r="AA397">
        <v>0.99977990000000005</v>
      </c>
      <c r="AB397">
        <v>40</v>
      </c>
      <c r="AC397">
        <v>64.933699999999902</v>
      </c>
      <c r="AD397">
        <v>-1.159716</v>
      </c>
      <c r="AE397">
        <v>-2.1618000000000199</v>
      </c>
      <c r="AF397">
        <v>1.37092038894182</v>
      </c>
      <c r="AG397">
        <v>-1.159716</v>
      </c>
      <c r="AH397">
        <v>64.934511277683796</v>
      </c>
      <c r="AI397">
        <v>91.022953254558402</v>
      </c>
      <c r="AJ397">
        <v>88.790530898321407</v>
      </c>
      <c r="AK397">
        <v>64.9593343468444</v>
      </c>
      <c r="AL397">
        <v>88.785410992994997</v>
      </c>
      <c r="AM397">
        <v>83.732803294062293</v>
      </c>
      <c r="AN397">
        <v>1.0000000205308199</v>
      </c>
    </row>
    <row r="398" spans="1:40" x14ac:dyDescent="0.25">
      <c r="A398" t="str">
        <f>"20190312161232432"</f>
        <v>20190312161232432</v>
      </c>
      <c r="B398" t="str">
        <f>"1552378352425531"</f>
        <v>1552378352425531</v>
      </c>
      <c r="C398" t="s">
        <v>40</v>
      </c>
      <c r="D398">
        <v>5.3791630000000001</v>
      </c>
      <c r="E398">
        <v>0.46700009999999997</v>
      </c>
      <c r="F398" t="s">
        <v>41</v>
      </c>
      <c r="G398">
        <v>-294.74119999999999</v>
      </c>
      <c r="H398">
        <v>-0.05</v>
      </c>
      <c r="I398">
        <v>366.26440000000002</v>
      </c>
      <c r="J398">
        <v>-356.21129999999999</v>
      </c>
      <c r="K398">
        <v>1.1097360000000001</v>
      </c>
      <c r="L398">
        <v>368.29</v>
      </c>
      <c r="M398">
        <v>0.99980849999999999</v>
      </c>
      <c r="N398">
        <v>0</v>
      </c>
      <c r="O398">
        <v>-1.243327E-2</v>
      </c>
      <c r="P398">
        <v>0.99255110000000002</v>
      </c>
      <c r="Q398">
        <v>5.9890539999999997E-3</v>
      </c>
      <c r="R398">
        <v>-0.121682</v>
      </c>
      <c r="S398">
        <v>3.0106199999999999</v>
      </c>
      <c r="T398">
        <v>-5.643654E-2</v>
      </c>
      <c r="U398">
        <v>-9.8815920000000002E-2</v>
      </c>
      <c r="V398">
        <v>0.1093478</v>
      </c>
      <c r="W398">
        <v>2.0916190000000001E-2</v>
      </c>
      <c r="X398">
        <v>0.99378350000000004</v>
      </c>
      <c r="Y398">
        <v>2.037286E-2</v>
      </c>
      <c r="Z398" s="1">
        <v>4.211394E-5</v>
      </c>
      <c r="AA398">
        <v>0.99979249999999997</v>
      </c>
      <c r="AB398">
        <v>40</v>
      </c>
      <c r="AC398">
        <v>61.470100000000002</v>
      </c>
      <c r="AD398">
        <v>-1.1597360000000001</v>
      </c>
      <c r="AE398">
        <v>-2.0255999999999901</v>
      </c>
      <c r="AF398">
        <v>1.26063351944812</v>
      </c>
      <c r="AG398">
        <v>-1.1597360000000001</v>
      </c>
      <c r="AH398">
        <v>61.468679108406498</v>
      </c>
      <c r="AI398">
        <v>91.080650043212998</v>
      </c>
      <c r="AJ398">
        <v>88.825111304477105</v>
      </c>
      <c r="AK398">
        <v>61.492541789978901</v>
      </c>
      <c r="AL398">
        <v>88.801503234771303</v>
      </c>
      <c r="AM398">
        <v>83.720900570957895</v>
      </c>
      <c r="AN398">
        <v>1.0000000366206001</v>
      </c>
    </row>
    <row r="399" spans="1:40" x14ac:dyDescent="0.25">
      <c r="A399" t="str">
        <f>"20190312161232453"</f>
        <v>20190312161232453</v>
      </c>
      <c r="B399" t="str">
        <f>"1552378352446027"</f>
        <v>1552378352446027</v>
      </c>
      <c r="C399" t="s">
        <v>40</v>
      </c>
      <c r="D399">
        <v>5.3526119999999997</v>
      </c>
      <c r="E399">
        <v>0.4669526</v>
      </c>
      <c r="F399" t="s">
        <v>41</v>
      </c>
      <c r="G399">
        <v>-296.59840000000003</v>
      </c>
      <c r="H399">
        <v>-0.05</v>
      </c>
      <c r="I399">
        <v>366.31220000000002</v>
      </c>
      <c r="J399">
        <v>-355.81699999999898</v>
      </c>
      <c r="K399">
        <v>1.1097490000000001</v>
      </c>
      <c r="L399">
        <v>368.28489999999999</v>
      </c>
      <c r="M399">
        <v>0.99980550000000001</v>
      </c>
      <c r="N399">
        <v>0</v>
      </c>
      <c r="O399">
        <v>-1.2685790000000001E-2</v>
      </c>
      <c r="P399">
        <v>0.99249739999999997</v>
      </c>
      <c r="Q399">
        <v>5.5286769999999897E-3</v>
      </c>
      <c r="R399">
        <v>-0.12214079999999999</v>
      </c>
      <c r="S399">
        <v>3.0106199999999999</v>
      </c>
      <c r="T399">
        <v>-5.8569910000000003E-2</v>
      </c>
      <c r="U399">
        <v>-9.9884029999999999E-2</v>
      </c>
      <c r="V399">
        <v>0.10955520000000001</v>
      </c>
      <c r="W399">
        <v>2.0454239999999999E-2</v>
      </c>
      <c r="X399">
        <v>0.99377020000000005</v>
      </c>
      <c r="Y399">
        <v>2.0474590000000001E-2</v>
      </c>
      <c r="Z399" s="1">
        <v>4.7626600000000002E-5</v>
      </c>
      <c r="AA399">
        <v>0.99979039999999997</v>
      </c>
      <c r="AB399">
        <v>40</v>
      </c>
      <c r="AC399">
        <v>59.218599999999903</v>
      </c>
      <c r="AD399">
        <v>-1.1597489999999999</v>
      </c>
      <c r="AE399">
        <v>-1.9726999999999699</v>
      </c>
      <c r="AF399">
        <v>1.2207531435330301</v>
      </c>
      <c r="AG399">
        <v>-1.1597489999999999</v>
      </c>
      <c r="AH399">
        <v>59.216175177310497</v>
      </c>
      <c r="AI399">
        <v>91.121756324098598</v>
      </c>
      <c r="AJ399">
        <v>88.819003475785294</v>
      </c>
      <c r="AK399">
        <v>59.240110217743201</v>
      </c>
      <c r="AL399">
        <v>88.827976598680095</v>
      </c>
      <c r="AM399">
        <v>83.709002879654804</v>
      </c>
      <c r="AN399">
        <v>0.99999996409452796</v>
      </c>
    </row>
    <row r="400" spans="1:40" x14ac:dyDescent="0.25">
      <c r="A400" t="str">
        <f>"20190312161232477"</f>
        <v>20190312161232477</v>
      </c>
      <c r="B400" t="str">
        <f>"1552378352465547"</f>
        <v>1552378352465547</v>
      </c>
      <c r="C400" t="s">
        <v>40</v>
      </c>
      <c r="D400">
        <v>5.3315190000000001</v>
      </c>
      <c r="E400">
        <v>0.4668621</v>
      </c>
      <c r="F400" t="s">
        <v>41</v>
      </c>
      <c r="G400">
        <v>-298.94979999999998</v>
      </c>
      <c r="H400">
        <v>-0.05</v>
      </c>
      <c r="I400">
        <v>366.38200000000001</v>
      </c>
      <c r="J400">
        <v>-355.41550000000001</v>
      </c>
      <c r="K400">
        <v>1.1097619999999999</v>
      </c>
      <c r="L400">
        <v>368.27949999999998</v>
      </c>
      <c r="M400">
        <v>0.99980250000000004</v>
      </c>
      <c r="N400">
        <v>0</v>
      </c>
      <c r="O400">
        <v>-1.293189E-2</v>
      </c>
      <c r="P400">
        <v>0.9924617</v>
      </c>
      <c r="Q400">
        <v>5.6968979999999997E-3</v>
      </c>
      <c r="R400">
        <v>-0.1224243</v>
      </c>
      <c r="S400">
        <v>3.0105900000000001</v>
      </c>
      <c r="T400">
        <v>-6.1398029999999999E-2</v>
      </c>
      <c r="U400">
        <v>-0.10073849999999999</v>
      </c>
      <c r="V400">
        <v>0.10959380000000001</v>
      </c>
      <c r="W400">
        <v>2.0621569999999999E-2</v>
      </c>
      <c r="X400">
        <v>0.99376249999999999</v>
      </c>
      <c r="Y400">
        <v>2.0512180000000001E-2</v>
      </c>
      <c r="Z400" s="1">
        <v>5.4559609999999898E-5</v>
      </c>
      <c r="AA400">
        <v>0.99978959999999995</v>
      </c>
      <c r="AB400">
        <v>40</v>
      </c>
      <c r="AC400">
        <v>56.465699999999998</v>
      </c>
      <c r="AD400">
        <v>-1.159762</v>
      </c>
      <c r="AE400">
        <v>-1.8975000000000299</v>
      </c>
      <c r="AF400">
        <v>1.16655834549821</v>
      </c>
      <c r="AG400">
        <v>-1.159762</v>
      </c>
      <c r="AH400">
        <v>56.461726221962898</v>
      </c>
      <c r="AI400">
        <v>91.176477532523506</v>
      </c>
      <c r="AJ400">
        <v>88.8163776426954</v>
      </c>
      <c r="AK400">
        <v>56.485683444869302</v>
      </c>
      <c r="AL400">
        <v>88.818387289670397</v>
      </c>
      <c r="AM400">
        <v>83.706755759214602</v>
      </c>
      <c r="AN400">
        <v>0.99999997827697695</v>
      </c>
    </row>
    <row r="401" spans="1:40" x14ac:dyDescent="0.25">
      <c r="A401" t="str">
        <f>"20190312161232497"</f>
        <v>20190312161232497</v>
      </c>
      <c r="B401" t="str">
        <f>"1552378352486043"</f>
        <v>1552378352486043</v>
      </c>
      <c r="C401" t="s">
        <v>40</v>
      </c>
      <c r="D401">
        <v>5.3328470000000001</v>
      </c>
      <c r="E401">
        <v>0.46682279999999998</v>
      </c>
      <c r="F401" t="s">
        <v>41</v>
      </c>
      <c r="G401">
        <v>-299.1875</v>
      </c>
      <c r="H401">
        <v>-0.05</v>
      </c>
      <c r="I401">
        <v>366.39530000000002</v>
      </c>
      <c r="J401">
        <v>-355.04180000000002</v>
      </c>
      <c r="K401">
        <v>1.109772</v>
      </c>
      <c r="L401">
        <v>368.27440000000001</v>
      </c>
      <c r="M401">
        <v>0.99979960000000001</v>
      </c>
      <c r="N401">
        <v>0</v>
      </c>
      <c r="O401">
        <v>-1.315154E-2</v>
      </c>
      <c r="P401">
        <v>0.99244080000000001</v>
      </c>
      <c r="Q401">
        <v>5.5666939999999996E-3</v>
      </c>
      <c r="R401">
        <v>-0.1225996</v>
      </c>
      <c r="S401">
        <v>3.0106809999999999</v>
      </c>
      <c r="T401">
        <v>-6.2098500000000001E-2</v>
      </c>
      <c r="U401">
        <v>-0.1008911</v>
      </c>
      <c r="V401">
        <v>0.1095503</v>
      </c>
      <c r="W401">
        <v>2.049047E-2</v>
      </c>
      <c r="X401">
        <v>0.99377000000000004</v>
      </c>
      <c r="Y401">
        <v>2.0342180000000001E-2</v>
      </c>
      <c r="Z401" s="1">
        <v>6.1461400000000001E-5</v>
      </c>
      <c r="AA401">
        <v>0.99979309999999999</v>
      </c>
      <c r="AB401">
        <v>40</v>
      </c>
      <c r="AC401">
        <v>55.854300000000002</v>
      </c>
      <c r="AD401">
        <v>-1.159772</v>
      </c>
      <c r="AE401">
        <v>-1.87909999999999</v>
      </c>
      <c r="AF401">
        <v>1.14379111515024</v>
      </c>
      <c r="AG401">
        <v>-1.159772</v>
      </c>
      <c r="AH401">
        <v>55.850131439713998</v>
      </c>
      <c r="AI401">
        <v>91.189371723049007</v>
      </c>
      <c r="AJ401">
        <v>88.826766525012104</v>
      </c>
      <c r="AK401">
        <v>55.873880400777701</v>
      </c>
      <c r="AL401">
        <v>88.825900344592299</v>
      </c>
      <c r="AM401">
        <v>83.709280741027001</v>
      </c>
      <c r="AN401">
        <v>0.99999997024545495</v>
      </c>
    </row>
    <row r="402" spans="1:40" x14ac:dyDescent="0.25">
      <c r="A402" t="str">
        <f>"20190312161232520"</f>
        <v>20190312161232520</v>
      </c>
      <c r="B402" t="str">
        <f>"1552378352516299"</f>
        <v>1552378352516299</v>
      </c>
      <c r="C402" t="s">
        <v>40</v>
      </c>
      <c r="D402">
        <v>5.407267</v>
      </c>
      <c r="E402">
        <v>0.49233529999999998</v>
      </c>
      <c r="F402" t="s">
        <v>41</v>
      </c>
      <c r="G402">
        <v>-300.54059999999998</v>
      </c>
      <c r="H402">
        <v>-0.05</v>
      </c>
      <c r="I402">
        <v>366.44420000000002</v>
      </c>
      <c r="J402">
        <v>-354.6576</v>
      </c>
      <c r="K402">
        <v>1.1097919999999999</v>
      </c>
      <c r="L402">
        <v>368.26920000000001</v>
      </c>
      <c r="M402">
        <v>0.99979680000000004</v>
      </c>
      <c r="N402">
        <v>0</v>
      </c>
      <c r="O402">
        <v>-1.3366289999999999E-2</v>
      </c>
      <c r="P402">
        <v>0.99240360000000005</v>
      </c>
      <c r="Q402">
        <v>5.3319149999999996E-3</v>
      </c>
      <c r="R402">
        <v>-0.1229094</v>
      </c>
      <c r="S402">
        <v>3.0107119999999998</v>
      </c>
      <c r="T402">
        <v>-6.4067239999999998E-2</v>
      </c>
      <c r="U402">
        <v>-0.10110470000000001</v>
      </c>
      <c r="V402">
        <v>0.1096463</v>
      </c>
      <c r="W402">
        <v>2.025449E-2</v>
      </c>
      <c r="X402">
        <v>0.99376430000000004</v>
      </c>
      <c r="Y402">
        <v>2.0197929999999999E-2</v>
      </c>
      <c r="Z402" s="1">
        <v>6.9510560000000002E-5</v>
      </c>
      <c r="AA402">
        <v>0.99979600000000002</v>
      </c>
      <c r="AB402">
        <v>40</v>
      </c>
      <c r="AC402">
        <v>54.116999999999997</v>
      </c>
      <c r="AD402">
        <v>-1.1597919999999999</v>
      </c>
      <c r="AE402">
        <v>-1.82499999999998</v>
      </c>
      <c r="AF402">
        <v>1.10090597993763</v>
      </c>
      <c r="AG402">
        <v>-1.1597919999999999</v>
      </c>
      <c r="AH402">
        <v>54.111735651717702</v>
      </c>
      <c r="AI402">
        <v>91.227594549548002</v>
      </c>
      <c r="AJ402">
        <v>88.834475281763503</v>
      </c>
      <c r="AK402">
        <v>54.135358562600203</v>
      </c>
      <c r="AL402">
        <v>88.839423867159695</v>
      </c>
      <c r="AM402">
        <v>83.703776551477603</v>
      </c>
      <c r="AN402">
        <v>1.0000000197116701</v>
      </c>
    </row>
    <row r="403" spans="1:40" x14ac:dyDescent="0.25">
      <c r="A403" t="str">
        <f>"20190312161232543"</f>
        <v>20190312161232543</v>
      </c>
      <c r="B403" t="str">
        <f>"1552378352535821"</f>
        <v>1552378352535821</v>
      </c>
      <c r="C403" t="s">
        <v>40</v>
      </c>
      <c r="D403">
        <v>5.4169330000000002</v>
      </c>
      <c r="E403">
        <v>0.49585859999999898</v>
      </c>
      <c r="F403" t="s">
        <v>42</v>
      </c>
      <c r="G403">
        <v>-323.62720000000002</v>
      </c>
      <c r="H403" s="1">
        <v>-3.5127529999999998E-6</v>
      </c>
      <c r="I403">
        <v>365.12599999999998</v>
      </c>
      <c r="J403">
        <v>-354.23309999999998</v>
      </c>
      <c r="K403">
        <v>1.1098059999999901</v>
      </c>
      <c r="L403">
        <v>368.26330000000002</v>
      </c>
      <c r="M403">
        <v>0.99979390000000001</v>
      </c>
      <c r="N403">
        <v>0</v>
      </c>
      <c r="O403">
        <v>-1.358764E-2</v>
      </c>
      <c r="P403">
        <v>0.9923881</v>
      </c>
      <c r="Q403">
        <v>5.5484810000000001E-3</v>
      </c>
      <c r="R403">
        <v>-0.12302639999999999</v>
      </c>
      <c r="S403">
        <v>2.986084</v>
      </c>
      <c r="T403">
        <v>-0.1067961</v>
      </c>
      <c r="U403">
        <v>-0.3024597</v>
      </c>
      <c r="V403">
        <v>0.1095428</v>
      </c>
      <c r="W403">
        <v>2.0471400000000001E-2</v>
      </c>
      <c r="X403">
        <v>0.99377130000000002</v>
      </c>
      <c r="Y403">
        <v>8.719826E-2</v>
      </c>
      <c r="Z403">
        <v>-1.0703100000000001E-3</v>
      </c>
      <c r="AA403">
        <v>0.99619040000000003</v>
      </c>
      <c r="AB403">
        <v>40</v>
      </c>
      <c r="AC403">
        <v>30.605899999999899</v>
      </c>
      <c r="AD403">
        <v>-1.1098095127530001</v>
      </c>
      <c r="AE403">
        <v>-3.13730000000003</v>
      </c>
      <c r="AF403">
        <v>2.7175649203722401</v>
      </c>
      <c r="AG403">
        <v>-1.1098095127530001</v>
      </c>
      <c r="AH403">
        <v>30.605882643275301</v>
      </c>
      <c r="AI403">
        <v>92.068579063855495</v>
      </c>
      <c r="AJ403">
        <v>84.925886269135304</v>
      </c>
      <c r="AK403">
        <v>30.746331303506398</v>
      </c>
      <c r="AL403">
        <v>88.826993297912907</v>
      </c>
      <c r="AM403">
        <v>83.709716124649901</v>
      </c>
      <c r="AN403">
        <v>1.0000000499767401</v>
      </c>
    </row>
    <row r="404" spans="1:40" x14ac:dyDescent="0.25">
      <c r="A404" t="str">
        <f>"20190312161232566"</f>
        <v>20190312161232566</v>
      </c>
      <c r="B404" t="str">
        <f>"1552378352556315"</f>
        <v>1552378352556315</v>
      </c>
      <c r="C404" t="s">
        <v>40</v>
      </c>
      <c r="D404">
        <v>5.4711030000000003</v>
      </c>
      <c r="E404">
        <v>0.49820740000000002</v>
      </c>
      <c r="F404" t="s">
        <v>41</v>
      </c>
      <c r="G404">
        <v>-316.66109999999998</v>
      </c>
      <c r="H404">
        <v>-0.05</v>
      </c>
      <c r="I404">
        <v>364.08859999999999</v>
      </c>
      <c r="J404">
        <v>-353.8365</v>
      </c>
      <c r="K404">
        <v>1.109828</v>
      </c>
      <c r="L404">
        <v>368.2577</v>
      </c>
      <c r="M404">
        <v>0.99979130000000005</v>
      </c>
      <c r="N404">
        <v>0</v>
      </c>
      <c r="O404">
        <v>-1.3775229999999999E-2</v>
      </c>
      <c r="P404">
        <v>0.99232679999999995</v>
      </c>
      <c r="Q404">
        <v>5.467553E-3</v>
      </c>
      <c r="R404">
        <v>-0.1235218</v>
      </c>
      <c r="S404">
        <v>2.9824830000000002</v>
      </c>
      <c r="T404">
        <v>-9.2066049999999997E-2</v>
      </c>
      <c r="U404">
        <v>-0.33139039999999997</v>
      </c>
      <c r="V404">
        <v>0.1098515</v>
      </c>
      <c r="W404">
        <v>2.0390350000000002E-2</v>
      </c>
      <c r="X404">
        <v>0.99373880000000003</v>
      </c>
      <c r="Y404">
        <v>9.6690650000000003E-2</v>
      </c>
      <c r="Z404">
        <v>-1.0636599999999999E-3</v>
      </c>
      <c r="AA404">
        <v>0.99531389999999997</v>
      </c>
      <c r="AB404">
        <v>40</v>
      </c>
      <c r="AC404">
        <v>37.175400000000003</v>
      </c>
      <c r="AD404">
        <v>-1.1598280000000001</v>
      </c>
      <c r="AE404">
        <v>-4.16910000000001</v>
      </c>
      <c r="AF404">
        <v>3.65303478841814</v>
      </c>
      <c r="AG404">
        <v>-1.1598280000000001</v>
      </c>
      <c r="AH404">
        <v>37.193555479215199</v>
      </c>
      <c r="AI404">
        <v>91.777560835554894</v>
      </c>
      <c r="AJ404">
        <v>84.390578617173503</v>
      </c>
      <c r="AK404">
        <v>37.390512611362297</v>
      </c>
      <c r="AL404">
        <v>88.831637985602796</v>
      </c>
      <c r="AM404">
        <v>83.691927679374999</v>
      </c>
      <c r="AN404">
        <v>0.99999996052540496</v>
      </c>
    </row>
    <row r="405" spans="1:40" x14ac:dyDescent="0.25">
      <c r="A405" t="str">
        <f>"20190312161232589"</f>
        <v>20190312161232589</v>
      </c>
      <c r="B405" t="str">
        <f>"1552378352575835"</f>
        <v>1552378352575835</v>
      </c>
      <c r="C405" t="s">
        <v>40</v>
      </c>
      <c r="D405">
        <v>5.3323499999999999</v>
      </c>
      <c r="E405">
        <v>0.49974209999999902</v>
      </c>
      <c r="F405" t="s">
        <v>41</v>
      </c>
      <c r="G405">
        <v>-316.178</v>
      </c>
      <c r="H405">
        <v>-0.05</v>
      </c>
      <c r="I405">
        <v>363.82</v>
      </c>
      <c r="J405">
        <v>-353.43520000000001</v>
      </c>
      <c r="K405">
        <v>1.10985</v>
      </c>
      <c r="L405">
        <v>368.25200000000001</v>
      </c>
      <c r="M405">
        <v>0.99978920000000004</v>
      </c>
      <c r="N405">
        <v>0</v>
      </c>
      <c r="O405">
        <v>-1.3940330000000001E-2</v>
      </c>
      <c r="P405">
        <v>0.9922782</v>
      </c>
      <c r="Q405">
        <v>5.6151430000000004E-3</v>
      </c>
      <c r="R405">
        <v>-0.1239041</v>
      </c>
      <c r="S405">
        <v>2.9799799999999999</v>
      </c>
      <c r="T405">
        <v>-9.1779230000000003E-2</v>
      </c>
      <c r="U405">
        <v>-0.35116579999999997</v>
      </c>
      <c r="V405">
        <v>0.11006929999999999</v>
      </c>
      <c r="W405">
        <v>2.053957E-2</v>
      </c>
      <c r="X405">
        <v>0.99371169999999998</v>
      </c>
      <c r="Y405">
        <v>0.10313269999999999</v>
      </c>
      <c r="Z405">
        <v>-1.154611E-3</v>
      </c>
      <c r="AA405">
        <v>0.99466690000000002</v>
      </c>
      <c r="AB405">
        <v>40</v>
      </c>
      <c r="AC405">
        <v>37.257199999999997</v>
      </c>
      <c r="AD405">
        <v>-1.15985</v>
      </c>
      <c r="AE405">
        <v>-4.4319999999999604</v>
      </c>
      <c r="AF405">
        <v>3.9083976554114201</v>
      </c>
      <c r="AG405">
        <v>-1.15985</v>
      </c>
      <c r="AH405">
        <v>37.2797445171406</v>
      </c>
      <c r="AI405">
        <v>91.772308265499504</v>
      </c>
      <c r="AJ405">
        <v>84.014990915651495</v>
      </c>
      <c r="AK405">
        <v>37.502002286792703</v>
      </c>
      <c r="AL405">
        <v>88.823086604275801</v>
      </c>
      <c r="AM405">
        <v>83.679350956543203</v>
      </c>
      <c r="AN405">
        <v>1.0000000337275801</v>
      </c>
    </row>
    <row r="406" spans="1:40" x14ac:dyDescent="0.25">
      <c r="A406" t="str">
        <f>"20190312161232610"</f>
        <v>20190312161232610</v>
      </c>
      <c r="B406" t="str">
        <f>"1552378352606091"</f>
        <v>1552378352606091</v>
      </c>
      <c r="C406" t="s">
        <v>40</v>
      </c>
      <c r="D406">
        <v>5.3888669999999896</v>
      </c>
      <c r="E406">
        <v>0.50034849999999997</v>
      </c>
      <c r="F406" t="s">
        <v>41</v>
      </c>
      <c r="G406">
        <v>-318.22120000000001</v>
      </c>
      <c r="H406">
        <v>-0.05</v>
      </c>
      <c r="I406">
        <v>363.94540000000001</v>
      </c>
      <c r="J406">
        <v>-353.04129999999998</v>
      </c>
      <c r="K406">
        <v>1.1098779999999999</v>
      </c>
      <c r="L406">
        <v>368.24639999999999</v>
      </c>
      <c r="M406">
        <v>0.99978739999999999</v>
      </c>
      <c r="N406">
        <v>0</v>
      </c>
      <c r="O406">
        <v>-1.40714E-2</v>
      </c>
      <c r="P406">
        <v>0.99220779999999997</v>
      </c>
      <c r="Q406">
        <v>5.8041919999999997E-3</v>
      </c>
      <c r="R406">
        <v>-0.1244603</v>
      </c>
      <c r="S406">
        <v>2.978424</v>
      </c>
      <c r="T406">
        <v>-9.8100779999999999E-2</v>
      </c>
      <c r="U406">
        <v>-0.36425780000000002</v>
      </c>
      <c r="V406">
        <v>0.1104948</v>
      </c>
      <c r="W406">
        <v>2.073026E-2</v>
      </c>
      <c r="X406">
        <v>0.99366049999999995</v>
      </c>
      <c r="Y406">
        <v>0.1073636</v>
      </c>
      <c r="Z406">
        <v>-1.2995210000000001E-3</v>
      </c>
      <c r="AA406">
        <v>0.99421890000000002</v>
      </c>
      <c r="AB406">
        <v>40</v>
      </c>
      <c r="AC406">
        <v>34.820099999999897</v>
      </c>
      <c r="AD406">
        <v>-1.159878</v>
      </c>
      <c r="AE406">
        <v>-4.3009999999999797</v>
      </c>
      <c r="AF406">
        <v>3.8063907797155898</v>
      </c>
      <c r="AG406">
        <v>-1.159878</v>
      </c>
      <c r="AH406">
        <v>34.8391033875102</v>
      </c>
      <c r="AI406">
        <v>91.895539168759598</v>
      </c>
      <c r="AJ406">
        <v>83.764807571553405</v>
      </c>
      <c r="AK406">
        <v>35.0656106832379</v>
      </c>
      <c r="AL406">
        <v>88.812158525591698</v>
      </c>
      <c r="AM406">
        <v>83.654791556810807</v>
      </c>
      <c r="AN406">
        <v>1.00000001688347</v>
      </c>
    </row>
    <row r="407" spans="1:40" x14ac:dyDescent="0.25">
      <c r="A407" t="str">
        <f>"20190312161232634"</f>
        <v>20190312161232634</v>
      </c>
      <c r="B407" t="str">
        <f>"1552378352625612"</f>
        <v>1552378352625612</v>
      </c>
      <c r="C407" t="s">
        <v>40</v>
      </c>
      <c r="D407">
        <v>5.3711840000000004</v>
      </c>
      <c r="E407">
        <v>0.50056420000000001</v>
      </c>
      <c r="F407" t="s">
        <v>42</v>
      </c>
      <c r="G407">
        <v>-321.6721</v>
      </c>
      <c r="H407" s="1">
        <v>-4.4897929999999998E-6</v>
      </c>
      <c r="I407">
        <v>364.34629999999999</v>
      </c>
      <c r="J407">
        <v>-352.642</v>
      </c>
      <c r="K407">
        <v>1.1099019999999999</v>
      </c>
      <c r="L407">
        <v>368.2407</v>
      </c>
      <c r="M407">
        <v>0.99978610000000001</v>
      </c>
      <c r="N407">
        <v>0</v>
      </c>
      <c r="O407">
        <v>-1.417885E-2</v>
      </c>
      <c r="P407">
        <v>0.99215249999999999</v>
      </c>
      <c r="Q407">
        <v>5.8021280000000001E-3</v>
      </c>
      <c r="R407">
        <v>-0.1249017</v>
      </c>
      <c r="S407">
        <v>2.9776919999999998</v>
      </c>
      <c r="T407">
        <v>-0.1053544</v>
      </c>
      <c r="U407">
        <v>-0.3702087</v>
      </c>
      <c r="V407">
        <v>0.1108286</v>
      </c>
      <c r="W407">
        <v>2.0730749999999999E-2</v>
      </c>
      <c r="X407">
        <v>0.99362329999999999</v>
      </c>
      <c r="Y407">
        <v>0.1092345</v>
      </c>
      <c r="Z407">
        <v>-1.4248990000000001E-3</v>
      </c>
      <c r="AA407">
        <v>0.99401499999999998</v>
      </c>
      <c r="AB407">
        <v>39</v>
      </c>
      <c r="AC407">
        <v>30.969899999999999</v>
      </c>
      <c r="AD407">
        <v>-1.109906489793</v>
      </c>
      <c r="AE407">
        <v>-3.8944000000000099</v>
      </c>
      <c r="AF407">
        <v>3.4504783388436602</v>
      </c>
      <c r="AG407">
        <v>-1.109906489793</v>
      </c>
      <c r="AH407">
        <v>30.982836162425102</v>
      </c>
      <c r="AI407">
        <v>92.039049665757204</v>
      </c>
      <c r="AJ407">
        <v>83.645302680300105</v>
      </c>
      <c r="AK407">
        <v>31.194131336688798</v>
      </c>
      <c r="AL407">
        <v>88.812130427463998</v>
      </c>
      <c r="AM407">
        <v>83.635543689863894</v>
      </c>
      <c r="AN407">
        <v>1.0000000024382001</v>
      </c>
    </row>
    <row r="408" spans="1:40" x14ac:dyDescent="0.25">
      <c r="A408" t="str">
        <f>"20190312161232655"</f>
        <v>20190312161232655</v>
      </c>
      <c r="B408" t="str">
        <f>"1552378352646107"</f>
        <v>1552378352646107</v>
      </c>
      <c r="C408" t="s">
        <v>40</v>
      </c>
      <c r="D408">
        <v>5.3233680000000003</v>
      </c>
      <c r="E408">
        <v>0.50093049999999995</v>
      </c>
      <c r="F408" t="s">
        <v>42</v>
      </c>
      <c r="G408">
        <v>-322.7491</v>
      </c>
      <c r="H408" s="1">
        <v>-4.0014460000000003E-6</v>
      </c>
      <c r="I408">
        <v>364.49459999999999</v>
      </c>
      <c r="J408">
        <v>-352.24790000000002</v>
      </c>
      <c r="K408">
        <v>1.109934</v>
      </c>
      <c r="L408">
        <v>368.23500000000001</v>
      </c>
      <c r="M408">
        <v>0.99978489999999998</v>
      </c>
      <c r="N408">
        <v>0</v>
      </c>
      <c r="O408">
        <v>-1.42589E-2</v>
      </c>
      <c r="P408">
        <v>0.99208839999999998</v>
      </c>
      <c r="Q408">
        <v>5.8651419999999899E-3</v>
      </c>
      <c r="R408">
        <v>-0.12540560000000001</v>
      </c>
      <c r="S408">
        <v>2.9773860000000001</v>
      </c>
      <c r="T408">
        <v>-0.11054849999999999</v>
      </c>
      <c r="U408">
        <v>-0.37310789999999999</v>
      </c>
      <c r="V408">
        <v>0.1112527</v>
      </c>
      <c r="W408">
        <v>2.0795109999999999E-2</v>
      </c>
      <c r="X408">
        <v>0.99357459999999997</v>
      </c>
      <c r="Y408">
        <v>0.1101139</v>
      </c>
      <c r="Z408">
        <v>-1.5084629999999901E-3</v>
      </c>
      <c r="AA408">
        <v>0.99391779999999996</v>
      </c>
      <c r="AB408">
        <v>39</v>
      </c>
      <c r="AC408">
        <v>29.498799999999999</v>
      </c>
      <c r="AD408">
        <v>-1.1099380014460001</v>
      </c>
      <c r="AE408">
        <v>-3.7404000000000202</v>
      </c>
      <c r="AF408">
        <v>3.31473289916975</v>
      </c>
      <c r="AG408">
        <v>-1.1099380014460001</v>
      </c>
      <c r="AH408">
        <v>29.508025261023398</v>
      </c>
      <c r="AI408">
        <v>92.140701298868507</v>
      </c>
      <c r="AJ408">
        <v>83.590647110132196</v>
      </c>
      <c r="AK408">
        <v>29.714356317529202</v>
      </c>
      <c r="AL408">
        <v>88.808442124108097</v>
      </c>
      <c r="AM408">
        <v>83.611079706495303</v>
      </c>
      <c r="AN408">
        <v>1.0000000428111799</v>
      </c>
    </row>
    <row r="409" spans="1:40" x14ac:dyDescent="0.25">
      <c r="A409" t="str">
        <f>"20190312161232710"</f>
        <v>20190312161232710</v>
      </c>
      <c r="B409" t="str">
        <f>"1552378352705643"</f>
        <v>1552378352705643</v>
      </c>
      <c r="C409" t="s">
        <v>40</v>
      </c>
      <c r="D409">
        <v>5.2817550000000004</v>
      </c>
      <c r="E409">
        <v>0.50156489999999998</v>
      </c>
      <c r="F409" t="s">
        <v>42</v>
      </c>
      <c r="G409">
        <v>-324.09210000000002</v>
      </c>
      <c r="H409" s="1">
        <v>-3.394849E-6</v>
      </c>
      <c r="I409">
        <v>364.66629999999998</v>
      </c>
      <c r="J409">
        <v>-351.30059999999997</v>
      </c>
      <c r="K409">
        <v>1.1099939999999999</v>
      </c>
      <c r="L409">
        <v>368.22129999999999</v>
      </c>
      <c r="M409">
        <v>0.99978359999999999</v>
      </c>
      <c r="N409">
        <v>0</v>
      </c>
      <c r="O409">
        <v>-1.4356839999999999E-2</v>
      </c>
      <c r="P409">
        <v>0.99207089999999998</v>
      </c>
      <c r="Q409">
        <v>5.9036610000000002E-3</v>
      </c>
      <c r="R409">
        <v>-0.12554119999999999</v>
      </c>
      <c r="S409">
        <v>2.9769290000000002</v>
      </c>
      <c r="T409">
        <v>-0.1173539</v>
      </c>
      <c r="U409">
        <v>-0.37731930000000002</v>
      </c>
      <c r="V409">
        <v>0.11128830000000001</v>
      </c>
      <c r="W409">
        <v>2.0838969999999998E-2</v>
      </c>
      <c r="X409">
        <v>0.9935697</v>
      </c>
      <c r="Y409">
        <v>0.1114102</v>
      </c>
      <c r="Z409">
        <v>-1.622957E-3</v>
      </c>
      <c r="AA409">
        <v>0.99377320000000002</v>
      </c>
      <c r="AB409">
        <v>39</v>
      </c>
      <c r="AC409">
        <v>27.208499999999901</v>
      </c>
      <c r="AD409">
        <v>-1.1099973948490001</v>
      </c>
      <c r="AE409">
        <v>-3.5550000000000002</v>
      </c>
      <c r="AF409">
        <v>3.15879219460883</v>
      </c>
      <c r="AG409">
        <v>-1.1099973948490001</v>
      </c>
      <c r="AH409">
        <v>27.212210054103998</v>
      </c>
      <c r="AI409">
        <v>92.320261080740195</v>
      </c>
      <c r="AJ409">
        <v>83.378741725972304</v>
      </c>
      <c r="AK409">
        <v>27.417411226700001</v>
      </c>
      <c r="AL409">
        <v>88.805928593528193</v>
      </c>
      <c r="AM409">
        <v>83.609020956733602</v>
      </c>
      <c r="AN409">
        <v>1.00000004857281</v>
      </c>
    </row>
    <row r="410" spans="1:40" x14ac:dyDescent="0.25">
      <c r="A410" t="str">
        <f>"20190312161232733"</f>
        <v>20190312161232733</v>
      </c>
      <c r="B410" t="str">
        <f>"1552378352726140"</f>
        <v>1552378352726140</v>
      </c>
      <c r="C410" t="s">
        <v>40</v>
      </c>
      <c r="D410">
        <v>5.2311129999999997</v>
      </c>
      <c r="E410">
        <v>0.50179750000000001</v>
      </c>
      <c r="F410" t="s">
        <v>42</v>
      </c>
      <c r="G410">
        <v>-323.18619999999999</v>
      </c>
      <c r="H410" s="1">
        <v>-3.794055E-6</v>
      </c>
      <c r="I410">
        <v>364.60680000000002</v>
      </c>
      <c r="J410">
        <v>-350.88600000000002</v>
      </c>
      <c r="K410">
        <v>1.110015</v>
      </c>
      <c r="L410">
        <v>368.21539999999999</v>
      </c>
      <c r="M410">
        <v>0.99978359999999999</v>
      </c>
      <c r="N410">
        <v>0</v>
      </c>
      <c r="O410">
        <v>-1.437103E-2</v>
      </c>
      <c r="P410">
        <v>0.99206669999999997</v>
      </c>
      <c r="Q410">
        <v>5.6198519999999998E-3</v>
      </c>
      <c r="R410">
        <v>-0.12558900000000001</v>
      </c>
      <c r="S410">
        <v>2.9762270000000002</v>
      </c>
      <c r="T410">
        <v>-0.1175052</v>
      </c>
      <c r="U410">
        <v>-0.38262940000000001</v>
      </c>
      <c r="V410">
        <v>0.11132110000000001</v>
      </c>
      <c r="W410">
        <v>2.055483E-2</v>
      </c>
      <c r="X410">
        <v>0.99357189999999995</v>
      </c>
      <c r="Y410">
        <v>0.1131683</v>
      </c>
      <c r="Z410">
        <v>-1.6592390000000001E-3</v>
      </c>
      <c r="AA410">
        <v>0.99357439999999997</v>
      </c>
      <c r="AB410">
        <v>39</v>
      </c>
      <c r="AC410">
        <v>27.6997999999999</v>
      </c>
      <c r="AD410">
        <v>-1.1100187940549999</v>
      </c>
      <c r="AE410">
        <v>-3.6085999999999601</v>
      </c>
      <c r="AF410">
        <v>3.2050466087535701</v>
      </c>
      <c r="AG410">
        <v>-1.1100187940549999</v>
      </c>
      <c r="AH410">
        <v>27.705056062036402</v>
      </c>
      <c r="AI410">
        <v>92.279176640415201</v>
      </c>
      <c r="AJ410">
        <v>83.401097407721295</v>
      </c>
      <c r="AK410">
        <v>27.911907797354498</v>
      </c>
      <c r="AL410">
        <v>88.822212051545193</v>
      </c>
      <c r="AM410">
        <v>83.607166973493307</v>
      </c>
      <c r="AN410">
        <v>1.0000000044055699</v>
      </c>
    </row>
    <row r="411" spans="1:40" x14ac:dyDescent="0.25">
      <c r="A411" t="str">
        <f>"20190312161232756"</f>
        <v>20190312161232756</v>
      </c>
      <c r="B411" t="str">
        <f>"1552378352745659"</f>
        <v>1552378352745659</v>
      </c>
      <c r="C411" t="s">
        <v>40</v>
      </c>
      <c r="D411">
        <v>5.2092229999999997</v>
      </c>
      <c r="E411">
        <v>0.50201949999999995</v>
      </c>
      <c r="F411" t="s">
        <v>42</v>
      </c>
      <c r="G411">
        <v>-323.04219999999998</v>
      </c>
      <c r="H411" s="1">
        <v>-3.8534539999999996E-6</v>
      </c>
      <c r="I411">
        <v>364.62</v>
      </c>
      <c r="J411">
        <v>-350.48970000000003</v>
      </c>
      <c r="K411">
        <v>1.110025</v>
      </c>
      <c r="L411">
        <v>368.20960000000002</v>
      </c>
      <c r="M411">
        <v>0.99978350000000005</v>
      </c>
      <c r="N411">
        <v>0</v>
      </c>
      <c r="O411">
        <v>-1.4376720000000001E-2</v>
      </c>
      <c r="P411">
        <v>0.99200120000000003</v>
      </c>
      <c r="Q411">
        <v>5.9115419999999997E-3</v>
      </c>
      <c r="R411">
        <v>-0.12609129999999999</v>
      </c>
      <c r="S411">
        <v>2.976013</v>
      </c>
      <c r="T411">
        <v>-0.11864139999999999</v>
      </c>
      <c r="U411">
        <v>-0.38427729999999999</v>
      </c>
      <c r="V411">
        <v>0.111818</v>
      </c>
      <c r="W411">
        <v>2.0845160000000001E-2</v>
      </c>
      <c r="X411">
        <v>0.99351009999999995</v>
      </c>
      <c r="Y411">
        <v>0.1137109</v>
      </c>
      <c r="Z411">
        <v>-1.6858729999999901E-3</v>
      </c>
      <c r="AA411">
        <v>0.99351250000000002</v>
      </c>
      <c r="AB411">
        <v>39</v>
      </c>
      <c r="AC411">
        <v>27.447500000000002</v>
      </c>
      <c r="AD411">
        <v>-1.1100288534539999</v>
      </c>
      <c r="AE411">
        <v>-3.5896000000000101</v>
      </c>
      <c r="AF411">
        <v>3.1894504825816301</v>
      </c>
      <c r="AG411">
        <v>-1.1100288534539999</v>
      </c>
      <c r="AH411">
        <v>27.452130943136702</v>
      </c>
      <c r="AI411">
        <v>92.300042962560198</v>
      </c>
      <c r="AJ411">
        <v>83.372958512299505</v>
      </c>
      <c r="AK411">
        <v>27.659071780438801</v>
      </c>
      <c r="AL411">
        <v>88.805573860079505</v>
      </c>
      <c r="AM411">
        <v>83.5784732407012</v>
      </c>
      <c r="AN411">
        <v>1.00000005231071</v>
      </c>
    </row>
    <row r="412" spans="1:40" x14ac:dyDescent="0.25">
      <c r="A412" t="str">
        <f>"20190312161232777"</f>
        <v>20190312161232777</v>
      </c>
      <c r="B412" t="str">
        <f>"1552378352766155"</f>
        <v>1552378352766155</v>
      </c>
      <c r="C412" t="s">
        <v>40</v>
      </c>
      <c r="D412">
        <v>5.2406169999999896</v>
      </c>
      <c r="E412">
        <v>0.50219420000000004</v>
      </c>
      <c r="F412" t="s">
        <v>42</v>
      </c>
      <c r="G412">
        <v>-322.61189999999999</v>
      </c>
      <c r="H412" s="1">
        <v>-4.045643E-6</v>
      </c>
      <c r="I412">
        <v>364.57729999999998</v>
      </c>
      <c r="J412">
        <v>-350.1146</v>
      </c>
      <c r="K412">
        <v>1.110034</v>
      </c>
      <c r="L412">
        <v>368.20429999999999</v>
      </c>
      <c r="M412">
        <v>0.99978359999999999</v>
      </c>
      <c r="N412">
        <v>0</v>
      </c>
      <c r="O412">
        <v>-1.437853E-2</v>
      </c>
      <c r="P412">
        <v>0.99197800000000003</v>
      </c>
      <c r="Q412">
        <v>5.06049E-3</v>
      </c>
      <c r="R412">
        <v>-0.1263118</v>
      </c>
      <c r="S412">
        <v>2.975616</v>
      </c>
      <c r="T412">
        <v>-0.1184818</v>
      </c>
      <c r="U412">
        <v>-0.38769530000000002</v>
      </c>
      <c r="V412">
        <v>0.11203630000000001</v>
      </c>
      <c r="W412">
        <v>1.9992269999999999E-2</v>
      </c>
      <c r="X412">
        <v>0.99350300000000002</v>
      </c>
      <c r="Y412">
        <v>0.11484750000000001</v>
      </c>
      <c r="Z412">
        <v>-1.7061589999999901E-3</v>
      </c>
      <c r="AA412">
        <v>0.99338170000000003</v>
      </c>
      <c r="AB412">
        <v>39</v>
      </c>
      <c r="AC412">
        <v>27.502700000000001</v>
      </c>
      <c r="AD412">
        <v>-1.1100380456429999</v>
      </c>
      <c r="AE412">
        <v>-3.6269999999999998</v>
      </c>
      <c r="AF412">
        <v>3.2259665629335799</v>
      </c>
      <c r="AG412">
        <v>-1.1100380456429999</v>
      </c>
      <c r="AH412">
        <v>27.507968178158801</v>
      </c>
      <c r="AI412">
        <v>92.2951099589948</v>
      </c>
      <c r="AJ412">
        <v>83.311252948018307</v>
      </c>
      <c r="AK412">
        <v>27.718718549358201</v>
      </c>
      <c r="AL412">
        <v>88.854451006256895</v>
      </c>
      <c r="AM412">
        <v>83.565996054446401</v>
      </c>
      <c r="AN412">
        <v>1.00000001719322</v>
      </c>
    </row>
    <row r="413" spans="1:40" x14ac:dyDescent="0.25">
      <c r="A413" t="str">
        <f>"20190312161232800"</f>
        <v>20190312161232800</v>
      </c>
      <c r="B413" t="str">
        <f>"1552378352796411"</f>
        <v>1552378352796411</v>
      </c>
      <c r="C413" t="s">
        <v>40</v>
      </c>
      <c r="D413">
        <v>5.2450330000000003</v>
      </c>
      <c r="E413">
        <v>0.50228439999999996</v>
      </c>
      <c r="F413" t="s">
        <v>42</v>
      </c>
      <c r="G413">
        <v>-322.41160000000002</v>
      </c>
      <c r="H413" s="1">
        <v>-4.1324420000000003E-6</v>
      </c>
      <c r="I413">
        <v>364.57240000000002</v>
      </c>
      <c r="J413">
        <v>-349.71480000000003</v>
      </c>
      <c r="K413">
        <v>1.110047</v>
      </c>
      <c r="L413">
        <v>368.19850000000002</v>
      </c>
      <c r="M413">
        <v>0.99978350000000005</v>
      </c>
      <c r="N413">
        <v>0</v>
      </c>
      <c r="O413">
        <v>-1.4378220000000001E-2</v>
      </c>
      <c r="P413">
        <v>0.99193949999999997</v>
      </c>
      <c r="Q413">
        <v>5.005766E-3</v>
      </c>
      <c r="R413">
        <v>-0.12661330000000001</v>
      </c>
      <c r="S413">
        <v>2.97525</v>
      </c>
      <c r="T413">
        <v>-0.11921569999999999</v>
      </c>
      <c r="U413">
        <v>-0.39004519999999998</v>
      </c>
      <c r="V413">
        <v>0.11233849999999999</v>
      </c>
      <c r="W413">
        <v>1.9934589999999999E-2</v>
      </c>
      <c r="X413">
        <v>0.99346999999999996</v>
      </c>
      <c r="Y413">
        <v>0.11563320000000001</v>
      </c>
      <c r="Z413">
        <v>-1.7325229999999999E-3</v>
      </c>
      <c r="AA413">
        <v>0.99329049999999997</v>
      </c>
      <c r="AB413">
        <v>39</v>
      </c>
      <c r="AC413">
        <v>27.3032</v>
      </c>
      <c r="AD413">
        <v>-1.1100511324419999</v>
      </c>
      <c r="AE413">
        <v>-3.6261000000000001</v>
      </c>
      <c r="AF413">
        <v>3.2278662364666602</v>
      </c>
      <c r="AG413">
        <v>-1.1100511324419999</v>
      </c>
      <c r="AH413">
        <v>27.3081631649125</v>
      </c>
      <c r="AI413">
        <v>92.311662847734596</v>
      </c>
      <c r="AJ413">
        <v>83.258830949728093</v>
      </c>
      <c r="AK413">
        <v>27.520666950469099</v>
      </c>
      <c r="AL413">
        <v>88.857756447224006</v>
      </c>
      <c r="AM413">
        <v>83.548574986962805</v>
      </c>
      <c r="AN413">
        <v>0.99999998368035803</v>
      </c>
    </row>
    <row r="414" spans="1:40" x14ac:dyDescent="0.25">
      <c r="A414" t="str">
        <f>"20190312161232823"</f>
        <v>20190312161232823</v>
      </c>
      <c r="B414" t="str">
        <f>"1552378352815932"</f>
        <v>1552378352815932</v>
      </c>
      <c r="C414" t="s">
        <v>40</v>
      </c>
      <c r="D414">
        <v>5.1863340000000004</v>
      </c>
      <c r="E414">
        <v>0.50254169999999998</v>
      </c>
      <c r="F414" t="s">
        <v>42</v>
      </c>
      <c r="G414">
        <v>-321.85180000000003</v>
      </c>
      <c r="H414" s="1">
        <v>-4.3798290000000001E-6</v>
      </c>
      <c r="I414">
        <v>364.53160000000003</v>
      </c>
      <c r="J414">
        <v>-349.32209999999998</v>
      </c>
      <c r="K414">
        <v>1.1100490000000001</v>
      </c>
      <c r="L414">
        <v>368.19279999999998</v>
      </c>
      <c r="M414">
        <v>0.99978370000000005</v>
      </c>
      <c r="N414">
        <v>0</v>
      </c>
      <c r="O414">
        <v>-1.4377829999999999E-2</v>
      </c>
      <c r="P414">
        <v>0.99193189999999998</v>
      </c>
      <c r="Q414">
        <v>5.2633749999999998E-3</v>
      </c>
      <c r="R414">
        <v>-0.12666269999999999</v>
      </c>
      <c r="S414">
        <v>2.975006</v>
      </c>
      <c r="T414">
        <v>-0.1185225</v>
      </c>
      <c r="U414">
        <v>-0.39151000000000002</v>
      </c>
      <c r="V414">
        <v>0.1123881</v>
      </c>
      <c r="W414">
        <v>2.0189169999999999E-2</v>
      </c>
      <c r="X414">
        <v>0.99345930000000005</v>
      </c>
      <c r="Y414">
        <v>0.1161254</v>
      </c>
      <c r="Z414">
        <v>-1.7323169999999999E-3</v>
      </c>
      <c r="AA414">
        <v>0.99323300000000003</v>
      </c>
      <c r="AB414">
        <v>39</v>
      </c>
      <c r="AC414">
        <v>27.470299999999899</v>
      </c>
      <c r="AD414">
        <v>-1.110053379829</v>
      </c>
      <c r="AE414">
        <v>-3.6611999999999498</v>
      </c>
      <c r="AF414">
        <v>3.2605822643517599</v>
      </c>
      <c r="AG414">
        <v>-1.110053379829</v>
      </c>
      <c r="AH414">
        <v>27.476023221862899</v>
      </c>
      <c r="AI414">
        <v>92.297434362420006</v>
      </c>
      <c r="AJ414">
        <v>83.232354677509406</v>
      </c>
      <c r="AK414">
        <v>27.691071978112799</v>
      </c>
      <c r="AL414">
        <v>88.843167209589197</v>
      </c>
      <c r="AM414">
        <v>83.5456816384212</v>
      </c>
      <c r="AN414">
        <v>1.0000000341816899</v>
      </c>
    </row>
    <row r="415" spans="1:40" x14ac:dyDescent="0.25">
      <c r="A415" t="str">
        <f>"20190312161232846"</f>
        <v>20190312161232846</v>
      </c>
      <c r="B415" t="str">
        <f>"1552378352836427"</f>
        <v>1552378352836427</v>
      </c>
      <c r="C415" t="s">
        <v>40</v>
      </c>
      <c r="D415">
        <v>5.1633009999999997</v>
      </c>
      <c r="E415">
        <v>0.50278270000000003</v>
      </c>
      <c r="F415" t="s">
        <v>42</v>
      </c>
      <c r="G415">
        <v>-321.26</v>
      </c>
      <c r="H415" s="1">
        <v>-4.6431319999999997E-6</v>
      </c>
      <c r="I415">
        <v>364.4785</v>
      </c>
      <c r="J415">
        <v>-348.92189999999999</v>
      </c>
      <c r="K415">
        <v>1.1100559999999999</v>
      </c>
      <c r="L415">
        <v>368.18709999999999</v>
      </c>
      <c r="M415">
        <v>0.9997838</v>
      </c>
      <c r="N415">
        <v>0</v>
      </c>
      <c r="O415">
        <v>-1.4377930000000001E-2</v>
      </c>
      <c r="P415">
        <v>0.99203569999999996</v>
      </c>
      <c r="Q415">
        <v>5.0322190000000001E-3</v>
      </c>
      <c r="R415">
        <v>-0.12585739999999901</v>
      </c>
      <c r="S415">
        <v>2.9747919999999999</v>
      </c>
      <c r="T415">
        <v>-0.1176738</v>
      </c>
      <c r="U415">
        <v>-0.39373780000000003</v>
      </c>
      <c r="V415">
        <v>0.111581</v>
      </c>
      <c r="W415">
        <v>1.9956519999999998E-2</v>
      </c>
      <c r="X415">
        <v>0.99355490000000002</v>
      </c>
      <c r="Y415">
        <v>0.1168662</v>
      </c>
      <c r="Z415">
        <v>-1.734539E-3</v>
      </c>
      <c r="AA415">
        <v>0.99314619999999998</v>
      </c>
      <c r="AB415">
        <v>39</v>
      </c>
      <c r="AC415">
        <v>27.661899999999999</v>
      </c>
      <c r="AD415">
        <v>-1.1100606431319999</v>
      </c>
      <c r="AE415">
        <v>-3.7085999999999899</v>
      </c>
      <c r="AF415">
        <v>3.3052221324667599</v>
      </c>
      <c r="AG415">
        <v>-1.1100606431319999</v>
      </c>
      <c r="AH415">
        <v>27.668597699360198</v>
      </c>
      <c r="AI415">
        <v>92.281265325887105</v>
      </c>
      <c r="AJ415">
        <v>83.187868999123594</v>
      </c>
      <c r="AK415">
        <v>27.887416994505202</v>
      </c>
      <c r="AL415">
        <v>88.856499674564304</v>
      </c>
      <c r="AM415">
        <v>83.592256972969096</v>
      </c>
      <c r="AN415">
        <v>0.99999996078275899</v>
      </c>
    </row>
    <row r="416" spans="1:40" x14ac:dyDescent="0.25">
      <c r="A416" t="str">
        <f>"20190312161232867"</f>
        <v>20190312161232867</v>
      </c>
      <c r="B416" t="str">
        <f>"1552378352855948"</f>
        <v>1552378352855948</v>
      </c>
      <c r="C416" t="s">
        <v>40</v>
      </c>
      <c r="D416">
        <v>5.1451479999999998</v>
      </c>
      <c r="E416">
        <v>0.50302209999999903</v>
      </c>
      <c r="F416" t="s">
        <v>42</v>
      </c>
      <c r="G416">
        <v>-320.94600000000003</v>
      </c>
      <c r="H416" s="1">
        <v>-4.7758759999999996E-6</v>
      </c>
      <c r="I416">
        <v>364.4896</v>
      </c>
      <c r="J416">
        <v>-348.54719999999998</v>
      </c>
      <c r="K416">
        <v>1.1100639999999999</v>
      </c>
      <c r="L416">
        <v>368.18169999999998</v>
      </c>
      <c r="M416">
        <v>0.9997838</v>
      </c>
      <c r="N416">
        <v>0</v>
      </c>
      <c r="O416">
        <v>-1.437806E-2</v>
      </c>
      <c r="P416">
        <v>0.99211720000000003</v>
      </c>
      <c r="Q416">
        <v>4.6971239999999996E-3</v>
      </c>
      <c r="R416">
        <v>-0.12522539999999999</v>
      </c>
      <c r="S416">
        <v>2.9747919999999999</v>
      </c>
      <c r="T416">
        <v>-0.1180369</v>
      </c>
      <c r="U416">
        <v>-0.39315800000000001</v>
      </c>
      <c r="V416">
        <v>0.1109474</v>
      </c>
      <c r="W416">
        <v>1.9619459999999998E-2</v>
      </c>
      <c r="X416">
        <v>0.99363259999999998</v>
      </c>
      <c r="Y416">
        <v>0.1166755</v>
      </c>
      <c r="Z416">
        <v>-1.7361360000000001E-3</v>
      </c>
      <c r="AA416">
        <v>0.99316859999999996</v>
      </c>
      <c r="AB416">
        <v>39</v>
      </c>
      <c r="AC416">
        <v>27.601199999999999</v>
      </c>
      <c r="AD416">
        <v>-1.1100687758759999</v>
      </c>
      <c r="AE416">
        <v>-3.69209999999998</v>
      </c>
      <c r="AF416">
        <v>3.28959439743906</v>
      </c>
      <c r="AG416">
        <v>-1.1100687758759999</v>
      </c>
      <c r="AH416">
        <v>27.607567244182</v>
      </c>
      <c r="AI416">
        <v>92.286400907936695</v>
      </c>
      <c r="AJ416">
        <v>83.204928876400103</v>
      </c>
      <c r="AK416">
        <v>27.8250148810179</v>
      </c>
      <c r="AL416">
        <v>88.875815612847703</v>
      </c>
      <c r="AM416">
        <v>83.628836678806707</v>
      </c>
      <c r="AN416">
        <v>0.99999999628010505</v>
      </c>
    </row>
    <row r="417" spans="1:40" x14ac:dyDescent="0.25">
      <c r="A417" t="str">
        <f>"20190312161232889"</f>
        <v>20190312161232889</v>
      </c>
      <c r="B417" t="str">
        <f>"1552378352876443"</f>
        <v>1552378352876443</v>
      </c>
      <c r="C417" t="s">
        <v>40</v>
      </c>
      <c r="D417">
        <v>5.1654359999999997</v>
      </c>
      <c r="E417">
        <v>0.50333649999999996</v>
      </c>
      <c r="F417" t="s">
        <v>42</v>
      </c>
      <c r="G417">
        <v>-320.762</v>
      </c>
      <c r="H417" s="1">
        <v>-4.8513420000000003E-6</v>
      </c>
      <c r="I417">
        <v>364.50909999999999</v>
      </c>
      <c r="J417">
        <v>-348.17489999999998</v>
      </c>
      <c r="K417">
        <v>1.1100620000000001</v>
      </c>
      <c r="L417">
        <v>368.17630000000003</v>
      </c>
      <c r="M417">
        <v>0.9997838</v>
      </c>
      <c r="N417">
        <v>0</v>
      </c>
      <c r="O417">
        <v>-1.437869E-2</v>
      </c>
      <c r="P417">
        <v>0.99216689999999996</v>
      </c>
      <c r="Q417">
        <v>5.2730370000000004E-3</v>
      </c>
      <c r="R417">
        <v>-0.1248071</v>
      </c>
      <c r="S417">
        <v>2.9747620000000001</v>
      </c>
      <c r="T417">
        <v>-0.11884649999999999</v>
      </c>
      <c r="U417">
        <v>-0.3931885</v>
      </c>
      <c r="V417">
        <v>0.110528</v>
      </c>
      <c r="W417">
        <v>2.019251E-2</v>
      </c>
      <c r="X417">
        <v>0.99366779999999999</v>
      </c>
      <c r="Y417">
        <v>0.1166851</v>
      </c>
      <c r="Z417">
        <v>-1.7482190000000001E-3</v>
      </c>
      <c r="AA417">
        <v>0.99316740000000003</v>
      </c>
      <c r="AB417">
        <v>39</v>
      </c>
      <c r="AC417">
        <v>27.412899999999901</v>
      </c>
      <c r="AD417">
        <v>-1.110066851342</v>
      </c>
      <c r="AE417">
        <v>-3.66720000000003</v>
      </c>
      <c r="AF417">
        <v>3.2673511696749999</v>
      </c>
      <c r="AG417">
        <v>-1.110066851342</v>
      </c>
      <c r="AH417">
        <v>27.4186306058306</v>
      </c>
      <c r="AI417">
        <v>92.302132530069699</v>
      </c>
      <c r="AJ417">
        <v>83.204373352559699</v>
      </c>
      <c r="AK417">
        <v>27.634926024496799</v>
      </c>
      <c r="AL417">
        <v>88.842975689637797</v>
      </c>
      <c r="AM417">
        <v>83.652946838974898</v>
      </c>
      <c r="AN417">
        <v>0.99999993650046803</v>
      </c>
    </row>
    <row r="418" spans="1:40" x14ac:dyDescent="0.25">
      <c r="A418" t="str">
        <f>"20190312161232911"</f>
        <v>20190312161232911</v>
      </c>
      <c r="B418" t="str">
        <f>"1552378352905724"</f>
        <v>1552378352905724</v>
      </c>
      <c r="C418" t="s">
        <v>40</v>
      </c>
      <c r="D418">
        <v>5.2192480000000003</v>
      </c>
      <c r="E418">
        <v>0.50343159999999998</v>
      </c>
      <c r="F418" t="s">
        <v>42</v>
      </c>
      <c r="G418">
        <v>-320.11110000000002</v>
      </c>
      <c r="H418" s="1">
        <v>-5.1401680000000003E-6</v>
      </c>
      <c r="I418">
        <v>364.45499999999998</v>
      </c>
      <c r="J418">
        <v>-347.78370000000001</v>
      </c>
      <c r="K418">
        <v>1.1100699999999999</v>
      </c>
      <c r="L418">
        <v>368.17070000000001</v>
      </c>
      <c r="M418">
        <v>0.99978400000000001</v>
      </c>
      <c r="N418">
        <v>0</v>
      </c>
      <c r="O418">
        <v>-1.4379329999999999E-2</v>
      </c>
      <c r="P418">
        <v>0.9922301</v>
      </c>
      <c r="Q418">
        <v>5.5504069999999898E-3</v>
      </c>
      <c r="R418">
        <v>-0.1242941</v>
      </c>
      <c r="S418">
        <v>2.974701</v>
      </c>
      <c r="T418">
        <v>-0.1176642</v>
      </c>
      <c r="U418">
        <v>-0.3944397</v>
      </c>
      <c r="V418">
        <v>0.11001320000000001</v>
      </c>
      <c r="W418">
        <v>2.046663E-2</v>
      </c>
      <c r="X418">
        <v>0.99371940000000003</v>
      </c>
      <c r="Y418">
        <v>0.11709890000000001</v>
      </c>
      <c r="Z418">
        <v>-1.7389489999999901E-3</v>
      </c>
      <c r="AA418">
        <v>0.99311879999999997</v>
      </c>
      <c r="AB418">
        <v>39</v>
      </c>
      <c r="AC418">
        <v>27.6725999999999</v>
      </c>
      <c r="AD418">
        <v>-1.110075140168</v>
      </c>
      <c r="AE418">
        <v>-3.71570000000002</v>
      </c>
      <c r="AF418">
        <v>3.3121220856951501</v>
      </c>
      <c r="AG418">
        <v>-1.110075140168</v>
      </c>
      <c r="AH418">
        <v>27.679421274303898</v>
      </c>
      <c r="AI418">
        <v>92.280349574193806</v>
      </c>
      <c r="AJ418">
        <v>83.176426210743799</v>
      </c>
      <c r="AK418">
        <v>27.8989745619396</v>
      </c>
      <c r="AL418">
        <v>88.827266616806298</v>
      </c>
      <c r="AM418">
        <v>83.682594960980893</v>
      </c>
      <c r="AN418">
        <v>1.0000000165270699</v>
      </c>
    </row>
    <row r="419" spans="1:40" x14ac:dyDescent="0.25">
      <c r="A419" t="str">
        <f>"20190312161232935"</f>
        <v>20190312161232935</v>
      </c>
      <c r="B419" t="str">
        <f>"1552378352926220"</f>
        <v>1552378352926220</v>
      </c>
      <c r="C419" t="s">
        <v>40</v>
      </c>
      <c r="D419">
        <v>5.4342169999999896</v>
      </c>
      <c r="E419">
        <v>0.50357859999999999</v>
      </c>
      <c r="F419" t="s">
        <v>42</v>
      </c>
      <c r="G419">
        <v>-320.0609</v>
      </c>
      <c r="H419" s="1">
        <v>-5.1536519999999998E-6</v>
      </c>
      <c r="I419">
        <v>364.50040000000001</v>
      </c>
      <c r="J419">
        <v>-347.37610000000001</v>
      </c>
      <c r="K419">
        <v>1.1100749999999999</v>
      </c>
      <c r="L419">
        <v>368.16480000000001</v>
      </c>
      <c r="M419">
        <v>0.99978409999999995</v>
      </c>
      <c r="N419">
        <v>0</v>
      </c>
      <c r="O419">
        <v>-1.4379619999999999E-2</v>
      </c>
      <c r="P419">
        <v>0.99219639999999998</v>
      </c>
      <c r="Q419">
        <v>5.8593789999999996E-3</v>
      </c>
      <c r="R419">
        <v>-0.1245478</v>
      </c>
      <c r="S419">
        <v>2.9748230000000002</v>
      </c>
      <c r="T419">
        <v>-0.1191173</v>
      </c>
      <c r="U419">
        <v>-0.39382929999999999</v>
      </c>
      <c r="V419">
        <v>0.110267</v>
      </c>
      <c r="W419">
        <v>2.0771270000000001E-2</v>
      </c>
      <c r="X419">
        <v>0.99368489999999998</v>
      </c>
      <c r="Y419">
        <v>0.1168913</v>
      </c>
      <c r="Z419">
        <v>-1.75621E-3</v>
      </c>
      <c r="AA419">
        <v>0.99314309999999995</v>
      </c>
      <c r="AB419">
        <v>39</v>
      </c>
      <c r="AC419">
        <v>27.315200000000001</v>
      </c>
      <c r="AD419">
        <v>-1.110080153652</v>
      </c>
      <c r="AE419">
        <v>-3.6644000000000001</v>
      </c>
      <c r="AF419">
        <v>3.2658961217721298</v>
      </c>
      <c r="AG419">
        <v>-1.110080153652</v>
      </c>
      <c r="AH419">
        <v>27.320749070264998</v>
      </c>
      <c r="AI419">
        <v>92.310297589936695</v>
      </c>
      <c r="AJ419">
        <v>83.183264135424693</v>
      </c>
      <c r="AK419">
        <v>27.5376412422365</v>
      </c>
      <c r="AL419">
        <v>88.809808262330904</v>
      </c>
      <c r="AM419">
        <v>83.667920919714305</v>
      </c>
      <c r="AN419">
        <v>0.99999996871720997</v>
      </c>
    </row>
    <row r="420" spans="1:40" x14ac:dyDescent="0.25">
      <c r="A420" t="str">
        <f>"20190312161232956"</f>
        <v>20190312161232956</v>
      </c>
      <c r="B420" t="str">
        <f>"1552378352945740"</f>
        <v>1552378352945740</v>
      </c>
      <c r="C420" t="s">
        <v>40</v>
      </c>
      <c r="D420">
        <v>5.1752729999999998</v>
      </c>
      <c r="E420">
        <v>0.50361690000000003</v>
      </c>
      <c r="F420" t="s">
        <v>41</v>
      </c>
      <c r="G420">
        <v>-317.5702</v>
      </c>
      <c r="H420">
        <v>-0.05</v>
      </c>
      <c r="I420">
        <v>364.20060000000001</v>
      </c>
      <c r="J420">
        <v>-347.00139999999999</v>
      </c>
      <c r="K420">
        <v>1.1100779999999999</v>
      </c>
      <c r="L420">
        <v>368.15940000000001</v>
      </c>
      <c r="M420">
        <v>0.99978400000000001</v>
      </c>
      <c r="N420">
        <v>0</v>
      </c>
      <c r="O420">
        <v>-1.4379680000000001E-2</v>
      </c>
      <c r="P420">
        <v>0.99217679999999997</v>
      </c>
      <c r="Q420">
        <v>6.2188469999999996E-3</v>
      </c>
      <c r="R420">
        <v>-0.12468650000000001</v>
      </c>
      <c r="S420">
        <v>2.9746090000000001</v>
      </c>
      <c r="T420">
        <v>-0.1157749</v>
      </c>
      <c r="U420">
        <v>-0.39562989999999998</v>
      </c>
      <c r="V420">
        <v>0.1104057</v>
      </c>
      <c r="W420">
        <v>2.1126430000000002E-2</v>
      </c>
      <c r="X420">
        <v>0.99366209999999999</v>
      </c>
      <c r="Y420">
        <v>0.11749519999999999</v>
      </c>
      <c r="Z420">
        <v>-1.7187179999999999E-3</v>
      </c>
      <c r="AA420">
        <v>0.99307199999999995</v>
      </c>
      <c r="AB420">
        <v>39</v>
      </c>
      <c r="AC420">
        <v>29.431199999999901</v>
      </c>
      <c r="AD420">
        <v>-1.1600779999999999</v>
      </c>
      <c r="AE420">
        <v>-3.9587999999999899</v>
      </c>
      <c r="AF420">
        <v>3.5297451057874598</v>
      </c>
      <c r="AG420">
        <v>-1.1600779999999999</v>
      </c>
      <c r="AH420">
        <v>29.4401616357985</v>
      </c>
      <c r="AI420">
        <v>92.240520531675401</v>
      </c>
      <c r="AJ420">
        <v>83.163124841348704</v>
      </c>
      <c r="AK420">
        <v>29.673692028796399</v>
      </c>
      <c r="AL420">
        <v>88.789454732556607</v>
      </c>
      <c r="AM420">
        <v>83.659876603753005</v>
      </c>
      <c r="AN420">
        <v>1.00000005680672</v>
      </c>
    </row>
    <row r="421" spans="1:40" x14ac:dyDescent="0.25">
      <c r="A421" t="str">
        <f>"20190312161232977"</f>
        <v>20190312161232977</v>
      </c>
      <c r="B421" t="str">
        <f>"1552378352966236"</f>
        <v>1552378352966236</v>
      </c>
      <c r="C421" t="s">
        <v>40</v>
      </c>
      <c r="D421">
        <v>5.1772260000000001</v>
      </c>
      <c r="E421">
        <v>0.5037066</v>
      </c>
      <c r="F421" t="s">
        <v>41</v>
      </c>
      <c r="G421">
        <v>-315.82069999999999</v>
      </c>
      <c r="H421">
        <v>-0.05</v>
      </c>
      <c r="I421">
        <v>364.00029999999998</v>
      </c>
      <c r="J421">
        <v>-346.63220000000001</v>
      </c>
      <c r="K421">
        <v>1.1100810000000001</v>
      </c>
      <c r="L421">
        <v>368.15410000000003</v>
      </c>
      <c r="M421">
        <v>0.99978409999999995</v>
      </c>
      <c r="N421">
        <v>0</v>
      </c>
      <c r="O421">
        <v>-1.437999E-2</v>
      </c>
      <c r="P421">
        <v>0.99210960000000004</v>
      </c>
      <c r="Q421">
        <v>5.8761519999999999E-3</v>
      </c>
      <c r="R421">
        <v>-0.12523790000000001</v>
      </c>
      <c r="S421">
        <v>2.9744869999999999</v>
      </c>
      <c r="T421">
        <v>-0.11066579999999999</v>
      </c>
      <c r="U421">
        <v>-0.39675899999999997</v>
      </c>
      <c r="V421">
        <v>0.11095770000000001</v>
      </c>
      <c r="W421">
        <v>2.0778890000000001E-2</v>
      </c>
      <c r="X421">
        <v>0.99360789999999999</v>
      </c>
      <c r="Y421">
        <v>0.117877</v>
      </c>
      <c r="Z421">
        <v>-1.650007E-3</v>
      </c>
      <c r="AA421">
        <v>0.99302690000000005</v>
      </c>
      <c r="AB421">
        <v>39</v>
      </c>
      <c r="AC421">
        <v>30.811499999999999</v>
      </c>
      <c r="AD421">
        <v>-1.1600809999999999</v>
      </c>
      <c r="AE421">
        <v>-4.1538000000000403</v>
      </c>
      <c r="AF421">
        <v>3.7050929508238601</v>
      </c>
      <c r="AG421">
        <v>-1.1600809999999999</v>
      </c>
      <c r="AH421">
        <v>30.825134351915199</v>
      </c>
      <c r="AI421">
        <v>92.139879006644307</v>
      </c>
      <c r="AJ421">
        <v>83.146091970785307</v>
      </c>
      <c r="AK421">
        <v>31.068672477504201</v>
      </c>
      <c r="AL421">
        <v>88.809371630772304</v>
      </c>
      <c r="AM421">
        <v>83.628092972900006</v>
      </c>
      <c r="AN421">
        <v>1.0000000162006599</v>
      </c>
    </row>
    <row r="422" spans="1:40" x14ac:dyDescent="0.25">
      <c r="A422" t="str">
        <f>"20190312161233002"</f>
        <v>20190312161233002</v>
      </c>
      <c r="B422" t="str">
        <f>"1552378352996492"</f>
        <v>1552378352996492</v>
      </c>
      <c r="C422" t="s">
        <v>40</v>
      </c>
      <c r="D422">
        <v>5.1798469999999996</v>
      </c>
      <c r="E422">
        <v>0.50408339999999996</v>
      </c>
      <c r="F422" t="s">
        <v>41</v>
      </c>
      <c r="G422">
        <v>-314.6755</v>
      </c>
      <c r="H422">
        <v>-0.05</v>
      </c>
      <c r="I422">
        <v>363.86799999999999</v>
      </c>
      <c r="J422">
        <v>-346.21940000000001</v>
      </c>
      <c r="K422">
        <v>1.1100829999999999</v>
      </c>
      <c r="L422">
        <v>368.1481</v>
      </c>
      <c r="M422">
        <v>0.99978420000000001</v>
      </c>
      <c r="N422">
        <v>0</v>
      </c>
      <c r="O422">
        <v>-1.438006E-2</v>
      </c>
      <c r="P422">
        <v>0.99198869999999895</v>
      </c>
      <c r="Q422">
        <v>6.0656629999999998E-3</v>
      </c>
      <c r="R422">
        <v>-0.12618180000000001</v>
      </c>
      <c r="S422">
        <v>2.9741520000000001</v>
      </c>
      <c r="T422">
        <v>-0.107966699999999</v>
      </c>
      <c r="U422">
        <v>-0.39889530000000001</v>
      </c>
      <c r="V422">
        <v>0.11190319999999999</v>
      </c>
      <c r="W422">
        <v>2.0961960000000002E-2</v>
      </c>
      <c r="X422">
        <v>0.99349799999999999</v>
      </c>
      <c r="Y422">
        <v>0.1185952</v>
      </c>
      <c r="Z422">
        <v>-1.6228659999999999E-3</v>
      </c>
      <c r="AA422">
        <v>0.99294139999999997</v>
      </c>
      <c r="AB422">
        <v>39</v>
      </c>
      <c r="AC422">
        <v>31.543900000000001</v>
      </c>
      <c r="AD422">
        <v>-1.160083</v>
      </c>
      <c r="AE422">
        <v>-4.2800999999999396</v>
      </c>
      <c r="AF422">
        <v>3.82092868474545</v>
      </c>
      <c r="AG422">
        <v>-1.160083</v>
      </c>
      <c r="AH422">
        <v>31.5602781127524</v>
      </c>
      <c r="AI422">
        <v>92.089866314905393</v>
      </c>
      <c r="AJ422">
        <v>83.096930791176902</v>
      </c>
      <c r="AK422">
        <v>31.8118915365792</v>
      </c>
      <c r="AL422">
        <v>88.798880191531197</v>
      </c>
      <c r="AM422">
        <v>83.573543646541495</v>
      </c>
      <c r="AN422">
        <v>1.00000000297064</v>
      </c>
    </row>
    <row r="423" spans="1:40" x14ac:dyDescent="0.25">
      <c r="A423" t="str">
        <f>"20190312161233037"</f>
        <v>20190312161233037</v>
      </c>
      <c r="B423" t="str">
        <f>"1552378353025773"</f>
        <v>1552378353025773</v>
      </c>
      <c r="C423" t="s">
        <v>40</v>
      </c>
      <c r="D423">
        <v>5.2003279999999998</v>
      </c>
      <c r="E423">
        <v>0.50444690000000003</v>
      </c>
      <c r="F423" t="s">
        <v>41</v>
      </c>
      <c r="G423">
        <v>-314.40820000000002</v>
      </c>
      <c r="H423">
        <v>-0.05</v>
      </c>
      <c r="I423">
        <v>363.81619999999998</v>
      </c>
      <c r="J423">
        <v>-345.62450000000001</v>
      </c>
      <c r="K423">
        <v>1.1100829999999999</v>
      </c>
      <c r="L423">
        <v>368.13959999999997</v>
      </c>
      <c r="M423">
        <v>0.99978440000000002</v>
      </c>
      <c r="N423">
        <v>0</v>
      </c>
      <c r="O423">
        <v>-1.438036E-2</v>
      </c>
      <c r="P423">
        <v>0.99184830000000002</v>
      </c>
      <c r="Q423">
        <v>5.9380479999999996E-3</v>
      </c>
      <c r="R423">
        <v>-0.12728819999999999</v>
      </c>
      <c r="S423">
        <v>2.9733890000000001</v>
      </c>
      <c r="T423">
        <v>-0.1084328</v>
      </c>
      <c r="U423">
        <v>-0.40490720000000002</v>
      </c>
      <c r="V423">
        <v>0.1130111</v>
      </c>
      <c r="W423">
        <v>2.0826089999999998E-2</v>
      </c>
      <c r="X423">
        <v>0.99337540000000002</v>
      </c>
      <c r="Y423">
        <v>0.120598</v>
      </c>
      <c r="Z423">
        <v>-1.666393E-3</v>
      </c>
      <c r="AA423">
        <v>0.99270000000000003</v>
      </c>
      <c r="AB423">
        <v>39</v>
      </c>
      <c r="AC423">
        <v>31.216299999999901</v>
      </c>
      <c r="AD423">
        <v>-1.160083</v>
      </c>
      <c r="AE423">
        <v>-4.3233999999999897</v>
      </c>
      <c r="AF423">
        <v>3.8687583890111599</v>
      </c>
      <c r="AG423">
        <v>-1.160083</v>
      </c>
      <c r="AH423">
        <v>31.232927460119701</v>
      </c>
      <c r="AI423">
        <v>92.111037617970297</v>
      </c>
      <c r="AJ423">
        <v>82.938856895490204</v>
      </c>
      <c r="AK423">
        <v>31.492996709880298</v>
      </c>
      <c r="AL423">
        <v>88.806666617653306</v>
      </c>
      <c r="AM423">
        <v>83.509664423479506</v>
      </c>
      <c r="AN423">
        <v>0.99999996003652802</v>
      </c>
    </row>
    <row r="424" spans="1:40" x14ac:dyDescent="0.25">
      <c r="A424" t="str">
        <f>"20190312161233058"</f>
        <v>20190312161233058</v>
      </c>
      <c r="B424" t="str">
        <f>"1552378353046268"</f>
        <v>1552378353046268</v>
      </c>
      <c r="C424" t="s">
        <v>40</v>
      </c>
      <c r="D424">
        <v>5.2682260000000003</v>
      </c>
      <c r="E424">
        <v>0.50459379999999998</v>
      </c>
      <c r="F424" t="s">
        <v>41</v>
      </c>
      <c r="G424">
        <v>-314.29910000000001</v>
      </c>
      <c r="H424">
        <v>-0.05</v>
      </c>
      <c r="I424">
        <v>363.81180000000001</v>
      </c>
      <c r="J424">
        <v>-345.25130000000001</v>
      </c>
      <c r="K424">
        <v>1.1100829999999999</v>
      </c>
      <c r="L424">
        <v>368.13420000000002</v>
      </c>
      <c r="M424">
        <v>0.99978429999999996</v>
      </c>
      <c r="N424">
        <v>0</v>
      </c>
      <c r="O424">
        <v>-1.438032E-2</v>
      </c>
      <c r="P424">
        <v>0.99177139999999997</v>
      </c>
      <c r="Q424">
        <v>5.8571319999999897E-3</v>
      </c>
      <c r="R424">
        <v>-0.12788830000000001</v>
      </c>
      <c r="S424">
        <v>2.9725950000000001</v>
      </c>
      <c r="T424">
        <v>-0.1100849</v>
      </c>
      <c r="U424">
        <v>-0.41067500000000001</v>
      </c>
      <c r="V424">
        <v>0.1136122</v>
      </c>
      <c r="W424">
        <v>2.0739799999999999E-2</v>
      </c>
      <c r="X424">
        <v>0.99330870000000004</v>
      </c>
      <c r="Y424">
        <v>0.1225204</v>
      </c>
      <c r="Z424">
        <v>-1.72741E-3</v>
      </c>
      <c r="AA424">
        <v>0.99246449999999997</v>
      </c>
      <c r="AB424">
        <v>39</v>
      </c>
      <c r="AC424">
        <v>30.952200000000001</v>
      </c>
      <c r="AD424">
        <v>-1.160083</v>
      </c>
      <c r="AE424">
        <v>-4.3224000000000098</v>
      </c>
      <c r="AF424">
        <v>3.8714660644416798</v>
      </c>
      <c r="AG424">
        <v>-1.160083</v>
      </c>
      <c r="AH424">
        <v>30.968492774823201</v>
      </c>
      <c r="AI424">
        <v>92.128748424756196</v>
      </c>
      <c r="AJ424">
        <v>82.874246846701496</v>
      </c>
      <c r="AK424">
        <v>31.231099673231</v>
      </c>
      <c r="AL424">
        <v>88.811611812872997</v>
      </c>
      <c r="AM424">
        <v>83.475005225302993</v>
      </c>
      <c r="AN424">
        <v>1.00000002239428</v>
      </c>
    </row>
    <row r="425" spans="1:40" x14ac:dyDescent="0.25">
      <c r="A425" t="str">
        <f>"20190312161233101"</f>
        <v>20190312161233101</v>
      </c>
      <c r="B425" t="str">
        <f>"1552378353096044"</f>
        <v>1552378353096044</v>
      </c>
      <c r="C425" t="s">
        <v>40</v>
      </c>
      <c r="D425">
        <v>5.3901219999999999</v>
      </c>
      <c r="E425">
        <v>0.52213989999999999</v>
      </c>
      <c r="F425" t="s">
        <v>41</v>
      </c>
      <c r="G425">
        <v>-314.19670000000002</v>
      </c>
      <c r="H425">
        <v>-0.05</v>
      </c>
      <c r="I425">
        <v>363.8098</v>
      </c>
      <c r="J425">
        <v>-344.50549999999998</v>
      </c>
      <c r="K425">
        <v>1.110077</v>
      </c>
      <c r="L425">
        <v>368.12349999999998</v>
      </c>
      <c r="M425">
        <v>0.99978440000000002</v>
      </c>
      <c r="N425">
        <v>0</v>
      </c>
      <c r="O425">
        <v>-1.4380250000000001E-2</v>
      </c>
      <c r="P425">
        <v>0.99173690000000003</v>
      </c>
      <c r="Q425">
        <v>5.4261630000000003E-3</v>
      </c>
      <c r="R425">
        <v>-0.1281735</v>
      </c>
      <c r="S425">
        <v>2.9721980000000001</v>
      </c>
      <c r="T425">
        <v>-0.1110302</v>
      </c>
      <c r="U425">
        <v>-0.41387940000000001</v>
      </c>
      <c r="V425">
        <v>0.1138979</v>
      </c>
      <c r="W425">
        <v>2.0300249999999999E-2</v>
      </c>
      <c r="X425">
        <v>0.99328510000000003</v>
      </c>
      <c r="Y425">
        <v>0.1235861</v>
      </c>
      <c r="Z425">
        <v>-1.7621430000000001E-3</v>
      </c>
      <c r="AA425">
        <v>0.99233229999999994</v>
      </c>
      <c r="AB425">
        <v>38</v>
      </c>
      <c r="AC425">
        <v>30.308799999999898</v>
      </c>
      <c r="AD425">
        <v>-1.160077</v>
      </c>
      <c r="AE425">
        <v>-4.3136999999999803</v>
      </c>
      <c r="AF425">
        <v>3.8717972877987301</v>
      </c>
      <c r="AG425">
        <v>-1.160077</v>
      </c>
      <c r="AH425">
        <v>30.3241616498597</v>
      </c>
      <c r="AI425">
        <v>92.173205848862594</v>
      </c>
      <c r="AJ425">
        <v>82.723828031225807</v>
      </c>
      <c r="AK425">
        <v>30.5923417320504</v>
      </c>
      <c r="AL425">
        <v>88.836801520991401</v>
      </c>
      <c r="AM425">
        <v>83.458584815683594</v>
      </c>
      <c r="AN425">
        <v>1.00000006082823</v>
      </c>
    </row>
    <row r="426" spans="1:40" x14ac:dyDescent="0.25">
      <c r="A426" t="str">
        <f>"20190312161233124"</f>
        <v>20190312161233124</v>
      </c>
      <c r="B426" t="str">
        <f>"1552378353116539"</f>
        <v>1552378353116539</v>
      </c>
      <c r="C426" t="s">
        <v>40</v>
      </c>
      <c r="D426">
        <v>5.2980729999999996</v>
      </c>
      <c r="E426">
        <v>0.52959069999999997</v>
      </c>
      <c r="F426" t="s">
        <v>41</v>
      </c>
      <c r="G426">
        <v>-308.12650000000002</v>
      </c>
      <c r="H426">
        <v>-0.05</v>
      </c>
      <c r="I426">
        <v>361.2962</v>
      </c>
      <c r="J426">
        <v>-344.11630000000002</v>
      </c>
      <c r="K426">
        <v>1.1100810000000001</v>
      </c>
      <c r="L426">
        <v>368.11790000000002</v>
      </c>
      <c r="M426">
        <v>0.99978460000000002</v>
      </c>
      <c r="N426">
        <v>0</v>
      </c>
      <c r="O426">
        <v>-1.4380459999999999E-2</v>
      </c>
      <c r="P426">
        <v>0.99178690000000003</v>
      </c>
      <c r="Q426">
        <v>4.760912E-3</v>
      </c>
      <c r="R426">
        <v>-0.12781489999999901</v>
      </c>
      <c r="S426">
        <v>2.9538570000000002</v>
      </c>
      <c r="T426">
        <v>-9.4194650000000005E-2</v>
      </c>
      <c r="U426">
        <v>-0.55435179999999995</v>
      </c>
      <c r="V426">
        <v>0.11353829999999999</v>
      </c>
      <c r="W426">
        <v>1.963138E-2</v>
      </c>
      <c r="X426">
        <v>0.99333970000000005</v>
      </c>
      <c r="Y426">
        <v>0.1702195</v>
      </c>
      <c r="Z426">
        <v>-2.2355069999999999E-3</v>
      </c>
      <c r="AA426">
        <v>0.98540369999999999</v>
      </c>
      <c r="AB426">
        <v>38</v>
      </c>
      <c r="AC426">
        <v>35.989800000000002</v>
      </c>
      <c r="AD426">
        <v>-1.1600809999999999</v>
      </c>
      <c r="AE426">
        <v>-6.8217000000000203</v>
      </c>
      <c r="AF426">
        <v>6.2970708264953004</v>
      </c>
      <c r="AG426">
        <v>-1.1600809999999999</v>
      </c>
      <c r="AH426">
        <v>36.048032706845198</v>
      </c>
      <c r="AI426">
        <v>91.815753067341106</v>
      </c>
      <c r="AJ426">
        <v>80.091236092254405</v>
      </c>
      <c r="AK426">
        <v>36.612286885064101</v>
      </c>
      <c r="AL426">
        <v>88.875132573913305</v>
      </c>
      <c r="AM426">
        <v>83.479414643575097</v>
      </c>
      <c r="AN426">
        <v>1.0000000481218401</v>
      </c>
    </row>
    <row r="427" spans="1:40" x14ac:dyDescent="0.25">
      <c r="A427" t="str">
        <f>"20190312161233145"</f>
        <v>20190312161233145</v>
      </c>
      <c r="B427" t="str">
        <f>"1552378353136060"</f>
        <v>1552378353136060</v>
      </c>
      <c r="C427" t="s">
        <v>40</v>
      </c>
      <c r="D427">
        <v>5.2922359999999999</v>
      </c>
      <c r="E427">
        <v>0.53253009999999901</v>
      </c>
      <c r="F427" t="s">
        <v>41</v>
      </c>
      <c r="G427">
        <v>-274.79140000000001</v>
      </c>
      <c r="H427">
        <v>-0.05</v>
      </c>
      <c r="I427">
        <v>353.64819999999997</v>
      </c>
      <c r="J427">
        <v>-343.7396</v>
      </c>
      <c r="K427">
        <v>1.110082</v>
      </c>
      <c r="L427">
        <v>368.11250000000001</v>
      </c>
      <c r="M427">
        <v>0.99978469999999997</v>
      </c>
      <c r="N427">
        <v>0</v>
      </c>
      <c r="O427">
        <v>-1.4378139999999999E-2</v>
      </c>
      <c r="P427">
        <v>0.99179689999999998</v>
      </c>
      <c r="Q427">
        <v>4.409479E-3</v>
      </c>
      <c r="R427">
        <v>-0.12774820000000001</v>
      </c>
      <c r="S427">
        <v>2.945862</v>
      </c>
      <c r="T427">
        <v>-4.9295899999999997E-2</v>
      </c>
      <c r="U427">
        <v>-0.61486819999999998</v>
      </c>
      <c r="V427">
        <v>0.11347400000000001</v>
      </c>
      <c r="W427">
        <v>1.9276209999999998E-2</v>
      </c>
      <c r="X427">
        <v>0.99335399999999996</v>
      </c>
      <c r="Y427">
        <v>0.19019849999999999</v>
      </c>
      <c r="Z427">
        <v>-1.33636E-3</v>
      </c>
      <c r="AA427">
        <v>0.98174479999999997</v>
      </c>
      <c r="AB427">
        <v>38</v>
      </c>
      <c r="AC427">
        <v>68.9481999999999</v>
      </c>
      <c r="AD427">
        <v>-1.1600820000000001</v>
      </c>
      <c r="AE427">
        <v>-14.4643</v>
      </c>
      <c r="AF427">
        <v>13.467694733790101</v>
      </c>
      <c r="AG427">
        <v>-1.1600820000000001</v>
      </c>
      <c r="AH427">
        <v>69.130318747819402</v>
      </c>
      <c r="AI427">
        <v>90.943657912021905</v>
      </c>
      <c r="AJ427">
        <v>78.975945538931398</v>
      </c>
      <c r="AK427">
        <v>70.439517047353405</v>
      </c>
      <c r="AL427">
        <v>88.895486163522193</v>
      </c>
      <c r="AM427">
        <v>83.483168670640893</v>
      </c>
      <c r="AN427">
        <v>1.0000000451319799</v>
      </c>
    </row>
    <row r="428" spans="1:40" x14ac:dyDescent="0.25">
      <c r="A428" t="str">
        <f>"20190312161233167"</f>
        <v>20190312161233167</v>
      </c>
      <c r="B428" t="str">
        <f>"1552378353156557"</f>
        <v>1552378353156557</v>
      </c>
      <c r="C428" t="s">
        <v>40</v>
      </c>
      <c r="D428">
        <v>5.3338599999999996</v>
      </c>
      <c r="E428">
        <v>0.53460260000000004</v>
      </c>
      <c r="F428" t="s">
        <v>56</v>
      </c>
      <c r="G428">
        <v>-245.3451</v>
      </c>
      <c r="H428">
        <v>3.4242399999999999E-2</v>
      </c>
      <c r="I428">
        <v>346.76049999999998</v>
      </c>
      <c r="J428">
        <v>-343.37279999999998</v>
      </c>
      <c r="K428">
        <v>1.1100920000000001</v>
      </c>
      <c r="L428">
        <v>368.10719999999998</v>
      </c>
      <c r="M428">
        <v>0.99978480000000003</v>
      </c>
      <c r="N428">
        <v>0</v>
      </c>
      <c r="O428">
        <v>-1.4371139999999999E-2</v>
      </c>
      <c r="P428">
        <v>0.99178189999999999</v>
      </c>
      <c r="Q428">
        <v>3.9906869999999997E-3</v>
      </c>
      <c r="R428">
        <v>-0.1278791</v>
      </c>
      <c r="S428">
        <v>2.9427189999999999</v>
      </c>
      <c r="T428">
        <v>-3.2173159999999999E-2</v>
      </c>
      <c r="U428">
        <v>-0.63858029999999999</v>
      </c>
      <c r="V428">
        <v>0.1136119</v>
      </c>
      <c r="W428">
        <v>1.8854280000000001E-2</v>
      </c>
      <c r="X428">
        <v>0.99334630000000002</v>
      </c>
      <c r="Y428">
        <v>0.19798959999999999</v>
      </c>
      <c r="Z428">
        <v>-9.1457929999999999E-4</v>
      </c>
      <c r="AA428">
        <v>0.98020370000000001</v>
      </c>
      <c r="AB428">
        <v>38</v>
      </c>
      <c r="AC428">
        <v>98.027699999999896</v>
      </c>
      <c r="AD428">
        <v>-1.0758496</v>
      </c>
      <c r="AE428">
        <v>-21.346699999999998</v>
      </c>
      <c r="AF428">
        <v>19.933275287495199</v>
      </c>
      <c r="AG428">
        <v>-1.0758496</v>
      </c>
      <c r="AH428">
        <v>98.313079491067199</v>
      </c>
      <c r="AI428">
        <v>90.6144664673091</v>
      </c>
      <c r="AJ428">
        <v>78.538477645755705</v>
      </c>
      <c r="AK428">
        <v>100.319262931232</v>
      </c>
      <c r="AL428">
        <v>88.9196653273587</v>
      </c>
      <c r="AM428">
        <v>83.475267159087807</v>
      </c>
      <c r="AN428">
        <v>1.0000000097098001</v>
      </c>
    </row>
    <row r="429" spans="1:40" x14ac:dyDescent="0.25">
      <c r="A429" t="str">
        <f>"20190312161233189"</f>
        <v>20190312161233189</v>
      </c>
      <c r="B429" t="str">
        <f>"1552378353185836"</f>
        <v>1552378353185836</v>
      </c>
      <c r="C429" t="s">
        <v>40</v>
      </c>
      <c r="D429">
        <v>5.3251109999999997</v>
      </c>
      <c r="E429">
        <v>0.53596169999999899</v>
      </c>
      <c r="F429" t="s">
        <v>56</v>
      </c>
      <c r="G429">
        <v>-245.3451</v>
      </c>
      <c r="H429">
        <v>0.38920759999999899</v>
      </c>
      <c r="I429">
        <v>346.2346</v>
      </c>
      <c r="J429">
        <v>-342.99340000000001</v>
      </c>
      <c r="K429">
        <v>1.110101</v>
      </c>
      <c r="L429">
        <v>368.10169999999999</v>
      </c>
      <c r="M429">
        <v>0.99978489999999998</v>
      </c>
      <c r="N429">
        <v>0</v>
      </c>
      <c r="O429">
        <v>-1.4358630000000001E-2</v>
      </c>
      <c r="P429">
        <v>0.99170650000000005</v>
      </c>
      <c r="Q429">
        <v>3.5251660000000002E-3</v>
      </c>
      <c r="R429">
        <v>-0.12847549999999999</v>
      </c>
      <c r="S429">
        <v>2.9403380000000001</v>
      </c>
      <c r="T429">
        <v>-2.1620509999999999E-2</v>
      </c>
      <c r="U429">
        <v>-0.65606690000000001</v>
      </c>
      <c r="V429">
        <v>0.1142214</v>
      </c>
      <c r="W429">
        <v>1.8385149999999999E-2</v>
      </c>
      <c r="X429">
        <v>0.99328519999999998</v>
      </c>
      <c r="Y429">
        <v>0.2037283</v>
      </c>
      <c r="Z429">
        <v>-6.3564329999999997E-4</v>
      </c>
      <c r="AA429">
        <v>0.97902730000000004</v>
      </c>
      <c r="AB429">
        <v>38</v>
      </c>
      <c r="AC429">
        <v>97.648300000000006</v>
      </c>
      <c r="AD429">
        <v>-0.72089340000000002</v>
      </c>
      <c r="AE429">
        <v>-21.867099999999901</v>
      </c>
      <c r="AF429">
        <v>20.461530405658898</v>
      </c>
      <c r="AG429">
        <v>-0.72089340000000002</v>
      </c>
      <c r="AH429">
        <v>97.947164507599297</v>
      </c>
      <c r="AI429">
        <v>90.412780126622593</v>
      </c>
      <c r="AJ429">
        <v>78.200391428665398</v>
      </c>
      <c r="AK429">
        <v>100.064184146549</v>
      </c>
      <c r="AL429">
        <v>88.946549162855405</v>
      </c>
      <c r="AM429">
        <v>83.440167839166094</v>
      </c>
      <c r="AN429">
        <v>1.00000001524876</v>
      </c>
    </row>
    <row r="430" spans="1:40" x14ac:dyDescent="0.25">
      <c r="A430" t="str">
        <f>"20190312161233214"</f>
        <v>20190312161233214</v>
      </c>
      <c r="B430" t="str">
        <f>"1552378353206332"</f>
        <v>1552378353206332</v>
      </c>
      <c r="C430" t="s">
        <v>40</v>
      </c>
      <c r="D430">
        <v>5.3812899999999999</v>
      </c>
      <c r="E430">
        <v>0.53690919999999998</v>
      </c>
      <c r="F430" t="s">
        <v>56</v>
      </c>
      <c r="G430">
        <v>-245.3451</v>
      </c>
      <c r="H430">
        <v>0.55773519999999999</v>
      </c>
      <c r="I430">
        <v>345.87740000000002</v>
      </c>
      <c r="J430">
        <v>-342.58199999999999</v>
      </c>
      <c r="K430">
        <v>1.110106</v>
      </c>
      <c r="L430">
        <v>368.09589999999997</v>
      </c>
      <c r="M430">
        <v>0.99978540000000005</v>
      </c>
      <c r="N430">
        <v>0</v>
      </c>
      <c r="O430">
        <v>-1.4340149999999999E-2</v>
      </c>
      <c r="P430">
        <v>0.99172870000000002</v>
      </c>
      <c r="Q430">
        <v>3.6542580000000001E-3</v>
      </c>
      <c r="R430">
        <v>-0.12830220000000001</v>
      </c>
      <c r="S430">
        <v>2.938507</v>
      </c>
      <c r="T430">
        <v>-1.66197999999999E-2</v>
      </c>
      <c r="U430">
        <v>-0.66879270000000002</v>
      </c>
      <c r="V430">
        <v>0.11406579999999999</v>
      </c>
      <c r="W430">
        <v>1.851102E-2</v>
      </c>
      <c r="X430">
        <v>0.99330070000000004</v>
      </c>
      <c r="Y430">
        <v>0.20791100000000001</v>
      </c>
      <c r="Z430">
        <v>-5.0047480000000005E-4</v>
      </c>
      <c r="AA430">
        <v>0.97814760000000001</v>
      </c>
      <c r="AB430">
        <v>38</v>
      </c>
      <c r="AC430">
        <v>97.236900000000006</v>
      </c>
      <c r="AD430">
        <v>-0.55237080000000005</v>
      </c>
      <c r="AE430">
        <v>-22.218499999999899</v>
      </c>
      <c r="AF430">
        <v>20.821028720957202</v>
      </c>
      <c r="AG430">
        <v>-0.55237080000000005</v>
      </c>
      <c r="AH430">
        <v>97.542560084974696</v>
      </c>
      <c r="AI430">
        <v>90.317306939401007</v>
      </c>
      <c r="AJ430">
        <v>77.950711664364903</v>
      </c>
      <c r="AK430">
        <v>99.741522839941197</v>
      </c>
      <c r="AL430">
        <v>88.939336070439097</v>
      </c>
      <c r="AM430">
        <v>83.449127686283404</v>
      </c>
      <c r="AN430">
        <v>0.99999997260578399</v>
      </c>
    </row>
    <row r="431" spans="1:40" x14ac:dyDescent="0.25">
      <c r="A431" t="str">
        <f>"20190312161233236"</f>
        <v>20190312161233236</v>
      </c>
      <c r="B431" t="str">
        <f>"1552378353225853"</f>
        <v>1552378353225853</v>
      </c>
      <c r="C431" t="s">
        <v>40</v>
      </c>
      <c r="D431">
        <v>5.4016520000000003</v>
      </c>
      <c r="E431">
        <v>0.53788519999999995</v>
      </c>
      <c r="F431" t="s">
        <v>56</v>
      </c>
      <c r="G431">
        <v>-245.3451</v>
      </c>
      <c r="H431">
        <v>0.62449049999999995</v>
      </c>
      <c r="I431">
        <v>345.73039999999997</v>
      </c>
      <c r="J431">
        <v>-342.20060000000001</v>
      </c>
      <c r="K431">
        <v>1.1101030000000001</v>
      </c>
      <c r="L431">
        <v>368.09039999999999</v>
      </c>
      <c r="M431">
        <v>0.9997857</v>
      </c>
      <c r="N431">
        <v>0</v>
      </c>
      <c r="O431">
        <v>-1.431955E-2</v>
      </c>
      <c r="P431">
        <v>0.99173599999999995</v>
      </c>
      <c r="Q431">
        <v>3.7448719999999998E-3</v>
      </c>
      <c r="R431">
        <v>-0.1282421</v>
      </c>
      <c r="S431">
        <v>2.9376530000000001</v>
      </c>
      <c r="T431">
        <v>-1.46687E-2</v>
      </c>
      <c r="U431">
        <v>-0.67568969999999995</v>
      </c>
      <c r="V431">
        <v>0.11402610000000001</v>
      </c>
      <c r="W431">
        <v>1.8598259999999998E-2</v>
      </c>
      <c r="X431">
        <v>0.99330370000000001</v>
      </c>
      <c r="Y431">
        <v>0.210175</v>
      </c>
      <c r="Z431">
        <v>-4.4741429999999998E-4</v>
      </c>
      <c r="AA431">
        <v>0.97766370000000002</v>
      </c>
      <c r="AB431">
        <v>38</v>
      </c>
      <c r="AC431">
        <v>96.855500000000006</v>
      </c>
      <c r="AD431">
        <v>-0.4856125</v>
      </c>
      <c r="AE431">
        <v>-22.36</v>
      </c>
      <c r="AF431">
        <v>20.9701242489039</v>
      </c>
      <c r="AG431">
        <v>-0.4856125</v>
      </c>
      <c r="AH431">
        <v>97.163469200718197</v>
      </c>
      <c r="AI431">
        <v>90.279910947356498</v>
      </c>
      <c r="AJ431">
        <v>77.821049209316698</v>
      </c>
      <c r="AK431">
        <v>99.401819287342803</v>
      </c>
      <c r="AL431">
        <v>88.934336801507101</v>
      </c>
      <c r="AM431">
        <v>83.451407481528406</v>
      </c>
      <c r="AN431">
        <v>1.0000000435949601</v>
      </c>
    </row>
    <row r="432" spans="1:40" x14ac:dyDescent="0.25">
      <c r="A432" t="str">
        <f>"20190312161233260"</f>
        <v>20190312161233260</v>
      </c>
      <c r="B432" t="str">
        <f>"1552378353256109"</f>
        <v>1552378353256109</v>
      </c>
      <c r="C432" t="s">
        <v>40</v>
      </c>
      <c r="D432">
        <v>5.4392379999999996</v>
      </c>
      <c r="E432">
        <v>0.53886869999999998</v>
      </c>
      <c r="F432" t="s">
        <v>56</v>
      </c>
      <c r="G432">
        <v>-245.3451</v>
      </c>
      <c r="H432">
        <v>0.71252419999999905</v>
      </c>
      <c r="I432">
        <v>345.5446</v>
      </c>
      <c r="J432">
        <v>-341.79829999999998</v>
      </c>
      <c r="K432">
        <v>1.1101080000000001</v>
      </c>
      <c r="L432">
        <v>368.0847</v>
      </c>
      <c r="M432">
        <v>0.99978619999999996</v>
      </c>
      <c r="N432">
        <v>0</v>
      </c>
      <c r="O432">
        <v>-1.4294670000000001E-2</v>
      </c>
      <c r="P432">
        <v>0.99174110000000004</v>
      </c>
      <c r="Q432">
        <v>2.9783119999999999E-3</v>
      </c>
      <c r="R432">
        <v>-0.12822310000000001</v>
      </c>
      <c r="S432">
        <v>2.9366759999999998</v>
      </c>
      <c r="T432">
        <v>-1.20523E-2</v>
      </c>
      <c r="U432">
        <v>-0.68359380000000003</v>
      </c>
      <c r="V432">
        <v>0.1140317</v>
      </c>
      <c r="W432">
        <v>1.7828299999999998E-2</v>
      </c>
      <c r="X432">
        <v>0.99331709999999995</v>
      </c>
      <c r="Y432">
        <v>0.21276800000000001</v>
      </c>
      <c r="Z432">
        <v>-3.7297200000000001E-4</v>
      </c>
      <c r="AA432">
        <v>0.97710269999999999</v>
      </c>
      <c r="AB432">
        <v>38</v>
      </c>
      <c r="AC432">
        <v>96.453199999999896</v>
      </c>
      <c r="AD432">
        <v>-0.39758379999999999</v>
      </c>
      <c r="AE432">
        <v>-22.540099999999899</v>
      </c>
      <c r="AF432">
        <v>21.158535008675099</v>
      </c>
      <c r="AG432">
        <v>-0.39758379999999999</v>
      </c>
      <c r="AH432">
        <v>96.764023047932199</v>
      </c>
      <c r="AI432">
        <v>90.229981675179502</v>
      </c>
      <c r="AJ432">
        <v>77.665769681983903</v>
      </c>
      <c r="AK432">
        <v>99.051086985515198</v>
      </c>
      <c r="AL432">
        <v>88.978459501767503</v>
      </c>
      <c r="AM432">
        <v>83.451176242046103</v>
      </c>
      <c r="AN432">
        <v>0.99999996901909405</v>
      </c>
    </row>
    <row r="433" spans="1:40" x14ac:dyDescent="0.25">
      <c r="A433" t="str">
        <f>"20190312161233280"</f>
        <v>20190312161233280</v>
      </c>
      <c r="B433" t="str">
        <f>"1552378353276604"</f>
        <v>1552378353276604</v>
      </c>
      <c r="C433" t="s">
        <v>40</v>
      </c>
      <c r="D433">
        <v>5.4584339999999996</v>
      </c>
      <c r="E433">
        <v>0.53921479999999999</v>
      </c>
      <c r="F433" t="s">
        <v>56</v>
      </c>
      <c r="G433">
        <v>-245.3451</v>
      </c>
      <c r="H433">
        <v>0.67115190000000002</v>
      </c>
      <c r="I433">
        <v>345.36880000000002</v>
      </c>
      <c r="J433">
        <v>-341.45729999999998</v>
      </c>
      <c r="K433">
        <v>1.110109</v>
      </c>
      <c r="L433">
        <v>368.07979999999998</v>
      </c>
      <c r="M433">
        <v>0.99978650000000002</v>
      </c>
      <c r="N433">
        <v>0</v>
      </c>
      <c r="O433">
        <v>-1.427196E-2</v>
      </c>
      <c r="P433">
        <v>0.99175230000000003</v>
      </c>
      <c r="Q433">
        <v>2.8292539999999998E-3</v>
      </c>
      <c r="R433">
        <v>-0.1281389</v>
      </c>
      <c r="S433">
        <v>2.935638</v>
      </c>
      <c r="T433">
        <v>-1.335764E-2</v>
      </c>
      <c r="U433">
        <v>-0.69137569999999904</v>
      </c>
      <c r="V433">
        <v>0.1139696</v>
      </c>
      <c r="W433">
        <v>1.7676219999999999E-2</v>
      </c>
      <c r="X433">
        <v>0.99332699999999996</v>
      </c>
      <c r="Y433">
        <v>0.21532080000000001</v>
      </c>
      <c r="Z433">
        <v>-4.192175E-4</v>
      </c>
      <c r="AA433">
        <v>0.9765433</v>
      </c>
      <c r="AB433">
        <v>38</v>
      </c>
      <c r="AC433">
        <v>96.112199999999902</v>
      </c>
      <c r="AD433">
        <v>-0.43895709999999999</v>
      </c>
      <c r="AE433">
        <v>-22.710999999999899</v>
      </c>
      <c r="AF433">
        <v>21.336402235884002</v>
      </c>
      <c r="AG433">
        <v>-0.43895709999999999</v>
      </c>
      <c r="AH433">
        <v>96.424670568359701</v>
      </c>
      <c r="AI433">
        <v>90.254667571969506</v>
      </c>
      <c r="AJ433">
        <v>77.522901681386699</v>
      </c>
      <c r="AK433">
        <v>98.758046952761106</v>
      </c>
      <c r="AL433">
        <v>88.987174472915001</v>
      </c>
      <c r="AM433">
        <v>83.454776348336495</v>
      </c>
      <c r="AN433">
        <v>1.00000002370332</v>
      </c>
    </row>
    <row r="434" spans="1:40" x14ac:dyDescent="0.25">
      <c r="A434" t="str">
        <f>"20190312161233292"</f>
        <v>20190312161233292</v>
      </c>
      <c r="B434" t="str">
        <f>"1552378353286364"</f>
        <v>1552378353286364</v>
      </c>
      <c r="C434" t="s">
        <v>40</v>
      </c>
      <c r="D434">
        <v>5.4431580000000004</v>
      </c>
      <c r="E434">
        <v>0.5394021</v>
      </c>
      <c r="F434" t="s">
        <v>56</v>
      </c>
      <c r="G434">
        <v>-245.3451</v>
      </c>
      <c r="H434">
        <v>0.63098500000000002</v>
      </c>
      <c r="I434">
        <v>345.36619999999999</v>
      </c>
      <c r="J434">
        <v>-341.24349999999998</v>
      </c>
      <c r="K434">
        <v>1.110114</v>
      </c>
      <c r="L434">
        <v>368.07679999999999</v>
      </c>
      <c r="M434">
        <v>0.99978679999999998</v>
      </c>
      <c r="N434">
        <v>0</v>
      </c>
      <c r="O434">
        <v>-1.425715E-2</v>
      </c>
      <c r="P434">
        <v>0.99176509999999996</v>
      </c>
      <c r="Q434">
        <v>2.6045719999999999E-3</v>
      </c>
      <c r="R434">
        <v>-0.1280433</v>
      </c>
      <c r="S434">
        <v>2.9353639999999999</v>
      </c>
      <c r="T434">
        <v>-1.4630560000000001E-2</v>
      </c>
      <c r="U434">
        <v>-0.69369510000000001</v>
      </c>
      <c r="V434">
        <v>0.1138887</v>
      </c>
      <c r="W434">
        <v>1.7449269999999999E-2</v>
      </c>
      <c r="X434">
        <v>0.99334029999999995</v>
      </c>
      <c r="Y434">
        <v>0.2160861</v>
      </c>
      <c r="Z434">
        <v>-4.6112110000000003E-4</v>
      </c>
      <c r="AA434">
        <v>0.97637419999999997</v>
      </c>
      <c r="AB434">
        <v>38</v>
      </c>
      <c r="AC434">
        <v>95.898399999999896</v>
      </c>
      <c r="AD434">
        <v>-0.47912899999999897</v>
      </c>
      <c r="AE434">
        <v>-22.710599999999999</v>
      </c>
      <c r="AF434">
        <v>21.340396397872201</v>
      </c>
      <c r="AG434">
        <v>-0.47912899999999897</v>
      </c>
      <c r="AH434">
        <v>96.210201348829003</v>
      </c>
      <c r="AI434">
        <v>90.278561735769301</v>
      </c>
      <c r="AJ434">
        <v>77.493694779931701</v>
      </c>
      <c r="AK434">
        <v>98.5497078970769</v>
      </c>
      <c r="AL434">
        <v>89.000179764293307</v>
      </c>
      <c r="AM434">
        <v>83.459468941947407</v>
      </c>
      <c r="AN434">
        <v>1.0000000323076501</v>
      </c>
    </row>
    <row r="435" spans="1:40" x14ac:dyDescent="0.25">
      <c r="A435" t="str">
        <f>"20190312161233314"</f>
        <v>20190312161233314</v>
      </c>
      <c r="B435" t="str">
        <f>"1552378353305884"</f>
        <v>1552378353305884</v>
      </c>
      <c r="C435" t="s">
        <v>40</v>
      </c>
      <c r="D435">
        <v>5.4715179999999997</v>
      </c>
      <c r="E435">
        <v>0.54000570000000003</v>
      </c>
      <c r="F435" t="s">
        <v>56</v>
      </c>
      <c r="G435">
        <v>-245.3451</v>
      </c>
      <c r="H435">
        <v>0.59456039999999999</v>
      </c>
      <c r="I435">
        <v>345.36849999999998</v>
      </c>
      <c r="J435">
        <v>-340.87029999999999</v>
      </c>
      <c r="K435">
        <v>1.1101160000000001</v>
      </c>
      <c r="L435">
        <v>368.07150000000001</v>
      </c>
      <c r="M435">
        <v>0.99978719999999999</v>
      </c>
      <c r="N435">
        <v>0</v>
      </c>
      <c r="O435">
        <v>-1.4230639999999999E-2</v>
      </c>
      <c r="P435">
        <v>0.99178869999999997</v>
      </c>
      <c r="Q435">
        <v>3.1745139999999998E-3</v>
      </c>
      <c r="R435">
        <v>-0.12784719999999999</v>
      </c>
      <c r="S435">
        <v>2.935181</v>
      </c>
      <c r="T435">
        <v>-1.577723E-2</v>
      </c>
      <c r="U435">
        <v>-0.69503780000000004</v>
      </c>
      <c r="V435">
        <v>0.1137186</v>
      </c>
      <c r="W435">
        <v>1.8015670000000001E-2</v>
      </c>
      <c r="X435">
        <v>0.99334960000000005</v>
      </c>
      <c r="Y435">
        <v>0.2165482</v>
      </c>
      <c r="Z435">
        <v>-4.9863119999999999E-4</v>
      </c>
      <c r="AA435">
        <v>0.97627180000000002</v>
      </c>
      <c r="AB435">
        <v>38</v>
      </c>
      <c r="AC435">
        <v>95.525199999999899</v>
      </c>
      <c r="AD435">
        <v>-0.515555599999999</v>
      </c>
      <c r="AE435">
        <v>-22.702999999999999</v>
      </c>
      <c r="AF435">
        <v>21.340575827071401</v>
      </c>
      <c r="AG435">
        <v>-0.515555599999999</v>
      </c>
      <c r="AH435">
        <v>95.835996860468398</v>
      </c>
      <c r="AI435">
        <v>90.300854538943398</v>
      </c>
      <c r="AJ435">
        <v>77.446305055498101</v>
      </c>
      <c r="AK435">
        <v>98.184643750677097</v>
      </c>
      <c r="AL435">
        <v>88.967722253334202</v>
      </c>
      <c r="AM435">
        <v>83.469213799324805</v>
      </c>
      <c r="AN435">
        <v>0.99999995608583303</v>
      </c>
    </row>
    <row r="436" spans="1:40" x14ac:dyDescent="0.25">
      <c r="A436" t="str">
        <f>"20190312161233326"</f>
        <v>20190312161233326</v>
      </c>
      <c r="B436" t="str">
        <f>"1552378353315643"</f>
        <v>1552378353315643</v>
      </c>
      <c r="C436" t="s">
        <v>40</v>
      </c>
      <c r="D436">
        <v>5.4178829999999998</v>
      </c>
      <c r="E436">
        <v>0.54030419999999901</v>
      </c>
      <c r="F436" t="s">
        <v>56</v>
      </c>
      <c r="G436">
        <v>-245.3451</v>
      </c>
      <c r="H436">
        <v>0.67515729999999996</v>
      </c>
      <c r="I436">
        <v>345.31360000000001</v>
      </c>
      <c r="J436">
        <v>-340.66120000000001</v>
      </c>
      <c r="K436">
        <v>1.110117</v>
      </c>
      <c r="L436">
        <v>368.06849999999997</v>
      </c>
      <c r="M436">
        <v>0.99978750000000005</v>
      </c>
      <c r="N436">
        <v>0</v>
      </c>
      <c r="O436">
        <v>-1.421642E-2</v>
      </c>
      <c r="P436">
        <v>0.99179450000000002</v>
      </c>
      <c r="Q436">
        <v>3.1213220000000002E-3</v>
      </c>
      <c r="R436">
        <v>-0.12780559999999999</v>
      </c>
      <c r="S436">
        <v>2.9348139999999998</v>
      </c>
      <c r="T436">
        <v>-1.3360739999999999E-2</v>
      </c>
      <c r="U436">
        <v>-0.69918819999999904</v>
      </c>
      <c r="V436">
        <v>0.113691</v>
      </c>
      <c r="W436">
        <v>1.7960360000000002E-2</v>
      </c>
      <c r="X436">
        <v>0.99335379999999995</v>
      </c>
      <c r="Y436">
        <v>0.2178968</v>
      </c>
      <c r="Z436">
        <v>-4.253347E-4</v>
      </c>
      <c r="AA436">
        <v>0.9759717</v>
      </c>
      <c r="AB436">
        <v>38</v>
      </c>
      <c r="AC436">
        <v>95.316100000000006</v>
      </c>
      <c r="AD436">
        <v>-0.4349597</v>
      </c>
      <c r="AE436">
        <v>-22.7548999999999</v>
      </c>
      <c r="AF436">
        <v>21.3969736452494</v>
      </c>
      <c r="AG436">
        <v>-0.4349597</v>
      </c>
      <c r="AH436">
        <v>95.628110633562002</v>
      </c>
      <c r="AI436">
        <v>90.254316858224698</v>
      </c>
      <c r="AJ436">
        <v>77.387698488591596</v>
      </c>
      <c r="AK436">
        <v>97.993648847570299</v>
      </c>
      <c r="AL436">
        <v>88.970891835906897</v>
      </c>
      <c r="AM436">
        <v>83.470812529020506</v>
      </c>
      <c r="AN436">
        <v>0.99999999499338399</v>
      </c>
    </row>
    <row r="437" spans="1:40" x14ac:dyDescent="0.25">
      <c r="A437" t="str">
        <f>"20190312161233346"</f>
        <v>20190312161233346</v>
      </c>
      <c r="B437" t="str">
        <f>"1552378353336140"</f>
        <v>1552378353336140</v>
      </c>
      <c r="C437" t="s">
        <v>40</v>
      </c>
      <c r="D437">
        <v>5.4443539999999997</v>
      </c>
      <c r="E437">
        <v>0.54094609999999999</v>
      </c>
      <c r="F437" t="s">
        <v>56</v>
      </c>
      <c r="G437">
        <v>-245.3451</v>
      </c>
      <c r="H437">
        <v>0.72473500000000002</v>
      </c>
      <c r="I437">
        <v>345.28530000000001</v>
      </c>
      <c r="J437">
        <v>-340.31529999999998</v>
      </c>
      <c r="K437">
        <v>1.11012</v>
      </c>
      <c r="L437">
        <v>368.06360000000001</v>
      </c>
      <c r="M437">
        <v>0.9997878</v>
      </c>
      <c r="N437">
        <v>0</v>
      </c>
      <c r="O437">
        <v>-1.4191580000000001E-2</v>
      </c>
      <c r="P437">
        <v>0.99182820000000005</v>
      </c>
      <c r="Q437">
        <v>2.9156080000000001E-3</v>
      </c>
      <c r="R437">
        <v>-0.12754779999999999</v>
      </c>
      <c r="S437">
        <v>2.9344480000000002</v>
      </c>
      <c r="T437">
        <v>-1.186216E-2</v>
      </c>
      <c r="U437">
        <v>-0.70141600000000004</v>
      </c>
      <c r="V437">
        <v>0.1134574</v>
      </c>
      <c r="W437">
        <v>1.775154E-2</v>
      </c>
      <c r="X437">
        <v>0.99338419999999905</v>
      </c>
      <c r="Y437">
        <v>0.21864990000000001</v>
      </c>
      <c r="Z437">
        <v>-3.7924109999999998E-4</v>
      </c>
      <c r="AA437">
        <v>0.97580330000000004</v>
      </c>
      <c r="AB437">
        <v>38</v>
      </c>
      <c r="AC437">
        <v>94.970199999999906</v>
      </c>
      <c r="AD437">
        <v>-0.38538499999999998</v>
      </c>
      <c r="AE437">
        <v>-22.778300000000002</v>
      </c>
      <c r="AF437">
        <v>21.427744468251301</v>
      </c>
      <c r="AG437">
        <v>-0.38538499999999998</v>
      </c>
      <c r="AH437">
        <v>95.282446283010202</v>
      </c>
      <c r="AI437">
        <v>90.226093963192795</v>
      </c>
      <c r="AJ437">
        <v>77.325801445734797</v>
      </c>
      <c r="AK437">
        <v>97.662896354089497</v>
      </c>
      <c r="AL437">
        <v>88.982858186223396</v>
      </c>
      <c r="AM437">
        <v>83.484310199221397</v>
      </c>
      <c r="AN437">
        <v>0.99999993379838303</v>
      </c>
    </row>
    <row r="438" spans="1:40" x14ac:dyDescent="0.25">
      <c r="A438" t="str">
        <f>"20190312161233369"</f>
        <v>20190312161233369</v>
      </c>
      <c r="B438" t="str">
        <f>"1552378353366397"</f>
        <v>1552378353366397</v>
      </c>
      <c r="C438" t="s">
        <v>40</v>
      </c>
      <c r="D438">
        <v>5.4262040000000002</v>
      </c>
      <c r="E438">
        <v>0.55034159999999999</v>
      </c>
      <c r="F438" t="s">
        <v>56</v>
      </c>
      <c r="G438">
        <v>-245.3451</v>
      </c>
      <c r="H438">
        <v>0.78394869999999905</v>
      </c>
      <c r="I438">
        <v>345.20859999999999</v>
      </c>
      <c r="J438">
        <v>-339.94869999999997</v>
      </c>
      <c r="K438">
        <v>1.1101179999999999</v>
      </c>
      <c r="L438">
        <v>368.05840000000001</v>
      </c>
      <c r="M438">
        <v>0.99978840000000002</v>
      </c>
      <c r="N438">
        <v>0</v>
      </c>
      <c r="O438">
        <v>-1.4166150000000001E-2</v>
      </c>
      <c r="P438">
        <v>0.99185730000000005</v>
      </c>
      <c r="Q438">
        <v>2.770107E-3</v>
      </c>
      <c r="R438">
        <v>-0.12732650000000001</v>
      </c>
      <c r="S438">
        <v>2.9338989999999998</v>
      </c>
      <c r="T438">
        <v>-1.00738999999999E-2</v>
      </c>
      <c r="U438">
        <v>-0.70605469999999904</v>
      </c>
      <c r="V438">
        <v>0.11326079999999999</v>
      </c>
      <c r="W438">
        <v>1.760279E-2</v>
      </c>
      <c r="X438">
        <v>0.99340930000000005</v>
      </c>
      <c r="Y438">
        <v>0.22017510000000001</v>
      </c>
      <c r="Z438">
        <v>-3.2473750000000003E-4</v>
      </c>
      <c r="AA438">
        <v>0.97546029999999995</v>
      </c>
      <c r="AB438">
        <v>38</v>
      </c>
      <c r="AC438">
        <v>94.603599999999901</v>
      </c>
      <c r="AD438">
        <v>-0.3261693</v>
      </c>
      <c r="AE438">
        <v>-22.849799999999998</v>
      </c>
      <c r="AF438">
        <v>21.506947177506301</v>
      </c>
      <c r="AG438">
        <v>-0.3261693</v>
      </c>
      <c r="AH438">
        <v>94.916768523080606</v>
      </c>
      <c r="AI438">
        <v>90.192021193371005</v>
      </c>
      <c r="AJ438">
        <v>77.2330752758362</v>
      </c>
      <c r="AK438">
        <v>97.323420152460599</v>
      </c>
      <c r="AL438">
        <v>88.991382284455099</v>
      </c>
      <c r="AM438">
        <v>83.495666742751993</v>
      </c>
      <c r="AN438">
        <v>0.99999995217945603</v>
      </c>
    </row>
    <row r="439" spans="1:40" x14ac:dyDescent="0.25">
      <c r="A439" t="str">
        <f>"20190312161233381"</f>
        <v>20190312161233381</v>
      </c>
      <c r="B439" t="str">
        <f>"1552378353376157"</f>
        <v>1552378353376157</v>
      </c>
      <c r="C439" t="s">
        <v>40</v>
      </c>
      <c r="D439">
        <v>5.4405780000000004</v>
      </c>
      <c r="E439">
        <v>0.55072659999999996</v>
      </c>
      <c r="F439" t="s">
        <v>56</v>
      </c>
      <c r="G439">
        <v>-266.81720000000001</v>
      </c>
      <c r="H439">
        <v>1.7251339999999999</v>
      </c>
      <c r="I439">
        <v>348.51170000000002</v>
      </c>
      <c r="J439">
        <v>-339.73779999999999</v>
      </c>
      <c r="K439">
        <v>1.1101179999999999</v>
      </c>
      <c r="L439">
        <v>368.05549999999999</v>
      </c>
      <c r="M439">
        <v>0.99978860000000003</v>
      </c>
      <c r="N439">
        <v>0</v>
      </c>
      <c r="O439">
        <v>-1.415158E-2</v>
      </c>
      <c r="P439">
        <v>0.99187270000000005</v>
      </c>
      <c r="Q439">
        <v>2.7044769999999998E-3</v>
      </c>
      <c r="R439">
        <v>-0.12720699999999999</v>
      </c>
      <c r="S439">
        <v>2.924194</v>
      </c>
      <c r="T439">
        <v>2.459478E-2</v>
      </c>
      <c r="U439">
        <v>-0.78158570000000005</v>
      </c>
      <c r="V439">
        <v>0.1131557</v>
      </c>
      <c r="W439">
        <v>1.7534609999999999E-2</v>
      </c>
      <c r="X439">
        <v>0.99342249999999999</v>
      </c>
      <c r="Y439">
        <v>0.24451129999999999</v>
      </c>
      <c r="Z439">
        <v>8.9358630000000003E-4</v>
      </c>
      <c r="AA439">
        <v>0.96964600000000001</v>
      </c>
      <c r="AB439">
        <v>38</v>
      </c>
      <c r="AC439">
        <v>72.920599999999894</v>
      </c>
      <c r="AD439">
        <v>0.61501600000000001</v>
      </c>
      <c r="AE439">
        <v>-19.543799999999901</v>
      </c>
      <c r="AF439">
        <v>18.508557615158399</v>
      </c>
      <c r="AG439">
        <v>0.61501600000000001</v>
      </c>
      <c r="AH439">
        <v>73.185045629192203</v>
      </c>
      <c r="AI439">
        <v>89.533217376660303</v>
      </c>
      <c r="AJ439">
        <v>75.8074359438383</v>
      </c>
      <c r="AK439">
        <v>75.491693936623506</v>
      </c>
      <c r="AL439">
        <v>88.995289331057805</v>
      </c>
      <c r="AM439">
        <v>83.501736374963201</v>
      </c>
      <c r="AN439">
        <v>0.99999996924829504</v>
      </c>
    </row>
    <row r="440" spans="1:40" x14ac:dyDescent="0.25">
      <c r="A440" t="str">
        <f>"20190312161233402"</f>
        <v>20190312161233402</v>
      </c>
      <c r="B440" t="str">
        <f>"1552378353396652"</f>
        <v>1552378353396652</v>
      </c>
      <c r="C440" t="s">
        <v>40</v>
      </c>
      <c r="D440">
        <v>5.3552980000000003</v>
      </c>
      <c r="E440">
        <v>0.55117640000000001</v>
      </c>
      <c r="F440" t="s">
        <v>56</v>
      </c>
      <c r="G440">
        <v>-266.8596</v>
      </c>
      <c r="H440">
        <v>1.719684</v>
      </c>
      <c r="I440">
        <v>348.51170000000002</v>
      </c>
      <c r="J440">
        <v>-339.37759999999997</v>
      </c>
      <c r="K440">
        <v>1.1101209999999999</v>
      </c>
      <c r="L440">
        <v>368.05040000000002</v>
      </c>
      <c r="M440">
        <v>0.99978889999999998</v>
      </c>
      <c r="N440">
        <v>0</v>
      </c>
      <c r="O440">
        <v>-1.412674E-2</v>
      </c>
      <c r="P440">
        <v>0.99187099999999995</v>
      </c>
      <c r="Q440">
        <v>2.371565E-3</v>
      </c>
      <c r="R440">
        <v>-0.1272257</v>
      </c>
      <c r="S440">
        <v>2.92395</v>
      </c>
      <c r="T440">
        <v>2.4459600000000001E-2</v>
      </c>
      <c r="U440">
        <v>-0.78411869999999995</v>
      </c>
      <c r="V440">
        <v>0.1131992</v>
      </c>
      <c r="W440">
        <v>1.7197540000000001E-2</v>
      </c>
      <c r="X440">
        <v>0.99342350000000001</v>
      </c>
      <c r="Y440">
        <v>0.24533940000000001</v>
      </c>
      <c r="Z440">
        <v>8.9225640000000004E-4</v>
      </c>
      <c r="AA440">
        <v>0.96943679999999999</v>
      </c>
      <c r="AB440">
        <v>38</v>
      </c>
      <c r="AC440">
        <v>72.517999999999901</v>
      </c>
      <c r="AD440">
        <v>0.60956299999999997</v>
      </c>
      <c r="AE440">
        <v>-19.538699999999999</v>
      </c>
      <c r="AF440">
        <v>18.510973503047499</v>
      </c>
      <c r="AG440">
        <v>0.60956299999999997</v>
      </c>
      <c r="AH440">
        <v>72.782016466846102</v>
      </c>
      <c r="AI440">
        <v>89.534953011963694</v>
      </c>
      <c r="AJ440">
        <v>75.730259304133298</v>
      </c>
      <c r="AK440">
        <v>75.101595376275199</v>
      </c>
      <c r="AL440">
        <v>89.014604995112805</v>
      </c>
      <c r="AM440">
        <v>83.4992661403966</v>
      </c>
      <c r="AN440">
        <v>1.00000003230747</v>
      </c>
    </row>
    <row r="441" spans="1:40" x14ac:dyDescent="0.25">
      <c r="A441" t="str">
        <f>"20190312161233426"</f>
        <v>20190312161233426</v>
      </c>
      <c r="B441" t="str">
        <f>"1552378353416172"</f>
        <v>1552378353416172</v>
      </c>
      <c r="C441" t="s">
        <v>40</v>
      </c>
      <c r="D441">
        <v>5.3090330000000003</v>
      </c>
      <c r="E441">
        <v>0.55129090000000003</v>
      </c>
      <c r="F441" t="s">
        <v>56</v>
      </c>
      <c r="G441">
        <v>-266.8664</v>
      </c>
      <c r="H441">
        <v>1.7024709999999901</v>
      </c>
      <c r="I441">
        <v>348.51170000000002</v>
      </c>
      <c r="J441">
        <v>-338.96440000000001</v>
      </c>
      <c r="K441">
        <v>1.1101190000000001</v>
      </c>
      <c r="L441">
        <v>368.0446</v>
      </c>
      <c r="M441">
        <v>0.99978940000000005</v>
      </c>
      <c r="N441">
        <v>0</v>
      </c>
      <c r="O441">
        <v>-1.4098680000000001E-2</v>
      </c>
      <c r="P441">
        <v>0.99189760000000005</v>
      </c>
      <c r="Q441">
        <v>2.2463930000000002E-3</v>
      </c>
      <c r="R441">
        <v>-0.12702040000000001</v>
      </c>
      <c r="S441">
        <v>2.9234619999999998</v>
      </c>
      <c r="T441">
        <v>2.3885130000000001E-2</v>
      </c>
      <c r="U441">
        <v>-0.78775019999999996</v>
      </c>
      <c r="V441">
        <v>0.1130212</v>
      </c>
      <c r="W441">
        <v>1.7067860000000001E-2</v>
      </c>
      <c r="X441">
        <v>0.99344600000000005</v>
      </c>
      <c r="Y441">
        <v>0.24653030000000001</v>
      </c>
      <c r="Z441">
        <v>8.7630849999999997E-4</v>
      </c>
      <c r="AA441">
        <v>0.96913470000000002</v>
      </c>
      <c r="AB441">
        <v>38</v>
      </c>
      <c r="AC441">
        <v>72.097999999999999</v>
      </c>
      <c r="AD441">
        <v>0.59235199999999899</v>
      </c>
      <c r="AE441">
        <v>-19.532899999999898</v>
      </c>
      <c r="AF441">
        <v>18.513194276889202</v>
      </c>
      <c r="AG441">
        <v>0.59235199999999899</v>
      </c>
      <c r="AH441">
        <v>72.361700701980595</v>
      </c>
      <c r="AI441">
        <v>89.545622316406494</v>
      </c>
      <c r="AJ441">
        <v>75.649135906228594</v>
      </c>
      <c r="AK441">
        <v>74.694745275077906</v>
      </c>
      <c r="AL441">
        <v>89.022036199249996</v>
      </c>
      <c r="AM441">
        <v>83.509546666158101</v>
      </c>
      <c r="AN441">
        <v>1.0000000292052</v>
      </c>
    </row>
    <row r="442" spans="1:40" x14ac:dyDescent="0.25">
      <c r="A442" t="str">
        <f>"20190312161233449"</f>
        <v>20190312161233449</v>
      </c>
      <c r="B442" t="str">
        <f>"1552378353435692"</f>
        <v>1552378353435692</v>
      </c>
      <c r="C442" t="s">
        <v>40</v>
      </c>
      <c r="D442">
        <v>5.4051140000000002</v>
      </c>
      <c r="E442">
        <v>0.55193009999999998</v>
      </c>
      <c r="F442" t="s">
        <v>56</v>
      </c>
      <c r="G442">
        <v>-266.50200000000001</v>
      </c>
      <c r="H442">
        <v>1.6458600000000001</v>
      </c>
      <c r="I442">
        <v>348.51170000000002</v>
      </c>
      <c r="J442">
        <v>-338.60759999999999</v>
      </c>
      <c r="K442">
        <v>1.1101209999999999</v>
      </c>
      <c r="L442">
        <v>368.03960000000001</v>
      </c>
      <c r="M442">
        <v>0.99978999999999996</v>
      </c>
      <c r="N442">
        <v>0</v>
      </c>
      <c r="O442">
        <v>-1.4074329999999999E-2</v>
      </c>
      <c r="P442">
        <v>0.99191450000000003</v>
      </c>
      <c r="Q442">
        <v>2.0108669999999999E-3</v>
      </c>
      <c r="R442">
        <v>-0.12689320000000001</v>
      </c>
      <c r="S442">
        <v>2.923492</v>
      </c>
      <c r="T442">
        <v>2.1617529999999999E-2</v>
      </c>
      <c r="U442">
        <v>-0.78805539999999996</v>
      </c>
      <c r="V442">
        <v>0.112918</v>
      </c>
      <c r="W442">
        <v>1.6829E-2</v>
      </c>
      <c r="X442">
        <v>0.99346179999999995</v>
      </c>
      <c r="Y442">
        <v>0.24664700000000001</v>
      </c>
      <c r="Z442">
        <v>7.9369839999999896E-4</v>
      </c>
      <c r="AA442">
        <v>0.96910510000000005</v>
      </c>
      <c r="AB442">
        <v>38</v>
      </c>
      <c r="AC442">
        <v>72.105599999999896</v>
      </c>
      <c r="AD442">
        <v>0.53573899999999997</v>
      </c>
      <c r="AE442">
        <v>-19.527899999999899</v>
      </c>
      <c r="AF442">
        <v>18.510062757162299</v>
      </c>
      <c r="AG442">
        <v>0.53573899999999997</v>
      </c>
      <c r="AH442">
        <v>72.369607006157196</v>
      </c>
      <c r="AI442">
        <v>89.589084964162893</v>
      </c>
      <c r="AJ442">
        <v>75.652965981078594</v>
      </c>
      <c r="AK442">
        <v>74.701201180274495</v>
      </c>
      <c r="AL442">
        <v>89.035723824970304</v>
      </c>
      <c r="AM442">
        <v>83.515524869416097</v>
      </c>
      <c r="AN442">
        <v>1.0000000190121101</v>
      </c>
    </row>
    <row r="443" spans="1:40" x14ac:dyDescent="0.25">
      <c r="A443" t="str">
        <f>"20190312161233468"</f>
        <v>20190312161233468</v>
      </c>
      <c r="B443" t="str">
        <f>"1552378353465949"</f>
        <v>1552378353465949</v>
      </c>
      <c r="C443" t="s">
        <v>40</v>
      </c>
      <c r="D443">
        <v>5.3649750000000003</v>
      </c>
      <c r="E443">
        <v>0.55296020000000001</v>
      </c>
      <c r="F443" t="s">
        <v>56</v>
      </c>
      <c r="G443">
        <v>-266.5797</v>
      </c>
      <c r="H443">
        <v>1.6332990000000001</v>
      </c>
      <c r="I443">
        <v>348.51170000000002</v>
      </c>
      <c r="J443">
        <v>-338.26159999999999</v>
      </c>
      <c r="K443">
        <v>1.1101240000000001</v>
      </c>
      <c r="L443">
        <v>368.03480000000002</v>
      </c>
      <c r="M443">
        <v>0.99979019999999996</v>
      </c>
      <c r="N443">
        <v>0</v>
      </c>
      <c r="O443">
        <v>-1.405058E-2</v>
      </c>
      <c r="P443">
        <v>0.99193070000000005</v>
      </c>
      <c r="Q443">
        <v>1.98343E-3</v>
      </c>
      <c r="R443">
        <v>-0.12676709999999999</v>
      </c>
      <c r="S443">
        <v>2.923035</v>
      </c>
      <c r="T443">
        <v>2.1234630000000001E-2</v>
      </c>
      <c r="U443">
        <v>-0.79248050000000003</v>
      </c>
      <c r="V443">
        <v>0.11281529999999999</v>
      </c>
      <c r="W443">
        <v>1.6797530000000001E-2</v>
      </c>
      <c r="X443">
        <v>0.99347399999999997</v>
      </c>
      <c r="Y443">
        <v>0.2480752</v>
      </c>
      <c r="Z443">
        <v>7.8487199999999896E-4</v>
      </c>
      <c r="AA443">
        <v>0.9687405</v>
      </c>
      <c r="AB443">
        <v>38</v>
      </c>
      <c r="AC443">
        <v>71.681899999999899</v>
      </c>
      <c r="AD443">
        <v>0.52317499999999995</v>
      </c>
      <c r="AE443">
        <v>-19.523099999999999</v>
      </c>
      <c r="AF443">
        <v>18.512970141449198</v>
      </c>
      <c r="AG443">
        <v>0.52317499999999995</v>
      </c>
      <c r="AH443">
        <v>71.945595934139106</v>
      </c>
      <c r="AI443">
        <v>89.596506800823306</v>
      </c>
      <c r="AJ443">
        <v>75.569759965997093</v>
      </c>
      <c r="AK443">
        <v>74.291133723057598</v>
      </c>
      <c r="AL443">
        <v>89.037527177824401</v>
      </c>
      <c r="AM443">
        <v>83.521451279138304</v>
      </c>
      <c r="AN443">
        <v>1.0000000188020901</v>
      </c>
    </row>
    <row r="444" spans="1:40" x14ac:dyDescent="0.25">
      <c r="A444" t="str">
        <f>"20190312161233492"</f>
        <v>20190312161233492</v>
      </c>
      <c r="B444" t="str">
        <f>"1552378353486445"</f>
        <v>1552378353486445</v>
      </c>
      <c r="C444" t="s">
        <v>40</v>
      </c>
      <c r="D444">
        <v>5.306521</v>
      </c>
      <c r="E444">
        <v>0.55336059999999998</v>
      </c>
      <c r="F444" t="s">
        <v>56</v>
      </c>
      <c r="G444">
        <v>-266.98910000000001</v>
      </c>
      <c r="H444">
        <v>1.674755</v>
      </c>
      <c r="I444">
        <v>348.51170000000002</v>
      </c>
      <c r="J444">
        <v>-337.8775</v>
      </c>
      <c r="K444">
        <v>1.1101160000000001</v>
      </c>
      <c r="L444">
        <v>368.02940000000001</v>
      </c>
      <c r="M444">
        <v>0.99979079999999998</v>
      </c>
      <c r="N444">
        <v>0</v>
      </c>
      <c r="O444">
        <v>-1.402408E-2</v>
      </c>
      <c r="P444">
        <v>0.99192990000000003</v>
      </c>
      <c r="Q444">
        <v>1.324071E-3</v>
      </c>
      <c r="R444">
        <v>-0.12678149999999999</v>
      </c>
      <c r="S444">
        <v>2.9220579999999998</v>
      </c>
      <c r="T444">
        <v>2.315211E-2</v>
      </c>
      <c r="U444">
        <v>-0.80041499999999999</v>
      </c>
      <c r="V444">
        <v>0.1128561</v>
      </c>
      <c r="W444">
        <v>1.613386E-2</v>
      </c>
      <c r="X444">
        <v>0.99348029999999998</v>
      </c>
      <c r="Y444">
        <v>0.250629299999999</v>
      </c>
      <c r="Z444">
        <v>8.65861E-4</v>
      </c>
      <c r="AA444">
        <v>0.96808280000000002</v>
      </c>
      <c r="AB444">
        <v>38</v>
      </c>
      <c r="AC444">
        <v>70.888399999999905</v>
      </c>
      <c r="AD444">
        <v>0.564639</v>
      </c>
      <c r="AE444">
        <v>-19.517699999999898</v>
      </c>
      <c r="AF444">
        <v>18.5204331417509</v>
      </c>
      <c r="AG444">
        <v>0.564639</v>
      </c>
      <c r="AH444">
        <v>71.150979234949304</v>
      </c>
      <c r="AI444">
        <v>89.559984166697603</v>
      </c>
      <c r="AJ444">
        <v>75.409810388815998</v>
      </c>
      <c r="AK444">
        <v>73.524058015390906</v>
      </c>
      <c r="AL444">
        <v>89.075557763299102</v>
      </c>
      <c r="AM444">
        <v>83.519168970057194</v>
      </c>
      <c r="AN444">
        <v>0.99999995361689797</v>
      </c>
    </row>
    <row r="445" spans="1:40" x14ac:dyDescent="0.25">
      <c r="A445" t="str">
        <f>"20190312161233515"</f>
        <v>20190312161233515</v>
      </c>
      <c r="B445" t="str">
        <f>"1552378353505965"</f>
        <v>1552378353505965</v>
      </c>
      <c r="C445" t="s">
        <v>40</v>
      </c>
      <c r="D445">
        <v>5.6788379999999998</v>
      </c>
      <c r="E445">
        <v>0.55577869999999996</v>
      </c>
      <c r="F445" t="s">
        <v>56</v>
      </c>
      <c r="G445">
        <v>-266.93189999999998</v>
      </c>
      <c r="H445">
        <v>1.5930040000000001</v>
      </c>
      <c r="I445">
        <v>348.51170000000002</v>
      </c>
      <c r="J445">
        <v>-337.48180000000002</v>
      </c>
      <c r="K445">
        <v>1.110115</v>
      </c>
      <c r="L445">
        <v>368.02390000000003</v>
      </c>
      <c r="M445">
        <v>0.99979110000000004</v>
      </c>
      <c r="N445">
        <v>0</v>
      </c>
      <c r="O445">
        <v>-1.3996389999999999E-2</v>
      </c>
      <c r="P445">
        <v>0.99194519999999997</v>
      </c>
      <c r="Q445">
        <v>8.7603369999999896E-4</v>
      </c>
      <c r="R445">
        <v>-0.126666</v>
      </c>
      <c r="S445">
        <v>2.9216609999999998</v>
      </c>
      <c r="T445">
        <v>1.988935E-2</v>
      </c>
      <c r="U445">
        <v>-0.80377200000000004</v>
      </c>
      <c r="V445">
        <v>0.1127681</v>
      </c>
      <c r="W445">
        <v>1.5681879999999999E-2</v>
      </c>
      <c r="X445">
        <v>0.99349759999999998</v>
      </c>
      <c r="Y445">
        <v>0.25172549999999999</v>
      </c>
      <c r="Z445">
        <v>7.4767539999999997E-4</v>
      </c>
      <c r="AA445">
        <v>0.96779839999999995</v>
      </c>
      <c r="AB445">
        <v>38</v>
      </c>
      <c r="AC445">
        <v>70.549899999999994</v>
      </c>
      <c r="AD445">
        <v>0.48288900000000001</v>
      </c>
      <c r="AE445">
        <v>-19.5122</v>
      </c>
      <c r="AF445">
        <v>18.521928725880699</v>
      </c>
      <c r="AG445">
        <v>0.48288900000000001</v>
      </c>
      <c r="AH445">
        <v>70.813036666939595</v>
      </c>
      <c r="AI445">
        <v>89.6220097404087</v>
      </c>
      <c r="AJ445">
        <v>75.342040176907901</v>
      </c>
      <c r="AK445">
        <v>73.196865967787502</v>
      </c>
      <c r="AL445">
        <v>89.101457651234796</v>
      </c>
      <c r="AM445">
        <v>83.524291287664994</v>
      </c>
      <c r="AN445">
        <v>1.00000002347185</v>
      </c>
    </row>
    <row r="446" spans="1:40" x14ac:dyDescent="0.25">
      <c r="A446" t="str">
        <f>"20190312161233528"</f>
        <v>20190312161233528</v>
      </c>
      <c r="B446" t="str">
        <f>"1552378353515725"</f>
        <v>1552378353515725</v>
      </c>
      <c r="C446" t="s">
        <v>40</v>
      </c>
      <c r="D446">
        <v>5.627097</v>
      </c>
      <c r="E446">
        <v>0.52136899999999997</v>
      </c>
      <c r="F446" t="s">
        <v>41</v>
      </c>
      <c r="G446">
        <v>-267.61540000000002</v>
      </c>
      <c r="H446">
        <v>-0.05</v>
      </c>
      <c r="I446">
        <v>348.42200000000003</v>
      </c>
      <c r="J446">
        <v>-337.2638</v>
      </c>
      <c r="K446">
        <v>1.110117</v>
      </c>
      <c r="L446">
        <v>368.02080000000001</v>
      </c>
      <c r="M446">
        <v>0.9997914</v>
      </c>
      <c r="N446">
        <v>0</v>
      </c>
      <c r="O446">
        <v>-1.398112E-2</v>
      </c>
      <c r="P446">
        <v>0.99193869999999895</v>
      </c>
      <c r="Q446">
        <v>1.0624510000000001E-3</v>
      </c>
      <c r="R446">
        <v>-0.12671559999999901</v>
      </c>
      <c r="S446">
        <v>2.9198</v>
      </c>
      <c r="T446">
        <v>-4.8482539999999998E-2</v>
      </c>
      <c r="U446">
        <v>-0.81918329999999995</v>
      </c>
      <c r="V446">
        <v>0.1128328</v>
      </c>
      <c r="W446">
        <v>1.5865440000000001E-2</v>
      </c>
      <c r="X446">
        <v>0.99348729999999996</v>
      </c>
      <c r="Y446">
        <v>0.25661099999999998</v>
      </c>
      <c r="Z446">
        <v>-1.8623419999999999E-3</v>
      </c>
      <c r="AA446">
        <v>0.96651299999999996</v>
      </c>
      <c r="AB446">
        <v>38</v>
      </c>
      <c r="AC446">
        <v>69.648399999999896</v>
      </c>
      <c r="AD446">
        <v>-1.1601170000000001</v>
      </c>
      <c r="AE446">
        <v>-19.598800000000001</v>
      </c>
      <c r="AF446">
        <v>18.618226818452602</v>
      </c>
      <c r="AG446">
        <v>-1.1601170000000001</v>
      </c>
      <c r="AH446">
        <v>69.897664545429706</v>
      </c>
      <c r="AI446">
        <v>90.918840150405501</v>
      </c>
      <c r="AJ446">
        <v>75.084770203454696</v>
      </c>
      <c r="AK446">
        <v>72.344092711308903</v>
      </c>
      <c r="AL446">
        <v>89.090939093757299</v>
      </c>
      <c r="AM446">
        <v>83.520540872524194</v>
      </c>
      <c r="AN446">
        <v>0.99999998410176105</v>
      </c>
    </row>
    <row r="447" spans="1:40" x14ac:dyDescent="0.25">
      <c r="A447" t="str">
        <f>"20190312161233546"</f>
        <v>20190312161233546</v>
      </c>
      <c r="B447" t="str">
        <f>"1552378353536220"</f>
        <v>1552378353536220</v>
      </c>
      <c r="C447" t="s">
        <v>40</v>
      </c>
      <c r="D447">
        <v>5.57667</v>
      </c>
      <c r="E447">
        <v>0.50275630000000004</v>
      </c>
      <c r="F447" t="s">
        <v>41</v>
      </c>
      <c r="G447">
        <v>-314.08879999999999</v>
      </c>
      <c r="H447">
        <v>-0.05</v>
      </c>
      <c r="I447">
        <v>363.7697</v>
      </c>
      <c r="J447">
        <v>-336.9427</v>
      </c>
      <c r="K447">
        <v>1.1101179999999999</v>
      </c>
      <c r="L447">
        <v>368.0163</v>
      </c>
      <c r="M447">
        <v>0.99979169999999995</v>
      </c>
      <c r="N447">
        <v>0</v>
      </c>
      <c r="O447">
        <v>-1.395916E-2</v>
      </c>
      <c r="P447">
        <v>0.99192159999999996</v>
      </c>
      <c r="Q447">
        <v>1.530092E-3</v>
      </c>
      <c r="R447">
        <v>-0.12684319999999999</v>
      </c>
      <c r="S447">
        <v>2.955292</v>
      </c>
      <c r="T447">
        <v>-0.14793919999999999</v>
      </c>
      <c r="U447">
        <v>-0.54211430000000005</v>
      </c>
      <c r="V447">
        <v>0.1129825</v>
      </c>
      <c r="W447">
        <v>1.6328860000000001E-2</v>
      </c>
      <c r="X447">
        <v>0.99346279999999998</v>
      </c>
      <c r="Y447">
        <v>0.16649410000000001</v>
      </c>
      <c r="Z447">
        <v>-3.437851E-3</v>
      </c>
      <c r="AA447">
        <v>0.98603649999999998</v>
      </c>
      <c r="AB447">
        <v>38</v>
      </c>
      <c r="AC447">
        <v>22.853899999999999</v>
      </c>
      <c r="AD447">
        <v>-1.160118</v>
      </c>
      <c r="AE447">
        <v>-4.2465999999999999</v>
      </c>
      <c r="AF447">
        <v>3.9173720746082101</v>
      </c>
      <c r="AG447">
        <v>-1.160118</v>
      </c>
      <c r="AH447">
        <v>22.854033099847701</v>
      </c>
      <c r="AI447">
        <v>92.864256586841407</v>
      </c>
      <c r="AJ447">
        <v>80.273547051000804</v>
      </c>
      <c r="AK447">
        <v>23.2163413714086</v>
      </c>
      <c r="AL447">
        <v>89.064383662702397</v>
      </c>
      <c r="AM447">
        <v>83.511858916021396</v>
      </c>
      <c r="AN447">
        <v>1.00000000597949</v>
      </c>
    </row>
    <row r="448" spans="1:40" x14ac:dyDescent="0.25">
      <c r="A448" t="str">
        <f>"20190312161233561"</f>
        <v>20190312161233561</v>
      </c>
      <c r="B448" t="str">
        <f>"1552378353555741"</f>
        <v>1552378353555741</v>
      </c>
      <c r="C448" t="s">
        <v>40</v>
      </c>
      <c r="D448">
        <v>5.384544</v>
      </c>
      <c r="E448">
        <v>0.50459240000000005</v>
      </c>
      <c r="F448" t="s">
        <v>43</v>
      </c>
      <c r="G448">
        <v>-336.2371</v>
      </c>
      <c r="H448">
        <v>0.96967630000000005</v>
      </c>
      <c r="I448">
        <v>367.92779999999999</v>
      </c>
      <c r="J448">
        <v>-336.71600000000001</v>
      </c>
      <c r="K448">
        <v>1.110114</v>
      </c>
      <c r="L448">
        <v>368.01319999999998</v>
      </c>
      <c r="M448">
        <v>0.99979200000000001</v>
      </c>
      <c r="N448">
        <v>0</v>
      </c>
      <c r="O448">
        <v>-1.394317E-2</v>
      </c>
      <c r="P448">
        <v>0.99190959999999995</v>
      </c>
      <c r="Q448">
        <v>1.609519E-3</v>
      </c>
      <c r="R448">
        <v>-0.12693599999999999</v>
      </c>
      <c r="S448">
        <v>2.9775999999999998</v>
      </c>
      <c r="T448">
        <v>-0.59266850000000004</v>
      </c>
      <c r="U448">
        <v>-0.37323000000000001</v>
      </c>
      <c r="V448">
        <v>0.11309139999999999</v>
      </c>
      <c r="W448">
        <v>1.6405630000000001E-2</v>
      </c>
      <c r="X448">
        <v>0.99344920000000003</v>
      </c>
      <c r="Y448">
        <v>0.10869479999999999</v>
      </c>
      <c r="Z448">
        <v>-7.9342359999999904E-3</v>
      </c>
      <c r="AA448">
        <v>0.99404349999999997</v>
      </c>
      <c r="AB448">
        <v>38</v>
      </c>
      <c r="AC448">
        <v>0.47890000000000998</v>
      </c>
      <c r="AD448">
        <v>-0.1404377</v>
      </c>
      <c r="AE448">
        <v>-8.5399999999992801E-2</v>
      </c>
      <c r="AF448">
        <v>7.2657865043496306E-2</v>
      </c>
      <c r="AG448">
        <v>-0.1404377</v>
      </c>
      <c r="AH448">
        <v>0.44311284445496202</v>
      </c>
      <c r="AI448">
        <v>107.367479131388</v>
      </c>
      <c r="AJ448">
        <v>80.687992861745798</v>
      </c>
      <c r="AK448">
        <v>0.47047944254232399</v>
      </c>
      <c r="AL448">
        <v>89.059984528380198</v>
      </c>
      <c r="AM448">
        <v>83.505570471852195</v>
      </c>
      <c r="AN448">
        <v>1.0000000612151401</v>
      </c>
    </row>
    <row r="449" spans="1:40" x14ac:dyDescent="0.25">
      <c r="A449" t="str">
        <f>"20190312161233582"</f>
        <v>20190312161233582</v>
      </c>
      <c r="B449" t="str">
        <f>"1552378353576237"</f>
        <v>1552378353576237</v>
      </c>
      <c r="C449" t="s">
        <v>40</v>
      </c>
      <c r="D449">
        <v>5.4707520000000001</v>
      </c>
      <c r="E449">
        <v>0.50556889999999999</v>
      </c>
      <c r="F449" t="s">
        <v>43</v>
      </c>
      <c r="G449">
        <v>-335.91359999999997</v>
      </c>
      <c r="H449">
        <v>0.94726659999999996</v>
      </c>
      <c r="I449">
        <v>367.9083</v>
      </c>
      <c r="J449">
        <v>-336.38290000000001</v>
      </c>
      <c r="K449">
        <v>1.110114</v>
      </c>
      <c r="L449">
        <v>368.0086</v>
      </c>
      <c r="M449">
        <v>0.99979249999999997</v>
      </c>
      <c r="N449">
        <v>0</v>
      </c>
      <c r="O449">
        <v>-1.3919900000000001E-2</v>
      </c>
      <c r="P449">
        <v>0.9918614</v>
      </c>
      <c r="Q449">
        <v>8.2545350000000003E-4</v>
      </c>
      <c r="R449">
        <v>-0.1273214</v>
      </c>
      <c r="S449">
        <v>2.9757690000000001</v>
      </c>
      <c r="T449">
        <v>-0.60410830000000004</v>
      </c>
      <c r="U449">
        <v>-0.38766479999999998</v>
      </c>
      <c r="V449">
        <v>0.1135004</v>
      </c>
      <c r="W449">
        <v>1.561704E-2</v>
      </c>
      <c r="X449">
        <v>0.99341520000000005</v>
      </c>
      <c r="Y449">
        <v>0.11337079999999999</v>
      </c>
      <c r="Z449">
        <v>-8.5594279999999991E-3</v>
      </c>
      <c r="AA449">
        <v>0.99351590000000001</v>
      </c>
      <c r="AB449">
        <v>37</v>
      </c>
      <c r="AC449">
        <v>0.46930000000003202</v>
      </c>
      <c r="AD449">
        <v>-0.1628474</v>
      </c>
      <c r="AE449">
        <v>-0.100300000000004</v>
      </c>
      <c r="AF449">
        <v>8.4075660404123106E-2</v>
      </c>
      <c r="AG449">
        <v>-0.1628474</v>
      </c>
      <c r="AH449">
        <v>0.42205170891497701</v>
      </c>
      <c r="AI449">
        <v>110.72723103092601</v>
      </c>
      <c r="AJ449">
        <v>78.733761478182103</v>
      </c>
      <c r="AK449">
        <v>0.46012567561178602</v>
      </c>
      <c r="AL449">
        <v>89.105173140057602</v>
      </c>
      <c r="AM449">
        <v>83.482063671632702</v>
      </c>
      <c r="AN449">
        <v>0.99999999616477997</v>
      </c>
    </row>
    <row r="450" spans="1:40" x14ac:dyDescent="0.25">
      <c r="A450" t="str">
        <f>"20190312161233595"</f>
        <v>20190312161233595</v>
      </c>
      <c r="B450" t="str">
        <f>"1552378353585996"</f>
        <v>1552378353585996</v>
      </c>
      <c r="C450" t="s">
        <v>40</v>
      </c>
      <c r="D450">
        <v>5.3879299999999999</v>
      </c>
      <c r="E450">
        <v>0.50584419999999997</v>
      </c>
      <c r="F450" t="s">
        <v>43</v>
      </c>
      <c r="G450">
        <v>-335.58069999999998</v>
      </c>
      <c r="H450">
        <v>0.94453609999999999</v>
      </c>
      <c r="I450">
        <v>367.90159999999997</v>
      </c>
      <c r="J450">
        <v>-336.14159999999998</v>
      </c>
      <c r="K450">
        <v>1.110112</v>
      </c>
      <c r="L450">
        <v>368.0052</v>
      </c>
      <c r="M450">
        <v>0.99979260000000003</v>
      </c>
      <c r="N450">
        <v>0</v>
      </c>
      <c r="O450">
        <v>-1.3903189999999999E-2</v>
      </c>
      <c r="P450">
        <v>0.99183949999999999</v>
      </c>
      <c r="Q450">
        <v>5.1833689999999997E-4</v>
      </c>
      <c r="R450">
        <v>-0.1274942</v>
      </c>
      <c r="S450">
        <v>2.9742739999999999</v>
      </c>
      <c r="T450">
        <v>-0.61402579999999995</v>
      </c>
      <c r="U450">
        <v>-0.39584350000000001</v>
      </c>
      <c r="V450">
        <v>0.11369</v>
      </c>
      <c r="W450">
        <v>1.530713E-2</v>
      </c>
      <c r="X450">
        <v>0.99339840000000001</v>
      </c>
      <c r="Y450">
        <v>0.1160147</v>
      </c>
      <c r="Z450">
        <v>-8.9721739999999994E-3</v>
      </c>
      <c r="AA450">
        <v>0.99320699999999995</v>
      </c>
      <c r="AB450">
        <v>37</v>
      </c>
      <c r="AC450">
        <v>0.56090000000000295</v>
      </c>
      <c r="AD450">
        <v>-0.1655759</v>
      </c>
      <c r="AE450">
        <v>-0.103600000000028</v>
      </c>
      <c r="AF450">
        <v>8.8346205141019304E-2</v>
      </c>
      <c r="AG450">
        <v>-0.1655759</v>
      </c>
      <c r="AH450">
        <v>0.51858685877790001</v>
      </c>
      <c r="AI450">
        <v>107.471299910087</v>
      </c>
      <c r="AJ450">
        <v>80.331935827932099</v>
      </c>
      <c r="AK450">
        <v>0.55150046302859801</v>
      </c>
      <c r="AL450">
        <v>89.122931847799407</v>
      </c>
      <c r="AM450">
        <v>83.4711600657985</v>
      </c>
      <c r="AN450">
        <v>1.00000005272569</v>
      </c>
    </row>
    <row r="451" spans="1:40" x14ac:dyDescent="0.25">
      <c r="A451" t="str">
        <f>"20190312161233617"</f>
        <v>20190312161233617</v>
      </c>
      <c r="B451" t="str">
        <f>"1552378353606492"</f>
        <v>1552378353606492</v>
      </c>
      <c r="C451" t="s">
        <v>40</v>
      </c>
      <c r="D451">
        <v>5.423298</v>
      </c>
      <c r="E451">
        <v>0.50665209999999905</v>
      </c>
      <c r="F451" t="s">
        <v>43</v>
      </c>
      <c r="G451">
        <v>-335.25650000000002</v>
      </c>
      <c r="H451">
        <v>0.92415440000000004</v>
      </c>
      <c r="I451">
        <v>367.88639999999998</v>
      </c>
      <c r="J451">
        <v>-335.79020000000003</v>
      </c>
      <c r="K451">
        <v>1.1101129999999999</v>
      </c>
      <c r="L451">
        <v>368.00040000000001</v>
      </c>
      <c r="M451">
        <v>0.99979309999999999</v>
      </c>
      <c r="N451">
        <v>0</v>
      </c>
      <c r="O451">
        <v>-1.387861E-2</v>
      </c>
      <c r="P451">
        <v>0.99183399999999999</v>
      </c>
      <c r="Q451">
        <v>8.6270089999999997E-4</v>
      </c>
      <c r="R451">
        <v>-0.1275329</v>
      </c>
      <c r="S451">
        <v>2.9738159999999998</v>
      </c>
      <c r="T451">
        <v>-0.62492060000000005</v>
      </c>
      <c r="U451">
        <v>-0.39834589999999998</v>
      </c>
      <c r="V451">
        <v>0.11375349999999999</v>
      </c>
      <c r="W451">
        <v>1.564755E-2</v>
      </c>
      <c r="X451">
        <v>0.99338579999999999</v>
      </c>
      <c r="Y451">
        <v>0.1167879</v>
      </c>
      <c r="Z451">
        <v>-9.2140160000000002E-3</v>
      </c>
      <c r="AA451">
        <v>0.9931141</v>
      </c>
      <c r="AB451">
        <v>37</v>
      </c>
      <c r="AC451">
        <v>0.53370000000001006</v>
      </c>
      <c r="AD451">
        <v>-0.1859586</v>
      </c>
      <c r="AE451">
        <v>-0.11400000000003201</v>
      </c>
      <c r="AF451">
        <v>9.5493624074826006E-2</v>
      </c>
      <c r="AG451">
        <v>-0.1859586</v>
      </c>
      <c r="AH451">
        <v>0.47955125226845102</v>
      </c>
      <c r="AI451">
        <v>110.822276519637</v>
      </c>
      <c r="AJ451">
        <v>78.7379386353455</v>
      </c>
      <c r="AK451">
        <v>0.52313386117240002</v>
      </c>
      <c r="AL451">
        <v>89.103424859041496</v>
      </c>
      <c r="AM451">
        <v>83.4674628409402</v>
      </c>
      <c r="AN451">
        <v>1.00000002611244</v>
      </c>
    </row>
    <row r="452" spans="1:40" x14ac:dyDescent="0.25">
      <c r="A452" t="str">
        <f>"20190312161233639"</f>
        <v>20190312161233639</v>
      </c>
      <c r="B452" t="str">
        <f>"1552378353626012"</f>
        <v>1552378353626012</v>
      </c>
      <c r="C452" t="s">
        <v>40</v>
      </c>
      <c r="D452">
        <v>5.4331360000000002</v>
      </c>
      <c r="E452">
        <v>0.50692590000000004</v>
      </c>
      <c r="F452" t="s">
        <v>43</v>
      </c>
      <c r="G452">
        <v>-334.92360000000002</v>
      </c>
      <c r="H452">
        <v>0.92314739999999995</v>
      </c>
      <c r="I452">
        <v>367.88209999999998</v>
      </c>
      <c r="J452">
        <v>-335.42129999999997</v>
      </c>
      <c r="K452">
        <v>1.1101190000000001</v>
      </c>
      <c r="L452">
        <v>367.99529999999999</v>
      </c>
      <c r="M452">
        <v>0.99979340000000005</v>
      </c>
      <c r="N452">
        <v>0</v>
      </c>
      <c r="O452">
        <v>-1.3852949999999999E-2</v>
      </c>
      <c r="P452">
        <v>0.99182610000000004</v>
      </c>
      <c r="Q452">
        <v>5.6977939999999999E-4</v>
      </c>
      <c r="R452">
        <v>-0.1275966</v>
      </c>
      <c r="S452">
        <v>2.9732669999999999</v>
      </c>
      <c r="T452">
        <v>-0.64157959999999903</v>
      </c>
      <c r="U452">
        <v>-0.40457149999999997</v>
      </c>
      <c r="V452">
        <v>0.11384270000000001</v>
      </c>
      <c r="W452">
        <v>1.5350519999999999E-2</v>
      </c>
      <c r="X452">
        <v>0.99338020000000005</v>
      </c>
      <c r="Y452">
        <v>0.1187173</v>
      </c>
      <c r="Z452">
        <v>-9.6650169999999997E-3</v>
      </c>
      <c r="AA452">
        <v>0.99288109999999996</v>
      </c>
      <c r="AB452">
        <v>37</v>
      </c>
      <c r="AC452">
        <v>0.49769999999995201</v>
      </c>
      <c r="AD452">
        <v>-0.18697159999999999</v>
      </c>
      <c r="AE452">
        <v>-0.113200000000006</v>
      </c>
      <c r="AF452">
        <v>9.3718005078980995E-2</v>
      </c>
      <c r="AG452">
        <v>-0.18697159999999999</v>
      </c>
      <c r="AH452">
        <v>0.440157119711377</v>
      </c>
      <c r="AI452">
        <v>112.561445092499</v>
      </c>
      <c r="AJ452">
        <v>77.980109121416902</v>
      </c>
      <c r="AK452">
        <v>0.48731892402733501</v>
      </c>
      <c r="AL452">
        <v>89.120445454590595</v>
      </c>
      <c r="AM452">
        <v>83.462348134028602</v>
      </c>
      <c r="AN452">
        <v>1.0000000102797999</v>
      </c>
    </row>
    <row r="453" spans="1:40" x14ac:dyDescent="0.25">
      <c r="A453" t="str">
        <f>"20190312161233660"</f>
        <v>20190312161233660</v>
      </c>
      <c r="B453" t="str">
        <f>"1552378353656268"</f>
        <v>1552378353656268</v>
      </c>
      <c r="C453" t="s">
        <v>40</v>
      </c>
      <c r="D453">
        <v>5.4389949999999896</v>
      </c>
      <c r="E453">
        <v>0.50732820000000001</v>
      </c>
      <c r="F453" t="s">
        <v>43</v>
      </c>
      <c r="G453">
        <v>-334.58690000000001</v>
      </c>
      <c r="H453">
        <v>0.93115749999999997</v>
      </c>
      <c r="I453">
        <v>367.88099999999997</v>
      </c>
      <c r="J453">
        <v>-335.06760000000003</v>
      </c>
      <c r="K453">
        <v>1.110123</v>
      </c>
      <c r="L453">
        <v>367.99040000000002</v>
      </c>
      <c r="M453">
        <v>0.99979390000000001</v>
      </c>
      <c r="N453">
        <v>0</v>
      </c>
      <c r="O453">
        <v>-1.38286E-2</v>
      </c>
      <c r="P453">
        <v>0.99180279999999998</v>
      </c>
      <c r="Q453" s="1">
        <v>-8.2505869999999895E-5</v>
      </c>
      <c r="R453">
        <v>-0.12778010000000001</v>
      </c>
      <c r="S453">
        <v>2.9727779999999999</v>
      </c>
      <c r="T453">
        <v>-0.63768649999999905</v>
      </c>
      <c r="U453">
        <v>-0.40655520000000001</v>
      </c>
      <c r="V453">
        <v>0.1140505</v>
      </c>
      <c r="W453">
        <v>1.4693990000000001E-2</v>
      </c>
      <c r="X453">
        <v>0.99336630000000004</v>
      </c>
      <c r="Y453">
        <v>0.1194252</v>
      </c>
      <c r="Z453">
        <v>-9.6886469999999999E-3</v>
      </c>
      <c r="AA453">
        <v>0.99279589999999995</v>
      </c>
      <c r="AB453">
        <v>37</v>
      </c>
      <c r="AC453">
        <v>0.48070000000001201</v>
      </c>
      <c r="AD453">
        <v>-0.178965499999999</v>
      </c>
      <c r="AE453">
        <v>-0.10940000000005</v>
      </c>
      <c r="AF453">
        <v>9.0778351733495605E-2</v>
      </c>
      <c r="AG453">
        <v>-0.178965499999999</v>
      </c>
      <c r="AH453">
        <v>0.42602428664743502</v>
      </c>
      <c r="AI453">
        <v>112.335752539029</v>
      </c>
      <c r="AJ453">
        <v>77.971167577102705</v>
      </c>
      <c r="AK453">
        <v>0.47092043080244</v>
      </c>
      <c r="AL453">
        <v>89.158066104578495</v>
      </c>
      <c r="AM453">
        <v>83.450427530049495</v>
      </c>
      <c r="AN453">
        <v>1.00000001793402</v>
      </c>
    </row>
    <row r="454" spans="1:40" x14ac:dyDescent="0.25">
      <c r="A454" t="str">
        <f>"20190312161233681"</f>
        <v>20190312161233681</v>
      </c>
      <c r="B454" t="str">
        <f>"1552378353675788"</f>
        <v>1552378353675788</v>
      </c>
      <c r="C454" t="s">
        <v>40</v>
      </c>
      <c r="D454">
        <v>6.3490589999999996</v>
      </c>
      <c r="E454">
        <v>0.50773630000000003</v>
      </c>
      <c r="F454" t="s">
        <v>43</v>
      </c>
      <c r="G454">
        <v>-334.25170000000003</v>
      </c>
      <c r="H454">
        <v>0.93635330000000006</v>
      </c>
      <c r="I454">
        <v>367.8777</v>
      </c>
      <c r="J454">
        <v>-334.70580000000001</v>
      </c>
      <c r="K454">
        <v>1.110123</v>
      </c>
      <c r="L454">
        <v>367.98540000000003</v>
      </c>
      <c r="M454">
        <v>0.99979410000000002</v>
      </c>
      <c r="N454">
        <v>0</v>
      </c>
      <c r="O454">
        <v>-1.380318E-2</v>
      </c>
      <c r="P454">
        <v>0.991761</v>
      </c>
      <c r="Q454" s="1">
        <v>9.3797219999999998E-5</v>
      </c>
      <c r="R454">
        <v>-0.12810179999999999</v>
      </c>
      <c r="S454">
        <v>2.9719540000000002</v>
      </c>
      <c r="T454">
        <v>-0.63310269999999902</v>
      </c>
      <c r="U454">
        <v>-0.40969850000000002</v>
      </c>
      <c r="V454">
        <v>0.11439829999999999</v>
      </c>
      <c r="W454">
        <v>1.4865629999999999E-2</v>
      </c>
      <c r="X454">
        <v>0.99332370000000003</v>
      </c>
      <c r="Y454">
        <v>0.1205257</v>
      </c>
      <c r="Z454">
        <v>-9.7431549999999999E-3</v>
      </c>
      <c r="AA454">
        <v>0.99266239999999994</v>
      </c>
      <c r="AB454">
        <v>37</v>
      </c>
      <c r="AC454">
        <v>0.45409999999998202</v>
      </c>
      <c r="AD454">
        <v>-0.173769699999999</v>
      </c>
      <c r="AE454">
        <v>-0.107700000000022</v>
      </c>
      <c r="AF454">
        <v>8.9072330133466104E-2</v>
      </c>
      <c r="AG454">
        <v>-0.173769699999999</v>
      </c>
      <c r="AH454">
        <v>0.40007801866728998</v>
      </c>
      <c r="AI454">
        <v>112.974969075386</v>
      </c>
      <c r="AJ454">
        <v>77.448525747156097</v>
      </c>
      <c r="AK454">
        <v>0.44518783637273701</v>
      </c>
      <c r="AL454">
        <v>89.148230738187394</v>
      </c>
      <c r="AM454">
        <v>83.430349489527899</v>
      </c>
      <c r="AN454">
        <v>0.99999996548993797</v>
      </c>
    </row>
    <row r="455" spans="1:40" x14ac:dyDescent="0.25">
      <c r="A455" t="str">
        <f>"20190312161233705"</f>
        <v>20190312161233705</v>
      </c>
      <c r="B455" t="str">
        <f>"1552378353696284"</f>
        <v>1552378353696284</v>
      </c>
      <c r="C455" t="s">
        <v>40</v>
      </c>
      <c r="D455">
        <v>5.4504580000000002</v>
      </c>
      <c r="E455">
        <v>0.52736759999999905</v>
      </c>
      <c r="F455" t="s">
        <v>43</v>
      </c>
      <c r="G455">
        <v>-333.91629999999998</v>
      </c>
      <c r="H455">
        <v>0.94308460000000005</v>
      </c>
      <c r="I455">
        <v>367.87479999999999</v>
      </c>
      <c r="J455">
        <v>-334.3175</v>
      </c>
      <c r="K455">
        <v>1.1101240000000001</v>
      </c>
      <c r="L455">
        <v>367.98009999999999</v>
      </c>
      <c r="M455">
        <v>0.99979470000000004</v>
      </c>
      <c r="N455">
        <v>0</v>
      </c>
      <c r="O455">
        <v>-1.3776800000000001E-2</v>
      </c>
      <c r="P455">
        <v>0.99176410000000004</v>
      </c>
      <c r="Q455">
        <v>-2.1069679999999999E-4</v>
      </c>
      <c r="R455">
        <v>-0.12807869999999999</v>
      </c>
      <c r="S455">
        <v>2.9714659999999999</v>
      </c>
      <c r="T455">
        <v>-0.62879879999999999</v>
      </c>
      <c r="U455">
        <v>-0.41433720000000002</v>
      </c>
      <c r="V455">
        <v>0.1144013</v>
      </c>
      <c r="W455">
        <v>1.4556670000000001E-2</v>
      </c>
      <c r="X455">
        <v>0.99332799999999999</v>
      </c>
      <c r="Y455">
        <v>0.12209100000000001</v>
      </c>
      <c r="Z455">
        <v>-9.8474240000000005E-3</v>
      </c>
      <c r="AA455">
        <v>0.99247010000000002</v>
      </c>
      <c r="AB455">
        <v>37</v>
      </c>
      <c r="AC455">
        <v>0.40120000000001699</v>
      </c>
      <c r="AD455">
        <v>-0.16703939999999901</v>
      </c>
      <c r="AE455">
        <v>-0.10529999999999901</v>
      </c>
      <c r="AF455">
        <v>8.58408825721413E-2</v>
      </c>
      <c r="AG455">
        <v>-0.16703939999999901</v>
      </c>
      <c r="AH455">
        <v>0.34643037013990802</v>
      </c>
      <c r="AI455">
        <v>115.080501366729</v>
      </c>
      <c r="AJ455">
        <v>76.083164808560696</v>
      </c>
      <c r="AK455">
        <v>0.39406194897299801</v>
      </c>
      <c r="AL455">
        <v>89.165934816585903</v>
      </c>
      <c r="AM455">
        <v>83.430206903420299</v>
      </c>
      <c r="AN455">
        <v>1.00000003483358</v>
      </c>
    </row>
    <row r="456" spans="1:40" x14ac:dyDescent="0.25">
      <c r="A456" t="str">
        <f>"20190312161233727"</f>
        <v>20190312161233727</v>
      </c>
      <c r="B456" t="str">
        <f>"1552378353715804"</f>
        <v>1552378353715804</v>
      </c>
      <c r="C456" t="s">
        <v>40</v>
      </c>
      <c r="D456">
        <v>5.5902079999999996</v>
      </c>
      <c r="E456">
        <v>0.52801009999999904</v>
      </c>
      <c r="F456" t="s">
        <v>43</v>
      </c>
      <c r="G456">
        <v>-333.5976</v>
      </c>
      <c r="H456">
        <v>0.91329879999999997</v>
      </c>
      <c r="I456">
        <v>367.84289999999999</v>
      </c>
      <c r="J456">
        <v>-333.94850000000002</v>
      </c>
      <c r="K456">
        <v>1.1101240000000001</v>
      </c>
      <c r="L456">
        <v>367.97500000000002</v>
      </c>
      <c r="M456">
        <v>0.99979510000000005</v>
      </c>
      <c r="N456">
        <v>0</v>
      </c>
      <c r="O456">
        <v>-1.3751499999999899E-2</v>
      </c>
      <c r="P456">
        <v>0.99178029999999995</v>
      </c>
      <c r="Q456">
        <v>-4.9470919999999895E-4</v>
      </c>
      <c r="R456">
        <v>-0.1279518</v>
      </c>
      <c r="S456">
        <v>2.9522400000000002</v>
      </c>
      <c r="T456">
        <v>-0.80723669999999903</v>
      </c>
      <c r="U456">
        <v>-0.561554</v>
      </c>
      <c r="V456">
        <v>0.114299499999999</v>
      </c>
      <c r="W456">
        <v>1.4269169999999999E-2</v>
      </c>
      <c r="X456">
        <v>0.9933438</v>
      </c>
      <c r="Y456">
        <v>0.1678742</v>
      </c>
      <c r="Z456">
        <v>-1.8687169999999999E-2</v>
      </c>
      <c r="AA456">
        <v>0.98563129999999999</v>
      </c>
      <c r="AB456">
        <v>37</v>
      </c>
      <c r="AC456">
        <v>0.35090000000002403</v>
      </c>
      <c r="AD456">
        <v>-0.19682519999999901</v>
      </c>
      <c r="AE456">
        <v>-0.13210000000003599</v>
      </c>
      <c r="AF456">
        <v>9.9768288594418802E-2</v>
      </c>
      <c r="AG456">
        <v>-0.19682519999999901</v>
      </c>
      <c r="AH456">
        <v>0.27649067298156599</v>
      </c>
      <c r="AI456">
        <v>123.80665280141</v>
      </c>
      <c r="AJ456">
        <v>70.158639503984503</v>
      </c>
      <c r="AK456">
        <v>0.35375268622287298</v>
      </c>
      <c r="AL456">
        <v>89.182408990395601</v>
      </c>
      <c r="AM456">
        <v>83.436105487953398</v>
      </c>
      <c r="AN456">
        <v>0.99999994495558697</v>
      </c>
    </row>
    <row r="457" spans="1:40" x14ac:dyDescent="0.25">
      <c r="A457" t="str">
        <f>"20190312161233742"</f>
        <v>20190312161233742</v>
      </c>
      <c r="B457" t="str">
        <f>"1552378353735689"</f>
        <v>1552378353735689</v>
      </c>
      <c r="C457" t="s">
        <v>40</v>
      </c>
      <c r="D457">
        <v>5.4473039999999999</v>
      </c>
      <c r="E457">
        <v>0.53628900000000002</v>
      </c>
      <c r="F457" t="s">
        <v>43</v>
      </c>
      <c r="G457">
        <v>-333.26280000000003</v>
      </c>
      <c r="H457">
        <v>0.9212148</v>
      </c>
      <c r="I457">
        <v>367.84320000000002</v>
      </c>
      <c r="J457">
        <v>-333.71159999999998</v>
      </c>
      <c r="K457">
        <v>1.1101240000000001</v>
      </c>
      <c r="L457">
        <v>367.97179999999997</v>
      </c>
      <c r="M457">
        <v>0.9997954</v>
      </c>
      <c r="N457">
        <v>0</v>
      </c>
      <c r="O457">
        <v>-1.3735509999999999E-2</v>
      </c>
      <c r="P457">
        <v>0.99176120000000001</v>
      </c>
      <c r="Q457">
        <v>-4.9105099999999897E-4</v>
      </c>
      <c r="R457">
        <v>-0.1281003</v>
      </c>
      <c r="S457">
        <v>2.9514469999999999</v>
      </c>
      <c r="T457">
        <v>-0.81321779999999999</v>
      </c>
      <c r="U457">
        <v>-0.56610109999999902</v>
      </c>
      <c r="V457">
        <v>0.11446389999999999</v>
      </c>
      <c r="W457">
        <v>1.426965E-2</v>
      </c>
      <c r="X457">
        <v>0.99332489999999996</v>
      </c>
      <c r="Y457">
        <v>0.1692719</v>
      </c>
      <c r="Z457">
        <v>-1.901475E-2</v>
      </c>
      <c r="AA457">
        <v>0.98538599999999998</v>
      </c>
      <c r="AB457">
        <v>37</v>
      </c>
      <c r="AC457">
        <v>0.44879999999994802</v>
      </c>
      <c r="AD457">
        <v>-0.188909199999999</v>
      </c>
      <c r="AE457">
        <v>-0.12859999999994801</v>
      </c>
      <c r="AF457">
        <v>0.105198453022738</v>
      </c>
      <c r="AG457">
        <v>-0.188909199999999</v>
      </c>
      <c r="AH457">
        <v>0.387137815868423</v>
      </c>
      <c r="AI457">
        <v>115.21519580703</v>
      </c>
      <c r="AJ457">
        <v>74.797872504663104</v>
      </c>
      <c r="AK457">
        <v>0.44342878665958302</v>
      </c>
      <c r="AL457">
        <v>89.182381516022005</v>
      </c>
      <c r="AM457">
        <v>83.4266230540631</v>
      </c>
      <c r="AN457">
        <v>0.99999998213717101</v>
      </c>
    </row>
    <row r="458" spans="1:40" x14ac:dyDescent="0.25">
      <c r="A458" t="str">
        <f>"20190312161233760"</f>
        <v>20190312161233760</v>
      </c>
      <c r="B458" t="str">
        <f>"1552378353756186"</f>
        <v>1552378353756186</v>
      </c>
      <c r="C458" t="s">
        <v>40</v>
      </c>
      <c r="D458">
        <v>5.4410699999999999</v>
      </c>
      <c r="E458">
        <v>0.53322569999999903</v>
      </c>
      <c r="F458" t="s">
        <v>43</v>
      </c>
      <c r="G458">
        <v>-332.94589999999999</v>
      </c>
      <c r="H458">
        <v>0.88562009999999902</v>
      </c>
      <c r="I458">
        <v>367.80759999999998</v>
      </c>
      <c r="J458">
        <v>-333.41250000000002</v>
      </c>
      <c r="K458">
        <v>1.1101289999999999</v>
      </c>
      <c r="L458">
        <v>367.96769999999998</v>
      </c>
      <c r="M458">
        <v>0.99979569999999995</v>
      </c>
      <c r="N458">
        <v>0</v>
      </c>
      <c r="O458">
        <v>-1.371474E-2</v>
      </c>
      <c r="P458">
        <v>0.99179430000000002</v>
      </c>
      <c r="Q458">
        <v>-9.1669519999999999E-4</v>
      </c>
      <c r="R458">
        <v>-0.1278407</v>
      </c>
      <c r="S458">
        <v>2.943146</v>
      </c>
      <c r="T458">
        <v>-0.86296059999999997</v>
      </c>
      <c r="U458">
        <v>-0.62988279999999996</v>
      </c>
      <c r="V458">
        <v>0.1142247</v>
      </c>
      <c r="W458">
        <v>1.3841010000000001E-2</v>
      </c>
      <c r="X458">
        <v>0.99335850000000003</v>
      </c>
      <c r="Y458">
        <v>0.1887964</v>
      </c>
      <c r="Z458">
        <v>-2.2926390000000001E-2</v>
      </c>
      <c r="AA458">
        <v>0.98174859999999997</v>
      </c>
      <c r="AB458">
        <v>37</v>
      </c>
      <c r="AC458">
        <v>0.46660000000002799</v>
      </c>
      <c r="AD458">
        <v>-0.22450890000000001</v>
      </c>
      <c r="AE458">
        <v>-0.16009999999999899</v>
      </c>
      <c r="AF458">
        <v>0.12731446622671</v>
      </c>
      <c r="AG458">
        <v>-0.22450890000000001</v>
      </c>
      <c r="AH458">
        <v>0.38831991088107998</v>
      </c>
      <c r="AI458">
        <v>118.78355549608099</v>
      </c>
      <c r="AJ458">
        <v>71.8477653815211</v>
      </c>
      <c r="AK458">
        <v>0.46626770494694603</v>
      </c>
      <c r="AL458">
        <v>89.206943206163601</v>
      </c>
      <c r="AM458">
        <v>83.440459814840594</v>
      </c>
      <c r="AN458">
        <v>0.99999998258507905</v>
      </c>
    </row>
    <row r="459" spans="1:40" x14ac:dyDescent="0.25">
      <c r="A459" t="str">
        <f>"20190312161233783"</f>
        <v>20190312161233783</v>
      </c>
      <c r="B459" t="str">
        <f>"1552378353775707"</f>
        <v>1552378353775707</v>
      </c>
      <c r="C459" t="s">
        <v>40</v>
      </c>
      <c r="D459">
        <v>5.4255969999999998</v>
      </c>
      <c r="E459">
        <v>0.53191719999999998</v>
      </c>
      <c r="F459" t="s">
        <v>43</v>
      </c>
      <c r="G459">
        <v>-332.61790000000002</v>
      </c>
      <c r="H459">
        <v>0.87948819999999905</v>
      </c>
      <c r="I459">
        <v>367.80430000000001</v>
      </c>
      <c r="J459">
        <v>-333.02620000000002</v>
      </c>
      <c r="K459">
        <v>1.110128</v>
      </c>
      <c r="L459">
        <v>367.9624</v>
      </c>
      <c r="M459">
        <v>0.99979620000000002</v>
      </c>
      <c r="N459">
        <v>0</v>
      </c>
      <c r="O459">
        <v>-1.368778E-2</v>
      </c>
      <c r="P459">
        <v>0.99183739999999998</v>
      </c>
      <c r="Q459">
        <v>-7.3059649999999998E-4</v>
      </c>
      <c r="R459">
        <v>-0.12750909999999999</v>
      </c>
      <c r="S459">
        <v>2.9460449999999998</v>
      </c>
      <c r="T459">
        <v>-0.85513700000000004</v>
      </c>
      <c r="U459">
        <v>-0.60452269999999997</v>
      </c>
      <c r="V459">
        <v>0.1139192</v>
      </c>
      <c r="W459">
        <v>1.402363E-2</v>
      </c>
      <c r="X459">
        <v>0.99339100000000002</v>
      </c>
      <c r="Y459">
        <v>0.18095549999999999</v>
      </c>
      <c r="Z459">
        <v>-2.1627629999999998E-2</v>
      </c>
      <c r="AA459">
        <v>0.9832535</v>
      </c>
      <c r="AB459">
        <v>37</v>
      </c>
      <c r="AC459">
        <v>0.408299999999997</v>
      </c>
      <c r="AD459">
        <v>-0.23063980000000001</v>
      </c>
      <c r="AE459">
        <v>-0.15809999999999</v>
      </c>
      <c r="AF459">
        <v>0.119372127511472</v>
      </c>
      <c r="AG459">
        <v>-0.23063980000000001</v>
      </c>
      <c r="AH459">
        <v>0.32127711688153798</v>
      </c>
      <c r="AI459">
        <v>123.937994748931</v>
      </c>
      <c r="AJ459">
        <v>69.617198113744905</v>
      </c>
      <c r="AK459">
        <v>0.41311427959145702</v>
      </c>
      <c r="AL459">
        <v>89.196478818989505</v>
      </c>
      <c r="AM459">
        <v>83.458063541311105</v>
      </c>
      <c r="AN459">
        <v>0.99999996260400703</v>
      </c>
    </row>
    <row r="460" spans="1:40" x14ac:dyDescent="0.25">
      <c r="A460" t="str">
        <f>"20190312161233805"</f>
        <v>20190312161233805</v>
      </c>
      <c r="B460" t="str">
        <f>"1552378353796202"</f>
        <v>1552378353796202</v>
      </c>
      <c r="C460" t="s">
        <v>40</v>
      </c>
      <c r="D460">
        <v>5.4108919999999996</v>
      </c>
      <c r="E460">
        <v>0.5169011</v>
      </c>
      <c r="F460" t="s">
        <v>43</v>
      </c>
      <c r="G460">
        <v>-332.28059999999999</v>
      </c>
      <c r="H460">
        <v>0.89645090000000005</v>
      </c>
      <c r="I460">
        <v>367.81220000000002</v>
      </c>
      <c r="J460">
        <v>-332.65899999999999</v>
      </c>
      <c r="K460">
        <v>1.110123</v>
      </c>
      <c r="L460">
        <v>367.95740000000001</v>
      </c>
      <c r="M460">
        <v>0.99979660000000004</v>
      </c>
      <c r="N460">
        <v>0</v>
      </c>
      <c r="O460">
        <v>-1.366212E-2</v>
      </c>
      <c r="P460">
        <v>0.99183929999999998</v>
      </c>
      <c r="Q460">
        <v>-3.0858630000000001E-4</v>
      </c>
      <c r="R460">
        <v>-0.1274952</v>
      </c>
      <c r="S460">
        <v>2.9477229999999999</v>
      </c>
      <c r="T460">
        <v>-0.84493469999999904</v>
      </c>
      <c r="U460">
        <v>-0.59365840000000003</v>
      </c>
      <c r="V460">
        <v>0.1139309</v>
      </c>
      <c r="W460">
        <v>1.4441290000000001E-2</v>
      </c>
      <c r="X460">
        <v>0.99338369999999998</v>
      </c>
      <c r="Y460">
        <v>0.17767079999999999</v>
      </c>
      <c r="Z460">
        <v>-2.0925200000000001E-2</v>
      </c>
      <c r="AA460">
        <v>0.98386750000000001</v>
      </c>
      <c r="AB460">
        <v>37</v>
      </c>
      <c r="AC460">
        <v>0.37839999999999901</v>
      </c>
      <c r="AD460">
        <v>-0.213672099999999</v>
      </c>
      <c r="AE460">
        <v>-0.14519999999998801</v>
      </c>
      <c r="AF460">
        <v>0.1095646233098</v>
      </c>
      <c r="AG460">
        <v>-0.213672099999999</v>
      </c>
      <c r="AH460">
        <v>0.29762824306550001</v>
      </c>
      <c r="AI460">
        <v>123.96878426820101</v>
      </c>
      <c r="AJ460">
        <v>69.790038965035293</v>
      </c>
      <c r="AK460">
        <v>0.38241697670172098</v>
      </c>
      <c r="AL460">
        <v>89.1725462597214</v>
      </c>
      <c r="AM460">
        <v>83.457349818711805</v>
      </c>
      <c r="AN460">
        <v>0.99999998812868196</v>
      </c>
    </row>
    <row r="461" spans="1:40" x14ac:dyDescent="0.25">
      <c r="A461" t="str">
        <f>"20190312161233827"</f>
        <v>20190312161233827</v>
      </c>
      <c r="B461" t="str">
        <f>"1552378353815722"</f>
        <v>1552378353815722</v>
      </c>
      <c r="C461" t="s">
        <v>40</v>
      </c>
      <c r="D461">
        <v>5.488804</v>
      </c>
      <c r="E461">
        <v>0.51675280000000001</v>
      </c>
      <c r="F461" t="s">
        <v>43</v>
      </c>
      <c r="G461">
        <v>-331.92149999999998</v>
      </c>
      <c r="H461">
        <v>0.96146799999999999</v>
      </c>
      <c r="I461">
        <v>367.83580000000001</v>
      </c>
      <c r="J461">
        <v>-332.28859999999997</v>
      </c>
      <c r="K461">
        <v>1.1101270000000001</v>
      </c>
      <c r="L461">
        <v>367.95240000000001</v>
      </c>
      <c r="M461">
        <v>0.99979700000000005</v>
      </c>
      <c r="N461">
        <v>0</v>
      </c>
      <c r="O461">
        <v>-1.363611E-2</v>
      </c>
      <c r="P461">
        <v>0.99187800000000004</v>
      </c>
      <c r="Q461">
        <v>-1.0559149999999999E-4</v>
      </c>
      <c r="R461">
        <v>-0.12719430000000001</v>
      </c>
      <c r="S461">
        <v>2.9618229999999999</v>
      </c>
      <c r="T461">
        <v>-0.59712169999999998</v>
      </c>
      <c r="U461">
        <v>-0.48751830000000002</v>
      </c>
      <c r="V461">
        <v>0.1136553</v>
      </c>
      <c r="W461">
        <v>1.464059E-2</v>
      </c>
      <c r="X461">
        <v>0.99341239999999997</v>
      </c>
      <c r="Y461">
        <v>0.1463448</v>
      </c>
      <c r="Z461">
        <v>-1.180674E-2</v>
      </c>
      <c r="AA461">
        <v>0.98916320000000002</v>
      </c>
      <c r="AB461">
        <v>37</v>
      </c>
      <c r="AC461">
        <v>0.36709999999999299</v>
      </c>
      <c r="AD461">
        <v>-0.14865900000000001</v>
      </c>
      <c r="AE461">
        <v>-0.11660000000000501</v>
      </c>
      <c r="AF461">
        <v>9.7116285702750896E-2</v>
      </c>
      <c r="AG461">
        <v>-0.14865900000000001</v>
      </c>
      <c r="AH461">
        <v>0.32086043093337002</v>
      </c>
      <c r="AI461">
        <v>113.914709366816</v>
      </c>
      <c r="AJ461">
        <v>73.160272050038202</v>
      </c>
      <c r="AK461">
        <v>0.36671853971192497</v>
      </c>
      <c r="AL461">
        <v>89.161126042862605</v>
      </c>
      <c r="AM461">
        <v>83.473226763123293</v>
      </c>
      <c r="AN461">
        <v>1.00000003528369</v>
      </c>
    </row>
    <row r="462" spans="1:40" x14ac:dyDescent="0.25">
      <c r="A462" t="str">
        <f>"20190312161233850"</f>
        <v>20190312161233850</v>
      </c>
      <c r="B462" t="str">
        <f>"1552378353846483"</f>
        <v>1552378353846483</v>
      </c>
      <c r="C462" t="s">
        <v>40</v>
      </c>
      <c r="D462">
        <v>6.1978910000000003</v>
      </c>
      <c r="E462">
        <v>0.51949829999999997</v>
      </c>
      <c r="F462" t="s">
        <v>43</v>
      </c>
      <c r="G462">
        <v>-331.5883</v>
      </c>
      <c r="H462">
        <v>0.96900249999999999</v>
      </c>
      <c r="I462">
        <v>367.8374</v>
      </c>
      <c r="J462">
        <v>-331.92860000000002</v>
      </c>
      <c r="K462">
        <v>1.1101270000000001</v>
      </c>
      <c r="L462">
        <v>367.94749999999999</v>
      </c>
      <c r="M462">
        <v>0.99979750000000001</v>
      </c>
      <c r="N462">
        <v>0</v>
      </c>
      <c r="O462">
        <v>-1.3611170000000001E-2</v>
      </c>
      <c r="P462">
        <v>0.99188080000000001</v>
      </c>
      <c r="Q462">
        <v>-1.9748509999999999E-4</v>
      </c>
      <c r="R462">
        <v>-0.1271726</v>
      </c>
      <c r="S462">
        <v>2.9622799999999998</v>
      </c>
      <c r="T462">
        <v>-0.59701680000000001</v>
      </c>
      <c r="U462">
        <v>-0.48513790000000001</v>
      </c>
      <c r="V462">
        <v>0.1136583</v>
      </c>
      <c r="W462">
        <v>1.454475E-2</v>
      </c>
      <c r="X462">
        <v>0.9934134</v>
      </c>
      <c r="Y462">
        <v>0.14558660000000001</v>
      </c>
      <c r="Z462">
        <v>-1.1733459999999999E-2</v>
      </c>
      <c r="AA462">
        <v>0.98927589999999999</v>
      </c>
      <c r="AB462">
        <v>37</v>
      </c>
      <c r="AC462">
        <v>0.34030000000001298</v>
      </c>
      <c r="AD462">
        <v>-0.14112450000000001</v>
      </c>
      <c r="AE462">
        <v>-0.110099999999988</v>
      </c>
      <c r="AF462">
        <v>9.1251028096489301E-2</v>
      </c>
      <c r="AG462">
        <v>-0.14112450000000001</v>
      </c>
      <c r="AH462">
        <v>0.29572707084671501</v>
      </c>
      <c r="AI462">
        <v>114.512852435409</v>
      </c>
      <c r="AJ462">
        <v>72.851604325155293</v>
      </c>
      <c r="AK462">
        <v>0.34014316847541498</v>
      </c>
      <c r="AL462">
        <v>89.166617801451693</v>
      </c>
      <c r="AM462">
        <v>83.473062485097103</v>
      </c>
      <c r="AN462">
        <v>0.99999997110550498</v>
      </c>
    </row>
    <row r="463" spans="1:40" x14ac:dyDescent="0.25">
      <c r="A463" t="str">
        <f>"20190312161233871"</f>
        <v>20190312161233871</v>
      </c>
      <c r="B463" t="str">
        <f>"1552378353866003"</f>
        <v>1552378353866003</v>
      </c>
      <c r="C463" t="s">
        <v>40</v>
      </c>
      <c r="D463">
        <v>5.3079000000000001</v>
      </c>
      <c r="E463">
        <v>0.5139416</v>
      </c>
      <c r="F463" t="s">
        <v>43</v>
      </c>
      <c r="G463">
        <v>-330.96230000000003</v>
      </c>
      <c r="H463">
        <v>0.8965708</v>
      </c>
      <c r="I463">
        <v>367.7826</v>
      </c>
      <c r="J463">
        <v>-331.56619999999998</v>
      </c>
      <c r="K463">
        <v>1.110123</v>
      </c>
      <c r="L463">
        <v>367.94260000000003</v>
      </c>
      <c r="M463">
        <v>0.99979779999999996</v>
      </c>
      <c r="N463">
        <v>0</v>
      </c>
      <c r="O463">
        <v>-1.3585979999999999E-2</v>
      </c>
      <c r="P463">
        <v>0.99187860000000005</v>
      </c>
      <c r="Q463" s="1">
        <v>-8.6134300000000006E-5</v>
      </c>
      <c r="R463">
        <v>-0.12718989999999999</v>
      </c>
      <c r="S463">
        <v>2.9597470000000001</v>
      </c>
      <c r="T463">
        <v>-0.65419649999999996</v>
      </c>
      <c r="U463">
        <v>-0.50439449999999997</v>
      </c>
      <c r="V463">
        <v>0.1137007</v>
      </c>
      <c r="W463">
        <v>1.465203E-2</v>
      </c>
      <c r="X463">
        <v>0.99340700000000004</v>
      </c>
      <c r="Y463">
        <v>0.15135570000000001</v>
      </c>
      <c r="Z463">
        <v>-1.346747E-2</v>
      </c>
      <c r="AA463">
        <v>0.98838760000000003</v>
      </c>
      <c r="AB463">
        <v>37</v>
      </c>
      <c r="AC463">
        <v>0.60389999999995303</v>
      </c>
      <c r="AD463">
        <v>-0.2135522</v>
      </c>
      <c r="AE463">
        <v>-0.16000000000002401</v>
      </c>
      <c r="AF463">
        <v>0.13590030951472401</v>
      </c>
      <c r="AG463">
        <v>-0.2135522</v>
      </c>
      <c r="AH463">
        <v>0.54261563109970701</v>
      </c>
      <c r="AI463">
        <v>110.895313980932</v>
      </c>
      <c r="AJ463">
        <v>75.939271609427195</v>
      </c>
      <c r="AK463">
        <v>0.59875300363736905</v>
      </c>
      <c r="AL463">
        <v>89.160470478731398</v>
      </c>
      <c r="AM463">
        <v>83.470606944053898</v>
      </c>
      <c r="AN463">
        <v>0.99999999940630502</v>
      </c>
    </row>
    <row r="464" spans="1:40" x14ac:dyDescent="0.25">
      <c r="A464" t="str">
        <f>"20190312161233894"</f>
        <v>20190312161233894</v>
      </c>
      <c r="B464" t="str">
        <f>"1552378353886499"</f>
        <v>1552378353886499</v>
      </c>
      <c r="C464" t="s">
        <v>40</v>
      </c>
      <c r="D464">
        <v>5.2512210000000001</v>
      </c>
      <c r="E464">
        <v>0.509714</v>
      </c>
      <c r="F464" t="s">
        <v>43</v>
      </c>
      <c r="G464">
        <v>-330.6268</v>
      </c>
      <c r="H464">
        <v>0.91436240000000002</v>
      </c>
      <c r="I464">
        <v>367.79579999999999</v>
      </c>
      <c r="J464">
        <v>-331.1859</v>
      </c>
      <c r="K464">
        <v>1.1101289999999999</v>
      </c>
      <c r="L464">
        <v>367.93740000000003</v>
      </c>
      <c r="M464">
        <v>0.99979819999999997</v>
      </c>
      <c r="N464">
        <v>0</v>
      </c>
      <c r="O464">
        <v>-1.355961E-2</v>
      </c>
      <c r="P464">
        <v>0.99184380000000005</v>
      </c>
      <c r="Q464">
        <v>1.6871279999999901E-4</v>
      </c>
      <c r="R464">
        <v>-0.1274603</v>
      </c>
      <c r="S464">
        <v>2.9652400000000001</v>
      </c>
      <c r="T464">
        <v>-0.61796260000000003</v>
      </c>
      <c r="U464">
        <v>-0.46228029999999998</v>
      </c>
      <c r="V464">
        <v>0.11399769999999899</v>
      </c>
      <c r="W464">
        <v>1.490234E-2</v>
      </c>
      <c r="X464">
        <v>0.99336919999999995</v>
      </c>
      <c r="Y464">
        <v>0.1380159</v>
      </c>
      <c r="Z464">
        <v>-1.136672E-2</v>
      </c>
      <c r="AA464">
        <v>0.99036480000000005</v>
      </c>
      <c r="AB464">
        <v>37</v>
      </c>
      <c r="AC464">
        <v>0.55910000000000004</v>
      </c>
      <c r="AD464">
        <v>-0.19576660000000001</v>
      </c>
      <c r="AE464">
        <v>-0.141600000000039</v>
      </c>
      <c r="AF464">
        <v>0.120160963801519</v>
      </c>
      <c r="AG464">
        <v>-0.19576660000000001</v>
      </c>
      <c r="AH464">
        <v>0.50301535305042999</v>
      </c>
      <c r="AI464">
        <v>110.73343533305101</v>
      </c>
      <c r="AJ464">
        <v>76.564887722869202</v>
      </c>
      <c r="AK464">
        <v>0.55298070879707795</v>
      </c>
      <c r="AL464">
        <v>89.146127173561197</v>
      </c>
      <c r="AM464">
        <v>83.453452291676598</v>
      </c>
      <c r="AN464">
        <v>0.99999996142570202</v>
      </c>
    </row>
    <row r="465" spans="1:40" x14ac:dyDescent="0.25">
      <c r="A465" t="str">
        <f>"20190312161233916"</f>
        <v>20190312161233916</v>
      </c>
      <c r="B465" t="str">
        <f>"1552378353906020"</f>
        <v>1552378353906020</v>
      </c>
      <c r="C465" t="s">
        <v>40</v>
      </c>
      <c r="D465">
        <v>5.2866229999999996</v>
      </c>
      <c r="E465">
        <v>0.4852728</v>
      </c>
      <c r="F465" t="s">
        <v>43</v>
      </c>
      <c r="G465">
        <v>-330.28559999999999</v>
      </c>
      <c r="H465">
        <v>0.94342409999999999</v>
      </c>
      <c r="I465">
        <v>367.80630000000002</v>
      </c>
      <c r="J465">
        <v>-330.82960000000003</v>
      </c>
      <c r="K465">
        <v>1.110133</v>
      </c>
      <c r="L465">
        <v>367.93259999999998</v>
      </c>
      <c r="M465">
        <v>0.99979850000000003</v>
      </c>
      <c r="N465">
        <v>0</v>
      </c>
      <c r="O465">
        <v>-1.353467E-2</v>
      </c>
      <c r="P465">
        <v>0.99182709999999996</v>
      </c>
      <c r="Q465">
        <v>7.1118210000000002E-4</v>
      </c>
      <c r="R465">
        <v>-0.12758649999999999</v>
      </c>
      <c r="S465">
        <v>2.9692379999999998</v>
      </c>
      <c r="T465">
        <v>-0.54979690000000003</v>
      </c>
      <c r="U465">
        <v>-0.43222050000000001</v>
      </c>
      <c r="V465">
        <v>0.1141489</v>
      </c>
      <c r="W465">
        <v>1.544063E-2</v>
      </c>
      <c r="X465">
        <v>0.99334370000000005</v>
      </c>
      <c r="Y465">
        <v>0.128723</v>
      </c>
      <c r="Z465">
        <v>-9.2846830000000002E-3</v>
      </c>
      <c r="AA465">
        <v>0.99163710000000005</v>
      </c>
      <c r="AB465">
        <v>37</v>
      </c>
      <c r="AC465">
        <v>0.54400000000003901</v>
      </c>
      <c r="AD465">
        <v>-0.16670889999999999</v>
      </c>
      <c r="AE465">
        <v>-0.126299999999957</v>
      </c>
      <c r="AF465">
        <v>0.109194588389285</v>
      </c>
      <c r="AG465">
        <v>-0.16670889999999999</v>
      </c>
      <c r="AH465">
        <v>0.50101505538450097</v>
      </c>
      <c r="AI465">
        <v>108.009881447507</v>
      </c>
      <c r="AJ465">
        <v>77.704842816549601</v>
      </c>
      <c r="AK465">
        <v>0.53919514203547003</v>
      </c>
      <c r="AL465">
        <v>89.115281951027995</v>
      </c>
      <c r="AM465">
        <v>83.444678037556699</v>
      </c>
      <c r="AN465">
        <v>1.0000000453778399</v>
      </c>
    </row>
    <row r="466" spans="1:40" x14ac:dyDescent="0.25">
      <c r="A466" t="str">
        <f>"20190312161233938"</f>
        <v>20190312161233938</v>
      </c>
      <c r="B466" t="str">
        <f>"1552378353926515"</f>
        <v>1552378353926515</v>
      </c>
      <c r="C466" t="s">
        <v>40</v>
      </c>
      <c r="D466">
        <v>5.2783790000000002</v>
      </c>
      <c r="E466">
        <v>0.48642259999999998</v>
      </c>
      <c r="F466" t="s">
        <v>41</v>
      </c>
      <c r="G466">
        <v>-146.2328</v>
      </c>
      <c r="H466">
        <v>-0.05</v>
      </c>
      <c r="I466">
        <v>351.57850000000002</v>
      </c>
      <c r="J466">
        <v>-330.47539999999998</v>
      </c>
      <c r="K466">
        <v>1.1101399999999999</v>
      </c>
      <c r="L466">
        <v>367.92779999999999</v>
      </c>
      <c r="M466">
        <v>0.99979899999999999</v>
      </c>
      <c r="N466">
        <v>0</v>
      </c>
      <c r="O466">
        <v>-1.3509480000000001E-2</v>
      </c>
      <c r="P466">
        <v>0.9917994</v>
      </c>
      <c r="Q466">
        <v>5.7015940000000001E-4</v>
      </c>
      <c r="R466">
        <v>-0.1278041</v>
      </c>
      <c r="S466">
        <v>2.9906619999999999</v>
      </c>
      <c r="T466">
        <v>-1.8795369999999999E-2</v>
      </c>
      <c r="U466">
        <v>-0.26495360000000001</v>
      </c>
      <c r="V466">
        <v>0.1143918</v>
      </c>
      <c r="W466">
        <v>1.5295690000000001E-2</v>
      </c>
      <c r="X466">
        <v>0.99331800000000003</v>
      </c>
      <c r="Y466">
        <v>7.4780490000000005E-2</v>
      </c>
      <c r="Z466">
        <v>-1.497936E-4</v>
      </c>
      <c r="AA466">
        <v>0.99719999999999998</v>
      </c>
      <c r="AB466">
        <v>37</v>
      </c>
      <c r="AC466">
        <v>184.24260000000001</v>
      </c>
      <c r="AD466">
        <v>-1.1601399999999999</v>
      </c>
      <c r="AE466">
        <v>-16.3492999999999</v>
      </c>
      <c r="AF466">
        <v>13.8579676318547</v>
      </c>
      <c r="AG466">
        <v>-1.1601399999999999</v>
      </c>
      <c r="AH466">
        <v>184.43942178277101</v>
      </c>
      <c r="AI466">
        <v>90.359377728217098</v>
      </c>
      <c r="AJ466">
        <v>85.7031205867804</v>
      </c>
      <c r="AK466">
        <v>184.96294088078301</v>
      </c>
      <c r="AL466">
        <v>89.123587381967496</v>
      </c>
      <c r="AM466">
        <v>83.430682140478496</v>
      </c>
      <c r="AN466">
        <v>1.0000000455819</v>
      </c>
    </row>
    <row r="467" spans="1:40" x14ac:dyDescent="0.25">
      <c r="A467" t="str">
        <f>"20190312161233961"</f>
        <v>20190312161233961</v>
      </c>
      <c r="B467" t="str">
        <f>"1552378353955796"</f>
        <v>1552378353955796</v>
      </c>
      <c r="C467" t="s">
        <v>40</v>
      </c>
      <c r="D467">
        <v>5.2865149999999996</v>
      </c>
      <c r="E467">
        <v>0.48811189999999999</v>
      </c>
      <c r="F467" t="s">
        <v>52</v>
      </c>
      <c r="G467">
        <v>-158.78319999999999</v>
      </c>
      <c r="H467">
        <v>0.70321460000000002</v>
      </c>
      <c r="I467">
        <v>352.10550000000001</v>
      </c>
      <c r="J467">
        <v>-330.09410000000003</v>
      </c>
      <c r="K467">
        <v>1.1101369999999999</v>
      </c>
      <c r="L467">
        <v>367.92270000000002</v>
      </c>
      <c r="M467">
        <v>0.99979929999999995</v>
      </c>
      <c r="N467">
        <v>0</v>
      </c>
      <c r="O467">
        <v>-1.3481180000000001E-2</v>
      </c>
      <c r="P467">
        <v>0.99178330000000003</v>
      </c>
      <c r="Q467">
        <v>2.226606E-4</v>
      </c>
      <c r="R467">
        <v>-0.1279294</v>
      </c>
      <c r="S467">
        <v>2.9893190000000001</v>
      </c>
      <c r="T467">
        <v>-7.0834160000000004E-3</v>
      </c>
      <c r="U467">
        <v>-0.27548220000000001</v>
      </c>
      <c r="V467">
        <v>0.11454549999999999</v>
      </c>
      <c r="W467">
        <v>1.4943339999999999E-2</v>
      </c>
      <c r="X467">
        <v>0.99330560000000001</v>
      </c>
      <c r="Y467">
        <v>7.8332360000000004E-2</v>
      </c>
      <c r="Z467" s="1">
        <v>-6.0735929999999998E-5</v>
      </c>
      <c r="AA467">
        <v>0.99692729999999996</v>
      </c>
      <c r="AB467">
        <v>37</v>
      </c>
      <c r="AC467">
        <v>171.3109</v>
      </c>
      <c r="AD467">
        <v>-0.40692240000000002</v>
      </c>
      <c r="AE467">
        <v>-15.8172</v>
      </c>
      <c r="AF467">
        <v>13.5059600114389</v>
      </c>
      <c r="AG467">
        <v>-0.40692240000000002</v>
      </c>
      <c r="AH467">
        <v>171.50762708964001</v>
      </c>
      <c r="AI467">
        <v>90.135521294213007</v>
      </c>
      <c r="AJ467">
        <v>85.497338238157397</v>
      </c>
      <c r="AK467">
        <v>172.03907315371501</v>
      </c>
      <c r="AL467">
        <v>89.143777813638906</v>
      </c>
      <c r="AM467">
        <v>83.421851332927304</v>
      </c>
      <c r="AN467">
        <v>0.99999999498598202</v>
      </c>
    </row>
    <row r="468" spans="1:40" x14ac:dyDescent="0.25">
      <c r="A468" t="str">
        <f>"20190312161233984"</f>
        <v>20190312161233984</v>
      </c>
      <c r="B468" t="str">
        <f>"1552378353976291"</f>
        <v>1552378353976291</v>
      </c>
      <c r="C468" t="s">
        <v>40</v>
      </c>
      <c r="D468">
        <v>5.2989959999999998</v>
      </c>
      <c r="E468">
        <v>0.48848439999999999</v>
      </c>
      <c r="F468" t="s">
        <v>42</v>
      </c>
      <c r="G468">
        <v>-271.69499999999999</v>
      </c>
      <c r="H468" s="1">
        <v>-4.839907E-6</v>
      </c>
      <c r="I468">
        <v>362.31700000000001</v>
      </c>
      <c r="J468">
        <v>-329.72949999999997</v>
      </c>
      <c r="K468">
        <v>1.110136</v>
      </c>
      <c r="L468">
        <v>367.9178</v>
      </c>
      <c r="M468">
        <v>0.99979980000000002</v>
      </c>
      <c r="N468">
        <v>0</v>
      </c>
      <c r="O468">
        <v>-1.3451319999999999E-2</v>
      </c>
      <c r="P468">
        <v>0.99174229999999997</v>
      </c>
      <c r="Q468">
        <v>-3.167372E-4</v>
      </c>
      <c r="R468">
        <v>-0.1282479</v>
      </c>
      <c r="S468">
        <v>2.9879150000000001</v>
      </c>
      <c r="T468">
        <v>-5.679882E-2</v>
      </c>
      <c r="U468">
        <v>-0.28680420000000001</v>
      </c>
      <c r="V468">
        <v>0.1148938</v>
      </c>
      <c r="W468">
        <v>1.4399810000000001E-2</v>
      </c>
      <c r="X468">
        <v>0.99327339999999997</v>
      </c>
      <c r="Y468">
        <v>8.2136710000000002E-2</v>
      </c>
      <c r="Z468">
        <v>-5.2375459999999996E-4</v>
      </c>
      <c r="AA468">
        <v>0.99662099999999998</v>
      </c>
      <c r="AB468">
        <v>37</v>
      </c>
      <c r="AC468">
        <v>58.034499999999902</v>
      </c>
      <c r="AD468">
        <v>-1.1101408399070001</v>
      </c>
      <c r="AE468">
        <v>-5.6008000000000404</v>
      </c>
      <c r="AF468">
        <v>4.8178202189506196</v>
      </c>
      <c r="AG468">
        <v>-1.1101408399070001</v>
      </c>
      <c r="AH468">
        <v>58.083537027394698</v>
      </c>
      <c r="AI468">
        <v>91.091204791281399</v>
      </c>
      <c r="AJ468">
        <v>85.258375841250995</v>
      </c>
      <c r="AK468">
        <v>58.293576644080503</v>
      </c>
      <c r="AL468">
        <v>89.174923140248396</v>
      </c>
      <c r="AM468">
        <v>83.401813163980705</v>
      </c>
      <c r="AN468">
        <v>0.99999999347701796</v>
      </c>
    </row>
    <row r="469" spans="1:40" x14ac:dyDescent="0.25">
      <c r="A469" t="str">
        <f>"20190312161234006"</f>
        <v>20190312161234006</v>
      </c>
      <c r="B469" t="str">
        <f>"1552378353995812"</f>
        <v>1552378353995812</v>
      </c>
      <c r="C469" t="s">
        <v>40</v>
      </c>
      <c r="D469">
        <v>5.3906720000000004</v>
      </c>
      <c r="E469">
        <v>0.48879860000000003</v>
      </c>
      <c r="F469" t="s">
        <v>41</v>
      </c>
      <c r="G469">
        <v>-283.93799999999999</v>
      </c>
      <c r="H469">
        <v>-0.05</v>
      </c>
      <c r="I469">
        <v>363.4735</v>
      </c>
      <c r="J469">
        <v>-329.36219999999997</v>
      </c>
      <c r="K469">
        <v>1.110142</v>
      </c>
      <c r="L469">
        <v>367.91289999999998</v>
      </c>
      <c r="M469">
        <v>0.99980060000000004</v>
      </c>
      <c r="N469">
        <v>0</v>
      </c>
      <c r="O469">
        <v>-1.341822E-2</v>
      </c>
      <c r="P469">
        <v>0.99169779999999996</v>
      </c>
      <c r="Q469">
        <v>-2.2471510000000001E-4</v>
      </c>
      <c r="R469">
        <v>-0.12859139999999999</v>
      </c>
      <c r="S469">
        <v>2.9874879999999999</v>
      </c>
      <c r="T469">
        <v>-7.5688599999999995E-2</v>
      </c>
      <c r="U469">
        <v>-0.28994750000000002</v>
      </c>
      <c r="V469">
        <v>0.11527080000000001</v>
      </c>
      <c r="W469">
        <v>1.448754E-2</v>
      </c>
      <c r="X469">
        <v>0.99322840000000001</v>
      </c>
      <c r="Y469">
        <v>8.3212270000000005E-2</v>
      </c>
      <c r="Z469">
        <v>-7.1238490000000002E-4</v>
      </c>
      <c r="AA469">
        <v>0.99653159999999996</v>
      </c>
      <c r="AB469">
        <v>37</v>
      </c>
      <c r="AC469">
        <v>45.4241999999999</v>
      </c>
      <c r="AD469">
        <v>-1.160142</v>
      </c>
      <c r="AE469">
        <v>-4.4393999999999698</v>
      </c>
      <c r="AF469">
        <v>3.8269489644599202</v>
      </c>
      <c r="AG469">
        <v>-1.160142</v>
      </c>
      <c r="AH469">
        <v>45.450318231992597</v>
      </c>
      <c r="AI469">
        <v>91.457032141824698</v>
      </c>
      <c r="AJ469">
        <v>85.187007705529098</v>
      </c>
      <c r="AK469">
        <v>45.625901582611398</v>
      </c>
      <c r="AL469">
        <v>89.169896021279101</v>
      </c>
      <c r="AM469">
        <v>83.380057180730603</v>
      </c>
      <c r="AN469">
        <v>0.999999950357224</v>
      </c>
    </row>
    <row r="470" spans="1:40" x14ac:dyDescent="0.25">
      <c r="A470" t="str">
        <f>"20190312161234396"</f>
        <v>20190312161234396</v>
      </c>
      <c r="B470" t="str">
        <f>"1552378354386212"</f>
        <v>1552378354386212</v>
      </c>
      <c r="C470" t="s">
        <v>40</v>
      </c>
      <c r="D470">
        <v>4.6628619999999996</v>
      </c>
      <c r="E470">
        <v>0.46124199999999999</v>
      </c>
      <c r="F470" t="s">
        <v>41</v>
      </c>
      <c r="G470">
        <v>-285.93200000000002</v>
      </c>
      <c r="H470">
        <v>-0.05</v>
      </c>
      <c r="I470">
        <v>363.64929999999998</v>
      </c>
      <c r="J470">
        <v>-323.06389999999999</v>
      </c>
      <c r="K470">
        <v>1.1102339999999999</v>
      </c>
      <c r="L470">
        <v>367.83429999999998</v>
      </c>
      <c r="M470">
        <v>0.99982210000000005</v>
      </c>
      <c r="N470">
        <v>0</v>
      </c>
      <c r="O470">
        <v>-1.177052E-2</v>
      </c>
      <c r="P470">
        <v>0.99218770000000001</v>
      </c>
      <c r="Q470">
        <v>-3.2669120000000001E-4</v>
      </c>
      <c r="R470">
        <v>-0.1247543</v>
      </c>
      <c r="S470">
        <v>2.9870299999999999</v>
      </c>
      <c r="T470">
        <v>-7.9791899999999999E-2</v>
      </c>
      <c r="U470">
        <v>-0.29324339999999999</v>
      </c>
      <c r="V470">
        <v>0.11306239999999999</v>
      </c>
      <c r="W470">
        <v>1.434355E-2</v>
      </c>
      <c r="X470">
        <v>0.99348440000000005</v>
      </c>
      <c r="Y470">
        <v>8.595411E-2</v>
      </c>
      <c r="Z470">
        <v>-8.3148409999999999E-4</v>
      </c>
      <c r="AA470">
        <v>0.99629869999999998</v>
      </c>
      <c r="AB470">
        <v>36</v>
      </c>
      <c r="AC470">
        <v>37.131899999999902</v>
      </c>
      <c r="AD470">
        <v>-1.160234</v>
      </c>
      <c r="AE470">
        <v>-4.1849999999999996</v>
      </c>
      <c r="AF470">
        <v>3.7439912500452501</v>
      </c>
      <c r="AG470">
        <v>-1.160234</v>
      </c>
      <c r="AH470">
        <v>37.142783345433202</v>
      </c>
      <c r="AI470">
        <v>91.780158939109896</v>
      </c>
      <c r="AJ470">
        <v>84.244029672976794</v>
      </c>
      <c r="AK470">
        <v>37.3490290109524</v>
      </c>
      <c r="AL470">
        <v>89.178146978898695</v>
      </c>
      <c r="AM470">
        <v>83.5074496948247</v>
      </c>
      <c r="AN470">
        <v>1.0000000483818601</v>
      </c>
    </row>
    <row r="471" spans="1:40" x14ac:dyDescent="0.25">
      <c r="A471" t="str">
        <f>"20190312161234418"</f>
        <v>20190312161234418</v>
      </c>
      <c r="B471" t="str">
        <f>"1552378354416468"</f>
        <v>1552378354416468</v>
      </c>
      <c r="C471" t="s">
        <v>40</v>
      </c>
      <c r="D471">
        <v>4.9016289999999998</v>
      </c>
      <c r="E471">
        <v>0.4901915</v>
      </c>
      <c r="F471" t="s">
        <v>43</v>
      </c>
      <c r="G471">
        <v>-322.20269999999999</v>
      </c>
      <c r="H471">
        <v>0.9389149</v>
      </c>
      <c r="I471">
        <v>367.82310000000001</v>
      </c>
      <c r="J471">
        <v>-322.72730000000001</v>
      </c>
      <c r="K471">
        <v>1.110244</v>
      </c>
      <c r="L471">
        <v>367.8304</v>
      </c>
      <c r="M471">
        <v>0.99982349999999998</v>
      </c>
      <c r="N471">
        <v>0</v>
      </c>
      <c r="O471">
        <v>-1.166476E-2</v>
      </c>
      <c r="P471">
        <v>0.99220560000000002</v>
      </c>
      <c r="Q471">
        <v>1.6246359999999999E-4</v>
      </c>
      <c r="R471">
        <v>-0.1246116</v>
      </c>
      <c r="S471">
        <v>3.0185849999999999</v>
      </c>
      <c r="T471">
        <v>-0.60057950000000004</v>
      </c>
      <c r="U471">
        <v>-3.8299560000000003E-2</v>
      </c>
      <c r="V471">
        <v>0.1130246</v>
      </c>
      <c r="W471">
        <v>1.482844E-2</v>
      </c>
      <c r="X471">
        <v>0.99348150000000002</v>
      </c>
      <c r="Y471">
        <v>1.2255390000000001E-3</v>
      </c>
      <c r="Z471">
        <v>2.1776529999999999E-3</v>
      </c>
      <c r="AA471">
        <v>0.99999689999999997</v>
      </c>
      <c r="AB471">
        <v>36</v>
      </c>
      <c r="AC471">
        <v>0.52460000000002005</v>
      </c>
      <c r="AD471">
        <v>-0.17132910000000001</v>
      </c>
      <c r="AE471">
        <v>-7.2999999999865299E-3</v>
      </c>
      <c r="AF471">
        <v>1.0658443530080399E-3</v>
      </c>
      <c r="AG471">
        <v>-0.17132910000000001</v>
      </c>
      <c r="AH471">
        <v>0.47409210904270699</v>
      </c>
      <c r="AI471">
        <v>109.86897691984301</v>
      </c>
      <c r="AJ471">
        <v>89.871188996833098</v>
      </c>
      <c r="AK471">
        <v>0.50410130369555395</v>
      </c>
      <c r="AL471">
        <v>89.150361804341401</v>
      </c>
      <c r="AM471">
        <v>83.509583031699407</v>
      </c>
      <c r="AN471">
        <v>0.99999996684012105</v>
      </c>
    </row>
    <row r="472" spans="1:40" x14ac:dyDescent="0.25">
      <c r="A472" t="str">
        <f>"20190312161234432"</f>
        <v>20190312161234432</v>
      </c>
      <c r="B472" t="str">
        <f>"1552378354426228"</f>
        <v>1552378354426228</v>
      </c>
      <c r="C472" t="s">
        <v>40</v>
      </c>
      <c r="D472">
        <v>5.7932750000000004</v>
      </c>
      <c r="E472">
        <v>0.49232290000000001</v>
      </c>
      <c r="F472" t="s">
        <v>43</v>
      </c>
      <c r="G472">
        <v>-321.83870000000002</v>
      </c>
      <c r="H472">
        <v>1.036208</v>
      </c>
      <c r="I472">
        <v>367.7457</v>
      </c>
      <c r="J472">
        <v>-322.50720000000001</v>
      </c>
      <c r="K472">
        <v>1.110247</v>
      </c>
      <c r="L472">
        <v>367.8279</v>
      </c>
      <c r="M472">
        <v>0.99982420000000005</v>
      </c>
      <c r="N472">
        <v>0</v>
      </c>
      <c r="O472">
        <v>-1.159549E-2</v>
      </c>
      <c r="P472">
        <v>0.99221559999999998</v>
      </c>
      <c r="Q472" s="1">
        <v>2.1278860000000001E-5</v>
      </c>
      <c r="R472">
        <v>-0.12453110000000001</v>
      </c>
      <c r="S472">
        <v>2.9879150000000001</v>
      </c>
      <c r="T472">
        <v>-0.2490503</v>
      </c>
      <c r="U472">
        <v>-0.28424070000000001</v>
      </c>
      <c r="V472">
        <v>0.1130129</v>
      </c>
      <c r="W472">
        <v>1.4685409999999999E-2</v>
      </c>
      <c r="X472">
        <v>0.99348499999999995</v>
      </c>
      <c r="Y472">
        <v>8.2906569999999999E-2</v>
      </c>
      <c r="Z472">
        <v>-2.4788929999999998E-3</v>
      </c>
      <c r="AA472">
        <v>0.9965543</v>
      </c>
      <c r="AB472">
        <v>36</v>
      </c>
      <c r="AC472">
        <v>0.66849999999999399</v>
      </c>
      <c r="AD472">
        <v>-7.4038999999999897E-2</v>
      </c>
      <c r="AE472">
        <v>-8.2200000000000203E-2</v>
      </c>
      <c r="AF472">
        <v>7.3553248151331699E-2</v>
      </c>
      <c r="AG472">
        <v>-7.4038999999999897E-2</v>
      </c>
      <c r="AH472">
        <v>0.66141592770595403</v>
      </c>
      <c r="AI472">
        <v>96.348298014133505</v>
      </c>
      <c r="AJ472">
        <v>83.654452554109099</v>
      </c>
      <c r="AK472">
        <v>0.66959904663741798</v>
      </c>
      <c r="AL472">
        <v>89.158557749596199</v>
      </c>
      <c r="AM472">
        <v>83.510271838006005</v>
      </c>
      <c r="AN472">
        <v>1.0000000110291301</v>
      </c>
    </row>
    <row r="473" spans="1:40" x14ac:dyDescent="0.25">
      <c r="A473" t="str">
        <f>"20190312161234444"</f>
        <v>20190312161234444</v>
      </c>
      <c r="B473" t="str">
        <f>"1552378354435988"</f>
        <v>1552378354435988</v>
      </c>
      <c r="C473" t="s">
        <v>40</v>
      </c>
      <c r="D473">
        <v>5.4308639999999997</v>
      </c>
      <c r="E473">
        <v>0.49505359999999998</v>
      </c>
      <c r="F473" t="s">
        <v>43</v>
      </c>
      <c r="G473">
        <v>-321.52929999999998</v>
      </c>
      <c r="H473">
        <v>1.018607</v>
      </c>
      <c r="I473">
        <v>367.7296</v>
      </c>
      <c r="J473">
        <v>-322.29590000000002</v>
      </c>
      <c r="K473">
        <v>1.110247</v>
      </c>
      <c r="L473">
        <v>367.82549999999998</v>
      </c>
      <c r="M473">
        <v>0.99982519999999997</v>
      </c>
      <c r="N473">
        <v>0</v>
      </c>
      <c r="O473">
        <v>-1.152943E-2</v>
      </c>
      <c r="P473">
        <v>0.99222429999999995</v>
      </c>
      <c r="Q473">
        <v>2.7376599999999999E-4</v>
      </c>
      <c r="R473">
        <v>-0.1244647</v>
      </c>
      <c r="S473">
        <v>2.985992</v>
      </c>
      <c r="T473">
        <v>-0.27993990000000002</v>
      </c>
      <c r="U473">
        <v>-0.2994385</v>
      </c>
      <c r="V473">
        <v>0.113011899999999</v>
      </c>
      <c r="W473">
        <v>1.4935240000000001E-2</v>
      </c>
      <c r="X473">
        <v>0.99348139999999996</v>
      </c>
      <c r="Y473">
        <v>8.7969060000000002E-2</v>
      </c>
      <c r="Z473">
        <v>-3.0285540000000001E-3</v>
      </c>
      <c r="AA473">
        <v>0.99611859999999997</v>
      </c>
      <c r="AB473">
        <v>36</v>
      </c>
      <c r="AC473">
        <v>0.76660000000003903</v>
      </c>
      <c r="AD473">
        <v>-9.1639999999999902E-2</v>
      </c>
      <c r="AE473">
        <v>-9.5899999999971897E-2</v>
      </c>
      <c r="AF473">
        <v>8.5846362666039996E-2</v>
      </c>
      <c r="AG473">
        <v>-9.1639999999999902E-2</v>
      </c>
      <c r="AH473">
        <v>0.75700391580571602</v>
      </c>
      <c r="AI473">
        <v>96.858881783403305</v>
      </c>
      <c r="AJ473">
        <v>83.5301383337776</v>
      </c>
      <c r="AK473">
        <v>0.767347650109243</v>
      </c>
      <c r="AL473">
        <v>89.1442419839791</v>
      </c>
      <c r="AM473">
        <v>83.5103054572932</v>
      </c>
      <c r="AN473">
        <v>1.0000000215407101</v>
      </c>
    </row>
    <row r="474" spans="1:40" x14ac:dyDescent="0.25">
      <c r="A474" t="str">
        <f>"20190312161234464"</f>
        <v>20190312161234464</v>
      </c>
      <c r="B474" t="str">
        <f>"1552378354456484"</f>
        <v>1552378354456484</v>
      </c>
      <c r="C474" t="s">
        <v>40</v>
      </c>
      <c r="D474">
        <v>5.3897810000000002</v>
      </c>
      <c r="E474">
        <v>0.49624869999999999</v>
      </c>
      <c r="F474" t="s">
        <v>43</v>
      </c>
      <c r="G474">
        <v>-321.51909999999998</v>
      </c>
      <c r="H474">
        <v>1.0389299999999999</v>
      </c>
      <c r="I474">
        <v>367.74169999999998</v>
      </c>
      <c r="J474">
        <v>-321.99310000000003</v>
      </c>
      <c r="K474">
        <v>1.110247</v>
      </c>
      <c r="L474">
        <v>367.82209999999998</v>
      </c>
      <c r="M474">
        <v>0.99982629999999995</v>
      </c>
      <c r="N474">
        <v>0</v>
      </c>
      <c r="O474">
        <v>-1.1433810000000001E-2</v>
      </c>
      <c r="P474">
        <v>0.99226369999999997</v>
      </c>
      <c r="Q474">
        <v>7.3116459999999996E-4</v>
      </c>
      <c r="R474">
        <v>-0.1241474</v>
      </c>
      <c r="S474">
        <v>2.9833370000000001</v>
      </c>
      <c r="T474">
        <v>-0.27408080000000001</v>
      </c>
      <c r="U474">
        <v>-0.32098389999999999</v>
      </c>
      <c r="V474">
        <v>0.11278920000000001</v>
      </c>
      <c r="W474">
        <v>1.5389140000000001E-2</v>
      </c>
      <c r="X474">
        <v>0.99349980000000004</v>
      </c>
      <c r="Y474">
        <v>9.5249559999999997E-2</v>
      </c>
      <c r="Z474">
        <v>-3.3084730000000001E-3</v>
      </c>
      <c r="AA474">
        <v>0.99544790000000005</v>
      </c>
      <c r="AB474">
        <v>36</v>
      </c>
      <c r="AC474">
        <v>0.474000000000046</v>
      </c>
      <c r="AD474">
        <v>-7.1317000000000005E-2</v>
      </c>
      <c r="AE474">
        <v>-8.0399999999997293E-2</v>
      </c>
      <c r="AF474">
        <v>7.3360276874466501E-2</v>
      </c>
      <c r="AG474">
        <v>-7.1317000000000005E-2</v>
      </c>
      <c r="AH474">
        <v>0.46466371245913501</v>
      </c>
      <c r="AI474">
        <v>98.620575490304105</v>
      </c>
      <c r="AJ474">
        <v>81.028297068151502</v>
      </c>
      <c r="AK474">
        <v>0.47579429419488101</v>
      </c>
      <c r="AL474">
        <v>89.118232457231102</v>
      </c>
      <c r="AM474">
        <v>83.523104135763901</v>
      </c>
      <c r="AN474">
        <v>1.0000000409333001</v>
      </c>
    </row>
    <row r="475" spans="1:40" x14ac:dyDescent="0.25">
      <c r="A475" t="str">
        <f>"20190312161234486"</f>
        <v>20190312161234486</v>
      </c>
      <c r="B475" t="str">
        <f>"1552378354476005"</f>
        <v>1552378354476005</v>
      </c>
      <c r="C475" t="s">
        <v>40</v>
      </c>
      <c r="D475">
        <v>5.3717449999999998</v>
      </c>
      <c r="E475">
        <v>0.49694129999999997</v>
      </c>
      <c r="F475" t="s">
        <v>43</v>
      </c>
      <c r="G475">
        <v>-321.20179999999999</v>
      </c>
      <c r="H475">
        <v>1.038119</v>
      </c>
      <c r="I475">
        <v>367.7346</v>
      </c>
      <c r="J475">
        <v>-321.63749999999999</v>
      </c>
      <c r="K475">
        <v>1.1102510000000001</v>
      </c>
      <c r="L475">
        <v>367.81819999999999</v>
      </c>
      <c r="M475">
        <v>0.99982760000000004</v>
      </c>
      <c r="N475">
        <v>0</v>
      </c>
      <c r="O475">
        <v>-1.132233E-2</v>
      </c>
      <c r="P475">
        <v>0.99226820000000004</v>
      </c>
      <c r="Q475">
        <v>8.823406E-4</v>
      </c>
      <c r="R475">
        <v>-0.1241096</v>
      </c>
      <c r="S475">
        <v>2.9823300000000001</v>
      </c>
      <c r="T475">
        <v>-0.27181110000000003</v>
      </c>
      <c r="U475">
        <v>-0.3295593</v>
      </c>
      <c r="V475">
        <v>0.11286210000000001</v>
      </c>
      <c r="W475">
        <v>1.5536940000000001E-2</v>
      </c>
      <c r="X475">
        <v>0.99348919999999996</v>
      </c>
      <c r="Y475">
        <v>9.8217620000000005E-2</v>
      </c>
      <c r="Z475">
        <v>-3.4264579999999998E-3</v>
      </c>
      <c r="AA475">
        <v>0.99515909999999996</v>
      </c>
      <c r="AB475">
        <v>36</v>
      </c>
      <c r="AC475">
        <v>0.43569999999999698</v>
      </c>
      <c r="AD475">
        <v>-7.2132000000000002E-2</v>
      </c>
      <c r="AE475">
        <v>-8.3599999999989905E-2</v>
      </c>
      <c r="AF475">
        <v>7.6635118257650903E-2</v>
      </c>
      <c r="AG475">
        <v>-7.2132000000000002E-2</v>
      </c>
      <c r="AH475">
        <v>0.42537395977008502</v>
      </c>
      <c r="AI475">
        <v>99.474572472789902</v>
      </c>
      <c r="AJ475">
        <v>79.787180081811897</v>
      </c>
      <c r="AK475">
        <v>0.43819969468821601</v>
      </c>
      <c r="AL475">
        <v>89.109763110412302</v>
      </c>
      <c r="AM475">
        <v>83.518884914411501</v>
      </c>
      <c r="AN475">
        <v>1.0000000203188</v>
      </c>
    </row>
    <row r="476" spans="1:40" x14ac:dyDescent="0.25">
      <c r="A476" t="str">
        <f>"20190312161234564"</f>
        <v>20190312161234564</v>
      </c>
      <c r="B476" t="str">
        <f>"1552378354556105"</f>
        <v>1552378354556105</v>
      </c>
      <c r="C476" t="s">
        <v>40</v>
      </c>
      <c r="D476">
        <v>4.9918269999999998</v>
      </c>
      <c r="E476">
        <v>0.52215180000000005</v>
      </c>
      <c r="F476" t="s">
        <v>43</v>
      </c>
      <c r="G476">
        <v>-319.72809999999998</v>
      </c>
      <c r="H476">
        <v>0.76757489999999995</v>
      </c>
      <c r="I476">
        <v>367.67219999999998</v>
      </c>
      <c r="J476">
        <v>-320.37380000000002</v>
      </c>
      <c r="K476">
        <v>1.1095549999999901</v>
      </c>
      <c r="L476">
        <v>367.80439999999999</v>
      </c>
      <c r="M476">
        <v>0.99985250000000003</v>
      </c>
      <c r="N476">
        <v>0</v>
      </c>
      <c r="O476">
        <v>-1.0909210000000001E-2</v>
      </c>
      <c r="P476">
        <v>0.99236480000000005</v>
      </c>
      <c r="Q476">
        <v>1.446096E-3</v>
      </c>
      <c r="R476">
        <v>-0.12333</v>
      </c>
      <c r="S476">
        <v>2.966431</v>
      </c>
      <c r="T476">
        <v>-1.205244</v>
      </c>
      <c r="U476">
        <v>-0.47140500000000002</v>
      </c>
      <c r="V476">
        <v>0.11249240000000001</v>
      </c>
      <c r="W476">
        <v>1.466252E-2</v>
      </c>
      <c r="X476">
        <v>0.99354439999999999</v>
      </c>
      <c r="Y476">
        <v>0.13643559999999999</v>
      </c>
      <c r="Z476">
        <v>-2.227117E-2</v>
      </c>
      <c r="AA476">
        <v>0.99039860000000002</v>
      </c>
      <c r="AB476">
        <v>36</v>
      </c>
      <c r="AC476">
        <v>0.64570000000003303</v>
      </c>
      <c r="AD476">
        <v>-0.34198009999999901</v>
      </c>
      <c r="AE476">
        <v>-0.132200000000011</v>
      </c>
      <c r="AF476">
        <v>9.8601884328881798E-2</v>
      </c>
      <c r="AG476">
        <v>-0.34198009999999901</v>
      </c>
      <c r="AH476">
        <v>0.50984395553238304</v>
      </c>
      <c r="AI476">
        <v>123.36697764605999</v>
      </c>
      <c r="AJ476">
        <v>79.054342340816504</v>
      </c>
      <c r="AK476">
        <v>0.62178258208325698</v>
      </c>
      <c r="AL476">
        <v>89.159869383746297</v>
      </c>
      <c r="AM476">
        <v>83.540291087477897</v>
      </c>
      <c r="AN476">
        <v>1.0000000021609301</v>
      </c>
    </row>
    <row r="477" spans="1:40" x14ac:dyDescent="0.25">
      <c r="A477" t="str">
        <f>"20190312161234577"</f>
        <v>20190312161234577</v>
      </c>
      <c r="B477" t="str">
        <f>"1552378354565865"</f>
        <v>1552378354565865</v>
      </c>
      <c r="C477" t="s">
        <v>40</v>
      </c>
      <c r="D477">
        <v>5.6534839999999997</v>
      </c>
      <c r="E477">
        <v>0.51749590000000001</v>
      </c>
      <c r="F477" t="s">
        <v>43</v>
      </c>
      <c r="G477">
        <v>-319.69319999999999</v>
      </c>
      <c r="H477">
        <v>0.85402800000000001</v>
      </c>
      <c r="I477">
        <v>367.69119999999998</v>
      </c>
      <c r="J477">
        <v>-320.18099999999998</v>
      </c>
      <c r="K477">
        <v>1.109348</v>
      </c>
      <c r="L477">
        <v>367.8023</v>
      </c>
      <c r="M477">
        <v>0.99985020000000002</v>
      </c>
      <c r="N477">
        <v>0</v>
      </c>
      <c r="O477">
        <v>-1.0845189999999999E-2</v>
      </c>
      <c r="P477">
        <v>0.99233159999999998</v>
      </c>
      <c r="Q477">
        <v>1.5401E-3</v>
      </c>
      <c r="R477">
        <v>-0.123595899999999</v>
      </c>
      <c r="S477">
        <v>2.963654</v>
      </c>
      <c r="T477">
        <v>-1.112692</v>
      </c>
      <c r="U477">
        <v>-0.49118040000000002</v>
      </c>
      <c r="V477">
        <v>0.1128222</v>
      </c>
      <c r="W477">
        <v>1.497386E-2</v>
      </c>
      <c r="X477">
        <v>0.99350240000000001</v>
      </c>
      <c r="Y477">
        <v>0.1439609</v>
      </c>
      <c r="Z477">
        <v>-2.2060779999999999E-2</v>
      </c>
      <c r="AA477">
        <v>0.98933740000000003</v>
      </c>
      <c r="AB477">
        <v>36</v>
      </c>
      <c r="AC477">
        <v>0.48779999999999202</v>
      </c>
      <c r="AD477">
        <v>-0.25531999999999899</v>
      </c>
      <c r="AE477">
        <v>-0.111100000000021</v>
      </c>
      <c r="AF477">
        <v>8.3940487721923099E-2</v>
      </c>
      <c r="AG477">
        <v>-0.25531999999999899</v>
      </c>
      <c r="AH477">
        <v>0.38793821510939103</v>
      </c>
      <c r="AI477">
        <v>122.75155709387001</v>
      </c>
      <c r="AJ477">
        <v>77.790789944290495</v>
      </c>
      <c r="AK477">
        <v>0.47194318156029602</v>
      </c>
      <c r="AL477">
        <v>89.142028991149203</v>
      </c>
      <c r="AM477">
        <v>83.521242038361706</v>
      </c>
      <c r="AN477">
        <v>1.0000000420509401</v>
      </c>
    </row>
    <row r="478" spans="1:40" x14ac:dyDescent="0.25">
      <c r="A478" t="str">
        <f>"20190312161234590"</f>
        <v>20190312161234590</v>
      </c>
      <c r="B478" t="str">
        <f>"1552378354586361"</f>
        <v>1552378354586361</v>
      </c>
      <c r="C478" t="s">
        <v>40</v>
      </c>
      <c r="D478">
        <v>5.6370990000000001</v>
      </c>
      <c r="E478">
        <v>0.49884070000000003</v>
      </c>
      <c r="F478" t="s">
        <v>43</v>
      </c>
      <c r="G478">
        <v>-319.38049999999998</v>
      </c>
      <c r="H478">
        <v>0.83689550000000001</v>
      </c>
      <c r="I478">
        <v>367.6782</v>
      </c>
      <c r="J478">
        <v>-319.98910000000001</v>
      </c>
      <c r="K478">
        <v>1.1091070000000001</v>
      </c>
      <c r="L478">
        <v>367.80029999999999</v>
      </c>
      <c r="M478">
        <v>0.99984689999999998</v>
      </c>
      <c r="N478">
        <v>0</v>
      </c>
      <c r="O478">
        <v>-1.0781570000000001E-2</v>
      </c>
      <c r="P478">
        <v>0.99230759999999996</v>
      </c>
      <c r="Q478">
        <v>1.4467799999999999E-3</v>
      </c>
      <c r="R478">
        <v>-0.1237883</v>
      </c>
      <c r="S478">
        <v>2.967438</v>
      </c>
      <c r="T478">
        <v>-1.010022</v>
      </c>
      <c r="U478">
        <v>-0.46011350000000001</v>
      </c>
      <c r="V478">
        <v>0.113078</v>
      </c>
      <c r="W478">
        <v>1.517363E-2</v>
      </c>
      <c r="X478">
        <v>0.99347030000000003</v>
      </c>
      <c r="Y478">
        <v>0.135686</v>
      </c>
      <c r="Z478">
        <v>-1.8786830000000001E-2</v>
      </c>
      <c r="AA478">
        <v>0.99057379999999995</v>
      </c>
      <c r="AB478">
        <v>36</v>
      </c>
      <c r="AC478">
        <v>0.60860000000002301</v>
      </c>
      <c r="AD478">
        <v>-0.2722115</v>
      </c>
      <c r="AE478">
        <v>-0.122099999999989</v>
      </c>
      <c r="AF478">
        <v>9.6896119517008203E-2</v>
      </c>
      <c r="AG478">
        <v>-0.2722115</v>
      </c>
      <c r="AH478">
        <v>0.51151046940709499</v>
      </c>
      <c r="AI478">
        <v>117.603859300557</v>
      </c>
      <c r="AJ478">
        <v>79.273482148854598</v>
      </c>
      <c r="AK478">
        <v>0.58747844132595295</v>
      </c>
      <c r="AL478">
        <v>89.1305817244602</v>
      </c>
      <c r="AM478">
        <v>83.506470151195401</v>
      </c>
      <c r="AN478">
        <v>1.0000000550567301</v>
      </c>
    </row>
    <row r="479" spans="1:40" x14ac:dyDescent="0.25">
      <c r="A479" t="str">
        <f>"20190312161234608"</f>
        <v>20190312161234608</v>
      </c>
      <c r="B479" t="str">
        <f>"1552378354605881"</f>
        <v>1552378354605881</v>
      </c>
      <c r="C479" t="s">
        <v>40</v>
      </c>
      <c r="D479">
        <v>5.4633520000000004</v>
      </c>
      <c r="E479">
        <v>0.50346800000000003</v>
      </c>
      <c r="F479" t="s">
        <v>43</v>
      </c>
      <c r="G479">
        <v>-318.98079999999999</v>
      </c>
      <c r="H479">
        <v>1.012195</v>
      </c>
      <c r="I479">
        <v>367.6823</v>
      </c>
      <c r="J479">
        <v>-319.6943</v>
      </c>
      <c r="K479">
        <v>1.1085750000000001</v>
      </c>
      <c r="L479">
        <v>367.79719999999998</v>
      </c>
      <c r="M479">
        <v>0.99983840000000002</v>
      </c>
      <c r="N479">
        <v>0</v>
      </c>
      <c r="O479">
        <v>-1.068327E-2</v>
      </c>
      <c r="P479">
        <v>0.99226990000000004</v>
      </c>
      <c r="Q479">
        <v>7.6779349999999997E-4</v>
      </c>
      <c r="R479">
        <v>-0.1240957</v>
      </c>
      <c r="S479">
        <v>2.9802249999999999</v>
      </c>
      <c r="T479">
        <v>-0.28661419999999999</v>
      </c>
      <c r="U479">
        <v>-0.34811399999999998</v>
      </c>
      <c r="V479">
        <v>0.1134833</v>
      </c>
      <c r="W479">
        <v>1.5160760000000001E-2</v>
      </c>
      <c r="X479">
        <v>0.99342419999999998</v>
      </c>
      <c r="Y479">
        <v>0.1049713</v>
      </c>
      <c r="Z479">
        <v>-3.9975339999999996E-3</v>
      </c>
      <c r="AA479">
        <v>0.9944672</v>
      </c>
      <c r="AB479">
        <v>36</v>
      </c>
      <c r="AC479">
        <v>0.71350000000001002</v>
      </c>
      <c r="AD479">
        <v>-9.6379999999999896E-2</v>
      </c>
      <c r="AE479">
        <v>-0.11489999999997701</v>
      </c>
      <c r="AF479">
        <v>0.105395614293844</v>
      </c>
      <c r="AG479">
        <v>-9.6379999999999896E-2</v>
      </c>
      <c r="AH479">
        <v>0.70219794435646898</v>
      </c>
      <c r="AI479">
        <v>97.729765086291096</v>
      </c>
      <c r="AJ479">
        <v>81.463973873719794</v>
      </c>
      <c r="AK479">
        <v>0.71657469462075496</v>
      </c>
      <c r="AL479">
        <v>89.131319136022896</v>
      </c>
      <c r="AM479">
        <v>83.483095750297096</v>
      </c>
      <c r="AN479">
        <v>0.99999997458415302</v>
      </c>
    </row>
    <row r="480" spans="1:40" x14ac:dyDescent="0.25">
      <c r="A480" t="str">
        <f>"20190312161234630"</f>
        <v>20190312161234630</v>
      </c>
      <c r="B480" t="str">
        <f>"1552378354626376"</f>
        <v>1552378354626376</v>
      </c>
      <c r="C480" t="s">
        <v>40</v>
      </c>
      <c r="D480">
        <v>5.606382</v>
      </c>
      <c r="E480">
        <v>0.50548999999999999</v>
      </c>
      <c r="F480" t="s">
        <v>43</v>
      </c>
      <c r="G480">
        <v>-318.65499999999997</v>
      </c>
      <c r="H480">
        <v>1.0251300000000001</v>
      </c>
      <c r="I480">
        <v>367.66149999999999</v>
      </c>
      <c r="J480">
        <v>-319.3458</v>
      </c>
      <c r="K480">
        <v>1.107723</v>
      </c>
      <c r="L480">
        <v>367.79349999999999</v>
      </c>
      <c r="M480">
        <v>0.99982070000000001</v>
      </c>
      <c r="N480">
        <v>0</v>
      </c>
      <c r="O480">
        <v>-1.0584059999999999E-2</v>
      </c>
      <c r="P480">
        <v>0.99224330000000005</v>
      </c>
      <c r="Q480">
        <v>-4.710928E-4</v>
      </c>
      <c r="R480">
        <v>-0.1243117</v>
      </c>
      <c r="S480">
        <v>2.974945</v>
      </c>
      <c r="T480">
        <v>-0.23894550000000001</v>
      </c>
      <c r="U480">
        <v>-0.38818360000000002</v>
      </c>
      <c r="V480">
        <v>0.1137977</v>
      </c>
      <c r="W480">
        <v>1.5158380000000001E-2</v>
      </c>
      <c r="X480">
        <v>0.9933883</v>
      </c>
      <c r="Y480">
        <v>0.1185421</v>
      </c>
      <c r="Z480">
        <v>-3.887869E-3</v>
      </c>
      <c r="AA480">
        <v>0.99294139999999997</v>
      </c>
      <c r="AB480">
        <v>36</v>
      </c>
      <c r="AC480">
        <v>0.69080000000002395</v>
      </c>
      <c r="AD480">
        <v>-8.2593000000000097E-2</v>
      </c>
      <c r="AE480">
        <v>-0.132000000000005</v>
      </c>
      <c r="AF480">
        <v>0.122984115663622</v>
      </c>
      <c r="AG480">
        <v>-8.2593000000000097E-2</v>
      </c>
      <c r="AH480">
        <v>0.68274261310138995</v>
      </c>
      <c r="AI480">
        <v>96.789462176521397</v>
      </c>
      <c r="AJ480">
        <v>79.788674479302102</v>
      </c>
      <c r="AK480">
        <v>0.69863021126993696</v>
      </c>
      <c r="AL480">
        <v>89.131455541024707</v>
      </c>
      <c r="AM480">
        <v>83.464962818551001</v>
      </c>
      <c r="AN480">
        <v>1.0000000037932</v>
      </c>
    </row>
    <row r="481" spans="1:40" x14ac:dyDescent="0.25">
      <c r="A481" t="str">
        <f>"20190312161234642"</f>
        <v>20190312161234642</v>
      </c>
      <c r="B481" t="str">
        <f>"1552378354636137"</f>
        <v>1552378354636137</v>
      </c>
      <c r="C481" t="s">
        <v>40</v>
      </c>
      <c r="D481">
        <v>5.6162939999999999</v>
      </c>
      <c r="E481">
        <v>0.50465950000000004</v>
      </c>
      <c r="F481" t="s">
        <v>43</v>
      </c>
      <c r="G481">
        <v>-318.33620000000002</v>
      </c>
      <c r="H481">
        <v>1.0260530000000001</v>
      </c>
      <c r="I481">
        <v>367.65589999999997</v>
      </c>
      <c r="J481">
        <v>-319.13279999999997</v>
      </c>
      <c r="K481">
        <v>1.1071070000000001</v>
      </c>
      <c r="L481">
        <v>367.79140000000001</v>
      </c>
      <c r="M481">
        <v>0.99980440000000004</v>
      </c>
      <c r="N481">
        <v>0</v>
      </c>
      <c r="O481">
        <v>-1.052734E-2</v>
      </c>
      <c r="P481">
        <v>0.99219409999999997</v>
      </c>
      <c r="Q481">
        <v>-1.4547049999999999E-3</v>
      </c>
      <c r="R481">
        <v>-0.1246958</v>
      </c>
      <c r="S481">
        <v>2.9725950000000001</v>
      </c>
      <c r="T481">
        <v>-0.240567</v>
      </c>
      <c r="U481">
        <v>-0.40499879999999999</v>
      </c>
      <c r="V481">
        <v>0.1142383</v>
      </c>
      <c r="W481">
        <v>1.521607E-2</v>
      </c>
      <c r="X481">
        <v>0.99333689999999997</v>
      </c>
      <c r="Y481">
        <v>0.12419230000000001</v>
      </c>
      <c r="Z481">
        <v>-4.1475419999999997E-3</v>
      </c>
      <c r="AA481">
        <v>0.99224950000000001</v>
      </c>
      <c r="AB481">
        <v>36</v>
      </c>
      <c r="AC481">
        <v>0.79659999999995501</v>
      </c>
      <c r="AD481">
        <v>-8.1053999999999904E-2</v>
      </c>
      <c r="AE481">
        <v>-0.13550000000003501</v>
      </c>
      <c r="AF481">
        <v>0.125839051445231</v>
      </c>
      <c r="AG481">
        <v>-8.1053999999999904E-2</v>
      </c>
      <c r="AH481">
        <v>0.79003324413496301</v>
      </c>
      <c r="AI481">
        <v>95.785377037020695</v>
      </c>
      <c r="AJ481">
        <v>80.949770031832202</v>
      </c>
      <c r="AK481">
        <v>0.80408814480941604</v>
      </c>
      <c r="AL481">
        <v>89.128149813026496</v>
      </c>
      <c r="AM481">
        <v>83.439544210571697</v>
      </c>
      <c r="AN481">
        <v>1.00000005743737</v>
      </c>
    </row>
    <row r="482" spans="1:40" x14ac:dyDescent="0.25">
      <c r="A482" t="str">
        <f>"20190312161234656"</f>
        <v>20190312161234656</v>
      </c>
      <c r="B482" t="str">
        <f>"1552378354645897"</f>
        <v>1552378354645897</v>
      </c>
      <c r="C482" t="s">
        <v>40</v>
      </c>
      <c r="D482">
        <v>5.7623049999999996</v>
      </c>
      <c r="E482">
        <v>0.50410900000000003</v>
      </c>
      <c r="F482" t="s">
        <v>43</v>
      </c>
      <c r="G482">
        <v>-318.32530000000003</v>
      </c>
      <c r="H482">
        <v>1.04274</v>
      </c>
      <c r="I482">
        <v>367.68270000000001</v>
      </c>
      <c r="J482">
        <v>-318.92899999999997</v>
      </c>
      <c r="K482">
        <v>1.1064529999999999</v>
      </c>
      <c r="L482">
        <v>367.78930000000003</v>
      </c>
      <c r="M482">
        <v>0.99978540000000005</v>
      </c>
      <c r="N482">
        <v>0</v>
      </c>
      <c r="O482">
        <v>-1.0471930000000001E-2</v>
      </c>
      <c r="P482">
        <v>0.99219690000000005</v>
      </c>
      <c r="Q482">
        <v>-2.7214079999999998E-3</v>
      </c>
      <c r="R482">
        <v>-0.1246521</v>
      </c>
      <c r="S482">
        <v>2.9730219999999998</v>
      </c>
      <c r="T482">
        <v>-0.23706099999999999</v>
      </c>
      <c r="U482">
        <v>-0.39974979999999999</v>
      </c>
      <c r="V482">
        <v>0.1142493</v>
      </c>
      <c r="W482">
        <v>1.5062539999999999E-2</v>
      </c>
      <c r="X482">
        <v>0.9933379</v>
      </c>
      <c r="Y482">
        <v>0.1225231</v>
      </c>
      <c r="Z482">
        <v>-4.0254130000000003E-3</v>
      </c>
      <c r="AA482">
        <v>0.99245749999999999</v>
      </c>
      <c r="AB482">
        <v>36</v>
      </c>
      <c r="AC482">
        <v>0.60370000000000301</v>
      </c>
      <c r="AD482">
        <v>-6.3713000000000103E-2</v>
      </c>
      <c r="AE482">
        <v>-0.106600000000014</v>
      </c>
      <c r="AF482">
        <v>9.9199744225759404E-2</v>
      </c>
      <c r="AG482">
        <v>-6.3713000000000103E-2</v>
      </c>
      <c r="AH482">
        <v>0.598320682008186</v>
      </c>
      <c r="AI482">
        <v>95.997056307849306</v>
      </c>
      <c r="AJ482">
        <v>80.586168924884504</v>
      </c>
      <c r="AK482">
        <v>0.60982585558682001</v>
      </c>
      <c r="AL482">
        <v>89.136947377672698</v>
      </c>
      <c r="AM482">
        <v>83.438924559810602</v>
      </c>
      <c r="AN482">
        <v>0.99999998311907501</v>
      </c>
    </row>
    <row r="483" spans="1:40" x14ac:dyDescent="0.25">
      <c r="A483" t="str">
        <f>"20190312161234676"</f>
        <v>20190312161234676</v>
      </c>
      <c r="B483" t="str">
        <f>"1552378354666392"</f>
        <v>1552378354666392</v>
      </c>
      <c r="C483" t="s">
        <v>40</v>
      </c>
      <c r="D483">
        <v>5.8042480000000003</v>
      </c>
      <c r="E483">
        <v>0.5042856</v>
      </c>
      <c r="F483" t="s">
        <v>43</v>
      </c>
      <c r="G483">
        <v>-318.01080000000002</v>
      </c>
      <c r="H483">
        <v>1.0372349999999999</v>
      </c>
      <c r="I483">
        <v>367.66699999999997</v>
      </c>
      <c r="J483">
        <v>-318.62020000000001</v>
      </c>
      <c r="K483">
        <v>1.1053090000000001</v>
      </c>
      <c r="L483">
        <v>367.78609999999998</v>
      </c>
      <c r="M483">
        <v>0.99975499999999995</v>
      </c>
      <c r="N483">
        <v>0</v>
      </c>
      <c r="O483">
        <v>-1.038158E-2</v>
      </c>
      <c r="P483">
        <v>0.99222370000000004</v>
      </c>
      <c r="Q483">
        <v>-4.3261030000000004E-3</v>
      </c>
      <c r="R483">
        <v>-0.1243934</v>
      </c>
      <c r="S483">
        <v>2.9731749999999999</v>
      </c>
      <c r="T483">
        <v>-0.22413859999999999</v>
      </c>
      <c r="U483">
        <v>-0.39624019999999999</v>
      </c>
      <c r="V483">
        <v>0.11408</v>
      </c>
      <c r="W483">
        <v>1.513072E-2</v>
      </c>
      <c r="X483">
        <v>0.99335629999999997</v>
      </c>
      <c r="Y483">
        <v>0.1214944</v>
      </c>
      <c r="Z483">
        <v>-3.7749099999999998E-3</v>
      </c>
      <c r="AA483">
        <v>0.99258489999999999</v>
      </c>
      <c r="AB483">
        <v>35</v>
      </c>
      <c r="AC483">
        <v>0.60939999999999295</v>
      </c>
      <c r="AD483">
        <v>-6.8073999999999898E-2</v>
      </c>
      <c r="AE483">
        <v>-0.119100000000003</v>
      </c>
      <c r="AF483">
        <v>0.11142656861788</v>
      </c>
      <c r="AG483">
        <v>-6.8073999999999898E-2</v>
      </c>
      <c r="AH483">
        <v>0.60335197618826097</v>
      </c>
      <c r="AI483">
        <v>96.331081972749402</v>
      </c>
      <c r="AJ483">
        <v>79.536554341054696</v>
      </c>
      <c r="AK483">
        <v>0.61731965531662303</v>
      </c>
      <c r="AL483">
        <v>89.133040487748005</v>
      </c>
      <c r="AM483">
        <v>83.448682782767094</v>
      </c>
      <c r="AN483">
        <v>0.999999961918703</v>
      </c>
    </row>
    <row r="484" spans="1:40" x14ac:dyDescent="0.25">
      <c r="A484" t="str">
        <f>"20190312161234698"</f>
        <v>20190312161234698</v>
      </c>
      <c r="B484" t="str">
        <f>"1552378354685912"</f>
        <v>1552378354685912</v>
      </c>
      <c r="C484" t="s">
        <v>40</v>
      </c>
      <c r="D484">
        <v>5.4972770000000004</v>
      </c>
      <c r="E484">
        <v>0.50339730000000005</v>
      </c>
      <c r="F484" t="s">
        <v>43</v>
      </c>
      <c r="G484">
        <v>-317.69369999999998</v>
      </c>
      <c r="H484">
        <v>1.0354890000000001</v>
      </c>
      <c r="I484">
        <v>367.66219999999998</v>
      </c>
      <c r="J484">
        <v>-318.2688</v>
      </c>
      <c r="K484">
        <v>1.1037300000000001</v>
      </c>
      <c r="L484">
        <v>367.7826</v>
      </c>
      <c r="M484">
        <v>0.99972439999999996</v>
      </c>
      <c r="N484">
        <v>0</v>
      </c>
      <c r="O484">
        <v>-1.026489E-2</v>
      </c>
      <c r="P484">
        <v>0.99228309999999997</v>
      </c>
      <c r="Q484">
        <v>-5.8219919999999998E-3</v>
      </c>
      <c r="R484">
        <v>-0.1238567</v>
      </c>
      <c r="S484">
        <v>2.9728089999999998</v>
      </c>
      <c r="T484">
        <v>-0.2241805</v>
      </c>
      <c r="U484">
        <v>-0.39694210000000002</v>
      </c>
      <c r="V484">
        <v>0.11365839999999899</v>
      </c>
      <c r="W484">
        <v>1.518222E-2</v>
      </c>
      <c r="X484">
        <v>0.99340390000000001</v>
      </c>
      <c r="Y484">
        <v>0.12185459999999999</v>
      </c>
      <c r="Z484">
        <v>-3.79824E-3</v>
      </c>
      <c r="AA484">
        <v>0.99254070000000005</v>
      </c>
      <c r="AB484">
        <v>35</v>
      </c>
      <c r="AC484">
        <v>0.57510000000002004</v>
      </c>
      <c r="AD484">
        <v>-6.8240999999999996E-2</v>
      </c>
      <c r="AE484">
        <v>-0.12040000000001699</v>
      </c>
      <c r="AF484">
        <v>0.112965229987081</v>
      </c>
      <c r="AG484">
        <v>-6.8240999999999996E-2</v>
      </c>
      <c r="AH484">
        <v>0.56863562276843405</v>
      </c>
      <c r="AI484">
        <v>96.713284247722896</v>
      </c>
      <c r="AJ484">
        <v>78.763902441710798</v>
      </c>
      <c r="AK484">
        <v>0.58375033083354999</v>
      </c>
      <c r="AL484">
        <v>89.130089466642303</v>
      </c>
      <c r="AM484">
        <v>83.472994912983395</v>
      </c>
      <c r="AN484">
        <v>1.0000000201149399</v>
      </c>
    </row>
    <row r="485" spans="1:40" x14ac:dyDescent="0.25">
      <c r="A485" t="str">
        <f>"20190312161234711"</f>
        <v>20190312161234711</v>
      </c>
      <c r="B485" t="str">
        <f>"1552378354706408"</f>
        <v>1552378354706408</v>
      </c>
      <c r="C485" t="s">
        <v>40</v>
      </c>
      <c r="D485">
        <v>5.5883229999999999</v>
      </c>
      <c r="E485">
        <v>0.50357220000000003</v>
      </c>
      <c r="F485" t="s">
        <v>43</v>
      </c>
      <c r="G485">
        <v>-317.37520000000001</v>
      </c>
      <c r="H485">
        <v>1.0360450000000001</v>
      </c>
      <c r="I485">
        <v>367.66559999999998</v>
      </c>
      <c r="J485">
        <v>-318.06540000000001</v>
      </c>
      <c r="K485">
        <v>1.102703</v>
      </c>
      <c r="L485">
        <v>367.78050000000002</v>
      </c>
      <c r="M485">
        <v>0.99970919999999996</v>
      </c>
      <c r="N485">
        <v>0</v>
      </c>
      <c r="O485">
        <v>-1.0194999999999999E-2</v>
      </c>
      <c r="P485">
        <v>0.99232670000000001</v>
      </c>
      <c r="Q485">
        <v>-6.7820789999999999E-3</v>
      </c>
      <c r="R485">
        <v>-0.12345689999999999</v>
      </c>
      <c r="S485">
        <v>2.9735719999999999</v>
      </c>
      <c r="T485">
        <v>-0.22536580000000001</v>
      </c>
      <c r="U485">
        <v>-0.38867190000000001</v>
      </c>
      <c r="V485">
        <v>0.1133276</v>
      </c>
      <c r="W485">
        <v>1.496337E-2</v>
      </c>
      <c r="X485">
        <v>0.99344500000000002</v>
      </c>
      <c r="Y485">
        <v>0.11918090000000001</v>
      </c>
      <c r="Z485">
        <v>-3.7224900000000002E-3</v>
      </c>
      <c r="AA485">
        <v>0.99286560000000001</v>
      </c>
      <c r="AB485">
        <v>35</v>
      </c>
      <c r="AC485">
        <v>0.69020000000000403</v>
      </c>
      <c r="AD485">
        <v>-6.6657999999999801E-2</v>
      </c>
      <c r="AE485">
        <v>-0.114900000000034</v>
      </c>
      <c r="AF485">
        <v>0.10688568789686601</v>
      </c>
      <c r="AG485">
        <v>-6.6657999999999801E-2</v>
      </c>
      <c r="AH485">
        <v>0.68511783864392795</v>
      </c>
      <c r="AI485">
        <v>95.491047915820502</v>
      </c>
      <c r="AJ485">
        <v>81.132727554663305</v>
      </c>
      <c r="AK485">
        <v>0.696601961000193</v>
      </c>
      <c r="AL485">
        <v>89.142630061737293</v>
      </c>
      <c r="AM485">
        <v>83.492095326719706</v>
      </c>
      <c r="AN485">
        <v>1.0000000076942499</v>
      </c>
    </row>
    <row r="486" spans="1:40" x14ac:dyDescent="0.25">
      <c r="A486" t="str">
        <f>"20190312161234723"</f>
        <v>20190312161234723</v>
      </c>
      <c r="B486" t="str">
        <f>"1552378354716168"</f>
        <v>1552378354716168</v>
      </c>
      <c r="C486" t="s">
        <v>40</v>
      </c>
      <c r="D486">
        <v>5.6547660000000004</v>
      </c>
      <c r="E486">
        <v>0.503355</v>
      </c>
      <c r="F486" t="s">
        <v>43</v>
      </c>
      <c r="G486">
        <v>-317.06200000000001</v>
      </c>
      <c r="H486">
        <v>1.02803</v>
      </c>
      <c r="I486">
        <v>367.64920000000001</v>
      </c>
      <c r="J486">
        <v>-317.8614</v>
      </c>
      <c r="K486">
        <v>1.1015680000000001</v>
      </c>
      <c r="L486">
        <v>367.77850000000001</v>
      </c>
      <c r="M486">
        <v>0.99969620000000003</v>
      </c>
      <c r="N486">
        <v>0</v>
      </c>
      <c r="O486">
        <v>-1.0126110000000001E-2</v>
      </c>
      <c r="P486">
        <v>0.99233190000000004</v>
      </c>
      <c r="Q486">
        <v>-7.42445E-3</v>
      </c>
      <c r="R486">
        <v>-0.12337960000000001</v>
      </c>
      <c r="S486">
        <v>2.9732669999999999</v>
      </c>
      <c r="T486">
        <v>-0.22127949999999999</v>
      </c>
      <c r="U486">
        <v>-0.3890381</v>
      </c>
      <c r="V486">
        <v>0.1133184</v>
      </c>
      <c r="W486">
        <v>1.4938099999999999E-2</v>
      </c>
      <c r="X486">
        <v>0.99344639999999995</v>
      </c>
      <c r="Y486">
        <v>0.1193927</v>
      </c>
      <c r="Z486">
        <v>-3.668447E-3</v>
      </c>
      <c r="AA486">
        <v>0.99284030000000001</v>
      </c>
      <c r="AB486">
        <v>35</v>
      </c>
      <c r="AC486">
        <v>0.79939999999999101</v>
      </c>
      <c r="AD486">
        <v>-7.3538000000000103E-2</v>
      </c>
      <c r="AE486">
        <v>-0.1293</v>
      </c>
      <c r="AF486">
        <v>0.12020521577545901</v>
      </c>
      <c r="AG486">
        <v>-7.3538000000000103E-2</v>
      </c>
      <c r="AH486">
        <v>0.79411977392710398</v>
      </c>
      <c r="AI486">
        <v>95.231424408183898</v>
      </c>
      <c r="AJ486">
        <v>81.392530901259306</v>
      </c>
      <c r="AK486">
        <v>0.80652547801396801</v>
      </c>
      <c r="AL486">
        <v>89.144078062621503</v>
      </c>
      <c r="AM486">
        <v>83.492628202200706</v>
      </c>
      <c r="AN486">
        <v>0.99999997814156405</v>
      </c>
    </row>
    <row r="487" spans="1:40" x14ac:dyDescent="0.25">
      <c r="A487" t="str">
        <f>"20190312161234736"</f>
        <v>20190312161234736</v>
      </c>
      <c r="B487" t="str">
        <f>"1552378354725929"</f>
        <v>1552378354725929</v>
      </c>
      <c r="C487" t="s">
        <v>40</v>
      </c>
      <c r="D487">
        <v>5.5709390000000001</v>
      </c>
      <c r="E487">
        <v>0.50344179999999905</v>
      </c>
      <c r="F487" t="s">
        <v>41</v>
      </c>
      <c r="G487">
        <v>-301.87299999999999</v>
      </c>
      <c r="H487">
        <v>-0.05</v>
      </c>
      <c r="I487">
        <v>365.69409999999999</v>
      </c>
      <c r="J487">
        <v>-317.65899999999999</v>
      </c>
      <c r="K487">
        <v>1.1003700000000001</v>
      </c>
      <c r="L487">
        <v>367.7765</v>
      </c>
      <c r="M487">
        <v>0.99968460000000003</v>
      </c>
      <c r="N487">
        <v>0</v>
      </c>
      <c r="O487">
        <v>-1.0061199999999999E-2</v>
      </c>
      <c r="P487">
        <v>0.99233800000000005</v>
      </c>
      <c r="Q487">
        <v>-8.0980529999999992E-3</v>
      </c>
      <c r="R487">
        <v>-0.1232878</v>
      </c>
      <c r="S487">
        <v>2.9733890000000001</v>
      </c>
      <c r="T487">
        <v>-0.2141584</v>
      </c>
      <c r="U487">
        <v>-0.38763429999999999</v>
      </c>
      <c r="V487">
        <v>0.1132909</v>
      </c>
      <c r="W487">
        <v>1.4799359999999999E-2</v>
      </c>
      <c r="X487">
        <v>0.99345170000000005</v>
      </c>
      <c r="Y487">
        <v>0.11901050000000001</v>
      </c>
      <c r="Z487">
        <v>-3.5416129999999999E-3</v>
      </c>
      <c r="AA487">
        <v>0.99288670000000001</v>
      </c>
      <c r="AB487">
        <v>35</v>
      </c>
      <c r="AC487">
        <v>15.786</v>
      </c>
      <c r="AD487">
        <v>-1.1503699999999999</v>
      </c>
      <c r="AE487">
        <v>-2.0823999999999998</v>
      </c>
      <c r="AF487">
        <v>1.9134389592710099</v>
      </c>
      <c r="AG487">
        <v>-1.1503699999999999</v>
      </c>
      <c r="AH487">
        <v>15.724083875057</v>
      </c>
      <c r="AI487">
        <v>94.153756993191493</v>
      </c>
      <c r="AJ487">
        <v>83.0618795194885</v>
      </c>
      <c r="AK487">
        <v>15.8817950338613</v>
      </c>
      <c r="AL487">
        <v>89.152028231467199</v>
      </c>
      <c r="AM487">
        <v>83.494228274874999</v>
      </c>
      <c r="AN487">
        <v>1.0000000646560501</v>
      </c>
    </row>
    <row r="488" spans="1:40" x14ac:dyDescent="0.25">
      <c r="A488" t="str">
        <f>"20190312161234754"</f>
        <v>20190312161234754</v>
      </c>
      <c r="B488" t="str">
        <f>"1552378354746424"</f>
        <v>1552378354746424</v>
      </c>
      <c r="C488" t="s">
        <v>40</v>
      </c>
      <c r="D488">
        <v>5.5878350000000001</v>
      </c>
      <c r="E488">
        <v>0.50307139999999995</v>
      </c>
      <c r="F488" t="s">
        <v>41</v>
      </c>
      <c r="G488">
        <v>-301.58499999999998</v>
      </c>
      <c r="H488">
        <v>-0.05</v>
      </c>
      <c r="I488">
        <v>365.67829999999998</v>
      </c>
      <c r="J488">
        <v>-317.3931</v>
      </c>
      <c r="K488">
        <v>1.0987089999999999</v>
      </c>
      <c r="L488">
        <v>367.77390000000003</v>
      </c>
      <c r="M488">
        <v>0.99967130000000004</v>
      </c>
      <c r="N488">
        <v>0</v>
      </c>
      <c r="O488">
        <v>-9.979814E-3</v>
      </c>
      <c r="P488">
        <v>0.99237299999999995</v>
      </c>
      <c r="Q488">
        <v>-8.4326230000000002E-3</v>
      </c>
      <c r="R488">
        <v>-0.12298290000000001</v>
      </c>
      <c r="S488">
        <v>2.9732059999999998</v>
      </c>
      <c r="T488">
        <v>-0.2127841</v>
      </c>
      <c r="U488">
        <v>-0.38809199999999999</v>
      </c>
      <c r="V488">
        <v>0.11306620000000001</v>
      </c>
      <c r="W488">
        <v>1.5063500000000001E-2</v>
      </c>
      <c r="X488">
        <v>0.9934733</v>
      </c>
      <c r="Y488">
        <v>0.1192521</v>
      </c>
      <c r="Z488">
        <v>-3.5335010000000001E-3</v>
      </c>
      <c r="AA488">
        <v>0.99285769999999995</v>
      </c>
      <c r="AB488">
        <v>35</v>
      </c>
      <c r="AC488">
        <v>15.8081</v>
      </c>
      <c r="AD488">
        <v>-1.148709</v>
      </c>
      <c r="AE488">
        <v>-2.0956000000000401</v>
      </c>
      <c r="AF488">
        <v>1.9276866489009901</v>
      </c>
      <c r="AG488">
        <v>-1.148709</v>
      </c>
      <c r="AH488">
        <v>15.7465210413059</v>
      </c>
      <c r="AI488">
        <v>94.141527776822002</v>
      </c>
      <c r="AJ488">
        <v>83.020587287233596</v>
      </c>
      <c r="AK488">
        <v>15.9056101136461</v>
      </c>
      <c r="AL488">
        <v>89.136892413312196</v>
      </c>
      <c r="AM488">
        <v>83.507161421347305</v>
      </c>
      <c r="AN488">
        <v>1.00000003621378</v>
      </c>
    </row>
    <row r="489" spans="1:40" x14ac:dyDescent="0.25">
      <c r="A489" t="str">
        <f>"20190312161234765"</f>
        <v>20190312161234765</v>
      </c>
      <c r="B489" t="str">
        <f>"1552378354756185"</f>
        <v>1552378354756185</v>
      </c>
      <c r="C489" t="s">
        <v>40</v>
      </c>
      <c r="D489">
        <v>5.5873390000000001</v>
      </c>
      <c r="E489">
        <v>0.50329999999999997</v>
      </c>
      <c r="F489" t="s">
        <v>41</v>
      </c>
      <c r="G489">
        <v>-300.29149999999998</v>
      </c>
      <c r="H489">
        <v>-0.05</v>
      </c>
      <c r="I489">
        <v>365.5609</v>
      </c>
      <c r="J489">
        <v>-317.1918</v>
      </c>
      <c r="K489">
        <v>1.0973850000000001</v>
      </c>
      <c r="L489">
        <v>367.77190000000002</v>
      </c>
      <c r="M489">
        <v>0.99966339999999998</v>
      </c>
      <c r="N489">
        <v>0</v>
      </c>
      <c r="O489">
        <v>-9.9207119999999999E-3</v>
      </c>
      <c r="P489">
        <v>0.99238919999999997</v>
      </c>
      <c r="Q489">
        <v>-8.7874809999999998E-3</v>
      </c>
      <c r="R489">
        <v>-0.1228293</v>
      </c>
      <c r="S489">
        <v>2.973633</v>
      </c>
      <c r="T489">
        <v>-0.19973769999999999</v>
      </c>
      <c r="U489">
        <v>-0.38479609999999997</v>
      </c>
      <c r="V489">
        <v>0.11297069999999999</v>
      </c>
      <c r="W489">
        <v>1.507732E-2</v>
      </c>
      <c r="X489">
        <v>0.99348389999999998</v>
      </c>
      <c r="Y489">
        <v>0.1182449</v>
      </c>
      <c r="Z489">
        <v>-3.2874039999999998E-3</v>
      </c>
      <c r="AA489">
        <v>0.99297899999999995</v>
      </c>
      <c r="AB489">
        <v>35</v>
      </c>
      <c r="AC489">
        <v>16.900300000000001</v>
      </c>
      <c r="AD489">
        <v>-1.1473850000000001</v>
      </c>
      <c r="AE489">
        <v>-2.2110000000000101</v>
      </c>
      <c r="AF489">
        <v>2.0339626577093801</v>
      </c>
      <c r="AG489">
        <v>-1.1473850000000001</v>
      </c>
      <c r="AH489">
        <v>16.845072352291101</v>
      </c>
      <c r="AI489">
        <v>93.868612374535402</v>
      </c>
      <c r="AJ489">
        <v>83.1151361516999</v>
      </c>
      <c r="AK489">
        <v>17.00617414309</v>
      </c>
      <c r="AL489">
        <v>89.136100448979803</v>
      </c>
      <c r="AM489">
        <v>83.512667375335397</v>
      </c>
      <c r="AN489">
        <v>0.99999998209804097</v>
      </c>
    </row>
    <row r="490" spans="1:40" x14ac:dyDescent="0.25">
      <c r="A490" t="str">
        <f>"20190312161234778"</f>
        <v>20190312161234778</v>
      </c>
      <c r="B490" t="str">
        <f>"1552378354765945"</f>
        <v>1552378354765945</v>
      </c>
      <c r="C490" t="s">
        <v>40</v>
      </c>
      <c r="D490">
        <v>5.4838420000000001</v>
      </c>
      <c r="E490">
        <v>0.50316609999999995</v>
      </c>
      <c r="F490" t="s">
        <v>41</v>
      </c>
      <c r="G490">
        <v>-300.14929999999998</v>
      </c>
      <c r="H490">
        <v>-0.05</v>
      </c>
      <c r="I490">
        <v>365.55709999999999</v>
      </c>
      <c r="J490">
        <v>-317.00760000000002</v>
      </c>
      <c r="K490">
        <v>1.096096</v>
      </c>
      <c r="L490">
        <v>367.77010000000001</v>
      </c>
      <c r="M490">
        <v>0.9996583</v>
      </c>
      <c r="N490">
        <v>0</v>
      </c>
      <c r="O490">
        <v>-9.8664430000000008E-3</v>
      </c>
      <c r="P490">
        <v>0.99242830000000004</v>
      </c>
      <c r="Q490">
        <v>-8.4833740000000001E-3</v>
      </c>
      <c r="R490">
        <v>-0.12253269999999999</v>
      </c>
      <c r="S490">
        <v>2.9733890000000001</v>
      </c>
      <c r="T490">
        <v>-0.20018349999999999</v>
      </c>
      <c r="U490">
        <v>-0.38641360000000002</v>
      </c>
      <c r="V490">
        <v>0.1127276</v>
      </c>
      <c r="W490">
        <v>1.5607029999999999E-2</v>
      </c>
      <c r="X490">
        <v>0.99350329999999998</v>
      </c>
      <c r="Y490">
        <v>0.11883779999999999</v>
      </c>
      <c r="Z490">
        <v>-3.318363E-3</v>
      </c>
      <c r="AA490">
        <v>0.99290809999999996</v>
      </c>
      <c r="AB490">
        <v>35</v>
      </c>
      <c r="AC490">
        <v>16.8583</v>
      </c>
      <c r="AD490">
        <v>-1.146096</v>
      </c>
      <c r="AE490">
        <v>-2.2130000000000201</v>
      </c>
      <c r="AF490">
        <v>2.0372556586377999</v>
      </c>
      <c r="AG490">
        <v>-1.146096</v>
      </c>
      <c r="AH490">
        <v>16.8029747857342</v>
      </c>
      <c r="AI490">
        <v>93.873701866757699</v>
      </c>
      <c r="AJ490">
        <v>83.086986983831693</v>
      </c>
      <c r="AK490">
        <v>16.964784357895201</v>
      </c>
      <c r="AL490">
        <v>89.105746698673002</v>
      </c>
      <c r="AM490">
        <v>83.526634079992604</v>
      </c>
      <c r="AN490">
        <v>0.99999994914903401</v>
      </c>
    </row>
    <row r="491" spans="1:40" x14ac:dyDescent="0.25">
      <c r="A491" t="str">
        <f>"20190312161234797"</f>
        <v>20190312161234797</v>
      </c>
      <c r="B491" t="str">
        <f>"1552378354786441"</f>
        <v>1552378354786441</v>
      </c>
      <c r="C491" t="s">
        <v>40</v>
      </c>
      <c r="D491">
        <v>5.6425979999999996</v>
      </c>
      <c r="E491">
        <v>0.5033668</v>
      </c>
      <c r="F491" t="s">
        <v>41</v>
      </c>
      <c r="G491">
        <v>-299.87189999999998</v>
      </c>
      <c r="H491">
        <v>-0.05</v>
      </c>
      <c r="I491">
        <v>365.55380000000002</v>
      </c>
      <c r="J491">
        <v>-316.70510000000002</v>
      </c>
      <c r="K491">
        <v>1.0938920000000001</v>
      </c>
      <c r="L491">
        <v>367.7672</v>
      </c>
      <c r="M491">
        <v>0.99965360000000003</v>
      </c>
      <c r="N491">
        <v>0</v>
      </c>
      <c r="O491">
        <v>-9.7765430000000004E-3</v>
      </c>
      <c r="P491">
        <v>0.99245209999999995</v>
      </c>
      <c r="Q491">
        <v>-8.3442829999999992E-3</v>
      </c>
      <c r="R491">
        <v>-0.1223486</v>
      </c>
      <c r="S491">
        <v>2.9736940000000001</v>
      </c>
      <c r="T491">
        <v>-0.19889029999999999</v>
      </c>
      <c r="U491">
        <v>-0.38461299999999998</v>
      </c>
      <c r="V491">
        <v>0.1126325</v>
      </c>
      <c r="W491">
        <v>1.5971289999999999E-2</v>
      </c>
      <c r="X491">
        <v>0.99350830000000001</v>
      </c>
      <c r="Y491">
        <v>0.1183268</v>
      </c>
      <c r="Z491">
        <v>-3.2857440000000002E-3</v>
      </c>
      <c r="AA491">
        <v>0.99296930000000005</v>
      </c>
      <c r="AB491">
        <v>35</v>
      </c>
      <c r="AC491">
        <v>16.833200000000001</v>
      </c>
      <c r="AD491">
        <v>-1.1438919999999999</v>
      </c>
      <c r="AE491">
        <v>-2.2133999999999698</v>
      </c>
      <c r="AF491">
        <v>2.0394169043410599</v>
      </c>
      <c r="AG491">
        <v>-1.1438919999999999</v>
      </c>
      <c r="AH491">
        <v>16.777880510837399</v>
      </c>
      <c r="AI491">
        <v>93.871897041110003</v>
      </c>
      <c r="AJ491">
        <v>83.069474416721903</v>
      </c>
      <c r="AK491">
        <v>16.940040869292901</v>
      </c>
      <c r="AL491">
        <v>89.084873537633797</v>
      </c>
      <c r="AM491">
        <v>83.532081161968705</v>
      </c>
      <c r="AN491">
        <v>0.99999995216470094</v>
      </c>
    </row>
    <row r="492" spans="1:40" x14ac:dyDescent="0.25">
      <c r="A492" t="str">
        <f>"20190312161234810"</f>
        <v>20190312161234810</v>
      </c>
      <c r="B492" t="str">
        <f>"1552378354805961"</f>
        <v>1552378354805961</v>
      </c>
      <c r="C492" t="s">
        <v>40</v>
      </c>
      <c r="D492">
        <v>5.5675809999999997</v>
      </c>
      <c r="E492">
        <v>0.50343669999999996</v>
      </c>
      <c r="F492" t="s">
        <v>41</v>
      </c>
      <c r="G492">
        <v>-299.53460000000001</v>
      </c>
      <c r="H492">
        <v>-0.05</v>
      </c>
      <c r="I492">
        <v>365.54070000000002</v>
      </c>
      <c r="J492">
        <v>-316.49380000000002</v>
      </c>
      <c r="K492">
        <v>1.09229</v>
      </c>
      <c r="L492">
        <v>367.76530000000002</v>
      </c>
      <c r="M492">
        <v>0.99965309999999996</v>
      </c>
      <c r="N492">
        <v>0</v>
      </c>
      <c r="O492">
        <v>-9.7146339999999998E-3</v>
      </c>
      <c r="P492">
        <v>0.99243919999999997</v>
      </c>
      <c r="Q492">
        <v>-8.1648469999999994E-3</v>
      </c>
      <c r="R492">
        <v>-0.12246750000000001</v>
      </c>
      <c r="S492">
        <v>2.9735719999999999</v>
      </c>
      <c r="T492">
        <v>-0.1980983</v>
      </c>
      <c r="U492">
        <v>-0.38558959999999998</v>
      </c>
      <c r="V492">
        <v>0.1128127</v>
      </c>
      <c r="W492">
        <v>1.6199180000000001E-2</v>
      </c>
      <c r="X492">
        <v>0.99348420000000004</v>
      </c>
      <c r="Y492">
        <v>0.1187151</v>
      </c>
      <c r="Z492">
        <v>-3.2897199999999999E-3</v>
      </c>
      <c r="AA492">
        <v>0.99292290000000005</v>
      </c>
      <c r="AB492">
        <v>35</v>
      </c>
      <c r="AC492">
        <v>16.959199999999999</v>
      </c>
      <c r="AD492">
        <v>-1.14229</v>
      </c>
      <c r="AE492">
        <v>-2.2246000000000001</v>
      </c>
      <c r="AF492">
        <v>2.0505477491063702</v>
      </c>
      <c r="AG492">
        <v>-1.14229</v>
      </c>
      <c r="AH492">
        <v>16.904622625051001</v>
      </c>
      <c r="AI492">
        <v>93.8377047665291</v>
      </c>
      <c r="AJ492">
        <v>83.083753889606299</v>
      </c>
      <c r="AK492">
        <v>17.0668051670736</v>
      </c>
      <c r="AL492">
        <v>89.071814744797194</v>
      </c>
      <c r="AM492">
        <v>83.521665265430897</v>
      </c>
      <c r="AN492">
        <v>0.99999998718180105</v>
      </c>
    </row>
    <row r="493" spans="1:40" x14ac:dyDescent="0.25">
      <c r="A493" t="str">
        <f>"20190312161234823"</f>
        <v>20190312161234823</v>
      </c>
      <c r="B493" t="str">
        <f>"1552378354815720"</f>
        <v>1552378354815720</v>
      </c>
      <c r="C493" t="s">
        <v>40</v>
      </c>
      <c r="D493">
        <v>5.6204179999999999</v>
      </c>
      <c r="E493">
        <v>0.503251</v>
      </c>
      <c r="F493" t="s">
        <v>41</v>
      </c>
      <c r="G493">
        <v>-299.30329999999998</v>
      </c>
      <c r="H493">
        <v>-0.05</v>
      </c>
      <c r="I493">
        <v>365.5317</v>
      </c>
      <c r="J493">
        <v>-316.29079999999999</v>
      </c>
      <c r="K493">
        <v>1.0906979999999999</v>
      </c>
      <c r="L493">
        <v>367.76330000000002</v>
      </c>
      <c r="M493">
        <v>0.99965459999999995</v>
      </c>
      <c r="N493">
        <v>0</v>
      </c>
      <c r="O493">
        <v>-9.660676E-3</v>
      </c>
      <c r="P493">
        <v>0.99244480000000002</v>
      </c>
      <c r="Q493">
        <v>-7.8482199999999995E-3</v>
      </c>
      <c r="R493">
        <v>-0.1224417</v>
      </c>
      <c r="S493">
        <v>2.9735719999999999</v>
      </c>
      <c r="T493">
        <v>-0.19759080000000001</v>
      </c>
      <c r="U493">
        <v>-0.38635249999999999</v>
      </c>
      <c r="V493">
        <v>0.1128402</v>
      </c>
      <c r="W493">
        <v>1.647237E-2</v>
      </c>
      <c r="X493">
        <v>0.99347660000000004</v>
      </c>
      <c r="Y493">
        <v>0.1190196</v>
      </c>
      <c r="Z493">
        <v>-3.29489E-3</v>
      </c>
      <c r="AA493">
        <v>0.99288639999999995</v>
      </c>
      <c r="AB493">
        <v>35</v>
      </c>
      <c r="AC493">
        <v>16.987500000000001</v>
      </c>
      <c r="AD493">
        <v>-1.140698</v>
      </c>
      <c r="AE493">
        <v>-2.23160000000001</v>
      </c>
      <c r="AF493">
        <v>2.0582129391104398</v>
      </c>
      <c r="AG493">
        <v>-1.140698</v>
      </c>
      <c r="AH493">
        <v>16.933215036424201</v>
      </c>
      <c r="AI493">
        <v>93.825807130228</v>
      </c>
      <c r="AJ493">
        <v>83.069759450174502</v>
      </c>
      <c r="AK493">
        <v>17.0959411527915</v>
      </c>
      <c r="AL493">
        <v>89.056160035815694</v>
      </c>
      <c r="AM493">
        <v>83.520050342952104</v>
      </c>
      <c r="AN493">
        <v>1.0000000022285001</v>
      </c>
    </row>
    <row r="494" spans="1:40" x14ac:dyDescent="0.25">
      <c r="A494" t="str">
        <f>"20190312161234843"</f>
        <v>20190312161234843</v>
      </c>
      <c r="B494" t="str">
        <f>"1552378354836216"</f>
        <v>1552378354836216</v>
      </c>
      <c r="C494" t="s">
        <v>40</v>
      </c>
      <c r="D494">
        <v>5.5406579999999996</v>
      </c>
      <c r="E494">
        <v>0.50282249999999995</v>
      </c>
      <c r="F494" t="s">
        <v>41</v>
      </c>
      <c r="G494">
        <v>-298.58670000000001</v>
      </c>
      <c r="H494">
        <v>-0.05</v>
      </c>
      <c r="I494">
        <v>365.47070000000002</v>
      </c>
      <c r="J494">
        <v>-315.9914</v>
      </c>
      <c r="K494">
        <v>1.088322</v>
      </c>
      <c r="L494">
        <v>367.76049999999998</v>
      </c>
      <c r="M494">
        <v>0.99965789999999999</v>
      </c>
      <c r="N494">
        <v>0</v>
      </c>
      <c r="O494">
        <v>-9.5790349999999996E-3</v>
      </c>
      <c r="P494">
        <v>0.992421</v>
      </c>
      <c r="Q494">
        <v>-7.796224E-3</v>
      </c>
      <c r="R494">
        <v>-0.12263739999999999</v>
      </c>
      <c r="S494">
        <v>2.9737849999999999</v>
      </c>
      <c r="T494">
        <v>-0.1916041</v>
      </c>
      <c r="U494">
        <v>-0.38510129999999998</v>
      </c>
      <c r="V494">
        <v>0.1131176</v>
      </c>
      <c r="W494">
        <v>1.642184E-2</v>
      </c>
      <c r="X494">
        <v>0.99344589999999999</v>
      </c>
      <c r="Y494">
        <v>0.1186955</v>
      </c>
      <c r="Z494">
        <v>-3.1899710000000002E-3</v>
      </c>
      <c r="AA494">
        <v>0.99292559999999996</v>
      </c>
      <c r="AB494">
        <v>35</v>
      </c>
      <c r="AC494">
        <v>17.404699999999899</v>
      </c>
      <c r="AD494">
        <v>-1.1383219999999901</v>
      </c>
      <c r="AE494">
        <v>-2.2897999999999499</v>
      </c>
      <c r="AF494">
        <v>2.11403617182867</v>
      </c>
      <c r="AG494">
        <v>-1.1383219999999901</v>
      </c>
      <c r="AH494">
        <v>17.3528763465617</v>
      </c>
      <c r="AI494">
        <v>93.725670472848805</v>
      </c>
      <c r="AJ494">
        <v>83.054096895734602</v>
      </c>
      <c r="AK494">
        <v>17.518197493193899</v>
      </c>
      <c r="AL494">
        <v>89.059055592631907</v>
      </c>
      <c r="AM494">
        <v>83.504057365744799</v>
      </c>
      <c r="AN494">
        <v>1.0000000122427699</v>
      </c>
    </row>
    <row r="495" spans="1:40" x14ac:dyDescent="0.25">
      <c r="A495" t="str">
        <f>"20190312161234856"</f>
        <v>20190312161234856</v>
      </c>
      <c r="B495" t="str">
        <f>"1552378354845976"</f>
        <v>1552378354845976</v>
      </c>
      <c r="C495" t="s">
        <v>40</v>
      </c>
      <c r="D495">
        <v>5.531428</v>
      </c>
      <c r="E495">
        <v>0.50264359999999997</v>
      </c>
      <c r="F495" t="s">
        <v>41</v>
      </c>
      <c r="G495">
        <v>-297.63510000000002</v>
      </c>
      <c r="H495">
        <v>-0.05</v>
      </c>
      <c r="I495">
        <v>365.39909999999998</v>
      </c>
      <c r="J495">
        <v>-315.78120000000001</v>
      </c>
      <c r="K495">
        <v>1.086638</v>
      </c>
      <c r="L495">
        <v>367.7586</v>
      </c>
      <c r="M495">
        <v>0.99966109999999997</v>
      </c>
      <c r="N495">
        <v>0</v>
      </c>
      <c r="O495">
        <v>-9.5173889999999994E-3</v>
      </c>
      <c r="P495">
        <v>0.99243709999999996</v>
      </c>
      <c r="Q495">
        <v>-7.5147249999999999E-3</v>
      </c>
      <c r="R495">
        <v>-0.1225255</v>
      </c>
      <c r="S495">
        <v>2.9741819999999999</v>
      </c>
      <c r="T495">
        <v>-0.18443670000000001</v>
      </c>
      <c r="U495">
        <v>-0.38259890000000002</v>
      </c>
      <c r="V495">
        <v>0.1130666</v>
      </c>
      <c r="W495">
        <v>1.659395E-2</v>
      </c>
      <c r="X495">
        <v>0.99344889999999997</v>
      </c>
      <c r="Y495">
        <v>0.1179357</v>
      </c>
      <c r="Z495">
        <v>-3.0509959999999998E-3</v>
      </c>
      <c r="AA495">
        <v>0.99301649999999997</v>
      </c>
      <c r="AB495">
        <v>35</v>
      </c>
      <c r="AC495">
        <v>18.146099999999901</v>
      </c>
      <c r="AD495">
        <v>-1.13663799999999</v>
      </c>
      <c r="AE495">
        <v>-2.3595000000000201</v>
      </c>
      <c r="AF495">
        <v>2.1782345696902299</v>
      </c>
      <c r="AG495">
        <v>-1.13663799999999</v>
      </c>
      <c r="AH495">
        <v>18.097913286653899</v>
      </c>
      <c r="AI495">
        <v>93.568053235617796</v>
      </c>
      <c r="AJ495">
        <v>83.136988252031102</v>
      </c>
      <c r="AK495">
        <v>18.263929399635899</v>
      </c>
      <c r="AL495">
        <v>89.0491931233923</v>
      </c>
      <c r="AM495">
        <v>83.506980538737096</v>
      </c>
      <c r="AN495">
        <v>1.0000000660616799</v>
      </c>
    </row>
    <row r="496" spans="1:40" x14ac:dyDescent="0.25">
      <c r="A496" t="str">
        <f>"20190312161234877"</f>
        <v>20190312161234877</v>
      </c>
      <c r="B496" t="str">
        <f>"1552378354866472"</f>
        <v>1552378354866472</v>
      </c>
      <c r="C496" t="s">
        <v>40</v>
      </c>
      <c r="D496">
        <v>5.3994689999999999</v>
      </c>
      <c r="E496">
        <v>0.50192979999999998</v>
      </c>
      <c r="F496" t="s">
        <v>41</v>
      </c>
      <c r="G496">
        <v>-296.95</v>
      </c>
      <c r="H496">
        <v>-0.05</v>
      </c>
      <c r="I496">
        <v>365.34530000000001</v>
      </c>
      <c r="J496">
        <v>-315.45960000000002</v>
      </c>
      <c r="K496">
        <v>1.0840730000000001</v>
      </c>
      <c r="L496">
        <v>367.75569999999999</v>
      </c>
      <c r="M496">
        <v>0.99966809999999995</v>
      </c>
      <c r="N496">
        <v>0</v>
      </c>
      <c r="O496">
        <v>-9.4145340000000004E-3</v>
      </c>
      <c r="P496">
        <v>0.99245190000000005</v>
      </c>
      <c r="Q496">
        <v>-7.1757599999999998E-3</v>
      </c>
      <c r="R496">
        <v>-0.1224257</v>
      </c>
      <c r="S496">
        <v>2.9744570000000001</v>
      </c>
      <c r="T496">
        <v>-0.17953710000000001</v>
      </c>
      <c r="U496">
        <v>-0.38119510000000001</v>
      </c>
      <c r="V496">
        <v>0.11306919999999999</v>
      </c>
      <c r="W496">
        <v>1.6685490000000001E-2</v>
      </c>
      <c r="X496">
        <v>0.99344699999999997</v>
      </c>
      <c r="Y496">
        <v>0.1175765</v>
      </c>
      <c r="Z496">
        <v>-2.9653029999999999E-3</v>
      </c>
      <c r="AA496">
        <v>0.99305940000000004</v>
      </c>
      <c r="AB496">
        <v>35</v>
      </c>
      <c r="AC496">
        <v>18.509599999999999</v>
      </c>
      <c r="AD496">
        <v>-1.1340729999999899</v>
      </c>
      <c r="AE496">
        <v>-2.4103999999999801</v>
      </c>
      <c r="AF496">
        <v>2.2277602960282001</v>
      </c>
      <c r="AG496">
        <v>-1.1340729999999899</v>
      </c>
      <c r="AH496">
        <v>18.463324024339599</v>
      </c>
      <c r="AI496">
        <v>93.489616786010799</v>
      </c>
      <c r="AJ496">
        <v>83.120025670669094</v>
      </c>
      <c r="AK496">
        <v>18.6317839063694</v>
      </c>
      <c r="AL496">
        <v>89.043947474543103</v>
      </c>
      <c r="AM496">
        <v>83.506820192580193</v>
      </c>
      <c r="AN496">
        <v>0.99999999568708997</v>
      </c>
    </row>
    <row r="497" spans="1:40" x14ac:dyDescent="0.25">
      <c r="A497" t="str">
        <f>"20190312161234899"</f>
        <v>20190312161234899</v>
      </c>
      <c r="B497" t="str">
        <f>"1552378354885992"</f>
        <v>1552378354885992</v>
      </c>
      <c r="C497" t="s">
        <v>40</v>
      </c>
      <c r="D497">
        <v>5.3758860000000004</v>
      </c>
      <c r="E497">
        <v>0.46294639999999998</v>
      </c>
      <c r="F497" t="s">
        <v>41</v>
      </c>
      <c r="G497">
        <v>-296.36149999999998</v>
      </c>
      <c r="H497">
        <v>-0.05</v>
      </c>
      <c r="I497">
        <v>365.34559999999999</v>
      </c>
      <c r="J497">
        <v>-315.11849999999998</v>
      </c>
      <c r="K497">
        <v>1.0814189999999999</v>
      </c>
      <c r="L497">
        <v>367.75259999999997</v>
      </c>
      <c r="M497">
        <v>0.99967859999999997</v>
      </c>
      <c r="N497">
        <v>0</v>
      </c>
      <c r="O497">
        <v>-9.2990179999999992E-3</v>
      </c>
      <c r="P497">
        <v>0.99242220000000003</v>
      </c>
      <c r="Q497">
        <v>-6.8801919999999898E-3</v>
      </c>
      <c r="R497">
        <v>-0.1226831</v>
      </c>
      <c r="S497">
        <v>2.9751889999999999</v>
      </c>
      <c r="T497">
        <v>-0.17667149999999901</v>
      </c>
      <c r="U497">
        <v>-0.37545780000000001</v>
      </c>
      <c r="V497">
        <v>0.1134421</v>
      </c>
      <c r="W497">
        <v>1.6588229999999999E-2</v>
      </c>
      <c r="X497">
        <v>0.99340609999999996</v>
      </c>
      <c r="Y497">
        <v>0.11578479999999999</v>
      </c>
      <c r="Z497">
        <v>-2.8715899999999998E-3</v>
      </c>
      <c r="AA497">
        <v>0.99327019999999999</v>
      </c>
      <c r="AB497">
        <v>35</v>
      </c>
      <c r="AC497">
        <v>18.757000000000001</v>
      </c>
      <c r="AD497">
        <v>-1.131419</v>
      </c>
      <c r="AE497">
        <v>-2.40699999999998</v>
      </c>
      <c r="AF497">
        <v>2.2244631158856101</v>
      </c>
      <c r="AG497">
        <v>-1.131419</v>
      </c>
      <c r="AH497">
        <v>18.711598681310399</v>
      </c>
      <c r="AI497">
        <v>93.436107119817805</v>
      </c>
      <c r="AJ497">
        <v>83.2204099270743</v>
      </c>
      <c r="AK497">
        <v>18.877295100673599</v>
      </c>
      <c r="AL497">
        <v>89.0495208180361</v>
      </c>
      <c r="AM497">
        <v>83.485323688082801</v>
      </c>
      <c r="AN497">
        <v>0.99999997947207597</v>
      </c>
    </row>
    <row r="498" spans="1:40" x14ac:dyDescent="0.25">
      <c r="A498" t="str">
        <f>"20190312161234921"</f>
        <v>20190312161234921</v>
      </c>
      <c r="B498" t="str">
        <f>"1552378354916249"</f>
        <v>1552378354916249</v>
      </c>
      <c r="C498" t="s">
        <v>40</v>
      </c>
      <c r="D498">
        <v>5.2608459999999999</v>
      </c>
      <c r="E498">
        <v>0.46258159999999998</v>
      </c>
      <c r="F498" t="s">
        <v>41</v>
      </c>
      <c r="G498">
        <v>-286.27280000000002</v>
      </c>
      <c r="H498">
        <v>-0.05</v>
      </c>
      <c r="I498">
        <v>367.08420000000001</v>
      </c>
      <c r="J498">
        <v>-314.78160000000003</v>
      </c>
      <c r="K498">
        <v>1.078919</v>
      </c>
      <c r="L498">
        <v>367.74950000000001</v>
      </c>
      <c r="M498">
        <v>0.99969149999999996</v>
      </c>
      <c r="N498">
        <v>0</v>
      </c>
      <c r="O498">
        <v>-9.1860380000000005E-3</v>
      </c>
      <c r="P498">
        <v>0.9924461</v>
      </c>
      <c r="Q498">
        <v>-5.6270549999999997E-3</v>
      </c>
      <c r="R498">
        <v>-0.1225527</v>
      </c>
      <c r="S498">
        <v>3.0134889999999999</v>
      </c>
      <c r="T498">
        <v>-0.118198499999999</v>
      </c>
      <c r="U498">
        <v>-6.9824220000000006E-2</v>
      </c>
      <c r="V498">
        <v>0.11342389999999999</v>
      </c>
      <c r="W498">
        <v>1.7337229999999999E-2</v>
      </c>
      <c r="X498">
        <v>0.99339540000000004</v>
      </c>
      <c r="Y498">
        <v>1.3973670000000001E-2</v>
      </c>
      <c r="Z498" s="1">
        <v>8.6297540000000001E-5</v>
      </c>
      <c r="AA498">
        <v>0.99990239999999997</v>
      </c>
      <c r="AB498">
        <v>35</v>
      </c>
      <c r="AC498">
        <v>28.508800000000001</v>
      </c>
      <c r="AD498">
        <v>-1.128919</v>
      </c>
      <c r="AE498">
        <v>-0.665300000000002</v>
      </c>
      <c r="AF498">
        <v>0.40268813445760498</v>
      </c>
      <c r="AG498">
        <v>-1.128919</v>
      </c>
      <c r="AH498">
        <v>28.4690921381195</v>
      </c>
      <c r="AI498">
        <v>92.270601497123707</v>
      </c>
      <c r="AJ498">
        <v>89.189619679001794</v>
      </c>
      <c r="AK498">
        <v>28.4943121168231</v>
      </c>
      <c r="AL498">
        <v>89.006600113115098</v>
      </c>
      <c r="AM498">
        <v>83.486290326198301</v>
      </c>
      <c r="AN498">
        <v>0.99999999068822099</v>
      </c>
    </row>
    <row r="499" spans="1:40" x14ac:dyDescent="0.25">
      <c r="A499" t="str">
        <f>"20190312161234933"</f>
        <v>20190312161234933</v>
      </c>
      <c r="B499" t="str">
        <f>"1552378354926009"</f>
        <v>1552378354926009</v>
      </c>
      <c r="C499" t="s">
        <v>40</v>
      </c>
      <c r="D499">
        <v>5.2700930000000001</v>
      </c>
      <c r="E499">
        <v>0.46198030000000001</v>
      </c>
      <c r="F499" t="s">
        <v>41</v>
      </c>
      <c r="G499">
        <v>-287.36799999999999</v>
      </c>
      <c r="H499">
        <v>-0.05</v>
      </c>
      <c r="I499">
        <v>367.1497</v>
      </c>
      <c r="J499">
        <v>-314.57749999999999</v>
      </c>
      <c r="K499">
        <v>1.07748</v>
      </c>
      <c r="L499">
        <v>367.74770000000001</v>
      </c>
      <c r="M499">
        <v>0.99970000000000003</v>
      </c>
      <c r="N499">
        <v>0</v>
      </c>
      <c r="O499">
        <v>-9.1198370000000004E-3</v>
      </c>
      <c r="P499">
        <v>0.99245510000000003</v>
      </c>
      <c r="Q499">
        <v>-5.3142270000000004E-3</v>
      </c>
      <c r="R499">
        <v>-0.12249549999999999</v>
      </c>
      <c r="S499">
        <v>3.0139469999999999</v>
      </c>
      <c r="T499">
        <v>-0.12411709999999999</v>
      </c>
      <c r="U499">
        <v>-6.5948489999999999E-2</v>
      </c>
      <c r="V499">
        <v>0.11343250000000001</v>
      </c>
      <c r="W499">
        <v>1.7305770000000002E-2</v>
      </c>
      <c r="X499">
        <v>0.99339500000000003</v>
      </c>
      <c r="Y499">
        <v>1.275188E-2</v>
      </c>
      <c r="Z499">
        <v>1.130187E-4</v>
      </c>
      <c r="AA499">
        <v>0.99991870000000005</v>
      </c>
      <c r="AB499">
        <v>35</v>
      </c>
      <c r="AC499">
        <v>27.209499999999899</v>
      </c>
      <c r="AD499">
        <v>-1.12748</v>
      </c>
      <c r="AE499">
        <v>-0.59800000000001297</v>
      </c>
      <c r="AF499">
        <v>0.349165538848069</v>
      </c>
      <c r="AG499">
        <v>-1.12748</v>
      </c>
      <c r="AH499">
        <v>27.1671987030896</v>
      </c>
      <c r="AI499">
        <v>92.376302039962596</v>
      </c>
      <c r="AJ499">
        <v>89.2636483981574</v>
      </c>
      <c r="AK499">
        <v>27.1928265006982</v>
      </c>
      <c r="AL499">
        <v>89.008402941740499</v>
      </c>
      <c r="AM499">
        <v>83.485798089704403</v>
      </c>
      <c r="AN499">
        <v>1.00000002387827</v>
      </c>
    </row>
    <row r="500" spans="1:40" x14ac:dyDescent="0.25">
      <c r="A500" t="str">
        <f>"20190312161234946"</f>
        <v>20190312161234946</v>
      </c>
      <c r="B500" t="str">
        <f>"1552378354935769"</f>
        <v>1552378354935769</v>
      </c>
      <c r="C500" t="s">
        <v>40</v>
      </c>
      <c r="D500">
        <v>5.248227</v>
      </c>
      <c r="E500">
        <v>0.46194039999999997</v>
      </c>
      <c r="F500" t="s">
        <v>41</v>
      </c>
      <c r="G500">
        <v>-285.14249999999998</v>
      </c>
      <c r="H500">
        <v>-0.05</v>
      </c>
      <c r="I500">
        <v>367.14789999999999</v>
      </c>
      <c r="J500">
        <v>-314.37430000000001</v>
      </c>
      <c r="K500">
        <v>1.0761050000000001</v>
      </c>
      <c r="L500">
        <v>367.74590000000001</v>
      </c>
      <c r="M500">
        <v>0.99970870000000001</v>
      </c>
      <c r="N500">
        <v>0</v>
      </c>
      <c r="O500">
        <v>-9.0551409999999992E-3</v>
      </c>
      <c r="P500">
        <v>0.99246659999999998</v>
      </c>
      <c r="Q500">
        <v>-4.999992E-3</v>
      </c>
      <c r="R500">
        <v>-0.1224126</v>
      </c>
      <c r="S500">
        <v>3.0146480000000002</v>
      </c>
      <c r="T500">
        <v>-0.1154732</v>
      </c>
      <c r="U500">
        <v>-6.1431880000000001E-2</v>
      </c>
      <c r="V500">
        <v>0.11341420000000001</v>
      </c>
      <c r="W500">
        <v>1.7257140000000001E-2</v>
      </c>
      <c r="X500">
        <v>0.99339789999999994</v>
      </c>
      <c r="Y500">
        <v>1.1315550000000001E-2</v>
      </c>
      <c r="Z500">
        <v>1.30147E-4</v>
      </c>
      <c r="AA500">
        <v>0.99993600000000005</v>
      </c>
      <c r="AB500">
        <v>35</v>
      </c>
      <c r="AC500">
        <v>29.2318</v>
      </c>
      <c r="AD500">
        <v>-1.1261049999999999</v>
      </c>
      <c r="AE500">
        <v>-0.59800000000001297</v>
      </c>
      <c r="AF500">
        <v>0.33271757087495302</v>
      </c>
      <c r="AG500">
        <v>-1.1261049999999999</v>
      </c>
      <c r="AH500">
        <v>29.192712131887902</v>
      </c>
      <c r="AI500">
        <v>92.208938491465503</v>
      </c>
      <c r="AJ500">
        <v>89.347012119660803</v>
      </c>
      <c r="AK500">
        <v>29.216318301049998</v>
      </c>
      <c r="AL500">
        <v>89.011189616782303</v>
      </c>
      <c r="AM500">
        <v>83.486858841512401</v>
      </c>
      <c r="AN500">
        <v>0.99999998868351403</v>
      </c>
    </row>
    <row r="501" spans="1:40" x14ac:dyDescent="0.25">
      <c r="A501" t="str">
        <f>"20190312161234959"</f>
        <v>20190312161234959</v>
      </c>
      <c r="B501" t="str">
        <f>"1552378354956265"</f>
        <v>1552378354956265</v>
      </c>
      <c r="C501" t="s">
        <v>40</v>
      </c>
      <c r="D501">
        <v>5.2039929999999996</v>
      </c>
      <c r="E501">
        <v>0.46231640000000002</v>
      </c>
      <c r="F501" t="s">
        <v>41</v>
      </c>
      <c r="G501">
        <v>-284.69810000000001</v>
      </c>
      <c r="H501">
        <v>-0.05</v>
      </c>
      <c r="I501">
        <v>367.14749999999998</v>
      </c>
      <c r="J501">
        <v>-314.18740000000003</v>
      </c>
      <c r="K501">
        <v>1.074932</v>
      </c>
      <c r="L501">
        <v>367.74430000000001</v>
      </c>
      <c r="M501">
        <v>0.99971710000000003</v>
      </c>
      <c r="N501">
        <v>0</v>
      </c>
      <c r="O501">
        <v>-8.9980649999999995E-3</v>
      </c>
      <c r="P501">
        <v>0.99246780000000001</v>
      </c>
      <c r="Q501">
        <v>-4.5212430000000003E-3</v>
      </c>
      <c r="R501">
        <v>-0.122422699999999</v>
      </c>
      <c r="S501">
        <v>3.0147089999999999</v>
      </c>
      <c r="T501">
        <v>-0.1143974</v>
      </c>
      <c r="U501">
        <v>-6.0791020000000001E-2</v>
      </c>
      <c r="V501">
        <v>0.11348080000000001</v>
      </c>
      <c r="W501">
        <v>1.738872E-2</v>
      </c>
      <c r="X501">
        <v>0.99338800000000005</v>
      </c>
      <c r="Y501">
        <v>1.115991E-2</v>
      </c>
      <c r="Z501">
        <v>1.2971670000000001E-4</v>
      </c>
      <c r="AA501">
        <v>0.99993770000000004</v>
      </c>
      <c r="AB501">
        <v>35</v>
      </c>
      <c r="AC501">
        <v>29.4893</v>
      </c>
      <c r="AD501">
        <v>-1.124932</v>
      </c>
      <c r="AE501">
        <v>-0.59680000000002997</v>
      </c>
      <c r="AF501">
        <v>0.33088354652367702</v>
      </c>
      <c r="AG501">
        <v>-1.124932</v>
      </c>
      <c r="AH501">
        <v>29.450637826761898</v>
      </c>
      <c r="AI501">
        <v>92.187337175092694</v>
      </c>
      <c r="AJ501">
        <v>89.356298046856395</v>
      </c>
      <c r="AK501">
        <v>29.4739719808695</v>
      </c>
      <c r="AL501">
        <v>89.0036495069686</v>
      </c>
      <c r="AM501">
        <v>83.483002646521101</v>
      </c>
      <c r="AN501">
        <v>0.99999998904793896</v>
      </c>
    </row>
    <row r="502" spans="1:40" x14ac:dyDescent="0.25">
      <c r="A502" t="str">
        <f>"20190312161234977"</f>
        <v>20190312161234977</v>
      </c>
      <c r="B502" t="str">
        <f>"1552378354966025"</f>
        <v>1552378354966025</v>
      </c>
      <c r="C502" t="s">
        <v>40</v>
      </c>
      <c r="D502">
        <v>5.2001589999999904</v>
      </c>
      <c r="E502">
        <v>0.46232250000000003</v>
      </c>
      <c r="F502" t="s">
        <v>41</v>
      </c>
      <c r="G502">
        <v>-284.0437</v>
      </c>
      <c r="H502">
        <v>-0.05</v>
      </c>
      <c r="I502">
        <v>367.10590000000002</v>
      </c>
      <c r="J502">
        <v>-313.90780000000001</v>
      </c>
      <c r="K502">
        <v>1.073267</v>
      </c>
      <c r="L502">
        <v>367.74189999999999</v>
      </c>
      <c r="M502">
        <v>0.99972930000000004</v>
      </c>
      <c r="N502">
        <v>0</v>
      </c>
      <c r="O502">
        <v>-8.9140260000000002E-3</v>
      </c>
      <c r="P502">
        <v>0.9924444</v>
      </c>
      <c r="Q502">
        <v>-4.2605209999999998E-3</v>
      </c>
      <c r="R502">
        <v>-0.12262140000000001</v>
      </c>
      <c r="S502">
        <v>3.0143740000000001</v>
      </c>
      <c r="T502">
        <v>-0.1124932</v>
      </c>
      <c r="U502">
        <v>-6.3842769999999993E-2</v>
      </c>
      <c r="V502">
        <v>0.11376319999999999</v>
      </c>
      <c r="W502">
        <v>1.71245999999999E-2</v>
      </c>
      <c r="X502">
        <v>0.99336029999999997</v>
      </c>
      <c r="Y502">
        <v>1.225745E-2</v>
      </c>
      <c r="Z502">
        <v>1.0396240000000001E-4</v>
      </c>
      <c r="AA502">
        <v>0.99992490000000001</v>
      </c>
      <c r="AB502">
        <v>35</v>
      </c>
      <c r="AC502">
        <v>29.864100000000001</v>
      </c>
      <c r="AD502">
        <v>-1.123267</v>
      </c>
      <c r="AE502">
        <v>-0.63599999999996704</v>
      </c>
      <c r="AF502">
        <v>0.369181809689067</v>
      </c>
      <c r="AG502">
        <v>-1.123267</v>
      </c>
      <c r="AH502">
        <v>29.826407000016498</v>
      </c>
      <c r="AI502">
        <v>92.156583440985301</v>
      </c>
      <c r="AJ502">
        <v>89.290847220479804</v>
      </c>
      <c r="AK502">
        <v>29.849833810132399</v>
      </c>
      <c r="AL502">
        <v>89.018784734531593</v>
      </c>
      <c r="AM502">
        <v>83.466744355874596</v>
      </c>
      <c r="AN502">
        <v>1.0000000016077399</v>
      </c>
    </row>
    <row r="503" spans="1:40" x14ac:dyDescent="0.25">
      <c r="A503" t="str">
        <f>"20190312161234999"</f>
        <v>20190312161234999</v>
      </c>
      <c r="B503" t="str">
        <f>"1552378354996280"</f>
        <v>1552378354996280</v>
      </c>
      <c r="C503" t="s">
        <v>40</v>
      </c>
      <c r="D503">
        <v>5.1134309999999896</v>
      </c>
      <c r="E503">
        <v>0.46228469999999999</v>
      </c>
      <c r="F503" t="s">
        <v>41</v>
      </c>
      <c r="G503">
        <v>-283.04000000000002</v>
      </c>
      <c r="H503">
        <v>-0.05</v>
      </c>
      <c r="I503">
        <v>367.07940000000002</v>
      </c>
      <c r="J503">
        <v>-313.57240000000002</v>
      </c>
      <c r="K503">
        <v>1.0714619999999999</v>
      </c>
      <c r="L503">
        <v>367.73910000000001</v>
      </c>
      <c r="M503">
        <v>0.99974339999999995</v>
      </c>
      <c r="N503">
        <v>0</v>
      </c>
      <c r="O503">
        <v>-8.8131779999999996E-3</v>
      </c>
      <c r="P503">
        <v>0.9924096</v>
      </c>
      <c r="Q503">
        <v>-3.529655E-3</v>
      </c>
      <c r="R503">
        <v>-0.1229257</v>
      </c>
      <c r="S503">
        <v>3.0143430000000002</v>
      </c>
      <c r="T503">
        <v>-0.10969089999999999</v>
      </c>
      <c r="U503">
        <v>-6.4697270000000001E-2</v>
      </c>
      <c r="V503">
        <v>0.1141684</v>
      </c>
      <c r="W503">
        <v>1.723092E-2</v>
      </c>
      <c r="X503">
        <v>0.99331199999999997</v>
      </c>
      <c r="Y503">
        <v>1.264177E-2</v>
      </c>
      <c r="Z503" s="1">
        <v>9.0712490000000002E-5</v>
      </c>
      <c r="AA503">
        <v>0.99992009999999998</v>
      </c>
      <c r="AB503">
        <v>35</v>
      </c>
      <c r="AC503">
        <v>30.532399999999999</v>
      </c>
      <c r="AD503">
        <v>-1.121462</v>
      </c>
      <c r="AE503">
        <v>-0.65969999999998596</v>
      </c>
      <c r="AF503">
        <v>0.39000237395978099</v>
      </c>
      <c r="AG503">
        <v>-1.121462</v>
      </c>
      <c r="AH503">
        <v>30.495905900435599</v>
      </c>
      <c r="AI503">
        <v>92.105884361966702</v>
      </c>
      <c r="AJ503">
        <v>89.267302567879995</v>
      </c>
      <c r="AK503">
        <v>30.519011379095499</v>
      </c>
      <c r="AL503">
        <v>89.012692175111795</v>
      </c>
      <c r="AM503">
        <v>83.443360528247695</v>
      </c>
      <c r="AN503">
        <v>1.0000000287533</v>
      </c>
    </row>
    <row r="504" spans="1:40" x14ac:dyDescent="0.25">
      <c r="A504" t="str">
        <f>"20190312161235014"</f>
        <v>20190312161235014</v>
      </c>
      <c r="B504" t="str">
        <f>"1552378355006041"</f>
        <v>1552378355006041</v>
      </c>
      <c r="C504" t="s">
        <v>40</v>
      </c>
      <c r="D504">
        <v>5.1107230000000001</v>
      </c>
      <c r="E504">
        <v>0.4622425</v>
      </c>
      <c r="F504" t="s">
        <v>41</v>
      </c>
      <c r="G504">
        <v>-279.18939999999998</v>
      </c>
      <c r="H504">
        <v>-0.05</v>
      </c>
      <c r="I504">
        <v>366.99</v>
      </c>
      <c r="J504">
        <v>-313.33089999999999</v>
      </c>
      <c r="K504">
        <v>1.0702830000000001</v>
      </c>
      <c r="L504">
        <v>367.73700000000002</v>
      </c>
      <c r="M504">
        <v>0.99975320000000001</v>
      </c>
      <c r="N504">
        <v>0</v>
      </c>
      <c r="O504">
        <v>-8.7373079999999992E-3</v>
      </c>
      <c r="P504">
        <v>0.99244860000000001</v>
      </c>
      <c r="Q504">
        <v>-2.8087720000000002E-3</v>
      </c>
      <c r="R504">
        <v>-0.1226283</v>
      </c>
      <c r="S504">
        <v>3.0144959999999998</v>
      </c>
      <c r="T504">
        <v>-9.8322989999999999E-2</v>
      </c>
      <c r="U504">
        <v>-6.5673830000000002E-2</v>
      </c>
      <c r="V504">
        <v>0.1139462</v>
      </c>
      <c r="W504">
        <v>1.7515070000000001E-2</v>
      </c>
      <c r="X504">
        <v>0.99333249999999995</v>
      </c>
      <c r="Y504">
        <v>1.3040660000000001E-2</v>
      </c>
      <c r="Z504" s="1">
        <v>7.2332700000000006E-5</v>
      </c>
      <c r="AA504">
        <v>0.99991490000000005</v>
      </c>
      <c r="AB504">
        <v>34</v>
      </c>
      <c r="AC504">
        <v>34.141500000000001</v>
      </c>
      <c r="AD504">
        <v>-1.1202829999999999</v>
      </c>
      <c r="AE504">
        <v>-0.74699999999995703</v>
      </c>
      <c r="AF504">
        <v>0.44812217026610301</v>
      </c>
      <c r="AG504">
        <v>-1.1202829999999999</v>
      </c>
      <c r="AH504">
        <v>34.110016063738001</v>
      </c>
      <c r="AI504">
        <v>91.880939921555395</v>
      </c>
      <c r="AJ504">
        <v>89.247316916828495</v>
      </c>
      <c r="AK504">
        <v>34.131349861205898</v>
      </c>
      <c r="AL504">
        <v>88.996409078256406</v>
      </c>
      <c r="AM504">
        <v>83.456144461392398</v>
      </c>
      <c r="AN504">
        <v>0.99999998486389696</v>
      </c>
    </row>
    <row r="505" spans="1:40" x14ac:dyDescent="0.25">
      <c r="A505" t="str">
        <f>"20190312161235027"</f>
        <v>20190312161235027</v>
      </c>
      <c r="B505" t="str">
        <f>"1552378355015801"</f>
        <v>1552378355015801</v>
      </c>
      <c r="C505" t="s">
        <v>40</v>
      </c>
      <c r="D505">
        <v>5.1213769999999998</v>
      </c>
      <c r="E505">
        <v>0.46221659999999998</v>
      </c>
      <c r="F505" t="s">
        <v>42</v>
      </c>
      <c r="G505">
        <v>-278.65050000000002</v>
      </c>
      <c r="H505" s="1">
        <v>-1.1428479999999999E-6</v>
      </c>
      <c r="I505">
        <v>366.9948</v>
      </c>
      <c r="J505">
        <v>-313.13150000000002</v>
      </c>
      <c r="K505">
        <v>1.069369</v>
      </c>
      <c r="L505">
        <v>367.73540000000003</v>
      </c>
      <c r="M505">
        <v>0.99976089999999995</v>
      </c>
      <c r="N505">
        <v>0</v>
      </c>
      <c r="O505">
        <v>-8.6728610000000005E-3</v>
      </c>
      <c r="P505">
        <v>0.99246529999999999</v>
      </c>
      <c r="Q505">
        <v>-2.292063E-3</v>
      </c>
      <c r="R505">
        <v>-0.1225055</v>
      </c>
      <c r="S505">
        <v>3.014618</v>
      </c>
      <c r="T505">
        <v>-9.3034740000000005E-2</v>
      </c>
      <c r="U505">
        <v>-6.4514160000000001E-2</v>
      </c>
      <c r="V505">
        <v>0.1138874</v>
      </c>
      <c r="W505">
        <v>1.7680499999999998E-2</v>
      </c>
      <c r="X505">
        <v>0.99333629999999995</v>
      </c>
      <c r="Y505">
        <v>1.2720189999999999E-2</v>
      </c>
      <c r="Z505" s="1">
        <v>7.1394849999999898E-5</v>
      </c>
      <c r="AA505">
        <v>0.99991909999999895</v>
      </c>
      <c r="AB505">
        <v>34</v>
      </c>
      <c r="AC505">
        <v>34.480999999999902</v>
      </c>
      <c r="AD505">
        <v>-1.069370142848</v>
      </c>
      <c r="AE505">
        <v>-0.74060000000002901</v>
      </c>
      <c r="AF505">
        <v>0.441038942427666</v>
      </c>
      <c r="AG505">
        <v>-1.069370142848</v>
      </c>
      <c r="AH505">
        <v>34.453004556308102</v>
      </c>
      <c r="AI505">
        <v>91.777659672356805</v>
      </c>
      <c r="AJ505">
        <v>89.266586756399803</v>
      </c>
      <c r="AK505">
        <v>34.4724178265486</v>
      </c>
      <c r="AL505">
        <v>88.986929156705401</v>
      </c>
      <c r="AM505">
        <v>83.459516843828197</v>
      </c>
      <c r="AN505">
        <v>0.99999997242834904</v>
      </c>
    </row>
    <row r="506" spans="1:40" x14ac:dyDescent="0.25">
      <c r="A506" t="str">
        <f>"20190312161235045"</f>
        <v>20190312161235045</v>
      </c>
      <c r="B506" t="str">
        <f>"1552378355036297"</f>
        <v>1552378355036297</v>
      </c>
      <c r="C506" t="s">
        <v>40</v>
      </c>
      <c r="D506">
        <v>5.0621710000000002</v>
      </c>
      <c r="E506">
        <v>0.46217829999999899</v>
      </c>
      <c r="F506" t="s">
        <v>42</v>
      </c>
      <c r="G506">
        <v>-278.61739999999998</v>
      </c>
      <c r="H506" s="1">
        <v>-1.15257E-6</v>
      </c>
      <c r="I506">
        <v>367.00049999999999</v>
      </c>
      <c r="J506">
        <v>-312.87459999999999</v>
      </c>
      <c r="K506">
        <v>1.0683260000000001</v>
      </c>
      <c r="L506">
        <v>367.73320000000001</v>
      </c>
      <c r="M506">
        <v>0.99977009999999999</v>
      </c>
      <c r="N506">
        <v>0</v>
      </c>
      <c r="O506">
        <v>-8.5878289999999999E-3</v>
      </c>
      <c r="P506">
        <v>0.99252220000000002</v>
      </c>
      <c r="Q506">
        <v>-1.929903E-3</v>
      </c>
      <c r="R506">
        <v>-0.122048</v>
      </c>
      <c r="S506">
        <v>3.014618</v>
      </c>
      <c r="T506">
        <v>-9.3403219999999995E-2</v>
      </c>
      <c r="U506">
        <v>-6.4178470000000001E-2</v>
      </c>
      <c r="V506">
        <v>0.1135143</v>
      </c>
      <c r="W506">
        <v>1.7614230000000002E-2</v>
      </c>
      <c r="X506">
        <v>0.99338020000000005</v>
      </c>
      <c r="Y506">
        <v>1.2693980000000001E-2</v>
      </c>
      <c r="Z506" s="1">
        <v>6.9447329999999997E-5</v>
      </c>
      <c r="AA506">
        <v>0.99991940000000001</v>
      </c>
      <c r="AB506">
        <v>34</v>
      </c>
      <c r="AC506">
        <v>34.257199999999997</v>
      </c>
      <c r="AD506">
        <v>-1.06832715257</v>
      </c>
      <c r="AE506">
        <v>-0.732700000000022</v>
      </c>
      <c r="AF506">
        <v>0.43799542861864998</v>
      </c>
      <c r="AG506">
        <v>-1.06832715257</v>
      </c>
      <c r="AH506">
        <v>34.2289561543936</v>
      </c>
      <c r="AI506">
        <v>91.787544049604705</v>
      </c>
      <c r="AJ506">
        <v>89.266880361889903</v>
      </c>
      <c r="AK506">
        <v>34.248424815161997</v>
      </c>
      <c r="AL506">
        <v>88.990726756814794</v>
      </c>
      <c r="AM506">
        <v>83.481044613848397</v>
      </c>
      <c r="AN506">
        <v>0.99999998957751102</v>
      </c>
    </row>
    <row r="507" spans="1:40" x14ac:dyDescent="0.25">
      <c r="A507" t="str">
        <f>"20190312161235060"</f>
        <v>20190312161235060</v>
      </c>
      <c r="B507" t="str">
        <f>"1552378355055818"</f>
        <v>1552378355055818</v>
      </c>
      <c r="C507" t="s">
        <v>40</v>
      </c>
      <c r="D507">
        <v>5.0510970000000004</v>
      </c>
      <c r="E507">
        <v>0.462314</v>
      </c>
      <c r="F507" t="s">
        <v>42</v>
      </c>
      <c r="G507">
        <v>-277.18579999999997</v>
      </c>
      <c r="H507" s="1">
        <v>-1.654883E-6</v>
      </c>
      <c r="I507">
        <v>366.9932</v>
      </c>
      <c r="J507">
        <v>-312.63240000000002</v>
      </c>
      <c r="K507">
        <v>1.067439</v>
      </c>
      <c r="L507">
        <v>367.7312</v>
      </c>
      <c r="M507">
        <v>0.99977830000000001</v>
      </c>
      <c r="N507">
        <v>0</v>
      </c>
      <c r="O507">
        <v>-8.508056E-3</v>
      </c>
      <c r="P507">
        <v>0.99254180000000003</v>
      </c>
      <c r="Q507">
        <v>-1.4197729999999901E-3</v>
      </c>
      <c r="R507">
        <v>-0.1218965</v>
      </c>
      <c r="S507">
        <v>3.0147089999999999</v>
      </c>
      <c r="T507">
        <v>-9.0243820000000002E-2</v>
      </c>
      <c r="U507">
        <v>-6.25E-2</v>
      </c>
      <c r="V507">
        <v>0.113442</v>
      </c>
      <c r="W507">
        <v>1.77419999999999E-2</v>
      </c>
      <c r="X507">
        <v>0.9933862</v>
      </c>
      <c r="Y507">
        <v>1.221701E-2</v>
      </c>
      <c r="Z507" s="1">
        <v>7.1844860000000005E-5</v>
      </c>
      <c r="AA507">
        <v>0.99992539999999996</v>
      </c>
      <c r="AB507">
        <v>34</v>
      </c>
      <c r="AC507">
        <v>35.446599999999997</v>
      </c>
      <c r="AD507">
        <v>-1.067440654883</v>
      </c>
      <c r="AE507">
        <v>-0.73799999999999899</v>
      </c>
      <c r="AF507">
        <v>0.43594050352431801</v>
      </c>
      <c r="AG507">
        <v>-1.067440654883</v>
      </c>
      <c r="AH507">
        <v>35.419490215777401</v>
      </c>
      <c r="AI507">
        <v>91.726075401127403</v>
      </c>
      <c r="AJ507">
        <v>89.294843328032002</v>
      </c>
      <c r="AK507">
        <v>35.4382527901682</v>
      </c>
      <c r="AL507">
        <v>88.983404945607603</v>
      </c>
      <c r="AM507">
        <v>83.485199998297603</v>
      </c>
      <c r="AN507">
        <v>1.0000000041392201</v>
      </c>
    </row>
    <row r="508" spans="1:40" x14ac:dyDescent="0.25">
      <c r="A508" t="str">
        <f>"20190312161235079"</f>
        <v>20190312161235079</v>
      </c>
      <c r="B508" t="str">
        <f>"1552378355066552"</f>
        <v>1552378355066552</v>
      </c>
      <c r="C508" t="s">
        <v>40</v>
      </c>
      <c r="D508">
        <v>5.0500790000000002</v>
      </c>
      <c r="E508">
        <v>0.46232889999999999</v>
      </c>
      <c r="F508" t="s">
        <v>42</v>
      </c>
      <c r="G508">
        <v>-276.53620000000001</v>
      </c>
      <c r="H508" s="1">
        <v>-1.9363809999999999E-6</v>
      </c>
      <c r="I508">
        <v>366.97739999999999</v>
      </c>
      <c r="J508">
        <v>-312.35300000000001</v>
      </c>
      <c r="K508">
        <v>1.066514</v>
      </c>
      <c r="L508">
        <v>367.72890000000001</v>
      </c>
      <c r="M508">
        <v>0.99978699999999998</v>
      </c>
      <c r="N508">
        <v>0</v>
      </c>
      <c r="O508">
        <v>-8.4168239999999998E-3</v>
      </c>
      <c r="P508">
        <v>0.99255159999999998</v>
      </c>
      <c r="Q508">
        <v>-1.4129769999999999E-3</v>
      </c>
      <c r="R508">
        <v>-0.1218178</v>
      </c>
      <c r="S508">
        <v>3.0147089999999999</v>
      </c>
      <c r="T508">
        <v>-8.9151259999999996E-2</v>
      </c>
      <c r="U508">
        <v>-6.2957760000000001E-2</v>
      </c>
      <c r="V508">
        <v>0.1134541</v>
      </c>
      <c r="W508">
        <v>1.733295E-2</v>
      </c>
      <c r="X508">
        <v>0.9933921</v>
      </c>
      <c r="Y508">
        <v>1.2459980000000001E-2</v>
      </c>
      <c r="Z508" s="1">
        <v>6.4684530000000003E-5</v>
      </c>
      <c r="AA508">
        <v>0.99992239999999999</v>
      </c>
      <c r="AB508">
        <v>34</v>
      </c>
      <c r="AC508">
        <v>35.816800000000001</v>
      </c>
      <c r="AD508">
        <v>-1.066515936381</v>
      </c>
      <c r="AE508">
        <v>-0.75150000000002104</v>
      </c>
      <c r="AF508">
        <v>0.44955769498478398</v>
      </c>
      <c r="AG508">
        <v>-1.066515936381</v>
      </c>
      <c r="AH508">
        <v>35.7901371975762</v>
      </c>
      <c r="AI508">
        <v>91.706726297839495</v>
      </c>
      <c r="AJ508">
        <v>89.280349111425096</v>
      </c>
      <c r="AK508">
        <v>35.808846378862903</v>
      </c>
      <c r="AL508">
        <v>89.006845448876504</v>
      </c>
      <c r="AM508">
        <v>83.484549453019298</v>
      </c>
      <c r="AN508">
        <v>1.00000006415245</v>
      </c>
    </row>
    <row r="509" spans="1:40" x14ac:dyDescent="0.25">
      <c r="A509" t="str">
        <f>"20190312161235100"</f>
        <v>20190312161235100</v>
      </c>
      <c r="B509" t="str">
        <f>"1552378355095833"</f>
        <v>1552378355095833</v>
      </c>
      <c r="C509" t="s">
        <v>40</v>
      </c>
      <c r="D509">
        <v>5.0599790000000002</v>
      </c>
      <c r="E509">
        <v>0.4626169</v>
      </c>
      <c r="F509" t="s">
        <v>42</v>
      </c>
      <c r="G509">
        <v>-276.75450000000001</v>
      </c>
      <c r="H509" s="1">
        <v>-1.8404190000000001E-6</v>
      </c>
      <c r="I509">
        <v>366.9905</v>
      </c>
      <c r="J509">
        <v>-312.01960000000003</v>
      </c>
      <c r="K509">
        <v>1.0655479999999999</v>
      </c>
      <c r="L509">
        <v>367.72620000000001</v>
      </c>
      <c r="M509">
        <v>0.99979649999999998</v>
      </c>
      <c r="N509">
        <v>0</v>
      </c>
      <c r="O509">
        <v>-8.3102499999999999E-3</v>
      </c>
      <c r="P509">
        <v>0.99257980000000001</v>
      </c>
      <c r="Q509">
        <v>-7.2512960000000002E-4</v>
      </c>
      <c r="R509">
        <v>-0.1215937</v>
      </c>
      <c r="S509">
        <v>3.0147089999999999</v>
      </c>
      <c r="T509">
        <v>-9.0319159999999996E-2</v>
      </c>
      <c r="U509">
        <v>-6.2530520000000006E-2</v>
      </c>
      <c r="V509">
        <v>0.1133358</v>
      </c>
      <c r="W509">
        <v>1.7563700000000002E-2</v>
      </c>
      <c r="X509">
        <v>0.99340150000000005</v>
      </c>
      <c r="Y509">
        <v>1.2424920000000001E-2</v>
      </c>
      <c r="Z509" s="1">
        <v>6.2862500000000003E-5</v>
      </c>
      <c r="AA509">
        <v>0.9999228</v>
      </c>
      <c r="AB509">
        <v>34</v>
      </c>
      <c r="AC509">
        <v>35.265099999999997</v>
      </c>
      <c r="AD509">
        <v>-1.065549840419</v>
      </c>
      <c r="AE509">
        <v>-0.73570000000000801</v>
      </c>
      <c r="AF509">
        <v>0.44215976106905203</v>
      </c>
      <c r="AG509">
        <v>-1.065549840419</v>
      </c>
      <c r="AH509">
        <v>35.237839589630198</v>
      </c>
      <c r="AI509">
        <v>91.731891346005199</v>
      </c>
      <c r="AJ509">
        <v>89.2810978481658</v>
      </c>
      <c r="AK509">
        <v>35.256719085320903</v>
      </c>
      <c r="AL509">
        <v>88.993622384766994</v>
      </c>
      <c r="AM509">
        <v>83.491345927660205</v>
      </c>
      <c r="AN509">
        <v>1.0000000136607901</v>
      </c>
    </row>
    <row r="510" spans="1:40" x14ac:dyDescent="0.25">
      <c r="A510" t="str">
        <f>"20190312161235122"</f>
        <v>20190312161235122</v>
      </c>
      <c r="B510" t="str">
        <f>"1552378355116329"</f>
        <v>1552378355116329</v>
      </c>
      <c r="C510" t="s">
        <v>40</v>
      </c>
      <c r="D510">
        <v>4.8621349999999897</v>
      </c>
      <c r="E510">
        <v>0.46230959999999899</v>
      </c>
      <c r="F510" t="s">
        <v>42</v>
      </c>
      <c r="G510">
        <v>-274.32029999999997</v>
      </c>
      <c r="H510" s="1">
        <v>-2.8970770000000002E-6</v>
      </c>
      <c r="I510">
        <v>366.9205</v>
      </c>
      <c r="J510">
        <v>-311.68860000000001</v>
      </c>
      <c r="K510">
        <v>1.064727</v>
      </c>
      <c r="L510">
        <v>367.72359999999998</v>
      </c>
      <c r="M510">
        <v>0.99980500000000005</v>
      </c>
      <c r="N510">
        <v>0</v>
      </c>
      <c r="O510">
        <v>-8.2062890000000003E-3</v>
      </c>
      <c r="P510">
        <v>0.99265539999999997</v>
      </c>
      <c r="Q510">
        <v>4.3114089999999998E-4</v>
      </c>
      <c r="R510">
        <v>-0.12097670000000001</v>
      </c>
      <c r="S510">
        <v>3.0144959999999998</v>
      </c>
      <c r="T510">
        <v>-8.5202929999999996E-2</v>
      </c>
      <c r="U510">
        <v>-6.4422610000000005E-2</v>
      </c>
      <c r="V510">
        <v>0.1128213</v>
      </c>
      <c r="W510">
        <v>1.8306490000000002E-2</v>
      </c>
      <c r="X510">
        <v>0.99344659999999996</v>
      </c>
      <c r="Y510">
        <v>1.315763E-2</v>
      </c>
      <c r="Z510" s="1">
        <v>4.6015530000000002E-5</v>
      </c>
      <c r="AA510">
        <v>0.99991350000000001</v>
      </c>
      <c r="AB510">
        <v>34</v>
      </c>
      <c r="AC510">
        <v>37.368299999999998</v>
      </c>
      <c r="AD510">
        <v>-1.0647298970770001</v>
      </c>
      <c r="AE510">
        <v>-0.80309999999997195</v>
      </c>
      <c r="AF510">
        <v>0.49596594086720303</v>
      </c>
      <c r="AG510">
        <v>-1.0647298970770001</v>
      </c>
      <c r="AH510">
        <v>37.343329920594002</v>
      </c>
      <c r="AI510">
        <v>91.633026073513406</v>
      </c>
      <c r="AJ510">
        <v>89.239085410792796</v>
      </c>
      <c r="AK510">
        <v>37.361797621722701</v>
      </c>
      <c r="AL510">
        <v>88.951056749665398</v>
      </c>
      <c r="AM510">
        <v>83.520932478568696</v>
      </c>
      <c r="AN510">
        <v>0.99999996018068404</v>
      </c>
    </row>
    <row r="511" spans="1:40" x14ac:dyDescent="0.25">
      <c r="A511" t="str">
        <f>"20190312161235135"</f>
        <v>20190312161235135</v>
      </c>
      <c r="B511" t="str">
        <f>"1552378355126088"</f>
        <v>1552378355126088</v>
      </c>
      <c r="C511" t="s">
        <v>40</v>
      </c>
      <c r="D511">
        <v>4.3821690000000002</v>
      </c>
      <c r="E511">
        <v>0.46230959999999899</v>
      </c>
      <c r="F511" t="s">
        <v>42</v>
      </c>
      <c r="G511">
        <v>-271.9264</v>
      </c>
      <c r="H511" s="1">
        <v>-3.92306999999999E-6</v>
      </c>
      <c r="I511">
        <v>366.92619999999999</v>
      </c>
      <c r="J511">
        <v>-311.47919999999999</v>
      </c>
      <c r="K511">
        <v>1.064273</v>
      </c>
      <c r="L511">
        <v>367.72190000000001</v>
      </c>
      <c r="M511">
        <v>0.99980990000000003</v>
      </c>
      <c r="N511">
        <v>0</v>
      </c>
      <c r="O511">
        <v>-8.1408699999999997E-3</v>
      </c>
      <c r="P511">
        <v>0.99270639999999999</v>
      </c>
      <c r="Q511">
        <v>5.7092679999999998E-4</v>
      </c>
      <c r="R511">
        <v>-0.1205572</v>
      </c>
      <c r="S511">
        <v>3.0148320000000002</v>
      </c>
      <c r="T511">
        <v>-8.0729369999999995E-2</v>
      </c>
      <c r="U511">
        <v>-6.045532E-2</v>
      </c>
      <c r="V511">
        <v>0.1124665</v>
      </c>
      <c r="W511">
        <v>1.8205889999999999E-2</v>
      </c>
      <c r="X511">
        <v>0.9934887</v>
      </c>
      <c r="Y511">
        <v>1.1906079999999999E-2</v>
      </c>
      <c r="Z511" s="1">
        <v>5.8596040000000002E-5</v>
      </c>
      <c r="AA511">
        <v>0.99992910000000002</v>
      </c>
      <c r="AB511">
        <v>34</v>
      </c>
      <c r="AC511">
        <v>39.552799999999898</v>
      </c>
      <c r="AD511">
        <v>-1.06427692307</v>
      </c>
      <c r="AE511">
        <v>-0.79570000000000995</v>
      </c>
      <c r="AF511">
        <v>0.47328634052329199</v>
      </c>
      <c r="AG511">
        <v>-1.06427692307</v>
      </c>
      <c r="AH511">
        <v>39.529358868445101</v>
      </c>
      <c r="AI511">
        <v>91.542131792419994</v>
      </c>
      <c r="AJ511">
        <v>89.314028486333996</v>
      </c>
      <c r="AK511">
        <v>39.546515622484598</v>
      </c>
      <c r="AL511">
        <v>88.956821689414298</v>
      </c>
      <c r="AM511">
        <v>83.541406767734102</v>
      </c>
      <c r="AN511">
        <v>0.99999998254031497</v>
      </c>
    </row>
    <row r="512" spans="1:40" x14ac:dyDescent="0.25">
      <c r="A512" t="str">
        <f>"20190312161235211"</f>
        <v>20190312161235211</v>
      </c>
      <c r="B512" t="str">
        <f>"1552378355206122"</f>
        <v>1552378355206122</v>
      </c>
      <c r="C512" t="s">
        <v>40</v>
      </c>
      <c r="D512">
        <v>4.4149250000000002</v>
      </c>
      <c r="E512">
        <v>0.4597793</v>
      </c>
      <c r="F512" t="s">
        <v>42</v>
      </c>
      <c r="G512">
        <v>-271.5779</v>
      </c>
      <c r="H512" s="1">
        <v>-4.0701710000000003E-6</v>
      </c>
      <c r="I512">
        <v>366.93950000000001</v>
      </c>
      <c r="J512">
        <v>-310.32679999999999</v>
      </c>
      <c r="K512">
        <v>1.0624450000000001</v>
      </c>
      <c r="L512">
        <v>367.71300000000002</v>
      </c>
      <c r="M512">
        <v>0.99983129999999998</v>
      </c>
      <c r="N512">
        <v>0</v>
      </c>
      <c r="O512">
        <v>-7.7763040000000004E-3</v>
      </c>
      <c r="P512">
        <v>0.99271290000000001</v>
      </c>
      <c r="Q512">
        <v>1.089245E-3</v>
      </c>
      <c r="R512">
        <v>-0.1204987</v>
      </c>
      <c r="S512">
        <v>3.0148929999999998</v>
      </c>
      <c r="T512">
        <v>-8.041537E-2</v>
      </c>
      <c r="U512">
        <v>-5.911255E-2</v>
      </c>
      <c r="V512">
        <v>0.1127705</v>
      </c>
      <c r="W512">
        <v>1.76457E-2</v>
      </c>
      <c r="X512">
        <v>0.99346440000000003</v>
      </c>
      <c r="Y512">
        <v>1.1825159999999999E-2</v>
      </c>
      <c r="Z512" s="1">
        <v>4.9720109999999898E-5</v>
      </c>
      <c r="AA512">
        <v>0.99993010000000004</v>
      </c>
      <c r="AB512">
        <v>34</v>
      </c>
      <c r="AC512">
        <v>38.7488999999999</v>
      </c>
      <c r="AD512">
        <v>-1.0624490701710001</v>
      </c>
      <c r="AE512">
        <v>-0.77350000000001196</v>
      </c>
      <c r="AF512">
        <v>0.47175713122521001</v>
      </c>
      <c r="AG512">
        <v>-1.0624490701710001</v>
      </c>
      <c r="AH512">
        <v>38.724642605411603</v>
      </c>
      <c r="AI512">
        <v>91.5714558818824</v>
      </c>
      <c r="AJ512">
        <v>89.302037314760497</v>
      </c>
      <c r="AK512">
        <v>38.742086904739999</v>
      </c>
      <c r="AL512">
        <v>88.988923424499703</v>
      </c>
      <c r="AM512">
        <v>83.523940064370194</v>
      </c>
      <c r="AN512">
        <v>1.00000003523304</v>
      </c>
    </row>
    <row r="513" spans="1:40" x14ac:dyDescent="0.25">
      <c r="A513" t="str">
        <f>"20190312161235222"</f>
        <v>20190312161235222</v>
      </c>
      <c r="B513" t="str">
        <f>"1552378355215881"</f>
        <v>1552378355215881</v>
      </c>
      <c r="C513" t="s">
        <v>40</v>
      </c>
      <c r="D513">
        <v>5.0787699999999996</v>
      </c>
      <c r="E513">
        <v>0.45376139999999998</v>
      </c>
      <c r="F513" t="s">
        <v>43</v>
      </c>
      <c r="G513">
        <v>-309.40559999999999</v>
      </c>
      <c r="H513">
        <v>0.85287139999999995</v>
      </c>
      <c r="I513">
        <v>367.71030000000002</v>
      </c>
      <c r="J513">
        <v>-310.1533</v>
      </c>
      <c r="K513">
        <v>1.062257</v>
      </c>
      <c r="L513">
        <v>367.71170000000001</v>
      </c>
      <c r="M513">
        <v>0.99983390000000005</v>
      </c>
      <c r="N513">
        <v>0</v>
      </c>
      <c r="O513">
        <v>-7.7210219999999897E-3</v>
      </c>
      <c r="P513">
        <v>0.99272179999999999</v>
      </c>
      <c r="Q513">
        <v>1.465477E-3</v>
      </c>
      <c r="R513">
        <v>-0.1204214</v>
      </c>
      <c r="S513">
        <v>3.0216059999999998</v>
      </c>
      <c r="T513">
        <v>-0.6873378</v>
      </c>
      <c r="U513">
        <v>-9.6130369999999996E-3</v>
      </c>
      <c r="V513">
        <v>0.1127481</v>
      </c>
      <c r="W513">
        <v>1.7893610000000001E-2</v>
      </c>
      <c r="X513">
        <v>0.99346239999999997</v>
      </c>
      <c r="Y513">
        <v>-4.2352609999999997E-3</v>
      </c>
      <c r="Z513">
        <v>2.2100280000000002E-3</v>
      </c>
      <c r="AA513">
        <v>0.99998860000000001</v>
      </c>
      <c r="AB513">
        <v>34</v>
      </c>
      <c r="AC513">
        <v>0.74770000000000802</v>
      </c>
      <c r="AD513">
        <v>-0.20938560000000001</v>
      </c>
      <c r="AE513">
        <v>-1.39999999998963E-3</v>
      </c>
      <c r="AF513">
        <v>-4.0557752110569204E-3</v>
      </c>
      <c r="AG513">
        <v>-0.20938560000000001</v>
      </c>
      <c r="AH513">
        <v>0.69331726344301003</v>
      </c>
      <c r="AI513">
        <v>106.80433159204701</v>
      </c>
      <c r="AJ513">
        <v>90.335165679356507</v>
      </c>
      <c r="AK513">
        <v>0.72425658891585298</v>
      </c>
      <c r="AL513">
        <v>88.974716874981993</v>
      </c>
      <c r="AM513">
        <v>83.525202578046702</v>
      </c>
      <c r="AN513">
        <v>0.99999992777309799</v>
      </c>
    </row>
    <row r="514" spans="1:40" x14ac:dyDescent="0.25">
      <c r="A514" t="str">
        <f>"20190312161235235"</f>
        <v>20190312161235235</v>
      </c>
      <c r="B514" t="str">
        <f>"1552378355225640"</f>
        <v>1552378355225640</v>
      </c>
      <c r="C514" t="s">
        <v>40</v>
      </c>
      <c r="D514">
        <v>4.1328519999999997</v>
      </c>
      <c r="E514">
        <v>0.44881769999999999</v>
      </c>
      <c r="F514" t="s">
        <v>43</v>
      </c>
      <c r="G514">
        <v>-309.37950000000001</v>
      </c>
      <c r="H514">
        <v>0.9094177</v>
      </c>
      <c r="I514">
        <v>367.72050000000002</v>
      </c>
      <c r="J514">
        <v>-309.96850000000001</v>
      </c>
      <c r="K514">
        <v>1.062068</v>
      </c>
      <c r="L514">
        <v>367.71039999999999</v>
      </c>
      <c r="M514">
        <v>0.99983659999999996</v>
      </c>
      <c r="N514">
        <v>0</v>
      </c>
      <c r="O514">
        <v>-7.6619269999999998E-3</v>
      </c>
      <c r="P514">
        <v>0.99273840000000002</v>
      </c>
      <c r="Q514">
        <v>1.703247E-3</v>
      </c>
      <c r="R514">
        <v>-0.1202829</v>
      </c>
      <c r="S514">
        <v>3.0269170000000001</v>
      </c>
      <c r="T514">
        <v>-0.5977325</v>
      </c>
      <c r="U514">
        <v>3.3569340000000003E-2</v>
      </c>
      <c r="V514">
        <v>0.1126682</v>
      </c>
      <c r="W514">
        <v>1.8001369999999999E-2</v>
      </c>
      <c r="X514">
        <v>0.99346959999999995</v>
      </c>
      <c r="Y514">
        <v>-1.8251369999999999E-2</v>
      </c>
      <c r="Z514">
        <v>3.2834940000000001E-3</v>
      </c>
      <c r="AA514">
        <v>0.99982800000000005</v>
      </c>
      <c r="AB514">
        <v>34</v>
      </c>
      <c r="AC514">
        <v>0.58899999999999797</v>
      </c>
      <c r="AD514">
        <v>-0.15265029999999999</v>
      </c>
      <c r="AE514">
        <v>1.01000000000226E-2</v>
      </c>
      <c r="AF514">
        <v>-1.3693672342889599E-2</v>
      </c>
      <c r="AG514">
        <v>-0.15265029999999999</v>
      </c>
      <c r="AH514">
        <v>0.55184938909110004</v>
      </c>
      <c r="AI514">
        <v>105.45775837953801</v>
      </c>
      <c r="AJ514">
        <v>91.421454243393299</v>
      </c>
      <c r="AK514">
        <v>0.57273674492959203</v>
      </c>
      <c r="AL514">
        <v>88.968541770871596</v>
      </c>
      <c r="AM514">
        <v>83.529798574801205</v>
      </c>
      <c r="AN514">
        <v>1.0000000093686301</v>
      </c>
    </row>
    <row r="515" spans="1:40" x14ac:dyDescent="0.25">
      <c r="A515" t="str">
        <f>"20190312161235249"</f>
        <v>20190312161235249</v>
      </c>
      <c r="B515" t="str">
        <f>"1552378355246137"</f>
        <v>1552378355246137</v>
      </c>
      <c r="C515" t="s">
        <v>40</v>
      </c>
      <c r="D515">
        <v>4.6625920000000001</v>
      </c>
      <c r="E515">
        <v>0.44650689999999998</v>
      </c>
      <c r="F515" t="s">
        <v>43</v>
      </c>
      <c r="G515">
        <v>-309.07459999999998</v>
      </c>
      <c r="H515">
        <v>0.91058850000000002</v>
      </c>
      <c r="I515">
        <v>367.73050000000001</v>
      </c>
      <c r="J515">
        <v>-309.75900000000001</v>
      </c>
      <c r="K515">
        <v>1.0618719999999999</v>
      </c>
      <c r="L515">
        <v>367.70890000000003</v>
      </c>
      <c r="M515">
        <v>0.99983929999999999</v>
      </c>
      <c r="N515">
        <v>0</v>
      </c>
      <c r="O515">
        <v>-7.5947769999999996E-3</v>
      </c>
      <c r="P515">
        <v>0.99276070000000005</v>
      </c>
      <c r="Q515">
        <v>1.9031199999999999E-3</v>
      </c>
      <c r="R515">
        <v>-0.12009450000000001</v>
      </c>
      <c r="S515">
        <v>3.0311889999999999</v>
      </c>
      <c r="T515">
        <v>-0.51382950000000005</v>
      </c>
      <c r="U515">
        <v>6.8847660000000005E-2</v>
      </c>
      <c r="V515">
        <v>0.11254649999999999</v>
      </c>
      <c r="W515">
        <v>1.806191E-2</v>
      </c>
      <c r="X515">
        <v>0.99348230000000004</v>
      </c>
      <c r="Y515">
        <v>-2.976763E-2</v>
      </c>
      <c r="Z515">
        <v>3.7831620000000001E-3</v>
      </c>
      <c r="AA515">
        <v>0.99954969999999999</v>
      </c>
      <c r="AB515">
        <v>34</v>
      </c>
      <c r="AC515">
        <v>0.68440000000003898</v>
      </c>
      <c r="AD515">
        <v>-0.15128349999999899</v>
      </c>
      <c r="AE515">
        <v>2.1599999999978001E-2</v>
      </c>
      <c r="AF515">
        <v>-2.5550733388381399E-2</v>
      </c>
      <c r="AG515">
        <v>-0.15128349999999899</v>
      </c>
      <c r="AH515">
        <v>0.652372286829627</v>
      </c>
      <c r="AI515">
        <v>103.046317973136</v>
      </c>
      <c r="AJ515">
        <v>92.242893137750201</v>
      </c>
      <c r="AK515">
        <v>0.67017097667106695</v>
      </c>
      <c r="AL515">
        <v>88.965072524991896</v>
      </c>
      <c r="AM515">
        <v>83.536810198723202</v>
      </c>
      <c r="AN515">
        <v>1.00000001383419</v>
      </c>
    </row>
    <row r="516" spans="1:40" x14ac:dyDescent="0.25">
      <c r="A516" t="str">
        <f>"20190312161235261"</f>
        <v>20190312161235261</v>
      </c>
      <c r="B516" t="str">
        <f>"1552378355255897"</f>
        <v>1552378355255897</v>
      </c>
      <c r="C516" t="s">
        <v>40</v>
      </c>
      <c r="D516">
        <v>4.8144489999999998</v>
      </c>
      <c r="E516">
        <v>0.44543050000000001</v>
      </c>
      <c r="F516" t="s">
        <v>43</v>
      </c>
      <c r="G516">
        <v>-308.76670000000001</v>
      </c>
      <c r="H516">
        <v>0.91942349999999995</v>
      </c>
      <c r="I516">
        <v>367.7364</v>
      </c>
      <c r="J516">
        <v>-309.55540000000002</v>
      </c>
      <c r="K516">
        <v>1.061714</v>
      </c>
      <c r="L516">
        <v>367.70740000000001</v>
      </c>
      <c r="M516">
        <v>0.99984189999999995</v>
      </c>
      <c r="N516">
        <v>0</v>
      </c>
      <c r="O516">
        <v>-7.5299130000000001E-3</v>
      </c>
      <c r="P516">
        <v>0.99273710000000004</v>
      </c>
      <c r="Q516">
        <v>1.9156080000000001E-3</v>
      </c>
      <c r="R516">
        <v>-0.1202902</v>
      </c>
      <c r="S516">
        <v>3.0328979999999999</v>
      </c>
      <c r="T516">
        <v>-0.43539450000000002</v>
      </c>
      <c r="U516">
        <v>8.4197999999999995E-2</v>
      </c>
      <c r="V516">
        <v>0.1128067</v>
      </c>
      <c r="W516">
        <v>1.7950830000000001E-2</v>
      </c>
      <c r="X516">
        <v>0.99345479999999997</v>
      </c>
      <c r="Y516">
        <v>-3.4843970000000002E-2</v>
      </c>
      <c r="Z516">
        <v>3.5632419999999999E-3</v>
      </c>
      <c r="AA516">
        <v>0.99938640000000001</v>
      </c>
      <c r="AB516">
        <v>34</v>
      </c>
      <c r="AC516">
        <v>0.78870000000000495</v>
      </c>
      <c r="AD516">
        <v>-0.14229049999999999</v>
      </c>
      <c r="AE516">
        <v>2.89999999999963E-2</v>
      </c>
      <c r="AF516">
        <v>-3.3838880155833501E-2</v>
      </c>
      <c r="AG516">
        <v>-0.14229049999999999</v>
      </c>
      <c r="AH516">
        <v>0.763637698426613</v>
      </c>
      <c r="AI516">
        <v>100.54490350604399</v>
      </c>
      <c r="AJ516">
        <v>92.537273206241096</v>
      </c>
      <c r="AK516">
        <v>0.77751796806166795</v>
      </c>
      <c r="AL516">
        <v>88.971437969970395</v>
      </c>
      <c r="AM516">
        <v>83.521816811909005</v>
      </c>
      <c r="AN516">
        <v>1.0000000117528001</v>
      </c>
    </row>
    <row r="517" spans="1:40" x14ac:dyDescent="0.25">
      <c r="A517" t="str">
        <f>"20190312161235278"</f>
        <v>20190312161235278</v>
      </c>
      <c r="B517" t="str">
        <f>"1552378355266633"</f>
        <v>1552378355266633</v>
      </c>
      <c r="C517" t="s">
        <v>40</v>
      </c>
      <c r="D517">
        <v>4.7269199999999998</v>
      </c>
      <c r="E517">
        <v>0.44600230000000002</v>
      </c>
      <c r="F517" t="s">
        <v>52</v>
      </c>
      <c r="G517">
        <v>-158.19499999999999</v>
      </c>
      <c r="H517">
        <v>0.4081669</v>
      </c>
      <c r="I517">
        <v>371.33019999999999</v>
      </c>
      <c r="J517">
        <v>-309.3107</v>
      </c>
      <c r="K517">
        <v>1.0615349999999999</v>
      </c>
      <c r="L517">
        <v>367.7056</v>
      </c>
      <c r="M517">
        <v>0.99984470000000003</v>
      </c>
      <c r="N517">
        <v>0</v>
      </c>
      <c r="O517">
        <v>-7.4515809999999997E-3</v>
      </c>
      <c r="P517">
        <v>0.99270559999999997</v>
      </c>
      <c r="Q517">
        <v>2.1662000000000001E-3</v>
      </c>
      <c r="R517">
        <v>-0.120545899999999</v>
      </c>
      <c r="S517">
        <v>3.0307620000000002</v>
      </c>
      <c r="T517">
        <v>-1.308453E-2</v>
      </c>
      <c r="U517">
        <v>7.2540279999999999E-2</v>
      </c>
      <c r="V517">
        <v>0.1131403</v>
      </c>
      <c r="W517">
        <v>1.8062870000000002E-2</v>
      </c>
      <c r="X517">
        <v>0.99341480000000004</v>
      </c>
      <c r="Y517">
        <v>-3.1377200000000001E-2</v>
      </c>
      <c r="Z517" s="1">
        <v>9.9891589999999997E-5</v>
      </c>
      <c r="AA517">
        <v>0.99950760000000005</v>
      </c>
      <c r="AB517">
        <v>34</v>
      </c>
      <c r="AC517">
        <v>151.1157</v>
      </c>
      <c r="AD517">
        <v>-0.65336810000000001</v>
      </c>
      <c r="AE517">
        <v>3.6245999999999801</v>
      </c>
      <c r="AF517">
        <v>-4.7506050933745199</v>
      </c>
      <c r="AG517">
        <v>-0.65336810000000001</v>
      </c>
      <c r="AH517">
        <v>151.081668335621</v>
      </c>
      <c r="AI517">
        <v>90.247657503206298</v>
      </c>
      <c r="AJ517">
        <v>91.801012469042405</v>
      </c>
      <c r="AK517">
        <v>151.15775086214401</v>
      </c>
      <c r="AL517">
        <v>88.965017476849098</v>
      </c>
      <c r="AM517">
        <v>83.502563266583707</v>
      </c>
      <c r="AN517">
        <v>0.99999997980788302</v>
      </c>
    </row>
    <row r="518" spans="1:40" x14ac:dyDescent="0.25">
      <c r="A518" t="str">
        <f>"20190312161235292"</f>
        <v>20190312161235292</v>
      </c>
      <c r="B518" t="str">
        <f>"1552378355286153"</f>
        <v>1552378355286153</v>
      </c>
      <c r="C518" t="s">
        <v>40</v>
      </c>
      <c r="D518">
        <v>4.8072030000000003</v>
      </c>
      <c r="E518">
        <v>0.44817869999999999</v>
      </c>
      <c r="F518" t="s">
        <v>52</v>
      </c>
      <c r="G518">
        <v>-158.19499999999999</v>
      </c>
      <c r="H518">
        <v>0.58239960000000002</v>
      </c>
      <c r="I518">
        <v>371.0539</v>
      </c>
      <c r="J518">
        <v>-309.10149999999999</v>
      </c>
      <c r="K518">
        <v>1.061401</v>
      </c>
      <c r="L518">
        <v>367.70409999999998</v>
      </c>
      <c r="M518">
        <v>0.99984700000000004</v>
      </c>
      <c r="N518">
        <v>0</v>
      </c>
      <c r="O518">
        <v>-7.38492199999999E-3</v>
      </c>
      <c r="P518">
        <v>0.99268679999999998</v>
      </c>
      <c r="Q518">
        <v>2.5490690000000002E-3</v>
      </c>
      <c r="R518">
        <v>-0.1206916</v>
      </c>
      <c r="S518">
        <v>3.0301819999999999</v>
      </c>
      <c r="T518">
        <v>-9.6058849999999998E-3</v>
      </c>
      <c r="U518">
        <v>6.7138669999999998E-2</v>
      </c>
      <c r="V518">
        <v>0.1133527</v>
      </c>
      <c r="W518">
        <v>1.8335089999999998E-2</v>
      </c>
      <c r="X518">
        <v>0.99338559999999998</v>
      </c>
      <c r="Y518">
        <v>-2.9534459999999998E-2</v>
      </c>
      <c r="Z518" s="1">
        <v>7.0218319999999898E-5</v>
      </c>
      <c r="AA518">
        <v>0.9995638</v>
      </c>
      <c r="AB518">
        <v>34</v>
      </c>
      <c r="AC518">
        <v>150.90649999999999</v>
      </c>
      <c r="AD518">
        <v>-0.47900140000000002</v>
      </c>
      <c r="AE518">
        <v>3.3498000000000099</v>
      </c>
      <c r="AF518">
        <v>-4.4642365397334798</v>
      </c>
      <c r="AG518">
        <v>-0.47900140000000002</v>
      </c>
      <c r="AH518">
        <v>150.876123414728</v>
      </c>
      <c r="AI518">
        <v>90.181822411060907</v>
      </c>
      <c r="AJ518">
        <v>91.694816254984502</v>
      </c>
      <c r="AK518">
        <v>150.94291459647999</v>
      </c>
      <c r="AL518">
        <v>88.949417836267202</v>
      </c>
      <c r="AM518">
        <v>83.490280425613904</v>
      </c>
      <c r="AN518">
        <v>0.99999998020497805</v>
      </c>
    </row>
    <row r="519" spans="1:40" x14ac:dyDescent="0.25">
      <c r="A519" t="str">
        <f>"20190312161235305"</f>
        <v>20190312161235305</v>
      </c>
      <c r="B519" t="str">
        <f>"1552378355295913"</f>
        <v>1552378355295913</v>
      </c>
      <c r="C519" t="s">
        <v>40</v>
      </c>
      <c r="D519">
        <v>4.8146940000000003</v>
      </c>
      <c r="E519">
        <v>0.4493743</v>
      </c>
      <c r="F519" t="s">
        <v>52</v>
      </c>
      <c r="G519">
        <v>-158.78319999999999</v>
      </c>
      <c r="H519">
        <v>0.1209532</v>
      </c>
      <c r="I519">
        <v>370.18239999999997</v>
      </c>
      <c r="J519">
        <v>-308.89420000000001</v>
      </c>
      <c r="K519">
        <v>1.0612820000000001</v>
      </c>
      <c r="L519">
        <v>367.70269999999999</v>
      </c>
      <c r="M519">
        <v>0.99984899999999999</v>
      </c>
      <c r="N519">
        <v>0</v>
      </c>
      <c r="O519">
        <v>-7.3184610000000001E-3</v>
      </c>
      <c r="P519">
        <v>0.9926796</v>
      </c>
      <c r="Q519">
        <v>2.3806859999999999E-3</v>
      </c>
      <c r="R519">
        <v>-0.120755399999999</v>
      </c>
      <c r="S519">
        <v>3.0282589999999998</v>
      </c>
      <c r="T519">
        <v>-1.8944140000000002E-2</v>
      </c>
      <c r="U519">
        <v>4.9926760000000001E-2</v>
      </c>
      <c r="V519">
        <v>0.1134826</v>
      </c>
      <c r="W519">
        <v>1.8065250000000001E-2</v>
      </c>
      <c r="X519">
        <v>0.99337569999999997</v>
      </c>
      <c r="Y519">
        <v>-2.3802029999999998E-2</v>
      </c>
      <c r="Z519">
        <v>1.202297E-4</v>
      </c>
      <c r="AA519">
        <v>0.99971670000000001</v>
      </c>
      <c r="AB519">
        <v>34</v>
      </c>
      <c r="AC519">
        <v>150.11099999999999</v>
      </c>
      <c r="AD519">
        <v>-0.94032879999999996</v>
      </c>
      <c r="AE519">
        <v>2.4796999999999798</v>
      </c>
      <c r="AF519">
        <v>-3.5782111818818598</v>
      </c>
      <c r="AG519">
        <v>-0.94032879999999996</v>
      </c>
      <c r="AH519">
        <v>150.08294142034001</v>
      </c>
      <c r="AI519">
        <v>90.358873972632495</v>
      </c>
      <c r="AJ519">
        <v>91.365761925358498</v>
      </c>
      <c r="AK519">
        <v>150.12853532521899</v>
      </c>
      <c r="AL519">
        <v>88.964881077953095</v>
      </c>
      <c r="AM519">
        <v>83.482820164414306</v>
      </c>
      <c r="AN519">
        <v>0.99999996755540499</v>
      </c>
    </row>
    <row r="520" spans="1:40" x14ac:dyDescent="0.25">
      <c r="A520" t="str">
        <f>"20190312161235323"</f>
        <v>20190312161235323</v>
      </c>
      <c r="B520" t="str">
        <f>"1552378355316409"</f>
        <v>1552378355316409</v>
      </c>
      <c r="C520" t="s">
        <v>40</v>
      </c>
      <c r="D520">
        <v>4.8620140000000003</v>
      </c>
      <c r="E520">
        <v>0.45081789999999999</v>
      </c>
      <c r="F520" t="s">
        <v>53</v>
      </c>
      <c r="G520">
        <v>-189.0976</v>
      </c>
      <c r="H520" s="1">
        <v>-8.8877919999999996E-6</v>
      </c>
      <c r="I520">
        <v>369.30900000000003</v>
      </c>
      <c r="J520">
        <v>-308.63440000000003</v>
      </c>
      <c r="K520">
        <v>1.06115</v>
      </c>
      <c r="L520">
        <v>367.70089999999999</v>
      </c>
      <c r="M520">
        <v>0.99985139999999995</v>
      </c>
      <c r="N520">
        <v>0</v>
      </c>
      <c r="O520">
        <v>-7.2355609999999997E-3</v>
      </c>
      <c r="P520">
        <v>0.9926836</v>
      </c>
      <c r="Q520">
        <v>2.6529169999999999E-3</v>
      </c>
      <c r="R520">
        <v>-0.1207149</v>
      </c>
      <c r="S520">
        <v>3.0271300000000001</v>
      </c>
      <c r="T520">
        <v>-2.681768E-2</v>
      </c>
      <c r="U520">
        <v>4.058838E-2</v>
      </c>
      <c r="V520">
        <v>0.1135246</v>
      </c>
      <c r="W520">
        <v>1.8222100000000001E-2</v>
      </c>
      <c r="X520">
        <v>0.99336809999999998</v>
      </c>
      <c r="Y520">
        <v>-2.0641349999999999E-2</v>
      </c>
      <c r="Z520">
        <v>1.555308E-4</v>
      </c>
      <c r="AA520">
        <v>0.99978690000000003</v>
      </c>
      <c r="AB520">
        <v>34</v>
      </c>
      <c r="AC520">
        <v>119.5368</v>
      </c>
      <c r="AD520">
        <v>-1.061158887792</v>
      </c>
      <c r="AE520">
        <v>1.6081000000000301</v>
      </c>
      <c r="AF520">
        <v>-2.4728847562175602</v>
      </c>
      <c r="AG520">
        <v>-1.061158887792</v>
      </c>
      <c r="AH520">
        <v>119.512616616846</v>
      </c>
      <c r="AI520">
        <v>90.508610049851995</v>
      </c>
      <c r="AJ520">
        <v>91.185361418349601</v>
      </c>
      <c r="AK520">
        <v>119.542907559621</v>
      </c>
      <c r="AL520">
        <v>88.955892821229696</v>
      </c>
      <c r="AM520">
        <v>83.480379463297197</v>
      </c>
      <c r="AN520">
        <v>1.0000000309155801</v>
      </c>
    </row>
    <row r="521" spans="1:40" x14ac:dyDescent="0.25">
      <c r="A521" t="str">
        <f>"20190312161235335"</f>
        <v>20190312161235335</v>
      </c>
      <c r="B521" t="str">
        <f>"1552378355326169"</f>
        <v>1552378355326169</v>
      </c>
      <c r="C521" t="s">
        <v>40</v>
      </c>
      <c r="D521">
        <v>4.8468589999999896</v>
      </c>
      <c r="E521">
        <v>0.45161030000000002</v>
      </c>
      <c r="F521" t="s">
        <v>53</v>
      </c>
      <c r="G521">
        <v>-192.1557</v>
      </c>
      <c r="H521" s="1">
        <v>-6.1823000000000001E-6</v>
      </c>
      <c r="I521">
        <v>368.82979999999998</v>
      </c>
      <c r="J521">
        <v>-308.44670000000002</v>
      </c>
      <c r="K521">
        <v>1.061067</v>
      </c>
      <c r="L521">
        <v>367.69959999999998</v>
      </c>
      <c r="M521">
        <v>0.99985310000000005</v>
      </c>
      <c r="N521">
        <v>0</v>
      </c>
      <c r="O521">
        <v>-7.1754899999999996E-3</v>
      </c>
      <c r="P521">
        <v>0.99267740000000004</v>
      </c>
      <c r="Q521">
        <v>2.5412070000000002E-3</v>
      </c>
      <c r="R521">
        <v>-0.1207704</v>
      </c>
      <c r="S521">
        <v>3.0257869999999998</v>
      </c>
      <c r="T521">
        <v>-2.7565840000000001E-2</v>
      </c>
      <c r="U521">
        <v>2.9327389999999998E-2</v>
      </c>
      <c r="V521">
        <v>0.1136398</v>
      </c>
      <c r="W521">
        <v>1.803283E-2</v>
      </c>
      <c r="X521">
        <v>0.99335839999999997</v>
      </c>
      <c r="Y521">
        <v>-1.6866809999999999E-2</v>
      </c>
      <c r="Z521">
        <v>1.4220349999999999E-4</v>
      </c>
      <c r="AA521">
        <v>0.99985769999999996</v>
      </c>
      <c r="AB521">
        <v>34</v>
      </c>
      <c r="AC521">
        <v>116.291</v>
      </c>
      <c r="AD521">
        <v>-1.0610731822999999</v>
      </c>
      <c r="AE521">
        <v>1.1302000000000001</v>
      </c>
      <c r="AF521">
        <v>-1.96455337303135</v>
      </c>
      <c r="AG521">
        <v>-1.0610731822999999</v>
      </c>
      <c r="AH521">
        <v>116.27021584063201</v>
      </c>
      <c r="AI521">
        <v>90.522787813066103</v>
      </c>
      <c r="AJ521">
        <v>90.968002908439402</v>
      </c>
      <c r="AK521">
        <v>116.291652485811</v>
      </c>
      <c r="AL521">
        <v>88.966738993958899</v>
      </c>
      <c r="AM521">
        <v>83.473757494162001</v>
      </c>
      <c r="AN521">
        <v>1.0000000489762</v>
      </c>
    </row>
    <row r="522" spans="1:40" x14ac:dyDescent="0.25">
      <c r="A522" t="str">
        <f>"20190312161235347"</f>
        <v>20190312161235347</v>
      </c>
      <c r="B522" t="str">
        <f>"1552378355335930"</f>
        <v>1552378355335930</v>
      </c>
      <c r="C522" t="s">
        <v>40</v>
      </c>
      <c r="D522">
        <v>4.8502720000000004</v>
      </c>
      <c r="E522">
        <v>0.45217420000000003</v>
      </c>
      <c r="F522" t="s">
        <v>53</v>
      </c>
      <c r="G522">
        <v>-200.13679999999999</v>
      </c>
      <c r="H522" s="1">
        <v>-3.6778389999999999E-7</v>
      </c>
      <c r="I522">
        <v>368.51799999999997</v>
      </c>
      <c r="J522">
        <v>-308.26560000000001</v>
      </c>
      <c r="K522">
        <v>1.060991</v>
      </c>
      <c r="L522">
        <v>367.69830000000002</v>
      </c>
      <c r="M522">
        <v>0.99985469999999999</v>
      </c>
      <c r="N522">
        <v>0</v>
      </c>
      <c r="O522">
        <v>-7.1174970000000004E-3</v>
      </c>
      <c r="P522">
        <v>0.99268809999999996</v>
      </c>
      <c r="Q522">
        <v>2.5904330000000001E-3</v>
      </c>
      <c r="R522">
        <v>-0.1206815</v>
      </c>
      <c r="S522">
        <v>3.024994</v>
      </c>
      <c r="T522">
        <v>-2.9634589999999999E-2</v>
      </c>
      <c r="U522">
        <v>2.285767E-2</v>
      </c>
      <c r="V522">
        <v>0.11360820000000001</v>
      </c>
      <c r="W522">
        <v>1.80109E-2</v>
      </c>
      <c r="X522">
        <v>0.99336239999999998</v>
      </c>
      <c r="Y522">
        <v>-1.4672960000000001E-2</v>
      </c>
      <c r="Z522">
        <v>1.4160259999999999E-4</v>
      </c>
      <c r="AA522">
        <v>0.99989240000000001</v>
      </c>
      <c r="AB522">
        <v>34</v>
      </c>
      <c r="AC522">
        <v>108.1288</v>
      </c>
      <c r="AD522">
        <v>-1.0609913677839</v>
      </c>
      <c r="AE522">
        <v>0.81970000000001098</v>
      </c>
      <c r="AF522">
        <v>-1.5892249770245299</v>
      </c>
      <c r="AG522">
        <v>-1.0609913677839</v>
      </c>
      <c r="AH522">
        <v>108.109817228726</v>
      </c>
      <c r="AI522">
        <v>90.562222848868402</v>
      </c>
      <c r="AJ522">
        <v>90.842192949920204</v>
      </c>
      <c r="AK522">
        <v>108.126703084569</v>
      </c>
      <c r="AL522">
        <v>88.967995681747894</v>
      </c>
      <c r="AM522">
        <v>83.475582652824897</v>
      </c>
      <c r="AN522">
        <v>1.0000000366799</v>
      </c>
    </row>
    <row r="523" spans="1:40" x14ac:dyDescent="0.25">
      <c r="A523" t="str">
        <f>"20190312161235359"</f>
        <v>20190312161235359</v>
      </c>
      <c r="B523" t="str">
        <f>"1552378355356425"</f>
        <v>1552378355356425</v>
      </c>
      <c r="C523" t="s">
        <v>40</v>
      </c>
      <c r="D523">
        <v>4.7356740000000004</v>
      </c>
      <c r="E523">
        <v>0.45295220000000003</v>
      </c>
      <c r="F523" t="s">
        <v>53</v>
      </c>
      <c r="G523">
        <v>-205.40029999999999</v>
      </c>
      <c r="H523" s="1">
        <v>-3.4248689999999998E-6</v>
      </c>
      <c r="I523">
        <v>368.33769999999998</v>
      </c>
      <c r="J523">
        <v>-308.08749999999998</v>
      </c>
      <c r="K523">
        <v>1.060927</v>
      </c>
      <c r="L523">
        <v>367.69709999999998</v>
      </c>
      <c r="M523">
        <v>0.99985590000000002</v>
      </c>
      <c r="N523">
        <v>0</v>
      </c>
      <c r="O523">
        <v>-7.060396E-3</v>
      </c>
      <c r="P523">
        <v>0.99265950000000003</v>
      </c>
      <c r="Q523">
        <v>2.5817510000000002E-3</v>
      </c>
      <c r="R523">
        <v>-0.12091440000000001</v>
      </c>
      <c r="S523">
        <v>3.0244749999999998</v>
      </c>
      <c r="T523">
        <v>-3.119564E-2</v>
      </c>
      <c r="U523">
        <v>1.8798829999999999E-2</v>
      </c>
      <c r="V523">
        <v>0.1138984</v>
      </c>
      <c r="W523">
        <v>1.7938909999999999E-2</v>
      </c>
      <c r="X523">
        <v>0.99333039999999995</v>
      </c>
      <c r="Y523">
        <v>-1.327531E-2</v>
      </c>
      <c r="Z523">
        <v>1.4129069999999999E-4</v>
      </c>
      <c r="AA523">
        <v>0.99991180000000002</v>
      </c>
      <c r="AB523">
        <v>34</v>
      </c>
      <c r="AC523">
        <v>102.6872</v>
      </c>
      <c r="AD523">
        <v>-1.0609304248689999</v>
      </c>
      <c r="AE523">
        <v>0.64060000000000605</v>
      </c>
      <c r="AF523">
        <v>-1.3655369805431601</v>
      </c>
      <c r="AG523">
        <v>-1.0609304248689999</v>
      </c>
      <c r="AH523">
        <v>102.669157659928</v>
      </c>
      <c r="AI523">
        <v>90.591991775359702</v>
      </c>
      <c r="AJ523">
        <v>90.762009687364994</v>
      </c>
      <c r="AK523">
        <v>102.683719250964</v>
      </c>
      <c r="AL523">
        <v>88.9721209994226</v>
      </c>
      <c r="AM523">
        <v>83.458852080091901</v>
      </c>
      <c r="AN523">
        <v>0.99999996678935299</v>
      </c>
    </row>
    <row r="524" spans="1:40" x14ac:dyDescent="0.25">
      <c r="A524" t="str">
        <f>"20190312161235371"</f>
        <v>20190312161235371</v>
      </c>
      <c r="B524" t="str">
        <f>"1552378355366185"</f>
        <v>1552378355366185</v>
      </c>
      <c r="C524" t="s">
        <v>40</v>
      </c>
      <c r="D524">
        <v>4.8312379999999999</v>
      </c>
      <c r="E524">
        <v>0.45338499999999998</v>
      </c>
      <c r="F524" t="s">
        <v>53</v>
      </c>
      <c r="G524">
        <v>-201.64240000000001</v>
      </c>
      <c r="H524" s="1">
        <v>-1.367076E-6</v>
      </c>
      <c r="I524">
        <v>368.11180000000002</v>
      </c>
      <c r="J524">
        <v>-307.91050000000001</v>
      </c>
      <c r="K524">
        <v>1.0608679999999999</v>
      </c>
      <c r="L524">
        <v>367.69589999999999</v>
      </c>
      <c r="M524">
        <v>0.99985729999999995</v>
      </c>
      <c r="N524">
        <v>0</v>
      </c>
      <c r="O524">
        <v>-7.0039109999999998E-3</v>
      </c>
      <c r="P524">
        <v>0.99266659999999995</v>
      </c>
      <c r="Q524">
        <v>2.3447070000000001E-3</v>
      </c>
      <c r="R524">
        <v>-0.12086189999999999</v>
      </c>
      <c r="S524">
        <v>3.0237120000000002</v>
      </c>
      <c r="T524">
        <v>-3.013706E-2</v>
      </c>
      <c r="U524">
        <v>1.177979E-2</v>
      </c>
      <c r="V524">
        <v>0.113902</v>
      </c>
      <c r="W524">
        <v>1.7640929999999999E-2</v>
      </c>
      <c r="X524">
        <v>0.99333539999999998</v>
      </c>
      <c r="Y524">
        <v>-1.089947E-2</v>
      </c>
      <c r="Z524">
        <v>1.241289E-4</v>
      </c>
      <c r="AA524">
        <v>0.99994059999999996</v>
      </c>
      <c r="AB524">
        <v>34</v>
      </c>
      <c r="AC524">
        <v>106.2681</v>
      </c>
      <c r="AD524">
        <v>-1.0608693670760001</v>
      </c>
      <c r="AE524">
        <v>0.41590000000002098</v>
      </c>
      <c r="AF524">
        <v>-1.1601544555946901</v>
      </c>
      <c r="AG524">
        <v>-1.0608693670760001</v>
      </c>
      <c r="AH524">
        <v>106.251990761887</v>
      </c>
      <c r="AI524">
        <v>90.572014646807702</v>
      </c>
      <c r="AJ524">
        <v>90.6255818075024</v>
      </c>
      <c r="AK524">
        <v>106.26362003545201</v>
      </c>
      <c r="AL524">
        <v>88.989196775205698</v>
      </c>
      <c r="AM524">
        <v>83.458679765941</v>
      </c>
      <c r="AN524">
        <v>1.0000000424542099</v>
      </c>
    </row>
    <row r="525" spans="1:40" x14ac:dyDescent="0.25">
      <c r="A525" t="str">
        <f>"20190312161235383"</f>
        <v>20190312161235383</v>
      </c>
      <c r="B525" t="str">
        <f>"1552378355375945"</f>
        <v>1552378355375945</v>
      </c>
      <c r="C525" t="s">
        <v>40</v>
      </c>
      <c r="D525">
        <v>4.8102260000000001</v>
      </c>
      <c r="E525">
        <v>0.45361570000000001</v>
      </c>
      <c r="F525" t="s">
        <v>53</v>
      </c>
      <c r="G525">
        <v>-207.804</v>
      </c>
      <c r="H525" s="1">
        <v>-4.6221080000000004E-6</v>
      </c>
      <c r="I525">
        <v>367.98790000000002</v>
      </c>
      <c r="J525">
        <v>-307.71859999999998</v>
      </c>
      <c r="K525">
        <v>1.0608109999999999</v>
      </c>
      <c r="L525">
        <v>367.69470000000001</v>
      </c>
      <c r="M525">
        <v>0.99985869999999999</v>
      </c>
      <c r="N525">
        <v>0</v>
      </c>
      <c r="O525">
        <v>-6.9427819999999998E-3</v>
      </c>
      <c r="P525">
        <v>0.9926606</v>
      </c>
      <c r="Q525">
        <v>2.083054E-3</v>
      </c>
      <c r="R525">
        <v>-0.1209156</v>
      </c>
      <c r="S525">
        <v>3.0233150000000002</v>
      </c>
      <c r="T525">
        <v>-3.2039400000000003E-2</v>
      </c>
      <c r="U525">
        <v>8.8195800000000005E-3</v>
      </c>
      <c r="V525">
        <v>0.11401650000000001</v>
      </c>
      <c r="W525">
        <v>1.731864E-2</v>
      </c>
      <c r="X525">
        <v>0.99332790000000004</v>
      </c>
      <c r="Y525">
        <v>-9.8597300000000006E-3</v>
      </c>
      <c r="Z525">
        <v>1.2582420000000001E-4</v>
      </c>
      <c r="AA525">
        <v>0.99995140000000005</v>
      </c>
      <c r="AB525">
        <v>34</v>
      </c>
      <c r="AC525">
        <v>99.914599999999893</v>
      </c>
      <c r="AD525">
        <v>-1.0608156221079901</v>
      </c>
      <c r="AE525">
        <v>0.29320000000001301</v>
      </c>
      <c r="AF525">
        <v>-0.98684828280195402</v>
      </c>
      <c r="AG525">
        <v>-1.0608156221079901</v>
      </c>
      <c r="AH525">
        <v>99.898894442320497</v>
      </c>
      <c r="AI525">
        <v>90.608365176537902</v>
      </c>
      <c r="AJ525">
        <v>90.565976258678006</v>
      </c>
      <c r="AK525">
        <v>99.909400509237699</v>
      </c>
      <c r="AL525">
        <v>89.007665418036197</v>
      </c>
      <c r="AM525">
        <v>83.452112169086803</v>
      </c>
      <c r="AN525">
        <v>1.00000000724105</v>
      </c>
    </row>
    <row r="526" spans="1:40" x14ac:dyDescent="0.25">
      <c r="A526" t="str">
        <f>"20190312161235395"</f>
        <v>20190312161235395</v>
      </c>
      <c r="B526" t="str">
        <f>"1552378355385706"</f>
        <v>1552378355385706</v>
      </c>
      <c r="C526" t="s">
        <v>40</v>
      </c>
      <c r="D526">
        <v>4.8352849999999998</v>
      </c>
      <c r="E526">
        <v>0.45378380000000001</v>
      </c>
      <c r="F526" t="s">
        <v>42</v>
      </c>
      <c r="G526">
        <v>-211.39830000000001</v>
      </c>
      <c r="H526" s="1">
        <v>-3.9753519999999996E-6</v>
      </c>
      <c r="I526">
        <v>367.90859999999998</v>
      </c>
      <c r="J526">
        <v>-307.5478</v>
      </c>
      <c r="K526">
        <v>1.060762</v>
      </c>
      <c r="L526">
        <v>367.69349999999997</v>
      </c>
      <c r="M526">
        <v>0.99985990000000002</v>
      </c>
      <c r="N526">
        <v>0</v>
      </c>
      <c r="O526">
        <v>-6.8882880000000002E-3</v>
      </c>
      <c r="P526">
        <v>0.9926779</v>
      </c>
      <c r="Q526">
        <v>1.861822E-3</v>
      </c>
      <c r="R526">
        <v>-0.120778</v>
      </c>
      <c r="S526">
        <v>3.0230709999999998</v>
      </c>
      <c r="T526">
        <v>-3.3294320000000002E-2</v>
      </c>
      <c r="U526">
        <v>6.7138669999999897E-3</v>
      </c>
      <c r="V526">
        <v>0.11393300000000001</v>
      </c>
      <c r="W526">
        <v>1.7047360000000001E-2</v>
      </c>
      <c r="X526">
        <v>0.99334219999999895</v>
      </c>
      <c r="Y526">
        <v>-9.1089199999999995E-3</v>
      </c>
      <c r="Z526">
        <v>1.2602819999999999E-4</v>
      </c>
      <c r="AA526">
        <v>0.99995849999999997</v>
      </c>
      <c r="AB526">
        <v>34</v>
      </c>
      <c r="AC526">
        <v>96.149500000000003</v>
      </c>
      <c r="AD526">
        <v>-1.060765975352</v>
      </c>
      <c r="AE526">
        <v>0.21510000000000601</v>
      </c>
      <c r="AF526">
        <v>-0.87737063708645102</v>
      </c>
      <c r="AG526">
        <v>-1.060765975352</v>
      </c>
      <c r="AH526">
        <v>96.134035600917898</v>
      </c>
      <c r="AI526">
        <v>90.632163373556907</v>
      </c>
      <c r="AJ526">
        <v>90.522897417295098</v>
      </c>
      <c r="AK526">
        <v>96.143891145552402</v>
      </c>
      <c r="AL526">
        <v>89.023210937938501</v>
      </c>
      <c r="AM526">
        <v>83.456959294167305</v>
      </c>
      <c r="AN526">
        <v>1.0000000336364001</v>
      </c>
    </row>
    <row r="527" spans="1:40" x14ac:dyDescent="0.25">
      <c r="A527" t="str">
        <f>"20190312161235406"</f>
        <v>20190312161235406</v>
      </c>
      <c r="B527" t="str">
        <f>"1552378355396441"</f>
        <v>1552378355396441</v>
      </c>
      <c r="C527" t="s">
        <v>40</v>
      </c>
      <c r="D527">
        <v>4.7602929999999999</v>
      </c>
      <c r="E527">
        <v>0.4541753</v>
      </c>
      <c r="F527" t="s">
        <v>42</v>
      </c>
      <c r="G527">
        <v>-217.59010000000001</v>
      </c>
      <c r="H527" s="1">
        <v>-1.3269979999999999E-6</v>
      </c>
      <c r="I527">
        <v>367.86419999999998</v>
      </c>
      <c r="J527">
        <v>-307.3759</v>
      </c>
      <c r="K527">
        <v>1.060718</v>
      </c>
      <c r="L527">
        <v>367.69240000000002</v>
      </c>
      <c r="M527">
        <v>0.999861</v>
      </c>
      <c r="N527">
        <v>0</v>
      </c>
      <c r="O527">
        <v>-6.8330939999999996E-3</v>
      </c>
      <c r="P527">
        <v>0.99268849999999997</v>
      </c>
      <c r="Q527">
        <v>1.4881639999999999E-3</v>
      </c>
      <c r="R527">
        <v>-0.1206971</v>
      </c>
      <c r="S527">
        <v>3.0228579999999998</v>
      </c>
      <c r="T527">
        <v>-3.5644889999999999E-2</v>
      </c>
      <c r="U527">
        <v>5.7373049999999998E-3</v>
      </c>
      <c r="V527">
        <v>0.11390690000000001</v>
      </c>
      <c r="W527">
        <v>1.6624940000000001E-2</v>
      </c>
      <c r="X527">
        <v>0.99335240000000002</v>
      </c>
      <c r="Y527">
        <v>-8.7307180000000002E-3</v>
      </c>
      <c r="Z527">
        <v>1.3205399999999999E-4</v>
      </c>
      <c r="AA527">
        <v>0.99996189999999996</v>
      </c>
      <c r="AB527">
        <v>34</v>
      </c>
      <c r="AC527">
        <v>89.785799999999995</v>
      </c>
      <c r="AD527">
        <v>-1.060719326998</v>
      </c>
      <c r="AE527">
        <v>0.17179999999996101</v>
      </c>
      <c r="AF527">
        <v>-0.785272163184633</v>
      </c>
      <c r="AG527">
        <v>-1.060719326998</v>
      </c>
      <c r="AH527">
        <v>89.770000359437105</v>
      </c>
      <c r="AI527">
        <v>90.676947615928896</v>
      </c>
      <c r="AJ527">
        <v>90.501187846367003</v>
      </c>
      <c r="AK527">
        <v>89.779701171223905</v>
      </c>
      <c r="AL527">
        <v>89.047417296126397</v>
      </c>
      <c r="AM527">
        <v>83.458511782136995</v>
      </c>
      <c r="AN527">
        <v>1.00000008054168</v>
      </c>
    </row>
    <row r="528" spans="1:40" x14ac:dyDescent="0.25">
      <c r="A528" t="str">
        <f>"20190312161235423"</f>
        <v>20190312161235423</v>
      </c>
      <c r="B528" t="str">
        <f>"1552378355415963"</f>
        <v>1552378355415963</v>
      </c>
      <c r="C528" t="s">
        <v>40</v>
      </c>
      <c r="D528">
        <v>4.7679589999999896</v>
      </c>
      <c r="E528">
        <v>0.45491130000000002</v>
      </c>
      <c r="F528" t="s">
        <v>42</v>
      </c>
      <c r="G528">
        <v>-234.3716</v>
      </c>
      <c r="H528" s="1">
        <v>-2.723283E-6</v>
      </c>
      <c r="I528">
        <v>367.77640000000002</v>
      </c>
      <c r="J528">
        <v>-307.12180000000001</v>
      </c>
      <c r="K528">
        <v>1.060654</v>
      </c>
      <c r="L528">
        <v>367.69080000000002</v>
      </c>
      <c r="M528">
        <v>0.99986260000000005</v>
      </c>
      <c r="N528">
        <v>0</v>
      </c>
      <c r="O528">
        <v>-6.75203E-3</v>
      </c>
      <c r="P528">
        <v>0.99276129999999996</v>
      </c>
      <c r="Q528">
        <v>1.311682E-3</v>
      </c>
      <c r="R528">
        <v>-0.12009789999999999</v>
      </c>
      <c r="S528">
        <v>3.022583</v>
      </c>
      <c r="T528">
        <v>-4.3916700000000003E-2</v>
      </c>
      <c r="U528">
        <v>3.479004E-3</v>
      </c>
      <c r="V528">
        <v>0.1133878</v>
      </c>
      <c r="W528">
        <v>1.638417E-2</v>
      </c>
      <c r="X528">
        <v>0.99341570000000001</v>
      </c>
      <c r="Y528">
        <v>-7.9022299999999997E-3</v>
      </c>
      <c r="Z528">
        <v>1.555142E-4</v>
      </c>
      <c r="AA528">
        <v>0.99996879999999999</v>
      </c>
      <c r="AB528">
        <v>34</v>
      </c>
      <c r="AC528">
        <v>72.750200000000007</v>
      </c>
      <c r="AD528">
        <v>-1.060656723283</v>
      </c>
      <c r="AE528">
        <v>8.5599999999999399E-2</v>
      </c>
      <c r="AF528">
        <v>-0.57674328922949702</v>
      </c>
      <c r="AG528">
        <v>-1.060656723283</v>
      </c>
      <c r="AH528">
        <v>72.732503231978299</v>
      </c>
      <c r="AI528">
        <v>90.835457787709601</v>
      </c>
      <c r="AJ528">
        <v>90.454325951644606</v>
      </c>
      <c r="AK528">
        <v>72.742522996498096</v>
      </c>
      <c r="AL528">
        <v>89.061214197544501</v>
      </c>
      <c r="AM528">
        <v>83.488477589194304</v>
      </c>
      <c r="AN528">
        <v>0.99999999361095904</v>
      </c>
    </row>
    <row r="529" spans="1:40" x14ac:dyDescent="0.25">
      <c r="A529" t="str">
        <f>"20190312161235436"</f>
        <v>20190312161235436</v>
      </c>
      <c r="B529" t="str">
        <f>"1552378355425721"</f>
        <v>1552378355425721</v>
      </c>
      <c r="C529" t="s">
        <v>40</v>
      </c>
      <c r="D529">
        <v>4.8539349999999999</v>
      </c>
      <c r="E529">
        <v>0.45508860000000001</v>
      </c>
      <c r="F529" t="s">
        <v>42</v>
      </c>
      <c r="G529">
        <v>-248.97329999999999</v>
      </c>
      <c r="H529" s="1">
        <v>-8.9145869999999996E-7</v>
      </c>
      <c r="I529">
        <v>367.6884</v>
      </c>
      <c r="J529">
        <v>-306.93540000000002</v>
      </c>
      <c r="K529">
        <v>1.0606169999999999</v>
      </c>
      <c r="L529">
        <v>367.68950000000001</v>
      </c>
      <c r="M529">
        <v>0.99986359999999996</v>
      </c>
      <c r="N529">
        <v>0</v>
      </c>
      <c r="O529">
        <v>-6.6923410000000001E-3</v>
      </c>
      <c r="P529">
        <v>0.99279490000000004</v>
      </c>
      <c r="Q529">
        <v>9.5145400000000002E-4</v>
      </c>
      <c r="R529">
        <v>-0.1198234</v>
      </c>
      <c r="S529">
        <v>3.0219420000000001</v>
      </c>
      <c r="T529">
        <v>-5.5121660000000003E-2</v>
      </c>
      <c r="U529">
        <v>-1.220703E-4</v>
      </c>
      <c r="V529">
        <v>0.1131725</v>
      </c>
      <c r="W529">
        <v>1.597987E-2</v>
      </c>
      <c r="X529">
        <v>0.99344679999999996</v>
      </c>
      <c r="Y529">
        <v>-6.6504930000000004E-3</v>
      </c>
      <c r="Z529">
        <v>1.8272359999999999E-4</v>
      </c>
      <c r="AA529">
        <v>0.99997789999999998</v>
      </c>
      <c r="AB529">
        <v>34</v>
      </c>
      <c r="AC529">
        <v>57.9621</v>
      </c>
      <c r="AD529">
        <v>-1.0606178914586999</v>
      </c>
      <c r="AE529">
        <v>-1.1000000000080899E-3</v>
      </c>
      <c r="AF529">
        <v>-0.38671690414697701</v>
      </c>
      <c r="AG529">
        <v>-1.0606178914586999</v>
      </c>
      <c r="AH529">
        <v>57.941408306179397</v>
      </c>
      <c r="AI529">
        <v>91.048659182485295</v>
      </c>
      <c r="AJ529">
        <v>90.382402121821102</v>
      </c>
      <c r="AK529">
        <v>57.952405099176303</v>
      </c>
      <c r="AL529">
        <v>89.084381882160599</v>
      </c>
      <c r="AM529">
        <v>83.500937457544197</v>
      </c>
      <c r="AN529">
        <v>0.99999995771585204</v>
      </c>
    </row>
    <row r="530" spans="1:40" x14ac:dyDescent="0.25">
      <c r="A530" t="str">
        <f>"20190312161235448"</f>
        <v>20190312161235448</v>
      </c>
      <c r="B530" t="str">
        <f>"1552378355436462"</f>
        <v>1552378355436462</v>
      </c>
      <c r="C530" t="s">
        <v>40</v>
      </c>
      <c r="D530">
        <v>4.851032</v>
      </c>
      <c r="E530">
        <v>0.45518510000000001</v>
      </c>
      <c r="F530" t="s">
        <v>42</v>
      </c>
      <c r="G530">
        <v>-248.43940000000001</v>
      </c>
      <c r="H530" s="1">
        <v>-1.0999879999999999E-6</v>
      </c>
      <c r="I530">
        <v>367.67529999999999</v>
      </c>
      <c r="J530">
        <v>-306.74700000000001</v>
      </c>
      <c r="K530">
        <v>1.0605830000000001</v>
      </c>
      <c r="L530">
        <v>367.6884</v>
      </c>
      <c r="M530">
        <v>0.99986470000000005</v>
      </c>
      <c r="N530">
        <v>0</v>
      </c>
      <c r="O530">
        <v>-6.6318319999999998E-3</v>
      </c>
      <c r="P530">
        <v>0.99281560000000002</v>
      </c>
      <c r="Q530">
        <v>5.3337399999999998E-4</v>
      </c>
      <c r="R530">
        <v>-0.119654</v>
      </c>
      <c r="S530">
        <v>3.0217290000000001</v>
      </c>
      <c r="T530">
        <v>-5.478835E-2</v>
      </c>
      <c r="U530">
        <v>-7.3242190000000001E-4</v>
      </c>
      <c r="V530">
        <v>0.1130632</v>
      </c>
      <c r="W530">
        <v>1.551978E-2</v>
      </c>
      <c r="X530">
        <v>0.99346659999999998</v>
      </c>
      <c r="Y530">
        <v>-6.3880639999999997E-3</v>
      </c>
      <c r="Z530">
        <v>1.7815560000000001E-4</v>
      </c>
      <c r="AA530">
        <v>0.99997959999999997</v>
      </c>
      <c r="AB530">
        <v>34</v>
      </c>
      <c r="AC530">
        <v>58.307600000000001</v>
      </c>
      <c r="AD530">
        <v>-1.0605840999879901</v>
      </c>
      <c r="AE530">
        <v>-1.3100000000008501E-2</v>
      </c>
      <c r="AF530">
        <v>-0.37350673757071101</v>
      </c>
      <c r="AG530">
        <v>-1.0605840999879901</v>
      </c>
      <c r="AH530">
        <v>58.287119681876497</v>
      </c>
      <c r="AI530">
        <v>91.042409382904495</v>
      </c>
      <c r="AJ530">
        <v>90.367149155505402</v>
      </c>
      <c r="AK530">
        <v>58.297964516143701</v>
      </c>
      <c r="AL530">
        <v>89.110746422503098</v>
      </c>
      <c r="AM530">
        <v>83.5072888125693</v>
      </c>
      <c r="AN530">
        <v>1.00000001804052</v>
      </c>
    </row>
    <row r="531" spans="1:40" x14ac:dyDescent="0.25">
      <c r="A531" t="str">
        <f>"20190312161235459"</f>
        <v>20190312161235459</v>
      </c>
      <c r="B531" t="str">
        <f>"1552378355455984"</f>
        <v>1552378355455984</v>
      </c>
      <c r="C531" t="s">
        <v>40</v>
      </c>
      <c r="D531">
        <v>4.8157139999999998</v>
      </c>
      <c r="E531">
        <v>0.45532220000000001</v>
      </c>
      <c r="F531" t="s">
        <v>42</v>
      </c>
      <c r="G531">
        <v>-248.1576</v>
      </c>
      <c r="H531" s="1">
        <v>-1.2096039999999999E-6</v>
      </c>
      <c r="I531">
        <v>367.67</v>
      </c>
      <c r="J531">
        <v>-306.56810000000002</v>
      </c>
      <c r="K531">
        <v>1.0605599999999999</v>
      </c>
      <c r="L531">
        <v>367.68720000000002</v>
      </c>
      <c r="M531">
        <v>0.99986560000000002</v>
      </c>
      <c r="N531">
        <v>0</v>
      </c>
      <c r="O531">
        <v>-6.5749429999999998E-3</v>
      </c>
      <c r="P531">
        <v>0.99281470000000005</v>
      </c>
      <c r="Q531">
        <v>2.9444319999999999E-4</v>
      </c>
      <c r="R531">
        <v>-0.1196615</v>
      </c>
      <c r="S531">
        <v>3.0215450000000001</v>
      </c>
      <c r="T531">
        <v>-5.4695960000000002E-2</v>
      </c>
      <c r="U531">
        <v>-9.4604490000000003E-4</v>
      </c>
      <c r="V531">
        <v>0.11312750000000001</v>
      </c>
      <c r="W531">
        <v>1.524467E-2</v>
      </c>
      <c r="X531">
        <v>0.99346350000000005</v>
      </c>
      <c r="Y531">
        <v>-6.2604890000000002E-3</v>
      </c>
      <c r="Z531">
        <v>1.756815E-4</v>
      </c>
      <c r="AA531">
        <v>0.99998039999999999</v>
      </c>
      <c r="AB531">
        <v>34</v>
      </c>
      <c r="AC531">
        <v>58.410499999999999</v>
      </c>
      <c r="AD531">
        <v>-1.060561209604</v>
      </c>
      <c r="AE531">
        <v>-1.7200000000002501E-2</v>
      </c>
      <c r="AF531">
        <v>-0.36676848304937798</v>
      </c>
      <c r="AG531">
        <v>-1.060561209604</v>
      </c>
      <c r="AH531">
        <v>58.3901003490923</v>
      </c>
      <c r="AI531">
        <v>91.040549707682302</v>
      </c>
      <c r="AJ531">
        <v>90.359889940981802</v>
      </c>
      <c r="AK531">
        <v>58.400882938330199</v>
      </c>
      <c r="AL531">
        <v>89.126510894804795</v>
      </c>
      <c r="AM531">
        <v>83.503607810773104</v>
      </c>
      <c r="AN531">
        <v>0.99999997852595401</v>
      </c>
    </row>
    <row r="532" spans="1:40" x14ac:dyDescent="0.25">
      <c r="A532" t="str">
        <f>"20190312161235474"</f>
        <v>20190312161235474</v>
      </c>
      <c r="B532" t="str">
        <f>"1552378355466720"</f>
        <v>1552378355466720</v>
      </c>
      <c r="C532" t="s">
        <v>40</v>
      </c>
      <c r="D532">
        <v>4.9422629999999996</v>
      </c>
      <c r="E532">
        <v>0.45531650000000001</v>
      </c>
      <c r="F532" t="s">
        <v>42</v>
      </c>
      <c r="G532">
        <v>-244.90270000000001</v>
      </c>
      <c r="H532" s="1">
        <v>-2.7400340000000001E-6</v>
      </c>
      <c r="I532">
        <v>367.64299999999997</v>
      </c>
      <c r="J532">
        <v>-306.36900000000003</v>
      </c>
      <c r="K532">
        <v>1.0605309999999999</v>
      </c>
      <c r="L532">
        <v>367.6859</v>
      </c>
      <c r="M532">
        <v>0.99986660000000005</v>
      </c>
      <c r="N532">
        <v>0</v>
      </c>
      <c r="O532">
        <v>-6.5113640000000004E-3</v>
      </c>
      <c r="P532">
        <v>0.99281399999999997</v>
      </c>
      <c r="Q532">
        <v>2.1958540000000001E-4</v>
      </c>
      <c r="R532">
        <v>-0.11966839999999999</v>
      </c>
      <c r="S532">
        <v>3.0214539999999999</v>
      </c>
      <c r="T532">
        <v>-5.1964999999999997E-2</v>
      </c>
      <c r="U532">
        <v>-2.166748E-3</v>
      </c>
      <c r="V532">
        <v>0.11319750000000001</v>
      </c>
      <c r="W532">
        <v>1.513072E-2</v>
      </c>
      <c r="X532">
        <v>0.99345729999999999</v>
      </c>
      <c r="Y532">
        <v>-5.7931689999999999E-3</v>
      </c>
      <c r="Z532">
        <v>1.618042E-4</v>
      </c>
      <c r="AA532">
        <v>0.99998319999999996</v>
      </c>
      <c r="AB532">
        <v>34</v>
      </c>
      <c r="AC532">
        <v>61.466299999999997</v>
      </c>
      <c r="AD532">
        <v>-1.06053374003399</v>
      </c>
      <c r="AE532">
        <v>-4.2899999999974597E-2</v>
      </c>
      <c r="AF532">
        <v>-0.35726891492544199</v>
      </c>
      <c r="AG532">
        <v>-1.06053374003399</v>
      </c>
      <c r="AH532">
        <v>61.4469834530924</v>
      </c>
      <c r="AI532">
        <v>90.988771859653198</v>
      </c>
      <c r="AJ532">
        <v>90.333128970106401</v>
      </c>
      <c r="AK532">
        <v>61.4571732865736</v>
      </c>
      <c r="AL532">
        <v>89.133040529269806</v>
      </c>
      <c r="AM532">
        <v>83.499582206828507</v>
      </c>
      <c r="AN532">
        <v>1.0000000098086199</v>
      </c>
    </row>
    <row r="533" spans="1:40" x14ac:dyDescent="0.25">
      <c r="A533" t="str">
        <f>"20190312161235494"</f>
        <v>20190312161235494</v>
      </c>
      <c r="B533" t="str">
        <f>"1552378355486239"</f>
        <v>1552378355486239</v>
      </c>
      <c r="C533" t="s">
        <v>40</v>
      </c>
      <c r="D533">
        <v>4.8775149999999998</v>
      </c>
      <c r="E533">
        <v>0.4553952</v>
      </c>
      <c r="F533" t="s">
        <v>42</v>
      </c>
      <c r="G533">
        <v>-242.25299999999999</v>
      </c>
      <c r="H533" s="1">
        <v>-3.9939260000000003E-6</v>
      </c>
      <c r="I533">
        <v>367.6354</v>
      </c>
      <c r="J533">
        <v>-306.07139999999998</v>
      </c>
      <c r="K533">
        <v>1.0604910000000001</v>
      </c>
      <c r="L533">
        <v>367.6841</v>
      </c>
      <c r="M533">
        <v>0.99986799999999998</v>
      </c>
      <c r="N533">
        <v>0</v>
      </c>
      <c r="O533">
        <v>-6.4163369999999898E-3</v>
      </c>
      <c r="P533">
        <v>0.99278999999999995</v>
      </c>
      <c r="Q533">
        <v>1.0486130000000001E-4</v>
      </c>
      <c r="R533">
        <v>-0.1198678</v>
      </c>
      <c r="S533">
        <v>3.021423</v>
      </c>
      <c r="T533">
        <v>-4.9976939999999997E-2</v>
      </c>
      <c r="U533">
        <v>-2.380371E-3</v>
      </c>
      <c r="V533">
        <v>0.1134916</v>
      </c>
      <c r="W533">
        <v>1.496289E-2</v>
      </c>
      <c r="X533">
        <v>0.99342629999999998</v>
      </c>
      <c r="Y533">
        <v>-5.6275869999999999E-3</v>
      </c>
      <c r="Z533">
        <v>1.5267509999999999E-4</v>
      </c>
      <c r="AA533">
        <v>0.99998410000000004</v>
      </c>
      <c r="AB533">
        <v>34</v>
      </c>
      <c r="AC533">
        <v>63.818399999999997</v>
      </c>
      <c r="AD533">
        <v>-1.060494993926</v>
      </c>
      <c r="AE533">
        <v>-4.86999999999966E-2</v>
      </c>
      <c r="AF533">
        <v>-0.36072738004105298</v>
      </c>
      <c r="AG533">
        <v>-1.060494993926</v>
      </c>
      <c r="AH533">
        <v>63.799781019008499</v>
      </c>
      <c r="AI533">
        <v>90.952281030181894</v>
      </c>
      <c r="AJ533">
        <v>90.323949955049798</v>
      </c>
      <c r="AK533">
        <v>63.809613946084099</v>
      </c>
      <c r="AL533">
        <v>89.142657579433404</v>
      </c>
      <c r="AM533">
        <v>83.482636872814993</v>
      </c>
      <c r="AN533">
        <v>1.0000000224397001</v>
      </c>
    </row>
    <row r="534" spans="1:40" x14ac:dyDescent="0.25">
      <c r="A534" t="str">
        <f>"20190312161235507"</f>
        <v>20190312161235507</v>
      </c>
      <c r="B534" t="str">
        <f>"1552378355495998"</f>
        <v>1552378355495998</v>
      </c>
      <c r="C534" t="s">
        <v>40</v>
      </c>
      <c r="D534">
        <v>5.0857320000000001</v>
      </c>
      <c r="E534">
        <v>0.45591920000000002</v>
      </c>
      <c r="F534" t="s">
        <v>42</v>
      </c>
      <c r="G534">
        <v>-239.16669999999999</v>
      </c>
      <c r="H534" s="1">
        <v>-8.0499320000000002E-7</v>
      </c>
      <c r="I534">
        <v>367.60430000000002</v>
      </c>
      <c r="J534">
        <v>-305.86040000000003</v>
      </c>
      <c r="K534">
        <v>1.060468</v>
      </c>
      <c r="L534">
        <v>367.68279999999999</v>
      </c>
      <c r="M534">
        <v>0.99986889999999995</v>
      </c>
      <c r="N534">
        <v>0</v>
      </c>
      <c r="O534">
        <v>-6.3489769999999996E-3</v>
      </c>
      <c r="P534">
        <v>0.99278379999999999</v>
      </c>
      <c r="Q534">
        <v>-3.724396E-4</v>
      </c>
      <c r="R534">
        <v>-0.1199175</v>
      </c>
      <c r="S534">
        <v>3.0213320000000001</v>
      </c>
      <c r="T534">
        <v>-4.7890420000000003E-2</v>
      </c>
      <c r="U534">
        <v>-3.6010740000000001E-3</v>
      </c>
      <c r="V534">
        <v>0.113608399999999</v>
      </c>
      <c r="W534">
        <v>1.44513E-2</v>
      </c>
      <c r="X534">
        <v>0.99342050000000004</v>
      </c>
      <c r="Y534">
        <v>-5.1563750000000004E-3</v>
      </c>
      <c r="Z534">
        <v>1.4150400000000001E-4</v>
      </c>
      <c r="AA534">
        <v>0.99998670000000001</v>
      </c>
      <c r="AB534">
        <v>34</v>
      </c>
      <c r="AC534">
        <v>66.693700000000007</v>
      </c>
      <c r="AD534">
        <v>-1.0604688049932001</v>
      </c>
      <c r="AE534">
        <v>-7.8499999999962697E-2</v>
      </c>
      <c r="AF534">
        <v>-0.34489813235018202</v>
      </c>
      <c r="AG534">
        <v>-1.0604688049932001</v>
      </c>
      <c r="AH534">
        <v>66.675996368599797</v>
      </c>
      <c r="AI534">
        <v>90.911189256602199</v>
      </c>
      <c r="AJ534">
        <v>90.296373990226698</v>
      </c>
      <c r="AK534">
        <v>66.685321027596402</v>
      </c>
      <c r="AL534">
        <v>89.171972678291297</v>
      </c>
      <c r="AM534">
        <v>83.475949556149104</v>
      </c>
      <c r="AN534">
        <v>0.99999999922125005</v>
      </c>
    </row>
    <row r="535" spans="1:40" x14ac:dyDescent="0.25">
      <c r="A535" t="str">
        <f>"20190312161235524"</f>
        <v>20190312161235524</v>
      </c>
      <c r="B535" t="str">
        <f>"1552378355516496"</f>
        <v>1552378355516496</v>
      </c>
      <c r="C535" t="s">
        <v>40</v>
      </c>
      <c r="D535">
        <v>5.0999660000000002</v>
      </c>
      <c r="E535">
        <v>0.4967065</v>
      </c>
      <c r="F535" t="s">
        <v>42</v>
      </c>
      <c r="G535">
        <v>-238.1268</v>
      </c>
      <c r="H535" s="1">
        <v>-1.187005E-6</v>
      </c>
      <c r="I535">
        <v>367.49869999999999</v>
      </c>
      <c r="J535">
        <v>-305.6103</v>
      </c>
      <c r="K535">
        <v>1.0604439999999999</v>
      </c>
      <c r="L535">
        <v>367.68130000000002</v>
      </c>
      <c r="M535">
        <v>0.99986989999999998</v>
      </c>
      <c r="N535">
        <v>0</v>
      </c>
      <c r="O535">
        <v>-6.2692019999999998E-3</v>
      </c>
      <c r="P535">
        <v>0.99274949999999995</v>
      </c>
      <c r="Q535">
        <v>-1.050785E-3</v>
      </c>
      <c r="R535">
        <v>-0.12019829999999999</v>
      </c>
      <c r="S535">
        <v>3.0207820000000001</v>
      </c>
      <c r="T535">
        <v>-4.7294740000000002E-2</v>
      </c>
      <c r="U535">
        <v>-8.2092290000000002E-3</v>
      </c>
      <c r="V535">
        <v>0.1139686</v>
      </c>
      <c r="W535">
        <v>1.373564E-2</v>
      </c>
      <c r="X535">
        <v>0.99338939999999998</v>
      </c>
      <c r="Y535">
        <v>-3.5511470000000002E-3</v>
      </c>
      <c r="Z535">
        <v>1.2595480000000001E-4</v>
      </c>
      <c r="AA535">
        <v>0.99999369999999999</v>
      </c>
      <c r="AB535">
        <v>34</v>
      </c>
      <c r="AC535">
        <v>67.483499999999907</v>
      </c>
      <c r="AD535">
        <v>-1.060445187005</v>
      </c>
      <c r="AE535">
        <v>-0.18260000000003601</v>
      </c>
      <c r="AF535">
        <v>-0.24045863669739201</v>
      </c>
      <c r="AG535">
        <v>-1.060445187005</v>
      </c>
      <c r="AH535">
        <v>67.466658724510594</v>
      </c>
      <c r="AI535">
        <v>90.900498795162605</v>
      </c>
      <c r="AJ535">
        <v>90.204207633135198</v>
      </c>
      <c r="AK535">
        <v>67.475420738222795</v>
      </c>
      <c r="AL535">
        <v>89.212981054030294</v>
      </c>
      <c r="AM535">
        <v>83.455240848722696</v>
      </c>
      <c r="AN535">
        <v>1.0000000048122599</v>
      </c>
    </row>
    <row r="536" spans="1:40" x14ac:dyDescent="0.25">
      <c r="A536" t="str">
        <f>"20190312161235538"</f>
        <v>20190312161235538</v>
      </c>
      <c r="B536" t="str">
        <f>"1552378355526255"</f>
        <v>1552378355526255</v>
      </c>
      <c r="C536" t="s">
        <v>40</v>
      </c>
      <c r="D536">
        <v>5.1450769999999997</v>
      </c>
      <c r="E536">
        <v>0.50085000000000002</v>
      </c>
      <c r="F536" t="s">
        <v>41</v>
      </c>
      <c r="G536">
        <v>-281.42790000000002</v>
      </c>
      <c r="H536">
        <v>-0.05</v>
      </c>
      <c r="I536">
        <v>365.02269999999999</v>
      </c>
      <c r="J536">
        <v>-305.40440000000001</v>
      </c>
      <c r="K536">
        <v>1.060425</v>
      </c>
      <c r="L536">
        <v>367.68009999999998</v>
      </c>
      <c r="M536">
        <v>0.99987090000000001</v>
      </c>
      <c r="N536">
        <v>0</v>
      </c>
      <c r="O536">
        <v>-6.2034409999999996E-3</v>
      </c>
      <c r="P536">
        <v>0.99273679999999997</v>
      </c>
      <c r="Q536">
        <v>-1.120284E-3</v>
      </c>
      <c r="R536">
        <v>-0.12030200000000001</v>
      </c>
      <c r="S536">
        <v>2.9820859999999998</v>
      </c>
      <c r="T536">
        <v>-0.13693629999999901</v>
      </c>
      <c r="U536">
        <v>-0.32785029999999998</v>
      </c>
      <c r="V536">
        <v>0.1141379</v>
      </c>
      <c r="W536">
        <v>1.363838E-2</v>
      </c>
      <c r="X536">
        <v>0.99337129999999996</v>
      </c>
      <c r="Y536">
        <v>0.10301159999999999</v>
      </c>
      <c r="Z536">
        <v>-2.072932E-3</v>
      </c>
      <c r="AA536">
        <v>0.99467799999999995</v>
      </c>
      <c r="AB536">
        <v>33</v>
      </c>
      <c r="AC536">
        <v>23.976499999999898</v>
      </c>
      <c r="AD536">
        <v>-1.110425</v>
      </c>
      <c r="AE536">
        <v>-2.6573999999999902</v>
      </c>
      <c r="AF536">
        <v>2.50329156020925</v>
      </c>
      <c r="AG536">
        <v>-1.110425</v>
      </c>
      <c r="AH536">
        <v>23.941795816295802</v>
      </c>
      <c r="AI536">
        <v>92.641109212635001</v>
      </c>
      <c r="AJ536">
        <v>84.030991635069796</v>
      </c>
      <c r="AK536">
        <v>24.097906532004799</v>
      </c>
      <c r="AL536">
        <v>89.218554161868695</v>
      </c>
      <c r="AM536">
        <v>83.4454847780395</v>
      </c>
      <c r="AN536">
        <v>1.0000000026445599</v>
      </c>
    </row>
    <row r="537" spans="1:40" x14ac:dyDescent="0.25">
      <c r="A537" t="str">
        <f>"20190312161235551"</f>
        <v>20190312161235551</v>
      </c>
      <c r="B537" t="str">
        <f>"1552378355546282"</f>
        <v>1552378355546282</v>
      </c>
      <c r="C537" t="s">
        <v>40</v>
      </c>
      <c r="D537">
        <v>5.1946839999999996</v>
      </c>
      <c r="E537">
        <v>0.50272429999999901</v>
      </c>
      <c r="F537" t="s">
        <v>41</v>
      </c>
      <c r="G537">
        <v>-281.04480000000001</v>
      </c>
      <c r="H537">
        <v>-0.05</v>
      </c>
      <c r="I537">
        <v>364.72449999999998</v>
      </c>
      <c r="J537">
        <v>-305.21510000000001</v>
      </c>
      <c r="K537">
        <v>1.0604089999999999</v>
      </c>
      <c r="L537">
        <v>367.67899999999997</v>
      </c>
      <c r="M537">
        <v>0.99987150000000002</v>
      </c>
      <c r="N537">
        <v>0</v>
      </c>
      <c r="O537">
        <v>-6.1424749999999997E-3</v>
      </c>
      <c r="P537">
        <v>0.99272419999999995</v>
      </c>
      <c r="Q537">
        <v>-1.2315060000000001E-3</v>
      </c>
      <c r="R537">
        <v>-0.1204051</v>
      </c>
      <c r="S537">
        <v>2.9779969999999998</v>
      </c>
      <c r="T537">
        <v>-0.1357505</v>
      </c>
      <c r="U537">
        <v>-0.36132809999999999</v>
      </c>
      <c r="V537">
        <v>0.11430170000000001</v>
      </c>
      <c r="W537">
        <v>1.3502490000000001E-2</v>
      </c>
      <c r="X537">
        <v>0.99335430000000002</v>
      </c>
      <c r="Y537">
        <v>0.11423800000000001</v>
      </c>
      <c r="Z537">
        <v>-2.314057E-3</v>
      </c>
      <c r="AA537">
        <v>0.99345070000000002</v>
      </c>
      <c r="AB537">
        <v>33</v>
      </c>
      <c r="AC537">
        <v>24.170300000000001</v>
      </c>
      <c r="AD537">
        <v>-1.110409</v>
      </c>
      <c r="AE537">
        <v>-2.9545000000000501</v>
      </c>
      <c r="AF537">
        <v>2.8001395944201799</v>
      </c>
      <c r="AG537">
        <v>-1.110409</v>
      </c>
      <c r="AH537">
        <v>24.1377990955596</v>
      </c>
      <c r="AI537">
        <v>92.616394029139698</v>
      </c>
      <c r="AJ537">
        <v>83.382899300399501</v>
      </c>
      <c r="AK537">
        <v>24.325031039509799</v>
      </c>
      <c r="AL537">
        <v>89.226340785285302</v>
      </c>
      <c r="AM537">
        <v>83.436049028587405</v>
      </c>
      <c r="AN537">
        <v>0.99999998059378903</v>
      </c>
    </row>
    <row r="538" spans="1:40" x14ac:dyDescent="0.25">
      <c r="A538" t="str">
        <f>"20190312161235562"</f>
        <v>20190312161235562</v>
      </c>
      <c r="B538" t="str">
        <f>"1552378355556042"</f>
        <v>1552378355556042</v>
      </c>
      <c r="C538" t="s">
        <v>40</v>
      </c>
      <c r="D538">
        <v>5.1411879999999996</v>
      </c>
      <c r="E538">
        <v>0.50342920000000002</v>
      </c>
      <c r="F538" t="s">
        <v>41</v>
      </c>
      <c r="G538">
        <v>-280.8184</v>
      </c>
      <c r="H538">
        <v>-0.05</v>
      </c>
      <c r="I538">
        <v>364.59199999999998</v>
      </c>
      <c r="J538">
        <v>-305.02789999999999</v>
      </c>
      <c r="K538">
        <v>1.0603899999999999</v>
      </c>
      <c r="L538">
        <v>367.67790000000002</v>
      </c>
      <c r="M538">
        <v>0.99987230000000005</v>
      </c>
      <c r="N538">
        <v>0</v>
      </c>
      <c r="O538">
        <v>-6.0829539999999998E-3</v>
      </c>
      <c r="P538">
        <v>0.99272850000000001</v>
      </c>
      <c r="Q538">
        <v>-1.5902150000000001E-3</v>
      </c>
      <c r="R538">
        <v>-0.12036570000000001</v>
      </c>
      <c r="S538">
        <v>2.9761959999999998</v>
      </c>
      <c r="T538">
        <v>-0.135461</v>
      </c>
      <c r="U538">
        <v>-0.3765869</v>
      </c>
      <c r="V538">
        <v>0.11432150000000001</v>
      </c>
      <c r="W538">
        <v>1.312201E-2</v>
      </c>
      <c r="X538">
        <v>0.99335709999999999</v>
      </c>
      <c r="Y538">
        <v>0.11937879999999999</v>
      </c>
      <c r="Z538">
        <v>-2.4289530000000002E-3</v>
      </c>
      <c r="AA538">
        <v>0.9928458</v>
      </c>
      <c r="AB538">
        <v>33</v>
      </c>
      <c r="AC538">
        <v>24.209499999999899</v>
      </c>
      <c r="AD538">
        <v>-1.11039</v>
      </c>
      <c r="AE538">
        <v>-3.0859000000000298</v>
      </c>
      <c r="AF538">
        <v>2.93249114702403</v>
      </c>
      <c r="AG538">
        <v>-1.11039</v>
      </c>
      <c r="AH538">
        <v>24.1777763377013</v>
      </c>
      <c r="AI538">
        <v>92.610417692068395</v>
      </c>
      <c r="AJ538">
        <v>83.084448609494899</v>
      </c>
      <c r="AK538">
        <v>24.3802653577721</v>
      </c>
      <c r="AL538">
        <v>89.248142600683394</v>
      </c>
      <c r="AM538">
        <v>83.434940252025498</v>
      </c>
      <c r="AN538">
        <v>0.99999996031454896</v>
      </c>
    </row>
    <row r="539" spans="1:40" x14ac:dyDescent="0.25">
      <c r="A539" t="str">
        <f>"20190312161235575"</f>
        <v>20190312161235575</v>
      </c>
      <c r="B539" t="str">
        <f>"1552378355565801"</f>
        <v>1552378355565801</v>
      </c>
      <c r="C539" t="s">
        <v>40</v>
      </c>
      <c r="D539">
        <v>5.1527059999999896</v>
      </c>
      <c r="E539">
        <v>0.50397990000000004</v>
      </c>
      <c r="F539" t="s">
        <v>41</v>
      </c>
      <c r="G539">
        <v>-280.43700000000001</v>
      </c>
      <c r="H539">
        <v>-0.05</v>
      </c>
      <c r="I539">
        <v>364.52109999999999</v>
      </c>
      <c r="J539">
        <v>-304.8485</v>
      </c>
      <c r="K539">
        <v>1.060376</v>
      </c>
      <c r="L539">
        <v>367.67680000000001</v>
      </c>
      <c r="M539">
        <v>0.99987289999999995</v>
      </c>
      <c r="N539">
        <v>0</v>
      </c>
      <c r="O539">
        <v>-6.0255969999999997E-3</v>
      </c>
      <c r="P539">
        <v>0.99275349999999996</v>
      </c>
      <c r="Q539">
        <v>-1.684699E-3</v>
      </c>
      <c r="R539">
        <v>-0.12015679999999999</v>
      </c>
      <c r="S539">
        <v>2.9754330000000002</v>
      </c>
      <c r="T539">
        <v>-0.13435420000000001</v>
      </c>
      <c r="U539">
        <v>-0.38195800000000002</v>
      </c>
      <c r="V539">
        <v>0.1141697</v>
      </c>
      <c r="W539">
        <v>1.300805E-2</v>
      </c>
      <c r="X539">
        <v>0.99337609999999998</v>
      </c>
      <c r="Y539">
        <v>0.1212308</v>
      </c>
      <c r="Z539">
        <v>-2.4536649999999998E-3</v>
      </c>
      <c r="AA539">
        <v>0.99262130000000004</v>
      </c>
      <c r="AB539">
        <v>33</v>
      </c>
      <c r="AC539">
        <v>24.411499999999901</v>
      </c>
      <c r="AD539">
        <v>-1.110376</v>
      </c>
      <c r="AE539">
        <v>-3.1557000000000199</v>
      </c>
      <c r="AF539">
        <v>3.0024230309813298</v>
      </c>
      <c r="AG539">
        <v>-1.110376</v>
      </c>
      <c r="AH539">
        <v>24.380460772325801</v>
      </c>
      <c r="AI539">
        <v>92.588134325557505</v>
      </c>
      <c r="AJ539">
        <v>82.979444870223105</v>
      </c>
      <c r="AK539">
        <v>24.589720339793601</v>
      </c>
      <c r="AL539">
        <v>89.254672617068294</v>
      </c>
      <c r="AM539">
        <v>83.443705924028507</v>
      </c>
      <c r="AN539">
        <v>1.0000000029070499</v>
      </c>
    </row>
    <row r="540" spans="1:40" x14ac:dyDescent="0.25">
      <c r="A540" t="str">
        <f>"20190312161235590"</f>
        <v>20190312161235590</v>
      </c>
      <c r="B540" t="str">
        <f>"1552378355586298"</f>
        <v>1552378355586298</v>
      </c>
      <c r="C540" t="s">
        <v>40</v>
      </c>
      <c r="D540">
        <v>5.1776080000000002</v>
      </c>
      <c r="E540">
        <v>0.50453110000000001</v>
      </c>
      <c r="F540" t="s">
        <v>41</v>
      </c>
      <c r="G540">
        <v>-280.29320000000001</v>
      </c>
      <c r="H540">
        <v>-0.05</v>
      </c>
      <c r="I540">
        <v>364.49290000000002</v>
      </c>
      <c r="J540">
        <v>-304.6266</v>
      </c>
      <c r="K540">
        <v>1.060362</v>
      </c>
      <c r="L540">
        <v>367.67559999999997</v>
      </c>
      <c r="M540">
        <v>0.99987360000000003</v>
      </c>
      <c r="N540">
        <v>0</v>
      </c>
      <c r="O540">
        <v>-5.9545099999999997E-3</v>
      </c>
      <c r="P540">
        <v>0.99278370000000005</v>
      </c>
      <c r="Q540">
        <v>-1.9324419999999999E-3</v>
      </c>
      <c r="R540">
        <v>-0.119904</v>
      </c>
      <c r="S540">
        <v>2.974945</v>
      </c>
      <c r="T540">
        <v>-0.13452510000000001</v>
      </c>
      <c r="U540">
        <v>-0.38574219999999998</v>
      </c>
      <c r="V540">
        <v>0.11398709999999999</v>
      </c>
      <c r="W540">
        <v>1.2737709999999999E-2</v>
      </c>
      <c r="X540">
        <v>0.99340059999999997</v>
      </c>
      <c r="Y540">
        <v>0.122562</v>
      </c>
      <c r="Z540">
        <v>-2.4901419999999999E-3</v>
      </c>
      <c r="AA540">
        <v>0.9924577</v>
      </c>
      <c r="AB540">
        <v>33</v>
      </c>
      <c r="AC540">
        <v>24.333399999999902</v>
      </c>
      <c r="AD540">
        <v>-1.1103620000000001</v>
      </c>
      <c r="AE540">
        <v>-3.1826999999999499</v>
      </c>
      <c r="AF540">
        <v>3.0315282489029101</v>
      </c>
      <c r="AG540">
        <v>-1.1103620000000001</v>
      </c>
      <c r="AH540">
        <v>24.3021709957954</v>
      </c>
      <c r="AI540">
        <v>92.595923362520296</v>
      </c>
      <c r="AJ540">
        <v>82.889476707091703</v>
      </c>
      <c r="AK540">
        <v>24.515680337364099</v>
      </c>
      <c r="AL540">
        <v>89.270163261525894</v>
      </c>
      <c r="AM540">
        <v>83.454260847038</v>
      </c>
      <c r="AN540">
        <v>1.0000000301514</v>
      </c>
    </row>
    <row r="541" spans="1:40" x14ac:dyDescent="0.25">
      <c r="A541" t="str">
        <f>"20190312161235601"</f>
        <v>20190312161235601</v>
      </c>
      <c r="B541" t="str">
        <f>"1552378355596058"</f>
        <v>1552378355596058</v>
      </c>
      <c r="C541" t="s">
        <v>40</v>
      </c>
      <c r="D541">
        <v>5.1726130000000001</v>
      </c>
      <c r="E541">
        <v>0.50471999999999995</v>
      </c>
      <c r="F541" t="s">
        <v>41</v>
      </c>
      <c r="G541">
        <v>-279.81740000000002</v>
      </c>
      <c r="H541">
        <v>-0.05</v>
      </c>
      <c r="I541">
        <v>364.42720000000003</v>
      </c>
      <c r="J541">
        <v>-304.44349999999997</v>
      </c>
      <c r="K541">
        <v>1.0603530000000001</v>
      </c>
      <c r="L541">
        <v>367.6746</v>
      </c>
      <c r="M541">
        <v>0.99987429999999999</v>
      </c>
      <c r="N541">
        <v>0</v>
      </c>
      <c r="O541">
        <v>-5.8960970000000003E-3</v>
      </c>
      <c r="P541">
        <v>0.99281070000000005</v>
      </c>
      <c r="Q541">
        <v>-1.980763E-3</v>
      </c>
      <c r="R541">
        <v>-0.119681</v>
      </c>
      <c r="S541">
        <v>2.9745180000000002</v>
      </c>
      <c r="T541">
        <v>-0.13312769999999999</v>
      </c>
      <c r="U541">
        <v>-0.38946530000000001</v>
      </c>
      <c r="V541">
        <v>0.11382200000000001</v>
      </c>
      <c r="W541">
        <v>1.2672859999999999E-2</v>
      </c>
      <c r="X541">
        <v>0.99342039999999998</v>
      </c>
      <c r="Y541">
        <v>0.1238607</v>
      </c>
      <c r="Z541">
        <v>-2.4959779999999998E-3</v>
      </c>
      <c r="AA541">
        <v>0.99229650000000003</v>
      </c>
      <c r="AB541">
        <v>33</v>
      </c>
      <c r="AC541">
        <v>24.626099999999902</v>
      </c>
      <c r="AD541">
        <v>-1.1103529999999999</v>
      </c>
      <c r="AE541">
        <v>-3.2473999999999701</v>
      </c>
      <c r="AF541">
        <v>3.0959435553405101</v>
      </c>
      <c r="AG541">
        <v>-1.1103529999999999</v>
      </c>
      <c r="AH541">
        <v>24.595673298108299</v>
      </c>
      <c r="AI541">
        <v>92.5646096384788</v>
      </c>
      <c r="AJ541">
        <v>82.825710898009802</v>
      </c>
      <c r="AK541">
        <v>24.814610520210501</v>
      </c>
      <c r="AL541">
        <v>89.273879221658106</v>
      </c>
      <c r="AM541">
        <v>83.463788803533404</v>
      </c>
      <c r="AN541">
        <v>1.00000007010036</v>
      </c>
    </row>
    <row r="542" spans="1:40" x14ac:dyDescent="0.25">
      <c r="A542" t="str">
        <f>"20190312161235614"</f>
        <v>20190312161235614</v>
      </c>
      <c r="B542" t="str">
        <f>"1552378355605818"</f>
        <v>1552378355605818</v>
      </c>
      <c r="C542" t="s">
        <v>40</v>
      </c>
      <c r="D542">
        <v>5.1680809999999999</v>
      </c>
      <c r="E542">
        <v>0.50484200000000001</v>
      </c>
      <c r="F542" t="s">
        <v>41</v>
      </c>
      <c r="G542">
        <v>-279.36970000000002</v>
      </c>
      <c r="H542">
        <v>-0.05</v>
      </c>
      <c r="I542">
        <v>364.38299999999998</v>
      </c>
      <c r="J542">
        <v>-304.25830000000002</v>
      </c>
      <c r="K542">
        <v>1.060344</v>
      </c>
      <c r="L542">
        <v>367.67349999999999</v>
      </c>
      <c r="M542">
        <v>0.99987490000000001</v>
      </c>
      <c r="N542">
        <v>0</v>
      </c>
      <c r="O542">
        <v>-5.8369750000000003E-3</v>
      </c>
      <c r="P542">
        <v>0.99282219999999999</v>
      </c>
      <c r="Q542">
        <v>-2.0355339999999999E-3</v>
      </c>
      <c r="R542">
        <v>-0.11958290000000001</v>
      </c>
      <c r="S542">
        <v>2.974396</v>
      </c>
      <c r="T542">
        <v>-0.13171640000000001</v>
      </c>
      <c r="U542">
        <v>-0.3904724</v>
      </c>
      <c r="V542">
        <v>0.11378290000000001</v>
      </c>
      <c r="W542">
        <v>1.2601340000000001E-2</v>
      </c>
      <c r="X542">
        <v>0.99342569999999997</v>
      </c>
      <c r="Y542">
        <v>0.1242569</v>
      </c>
      <c r="Z542">
        <v>-2.4809260000000001E-3</v>
      </c>
      <c r="AA542">
        <v>0.99224699999999999</v>
      </c>
      <c r="AB542">
        <v>33</v>
      </c>
      <c r="AC542">
        <v>24.8886</v>
      </c>
      <c r="AD542">
        <v>-1.110344</v>
      </c>
      <c r="AE542">
        <v>-3.29049999999995</v>
      </c>
      <c r="AF542">
        <v>3.1390139064104101</v>
      </c>
      <c r="AG542">
        <v>-1.110344</v>
      </c>
      <c r="AH542">
        <v>24.858758622653799</v>
      </c>
      <c r="AI542">
        <v>92.537357037590496</v>
      </c>
      <c r="AJ542">
        <v>82.803125353784907</v>
      </c>
      <c r="AK542">
        <v>25.080752627509799</v>
      </c>
      <c r="AL542">
        <v>89.277977278976707</v>
      </c>
      <c r="AM542">
        <v>83.466049253393805</v>
      </c>
      <c r="AN542">
        <v>0.99999998176134697</v>
      </c>
    </row>
    <row r="543" spans="1:40" x14ac:dyDescent="0.25">
      <c r="A543" t="str">
        <f>"20190312161235626"</f>
        <v>20190312161235626</v>
      </c>
      <c r="B543" t="str">
        <f>"1552378355616554"</f>
        <v>1552378355616554</v>
      </c>
      <c r="C543" t="s">
        <v>40</v>
      </c>
      <c r="D543">
        <v>5.1809219999999998</v>
      </c>
      <c r="E543">
        <v>0.50487199999999999</v>
      </c>
      <c r="F543" t="s">
        <v>41</v>
      </c>
      <c r="G543">
        <v>-279.10120000000001</v>
      </c>
      <c r="H543">
        <v>-0.05</v>
      </c>
      <c r="I543">
        <v>364.36700000000002</v>
      </c>
      <c r="J543">
        <v>-304.08760000000001</v>
      </c>
      <c r="K543">
        <v>1.060344</v>
      </c>
      <c r="L543">
        <v>367.67259999999999</v>
      </c>
      <c r="M543">
        <v>0.99987530000000002</v>
      </c>
      <c r="N543">
        <v>0</v>
      </c>
      <c r="O543">
        <v>-5.7820419999999898E-3</v>
      </c>
      <c r="P543">
        <v>0.99285120000000004</v>
      </c>
      <c r="Q543">
        <v>-2.090532E-3</v>
      </c>
      <c r="R543">
        <v>-0.11934119999999999</v>
      </c>
      <c r="S543">
        <v>2.9743650000000001</v>
      </c>
      <c r="T543">
        <v>-0.1312777</v>
      </c>
      <c r="U543">
        <v>-0.39093020000000001</v>
      </c>
      <c r="V543">
        <v>0.1135955</v>
      </c>
      <c r="W543">
        <v>1.253221E-2</v>
      </c>
      <c r="X543">
        <v>0.993448</v>
      </c>
      <c r="Y543">
        <v>0.1244633</v>
      </c>
      <c r="Z543">
        <v>-2.4796200000000001E-3</v>
      </c>
      <c r="AA543">
        <v>0.99222109999999997</v>
      </c>
      <c r="AB543">
        <v>33</v>
      </c>
      <c r="AC543">
        <v>24.9864</v>
      </c>
      <c r="AD543">
        <v>-1.110344</v>
      </c>
      <c r="AE543">
        <v>-3.3056000000000201</v>
      </c>
      <c r="AF543">
        <v>3.15493373824197</v>
      </c>
      <c r="AG543">
        <v>-1.110344</v>
      </c>
      <c r="AH543">
        <v>24.956662464918502</v>
      </c>
      <c r="AI543">
        <v>92.527371294461702</v>
      </c>
      <c r="AJ543">
        <v>82.795087179410601</v>
      </c>
      <c r="AK543">
        <v>25.179783003014698</v>
      </c>
      <c r="AL543">
        <v>89.281938434392401</v>
      </c>
      <c r="AM543">
        <v>83.476862981090406</v>
      </c>
      <c r="AN543">
        <v>0.99999996130586599</v>
      </c>
    </row>
    <row r="544" spans="1:40" x14ac:dyDescent="0.25">
      <c r="A544" t="str">
        <f>"20190312161235638"</f>
        <v>20190312161235638</v>
      </c>
      <c r="B544" t="str">
        <f>"1552378355626314"</f>
        <v>1552378355626314</v>
      </c>
      <c r="C544" t="s">
        <v>40</v>
      </c>
      <c r="D544">
        <v>5.1527849999999997</v>
      </c>
      <c r="E544">
        <v>0.5048686</v>
      </c>
      <c r="F544" t="s">
        <v>41</v>
      </c>
      <c r="G544">
        <v>-278.82580000000002</v>
      </c>
      <c r="H544">
        <v>-0.05</v>
      </c>
      <c r="I544">
        <v>364.35579999999999</v>
      </c>
      <c r="J544">
        <v>-303.91860000000003</v>
      </c>
      <c r="K544">
        <v>1.0603370000000001</v>
      </c>
      <c r="L544">
        <v>367.67169999999999</v>
      </c>
      <c r="M544">
        <v>0.99987590000000004</v>
      </c>
      <c r="N544">
        <v>0</v>
      </c>
      <c r="O544">
        <v>-5.7281880000000004E-3</v>
      </c>
      <c r="P544">
        <v>0.99286949999999996</v>
      </c>
      <c r="Q544">
        <v>-2.1522680000000001E-3</v>
      </c>
      <c r="R544">
        <v>-0.11919</v>
      </c>
      <c r="S544">
        <v>2.974396</v>
      </c>
      <c r="T544">
        <v>-0.13073479999999901</v>
      </c>
      <c r="U544">
        <v>-0.39053339999999998</v>
      </c>
      <c r="V544">
        <v>0.1134975</v>
      </c>
      <c r="W544">
        <v>1.2457350000000001E-2</v>
      </c>
      <c r="X544">
        <v>0.99346020000000002</v>
      </c>
      <c r="Y544">
        <v>0.12438630000000001</v>
      </c>
      <c r="Z544">
        <v>-2.470042E-3</v>
      </c>
      <c r="AA544">
        <v>0.99223079999999997</v>
      </c>
      <c r="AB544">
        <v>33</v>
      </c>
      <c r="AC544">
        <v>25.0928</v>
      </c>
      <c r="AD544">
        <v>-1.1103369999999999</v>
      </c>
      <c r="AE544">
        <v>-3.3158999999999899</v>
      </c>
      <c r="AF544">
        <v>3.1660012104886599</v>
      </c>
      <c r="AG544">
        <v>-1.1103369999999999</v>
      </c>
      <c r="AH544">
        <v>25.0631531077101</v>
      </c>
      <c r="AI544">
        <v>92.516660626285699</v>
      </c>
      <c r="AJ544">
        <v>82.800475554244898</v>
      </c>
      <c r="AK544">
        <v>25.286716979847402</v>
      </c>
      <c r="AL544">
        <v>89.286227972310797</v>
      </c>
      <c r="AM544">
        <v>83.482521465844201</v>
      </c>
      <c r="AN544">
        <v>1.00000001852965</v>
      </c>
    </row>
    <row r="545" spans="1:40" x14ac:dyDescent="0.25">
      <c r="A545" t="str">
        <f>"20190312161235651"</f>
        <v>20190312161235651</v>
      </c>
      <c r="B545" t="str">
        <f>"1552378355646340"</f>
        <v>1552378355646340</v>
      </c>
      <c r="C545" t="s">
        <v>40</v>
      </c>
      <c r="D545">
        <v>5.2286989999999998</v>
      </c>
      <c r="E545">
        <v>0.50497479999999995</v>
      </c>
      <c r="F545" t="s">
        <v>41</v>
      </c>
      <c r="G545">
        <v>-279.04020000000003</v>
      </c>
      <c r="H545">
        <v>-0.05</v>
      </c>
      <c r="I545">
        <v>364.40980000000002</v>
      </c>
      <c r="J545">
        <v>-303.72590000000002</v>
      </c>
      <c r="K545">
        <v>1.0603320000000001</v>
      </c>
      <c r="L545">
        <v>367.67059999999998</v>
      </c>
      <c r="M545">
        <v>0.9998764</v>
      </c>
      <c r="N545">
        <v>0</v>
      </c>
      <c r="O545">
        <v>-5.6665760000000004E-3</v>
      </c>
      <c r="P545">
        <v>0.99288089999999996</v>
      </c>
      <c r="Q545">
        <v>-1.93399E-3</v>
      </c>
      <c r="R545">
        <v>-0.11909550000000001</v>
      </c>
      <c r="S545">
        <v>2.9744259999999998</v>
      </c>
      <c r="T545">
        <v>-0.1327499</v>
      </c>
      <c r="U545">
        <v>-0.3899841</v>
      </c>
      <c r="V545">
        <v>0.1134645</v>
      </c>
      <c r="W545">
        <v>1.266142E-2</v>
      </c>
      <c r="X545">
        <v>0.99346140000000005</v>
      </c>
      <c r="Y545">
        <v>0.1242625</v>
      </c>
      <c r="Z545">
        <v>-2.5080699999999998E-3</v>
      </c>
      <c r="AA545">
        <v>0.99224619999999997</v>
      </c>
      <c r="AB545">
        <v>33</v>
      </c>
      <c r="AC545">
        <v>24.685700000000001</v>
      </c>
      <c r="AD545">
        <v>-1.1103319999999901</v>
      </c>
      <c r="AE545">
        <v>-3.2607999999999602</v>
      </c>
      <c r="AF545">
        <v>3.11465603309352</v>
      </c>
      <c r="AG545">
        <v>-1.1103319999999901</v>
      </c>
      <c r="AH545">
        <v>24.6547597691284</v>
      </c>
      <c r="AI545">
        <v>92.558278230542797</v>
      </c>
      <c r="AJ545">
        <v>82.799918669199997</v>
      </c>
      <c r="AK545">
        <v>24.875512027456701</v>
      </c>
      <c r="AL545">
        <v>89.274534707961607</v>
      </c>
      <c r="AM545">
        <v>83.484407962387607</v>
      </c>
      <c r="AN545">
        <v>1.00000002880331</v>
      </c>
    </row>
    <row r="546" spans="1:40" x14ac:dyDescent="0.25">
      <c r="A546" t="str">
        <f>"20190312161235662"</f>
        <v>20190312161235662</v>
      </c>
      <c r="B546" t="str">
        <f>"1552378355656099"</f>
        <v>1552378355656099</v>
      </c>
      <c r="C546" t="s">
        <v>40</v>
      </c>
      <c r="D546">
        <v>5.2275839999999896</v>
      </c>
      <c r="E546">
        <v>0.50500080000000003</v>
      </c>
      <c r="F546" t="s">
        <v>42</v>
      </c>
      <c r="G546">
        <v>-279.91520000000003</v>
      </c>
      <c r="H546" s="1">
        <v>-1.364536E-6</v>
      </c>
      <c r="I546">
        <v>364.54399999999998</v>
      </c>
      <c r="J546">
        <v>-303.54840000000002</v>
      </c>
      <c r="K546">
        <v>1.0603320000000001</v>
      </c>
      <c r="L546">
        <v>367.66969999999998</v>
      </c>
      <c r="M546">
        <v>0.99987689999999996</v>
      </c>
      <c r="N546">
        <v>0</v>
      </c>
      <c r="O546">
        <v>-5.6098679999999996E-3</v>
      </c>
      <c r="P546">
        <v>0.99288739999999998</v>
      </c>
      <c r="Q546">
        <v>-1.8474940000000001E-3</v>
      </c>
      <c r="R546">
        <v>-0.1190425</v>
      </c>
      <c r="S546">
        <v>2.9744259999999998</v>
      </c>
      <c r="T546">
        <v>-0.13245580000000001</v>
      </c>
      <c r="U546">
        <v>-0.39056400000000002</v>
      </c>
      <c r="V546">
        <v>0.1134676</v>
      </c>
      <c r="W546">
        <v>1.27358E-2</v>
      </c>
      <c r="X546">
        <v>0.99346009999999996</v>
      </c>
      <c r="Y546">
        <v>0.1245092</v>
      </c>
      <c r="Z546">
        <v>-2.5104659999999998E-3</v>
      </c>
      <c r="AA546">
        <v>0.99221530000000002</v>
      </c>
      <c r="AB546">
        <v>33</v>
      </c>
      <c r="AC546">
        <v>23.633199999999899</v>
      </c>
      <c r="AD546">
        <v>-1.060333364536</v>
      </c>
      <c r="AE546">
        <v>-3.12569999999993</v>
      </c>
      <c r="AF546">
        <v>2.9871477387318799</v>
      </c>
      <c r="AG546">
        <v>-1.060333364536</v>
      </c>
      <c r="AH546">
        <v>23.603667782194499</v>
      </c>
      <c r="AI546">
        <v>92.551808052191106</v>
      </c>
      <c r="AJ546">
        <v>82.787310752812701</v>
      </c>
      <c r="AK546">
        <v>23.815551457590999</v>
      </c>
      <c r="AL546">
        <v>89.270272707835105</v>
      </c>
      <c r="AM546">
        <v>83.484223025678403</v>
      </c>
      <c r="AN546">
        <v>1.0000000335717001</v>
      </c>
    </row>
    <row r="547" spans="1:40" x14ac:dyDescent="0.25">
      <c r="A547" t="str">
        <f>"20190312161235674"</f>
        <v>20190312161235674</v>
      </c>
      <c r="B547" t="str">
        <f>"1552378355665859"</f>
        <v>1552378355665859</v>
      </c>
      <c r="C547" t="s">
        <v>40</v>
      </c>
      <c r="D547">
        <v>5.2370830000000002</v>
      </c>
      <c r="E547">
        <v>0.50508399999999998</v>
      </c>
      <c r="F547" t="s">
        <v>42</v>
      </c>
      <c r="G547">
        <v>-279.74889999999999</v>
      </c>
      <c r="H547" s="1">
        <v>-1.4208349999999999E-6</v>
      </c>
      <c r="I547">
        <v>364.54500000000002</v>
      </c>
      <c r="J547">
        <v>-303.36970000000002</v>
      </c>
      <c r="K547">
        <v>1.0603290000000001</v>
      </c>
      <c r="L547">
        <v>367.6687</v>
      </c>
      <c r="M547">
        <v>0.99987740000000003</v>
      </c>
      <c r="N547">
        <v>0</v>
      </c>
      <c r="O547">
        <v>-5.5528069999999999E-3</v>
      </c>
      <c r="P547">
        <v>0.99290389999999995</v>
      </c>
      <c r="Q547">
        <v>-1.657199E-3</v>
      </c>
      <c r="R547">
        <v>-0.11890870000000001</v>
      </c>
      <c r="S547">
        <v>2.9744259999999998</v>
      </c>
      <c r="T547">
        <v>-0.13251849999999901</v>
      </c>
      <c r="U547">
        <v>-0.39050289999999999</v>
      </c>
      <c r="V547">
        <v>0.1133904</v>
      </c>
      <c r="W547">
        <v>1.29146E-2</v>
      </c>
      <c r="X547">
        <v>0.99346659999999998</v>
      </c>
      <c r="Y547">
        <v>0.12454560000000001</v>
      </c>
      <c r="Z547">
        <v>-2.5149949999999999E-3</v>
      </c>
      <c r="AA547">
        <v>0.9922107</v>
      </c>
      <c r="AB547">
        <v>33</v>
      </c>
      <c r="AC547">
        <v>23.620799999999999</v>
      </c>
      <c r="AD547">
        <v>-1.060330420835</v>
      </c>
      <c r="AE547">
        <v>-3.1236999999999799</v>
      </c>
      <c r="AF547">
        <v>2.9865612945948099</v>
      </c>
      <c r="AG547">
        <v>-1.060330420835</v>
      </c>
      <c r="AH547">
        <v>23.591062015676599</v>
      </c>
      <c r="AI547">
        <v>92.553149131185407</v>
      </c>
      <c r="AJ547">
        <v>82.784899138327603</v>
      </c>
      <c r="AK547">
        <v>23.802984182560301</v>
      </c>
      <c r="AL547">
        <v>89.260027375663199</v>
      </c>
      <c r="AM547">
        <v>83.488660319882996</v>
      </c>
      <c r="AN547">
        <v>1.0000000275104299</v>
      </c>
    </row>
    <row r="548" spans="1:40" x14ac:dyDescent="0.25">
      <c r="A548" t="str">
        <f>"20190312161235692"</f>
        <v>20190312161235692</v>
      </c>
      <c r="B548" t="str">
        <f>"1552378355686355"</f>
        <v>1552378355686355</v>
      </c>
      <c r="C548" t="s">
        <v>40</v>
      </c>
      <c r="D548">
        <v>5.1994189999999998</v>
      </c>
      <c r="E548">
        <v>0.50513609999999998</v>
      </c>
      <c r="F548" t="s">
        <v>42</v>
      </c>
      <c r="G548">
        <v>-279.5367</v>
      </c>
      <c r="H548" s="1">
        <v>-1.4955079999999999E-6</v>
      </c>
      <c r="I548">
        <v>364.53579999999999</v>
      </c>
      <c r="J548">
        <v>-303.12220000000002</v>
      </c>
      <c r="K548">
        <v>1.060324</v>
      </c>
      <c r="L548">
        <v>367.66739999999999</v>
      </c>
      <c r="M548">
        <v>0.99987800000000004</v>
      </c>
      <c r="N548">
        <v>0</v>
      </c>
      <c r="O548">
        <v>-5.4734340000000001E-3</v>
      </c>
      <c r="P548">
        <v>0.99290979999999995</v>
      </c>
      <c r="Q548">
        <v>-1.2308530000000001E-3</v>
      </c>
      <c r="R548">
        <v>-0.1188645</v>
      </c>
      <c r="S548">
        <v>2.974396</v>
      </c>
      <c r="T548">
        <v>-0.132331</v>
      </c>
      <c r="U548">
        <v>-0.39099119999999998</v>
      </c>
      <c r="V548">
        <v>0.113425</v>
      </c>
      <c r="W548">
        <v>1.33256E-2</v>
      </c>
      <c r="X548">
        <v>0.99345720000000004</v>
      </c>
      <c r="Y548">
        <v>0.1247858</v>
      </c>
      <c r="Z548">
        <v>-2.5202710000000001E-3</v>
      </c>
      <c r="AA548">
        <v>0.99218050000000002</v>
      </c>
      <c r="AB548">
        <v>33</v>
      </c>
      <c r="AC548">
        <v>23.5855</v>
      </c>
      <c r="AD548">
        <v>-1.0603254955079999</v>
      </c>
      <c r="AE548">
        <v>-3.1315999999999899</v>
      </c>
      <c r="AF548">
        <v>2.9964942844898799</v>
      </c>
      <c r="AG548">
        <v>-1.0603254955079999</v>
      </c>
      <c r="AH548">
        <v>23.555505760281601</v>
      </c>
      <c r="AI548">
        <v>92.556790630040496</v>
      </c>
      <c r="AJ548">
        <v>82.750345971703297</v>
      </c>
      <c r="AK548">
        <v>23.768994925660301</v>
      </c>
      <c r="AL548">
        <v>89.236476766705806</v>
      </c>
      <c r="AM548">
        <v>83.486629418494203</v>
      </c>
      <c r="AN548">
        <v>1.0000000052361</v>
      </c>
    </row>
    <row r="549" spans="1:40" x14ac:dyDescent="0.25">
      <c r="A549" t="str">
        <f>"20190312161235704"</f>
        <v>20190312161235704</v>
      </c>
      <c r="B549" t="str">
        <f>"1552378355696116"</f>
        <v>1552378355696116</v>
      </c>
      <c r="C549" t="s">
        <v>40</v>
      </c>
      <c r="D549">
        <v>5.2305270000000004</v>
      </c>
      <c r="E549">
        <v>0.50523600000000002</v>
      </c>
      <c r="F549" t="s">
        <v>42</v>
      </c>
      <c r="G549">
        <v>-279.30349999999999</v>
      </c>
      <c r="H549" s="1">
        <v>-1.574471E-6</v>
      </c>
      <c r="I549">
        <v>364.53730000000002</v>
      </c>
      <c r="J549">
        <v>-302.92529999999999</v>
      </c>
      <c r="K549">
        <v>1.060322</v>
      </c>
      <c r="L549">
        <v>367.66640000000001</v>
      </c>
      <c r="M549">
        <v>0.9998785</v>
      </c>
      <c r="N549">
        <v>0</v>
      </c>
      <c r="O549">
        <v>-5.4105369999999896E-3</v>
      </c>
      <c r="P549">
        <v>0.992919</v>
      </c>
      <c r="Q549">
        <v>-1.1528409999999999E-3</v>
      </c>
      <c r="R549">
        <v>-0.118788</v>
      </c>
      <c r="S549">
        <v>2.9744570000000001</v>
      </c>
      <c r="T549">
        <v>-0.1324118</v>
      </c>
      <c r="U549">
        <v>-0.39086910000000002</v>
      </c>
      <c r="V549">
        <v>0.11341080000000001</v>
      </c>
      <c r="W549">
        <v>1.339283E-2</v>
      </c>
      <c r="X549">
        <v>0.9934579</v>
      </c>
      <c r="Y549">
        <v>0.124805399999999</v>
      </c>
      <c r="Z549">
        <v>-2.5249830000000002E-3</v>
      </c>
      <c r="AA549">
        <v>0.992178</v>
      </c>
      <c r="AB549">
        <v>33</v>
      </c>
      <c r="AC549">
        <v>23.6218</v>
      </c>
      <c r="AD549">
        <v>-1.060323574471</v>
      </c>
      <c r="AE549">
        <v>-3.12909999999999</v>
      </c>
      <c r="AF549">
        <v>2.99530278432742</v>
      </c>
      <c r="AG549">
        <v>-1.060323574471</v>
      </c>
      <c r="AH549">
        <v>23.591671247746799</v>
      </c>
      <c r="AI549">
        <v>92.552949984994001</v>
      </c>
      <c r="AJ549">
        <v>82.764189358798703</v>
      </c>
      <c r="AK549">
        <v>23.8046860326731</v>
      </c>
      <c r="AL549">
        <v>89.232624414666304</v>
      </c>
      <c r="AM549">
        <v>83.487442389578405</v>
      </c>
      <c r="AN549">
        <v>0.99999998826222902</v>
      </c>
    </row>
    <row r="550" spans="1:40" x14ac:dyDescent="0.25">
      <c r="A550" t="str">
        <f>"20190312161235718"</f>
        <v>20190312161235718</v>
      </c>
      <c r="B550" t="str">
        <f>"1552378355705876"</f>
        <v>1552378355705876</v>
      </c>
      <c r="C550" t="s">
        <v>40</v>
      </c>
      <c r="D550">
        <v>5.2318189999999998</v>
      </c>
      <c r="E550">
        <v>0.50529329999999995</v>
      </c>
      <c r="F550" t="s">
        <v>42</v>
      </c>
      <c r="G550">
        <v>-279.245</v>
      </c>
      <c r="H550" s="1">
        <v>-1.5908449999999901E-6</v>
      </c>
      <c r="I550">
        <v>364.55070000000001</v>
      </c>
      <c r="J550">
        <v>-302.73099999999999</v>
      </c>
      <c r="K550">
        <v>1.0603199999999999</v>
      </c>
      <c r="L550">
        <v>367.66539999999998</v>
      </c>
      <c r="M550">
        <v>0.99987910000000002</v>
      </c>
      <c r="N550">
        <v>0</v>
      </c>
      <c r="O550">
        <v>-5.3483630000000001E-3</v>
      </c>
      <c r="P550">
        <v>0.99290849999999997</v>
      </c>
      <c r="Q550">
        <v>-1.05598E-3</v>
      </c>
      <c r="R550">
        <v>-0.1188785</v>
      </c>
      <c r="S550">
        <v>2.9744570000000001</v>
      </c>
      <c r="T550">
        <v>-0.13318540000000001</v>
      </c>
      <c r="U550">
        <v>-0.39135740000000002</v>
      </c>
      <c r="V550">
        <v>0.113563</v>
      </c>
      <c r="W550">
        <v>1.347961E-2</v>
      </c>
      <c r="X550">
        <v>0.99343939999999997</v>
      </c>
      <c r="Y550">
        <v>0.12502559999999999</v>
      </c>
      <c r="Z550">
        <v>-2.5473689999999998E-3</v>
      </c>
      <c r="AA550">
        <v>0.99215019999999998</v>
      </c>
      <c r="AB550">
        <v>33</v>
      </c>
      <c r="AC550">
        <v>23.485999999999901</v>
      </c>
      <c r="AD550">
        <v>-1.0603215908450001</v>
      </c>
      <c r="AE550">
        <v>-3.1146999999999698</v>
      </c>
      <c r="AF550">
        <v>2.98305528006789</v>
      </c>
      <c r="AG550">
        <v>-1.0603215908450001</v>
      </c>
      <c r="AH550">
        <v>23.455342832955399</v>
      </c>
      <c r="AI550">
        <v>92.567694581940202</v>
      </c>
      <c r="AJ550">
        <v>82.752022154156194</v>
      </c>
      <c r="AK550">
        <v>23.668037689919</v>
      </c>
      <c r="AL550">
        <v>89.227651884252793</v>
      </c>
      <c r="AM550">
        <v>83.478657223782704</v>
      </c>
      <c r="AN550">
        <v>1.00000004816355</v>
      </c>
    </row>
    <row r="551" spans="1:40" x14ac:dyDescent="0.25">
      <c r="A551" t="str">
        <f>"20190312161235733"</f>
        <v>20190312161235733</v>
      </c>
      <c r="B551" t="str">
        <f>"1552378355726371"</f>
        <v>1552378355726371</v>
      </c>
      <c r="C551" t="s">
        <v>40</v>
      </c>
      <c r="D551">
        <v>5.2117440000000004</v>
      </c>
      <c r="E551">
        <v>0.50528850000000003</v>
      </c>
      <c r="F551" t="s">
        <v>42</v>
      </c>
      <c r="G551">
        <v>-279.21449999999999</v>
      </c>
      <c r="H551" s="1">
        <v>-1.5971619999999999E-6</v>
      </c>
      <c r="I551">
        <v>364.56580000000002</v>
      </c>
      <c r="J551">
        <v>-302.51249999999999</v>
      </c>
      <c r="K551">
        <v>1.0603209999999901</v>
      </c>
      <c r="L551">
        <v>367.66430000000003</v>
      </c>
      <c r="M551">
        <v>0.99987959999999998</v>
      </c>
      <c r="N551">
        <v>0</v>
      </c>
      <c r="O551">
        <v>-5.2783179999999997E-3</v>
      </c>
      <c r="P551">
        <v>0.99291149999999995</v>
      </c>
      <c r="Q551">
        <v>-7.4972210000000001E-4</v>
      </c>
      <c r="R551">
        <v>-0.11885320000000001</v>
      </c>
      <c r="S551">
        <v>2.9743650000000001</v>
      </c>
      <c r="T551">
        <v>-0.13410929999999999</v>
      </c>
      <c r="U551">
        <v>-0.39202880000000001</v>
      </c>
      <c r="V551">
        <v>0.1136075</v>
      </c>
      <c r="W551">
        <v>1.3774740000000001E-2</v>
      </c>
      <c r="X551">
        <v>0.99343020000000004</v>
      </c>
      <c r="Y551">
        <v>0.12531709999999999</v>
      </c>
      <c r="Z551">
        <v>-2.5747460000000002E-3</v>
      </c>
      <c r="AA551">
        <v>0.99211340000000003</v>
      </c>
      <c r="AB551">
        <v>33</v>
      </c>
      <c r="AC551">
        <v>23.297999999999998</v>
      </c>
      <c r="AD551">
        <v>-1.0603225971619901</v>
      </c>
      <c r="AE551">
        <v>-3.0985</v>
      </c>
      <c r="AF551">
        <v>2.96942586511808</v>
      </c>
      <c r="AG551">
        <v>-1.0603225971619901</v>
      </c>
      <c r="AH551">
        <v>23.266677768447099</v>
      </c>
      <c r="AI551">
        <v>92.588345410134494</v>
      </c>
      <c r="AJ551">
        <v>82.726905207481707</v>
      </c>
      <c r="AK551">
        <v>23.479354087351599</v>
      </c>
      <c r="AL551">
        <v>89.210740561376198</v>
      </c>
      <c r="AM551">
        <v>83.476063945903405</v>
      </c>
      <c r="AN551">
        <v>0.99999998489517805</v>
      </c>
    </row>
    <row r="552" spans="1:40" x14ac:dyDescent="0.25">
      <c r="A552" t="str">
        <f>"20190312161235746"</f>
        <v>20190312161235746</v>
      </c>
      <c r="B552" t="str">
        <f>"1552378355736639"</f>
        <v>1552378355736639</v>
      </c>
      <c r="C552" t="s">
        <v>40</v>
      </c>
      <c r="D552">
        <v>5.1626110000000001</v>
      </c>
      <c r="E552">
        <v>0.50530120000000001</v>
      </c>
      <c r="F552" t="s">
        <v>42</v>
      </c>
      <c r="G552">
        <v>-278.4821</v>
      </c>
      <c r="H552" s="1">
        <v>-1.8652130000000001E-6</v>
      </c>
      <c r="I552">
        <v>364.49520000000001</v>
      </c>
      <c r="J552">
        <v>-302.30560000000003</v>
      </c>
      <c r="K552">
        <v>1.060317</v>
      </c>
      <c r="L552">
        <v>367.66329999999999</v>
      </c>
      <c r="M552">
        <v>0.99988010000000005</v>
      </c>
      <c r="N552">
        <v>0</v>
      </c>
      <c r="O552">
        <v>-5.2119740000000003E-3</v>
      </c>
      <c r="P552">
        <v>0.99287559999999997</v>
      </c>
      <c r="Q552">
        <v>-6.2366579999999997E-4</v>
      </c>
      <c r="R552">
        <v>-0.11915489999999999</v>
      </c>
      <c r="S552">
        <v>2.9743650000000001</v>
      </c>
      <c r="T552">
        <v>-0.13124069999999999</v>
      </c>
      <c r="U552">
        <v>-0.39224239999999999</v>
      </c>
      <c r="V552">
        <v>0.1139752</v>
      </c>
      <c r="W552">
        <v>1.3890599999999999E-2</v>
      </c>
      <c r="X552">
        <v>0.99338649999999995</v>
      </c>
      <c r="Y552">
        <v>0.12545789999999901</v>
      </c>
      <c r="Z552">
        <v>-2.5257190000000001E-3</v>
      </c>
      <c r="AA552">
        <v>0.99209570000000002</v>
      </c>
      <c r="AB552">
        <v>33</v>
      </c>
      <c r="AC552">
        <v>23.823499999999999</v>
      </c>
      <c r="AD552">
        <v>-1.060318865213</v>
      </c>
      <c r="AE552">
        <v>-3.1680999999999799</v>
      </c>
      <c r="AF552">
        <v>3.0379629768866399</v>
      </c>
      <c r="AG552">
        <v>-1.060318865213</v>
      </c>
      <c r="AH552">
        <v>23.793376951317299</v>
      </c>
      <c r="AI552">
        <v>92.531097707178006</v>
      </c>
      <c r="AJ552">
        <v>82.723785208454203</v>
      </c>
      <c r="AK552">
        <v>24.0099621385028</v>
      </c>
      <c r="AL552">
        <v>89.204101662373802</v>
      </c>
      <c r="AM552">
        <v>83.4548461843263</v>
      </c>
      <c r="AN552">
        <v>1.00000001668282</v>
      </c>
    </row>
    <row r="553" spans="1:40" x14ac:dyDescent="0.25">
      <c r="A553" t="str">
        <f>"20190312161235759"</f>
        <v>20190312161235759</v>
      </c>
      <c r="B553" t="str">
        <f>"1552378355746401"</f>
        <v>1552378355746401</v>
      </c>
      <c r="C553" t="s">
        <v>40</v>
      </c>
      <c r="D553">
        <v>5.1551939999999998</v>
      </c>
      <c r="E553">
        <v>0.50532940000000004</v>
      </c>
      <c r="F553" t="s">
        <v>42</v>
      </c>
      <c r="G553">
        <v>-278.2577</v>
      </c>
      <c r="H553" s="1">
        <v>-1.9443000000000002E-6</v>
      </c>
      <c r="I553">
        <v>364.48500000000001</v>
      </c>
      <c r="J553">
        <v>-302.13720000000001</v>
      </c>
      <c r="K553">
        <v>1.0603129999999901</v>
      </c>
      <c r="L553">
        <v>367.66250000000002</v>
      </c>
      <c r="M553">
        <v>0.9998804</v>
      </c>
      <c r="N553">
        <v>0</v>
      </c>
      <c r="O553">
        <v>-5.1579269999999997E-3</v>
      </c>
      <c r="P553">
        <v>0.99285849999999998</v>
      </c>
      <c r="Q553">
        <v>-7.2763299999999999E-4</v>
      </c>
      <c r="R553">
        <v>-0.1192951</v>
      </c>
      <c r="S553">
        <v>2.974335</v>
      </c>
      <c r="T553">
        <v>-0.1311435</v>
      </c>
      <c r="U553">
        <v>-0.39309690000000003</v>
      </c>
      <c r="V553">
        <v>0.1141692</v>
      </c>
      <c r="W553">
        <v>1.377951E-2</v>
      </c>
      <c r="X553">
        <v>0.99336579999999997</v>
      </c>
      <c r="Y553">
        <v>0.12579269999999901</v>
      </c>
      <c r="Z553">
        <v>-2.5335459999999998E-3</v>
      </c>
      <c r="AA553">
        <v>0.99205330000000003</v>
      </c>
      <c r="AB553">
        <v>33</v>
      </c>
      <c r="AC553">
        <v>23.8795</v>
      </c>
      <c r="AD553">
        <v>-1.06031494429999</v>
      </c>
      <c r="AE553">
        <v>-3.1775000000000002</v>
      </c>
      <c r="AF553">
        <v>3.0483703027032298</v>
      </c>
      <c r="AG553">
        <v>-1.06031494429999</v>
      </c>
      <c r="AH553">
        <v>23.8493699441164</v>
      </c>
      <c r="AI553">
        <v>92.525110325914795</v>
      </c>
      <c r="AJ553">
        <v>82.716083671856694</v>
      </c>
      <c r="AK553">
        <v>24.0667670453435</v>
      </c>
      <c r="AL553">
        <v>89.210467283494594</v>
      </c>
      <c r="AM553">
        <v>83.443666998318406</v>
      </c>
      <c r="AN553">
        <v>1.00000004686705</v>
      </c>
    </row>
    <row r="554" spans="1:40" x14ac:dyDescent="0.25">
      <c r="A554" t="str">
        <f>"20190312161235770"</f>
        <v>20190312161235770</v>
      </c>
      <c r="B554" t="str">
        <f>"1552378355765919"</f>
        <v>1552378355765919</v>
      </c>
      <c r="C554" t="s">
        <v>40</v>
      </c>
      <c r="D554">
        <v>5.1941179999999996</v>
      </c>
      <c r="E554">
        <v>0.50538629999999996</v>
      </c>
      <c r="F554" t="s">
        <v>42</v>
      </c>
      <c r="G554">
        <v>-278.18340000000001</v>
      </c>
      <c r="H554" s="1">
        <v>-1.9685639999999999E-6</v>
      </c>
      <c r="I554">
        <v>364.48880000000003</v>
      </c>
      <c r="J554">
        <v>-301.9572</v>
      </c>
      <c r="K554">
        <v>1.0603119999999999</v>
      </c>
      <c r="L554">
        <v>367.66160000000002</v>
      </c>
      <c r="M554">
        <v>0.99988100000000002</v>
      </c>
      <c r="N554">
        <v>0</v>
      </c>
      <c r="O554">
        <v>-5.1004209999999999E-3</v>
      </c>
      <c r="P554">
        <v>0.99285909999999999</v>
      </c>
      <c r="Q554">
        <v>-8.279998E-4</v>
      </c>
      <c r="R554">
        <v>-0.1192925</v>
      </c>
      <c r="S554">
        <v>2.9741520000000001</v>
      </c>
      <c r="T554">
        <v>-0.1316502</v>
      </c>
      <c r="U554">
        <v>-0.39404299999999998</v>
      </c>
      <c r="V554">
        <v>0.1142237</v>
      </c>
      <c r="W554">
        <v>1.3671269999999999E-2</v>
      </c>
      <c r="X554">
        <v>0.99336100000000005</v>
      </c>
      <c r="Y554">
        <v>0.12616649999999999</v>
      </c>
      <c r="Z554">
        <v>-2.554195E-3</v>
      </c>
      <c r="AA554">
        <v>0.99200580000000005</v>
      </c>
      <c r="AB554">
        <v>33</v>
      </c>
      <c r="AC554">
        <v>23.773799999999898</v>
      </c>
      <c r="AD554">
        <v>-1.060313968564</v>
      </c>
      <c r="AE554">
        <v>-3.1727999999999899</v>
      </c>
      <c r="AF554">
        <v>3.0455374024415001</v>
      </c>
      <c r="AG554">
        <v>-1.060313968564</v>
      </c>
      <c r="AH554">
        <v>23.7432721273269</v>
      </c>
      <c r="AI554">
        <v>92.536232669996394</v>
      </c>
      <c r="AJ554">
        <v>82.690612479320507</v>
      </c>
      <c r="AK554">
        <v>23.961271566715698</v>
      </c>
      <c r="AL554">
        <v>89.216669539061797</v>
      </c>
      <c r="AM554">
        <v>83.440533105442697</v>
      </c>
      <c r="AN554">
        <v>1.0000000167930501</v>
      </c>
    </row>
    <row r="555" spans="1:40" x14ac:dyDescent="0.25">
      <c r="A555" t="str">
        <f>"20190312161235783"</f>
        <v>20190312161235783</v>
      </c>
      <c r="B555" t="str">
        <f>"1552378355776655"</f>
        <v>1552378355776655</v>
      </c>
      <c r="C555" t="s">
        <v>40</v>
      </c>
      <c r="D555">
        <v>5.1639879999999998</v>
      </c>
      <c r="E555">
        <v>0.50540129999999905</v>
      </c>
      <c r="F555" t="s">
        <v>42</v>
      </c>
      <c r="G555">
        <v>-277.89479999999998</v>
      </c>
      <c r="H555" s="1">
        <v>-2.0714350000000001E-6</v>
      </c>
      <c r="I555">
        <v>364.47129999999999</v>
      </c>
      <c r="J555">
        <v>-301.76060000000001</v>
      </c>
      <c r="K555">
        <v>1.0603089999999999</v>
      </c>
      <c r="L555">
        <v>367.66059999999999</v>
      </c>
      <c r="M555">
        <v>0.99988129999999997</v>
      </c>
      <c r="N555">
        <v>0</v>
      </c>
      <c r="O555">
        <v>-5.0374290000000004E-3</v>
      </c>
      <c r="P555">
        <v>0.99282709999999996</v>
      </c>
      <c r="Q555">
        <v>-9.2140590000000001E-4</v>
      </c>
      <c r="R555">
        <v>-0.1195581</v>
      </c>
      <c r="S555">
        <v>2.9741209999999998</v>
      </c>
      <c r="T555">
        <v>-0.13105459999999999</v>
      </c>
      <c r="U555">
        <v>-0.39431759999999999</v>
      </c>
      <c r="V555">
        <v>0.114552</v>
      </c>
      <c r="W555">
        <v>1.3570189999999999E-2</v>
      </c>
      <c r="X555">
        <v>0.9933246</v>
      </c>
      <c r="Y555">
        <v>0.12632119999999999</v>
      </c>
      <c r="Z555">
        <v>-2.5488149999999998E-3</v>
      </c>
      <c r="AA555">
        <v>0.99198609999999998</v>
      </c>
      <c r="AB555">
        <v>33</v>
      </c>
      <c r="AC555">
        <v>23.8658</v>
      </c>
      <c r="AD555">
        <v>-1.0603110714349999</v>
      </c>
      <c r="AE555">
        <v>-3.1892999999999998</v>
      </c>
      <c r="AF555">
        <v>3.06308450885445</v>
      </c>
      <c r="AG555">
        <v>-1.0603110714349999</v>
      </c>
      <c r="AH555">
        <v>23.835342707371499</v>
      </c>
      <c r="AI555">
        <v>92.526364886760803</v>
      </c>
      <c r="AJ555">
        <v>82.677044810271497</v>
      </c>
      <c r="AK555">
        <v>24.054735672096701</v>
      </c>
      <c r="AL555">
        <v>89.222461548491395</v>
      </c>
      <c r="AM555">
        <v>83.421606050043493</v>
      </c>
      <c r="AN555">
        <v>1.00000003586289</v>
      </c>
    </row>
    <row r="556" spans="1:40" x14ac:dyDescent="0.25">
      <c r="A556" t="str">
        <f>"20190312161235795"</f>
        <v>20190312161235795</v>
      </c>
      <c r="B556" t="str">
        <f>"1552378355786415"</f>
        <v>1552378355786415</v>
      </c>
      <c r="C556" t="s">
        <v>40</v>
      </c>
      <c r="D556">
        <v>5.1556259999999998</v>
      </c>
      <c r="E556">
        <v>0.50545189999999995</v>
      </c>
      <c r="F556" t="s">
        <v>42</v>
      </c>
      <c r="G556">
        <v>-277.709</v>
      </c>
      <c r="H556" s="1">
        <v>-2.1365030000000001E-6</v>
      </c>
      <c r="I556">
        <v>364.46440000000001</v>
      </c>
      <c r="J556">
        <v>-301.59379999999999</v>
      </c>
      <c r="K556">
        <v>1.060306</v>
      </c>
      <c r="L556">
        <v>367.65989999999999</v>
      </c>
      <c r="M556">
        <v>0.99988169999999998</v>
      </c>
      <c r="N556">
        <v>0</v>
      </c>
      <c r="O556">
        <v>-4.9842200000000001E-3</v>
      </c>
      <c r="P556">
        <v>0.99280820000000003</v>
      </c>
      <c r="Q556">
        <v>-8.5949899999999903E-4</v>
      </c>
      <c r="R556">
        <v>-0.119715</v>
      </c>
      <c r="S556">
        <v>2.9739689999999999</v>
      </c>
      <c r="T556">
        <v>-0.1311061</v>
      </c>
      <c r="U556">
        <v>-0.39520260000000001</v>
      </c>
      <c r="V556">
        <v>0.114762</v>
      </c>
      <c r="W556">
        <v>1.36255E-2</v>
      </c>
      <c r="X556">
        <v>0.9932995</v>
      </c>
      <c r="Y556">
        <v>0.12667020000000001</v>
      </c>
      <c r="Z556">
        <v>-2.5598869999999998E-3</v>
      </c>
      <c r="AA556">
        <v>0.99194159999999998</v>
      </c>
      <c r="AB556">
        <v>33</v>
      </c>
      <c r="AC556">
        <v>23.884799999999899</v>
      </c>
      <c r="AD556">
        <v>-1.060308136503</v>
      </c>
      <c r="AE556">
        <v>-3.19549999999998</v>
      </c>
      <c r="AF556">
        <v>3.0704560446004301</v>
      </c>
      <c r="AG556">
        <v>-1.060308136503</v>
      </c>
      <c r="AH556">
        <v>23.8542490405877</v>
      </c>
      <c r="AI556">
        <v>92.524292080207204</v>
      </c>
      <c r="AJ556">
        <v>82.665368008909397</v>
      </c>
      <c r="AK556">
        <v>24.074408631501999</v>
      </c>
      <c r="AL556">
        <v>89.219292146331796</v>
      </c>
      <c r="AM556">
        <v>83.409487274283805</v>
      </c>
      <c r="AN556">
        <v>0.99999993379724705</v>
      </c>
    </row>
    <row r="557" spans="1:40" x14ac:dyDescent="0.25">
      <c r="A557" t="str">
        <f>"20190312161235806"</f>
        <v>20190312161235806</v>
      </c>
      <c r="B557" t="str">
        <f>"1552378355796175"</f>
        <v>1552378355796175</v>
      </c>
      <c r="C557" t="s">
        <v>40</v>
      </c>
      <c r="D557">
        <v>5.137626</v>
      </c>
      <c r="E557">
        <v>0.50548709999999997</v>
      </c>
      <c r="F557" t="s">
        <v>42</v>
      </c>
      <c r="G557">
        <v>-277.38959999999997</v>
      </c>
      <c r="H557" s="1">
        <v>-2.2527870000000001E-6</v>
      </c>
      <c r="I557">
        <v>364.43579999999997</v>
      </c>
      <c r="J557">
        <v>-301.41969999999998</v>
      </c>
      <c r="K557">
        <v>1.060306</v>
      </c>
      <c r="L557">
        <v>367.65910000000002</v>
      </c>
      <c r="M557">
        <v>0.9998821</v>
      </c>
      <c r="N557">
        <v>0</v>
      </c>
      <c r="O557">
        <v>-4.9285079999999998E-3</v>
      </c>
      <c r="P557">
        <v>0.99281269999999999</v>
      </c>
      <c r="Q557">
        <v>-7.0055949999999997E-4</v>
      </c>
      <c r="R557">
        <v>-0.1196774</v>
      </c>
      <c r="S557">
        <v>2.973846</v>
      </c>
      <c r="T557">
        <v>-0.13027439999999901</v>
      </c>
      <c r="U557">
        <v>-0.39611819999999998</v>
      </c>
      <c r="V557">
        <v>0.1147797</v>
      </c>
      <c r="W557">
        <v>1.377808E-2</v>
      </c>
      <c r="X557">
        <v>0.99329540000000005</v>
      </c>
      <c r="Y557">
        <v>0.1270319</v>
      </c>
      <c r="Z557">
        <v>-2.554026E-3</v>
      </c>
      <c r="AA557">
        <v>0.99189530000000004</v>
      </c>
      <c r="AB557">
        <v>33</v>
      </c>
      <c r="AC557">
        <v>24.030100000000001</v>
      </c>
      <c r="AD557">
        <v>-1.060308252787</v>
      </c>
      <c r="AE557">
        <v>-3.2233000000000498</v>
      </c>
      <c r="AF557">
        <v>3.0988890555474402</v>
      </c>
      <c r="AG557">
        <v>-1.060308252787</v>
      </c>
      <c r="AH557">
        <v>23.999795466639601</v>
      </c>
      <c r="AI557">
        <v>92.508875033313402</v>
      </c>
      <c r="AJ557">
        <v>82.642592503567101</v>
      </c>
      <c r="AK557">
        <v>24.222253186069601</v>
      </c>
      <c r="AL557">
        <v>89.210549174080199</v>
      </c>
      <c r="AM557">
        <v>83.408452780842495</v>
      </c>
      <c r="AN557">
        <v>0.99999998334086804</v>
      </c>
    </row>
    <row r="558" spans="1:40" x14ac:dyDescent="0.25">
      <c r="A558" t="str">
        <f>"20190312161235818"</f>
        <v>20190312161235818</v>
      </c>
      <c r="B558" t="str">
        <f>"1552378355805934"</f>
        <v>1552378355805934</v>
      </c>
      <c r="C558" t="s">
        <v>40</v>
      </c>
      <c r="D558">
        <v>5.1496899999999997</v>
      </c>
      <c r="E558">
        <v>0.50551270000000004</v>
      </c>
      <c r="F558" t="s">
        <v>42</v>
      </c>
      <c r="G558">
        <v>-276.935</v>
      </c>
      <c r="H558" s="1">
        <v>-2.4180080000000002E-6</v>
      </c>
      <c r="I558">
        <v>364.3963</v>
      </c>
      <c r="J558">
        <v>-301.25749999999999</v>
      </c>
      <c r="K558">
        <v>1.0603049999999901</v>
      </c>
      <c r="L558">
        <v>367.6583</v>
      </c>
      <c r="M558">
        <v>0.9998823</v>
      </c>
      <c r="N558">
        <v>0</v>
      </c>
      <c r="O558">
        <v>-4.8764999999999998E-3</v>
      </c>
      <c r="P558">
        <v>0.99277850000000001</v>
      </c>
      <c r="Q558">
        <v>-4.8547610000000002E-4</v>
      </c>
      <c r="R558">
        <v>-0.11996179999999999</v>
      </c>
      <c r="S558">
        <v>2.9738159999999998</v>
      </c>
      <c r="T558">
        <v>-0.12878010000000001</v>
      </c>
      <c r="U558">
        <v>-0.39627079999999998</v>
      </c>
      <c r="V558">
        <v>0.11511589999999999</v>
      </c>
      <c r="W558">
        <v>1.3987390000000001E-2</v>
      </c>
      <c r="X558">
        <v>0.99325359999999996</v>
      </c>
      <c r="Y558">
        <v>0.12713730000000001</v>
      </c>
      <c r="Z558">
        <v>-2.5292869999999999E-3</v>
      </c>
      <c r="AA558">
        <v>0.99188189999999998</v>
      </c>
      <c r="AB558">
        <v>33</v>
      </c>
      <c r="AC558">
        <v>24.322499999999899</v>
      </c>
      <c r="AD558">
        <v>-1.0603074180080001</v>
      </c>
      <c r="AE558">
        <v>-3.262</v>
      </c>
      <c r="AF558">
        <v>3.13748283245656</v>
      </c>
      <c r="AG558">
        <v>-1.0603074180080001</v>
      </c>
      <c r="AH558">
        <v>24.292769064358598</v>
      </c>
      <c r="AI558">
        <v>92.478643831693205</v>
      </c>
      <c r="AJ558">
        <v>82.640818750334802</v>
      </c>
      <c r="AK558">
        <v>24.517477014548199</v>
      </c>
      <c r="AL558">
        <v>89.198555464360297</v>
      </c>
      <c r="AM558">
        <v>83.389040454266294</v>
      </c>
      <c r="AN558">
        <v>1.0000000157123901</v>
      </c>
    </row>
    <row r="559" spans="1:40" x14ac:dyDescent="0.25">
      <c r="A559" t="str">
        <f>"20190312161235831"</f>
        <v>20190312161235831</v>
      </c>
      <c r="B559" t="str">
        <f>"1552378355826432"</f>
        <v>1552378355826432</v>
      </c>
      <c r="C559" t="s">
        <v>40</v>
      </c>
      <c r="D559">
        <v>5.0872950000000001</v>
      </c>
      <c r="E559">
        <v>0.50544789999999995</v>
      </c>
      <c r="F559" t="s">
        <v>42</v>
      </c>
      <c r="G559">
        <v>-276.56670000000003</v>
      </c>
      <c r="H559" s="1">
        <v>-2.5529269999999998E-6</v>
      </c>
      <c r="I559">
        <v>364.36020000000002</v>
      </c>
      <c r="J559">
        <v>-301.07330000000002</v>
      </c>
      <c r="K559">
        <v>1.0603070000000001</v>
      </c>
      <c r="L559">
        <v>367.65750000000003</v>
      </c>
      <c r="M559">
        <v>0.99988259999999995</v>
      </c>
      <c r="N559">
        <v>0</v>
      </c>
      <c r="O559">
        <v>-4.8174530000000002E-3</v>
      </c>
      <c r="P559">
        <v>0.99281189999999997</v>
      </c>
      <c r="Q559">
        <v>-4.2577830000000002E-4</v>
      </c>
      <c r="R559">
        <v>-0.11968479999999999</v>
      </c>
      <c r="S559">
        <v>2.9737550000000001</v>
      </c>
      <c r="T559">
        <v>-0.12770300000000001</v>
      </c>
      <c r="U559">
        <v>-0.39721679999999998</v>
      </c>
      <c r="V559">
        <v>0.1148974</v>
      </c>
      <c r="W559">
        <v>1.404174E-2</v>
      </c>
      <c r="X559">
        <v>0.99327810000000005</v>
      </c>
      <c r="Y559">
        <v>0.12751009999999999</v>
      </c>
      <c r="Z559">
        <v>-2.5186369999999998E-3</v>
      </c>
      <c r="AA559">
        <v>0.99183410000000005</v>
      </c>
      <c r="AB559">
        <v>33</v>
      </c>
      <c r="AC559">
        <v>24.506599999999899</v>
      </c>
      <c r="AD559">
        <v>-1.0603095529269999</v>
      </c>
      <c r="AE559">
        <v>-3.2972999999999999</v>
      </c>
      <c r="AF559">
        <v>3.17335504238397</v>
      </c>
      <c r="AG559">
        <v>-1.0603095529269999</v>
      </c>
      <c r="AH559">
        <v>24.477195963236099</v>
      </c>
      <c r="AI559">
        <v>92.459842145023103</v>
      </c>
      <c r="AJ559">
        <v>82.613070093223897</v>
      </c>
      <c r="AK559">
        <v>24.7048084549489</v>
      </c>
      <c r="AL559">
        <v>89.195441106990202</v>
      </c>
      <c r="AM559">
        <v>83.401639191213306</v>
      </c>
      <c r="AN559">
        <v>0.99999998346429797</v>
      </c>
    </row>
    <row r="560" spans="1:40" x14ac:dyDescent="0.25">
      <c r="A560" t="str">
        <f>"20190312161235842"</f>
        <v>20190312161235842</v>
      </c>
      <c r="B560" t="str">
        <f>"1552378355836699"</f>
        <v>1552378355836699</v>
      </c>
      <c r="C560" t="s">
        <v>40</v>
      </c>
      <c r="D560">
        <v>5.1069909999999998</v>
      </c>
      <c r="E560">
        <v>0.50549730000000004</v>
      </c>
      <c r="F560" t="s">
        <v>42</v>
      </c>
      <c r="G560">
        <v>-276.1046</v>
      </c>
      <c r="H560" s="1">
        <v>-2.7175170000000001E-6</v>
      </c>
      <c r="I560">
        <v>364.33280000000002</v>
      </c>
      <c r="J560">
        <v>-300.89210000000003</v>
      </c>
      <c r="K560">
        <v>1.060308</v>
      </c>
      <c r="L560">
        <v>367.65660000000003</v>
      </c>
      <c r="M560">
        <v>0.99988310000000002</v>
      </c>
      <c r="N560">
        <v>0</v>
      </c>
      <c r="O560">
        <v>-4.7595989999999998E-3</v>
      </c>
      <c r="P560">
        <v>0.99279280000000003</v>
      </c>
      <c r="Q560">
        <v>-3.4497489999999999E-4</v>
      </c>
      <c r="R560">
        <v>-0.1198428</v>
      </c>
      <c r="S560">
        <v>2.9739689999999999</v>
      </c>
      <c r="T560">
        <v>-0.12629029999999999</v>
      </c>
      <c r="U560">
        <v>-0.39599610000000002</v>
      </c>
      <c r="V560">
        <v>0.11511299999999999</v>
      </c>
      <c r="W560">
        <v>1.4117070000000001E-2</v>
      </c>
      <c r="X560">
        <v>0.99325209999999997</v>
      </c>
      <c r="Y560">
        <v>0.12716079999999999</v>
      </c>
      <c r="Z560">
        <v>-2.485756E-3</v>
      </c>
      <c r="AA560">
        <v>0.99187899999999996</v>
      </c>
      <c r="AB560">
        <v>33</v>
      </c>
      <c r="AC560">
        <v>24.787500000000001</v>
      </c>
      <c r="AD560">
        <v>-1.0603107175169999</v>
      </c>
      <c r="AE560">
        <v>-3.3237999999999999</v>
      </c>
      <c r="AF560">
        <v>3.2000193919764199</v>
      </c>
      <c r="AG560">
        <v>-1.0603107175169999</v>
      </c>
      <c r="AH560">
        <v>24.758538101207701</v>
      </c>
      <c r="AI560">
        <v>92.432048838566104</v>
      </c>
      <c r="AJ560">
        <v>82.635398891864199</v>
      </c>
      <c r="AK560">
        <v>24.986988450704899</v>
      </c>
      <c r="AL560">
        <v>89.191124612934303</v>
      </c>
      <c r="AM560">
        <v>83.389195628214793</v>
      </c>
      <c r="AN560">
        <v>1.0000000142943899</v>
      </c>
    </row>
    <row r="561" spans="1:40" x14ac:dyDescent="0.25">
      <c r="A561" t="str">
        <f>"20190312161235858"</f>
        <v>20190312161235858</v>
      </c>
      <c r="B561" t="str">
        <f>"1552378355846459"</f>
        <v>1552378355846459</v>
      </c>
      <c r="C561" t="s">
        <v>40</v>
      </c>
      <c r="D561">
        <v>5.0837309999999896</v>
      </c>
      <c r="E561">
        <v>0.50552249999999999</v>
      </c>
      <c r="F561" t="s">
        <v>42</v>
      </c>
      <c r="G561">
        <v>-275.76319999999998</v>
      </c>
      <c r="H561" s="1">
        <v>-2.8418289999999998E-6</v>
      </c>
      <c r="I561">
        <v>364.3021</v>
      </c>
      <c r="J561">
        <v>-300.67110000000002</v>
      </c>
      <c r="K561">
        <v>1.0603089999999999</v>
      </c>
      <c r="L561">
        <v>367.65570000000002</v>
      </c>
      <c r="M561">
        <v>0.99988350000000004</v>
      </c>
      <c r="N561">
        <v>0</v>
      </c>
      <c r="O561">
        <v>-4.6888659999999999E-3</v>
      </c>
      <c r="P561">
        <v>0.99282190000000003</v>
      </c>
      <c r="Q561">
        <v>-8.7645649999999904E-4</v>
      </c>
      <c r="R561">
        <v>-0.1196004</v>
      </c>
      <c r="S561">
        <v>2.9738159999999998</v>
      </c>
      <c r="T561">
        <v>-0.12547929999999999</v>
      </c>
      <c r="U561">
        <v>-0.39697270000000001</v>
      </c>
      <c r="V561">
        <v>0.11494070000000001</v>
      </c>
      <c r="W561">
        <v>1.357973E-2</v>
      </c>
      <c r="X561">
        <v>0.99327949999999998</v>
      </c>
      <c r="Y561">
        <v>0.1275587</v>
      </c>
      <c r="Z561">
        <v>-2.481203E-3</v>
      </c>
      <c r="AA561">
        <v>0.99182789999999998</v>
      </c>
      <c r="AB561">
        <v>33</v>
      </c>
      <c r="AC561">
        <v>24.907900000000001</v>
      </c>
      <c r="AD561">
        <v>-1.0603118418289901</v>
      </c>
      <c r="AE561">
        <v>-3.3536000000000201</v>
      </c>
      <c r="AF561">
        <v>3.2310101886542699</v>
      </c>
      <c r="AG561">
        <v>-1.0603118418289901</v>
      </c>
      <c r="AH561">
        <v>24.879070622936698</v>
      </c>
      <c r="AI561">
        <v>92.420092005338006</v>
      </c>
      <c r="AJ561">
        <v>82.600491275110699</v>
      </c>
      <c r="AK561">
        <v>25.1103931291842</v>
      </c>
      <c r="AL561">
        <v>89.221914844649305</v>
      </c>
      <c r="AM561">
        <v>83.399183708163704</v>
      </c>
      <c r="AN561">
        <v>0.99999996935180502</v>
      </c>
    </row>
    <row r="562" spans="1:40" x14ac:dyDescent="0.25">
      <c r="A562" t="str">
        <f>"20190312161235871"</f>
        <v>20190312161235871</v>
      </c>
      <c r="B562" t="str">
        <f>"1552378355865979"</f>
        <v>1552378355865979</v>
      </c>
      <c r="C562" t="s">
        <v>40</v>
      </c>
      <c r="D562">
        <v>5.0937460000000003</v>
      </c>
      <c r="E562">
        <v>0.50570700000000002</v>
      </c>
      <c r="F562" t="s">
        <v>42</v>
      </c>
      <c r="G562">
        <v>-275.67239999999998</v>
      </c>
      <c r="H562" s="1">
        <v>-2.867682E-6</v>
      </c>
      <c r="I562">
        <v>364.3211</v>
      </c>
      <c r="J562">
        <v>-300.47800000000001</v>
      </c>
      <c r="K562">
        <v>1.0603070000000001</v>
      </c>
      <c r="L562">
        <v>367.6549</v>
      </c>
      <c r="M562">
        <v>0.99988390000000005</v>
      </c>
      <c r="N562">
        <v>0</v>
      </c>
      <c r="O562">
        <v>-4.6270809999999999E-3</v>
      </c>
      <c r="P562">
        <v>0.99281019999999998</v>
      </c>
      <c r="Q562">
        <v>-8.7660919999999897E-4</v>
      </c>
      <c r="R562">
        <v>-0.1196962</v>
      </c>
      <c r="S562">
        <v>2.9737849999999999</v>
      </c>
      <c r="T562">
        <v>-0.12613170000000001</v>
      </c>
      <c r="U562">
        <v>-0.39666750000000001</v>
      </c>
      <c r="V562">
        <v>0.11509800000000001</v>
      </c>
      <c r="W562">
        <v>1.357353E-2</v>
      </c>
      <c r="X562">
        <v>0.99326139999999996</v>
      </c>
      <c r="Y562">
        <v>0.1275201</v>
      </c>
      <c r="Z562">
        <v>-2.4959259999999999E-3</v>
      </c>
      <c r="AA562">
        <v>0.99183290000000002</v>
      </c>
      <c r="AB562">
        <v>33</v>
      </c>
      <c r="AC562">
        <v>24.805599999999998</v>
      </c>
      <c r="AD562">
        <v>-1.060309867682</v>
      </c>
      <c r="AE562">
        <v>-3.3337999999999899</v>
      </c>
      <c r="AF562">
        <v>3.2132079439507</v>
      </c>
      <c r="AG562">
        <v>-1.060309867682</v>
      </c>
      <c r="AH562">
        <v>24.776295791241001</v>
      </c>
      <c r="AI562">
        <v>92.430169989381994</v>
      </c>
      <c r="AJ562">
        <v>82.610622974299602</v>
      </c>
      <c r="AK562">
        <v>25.0062751212898</v>
      </c>
      <c r="AL562">
        <v>89.222270134705198</v>
      </c>
      <c r="AM562">
        <v>83.390110779045401</v>
      </c>
      <c r="AN562">
        <v>0.99999999952531005</v>
      </c>
    </row>
    <row r="563" spans="1:40" x14ac:dyDescent="0.25">
      <c r="A563" t="str">
        <f>"20190312161235884"</f>
        <v>20190312161235884</v>
      </c>
      <c r="B563" t="str">
        <f>"1552378355876715"</f>
        <v>1552378355876715</v>
      </c>
      <c r="C563" t="s">
        <v>40</v>
      </c>
      <c r="D563">
        <v>5.0947360000000002</v>
      </c>
      <c r="E563">
        <v>0.50576309999999902</v>
      </c>
      <c r="F563" t="s">
        <v>42</v>
      </c>
      <c r="G563">
        <v>-275.34230000000002</v>
      </c>
      <c r="H563" s="1">
        <v>-2.988382E-6</v>
      </c>
      <c r="I563">
        <v>364.28969999999998</v>
      </c>
      <c r="J563">
        <v>-300.28730000000002</v>
      </c>
      <c r="K563">
        <v>1.0603049999999901</v>
      </c>
      <c r="L563">
        <v>367.654</v>
      </c>
      <c r="M563">
        <v>0.9998842</v>
      </c>
      <c r="N563">
        <v>0</v>
      </c>
      <c r="O563">
        <v>-4.5660120000000004E-3</v>
      </c>
      <c r="P563">
        <v>0.99280420000000003</v>
      </c>
      <c r="Q563">
        <v>-8.6031110000000003E-4</v>
      </c>
      <c r="R563">
        <v>-0.11974659999999999</v>
      </c>
      <c r="S563">
        <v>2.9735719999999999</v>
      </c>
      <c r="T563">
        <v>-0.12543509999999999</v>
      </c>
      <c r="U563">
        <v>-0.39810180000000001</v>
      </c>
      <c r="V563">
        <v>0.115209199999999</v>
      </c>
      <c r="W563">
        <v>1.358498E-2</v>
      </c>
      <c r="X563">
        <v>0.99324829999999997</v>
      </c>
      <c r="Y563">
        <v>0.1280607</v>
      </c>
      <c r="Z563">
        <v>-2.496163E-3</v>
      </c>
      <c r="AA563">
        <v>0.99176319999999996</v>
      </c>
      <c r="AB563">
        <v>33</v>
      </c>
      <c r="AC563">
        <v>24.945</v>
      </c>
      <c r="AD563">
        <v>-1.0603079883819999</v>
      </c>
      <c r="AE563">
        <v>-3.3643000000000098</v>
      </c>
      <c r="AF563">
        <v>3.2445963140484202</v>
      </c>
      <c r="AG563">
        <v>-1.0603079883819999</v>
      </c>
      <c r="AH563">
        <v>24.915890490129801</v>
      </c>
      <c r="AI563">
        <v>92.416402077397393</v>
      </c>
      <c r="AJ563">
        <v>82.580581711226301</v>
      </c>
      <c r="AK563">
        <v>25.148623365653702</v>
      </c>
      <c r="AL563">
        <v>89.221613997776601</v>
      </c>
      <c r="AM563">
        <v>83.383694848874399</v>
      </c>
      <c r="AN563">
        <v>0.99999994844956297</v>
      </c>
    </row>
    <row r="564" spans="1:40" x14ac:dyDescent="0.25">
      <c r="A564" t="str">
        <f>"20190312161235898"</f>
        <v>20190312161235898</v>
      </c>
      <c r="B564" t="str">
        <f>"1552378355886475"</f>
        <v>1552378355886475</v>
      </c>
      <c r="C564" t="s">
        <v>40</v>
      </c>
      <c r="D564">
        <v>5.0942210000000001</v>
      </c>
      <c r="E564">
        <v>0.50581290000000001</v>
      </c>
      <c r="F564" t="s">
        <v>42</v>
      </c>
      <c r="G564">
        <v>-275.01769999999999</v>
      </c>
      <c r="H564" s="1">
        <v>-3.1058809999999999E-6</v>
      </c>
      <c r="I564">
        <v>364.26330000000002</v>
      </c>
      <c r="J564">
        <v>-300.09589999999997</v>
      </c>
      <c r="K564">
        <v>1.0603009999999999</v>
      </c>
      <c r="L564">
        <v>367.65320000000003</v>
      </c>
      <c r="M564">
        <v>0.99988460000000001</v>
      </c>
      <c r="N564">
        <v>0</v>
      </c>
      <c r="O564">
        <v>-4.5044710000000003E-3</v>
      </c>
      <c r="P564">
        <v>0.99279439999999997</v>
      </c>
      <c r="Q564">
        <v>-1.0468750000000001E-3</v>
      </c>
      <c r="R564">
        <v>-0.1198261</v>
      </c>
      <c r="S564">
        <v>2.9735109999999998</v>
      </c>
      <c r="T564">
        <v>-0.1247674</v>
      </c>
      <c r="U564">
        <v>-0.39898679999999997</v>
      </c>
      <c r="V564">
        <v>0.1153498</v>
      </c>
      <c r="W564">
        <v>1.3393779999999999E-2</v>
      </c>
      <c r="X564">
        <v>0.99323459999999997</v>
      </c>
      <c r="Y564">
        <v>0.12841520000000001</v>
      </c>
      <c r="Z564">
        <v>-2.492859E-3</v>
      </c>
      <c r="AA564">
        <v>0.99171730000000002</v>
      </c>
      <c r="AB564">
        <v>33</v>
      </c>
      <c r="AC564">
        <v>25.078199999999899</v>
      </c>
      <c r="AD564">
        <v>-1.0603041058810001</v>
      </c>
      <c r="AE564">
        <v>-3.3899000000000101</v>
      </c>
      <c r="AF564">
        <v>3.2711471391991398</v>
      </c>
      <c r="AG564">
        <v>-1.0603041058810001</v>
      </c>
      <c r="AH564">
        <v>25.049242525588902</v>
      </c>
      <c r="AI564">
        <v>92.403431587982098</v>
      </c>
      <c r="AJ564">
        <v>82.559922884879299</v>
      </c>
      <c r="AK564">
        <v>25.284168950333498</v>
      </c>
      <c r="AL564">
        <v>89.232569964907199</v>
      </c>
      <c r="AM564">
        <v>83.375601545372305</v>
      </c>
      <c r="AN564">
        <v>0.99999997016994302</v>
      </c>
    </row>
    <row r="565" spans="1:40" x14ac:dyDescent="0.25">
      <c r="A565" t="str">
        <f>"20190312161235910"</f>
        <v>20190312161235910</v>
      </c>
      <c r="B565" t="str">
        <f>"1552378355905995"</f>
        <v>1552378355905995</v>
      </c>
      <c r="C565" t="s">
        <v>40</v>
      </c>
      <c r="D565">
        <v>5.0992050000000004</v>
      </c>
      <c r="E565">
        <v>0.50593659999999996</v>
      </c>
      <c r="F565" t="s">
        <v>42</v>
      </c>
      <c r="G565">
        <v>-274.6823</v>
      </c>
      <c r="H565" s="1">
        <v>-3.2266499999999998E-6</v>
      </c>
      <c r="I565">
        <v>364.23829999999998</v>
      </c>
      <c r="J565">
        <v>-299.89960000000002</v>
      </c>
      <c r="K565">
        <v>1.060303</v>
      </c>
      <c r="L565">
        <v>367.6524</v>
      </c>
      <c r="M565">
        <v>0.99988500000000002</v>
      </c>
      <c r="N565">
        <v>0</v>
      </c>
      <c r="O565">
        <v>-4.4416189999999999E-3</v>
      </c>
      <c r="P565">
        <v>0.99279989999999996</v>
      </c>
      <c r="Q565">
        <v>-1.1103560000000001E-3</v>
      </c>
      <c r="R565">
        <v>-0.119782</v>
      </c>
      <c r="S565">
        <v>2.9734189999999998</v>
      </c>
      <c r="T565">
        <v>-0.124056</v>
      </c>
      <c r="U565">
        <v>-0.39953610000000001</v>
      </c>
      <c r="V565">
        <v>0.1153681</v>
      </c>
      <c r="W565">
        <v>1.33256E-2</v>
      </c>
      <c r="X565">
        <v>0.99323340000000004</v>
      </c>
      <c r="Y565">
        <v>0.12866250000000001</v>
      </c>
      <c r="Z565">
        <v>-2.486444E-3</v>
      </c>
      <c r="AA565">
        <v>0.99168529999999999</v>
      </c>
      <c r="AB565">
        <v>33</v>
      </c>
      <c r="AC565">
        <v>25.217300000000002</v>
      </c>
      <c r="AD565">
        <v>-1.0603062266500001</v>
      </c>
      <c r="AE565">
        <v>-3.4141000000000101</v>
      </c>
      <c r="AF565">
        <v>3.2963261181803301</v>
      </c>
      <c r="AG565">
        <v>-1.0603062266500001</v>
      </c>
      <c r="AH565">
        <v>25.188486964639701</v>
      </c>
      <c r="AI565">
        <v>92.390080191508503</v>
      </c>
      <c r="AJ565">
        <v>82.544278318867299</v>
      </c>
      <c r="AK565">
        <v>25.425378871110201</v>
      </c>
      <c r="AL565">
        <v>89.236476746286598</v>
      </c>
      <c r="AM565">
        <v>83.374552007969399</v>
      </c>
      <c r="AN565">
        <v>0.99999997849426403</v>
      </c>
    </row>
    <row r="566" spans="1:40" x14ac:dyDescent="0.25">
      <c r="A566" t="str">
        <f>"20190312161235938"</f>
        <v>20190312161235938</v>
      </c>
      <c r="B566" t="str">
        <f>"1552378355926491"</f>
        <v>1552378355926491</v>
      </c>
      <c r="C566" t="s">
        <v>40</v>
      </c>
      <c r="D566">
        <v>5.1028820000000001</v>
      </c>
      <c r="E566">
        <v>0.50598080000000001</v>
      </c>
      <c r="F566" t="s">
        <v>42</v>
      </c>
      <c r="G566">
        <v>-274.13209999999998</v>
      </c>
      <c r="H566" s="1">
        <v>-3.4635450000000001E-6</v>
      </c>
      <c r="I566">
        <v>364.18220000000002</v>
      </c>
      <c r="J566">
        <v>-299.49400000000003</v>
      </c>
      <c r="K566">
        <v>1.0602940000000001</v>
      </c>
      <c r="L566">
        <v>367.6508</v>
      </c>
      <c r="M566">
        <v>0.99988560000000004</v>
      </c>
      <c r="N566">
        <v>0</v>
      </c>
      <c r="O566">
        <v>-4.3117390000000002E-3</v>
      </c>
      <c r="P566">
        <v>0.99278770000000005</v>
      </c>
      <c r="Q566">
        <v>-5.6304599999999999E-4</v>
      </c>
      <c r="R566">
        <v>-0.1198857</v>
      </c>
      <c r="S566">
        <v>2.9732970000000001</v>
      </c>
      <c r="T566">
        <v>-0.122348</v>
      </c>
      <c r="U566">
        <v>-0.40042109999999997</v>
      </c>
      <c r="V566">
        <v>0.1156006</v>
      </c>
      <c r="W566">
        <v>1.38639E-2</v>
      </c>
      <c r="X566">
        <v>0.9931991</v>
      </c>
      <c r="Y566">
        <v>0.12908900000000001</v>
      </c>
      <c r="Z566">
        <v>-2.46634E-3</v>
      </c>
      <c r="AA566">
        <v>0.99163000000000001</v>
      </c>
      <c r="AB566">
        <v>33</v>
      </c>
      <c r="AC566">
        <v>25.361899999999999</v>
      </c>
      <c r="AD566">
        <v>-1.060297463545</v>
      </c>
      <c r="AE566">
        <v>-3.4685999999999799</v>
      </c>
      <c r="AF566">
        <v>3.3534488196396999</v>
      </c>
      <c r="AG566">
        <v>-1.060297463545</v>
      </c>
      <c r="AH566">
        <v>25.333157136673499</v>
      </c>
      <c r="AI566">
        <v>92.375964300894495</v>
      </c>
      <c r="AJ566">
        <v>82.459374662569402</v>
      </c>
      <c r="AK566">
        <v>25.576135364994801</v>
      </c>
      <c r="AL566">
        <v>89.205631656763103</v>
      </c>
      <c r="AM566">
        <v>83.361091664296495</v>
      </c>
      <c r="AN566">
        <v>1.0000000793421799</v>
      </c>
    </row>
    <row r="567" spans="1:40" x14ac:dyDescent="0.25">
      <c r="A567" t="str">
        <f>"20190312161235950"</f>
        <v>20190312161235950</v>
      </c>
      <c r="B567" t="str">
        <f>"1552378355946518"</f>
        <v>1552378355946518</v>
      </c>
      <c r="C567" t="s">
        <v>40</v>
      </c>
      <c r="D567">
        <v>5.1210990000000001</v>
      </c>
      <c r="E567">
        <v>0.50617659999999998</v>
      </c>
      <c r="F567" t="s">
        <v>42</v>
      </c>
      <c r="G567">
        <v>-273.47890000000001</v>
      </c>
      <c r="H567" s="1">
        <v>-3.7512499999999999E-6</v>
      </c>
      <c r="I567">
        <v>364.13990000000001</v>
      </c>
      <c r="J567">
        <v>-299.31880000000001</v>
      </c>
      <c r="K567">
        <v>1.0602940000000001</v>
      </c>
      <c r="L567">
        <v>367.65010000000001</v>
      </c>
      <c r="M567">
        <v>0.99988589999999999</v>
      </c>
      <c r="N567">
        <v>0</v>
      </c>
      <c r="O567">
        <v>-4.25545E-3</v>
      </c>
      <c r="P567">
        <v>0.99281640000000004</v>
      </c>
      <c r="Q567">
        <v>-6.211996E-4</v>
      </c>
      <c r="R567">
        <v>-0.11964569999999999</v>
      </c>
      <c r="S567">
        <v>2.973236</v>
      </c>
      <c r="T567">
        <v>-0.12117989999999999</v>
      </c>
      <c r="U567">
        <v>-0.40124510000000002</v>
      </c>
      <c r="V567">
        <v>0.1154168</v>
      </c>
      <c r="W567">
        <v>1.3802389999999999E-2</v>
      </c>
      <c r="X567">
        <v>0.99322129999999997</v>
      </c>
      <c r="Y567">
        <v>0.12941910000000001</v>
      </c>
      <c r="Z567">
        <v>-2.4517950000000001E-3</v>
      </c>
      <c r="AA567">
        <v>0.991587</v>
      </c>
      <c r="AB567">
        <v>33</v>
      </c>
      <c r="AC567">
        <v>25.8399</v>
      </c>
      <c r="AD567">
        <v>-1.06029775125</v>
      </c>
      <c r="AE567">
        <v>-3.51019999999999</v>
      </c>
      <c r="AF567">
        <v>3.3945842341299</v>
      </c>
      <c r="AG567">
        <v>-1.06029775125</v>
      </c>
      <c r="AH567">
        <v>25.811932024772499</v>
      </c>
      <c r="AI567">
        <v>92.332203580107503</v>
      </c>
      <c r="AJ567">
        <v>82.507901067857205</v>
      </c>
      <c r="AK567">
        <v>26.0557722644213</v>
      </c>
      <c r="AL567">
        <v>89.209156231729395</v>
      </c>
      <c r="AM567">
        <v>83.371700077314401</v>
      </c>
      <c r="AN567">
        <v>1.0000000472328101</v>
      </c>
    </row>
    <row r="568" spans="1:40" x14ac:dyDescent="0.25">
      <c r="A568" t="str">
        <f>"20190312161235969"</f>
        <v>20190312161235969</v>
      </c>
      <c r="B568" t="str">
        <f>"1552378355966038"</f>
        <v>1552378355966038</v>
      </c>
      <c r="C568" t="s">
        <v>40</v>
      </c>
      <c r="D568">
        <v>5.1474849999999996</v>
      </c>
      <c r="E568">
        <v>0.50635559999999902</v>
      </c>
      <c r="F568" t="s">
        <v>42</v>
      </c>
      <c r="G568">
        <v>-273.23140000000001</v>
      </c>
      <c r="H568" s="1">
        <v>-3.8605739999999996E-6</v>
      </c>
      <c r="I568">
        <v>364.12209999999999</v>
      </c>
      <c r="J568">
        <v>-299.03449999999998</v>
      </c>
      <c r="K568">
        <v>1.06029</v>
      </c>
      <c r="L568">
        <v>367.649</v>
      </c>
      <c r="M568">
        <v>0.99988639999999995</v>
      </c>
      <c r="N568">
        <v>0</v>
      </c>
      <c r="O568">
        <v>-4.1652879999999996E-3</v>
      </c>
      <c r="P568">
        <v>0.99282429999999999</v>
      </c>
      <c r="Q568">
        <v>-9.7805820000000003E-4</v>
      </c>
      <c r="R568">
        <v>-0.1195806</v>
      </c>
      <c r="S568">
        <v>2.9731749999999999</v>
      </c>
      <c r="T568">
        <v>-0.1208419</v>
      </c>
      <c r="U568">
        <v>-0.40206910000000001</v>
      </c>
      <c r="V568">
        <v>0.1154409</v>
      </c>
      <c r="W568">
        <v>1.344003E-2</v>
      </c>
      <c r="X568">
        <v>0.99322339999999998</v>
      </c>
      <c r="Y568">
        <v>0.12978120000000001</v>
      </c>
      <c r="Z568">
        <v>-2.4559360000000001E-3</v>
      </c>
      <c r="AA568">
        <v>0.99153959999999997</v>
      </c>
      <c r="AB568">
        <v>33</v>
      </c>
      <c r="AC568">
        <v>25.803099999999901</v>
      </c>
      <c r="AD568">
        <v>-1.060293860574</v>
      </c>
      <c r="AE568">
        <v>-3.5269000000000101</v>
      </c>
      <c r="AF568">
        <v>3.4137223214582</v>
      </c>
      <c r="AG568">
        <v>-1.060293860574</v>
      </c>
      <c r="AH568">
        <v>25.774844811724702</v>
      </c>
      <c r="AI568">
        <v>92.335265139977196</v>
      </c>
      <c r="AJ568">
        <v>82.455430130023899</v>
      </c>
      <c r="AK568">
        <v>26.021536238802</v>
      </c>
      <c r="AL568">
        <v>89.229919803323199</v>
      </c>
      <c r="AM568">
        <v>83.370342244391693</v>
      </c>
      <c r="AN568">
        <v>0.999999979053385</v>
      </c>
    </row>
    <row r="569" spans="1:40" x14ac:dyDescent="0.25">
      <c r="A569" t="str">
        <f>"20190312161235981"</f>
        <v>20190312161235981</v>
      </c>
      <c r="B569" t="str">
        <f>"1552378355976774"</f>
        <v>1552378355976774</v>
      </c>
      <c r="C569" t="s">
        <v>40</v>
      </c>
      <c r="D569">
        <v>5.1526379999999996</v>
      </c>
      <c r="E569">
        <v>0.50640629999999998</v>
      </c>
      <c r="F569" t="s">
        <v>42</v>
      </c>
      <c r="G569">
        <v>-273.2364</v>
      </c>
      <c r="H569" s="1">
        <v>-3.8534329999999997E-6</v>
      </c>
      <c r="I569">
        <v>364.15039999999999</v>
      </c>
      <c r="J569">
        <v>-298.86410000000001</v>
      </c>
      <c r="K569">
        <v>1.0602879999999999</v>
      </c>
      <c r="L569">
        <v>367.64830000000001</v>
      </c>
      <c r="M569">
        <v>0.99988659999999996</v>
      </c>
      <c r="N569">
        <v>0</v>
      </c>
      <c r="O569">
        <v>-4.1105509999999996E-3</v>
      </c>
      <c r="P569">
        <v>0.99283560000000004</v>
      </c>
      <c r="Q569">
        <v>-1.1836010000000001E-3</v>
      </c>
      <c r="R569">
        <v>-0.11948259999999999</v>
      </c>
      <c r="S569">
        <v>2.9729610000000002</v>
      </c>
      <c r="T569">
        <v>-0.1221873</v>
      </c>
      <c r="U569">
        <v>-0.40316770000000002</v>
      </c>
      <c r="V569">
        <v>0.1153975</v>
      </c>
      <c r="W569">
        <v>1.32312E-2</v>
      </c>
      <c r="X569">
        <v>0.99323119999999998</v>
      </c>
      <c r="Y569">
        <v>0.13020209999999999</v>
      </c>
      <c r="Z569">
        <v>-2.4942150000000001E-3</v>
      </c>
      <c r="AA569">
        <v>0.99148429999999999</v>
      </c>
      <c r="AB569">
        <v>33</v>
      </c>
      <c r="AC569">
        <v>25.627700000000001</v>
      </c>
      <c r="AD569">
        <v>-1.0602918534329999</v>
      </c>
      <c r="AE569">
        <v>-3.4979000000000098</v>
      </c>
      <c r="AF569">
        <v>3.3868241617641601</v>
      </c>
      <c r="AG569">
        <v>-1.0602918534329999</v>
      </c>
      <c r="AH569">
        <v>25.598846672161098</v>
      </c>
      <c r="AI569">
        <v>92.351341066552294</v>
      </c>
      <c r="AJ569">
        <v>82.463323150618606</v>
      </c>
      <c r="AK569">
        <v>25.843679065914401</v>
      </c>
      <c r="AL569">
        <v>89.241885909744497</v>
      </c>
      <c r="AM569">
        <v>83.372864070365296</v>
      </c>
      <c r="AN569">
        <v>0.99999993215656202</v>
      </c>
    </row>
    <row r="570" spans="1:40" x14ac:dyDescent="0.25">
      <c r="A570" t="str">
        <f>"20190312161235996"</f>
        <v>20190312161235996</v>
      </c>
      <c r="B570" t="str">
        <f>"1552378355986533"</f>
        <v>1552378355986533</v>
      </c>
      <c r="C570" t="s">
        <v>40</v>
      </c>
      <c r="D570">
        <v>5.1471099999999996</v>
      </c>
      <c r="E570">
        <v>0.50647319999999996</v>
      </c>
      <c r="F570" t="s">
        <v>42</v>
      </c>
      <c r="G570">
        <v>-273.13600000000002</v>
      </c>
      <c r="H570" s="1">
        <v>-3.8952450000000002E-6</v>
      </c>
      <c r="I570">
        <v>364.1576</v>
      </c>
      <c r="J570">
        <v>-298.66500000000002</v>
      </c>
      <c r="K570">
        <v>1.0602849999999999</v>
      </c>
      <c r="L570">
        <v>367.64749999999998</v>
      </c>
      <c r="M570">
        <v>0.99988699999999997</v>
      </c>
      <c r="N570">
        <v>0</v>
      </c>
      <c r="O570">
        <v>-4.0471090000000001E-3</v>
      </c>
      <c r="P570">
        <v>0.99284749999999999</v>
      </c>
      <c r="Q570">
        <v>-1.274606E-3</v>
      </c>
      <c r="R570">
        <v>-0.11938360000000001</v>
      </c>
      <c r="S570">
        <v>2.9729610000000002</v>
      </c>
      <c r="T570">
        <v>-0.1225195</v>
      </c>
      <c r="U570">
        <v>-0.40335080000000001</v>
      </c>
      <c r="V570">
        <v>0.11536159999999999</v>
      </c>
      <c r="W570">
        <v>1.313727E-2</v>
      </c>
      <c r="X570">
        <v>0.99323669999999997</v>
      </c>
      <c r="Y570">
        <v>0.1303243</v>
      </c>
      <c r="Z570">
        <v>-2.5060880000000001E-3</v>
      </c>
      <c r="AA570">
        <v>0.99146829999999997</v>
      </c>
      <c r="AB570">
        <v>33</v>
      </c>
      <c r="AC570">
        <v>25.529</v>
      </c>
      <c r="AD570">
        <v>-1.060288895245</v>
      </c>
      <c r="AE570">
        <v>-3.4898999999999698</v>
      </c>
      <c r="AF570">
        <v>3.3808171234951301</v>
      </c>
      <c r="AG570">
        <v>-1.060288895245</v>
      </c>
      <c r="AH570">
        <v>25.499737088871001</v>
      </c>
      <c r="AI570">
        <v>92.360377591932604</v>
      </c>
      <c r="AJ570">
        <v>82.447632835464006</v>
      </c>
      <c r="AK570">
        <v>25.744722343918198</v>
      </c>
      <c r="AL570">
        <v>89.247268232412495</v>
      </c>
      <c r="AM570">
        <v>83.374943792445293</v>
      </c>
      <c r="AN570">
        <v>1.0000000144222501</v>
      </c>
    </row>
    <row r="571" spans="1:40" x14ac:dyDescent="0.25">
      <c r="A571" t="str">
        <f>"20190312161236008"</f>
        <v>20190312161236008</v>
      </c>
      <c r="B571" t="str">
        <f>"1552378355996294"</f>
        <v>1552378355996294</v>
      </c>
      <c r="C571" t="s">
        <v>40</v>
      </c>
      <c r="D571">
        <v>5.1477320000000004</v>
      </c>
      <c r="E571">
        <v>0.50650050000000002</v>
      </c>
      <c r="F571" t="s">
        <v>42</v>
      </c>
      <c r="G571">
        <v>-272.87959999999998</v>
      </c>
      <c r="H571" s="1">
        <v>-4.0071189999999996E-6</v>
      </c>
      <c r="I571">
        <v>364.14690000000002</v>
      </c>
      <c r="J571">
        <v>-298.46839999999997</v>
      </c>
      <c r="K571">
        <v>1.0602860000000001</v>
      </c>
      <c r="L571">
        <v>367.64679999999998</v>
      </c>
      <c r="M571">
        <v>0.99988739999999998</v>
      </c>
      <c r="N571">
        <v>0</v>
      </c>
      <c r="O571">
        <v>-3.9846200000000003E-3</v>
      </c>
      <c r="P571">
        <v>0.99284570000000005</v>
      </c>
      <c r="Q571">
        <v>-1.4304159999999999E-3</v>
      </c>
      <c r="R571">
        <v>-0.1193983</v>
      </c>
      <c r="S571">
        <v>2.972931</v>
      </c>
      <c r="T571">
        <v>-0.1222458</v>
      </c>
      <c r="U571">
        <v>-0.40359499999999998</v>
      </c>
      <c r="V571">
        <v>0.11543829999999999</v>
      </c>
      <c r="W571">
        <v>1.297802E-2</v>
      </c>
      <c r="X571">
        <v>0.9932299</v>
      </c>
      <c r="Y571">
        <v>0.13046779999999999</v>
      </c>
      <c r="Z571">
        <v>-2.5059980000000002E-3</v>
      </c>
      <c r="AA571">
        <v>0.99144940000000004</v>
      </c>
      <c r="AB571">
        <v>33</v>
      </c>
      <c r="AC571">
        <v>25.5887999999999</v>
      </c>
      <c r="AD571">
        <v>-1.060290007119</v>
      </c>
      <c r="AE571">
        <v>-3.4998999999999598</v>
      </c>
      <c r="AF571">
        <v>3.3921827466366099</v>
      </c>
      <c r="AG571">
        <v>-1.060290007119</v>
      </c>
      <c r="AH571">
        <v>25.559466413358301</v>
      </c>
      <c r="AI571">
        <v>92.3548290172116</v>
      </c>
      <c r="AJ571">
        <v>82.440040387444597</v>
      </c>
      <c r="AK571">
        <v>25.805376223209102</v>
      </c>
      <c r="AL571">
        <v>89.256393376345102</v>
      </c>
      <c r="AM571">
        <v>83.370533230042099</v>
      </c>
      <c r="AN571">
        <v>1.000000032182</v>
      </c>
    </row>
    <row r="572" spans="1:40" x14ac:dyDescent="0.25">
      <c r="A572" t="str">
        <f>"20190312161236021"</f>
        <v>20190312161236021</v>
      </c>
      <c r="B572" t="str">
        <f>"1552378356016790"</f>
        <v>1552378356016790</v>
      </c>
      <c r="C572" t="s">
        <v>40</v>
      </c>
      <c r="D572">
        <v>5.0954040000000003</v>
      </c>
      <c r="E572">
        <v>0.50660819999999995</v>
      </c>
      <c r="F572" t="s">
        <v>42</v>
      </c>
      <c r="G572">
        <v>-272.55790000000002</v>
      </c>
      <c r="H572" s="1">
        <v>-4.1488370000000004E-6</v>
      </c>
      <c r="I572">
        <v>364.1259</v>
      </c>
      <c r="J572">
        <v>-298.28530000000001</v>
      </c>
      <c r="K572">
        <v>1.0602849999999999</v>
      </c>
      <c r="L572">
        <v>367.64609999999999</v>
      </c>
      <c r="M572">
        <v>0.99988759999999999</v>
      </c>
      <c r="N572">
        <v>0</v>
      </c>
      <c r="O572">
        <v>-3.9259519999999999E-3</v>
      </c>
      <c r="P572">
        <v>0.99288690000000002</v>
      </c>
      <c r="Q572">
        <v>-1.4640689999999999E-3</v>
      </c>
      <c r="R572">
        <v>-0.11905350000000001</v>
      </c>
      <c r="S572">
        <v>2.9728699999999999</v>
      </c>
      <c r="T572">
        <v>-0.1216532</v>
      </c>
      <c r="U572">
        <v>-0.40396120000000002</v>
      </c>
      <c r="V572">
        <v>0.11515160000000001</v>
      </c>
      <c r="W572">
        <v>1.294178E-2</v>
      </c>
      <c r="X572">
        <v>0.99326360000000002</v>
      </c>
      <c r="Y572">
        <v>0.1306494</v>
      </c>
      <c r="Z572">
        <v>-2.499977E-3</v>
      </c>
      <c r="AA572">
        <v>0.99142549999999996</v>
      </c>
      <c r="AB572">
        <v>33</v>
      </c>
      <c r="AC572">
        <v>25.7273999999999</v>
      </c>
      <c r="AD572">
        <v>-1.0602891488369901</v>
      </c>
      <c r="AE572">
        <v>-3.52019999999998</v>
      </c>
      <c r="AF572">
        <v>3.4134666425175801</v>
      </c>
      <c r="AG572">
        <v>-1.0602891488369901</v>
      </c>
      <c r="AH572">
        <v>25.698177925459799</v>
      </c>
      <c r="AI572">
        <v>92.3420964712612</v>
      </c>
      <c r="AJ572">
        <v>82.433742563393594</v>
      </c>
      <c r="AK572">
        <v>25.9455644819556</v>
      </c>
      <c r="AL572">
        <v>89.2584699109306</v>
      </c>
      <c r="AM572">
        <v>83.387074393993103</v>
      </c>
      <c r="AN572">
        <v>0.99999997986854405</v>
      </c>
    </row>
    <row r="573" spans="1:40" x14ac:dyDescent="0.25">
      <c r="A573" t="str">
        <f>"20190312161236037"</f>
        <v>20190312161236037</v>
      </c>
      <c r="B573" t="str">
        <f>"1552378356026549"</f>
        <v>1552378356026549</v>
      </c>
      <c r="C573" t="s">
        <v>40</v>
      </c>
      <c r="D573">
        <v>5.0937190000000001</v>
      </c>
      <c r="E573">
        <v>0.50660819999999995</v>
      </c>
      <c r="F573" t="s">
        <v>42</v>
      </c>
      <c r="G573">
        <v>-272.09769999999997</v>
      </c>
      <c r="H573" s="1">
        <v>-4.3531090000000003E-6</v>
      </c>
      <c r="I573">
        <v>364.0874</v>
      </c>
      <c r="J573">
        <v>-298.06279999999998</v>
      </c>
      <c r="K573">
        <v>1.0602849999999999</v>
      </c>
      <c r="L573">
        <v>367.64530000000002</v>
      </c>
      <c r="M573">
        <v>0.99988770000000005</v>
      </c>
      <c r="N573">
        <v>0</v>
      </c>
      <c r="O573">
        <v>-3.8548810000000001E-3</v>
      </c>
      <c r="P573">
        <v>0.99293549999999997</v>
      </c>
      <c r="Q573">
        <v>-1.4039020000000001E-3</v>
      </c>
      <c r="R573">
        <v>-0.1186456</v>
      </c>
      <c r="S573">
        <v>2.972931</v>
      </c>
      <c r="T573">
        <v>-0.12036819999999999</v>
      </c>
      <c r="U573">
        <v>-0.40399170000000001</v>
      </c>
      <c r="V573">
        <v>0.11481420000000001</v>
      </c>
      <c r="W573">
        <v>1.299852E-2</v>
      </c>
      <c r="X573">
        <v>0.99330189999999996</v>
      </c>
      <c r="Y573">
        <v>0.13072919999999999</v>
      </c>
      <c r="Z573">
        <v>-2.478011E-3</v>
      </c>
      <c r="AA573">
        <v>0.99141500000000005</v>
      </c>
      <c r="AB573">
        <v>33</v>
      </c>
      <c r="AC573">
        <v>25.9651</v>
      </c>
      <c r="AD573">
        <v>-1.0602893531090001</v>
      </c>
      <c r="AE573">
        <v>-3.5579000000000098</v>
      </c>
      <c r="AF573">
        <v>3.4521203329248999</v>
      </c>
      <c r="AG573">
        <v>-1.0602893531090001</v>
      </c>
      <c r="AH573">
        <v>25.936171977501498</v>
      </c>
      <c r="AI573">
        <v>92.320546886197306</v>
      </c>
      <c r="AJ573">
        <v>82.418458138978394</v>
      </c>
      <c r="AK573">
        <v>26.186377472874</v>
      </c>
      <c r="AL573">
        <v>89.255218662509094</v>
      </c>
      <c r="AM573">
        <v>83.406531731275706</v>
      </c>
      <c r="AN573">
        <v>0.99999996329371899</v>
      </c>
    </row>
    <row r="574" spans="1:40" x14ac:dyDescent="0.25">
      <c r="A574" t="str">
        <f>"20190312161236050"</f>
        <v>20190312161236050</v>
      </c>
      <c r="B574" t="str">
        <f>"1552378356046069"</f>
        <v>1552378356046069</v>
      </c>
      <c r="C574" t="s">
        <v>40</v>
      </c>
      <c r="D574">
        <v>5.1021400000000003</v>
      </c>
      <c r="E574">
        <v>0.47753640000000003</v>
      </c>
      <c r="F574" t="s">
        <v>42</v>
      </c>
      <c r="G574">
        <v>-271.82990000000001</v>
      </c>
      <c r="H574" s="1">
        <v>-4.4671470000000002E-6</v>
      </c>
      <c r="I574">
        <v>364.09219999999999</v>
      </c>
      <c r="J574">
        <v>-297.8639</v>
      </c>
      <c r="K574">
        <v>1.060284</v>
      </c>
      <c r="L574">
        <v>367.64460000000003</v>
      </c>
      <c r="M574">
        <v>0.99988809999999995</v>
      </c>
      <c r="N574">
        <v>0</v>
      </c>
      <c r="O574">
        <v>-3.791324E-3</v>
      </c>
      <c r="P574">
        <v>0.99295339999999999</v>
      </c>
      <c r="Q574">
        <v>-1.5411820000000001E-3</v>
      </c>
      <c r="R574">
        <v>-0.11849609999999999</v>
      </c>
      <c r="S574">
        <v>2.9730530000000002</v>
      </c>
      <c r="T574">
        <v>-0.1201653</v>
      </c>
      <c r="U574">
        <v>-0.40267940000000002</v>
      </c>
      <c r="V574">
        <v>0.1147278</v>
      </c>
      <c r="W574">
        <v>1.2858339999999999E-2</v>
      </c>
      <c r="X574">
        <v>0.99331369999999997</v>
      </c>
      <c r="Y574">
        <v>0.13035769999999999</v>
      </c>
      <c r="Z574">
        <v>-2.4688959999999999E-3</v>
      </c>
      <c r="AA574">
        <v>0.99146400000000001</v>
      </c>
      <c r="AB574">
        <v>32</v>
      </c>
      <c r="AC574">
        <v>26.033999999999899</v>
      </c>
      <c r="AD574">
        <v>-1.0602884671470001</v>
      </c>
      <c r="AE574">
        <v>-3.5524000000000302</v>
      </c>
      <c r="AF574">
        <v>3.4480460859784401</v>
      </c>
      <c r="AG574">
        <v>-1.0602884671470001</v>
      </c>
      <c r="AH574">
        <v>26.004936775470501</v>
      </c>
      <c r="AI574">
        <v>92.314568928898495</v>
      </c>
      <c r="AJ574">
        <v>82.447095085567398</v>
      </c>
      <c r="AK574">
        <v>26.253951514787602</v>
      </c>
      <c r="AL574">
        <v>89.263251050976905</v>
      </c>
      <c r="AM574">
        <v>83.411527388836404</v>
      </c>
      <c r="AN574">
        <v>0.999999955804041</v>
      </c>
    </row>
    <row r="575" spans="1:40" x14ac:dyDescent="0.25">
      <c r="A575" t="str">
        <f>"20190312161236064"</f>
        <v>20190312161236064</v>
      </c>
      <c r="B575" t="str">
        <f>"1552378356056805"</f>
        <v>1552378356056805</v>
      </c>
      <c r="C575" t="s">
        <v>40</v>
      </c>
      <c r="D575">
        <v>5.1191040000000001</v>
      </c>
      <c r="E575">
        <v>0.47497620000000002</v>
      </c>
      <c r="F575" t="s">
        <v>42</v>
      </c>
      <c r="G575">
        <v>-244.2988</v>
      </c>
      <c r="H575" s="1">
        <v>-3.5789059999999999E-6</v>
      </c>
      <c r="I575">
        <v>364.52330000000001</v>
      </c>
      <c r="J575">
        <v>-297.65480000000002</v>
      </c>
      <c r="K575">
        <v>1.0602929999999999</v>
      </c>
      <c r="L575">
        <v>367.64389999999997</v>
      </c>
      <c r="M575">
        <v>0.99988840000000001</v>
      </c>
      <c r="N575">
        <v>0</v>
      </c>
      <c r="O575">
        <v>-3.7244309999999998E-3</v>
      </c>
      <c r="P575">
        <v>0.99295670000000003</v>
      </c>
      <c r="Q575">
        <v>-1.5059470000000001E-3</v>
      </c>
      <c r="R575">
        <v>-0.11846959999999999</v>
      </c>
      <c r="S575">
        <v>3.0003359999999999</v>
      </c>
      <c r="T575">
        <v>-5.9389829999999998E-2</v>
      </c>
      <c r="U575">
        <v>-0.1748352</v>
      </c>
      <c r="V575">
        <v>0.11476749999999999</v>
      </c>
      <c r="W575">
        <v>1.289028E-2</v>
      </c>
      <c r="X575">
        <v>0.99330870000000004</v>
      </c>
      <c r="Y575">
        <v>5.4444380000000001E-2</v>
      </c>
      <c r="Z575">
        <v>-4.6467870000000002E-4</v>
      </c>
      <c r="AA575">
        <v>0.99851670000000003</v>
      </c>
      <c r="AB575">
        <v>32</v>
      </c>
      <c r="AC575">
        <v>53.356000000000002</v>
      </c>
      <c r="AD575">
        <v>-1.0602965789059999</v>
      </c>
      <c r="AE575">
        <v>-3.1205999999999601</v>
      </c>
      <c r="AF575">
        <v>2.92068736006346</v>
      </c>
      <c r="AG575">
        <v>-1.0602965789059999</v>
      </c>
      <c r="AH575">
        <v>53.346258862969002</v>
      </c>
      <c r="AI575">
        <v>91.136944033018494</v>
      </c>
      <c r="AJ575">
        <v>86.866206592879607</v>
      </c>
      <c r="AK575">
        <v>53.436672596311404</v>
      </c>
      <c r="AL575">
        <v>89.261420872114698</v>
      </c>
      <c r="AM575">
        <v>83.409234708027398</v>
      </c>
      <c r="AN575">
        <v>0.99999995593520796</v>
      </c>
    </row>
    <row r="576" spans="1:40" x14ac:dyDescent="0.25">
      <c r="A576" t="str">
        <f>"20190312161236078"</f>
        <v>20190312161236078</v>
      </c>
      <c r="B576" t="str">
        <f>"1552378356066566"</f>
        <v>1552378356066566</v>
      </c>
      <c r="C576" t="s">
        <v>40</v>
      </c>
      <c r="D576">
        <v>5.105283</v>
      </c>
      <c r="E576">
        <v>0.47395310000000002</v>
      </c>
      <c r="F576" t="s">
        <v>42</v>
      </c>
      <c r="G576">
        <v>-243.55340000000001</v>
      </c>
      <c r="H576" s="1">
        <v>-3.8711589999999998E-6</v>
      </c>
      <c r="I576">
        <v>364.86219999999997</v>
      </c>
      <c r="J576">
        <v>-297.47739999999999</v>
      </c>
      <c r="K576">
        <v>1.0602910000000001</v>
      </c>
      <c r="L576">
        <v>367.64330000000001</v>
      </c>
      <c r="M576">
        <v>0.99988869999999996</v>
      </c>
      <c r="N576">
        <v>0</v>
      </c>
      <c r="O576">
        <v>-3.667675E-3</v>
      </c>
      <c r="P576">
        <v>0.99298129999999996</v>
      </c>
      <c r="Q576">
        <v>-1.6816429999999901E-3</v>
      </c>
      <c r="R576">
        <v>-0.1182626</v>
      </c>
      <c r="S576">
        <v>3.0027469999999998</v>
      </c>
      <c r="T576">
        <v>-5.8848739999999997E-2</v>
      </c>
      <c r="U576">
        <v>-0.15438840000000001</v>
      </c>
      <c r="V576">
        <v>0.11461689999999999</v>
      </c>
      <c r="W576">
        <v>1.271196E-2</v>
      </c>
      <c r="X576">
        <v>0.99332849999999995</v>
      </c>
      <c r="Y576">
        <v>4.7675919999999997E-2</v>
      </c>
      <c r="Z576">
        <v>-3.9499879999999998E-4</v>
      </c>
      <c r="AA576">
        <v>0.99886280000000005</v>
      </c>
      <c r="AB576">
        <v>32</v>
      </c>
      <c r="AC576">
        <v>53.9239999999999</v>
      </c>
      <c r="AD576">
        <v>-1.0602948711589999</v>
      </c>
      <c r="AE576">
        <v>-2.7811000000000301</v>
      </c>
      <c r="AF576">
        <v>2.58228917250826</v>
      </c>
      <c r="AG576">
        <v>-1.0602948711589999</v>
      </c>
      <c r="AH576">
        <v>53.913049674848502</v>
      </c>
      <c r="AI576">
        <v>91.125387122220204</v>
      </c>
      <c r="AJ576">
        <v>87.2577829614373</v>
      </c>
      <c r="AK576">
        <v>53.985269915292101</v>
      </c>
      <c r="AL576">
        <v>89.271638775054399</v>
      </c>
      <c r="AM576">
        <v>83.417937339613999</v>
      </c>
      <c r="AN576">
        <v>1.0000000683024399</v>
      </c>
    </row>
    <row r="577" spans="1:40" x14ac:dyDescent="0.25">
      <c r="A577" t="str">
        <f>"20190312161236093"</f>
        <v>20190312161236093</v>
      </c>
      <c r="B577" t="str">
        <f>"1552378356086085"</f>
        <v>1552378356086085</v>
      </c>
      <c r="C577" t="s">
        <v>40</v>
      </c>
      <c r="D577">
        <v>5.1303650000000003</v>
      </c>
      <c r="E577">
        <v>0.47297359999999999</v>
      </c>
      <c r="F577" t="s">
        <v>42</v>
      </c>
      <c r="G577">
        <v>-245.95009999999999</v>
      </c>
      <c r="H577" s="1">
        <v>-2.728991E-6</v>
      </c>
      <c r="I577">
        <v>365.1456</v>
      </c>
      <c r="J577">
        <v>-297.23939999999999</v>
      </c>
      <c r="K577">
        <v>1.0602910000000001</v>
      </c>
      <c r="L577">
        <v>367.64249999999998</v>
      </c>
      <c r="M577">
        <v>0.99988909999999998</v>
      </c>
      <c r="N577">
        <v>0</v>
      </c>
      <c r="O577">
        <v>-3.5914839999999998E-3</v>
      </c>
      <c r="P577">
        <v>0.99296479999999998</v>
      </c>
      <c r="Q577">
        <v>-1.6266780000000001E-3</v>
      </c>
      <c r="R577">
        <v>-0.11840150000000001</v>
      </c>
      <c r="S577">
        <v>3.0037229999999999</v>
      </c>
      <c r="T577">
        <v>-6.1808589999999997E-2</v>
      </c>
      <c r="U577">
        <v>-0.14559939999999999</v>
      </c>
      <c r="V577">
        <v>0.1148314</v>
      </c>
      <c r="W577">
        <v>1.276298E-2</v>
      </c>
      <c r="X577">
        <v>0.99330300000000005</v>
      </c>
      <c r="Y577">
        <v>4.4819449999999997E-2</v>
      </c>
      <c r="Z577">
        <v>-3.8695500000000002E-4</v>
      </c>
      <c r="AA577">
        <v>0.99899499999999997</v>
      </c>
      <c r="AB577">
        <v>32</v>
      </c>
      <c r="AC577">
        <v>51.289299999999997</v>
      </c>
      <c r="AD577">
        <v>-1.0602937289909999</v>
      </c>
      <c r="AE577">
        <v>-2.4968999999999801</v>
      </c>
      <c r="AF577">
        <v>2.3116743580258001</v>
      </c>
      <c r="AG577">
        <v>-1.0602937289909999</v>
      </c>
      <c r="AH577">
        <v>51.276075876709498</v>
      </c>
      <c r="AI577">
        <v>91.183399508085699</v>
      </c>
      <c r="AJ577">
        <v>87.418687791269903</v>
      </c>
      <c r="AK577">
        <v>51.339108079936103</v>
      </c>
      <c r="AL577">
        <v>89.268715255232905</v>
      </c>
      <c r="AM577">
        <v>83.405559919678197</v>
      </c>
      <c r="AN577">
        <v>0.99999999694672004</v>
      </c>
    </row>
    <row r="578" spans="1:40" x14ac:dyDescent="0.25">
      <c r="A578" t="str">
        <f>"20190312161236109"</f>
        <v>20190312161236109</v>
      </c>
      <c r="B578" t="str">
        <f>"1552378356096821"</f>
        <v>1552378356096821</v>
      </c>
      <c r="C578" t="s">
        <v>40</v>
      </c>
      <c r="D578">
        <v>5.0737389999999998</v>
      </c>
      <c r="E578">
        <v>0.47308070000000002</v>
      </c>
      <c r="F578" t="s">
        <v>42</v>
      </c>
      <c r="G578">
        <v>-245.18960000000001</v>
      </c>
      <c r="H578" s="1">
        <v>-3.0287759999999999E-6</v>
      </c>
      <c r="I578">
        <v>365.25080000000003</v>
      </c>
      <c r="J578">
        <v>-297.02100000000002</v>
      </c>
      <c r="K578">
        <v>1.0602929999999999</v>
      </c>
      <c r="L578">
        <v>367.64179999999999</v>
      </c>
      <c r="M578">
        <v>0.99988920000000003</v>
      </c>
      <c r="N578">
        <v>0</v>
      </c>
      <c r="O578">
        <v>-3.5210160000000001E-3</v>
      </c>
      <c r="P578">
        <v>0.99299040000000005</v>
      </c>
      <c r="Q578">
        <v>-1.9319090000000001E-3</v>
      </c>
      <c r="R578">
        <v>-0.1181801</v>
      </c>
      <c r="S578">
        <v>3.0046689999999998</v>
      </c>
      <c r="T578">
        <v>-6.1207289999999998E-2</v>
      </c>
      <c r="U578">
        <v>-0.1380615</v>
      </c>
      <c r="V578">
        <v>0.1146802</v>
      </c>
      <c r="W578">
        <v>1.245544E-2</v>
      </c>
      <c r="X578">
        <v>0.9933244</v>
      </c>
      <c r="Y578">
        <v>4.237457E-2</v>
      </c>
      <c r="Z578">
        <v>-3.5964169999999998E-4</v>
      </c>
      <c r="AA578">
        <v>0.99910180000000004</v>
      </c>
      <c r="AB578">
        <v>32</v>
      </c>
      <c r="AC578">
        <v>51.831399999999903</v>
      </c>
      <c r="AD578">
        <v>-1.0602960287759999</v>
      </c>
      <c r="AE578">
        <v>-2.39099999999996</v>
      </c>
      <c r="AF578">
        <v>2.2075450570217701</v>
      </c>
      <c r="AG578">
        <v>-1.0602960287759999</v>
      </c>
      <c r="AH578">
        <v>51.817859894470601</v>
      </c>
      <c r="AI578">
        <v>91.171159521212005</v>
      </c>
      <c r="AJ578">
        <v>87.560559641064998</v>
      </c>
      <c r="AK578">
        <v>51.875698423157701</v>
      </c>
      <c r="AL578">
        <v>89.286337420318404</v>
      </c>
      <c r="AM578">
        <v>83.4143072136021</v>
      </c>
      <c r="AN578">
        <v>1.00000002494649</v>
      </c>
    </row>
    <row r="579" spans="1:40" x14ac:dyDescent="0.25">
      <c r="A579" t="str">
        <f>"20190312161236127"</f>
        <v>20190312161236127</v>
      </c>
      <c r="B579" t="str">
        <f>"1552378356116342"</f>
        <v>1552378356116342</v>
      </c>
      <c r="C579" t="s">
        <v>40</v>
      </c>
      <c r="D579">
        <v>5.1117119999999998</v>
      </c>
      <c r="E579">
        <v>0.4736533</v>
      </c>
      <c r="F579" t="s">
        <v>42</v>
      </c>
      <c r="G579">
        <v>-243.49950000000001</v>
      </c>
      <c r="H579" s="1">
        <v>-3.8409909999999997E-6</v>
      </c>
      <c r="I579">
        <v>365.17590000000001</v>
      </c>
      <c r="J579">
        <v>-296.75540000000001</v>
      </c>
      <c r="K579">
        <v>1.060298</v>
      </c>
      <c r="L579">
        <v>367.64089999999999</v>
      </c>
      <c r="M579">
        <v>0.99988969999999999</v>
      </c>
      <c r="N579">
        <v>0</v>
      </c>
      <c r="O579">
        <v>-3.4351730000000001E-3</v>
      </c>
      <c r="P579">
        <v>0.99296019999999896</v>
      </c>
      <c r="Q579">
        <v>-2.121001E-3</v>
      </c>
      <c r="R579">
        <v>-0.1184308</v>
      </c>
      <c r="S579">
        <v>3.004578</v>
      </c>
      <c r="T579">
        <v>-5.952263E-2</v>
      </c>
      <c r="U579">
        <v>-0.13842769999999999</v>
      </c>
      <c r="V579">
        <v>0.1150163</v>
      </c>
      <c r="W579">
        <v>1.2261859999999999E-2</v>
      </c>
      <c r="X579">
        <v>0.9932879</v>
      </c>
      <c r="Y579">
        <v>4.2583629999999997E-2</v>
      </c>
      <c r="Z579">
        <v>-3.5352380000000001E-4</v>
      </c>
      <c r="AA579">
        <v>0.9990928</v>
      </c>
      <c r="AB579">
        <v>32</v>
      </c>
      <c r="AC579">
        <v>53.255899999999997</v>
      </c>
      <c r="AD579">
        <v>-1.0603018409910001</v>
      </c>
      <c r="AE579">
        <v>-2.4649999999999701</v>
      </c>
      <c r="AF579">
        <v>2.2811208397348999</v>
      </c>
      <c r="AG579">
        <v>-1.0603018409910001</v>
      </c>
      <c r="AH579">
        <v>53.242994383208803</v>
      </c>
      <c r="AI579">
        <v>91.1398144415394</v>
      </c>
      <c r="AJ579">
        <v>87.5467436192734</v>
      </c>
      <c r="AK579">
        <v>53.302384591778697</v>
      </c>
      <c r="AL579">
        <v>89.297429550757599</v>
      </c>
      <c r="AM579">
        <v>83.394935865431094</v>
      </c>
      <c r="AN579">
        <v>0.99999997738137902</v>
      </c>
    </row>
    <row r="580" spans="1:40" x14ac:dyDescent="0.25">
      <c r="A580" t="str">
        <f>"20190312161236141"</f>
        <v>20190312161236141</v>
      </c>
      <c r="B580" t="str">
        <f>"1552378356135861"</f>
        <v>1552378356135861</v>
      </c>
      <c r="C580" t="s">
        <v>40</v>
      </c>
      <c r="D580">
        <v>5.1020760000000003</v>
      </c>
      <c r="E580">
        <v>0.47391680000000003</v>
      </c>
      <c r="F580" t="s">
        <v>42</v>
      </c>
      <c r="G580">
        <v>-238.51759999999999</v>
      </c>
      <c r="H580" s="1">
        <v>-1.7585810000000001E-6</v>
      </c>
      <c r="I580">
        <v>364.85070000000002</v>
      </c>
      <c r="J580">
        <v>-296.55880000000002</v>
      </c>
      <c r="K580">
        <v>1.060297</v>
      </c>
      <c r="L580">
        <v>367.64030000000002</v>
      </c>
      <c r="M580">
        <v>0.99988999999999995</v>
      </c>
      <c r="N580">
        <v>0</v>
      </c>
      <c r="O580">
        <v>-3.372098E-3</v>
      </c>
      <c r="P580">
        <v>0.99295750000000005</v>
      </c>
      <c r="Q580">
        <v>-2.0684620000000001E-3</v>
      </c>
      <c r="R580">
        <v>-0.11845550000000001</v>
      </c>
      <c r="S580">
        <v>3.0039669999999998</v>
      </c>
      <c r="T580">
        <v>-5.469131E-2</v>
      </c>
      <c r="U580">
        <v>-0.14392089999999999</v>
      </c>
      <c r="V580">
        <v>0.1151037</v>
      </c>
      <c r="W580">
        <v>1.231145E-2</v>
      </c>
      <c r="X580">
        <v>0.99327719999999997</v>
      </c>
      <c r="Y580">
        <v>4.4479739999999997E-2</v>
      </c>
      <c r="Z580">
        <v>-3.4328309999999998E-4</v>
      </c>
      <c r="AA580">
        <v>0.99901019999999896</v>
      </c>
      <c r="AB580">
        <v>32</v>
      </c>
      <c r="AC580">
        <v>58.041200000000003</v>
      </c>
      <c r="AD580">
        <v>-1.060298758581</v>
      </c>
      <c r="AE580">
        <v>-2.7896000000000001</v>
      </c>
      <c r="AF580">
        <v>2.59297976547023</v>
      </c>
      <c r="AG580">
        <v>-1.060298758581</v>
      </c>
      <c r="AH580">
        <v>58.030956196414003</v>
      </c>
      <c r="AI580">
        <v>91.045706534991396</v>
      </c>
      <c r="AJ580">
        <v>87.441571678867902</v>
      </c>
      <c r="AK580">
        <v>58.0985340141359</v>
      </c>
      <c r="AL580">
        <v>89.294588064893802</v>
      </c>
      <c r="AM580">
        <v>83.389890552007998</v>
      </c>
      <c r="AN580">
        <v>1.00000001479731</v>
      </c>
    </row>
    <row r="581" spans="1:40" x14ac:dyDescent="0.25">
      <c r="A581" t="str">
        <f>"20190312161236160"</f>
        <v>20190312161236160</v>
      </c>
      <c r="B581" t="str">
        <f>"1552378356156358"</f>
        <v>1552378356156358</v>
      </c>
      <c r="C581" t="s">
        <v>40</v>
      </c>
      <c r="D581">
        <v>5.1118540000000001</v>
      </c>
      <c r="E581">
        <v>0.47420449999999997</v>
      </c>
      <c r="F581" t="s">
        <v>42</v>
      </c>
      <c r="G581">
        <v>-235.16739999999999</v>
      </c>
      <c r="H581" s="1">
        <v>-2.9511699999999998E-6</v>
      </c>
      <c r="I581">
        <v>364.6533</v>
      </c>
      <c r="J581">
        <v>-296.28890000000001</v>
      </c>
      <c r="K581">
        <v>1.0602959999999999</v>
      </c>
      <c r="L581">
        <v>367.6395</v>
      </c>
      <c r="M581">
        <v>0.99989030000000001</v>
      </c>
      <c r="N581">
        <v>0</v>
      </c>
      <c r="O581">
        <v>-3.284941E-3</v>
      </c>
      <c r="P581">
        <v>0.992946</v>
      </c>
      <c r="Q581">
        <v>-2.248688E-3</v>
      </c>
      <c r="R581">
        <v>-0.1185471</v>
      </c>
      <c r="S581">
        <v>3.0037539999999998</v>
      </c>
      <c r="T581">
        <v>-5.1878210000000001E-2</v>
      </c>
      <c r="U581">
        <v>-0.14614869999999999</v>
      </c>
      <c r="V581">
        <v>0.1152821</v>
      </c>
      <c r="W581">
        <v>1.2127880000000001E-2</v>
      </c>
      <c r="X581">
        <v>0.9932588</v>
      </c>
      <c r="Y581">
        <v>4.530994E-2</v>
      </c>
      <c r="Z581">
        <v>-3.3431489999999998E-4</v>
      </c>
      <c r="AA581">
        <v>0.99897290000000005</v>
      </c>
      <c r="AB581">
        <v>32</v>
      </c>
      <c r="AC581">
        <v>61.121499999999997</v>
      </c>
      <c r="AD581">
        <v>-1.0602989511699901</v>
      </c>
      <c r="AE581">
        <v>-2.98619999999999</v>
      </c>
      <c r="AF581">
        <v>2.7845464548191798</v>
      </c>
      <c r="AG581">
        <v>-1.0602989511699901</v>
      </c>
      <c r="AH581">
        <v>61.112633703119698</v>
      </c>
      <c r="AI581">
        <v>90.992947146337897</v>
      </c>
      <c r="AJ581">
        <v>87.391169733371697</v>
      </c>
      <c r="AK581">
        <v>61.1852264109285</v>
      </c>
      <c r="AL581">
        <v>89.3051066579701</v>
      </c>
      <c r="AM581">
        <v>83.379614821407401</v>
      </c>
      <c r="AN581">
        <v>1.00000004591557</v>
      </c>
    </row>
    <row r="582" spans="1:40" x14ac:dyDescent="0.25">
      <c r="A582" t="str">
        <f>"20190312161236172"</f>
        <v>20190312161236172</v>
      </c>
      <c r="B582" t="str">
        <f>"1552378356166118"</f>
        <v>1552378356166118</v>
      </c>
      <c r="C582" t="s">
        <v>40</v>
      </c>
      <c r="D582">
        <v>5.1030419999999896</v>
      </c>
      <c r="E582">
        <v>0.4743289</v>
      </c>
      <c r="F582" t="s">
        <v>42</v>
      </c>
      <c r="G582">
        <v>-235.7475</v>
      </c>
      <c r="H582" s="1">
        <v>-2.757798E-6</v>
      </c>
      <c r="I582">
        <v>364.63810000000001</v>
      </c>
      <c r="J582">
        <v>-296.11040000000003</v>
      </c>
      <c r="K582">
        <v>1.060297</v>
      </c>
      <c r="L582">
        <v>367.63900000000001</v>
      </c>
      <c r="M582">
        <v>0.99989050000000002</v>
      </c>
      <c r="N582">
        <v>0</v>
      </c>
      <c r="O582">
        <v>-3.2273530000000001E-3</v>
      </c>
      <c r="P582">
        <v>0.9929384</v>
      </c>
      <c r="Q582">
        <v>-2.445212E-3</v>
      </c>
      <c r="R582">
        <v>-0.11860660000000001</v>
      </c>
      <c r="S582">
        <v>3.0034179999999999</v>
      </c>
      <c r="T582">
        <v>-5.2600620000000001E-2</v>
      </c>
      <c r="U582">
        <v>-0.14889530000000001</v>
      </c>
      <c r="V582">
        <v>0.115399</v>
      </c>
      <c r="W582">
        <v>1.1928579999999999E-2</v>
      </c>
      <c r="X582">
        <v>0.99324760000000001</v>
      </c>
      <c r="Y582">
        <v>4.6283890000000001E-2</v>
      </c>
      <c r="Z582">
        <v>-3.4853059999999999E-4</v>
      </c>
      <c r="AA582">
        <v>0.99892820000000004</v>
      </c>
      <c r="AB582">
        <v>32</v>
      </c>
      <c r="AC582">
        <v>60.362900000000003</v>
      </c>
      <c r="AD582">
        <v>-1.060299757798</v>
      </c>
      <c r="AE582">
        <v>-3.0009000000000001</v>
      </c>
      <c r="AF582">
        <v>2.8051882723113102</v>
      </c>
      <c r="AG582">
        <v>-1.060299757798</v>
      </c>
      <c r="AH582">
        <v>60.353695681881703</v>
      </c>
      <c r="AI582">
        <v>91.005389276210906</v>
      </c>
      <c r="AJ582">
        <v>87.338856258464403</v>
      </c>
      <c r="AK582">
        <v>60.428154855834201</v>
      </c>
      <c r="AL582">
        <v>89.3165265062419</v>
      </c>
      <c r="AM582">
        <v>83.372887145445702</v>
      </c>
      <c r="AN582">
        <v>1.00000000756378</v>
      </c>
    </row>
    <row r="583" spans="1:40" x14ac:dyDescent="0.25">
      <c r="A583" t="str">
        <f>"20190312161236184"</f>
        <v>20190312161236184</v>
      </c>
      <c r="B583" t="str">
        <f>"1552378356175878"</f>
        <v>1552378356175878</v>
      </c>
      <c r="C583" t="s">
        <v>40</v>
      </c>
      <c r="D583">
        <v>5.1673039999999997</v>
      </c>
      <c r="E583">
        <v>0.47435040000000001</v>
      </c>
      <c r="F583" t="s">
        <v>42</v>
      </c>
      <c r="G583">
        <v>-236.29990000000001</v>
      </c>
      <c r="H583" s="1">
        <v>-2.566175E-6</v>
      </c>
      <c r="I583">
        <v>364.65179999999998</v>
      </c>
      <c r="J583">
        <v>-295.92739999999998</v>
      </c>
      <c r="K583">
        <v>1.060297</v>
      </c>
      <c r="L583">
        <v>367.63839999999999</v>
      </c>
      <c r="M583">
        <v>0.99989070000000002</v>
      </c>
      <c r="N583">
        <v>0</v>
      </c>
      <c r="O583">
        <v>-3.1685699999999999E-3</v>
      </c>
      <c r="P583">
        <v>0.99292619999999998</v>
      </c>
      <c r="Q583">
        <v>-2.3652349999999998E-3</v>
      </c>
      <c r="R583">
        <v>-0.1187115</v>
      </c>
      <c r="S583">
        <v>3.0032649999999999</v>
      </c>
      <c r="T583">
        <v>-5.3240780000000001E-2</v>
      </c>
      <c r="U583">
        <v>-0.14999390000000001</v>
      </c>
      <c r="V583">
        <v>0.1155619</v>
      </c>
      <c r="W583">
        <v>1.200582E-2</v>
      </c>
      <c r="X583">
        <v>0.99322770000000005</v>
      </c>
      <c r="Y583">
        <v>4.670941E-2</v>
      </c>
      <c r="Z583">
        <v>-3.575966E-4</v>
      </c>
      <c r="AA583">
        <v>0.99890849999999998</v>
      </c>
      <c r="AB583">
        <v>32</v>
      </c>
      <c r="AC583">
        <v>59.627499999999898</v>
      </c>
      <c r="AD583">
        <v>-1.0602995661750001</v>
      </c>
      <c r="AE583">
        <v>-2.9866000000000001</v>
      </c>
      <c r="AF583">
        <v>2.7967492693268801</v>
      </c>
      <c r="AG583">
        <v>-1.0602995661750001</v>
      </c>
      <c r="AH583">
        <v>59.617860766158799</v>
      </c>
      <c r="AI583">
        <v>91.017775052068203</v>
      </c>
      <c r="AJ583">
        <v>87.314151564122</v>
      </c>
      <c r="AK583">
        <v>59.692841815234502</v>
      </c>
      <c r="AL583">
        <v>89.312100643163902</v>
      </c>
      <c r="AM583">
        <v>83.363483763160104</v>
      </c>
      <c r="AN583">
        <v>0.99999997824638598</v>
      </c>
    </row>
    <row r="584" spans="1:40" x14ac:dyDescent="0.25">
      <c r="A584" t="str">
        <f>"20190312161236196"</f>
        <v>20190312161236196</v>
      </c>
      <c r="B584" t="str">
        <f>"1552378356186613"</f>
        <v>1552378356186613</v>
      </c>
      <c r="C584" t="s">
        <v>40</v>
      </c>
      <c r="D584">
        <v>5.1397300000000001</v>
      </c>
      <c r="E584">
        <v>0.4744758</v>
      </c>
      <c r="F584" t="s">
        <v>42</v>
      </c>
      <c r="G584">
        <v>-237.32589999999999</v>
      </c>
      <c r="H584" s="1">
        <v>-2.2031569999999998E-6</v>
      </c>
      <c r="I584">
        <v>364.70389999999998</v>
      </c>
      <c r="J584">
        <v>-295.76729999999998</v>
      </c>
      <c r="K584">
        <v>1.060292</v>
      </c>
      <c r="L584">
        <v>367.63799999999998</v>
      </c>
      <c r="M584">
        <v>0.99989090000000003</v>
      </c>
      <c r="N584">
        <v>0</v>
      </c>
      <c r="O584">
        <v>-3.1171810000000001E-3</v>
      </c>
      <c r="P584">
        <v>0.99289229999999995</v>
      </c>
      <c r="Q584">
        <v>-2.2961520000000001E-3</v>
      </c>
      <c r="R584">
        <v>-0.11899650000000001</v>
      </c>
      <c r="S584">
        <v>3.0032649999999999</v>
      </c>
      <c r="T584">
        <v>-5.4339169999999999E-2</v>
      </c>
      <c r="U584">
        <v>-0.15039060000000001</v>
      </c>
      <c r="V584">
        <v>0.11589820000000001</v>
      </c>
      <c r="W584">
        <v>1.2072569999999999E-2</v>
      </c>
      <c r="X584">
        <v>0.99318770000000001</v>
      </c>
      <c r="Y584">
        <v>4.6892049999999998E-2</v>
      </c>
      <c r="Z584">
        <v>-3.6755220000000001E-4</v>
      </c>
      <c r="AA584">
        <v>0.99889989999999995</v>
      </c>
      <c r="AB584">
        <v>32</v>
      </c>
      <c r="AC584">
        <v>58.441399999999902</v>
      </c>
      <c r="AD584">
        <v>-1.060294203157</v>
      </c>
      <c r="AE584">
        <v>-2.9341000000000501</v>
      </c>
      <c r="AF584">
        <v>2.7509910795653698</v>
      </c>
      <c r="AG584">
        <v>-1.060294203157</v>
      </c>
      <c r="AH584">
        <v>58.431078067581602</v>
      </c>
      <c r="AI584">
        <v>91.038428896553199</v>
      </c>
      <c r="AJ584">
        <v>87.304450353691706</v>
      </c>
      <c r="AK584">
        <v>58.505410517805203</v>
      </c>
      <c r="AL584">
        <v>89.308275869367407</v>
      </c>
      <c r="AM584">
        <v>83.344078022646499</v>
      </c>
      <c r="AN584">
        <v>0.99999997357046699</v>
      </c>
    </row>
    <row r="585" spans="1:40" x14ac:dyDescent="0.25">
      <c r="A585" t="str">
        <f>"20190312161236209"</f>
        <v>20190312161236209</v>
      </c>
      <c r="B585" t="str">
        <f>"1552378356196374"</f>
        <v>1552378356196374</v>
      </c>
      <c r="C585" t="s">
        <v>40</v>
      </c>
      <c r="D585">
        <v>5.1424909999999997</v>
      </c>
      <c r="E585">
        <v>0.47460370000000002</v>
      </c>
      <c r="F585" t="s">
        <v>42</v>
      </c>
      <c r="G585">
        <v>-237.16589999999999</v>
      </c>
      <c r="H585" s="1">
        <v>-2.266959E-6</v>
      </c>
      <c r="I585">
        <v>364.66879999999998</v>
      </c>
      <c r="J585">
        <v>-295.58929999999998</v>
      </c>
      <c r="K585">
        <v>1.06029</v>
      </c>
      <c r="L585">
        <v>367.63749999999999</v>
      </c>
      <c r="M585">
        <v>0.99989110000000003</v>
      </c>
      <c r="N585">
        <v>0</v>
      </c>
      <c r="O585">
        <v>-3.060068E-3</v>
      </c>
      <c r="P585">
        <v>0.99287990000000004</v>
      </c>
      <c r="Q585">
        <v>-2.3428889999999999E-3</v>
      </c>
      <c r="R585">
        <v>-0.11909839999999999</v>
      </c>
      <c r="S585">
        <v>3.0031129999999999</v>
      </c>
      <c r="T585">
        <v>-5.4336189999999999E-2</v>
      </c>
      <c r="U585">
        <v>-0.15216060000000001</v>
      </c>
      <c r="V585">
        <v>0.1160569</v>
      </c>
      <c r="W585">
        <v>1.202346E-2</v>
      </c>
      <c r="X585">
        <v>0.99316979999999999</v>
      </c>
      <c r="Y585">
        <v>4.7538770000000001E-2</v>
      </c>
      <c r="Z585">
        <v>-3.7442429999999999E-4</v>
      </c>
      <c r="AA585">
        <v>0.99886929999999996</v>
      </c>
      <c r="AB585">
        <v>32</v>
      </c>
      <c r="AC585">
        <v>58.423400000000001</v>
      </c>
      <c r="AD585">
        <v>-1.060292266959</v>
      </c>
      <c r="AE585">
        <v>-2.9687000000000099</v>
      </c>
      <c r="AF585">
        <v>2.7889716627720298</v>
      </c>
      <c r="AG585">
        <v>-1.060292266959</v>
      </c>
      <c r="AH585">
        <v>58.413022113409397</v>
      </c>
      <c r="AI585">
        <v>91.0387152581729</v>
      </c>
      <c r="AJ585">
        <v>87.266447809766106</v>
      </c>
      <c r="AK585">
        <v>58.489176221321202</v>
      </c>
      <c r="AL585">
        <v>89.311089894256995</v>
      </c>
      <c r="AM585">
        <v>83.334926932520403</v>
      </c>
      <c r="AN585">
        <v>1.0000000096300099</v>
      </c>
    </row>
    <row r="586" spans="1:40" x14ac:dyDescent="0.25">
      <c r="A586" t="str">
        <f>"20190312161236220"</f>
        <v>20190312161236220</v>
      </c>
      <c r="B586" t="str">
        <f>"1552378356215894"</f>
        <v>1552378356215894</v>
      </c>
      <c r="C586" t="s">
        <v>40</v>
      </c>
      <c r="D586">
        <v>5.1723470000000002</v>
      </c>
      <c r="E586">
        <v>0.4749601</v>
      </c>
      <c r="F586" t="s">
        <v>42</v>
      </c>
      <c r="G586">
        <v>-237.75</v>
      </c>
      <c r="H586" s="1">
        <v>-2.0649529999999999E-6</v>
      </c>
      <c r="I586">
        <v>364.68090000000001</v>
      </c>
      <c r="J586">
        <v>-295.4128</v>
      </c>
      <c r="K586">
        <v>1.060289</v>
      </c>
      <c r="L586">
        <v>367.637</v>
      </c>
      <c r="M586">
        <v>0.99989119999999998</v>
      </c>
      <c r="N586">
        <v>0</v>
      </c>
      <c r="O586">
        <v>-3.0036680000000001E-3</v>
      </c>
      <c r="P586">
        <v>0.99285190000000001</v>
      </c>
      <c r="Q586">
        <v>-2.3933689999999998E-3</v>
      </c>
      <c r="R586">
        <v>-0.1193289</v>
      </c>
      <c r="S586">
        <v>3.0029910000000002</v>
      </c>
      <c r="T586">
        <v>-5.5049899999999999E-2</v>
      </c>
      <c r="U586">
        <v>-0.15350339999999901</v>
      </c>
      <c r="V586">
        <v>0.11634369999999999</v>
      </c>
      <c r="W586">
        <v>1.1970059999999999E-2</v>
      </c>
      <c r="X586">
        <v>0.99313689999999999</v>
      </c>
      <c r="Y586">
        <v>4.8042359999999999E-2</v>
      </c>
      <c r="Z586">
        <v>-3.8499839999999998E-4</v>
      </c>
      <c r="AA586">
        <v>0.99884519999999999</v>
      </c>
      <c r="AB586">
        <v>32</v>
      </c>
      <c r="AC586">
        <v>57.662799999999997</v>
      </c>
      <c r="AD586">
        <v>-1.060291064953</v>
      </c>
      <c r="AE586">
        <v>-2.95609999999993</v>
      </c>
      <c r="AF586">
        <v>2.7819305558057601</v>
      </c>
      <c r="AG586">
        <v>-1.060291064953</v>
      </c>
      <c r="AH586">
        <v>57.651978248596798</v>
      </c>
      <c r="AI586">
        <v>91.052397118736707</v>
      </c>
      <c r="AJ586">
        <v>87.237400256889003</v>
      </c>
      <c r="AK586">
        <v>57.728796546753202</v>
      </c>
      <c r="AL586">
        <v>89.3141497165077</v>
      </c>
      <c r="AM586">
        <v>83.318385588454802</v>
      </c>
      <c r="AN586">
        <v>1.00000002050385</v>
      </c>
    </row>
    <row r="587" spans="1:40" x14ac:dyDescent="0.25">
      <c r="A587" t="str">
        <f>"20190312161236233"</f>
        <v>20190312161236233</v>
      </c>
      <c r="B587" t="str">
        <f>"1552378356226629"</f>
        <v>1552378356226629</v>
      </c>
      <c r="C587" t="s">
        <v>40</v>
      </c>
      <c r="D587">
        <v>5.174169</v>
      </c>
      <c r="E587">
        <v>0.47501470000000001</v>
      </c>
      <c r="F587" t="s">
        <v>42</v>
      </c>
      <c r="G587">
        <v>-237.93629999999999</v>
      </c>
      <c r="H587" s="1">
        <v>-2.0147559999999998E-6</v>
      </c>
      <c r="I587">
        <v>364.63130000000001</v>
      </c>
      <c r="J587">
        <v>-295.23790000000002</v>
      </c>
      <c r="K587">
        <v>1.060287</v>
      </c>
      <c r="L587">
        <v>367.63650000000001</v>
      </c>
      <c r="M587">
        <v>0.99989150000000004</v>
      </c>
      <c r="N587">
        <v>0</v>
      </c>
      <c r="O587">
        <v>-2.947865E-3</v>
      </c>
      <c r="P587">
        <v>0.99285670000000004</v>
      </c>
      <c r="Q587">
        <v>-2.6558469999999998E-3</v>
      </c>
      <c r="R587">
        <v>-0.1192839</v>
      </c>
      <c r="S587">
        <v>3.0025940000000002</v>
      </c>
      <c r="T587">
        <v>-5.5389880000000002E-2</v>
      </c>
      <c r="U587">
        <v>-0.15701289999999901</v>
      </c>
      <c r="V587">
        <v>0.1163541</v>
      </c>
      <c r="W587">
        <v>1.1705429999999999E-2</v>
      </c>
      <c r="X587">
        <v>0.99313879999999999</v>
      </c>
      <c r="Y587">
        <v>4.9268850000000003E-2</v>
      </c>
      <c r="Z587">
        <v>-3.9974779999999999E-4</v>
      </c>
      <c r="AA587">
        <v>0.99878549999999999</v>
      </c>
      <c r="AB587">
        <v>32</v>
      </c>
      <c r="AC587">
        <v>57.301600000000001</v>
      </c>
      <c r="AD587">
        <v>-1.060289014756</v>
      </c>
      <c r="AE587">
        <v>-3.0051999999999999</v>
      </c>
      <c r="AF587">
        <v>2.8352838667891498</v>
      </c>
      <c r="AG587">
        <v>-1.060289014756</v>
      </c>
      <c r="AH587">
        <v>57.290649153725099</v>
      </c>
      <c r="AI587">
        <v>91.058967195431805</v>
      </c>
      <c r="AJ587">
        <v>87.166773778784005</v>
      </c>
      <c r="AK587">
        <v>57.370563252031197</v>
      </c>
      <c r="AL587">
        <v>89.329312936941307</v>
      </c>
      <c r="AM587">
        <v>83.317806386138898</v>
      </c>
      <c r="AN587">
        <v>0.99999998487186703</v>
      </c>
    </row>
    <row r="588" spans="1:40" x14ac:dyDescent="0.25">
      <c r="A588" t="str">
        <f>"20190312161236250"</f>
        <v>20190312161236250</v>
      </c>
      <c r="B588" t="str">
        <f>"1552378356236390"</f>
        <v>1552378356236390</v>
      </c>
      <c r="C588" t="s">
        <v>40</v>
      </c>
      <c r="D588">
        <v>5.1878279999999997</v>
      </c>
      <c r="E588">
        <v>0.4750066</v>
      </c>
      <c r="F588" t="s">
        <v>42</v>
      </c>
      <c r="G588">
        <v>-237.89410000000001</v>
      </c>
      <c r="H588" s="1">
        <v>-2.0287729999999998E-6</v>
      </c>
      <c r="I588">
        <v>364.63260000000002</v>
      </c>
      <c r="J588">
        <v>-295.00009999999997</v>
      </c>
      <c r="K588">
        <v>1.060287</v>
      </c>
      <c r="L588">
        <v>367.63589999999999</v>
      </c>
      <c r="M588">
        <v>0.99989159999999999</v>
      </c>
      <c r="N588">
        <v>0</v>
      </c>
      <c r="O588">
        <v>-2.8716750000000002E-3</v>
      </c>
      <c r="P588">
        <v>0.99288460000000001</v>
      </c>
      <c r="Q588">
        <v>-2.8241949999999998E-3</v>
      </c>
      <c r="R588">
        <v>-0.119045899999999</v>
      </c>
      <c r="S588">
        <v>3.0025330000000001</v>
      </c>
      <c r="T588">
        <v>-5.5516959999999997E-2</v>
      </c>
      <c r="U588">
        <v>-0.1572876</v>
      </c>
      <c r="V588">
        <v>0.1161918</v>
      </c>
      <c r="W588">
        <v>1.1534259999999999E-2</v>
      </c>
      <c r="X588">
        <v>0.99315980000000004</v>
      </c>
      <c r="Y588">
        <v>4.9437050000000003E-2</v>
      </c>
      <c r="Z588">
        <v>-4.0363349999999998E-4</v>
      </c>
      <c r="AA588">
        <v>0.99877720000000003</v>
      </c>
      <c r="AB588">
        <v>32</v>
      </c>
      <c r="AC588">
        <v>57.105999999999902</v>
      </c>
      <c r="AD588">
        <v>-1.060289028773</v>
      </c>
      <c r="AE588">
        <v>-3.0032999999999599</v>
      </c>
      <c r="AF588">
        <v>2.83830487596732</v>
      </c>
      <c r="AG588">
        <v>-1.060289028773</v>
      </c>
      <c r="AH588">
        <v>57.094761630113297</v>
      </c>
      <c r="AI588">
        <v>91.062587902547705</v>
      </c>
      <c r="AJ588">
        <v>87.154044947915907</v>
      </c>
      <c r="AK588">
        <v>57.175099413931399</v>
      </c>
      <c r="AL588">
        <v>89.339120915244294</v>
      </c>
      <c r="AM588">
        <v>83.327182953173207</v>
      </c>
      <c r="AN588">
        <v>0.99999998093851294</v>
      </c>
    </row>
    <row r="589" spans="1:40" x14ac:dyDescent="0.25">
      <c r="A589" t="str">
        <f>"20190312161236260"</f>
        <v>20190312161236260</v>
      </c>
      <c r="B589" t="str">
        <f>"1552378356255910"</f>
        <v>1552378356255910</v>
      </c>
      <c r="C589" t="s">
        <v>40</v>
      </c>
      <c r="D589">
        <v>5.3002339999999997</v>
      </c>
      <c r="E589">
        <v>0.47480459999999902</v>
      </c>
      <c r="F589" t="s">
        <v>42</v>
      </c>
      <c r="G589">
        <v>-238.03890000000001</v>
      </c>
      <c r="H589" s="1">
        <v>-1.9718950000000002E-6</v>
      </c>
      <c r="I589">
        <v>364.66120000000001</v>
      </c>
      <c r="J589">
        <v>-294.83370000000002</v>
      </c>
      <c r="K589">
        <v>1.060287</v>
      </c>
      <c r="L589">
        <v>367.63549999999998</v>
      </c>
      <c r="M589">
        <v>0.99989189999999994</v>
      </c>
      <c r="N589">
        <v>0</v>
      </c>
      <c r="O589">
        <v>-2.8184960000000002E-3</v>
      </c>
      <c r="P589">
        <v>0.99291220000000002</v>
      </c>
      <c r="Q589">
        <v>-2.755389E-3</v>
      </c>
      <c r="R589">
        <v>-0.1188178</v>
      </c>
      <c r="S589">
        <v>3.0025330000000001</v>
      </c>
      <c r="T589">
        <v>-5.5889729999999999E-2</v>
      </c>
      <c r="U589">
        <v>-0.1567993</v>
      </c>
      <c r="V589">
        <v>0.11601640000000001</v>
      </c>
      <c r="W589">
        <v>1.1601490000000001E-2</v>
      </c>
      <c r="X589">
        <v>0.99317960000000005</v>
      </c>
      <c r="Y589">
        <v>4.9328089999999998E-2</v>
      </c>
      <c r="Z589">
        <v>-4.063208E-4</v>
      </c>
      <c r="AA589">
        <v>0.99878259999999996</v>
      </c>
      <c r="AB589">
        <v>32</v>
      </c>
      <c r="AC589">
        <v>56.794800000000002</v>
      </c>
      <c r="AD589">
        <v>-1.0602889718949999</v>
      </c>
      <c r="AE589">
        <v>-2.9742999999999702</v>
      </c>
      <c r="AF589">
        <v>2.81321780778263</v>
      </c>
      <c r="AG589">
        <v>-1.0602889718949999</v>
      </c>
      <c r="AH589">
        <v>56.783222164402702</v>
      </c>
      <c r="AI589">
        <v>91.068425294607707</v>
      </c>
      <c r="AJ589">
        <v>87.163707565901404</v>
      </c>
      <c r="AK589">
        <v>56.862753420053998</v>
      </c>
      <c r="AL589">
        <v>89.335268713883394</v>
      </c>
      <c r="AM589">
        <v>83.337297058704706</v>
      </c>
      <c r="AN589">
        <v>1.0000000587476601</v>
      </c>
    </row>
    <row r="590" spans="1:40" x14ac:dyDescent="0.25">
      <c r="A590" t="str">
        <f>"20190312161236272"</f>
        <v>20190312161236272</v>
      </c>
      <c r="B590" t="str">
        <f>"1552378356266646"</f>
        <v>1552378356266646</v>
      </c>
      <c r="C590" t="s">
        <v>40</v>
      </c>
      <c r="D590">
        <v>5.2000529999999996</v>
      </c>
      <c r="E590">
        <v>0.47474860000000002</v>
      </c>
      <c r="F590" t="s">
        <v>42</v>
      </c>
      <c r="G590">
        <v>-237.04810000000001</v>
      </c>
      <c r="H590" s="1">
        <v>-2.3083859999999998E-6</v>
      </c>
      <c r="I590">
        <v>364.66379999999998</v>
      </c>
      <c r="J590">
        <v>-294.67309999999998</v>
      </c>
      <c r="K590">
        <v>1.0602860000000001</v>
      </c>
      <c r="L590">
        <v>367.63499999999999</v>
      </c>
      <c r="M590">
        <v>0.99989220000000001</v>
      </c>
      <c r="N590">
        <v>0</v>
      </c>
      <c r="O590">
        <v>-2.7671060000000001E-3</v>
      </c>
      <c r="P590">
        <v>0.9929249</v>
      </c>
      <c r="Q590">
        <v>-3.0442329999999999E-3</v>
      </c>
      <c r="R590">
        <v>-0.118707199999999</v>
      </c>
      <c r="S590">
        <v>3.002777</v>
      </c>
      <c r="T590">
        <v>-5.5096859999999998E-2</v>
      </c>
      <c r="U590">
        <v>-0.1544189</v>
      </c>
      <c r="V590">
        <v>0.1159565</v>
      </c>
      <c r="W590">
        <v>1.1311119999999999E-2</v>
      </c>
      <c r="X590">
        <v>0.99318989999999996</v>
      </c>
      <c r="Y590">
        <v>4.8585879999999998E-2</v>
      </c>
      <c r="Z590">
        <v>-3.9467130000000002E-4</v>
      </c>
      <c r="AA590">
        <v>0.99881889999999995</v>
      </c>
      <c r="AB590">
        <v>32</v>
      </c>
      <c r="AC590">
        <v>57.624999999999901</v>
      </c>
      <c r="AD590">
        <v>-1.060288308386</v>
      </c>
      <c r="AE590">
        <v>-2.9712000000000098</v>
      </c>
      <c r="AF590">
        <v>2.8107684892556999</v>
      </c>
      <c r="AG590">
        <v>-1.060288308386</v>
      </c>
      <c r="AH590">
        <v>57.613548325196703</v>
      </c>
      <c r="AI590">
        <v>91.053069053041796</v>
      </c>
      <c r="AJ590">
        <v>87.206948905115297</v>
      </c>
      <c r="AK590">
        <v>57.691815549667602</v>
      </c>
      <c r="AL590">
        <v>89.351906751599003</v>
      </c>
      <c r="AM590">
        <v>83.340774591079693</v>
      </c>
      <c r="AN590">
        <v>1.0000000143949499</v>
      </c>
    </row>
    <row r="591" spans="1:40" x14ac:dyDescent="0.25">
      <c r="A591" t="str">
        <f>"20190312161236284"</f>
        <v>20190312161236284</v>
      </c>
      <c r="B591" t="str">
        <f>"1552378356276406"</f>
        <v>1552378356276406</v>
      </c>
      <c r="C591" t="s">
        <v>40</v>
      </c>
      <c r="D591">
        <v>5.2110919999999998</v>
      </c>
      <c r="E591">
        <v>0.47471980000000003</v>
      </c>
      <c r="F591" t="s">
        <v>42</v>
      </c>
      <c r="G591">
        <v>-236.7414</v>
      </c>
      <c r="H591" s="1">
        <v>-2.4115440000000001E-6</v>
      </c>
      <c r="I591">
        <v>364.66829999999999</v>
      </c>
      <c r="J591">
        <v>-294.50420000000003</v>
      </c>
      <c r="K591">
        <v>1.060289</v>
      </c>
      <c r="L591">
        <v>367.63459999999998</v>
      </c>
      <c r="M591">
        <v>0.99989220000000001</v>
      </c>
      <c r="N591">
        <v>0</v>
      </c>
      <c r="O591">
        <v>-2.7127380000000001E-3</v>
      </c>
      <c r="P591">
        <v>0.99293069999999894</v>
      </c>
      <c r="Q591">
        <v>-3.628222E-3</v>
      </c>
      <c r="R591">
        <v>-0.11864130000000001</v>
      </c>
      <c r="S591">
        <v>3.002869</v>
      </c>
      <c r="T591">
        <v>-5.4959649999999999E-2</v>
      </c>
      <c r="U591">
        <v>-0.1537781</v>
      </c>
      <c r="V591">
        <v>0.1159448</v>
      </c>
      <c r="W591">
        <v>1.0725119999999999E-2</v>
      </c>
      <c r="X591">
        <v>0.99319769999999996</v>
      </c>
      <c r="Y591">
        <v>4.8426080000000003E-2</v>
      </c>
      <c r="Z591">
        <v>-3.9321199999999999E-4</v>
      </c>
      <c r="AA591">
        <v>0.99882669999999996</v>
      </c>
      <c r="AB591">
        <v>32</v>
      </c>
      <c r="AC591">
        <v>57.762799999999999</v>
      </c>
      <c r="AD591">
        <v>-1.0602914115440001</v>
      </c>
      <c r="AE591">
        <v>-2.96629999999998</v>
      </c>
      <c r="AF591">
        <v>2.8086335688430899</v>
      </c>
      <c r="AG591">
        <v>-1.0602914115440001</v>
      </c>
      <c r="AH591">
        <v>57.7512274686894</v>
      </c>
      <c r="AI591">
        <v>91.050569992998405</v>
      </c>
      <c r="AJ591">
        <v>87.215710125114995</v>
      </c>
      <c r="AK591">
        <v>57.829204685363997</v>
      </c>
      <c r="AL591">
        <v>89.385484075819505</v>
      </c>
      <c r="AM591">
        <v>83.341492295475206</v>
      </c>
      <c r="AN591">
        <v>0.99999994806567005</v>
      </c>
    </row>
    <row r="592" spans="1:40" x14ac:dyDescent="0.25">
      <c r="A592" t="str">
        <f>"20190312161236296"</f>
        <v>20190312161236296</v>
      </c>
      <c r="B592" t="str">
        <f>"1552378356286165"</f>
        <v>1552378356286165</v>
      </c>
      <c r="C592" t="s">
        <v>40</v>
      </c>
      <c r="D592">
        <v>5.2214199999999904</v>
      </c>
      <c r="E592">
        <v>0.47466540000000002</v>
      </c>
      <c r="F592" t="s">
        <v>42</v>
      </c>
      <c r="G592">
        <v>-237.90389999999999</v>
      </c>
      <c r="H592" s="1">
        <v>-1.9946969999999999E-6</v>
      </c>
      <c r="I592">
        <v>364.74810000000002</v>
      </c>
      <c r="J592">
        <v>-294.32159999999999</v>
      </c>
      <c r="K592">
        <v>1.060289</v>
      </c>
      <c r="L592">
        <v>367.63420000000002</v>
      </c>
      <c r="M592">
        <v>0.99989249999999996</v>
      </c>
      <c r="N592">
        <v>0</v>
      </c>
      <c r="O592">
        <v>-2.654198E-3</v>
      </c>
      <c r="P592">
        <v>0.99294119999999997</v>
      </c>
      <c r="Q592">
        <v>-3.824104E-3</v>
      </c>
      <c r="R592">
        <v>-0.1185476</v>
      </c>
      <c r="S592">
        <v>3.002869</v>
      </c>
      <c r="T592">
        <v>-5.6252480000000001E-2</v>
      </c>
      <c r="U592">
        <v>-0.1531372</v>
      </c>
      <c r="V592">
        <v>0.1159094</v>
      </c>
      <c r="W592">
        <v>1.052724E-2</v>
      </c>
      <c r="X592">
        <v>0.99320399999999998</v>
      </c>
      <c r="Y592">
        <v>4.8271590000000003E-2</v>
      </c>
      <c r="Z592">
        <v>-4.021122E-4</v>
      </c>
      <c r="AA592">
        <v>0.99883420000000001</v>
      </c>
      <c r="AB592">
        <v>32</v>
      </c>
      <c r="AC592">
        <v>56.417700000000004</v>
      </c>
      <c r="AD592">
        <v>-1.0602909946969901</v>
      </c>
      <c r="AE592">
        <v>-2.8860999999999901</v>
      </c>
      <c r="AF592">
        <v>2.73536690685054</v>
      </c>
      <c r="AG592">
        <v>-1.0602909946969901</v>
      </c>
      <c r="AH592">
        <v>56.405292020765003</v>
      </c>
      <c r="AI592">
        <v>91.075639521805002</v>
      </c>
      <c r="AJ592">
        <v>87.223624109932302</v>
      </c>
      <c r="AK592">
        <v>56.481531645807102</v>
      </c>
      <c r="AL592">
        <v>89.396822435977299</v>
      </c>
      <c r="AM592">
        <v>83.343548853343094</v>
      </c>
      <c r="AN592">
        <v>0.99999999870318801</v>
      </c>
    </row>
    <row r="593" spans="1:40" x14ac:dyDescent="0.25">
      <c r="A593" t="str">
        <f>"20190312161236310"</f>
        <v>20190312161236310</v>
      </c>
      <c r="B593" t="str">
        <f>"1552378356295926"</f>
        <v>1552378356295926</v>
      </c>
      <c r="C593" t="s">
        <v>40</v>
      </c>
      <c r="D593">
        <v>5.2002689999999996</v>
      </c>
      <c r="E593">
        <v>0.47468510000000003</v>
      </c>
      <c r="F593" t="s">
        <v>42</v>
      </c>
      <c r="G593">
        <v>-237.3278</v>
      </c>
      <c r="H593" s="1">
        <v>-2.1938850000000001E-6</v>
      </c>
      <c r="I593">
        <v>364.7364</v>
      </c>
      <c r="J593">
        <v>-294.13260000000002</v>
      </c>
      <c r="K593">
        <v>1.06029</v>
      </c>
      <c r="L593">
        <v>367.63380000000001</v>
      </c>
      <c r="M593">
        <v>0.99989269999999997</v>
      </c>
      <c r="N593">
        <v>0</v>
      </c>
      <c r="O593">
        <v>-2.5933919999999999E-3</v>
      </c>
      <c r="P593">
        <v>0.99292990000000003</v>
      </c>
      <c r="Q593">
        <v>-4.0411279999999997E-3</v>
      </c>
      <c r="R593">
        <v>-0.1186344</v>
      </c>
      <c r="S593">
        <v>3.0028990000000002</v>
      </c>
      <c r="T593">
        <v>-5.5864690000000002E-2</v>
      </c>
      <c r="U593">
        <v>-0.15267939999999999</v>
      </c>
      <c r="V593">
        <v>0.1160567</v>
      </c>
      <c r="W593">
        <v>1.030791E-2</v>
      </c>
      <c r="X593">
        <v>0.99318910000000005</v>
      </c>
      <c r="Y593">
        <v>4.8180069999999998E-2</v>
      </c>
      <c r="Z593">
        <v>-3.9961789999999999E-4</v>
      </c>
      <c r="AA593">
        <v>0.99883860000000002</v>
      </c>
      <c r="AB593">
        <v>32</v>
      </c>
      <c r="AC593">
        <v>56.8048</v>
      </c>
      <c r="AD593">
        <v>-1.0602921938849901</v>
      </c>
      <c r="AE593">
        <v>-2.8974000000000002</v>
      </c>
      <c r="AF593">
        <v>2.7491025189468101</v>
      </c>
      <c r="AG593">
        <v>-1.0602921938849901</v>
      </c>
      <c r="AH593">
        <v>56.792388552672598</v>
      </c>
      <c r="AI593">
        <v>91.068315461610894</v>
      </c>
      <c r="AJ593">
        <v>87.228693433868997</v>
      </c>
      <c r="AK593">
        <v>56.868771586115997</v>
      </c>
      <c r="AL593">
        <v>89.4093898017654</v>
      </c>
      <c r="AM593">
        <v>83.335066667642394</v>
      </c>
      <c r="AN593">
        <v>0.99999999949113405</v>
      </c>
    </row>
    <row r="594" spans="1:40" x14ac:dyDescent="0.25">
      <c r="A594" t="str">
        <f>"20190312161236328"</f>
        <v>20190312161236328</v>
      </c>
      <c r="B594" t="str">
        <f>"1552378356316422"</f>
        <v>1552378356316422</v>
      </c>
      <c r="C594" t="s">
        <v>40</v>
      </c>
      <c r="D594">
        <v>5.1823750000000004</v>
      </c>
      <c r="E594">
        <v>0.47475719999999999</v>
      </c>
      <c r="F594" t="s">
        <v>42</v>
      </c>
      <c r="G594">
        <v>-236.91220000000001</v>
      </c>
      <c r="H594" s="1">
        <v>-2.3405299999999998E-6</v>
      </c>
      <c r="I594">
        <v>364.71679999999998</v>
      </c>
      <c r="J594">
        <v>-293.87849999999997</v>
      </c>
      <c r="K594">
        <v>1.060281</v>
      </c>
      <c r="L594">
        <v>367.63319999999999</v>
      </c>
      <c r="M594">
        <v>0.99989289999999997</v>
      </c>
      <c r="N594">
        <v>0</v>
      </c>
      <c r="O594">
        <v>-2.5110110000000001E-3</v>
      </c>
      <c r="P594">
        <v>0.99295259999999996</v>
      </c>
      <c r="Q594">
        <v>-4.0637889999999999E-3</v>
      </c>
      <c r="R594">
        <v>-0.1184428</v>
      </c>
      <c r="S594">
        <v>3.0028380000000001</v>
      </c>
      <c r="T594">
        <v>-5.5642369999999997E-2</v>
      </c>
      <c r="U594">
        <v>-0.1530762</v>
      </c>
      <c r="V594">
        <v>0.11594699999999999</v>
      </c>
      <c r="W594">
        <v>1.028216E-2</v>
      </c>
      <c r="X594">
        <v>0.99320220000000004</v>
      </c>
      <c r="Y594">
        <v>4.8395029999999999E-2</v>
      </c>
      <c r="Z594">
        <v>-4.0155010000000001E-4</v>
      </c>
      <c r="AA594">
        <v>0.99882820000000005</v>
      </c>
      <c r="AB594">
        <v>32</v>
      </c>
      <c r="AC594">
        <v>56.966299999999897</v>
      </c>
      <c r="AD594">
        <v>-1.0602833405299901</v>
      </c>
      <c r="AE594">
        <v>-2.9163999999999999</v>
      </c>
      <c r="AF594">
        <v>2.7723750211346001</v>
      </c>
      <c r="AG594">
        <v>-1.0602833405299901</v>
      </c>
      <c r="AH594">
        <v>56.953765675563801</v>
      </c>
      <c r="AI594">
        <v>91.065266219775495</v>
      </c>
      <c r="AJ594">
        <v>87.213176300762399</v>
      </c>
      <c r="AK594">
        <v>57.031058982339097</v>
      </c>
      <c r="AL594">
        <v>89.410865258277198</v>
      </c>
      <c r="AM594">
        <v>83.341396985836795</v>
      </c>
      <c r="AN594">
        <v>1.00000001985405</v>
      </c>
    </row>
    <row r="595" spans="1:40" x14ac:dyDescent="0.25">
      <c r="A595" t="str">
        <f>"20190312161236350"</f>
        <v>20190312161236350</v>
      </c>
      <c r="B595" t="str">
        <f>"1552378356346677"</f>
        <v>1552378356346677</v>
      </c>
      <c r="C595" t="s">
        <v>40</v>
      </c>
      <c r="D595">
        <v>5.171017</v>
      </c>
      <c r="E595">
        <v>0.47495559999999998</v>
      </c>
      <c r="F595" t="s">
        <v>42</v>
      </c>
      <c r="G595">
        <v>-235.28030000000001</v>
      </c>
      <c r="H595" s="1">
        <v>-2.9144119999999999E-6</v>
      </c>
      <c r="I595">
        <v>364.64710000000002</v>
      </c>
      <c r="J595">
        <v>-293.57319999999999</v>
      </c>
      <c r="K595">
        <v>1.0602750000000001</v>
      </c>
      <c r="L595">
        <v>367.63260000000002</v>
      </c>
      <c r="M595">
        <v>0.99989320000000004</v>
      </c>
      <c r="N595">
        <v>0</v>
      </c>
      <c r="O595">
        <v>-2.4126489999999998E-3</v>
      </c>
      <c r="P595">
        <v>0.99293140000000002</v>
      </c>
      <c r="Q595">
        <v>-4.0294789999999999E-3</v>
      </c>
      <c r="R595">
        <v>-0.1186213</v>
      </c>
      <c r="S595">
        <v>3.0027469999999998</v>
      </c>
      <c r="T595">
        <v>-5.4332020000000002E-2</v>
      </c>
      <c r="U595">
        <v>-0.15301509999999999</v>
      </c>
      <c r="V595">
        <v>0.1162234</v>
      </c>
      <c r="W595">
        <v>1.0312200000000001E-2</v>
      </c>
      <c r="X595">
        <v>0.99316950000000004</v>
      </c>
      <c r="Y595">
        <v>4.8474919999999998E-2</v>
      </c>
      <c r="Z595">
        <v>-3.9460830000000001E-4</v>
      </c>
      <c r="AA595">
        <v>0.9988243</v>
      </c>
      <c r="AB595">
        <v>32</v>
      </c>
      <c r="AC595">
        <v>58.292899999999896</v>
      </c>
      <c r="AD595">
        <v>-1.060277914412</v>
      </c>
      <c r="AE595">
        <v>-2.9855</v>
      </c>
      <c r="AF595">
        <v>2.8438979973165299</v>
      </c>
      <c r="AG595">
        <v>-1.060277914412</v>
      </c>
      <c r="AH595">
        <v>58.280703313152898</v>
      </c>
      <c r="AI595">
        <v>91.0410062465984</v>
      </c>
      <c r="AJ595">
        <v>87.206378793943998</v>
      </c>
      <c r="AK595">
        <v>58.359680634413003</v>
      </c>
      <c r="AL595">
        <v>89.409143953444996</v>
      </c>
      <c r="AM595">
        <v>83.325449159189901</v>
      </c>
      <c r="AN595">
        <v>0.99999993795332298</v>
      </c>
    </row>
    <row r="596" spans="1:40" x14ac:dyDescent="0.25">
      <c r="A596" t="str">
        <f>"20190312161236362"</f>
        <v>20190312161236362</v>
      </c>
      <c r="B596" t="str">
        <f>"1552378356356438"</f>
        <v>1552378356356438</v>
      </c>
      <c r="C596" t="s">
        <v>40</v>
      </c>
      <c r="D596">
        <v>5.1490819999999999</v>
      </c>
      <c r="E596">
        <v>0.47499000000000002</v>
      </c>
      <c r="F596" t="s">
        <v>42</v>
      </c>
      <c r="G596">
        <v>-231.816</v>
      </c>
      <c r="H596" s="1">
        <v>-4.4119570000000002E-6</v>
      </c>
      <c r="I596">
        <v>364.43700000000001</v>
      </c>
      <c r="J596">
        <v>-293.39280000000002</v>
      </c>
      <c r="K596">
        <v>1.0602780000000001</v>
      </c>
      <c r="L596">
        <v>367.63220000000001</v>
      </c>
      <c r="M596">
        <v>0.99989349999999999</v>
      </c>
      <c r="N596">
        <v>0</v>
      </c>
      <c r="O596">
        <v>-2.3542300000000001E-3</v>
      </c>
      <c r="P596">
        <v>0.99293520000000002</v>
      </c>
      <c r="Q596">
        <v>-4.2446569999999998E-3</v>
      </c>
      <c r="R596">
        <v>-0.1185843</v>
      </c>
      <c r="S596">
        <v>3.0025629999999999</v>
      </c>
      <c r="T596">
        <v>-5.154955E-2</v>
      </c>
      <c r="U596">
        <v>-0.155365</v>
      </c>
      <c r="V596">
        <v>0.11624420000000001</v>
      </c>
      <c r="W596">
        <v>1.0094769999999999E-2</v>
      </c>
      <c r="X596">
        <v>0.99316939999999998</v>
      </c>
      <c r="Y596">
        <v>4.9316619999999999E-2</v>
      </c>
      <c r="Z596">
        <v>-3.826403E-4</v>
      </c>
      <c r="AA596">
        <v>0.99878310000000003</v>
      </c>
      <c r="AB596">
        <v>32</v>
      </c>
      <c r="AC596">
        <v>61.576799999999999</v>
      </c>
      <c r="AD596">
        <v>-1.060282411957</v>
      </c>
      <c r="AE596">
        <v>-3.19520000000005</v>
      </c>
      <c r="AF596">
        <v>3.0493084957941399</v>
      </c>
      <c r="AG596">
        <v>-1.060282411957</v>
      </c>
      <c r="AH596">
        <v>61.565947716668099</v>
      </c>
      <c r="AI596">
        <v>90.985436752318293</v>
      </c>
      <c r="AJ596">
        <v>87.164506368748405</v>
      </c>
      <c r="AK596">
        <v>61.650534461163701</v>
      </c>
      <c r="AL596">
        <v>89.421602481858997</v>
      </c>
      <c r="AM596">
        <v>83.324264757976295</v>
      </c>
      <c r="AN596">
        <v>1.0000000377556699</v>
      </c>
    </row>
    <row r="597" spans="1:40" x14ac:dyDescent="0.25">
      <c r="A597" t="str">
        <f>"20190312161236373"</f>
        <v>20190312161236373</v>
      </c>
      <c r="B597" t="str">
        <f>"1552378356366198"</f>
        <v>1552378356366198</v>
      </c>
      <c r="C597" t="s">
        <v>40</v>
      </c>
      <c r="D597">
        <v>5.2346919999999999</v>
      </c>
      <c r="E597">
        <v>0.47497709999999999</v>
      </c>
      <c r="F597" t="s">
        <v>42</v>
      </c>
      <c r="G597">
        <v>-231.56139999999999</v>
      </c>
      <c r="H597" s="1">
        <v>-4.5221999999999997E-6</v>
      </c>
      <c r="I597">
        <v>364.4314</v>
      </c>
      <c r="J597">
        <v>-293.23430000000002</v>
      </c>
      <c r="K597">
        <v>1.060276</v>
      </c>
      <c r="L597">
        <v>367.63189999999997</v>
      </c>
      <c r="M597">
        <v>0.99989349999999999</v>
      </c>
      <c r="N597">
        <v>0</v>
      </c>
      <c r="O597">
        <v>-2.3030809999999998E-3</v>
      </c>
      <c r="P597">
        <v>0.99297329999999995</v>
      </c>
      <c r="Q597">
        <v>-3.9896180000000003E-3</v>
      </c>
      <c r="R597">
        <v>-0.1182718</v>
      </c>
      <c r="S597">
        <v>3.0025330000000001</v>
      </c>
      <c r="T597">
        <v>-5.1487209999999999E-2</v>
      </c>
      <c r="U597">
        <v>-0.15542600000000001</v>
      </c>
      <c r="V597">
        <v>0.11598269999999999</v>
      </c>
      <c r="W597">
        <v>1.0348909999999999E-2</v>
      </c>
      <c r="X597">
        <v>0.99319729999999995</v>
      </c>
      <c r="Y597">
        <v>4.9388469999999997E-2</v>
      </c>
      <c r="Z597">
        <v>-3.836733E-4</v>
      </c>
      <c r="AA597">
        <v>0.99877959999999999</v>
      </c>
      <c r="AB597">
        <v>32</v>
      </c>
      <c r="AC597">
        <v>61.672899999999998</v>
      </c>
      <c r="AD597">
        <v>-1.0602805222</v>
      </c>
      <c r="AE597">
        <v>-3.2004999999999701</v>
      </c>
      <c r="AF597">
        <v>3.0575378005957701</v>
      </c>
      <c r="AG597">
        <v>-1.0602805222</v>
      </c>
      <c r="AH597">
        <v>61.661932028083797</v>
      </c>
      <c r="AI597">
        <v>90.983898607602697</v>
      </c>
      <c r="AJ597">
        <v>87.161285073315099</v>
      </c>
      <c r="AK597">
        <v>61.746794197139202</v>
      </c>
      <c r="AL597">
        <v>89.407040538936002</v>
      </c>
      <c r="AM597">
        <v>83.339332659425096</v>
      </c>
      <c r="AN597">
        <v>0.99999998168238302</v>
      </c>
    </row>
    <row r="598" spans="1:40" x14ac:dyDescent="0.25">
      <c r="A598" t="str">
        <f>"20190312161236384"</f>
        <v>20190312161236384</v>
      </c>
      <c r="B598" t="str">
        <f>"1552378356375958"</f>
        <v>1552378356375958</v>
      </c>
      <c r="C598" t="s">
        <v>40</v>
      </c>
      <c r="D598">
        <v>5.2030919999999998</v>
      </c>
      <c r="E598">
        <v>0.47490149999999998</v>
      </c>
      <c r="F598" t="s">
        <v>42</v>
      </c>
      <c r="G598">
        <v>-230.28579999999999</v>
      </c>
      <c r="H598" s="1">
        <v>-5.0766440000000002E-6</v>
      </c>
      <c r="I598">
        <v>364.39069999999998</v>
      </c>
      <c r="J598">
        <v>-293.0616</v>
      </c>
      <c r="K598">
        <v>1.0602769999999999</v>
      </c>
      <c r="L598">
        <v>367.63150000000002</v>
      </c>
      <c r="M598">
        <v>0.9998937</v>
      </c>
      <c r="N598">
        <v>0</v>
      </c>
      <c r="O598">
        <v>-2.2476359999999999E-3</v>
      </c>
      <c r="P598">
        <v>0.99300739999999998</v>
      </c>
      <c r="Q598">
        <v>-3.9848349999999999E-3</v>
      </c>
      <c r="R598">
        <v>-0.11798649999999999</v>
      </c>
      <c r="S598">
        <v>3.0026250000000001</v>
      </c>
      <c r="T598">
        <v>-5.0575019999999998E-2</v>
      </c>
      <c r="U598">
        <v>-0.15460209999999999</v>
      </c>
      <c r="V598">
        <v>0.1157519</v>
      </c>
      <c r="W598">
        <v>1.035225E-2</v>
      </c>
      <c r="X598">
        <v>0.9932242</v>
      </c>
      <c r="Y598">
        <v>4.9169190000000002E-2</v>
      </c>
      <c r="Z598">
        <v>-3.7595590000000001E-4</v>
      </c>
      <c r="AA598">
        <v>0.99879039999999997</v>
      </c>
      <c r="AB598">
        <v>32</v>
      </c>
      <c r="AC598">
        <v>62.775799999999997</v>
      </c>
      <c r="AD598">
        <v>-1.060282076644</v>
      </c>
      <c r="AE598">
        <v>-3.2408000000000299</v>
      </c>
      <c r="AF598">
        <v>3.09879837150371</v>
      </c>
      <c r="AG598">
        <v>-1.060282076644</v>
      </c>
      <c r="AH598">
        <v>62.7650688038525</v>
      </c>
      <c r="AI598">
        <v>90.966620892367501</v>
      </c>
      <c r="AJ598">
        <v>87.173523068652898</v>
      </c>
      <c r="AK598">
        <v>62.850462300460698</v>
      </c>
      <c r="AL598">
        <v>89.406849166570694</v>
      </c>
      <c r="AM598">
        <v>83.352646753307198</v>
      </c>
      <c r="AN598">
        <v>0.99999999144965601</v>
      </c>
    </row>
    <row r="599" spans="1:40" x14ac:dyDescent="0.25">
      <c r="A599" t="str">
        <f>"20190312161236396"</f>
        <v>20190312161236396</v>
      </c>
      <c r="B599" t="str">
        <f>"1552378356385718"</f>
        <v>1552378356385718</v>
      </c>
      <c r="C599" t="s">
        <v>40</v>
      </c>
      <c r="D599">
        <v>5.2039030000000004</v>
      </c>
      <c r="E599">
        <v>0.47485129999999998</v>
      </c>
      <c r="F599" t="s">
        <v>42</v>
      </c>
      <c r="G599">
        <v>-229.4701</v>
      </c>
      <c r="H599" s="1">
        <v>-1.5571009999999999E-6</v>
      </c>
      <c r="I599">
        <v>364.38959999999997</v>
      </c>
      <c r="J599">
        <v>-292.90469999999999</v>
      </c>
      <c r="K599">
        <v>1.0602769999999999</v>
      </c>
      <c r="L599">
        <v>367.63119999999998</v>
      </c>
      <c r="M599">
        <v>0.9998937</v>
      </c>
      <c r="N599">
        <v>0</v>
      </c>
      <c r="O599">
        <v>-2.1970819999999999E-3</v>
      </c>
      <c r="P599">
        <v>0.99305779999999999</v>
      </c>
      <c r="Q599">
        <v>-4.1109470000000002E-3</v>
      </c>
      <c r="R599">
        <v>-0.11755500000000001</v>
      </c>
      <c r="S599">
        <v>3.0027159999999999</v>
      </c>
      <c r="T599">
        <v>-5.0065039999999998E-2</v>
      </c>
      <c r="U599">
        <v>-0.1530762</v>
      </c>
      <c r="V599">
        <v>0.115370899999999</v>
      </c>
      <c r="W599">
        <v>1.022494E-2</v>
      </c>
      <c r="X599">
        <v>0.99326990000000004</v>
      </c>
      <c r="Y599">
        <v>4.8712100000000001E-2</v>
      </c>
      <c r="Z599">
        <v>-3.691934E-4</v>
      </c>
      <c r="AA599">
        <v>0.99881279999999995</v>
      </c>
      <c r="AB599">
        <v>32</v>
      </c>
      <c r="AC599">
        <v>63.434599999999897</v>
      </c>
      <c r="AD599">
        <v>-1.0602785571010001</v>
      </c>
      <c r="AE599">
        <v>-3.2416</v>
      </c>
      <c r="AF599">
        <v>3.1013424955432898</v>
      </c>
      <c r="AG599">
        <v>-1.0602785571010001</v>
      </c>
      <c r="AH599">
        <v>63.423896763106796</v>
      </c>
      <c r="AI599">
        <v>90.956600794462602</v>
      </c>
      <c r="AJ599">
        <v>87.200543940809098</v>
      </c>
      <c r="AK599">
        <v>63.508528533658698</v>
      </c>
      <c r="AL599">
        <v>89.414143909279304</v>
      </c>
      <c r="AM599">
        <v>83.374633945737102</v>
      </c>
      <c r="AN599">
        <v>1.00000004410541</v>
      </c>
    </row>
    <row r="600" spans="1:40" x14ac:dyDescent="0.25">
      <c r="A600" t="str">
        <f>"20190312161236408"</f>
        <v>20190312161236408</v>
      </c>
      <c r="B600" t="str">
        <f>"1552378356396455"</f>
        <v>1552378356396455</v>
      </c>
      <c r="C600" t="s">
        <v>40</v>
      </c>
      <c r="D600">
        <v>5.2120319999999998</v>
      </c>
      <c r="E600">
        <v>0.47481240000000002</v>
      </c>
      <c r="F600" t="s">
        <v>42</v>
      </c>
      <c r="G600">
        <v>-229.25409999999999</v>
      </c>
      <c r="H600" s="1">
        <v>-1.621651E-6</v>
      </c>
      <c r="I600">
        <v>364.42329999999998</v>
      </c>
      <c r="J600">
        <v>-292.73849999999999</v>
      </c>
      <c r="K600">
        <v>1.060276</v>
      </c>
      <c r="L600">
        <v>367.6309</v>
      </c>
      <c r="M600">
        <v>0.99989380000000005</v>
      </c>
      <c r="N600">
        <v>0</v>
      </c>
      <c r="O600">
        <v>-2.1435479999999999E-3</v>
      </c>
      <c r="P600">
        <v>0.99311380000000005</v>
      </c>
      <c r="Q600">
        <v>-4.1834280000000003E-3</v>
      </c>
      <c r="R600">
        <v>-0.117076399999999</v>
      </c>
      <c r="S600">
        <v>3.0028380000000001</v>
      </c>
      <c r="T600">
        <v>-5.0020580000000002E-2</v>
      </c>
      <c r="U600">
        <v>-0.15133669999999999</v>
      </c>
      <c r="V600">
        <v>0.1149454</v>
      </c>
      <c r="W600">
        <v>1.0150559999999999E-2</v>
      </c>
      <c r="X600">
        <v>0.99331990000000003</v>
      </c>
      <c r="Y600">
        <v>4.818646E-2</v>
      </c>
      <c r="Z600">
        <v>-3.6537229999999998E-4</v>
      </c>
      <c r="AA600">
        <v>0.99883829999999996</v>
      </c>
      <c r="AB600">
        <v>32</v>
      </c>
      <c r="AC600">
        <v>63.484400000000001</v>
      </c>
      <c r="AD600">
        <v>-1.0602776216509999</v>
      </c>
      <c r="AE600">
        <v>-3.20760000000001</v>
      </c>
      <c r="AF600">
        <v>3.0706422971356302</v>
      </c>
      <c r="AG600">
        <v>-1.0602776216509999</v>
      </c>
      <c r="AH600">
        <v>63.473470503203103</v>
      </c>
      <c r="AI600">
        <v>90.955877170391602</v>
      </c>
      <c r="AJ600">
        <v>87.230373768988599</v>
      </c>
      <c r="AK600">
        <v>63.556545614695899</v>
      </c>
      <c r="AL600">
        <v>89.418405736367902</v>
      </c>
      <c r="AM600">
        <v>83.399182286487104</v>
      </c>
      <c r="AN600">
        <v>0.99999995129274</v>
      </c>
    </row>
    <row r="601" spans="1:40" x14ac:dyDescent="0.25">
      <c r="A601" t="str">
        <f>"20190312161236420"</f>
        <v>20190312161236420</v>
      </c>
      <c r="B601" t="str">
        <f>"1552378356415973"</f>
        <v>1552378356415973</v>
      </c>
      <c r="C601" t="s">
        <v>40</v>
      </c>
      <c r="D601">
        <v>5.1773860000000003</v>
      </c>
      <c r="E601">
        <v>0.47476570000000001</v>
      </c>
      <c r="F601" t="s">
        <v>42</v>
      </c>
      <c r="G601">
        <v>-229.3708</v>
      </c>
      <c r="H601" s="1">
        <v>-1.5684380000000001E-6</v>
      </c>
      <c r="I601">
        <v>364.47399999999999</v>
      </c>
      <c r="J601">
        <v>-292.5598</v>
      </c>
      <c r="K601">
        <v>1.0602830000000001</v>
      </c>
      <c r="L601">
        <v>367.63060000000002</v>
      </c>
      <c r="M601">
        <v>0.99989430000000001</v>
      </c>
      <c r="N601">
        <v>0</v>
      </c>
      <c r="O601">
        <v>-2.0867920000000001E-3</v>
      </c>
      <c r="P601">
        <v>0.99317529999999998</v>
      </c>
      <c r="Q601">
        <v>-4.3341719999999999E-3</v>
      </c>
      <c r="R601">
        <v>-0.1165533</v>
      </c>
      <c r="S601">
        <v>3.0029300000000001</v>
      </c>
      <c r="T601">
        <v>-5.0245400000000003E-2</v>
      </c>
      <c r="U601">
        <v>-0.14959720000000001</v>
      </c>
      <c r="V601">
        <v>0.11447839999999999</v>
      </c>
      <c r="W601">
        <v>9.9989339999999993E-3</v>
      </c>
      <c r="X601">
        <v>0.99337540000000002</v>
      </c>
      <c r="Y601">
        <v>4.7664480000000002E-2</v>
      </c>
      <c r="Z601">
        <v>-3.6359359999999999E-4</v>
      </c>
      <c r="AA601">
        <v>0.99886330000000001</v>
      </c>
      <c r="AB601">
        <v>32</v>
      </c>
      <c r="AC601">
        <v>63.188999999999901</v>
      </c>
      <c r="AD601">
        <v>-1.060284568438</v>
      </c>
      <c r="AE601">
        <v>-3.1566000000000201</v>
      </c>
      <c r="AF601">
        <v>3.0238679105417998</v>
      </c>
      <c r="AG601">
        <v>-1.060284568438</v>
      </c>
      <c r="AH601">
        <v>63.177706570763199</v>
      </c>
      <c r="AI601">
        <v>90.960381215231095</v>
      </c>
      <c r="AJ601">
        <v>87.259749374631895</v>
      </c>
      <c r="AK601">
        <v>63.258917063509202</v>
      </c>
      <c r="AL601">
        <v>89.4270937263516</v>
      </c>
      <c r="AM601">
        <v>83.426128929900699</v>
      </c>
      <c r="AN601">
        <v>0.99999998403642798</v>
      </c>
    </row>
    <row r="602" spans="1:40" x14ac:dyDescent="0.25">
      <c r="A602" t="str">
        <f>"20190312161236433"</f>
        <v>20190312161236433</v>
      </c>
      <c r="B602" t="str">
        <f>"1552378356426710"</f>
        <v>1552378356426710</v>
      </c>
      <c r="C602" t="s">
        <v>40</v>
      </c>
      <c r="D602">
        <v>5.1866379999999896</v>
      </c>
      <c r="E602">
        <v>0.47474290000000002</v>
      </c>
      <c r="F602" t="s">
        <v>42</v>
      </c>
      <c r="G602">
        <v>-230.1362</v>
      </c>
      <c r="H602" s="1">
        <v>-5.1107290000000002E-6</v>
      </c>
      <c r="I602">
        <v>364.56020000000001</v>
      </c>
      <c r="J602">
        <v>-292.38380000000001</v>
      </c>
      <c r="K602">
        <v>1.0602830000000001</v>
      </c>
      <c r="L602">
        <v>367.6302</v>
      </c>
      <c r="M602">
        <v>0.99989419999999996</v>
      </c>
      <c r="N602">
        <v>0</v>
      </c>
      <c r="O602">
        <v>-2.0303949999999999E-3</v>
      </c>
      <c r="P602">
        <v>0.99321709999999996</v>
      </c>
      <c r="Q602">
        <v>-4.4512129999999999E-3</v>
      </c>
      <c r="R602">
        <v>-0.1161904</v>
      </c>
      <c r="S602">
        <v>3.0030519999999998</v>
      </c>
      <c r="T602">
        <v>-5.1007869999999997E-2</v>
      </c>
      <c r="U602">
        <v>-0.14770510000000001</v>
      </c>
      <c r="V602">
        <v>0.11417140000000001</v>
      </c>
      <c r="W602">
        <v>9.8802070000000002E-3</v>
      </c>
      <c r="X602">
        <v>0.99341199999999996</v>
      </c>
      <c r="Y602">
        <v>4.709087E-2</v>
      </c>
      <c r="Z602">
        <v>-3.6519020000000001E-4</v>
      </c>
      <c r="AA602">
        <v>0.99889050000000001</v>
      </c>
      <c r="AB602">
        <v>32</v>
      </c>
      <c r="AC602">
        <v>62.247599999999998</v>
      </c>
      <c r="AD602">
        <v>-1.0602881107289901</v>
      </c>
      <c r="AE602">
        <v>-3.0699999999999901</v>
      </c>
      <c r="AF602">
        <v>2.9427416168395402</v>
      </c>
      <c r="AG602">
        <v>-1.0602881107289901</v>
      </c>
      <c r="AH602">
        <v>62.235692585158397</v>
      </c>
      <c r="AI602">
        <v>90.974945033290396</v>
      </c>
      <c r="AJ602">
        <v>87.292852679203804</v>
      </c>
      <c r="AK602">
        <v>62.314246931625298</v>
      </c>
      <c r="AL602">
        <v>89.433896664031906</v>
      </c>
      <c r="AM602">
        <v>83.443844022571199</v>
      </c>
      <c r="AN602">
        <v>1.00000006440615</v>
      </c>
    </row>
    <row r="603" spans="1:40" x14ac:dyDescent="0.25">
      <c r="A603" t="str">
        <f>"20190312161236444"</f>
        <v>20190312161236444</v>
      </c>
      <c r="B603" t="str">
        <f>"1552378356436470"</f>
        <v>1552378356436470</v>
      </c>
      <c r="C603" t="s">
        <v>40</v>
      </c>
      <c r="D603">
        <v>5.1687390000000004</v>
      </c>
      <c r="E603">
        <v>0.4747517</v>
      </c>
      <c r="F603" t="s">
        <v>42</v>
      </c>
      <c r="G603">
        <v>-230.34729999999999</v>
      </c>
      <c r="H603" s="1">
        <v>-5.0118269999999997E-6</v>
      </c>
      <c r="I603">
        <v>364.60739999999998</v>
      </c>
      <c r="J603">
        <v>-292.2122</v>
      </c>
      <c r="K603">
        <v>1.0602819999999999</v>
      </c>
      <c r="L603">
        <v>367.63</v>
      </c>
      <c r="M603">
        <v>0.99989439999999996</v>
      </c>
      <c r="N603">
        <v>0</v>
      </c>
      <c r="O603">
        <v>-1.9754299999999998E-3</v>
      </c>
      <c r="P603">
        <v>0.99324250000000003</v>
      </c>
      <c r="Q603">
        <v>-4.2751509999999996E-3</v>
      </c>
      <c r="R603">
        <v>-0.11598020000000001</v>
      </c>
      <c r="S603">
        <v>3.0031430000000001</v>
      </c>
      <c r="T603">
        <v>-5.1327709999999999E-2</v>
      </c>
      <c r="U603">
        <v>-0.14633180000000001</v>
      </c>
      <c r="V603">
        <v>0.1140158</v>
      </c>
      <c r="W603">
        <v>1.005472E-2</v>
      </c>
      <c r="X603">
        <v>0.99342810000000004</v>
      </c>
      <c r="Y603">
        <v>4.6688569999999999E-2</v>
      </c>
      <c r="Z603">
        <v>-3.649759E-4</v>
      </c>
      <c r="AA603">
        <v>0.99890939999999995</v>
      </c>
      <c r="AB603">
        <v>32</v>
      </c>
      <c r="AC603">
        <v>61.864899999999999</v>
      </c>
      <c r="AD603">
        <v>-1.060287011827</v>
      </c>
      <c r="AE603">
        <v>-3.0226000000000099</v>
      </c>
      <c r="AF603">
        <v>2.8995219857449501</v>
      </c>
      <c r="AG603">
        <v>-1.060287011827</v>
      </c>
      <c r="AH603">
        <v>61.852625698898997</v>
      </c>
      <c r="AI603">
        <v>90.980999591361197</v>
      </c>
      <c r="AJ603">
        <v>87.316058322904198</v>
      </c>
      <c r="AK603">
        <v>61.929627337336399</v>
      </c>
      <c r="AL603">
        <v>89.423897298355897</v>
      </c>
      <c r="AM603">
        <v>83.452806720727807</v>
      </c>
      <c r="AN603">
        <v>1.0000000449567601</v>
      </c>
    </row>
    <row r="604" spans="1:40" x14ac:dyDescent="0.25">
      <c r="A604" t="str">
        <f>"20190312161236456"</f>
        <v>20190312161236456</v>
      </c>
      <c r="B604" t="str">
        <f>"1552378356446230"</f>
        <v>1552378356446230</v>
      </c>
      <c r="C604" t="s">
        <v>40</v>
      </c>
      <c r="D604">
        <v>5.1507310000000004</v>
      </c>
      <c r="E604">
        <v>0.47480220000000001</v>
      </c>
      <c r="F604" t="s">
        <v>42</v>
      </c>
      <c r="G604">
        <v>-229.97790000000001</v>
      </c>
      <c r="H604" s="1">
        <v>-5.1698019999999997E-6</v>
      </c>
      <c r="I604">
        <v>364.61009999999999</v>
      </c>
      <c r="J604">
        <v>-292.05180000000001</v>
      </c>
      <c r="K604">
        <v>1.060284</v>
      </c>
      <c r="L604">
        <v>367.62959999999998</v>
      </c>
      <c r="M604">
        <v>0.99989450000000002</v>
      </c>
      <c r="N604">
        <v>0</v>
      </c>
      <c r="O604">
        <v>-1.9239229999999999E-3</v>
      </c>
      <c r="P604">
        <v>0.99327840000000001</v>
      </c>
      <c r="Q604">
        <v>-4.3580759999999998E-3</v>
      </c>
      <c r="R604">
        <v>-0.11566849999999999</v>
      </c>
      <c r="S604">
        <v>3.0031430000000001</v>
      </c>
      <c r="T604">
        <v>-5.1164510000000003E-2</v>
      </c>
      <c r="U604">
        <v>-0.1457214</v>
      </c>
      <c r="V604">
        <v>0.1137551</v>
      </c>
      <c r="W604">
        <v>9.9703259999999998E-3</v>
      </c>
      <c r="X604">
        <v>0.99345879999999998</v>
      </c>
      <c r="Y604">
        <v>4.6537540000000002E-2</v>
      </c>
      <c r="Z604">
        <v>-3.6340869999999998E-4</v>
      </c>
      <c r="AA604">
        <v>0.99891640000000004</v>
      </c>
      <c r="AB604">
        <v>32</v>
      </c>
      <c r="AC604">
        <v>62.073900000000002</v>
      </c>
      <c r="AD604">
        <v>-1.0602891698019901</v>
      </c>
      <c r="AE604">
        <v>-3.0194999999999901</v>
      </c>
      <c r="AF604">
        <v>2.8992127400823899</v>
      </c>
      <c r="AG604">
        <v>-1.0602891698019901</v>
      </c>
      <c r="AH604">
        <v>62.061530451713999</v>
      </c>
      <c r="AI604">
        <v>90.977707519018907</v>
      </c>
      <c r="AJ604">
        <v>87.3253644473115</v>
      </c>
      <c r="AK604">
        <v>62.138258823730197</v>
      </c>
      <c r="AL604">
        <v>89.428732939859501</v>
      </c>
      <c r="AM604">
        <v>83.467847624725493</v>
      </c>
      <c r="AN604">
        <v>1.00000000873699</v>
      </c>
    </row>
    <row r="605" spans="1:40" x14ac:dyDescent="0.25">
      <c r="A605" t="str">
        <f>"20190312161236473"</f>
        <v>20190312161236473</v>
      </c>
      <c r="B605" t="str">
        <f>"1552378356465750"</f>
        <v>1552378356465750</v>
      </c>
      <c r="C605" t="s">
        <v>40</v>
      </c>
      <c r="D605">
        <v>5.133489</v>
      </c>
      <c r="E605">
        <v>0.47482780000000002</v>
      </c>
      <c r="F605" t="s">
        <v>42</v>
      </c>
      <c r="G605">
        <v>-230.29939999999999</v>
      </c>
      <c r="H605" s="1">
        <v>-5.0268870000000004E-6</v>
      </c>
      <c r="I605">
        <v>364.63819999999998</v>
      </c>
      <c r="J605">
        <v>-291.81760000000003</v>
      </c>
      <c r="K605">
        <v>1.0602860000000001</v>
      </c>
      <c r="L605">
        <v>367.6293</v>
      </c>
      <c r="M605">
        <v>0.99989459999999997</v>
      </c>
      <c r="N605">
        <v>0</v>
      </c>
      <c r="O605">
        <v>-1.8486900000000001E-3</v>
      </c>
      <c r="P605">
        <v>0.99330410000000002</v>
      </c>
      <c r="Q605">
        <v>-4.2718540000000003E-3</v>
      </c>
      <c r="R605">
        <v>-0.11545039999999999</v>
      </c>
      <c r="S605">
        <v>3.0031129999999999</v>
      </c>
      <c r="T605">
        <v>-5.1563379999999999E-2</v>
      </c>
      <c r="U605">
        <v>-0.1454773</v>
      </c>
      <c r="V605">
        <v>0.1136118</v>
      </c>
      <c r="W605">
        <v>1.0054250000000001E-2</v>
      </c>
      <c r="X605">
        <v>0.99347439999999998</v>
      </c>
      <c r="Y605">
        <v>4.653206E-2</v>
      </c>
      <c r="Z605">
        <v>-3.6748979999999998E-4</v>
      </c>
      <c r="AA605">
        <v>0.99891669999999999</v>
      </c>
      <c r="AB605">
        <v>32</v>
      </c>
      <c r="AC605">
        <v>61.5182</v>
      </c>
      <c r="AD605">
        <v>-1.0602910268870001</v>
      </c>
      <c r="AE605">
        <v>-2.9911000000000101</v>
      </c>
      <c r="AF605">
        <v>2.8765025365941002</v>
      </c>
      <c r="AG605">
        <v>-1.0602910268870001</v>
      </c>
      <c r="AH605">
        <v>61.505397394072403</v>
      </c>
      <c r="AI605">
        <v>90.986545513004302</v>
      </c>
      <c r="AJ605">
        <v>87.322325243545606</v>
      </c>
      <c r="AK605">
        <v>61.581753730366401</v>
      </c>
      <c r="AL605">
        <v>89.423924235237706</v>
      </c>
      <c r="AM605">
        <v>83.476106906888802</v>
      </c>
      <c r="AN605">
        <v>1.00000005624882</v>
      </c>
    </row>
    <row r="606" spans="1:40" x14ac:dyDescent="0.25">
      <c r="A606" t="str">
        <f>"20190312161236484"</f>
        <v>20190312161236484</v>
      </c>
      <c r="B606" t="str">
        <f>"1552378356476485"</f>
        <v>1552378356476485</v>
      </c>
      <c r="C606" t="s">
        <v>40</v>
      </c>
      <c r="D606">
        <v>5.1438629999999996</v>
      </c>
      <c r="E606">
        <v>0.47487679999999999</v>
      </c>
      <c r="F606" t="s">
        <v>42</v>
      </c>
      <c r="G606">
        <v>-229.79339999999999</v>
      </c>
      <c r="H606" s="1">
        <v>-1.380847E-6</v>
      </c>
      <c r="I606">
        <v>364.63850000000002</v>
      </c>
      <c r="J606">
        <v>-291.65159999999997</v>
      </c>
      <c r="K606">
        <v>1.060279</v>
      </c>
      <c r="L606">
        <v>367.62909999999999</v>
      </c>
      <c r="M606">
        <v>0.99989490000000003</v>
      </c>
      <c r="N606">
        <v>0</v>
      </c>
      <c r="O606">
        <v>-1.794803E-3</v>
      </c>
      <c r="P606">
        <v>0.99332450000000005</v>
      </c>
      <c r="Q606">
        <v>-4.2494799999999999E-3</v>
      </c>
      <c r="R606">
        <v>-0.1152769</v>
      </c>
      <c r="S606">
        <v>3.0031430000000001</v>
      </c>
      <c r="T606">
        <v>-5.1337840000000003E-2</v>
      </c>
      <c r="U606">
        <v>-0.14480589999999999</v>
      </c>
      <c r="V606">
        <v>0.1134916</v>
      </c>
      <c r="W606">
        <v>1.007475E-2</v>
      </c>
      <c r="X606">
        <v>0.99348789999999998</v>
      </c>
      <c r="Y606">
        <v>4.6362680000000003E-2</v>
      </c>
      <c r="Z606">
        <v>-3.6535469999999999E-4</v>
      </c>
      <c r="AA606">
        <v>0.99892460000000005</v>
      </c>
      <c r="AB606">
        <v>32</v>
      </c>
      <c r="AC606">
        <v>61.858199999999897</v>
      </c>
      <c r="AD606">
        <v>-1.060280380847</v>
      </c>
      <c r="AE606">
        <v>-2.9905999999999699</v>
      </c>
      <c r="AF606">
        <v>2.8787166231383101</v>
      </c>
      <c r="AG606">
        <v>-1.060280380847</v>
      </c>
      <c r="AH606">
        <v>61.845340854333799</v>
      </c>
      <c r="AI606">
        <v>90.981124116104894</v>
      </c>
      <c r="AJ606">
        <v>87.334975514670504</v>
      </c>
      <c r="AK606">
        <v>61.9213807119243</v>
      </c>
      <c r="AL606">
        <v>89.422749594668502</v>
      </c>
      <c r="AM606">
        <v>83.483037497500803</v>
      </c>
      <c r="AN606">
        <v>1.0000000256522601</v>
      </c>
    </row>
    <row r="607" spans="1:40" x14ac:dyDescent="0.25">
      <c r="A607" t="str">
        <f>"20190312161236496"</f>
        <v>20190312161236496</v>
      </c>
      <c r="B607" t="str">
        <f>"1552378356486246"</f>
        <v>1552378356486246</v>
      </c>
      <c r="C607" t="s">
        <v>40</v>
      </c>
      <c r="D607">
        <v>5.165324</v>
      </c>
      <c r="E607">
        <v>0.4749352</v>
      </c>
      <c r="F607" t="s">
        <v>42</v>
      </c>
      <c r="G607">
        <v>-229.63030000000001</v>
      </c>
      <c r="H607" s="1">
        <v>-1.437209E-6</v>
      </c>
      <c r="I607">
        <v>364.63529999999997</v>
      </c>
      <c r="J607">
        <v>-291.49579999999997</v>
      </c>
      <c r="K607">
        <v>1.060279</v>
      </c>
      <c r="L607">
        <v>367.62880000000001</v>
      </c>
      <c r="M607">
        <v>0.99989499999999998</v>
      </c>
      <c r="N607">
        <v>0</v>
      </c>
      <c r="O607">
        <v>-1.74461E-3</v>
      </c>
      <c r="P607">
        <v>0.99334999999999996</v>
      </c>
      <c r="Q607">
        <v>-4.2858810000000001E-3</v>
      </c>
      <c r="R607">
        <v>-0.11505659999999999</v>
      </c>
      <c r="S607">
        <v>3.0031430000000001</v>
      </c>
      <c r="T607">
        <v>-5.133998E-2</v>
      </c>
      <c r="U607">
        <v>-0.14495849999999999</v>
      </c>
      <c r="V607">
        <v>0.1133214</v>
      </c>
      <c r="W607">
        <v>1.00366E-2</v>
      </c>
      <c r="X607">
        <v>0.99350769999999999</v>
      </c>
      <c r="Y607">
        <v>4.646343E-2</v>
      </c>
      <c r="Z607">
        <v>-3.6708779999999999E-4</v>
      </c>
      <c r="AA607">
        <v>0.99891989999999997</v>
      </c>
      <c r="AB607">
        <v>32</v>
      </c>
      <c r="AC607">
        <v>61.865499999999898</v>
      </c>
      <c r="AD607">
        <v>-1.060280437209</v>
      </c>
      <c r="AE607">
        <v>-2.99350000000004</v>
      </c>
      <c r="AF607">
        <v>2.8847077653716102</v>
      </c>
      <c r="AG607">
        <v>-1.060280437209</v>
      </c>
      <c r="AH607">
        <v>61.852503525060499</v>
      </c>
      <c r="AI607">
        <v>90.981006402785496</v>
      </c>
      <c r="AJ607">
        <v>87.3297459366444</v>
      </c>
      <c r="AK607">
        <v>61.928813373216997</v>
      </c>
      <c r="AL607">
        <v>89.424935530981699</v>
      </c>
      <c r="AM607">
        <v>83.492855478580495</v>
      </c>
      <c r="AN607">
        <v>1.0000000114984</v>
      </c>
    </row>
    <row r="608" spans="1:40" x14ac:dyDescent="0.25">
      <c r="A608" t="str">
        <f>"20190312161236509"</f>
        <v>20190312161236509</v>
      </c>
      <c r="B608" t="str">
        <f>"1552378356505766"</f>
        <v>1552378356505766</v>
      </c>
      <c r="C608" t="s">
        <v>40</v>
      </c>
      <c r="D608">
        <v>5.1506429999999996</v>
      </c>
      <c r="E608">
        <v>0.47502949999999999</v>
      </c>
      <c r="F608" t="s">
        <v>42</v>
      </c>
      <c r="G608">
        <v>-229.7782</v>
      </c>
      <c r="H608" s="1">
        <v>-1.3808660000000001E-6</v>
      </c>
      <c r="I608">
        <v>364.65789999999998</v>
      </c>
      <c r="J608">
        <v>-291.30590000000001</v>
      </c>
      <c r="K608">
        <v>1.060279</v>
      </c>
      <c r="L608">
        <v>367.62860000000001</v>
      </c>
      <c r="M608">
        <v>0.99989499999999998</v>
      </c>
      <c r="N608">
        <v>0</v>
      </c>
      <c r="O608">
        <v>-1.6830899999999999E-3</v>
      </c>
      <c r="P608">
        <v>0.99336840000000004</v>
      </c>
      <c r="Q608">
        <v>-4.0744580000000004E-3</v>
      </c>
      <c r="R608">
        <v>-0.1149019</v>
      </c>
      <c r="S608">
        <v>3.0031129999999999</v>
      </c>
      <c r="T608">
        <v>-5.1592109999999997E-2</v>
      </c>
      <c r="U608">
        <v>-0.14456179999999999</v>
      </c>
      <c r="V608">
        <v>0.11322790000000001</v>
      </c>
      <c r="W608">
        <v>1.024592E-2</v>
      </c>
      <c r="X608">
        <v>0.99351619999999996</v>
      </c>
      <c r="Y608">
        <v>4.6393669999999998E-2</v>
      </c>
      <c r="Z608">
        <v>-3.6935260000000003E-4</v>
      </c>
      <c r="AA608">
        <v>0.99892320000000001</v>
      </c>
      <c r="AB608">
        <v>32</v>
      </c>
      <c r="AC608">
        <v>61.527700000000003</v>
      </c>
      <c r="AD608">
        <v>-1.060280380866</v>
      </c>
      <c r="AE608">
        <v>-2.9707000000000199</v>
      </c>
      <c r="AF608">
        <v>2.8662792121463401</v>
      </c>
      <c r="AG608">
        <v>-1.060280380866</v>
      </c>
      <c r="AH608">
        <v>61.514388390760601</v>
      </c>
      <c r="AI608">
        <v>90.986399393531599</v>
      </c>
      <c r="AJ608">
        <v>87.332217559571802</v>
      </c>
      <c r="AK608">
        <v>61.590256778953098</v>
      </c>
      <c r="AL608">
        <v>89.412941747932294</v>
      </c>
      <c r="AM608">
        <v>83.498233596010806</v>
      </c>
      <c r="AN608">
        <v>0.999999987938748</v>
      </c>
    </row>
    <row r="609" spans="1:40" x14ac:dyDescent="0.25">
      <c r="A609" t="str">
        <f>"20190312161236529"</f>
        <v>20190312161236529</v>
      </c>
      <c r="B609" t="str">
        <f>"1552378356516502"</f>
        <v>1552378356516502</v>
      </c>
      <c r="C609" t="s">
        <v>40</v>
      </c>
      <c r="D609">
        <v>5.1546479999999999</v>
      </c>
      <c r="E609">
        <v>0.47511160000000002</v>
      </c>
      <c r="F609" t="s">
        <v>42</v>
      </c>
      <c r="G609">
        <v>-228.886</v>
      </c>
      <c r="H609" s="1">
        <v>-1.6949390000000001E-6</v>
      </c>
      <c r="I609">
        <v>364.61869999999999</v>
      </c>
      <c r="J609">
        <v>-291.03379999999999</v>
      </c>
      <c r="K609">
        <v>1.060279</v>
      </c>
      <c r="L609">
        <v>367.62819999999999</v>
      </c>
      <c r="M609">
        <v>0.99989530000000004</v>
      </c>
      <c r="N609">
        <v>0</v>
      </c>
      <c r="O609">
        <v>-1.594867E-3</v>
      </c>
      <c r="P609">
        <v>0.99335469999999904</v>
      </c>
      <c r="Q609">
        <v>-4.6328059999999997E-3</v>
      </c>
      <c r="R609">
        <v>-0.11500150000000001</v>
      </c>
      <c r="S609">
        <v>3.003082</v>
      </c>
      <c r="T609">
        <v>-5.1011090000000002E-2</v>
      </c>
      <c r="U609">
        <v>-0.14480589999999999</v>
      </c>
      <c r="V609">
        <v>0.1134151</v>
      </c>
      <c r="W609">
        <v>9.6842390000000007E-3</v>
      </c>
      <c r="X609">
        <v>0.99350050000000001</v>
      </c>
      <c r="Y609">
        <v>4.6563420000000001E-2</v>
      </c>
      <c r="Z609">
        <v>-3.6813509999999999E-4</v>
      </c>
      <c r="AA609">
        <v>0.99891529999999995</v>
      </c>
      <c r="AB609">
        <v>32</v>
      </c>
      <c r="AC609">
        <v>62.147799999999897</v>
      </c>
      <c r="AD609">
        <v>-1.060280694939</v>
      </c>
      <c r="AE609">
        <v>-3.0095000000000001</v>
      </c>
      <c r="AF609">
        <v>2.90952356413406</v>
      </c>
      <c r="AG609">
        <v>-1.060280694939</v>
      </c>
      <c r="AH609">
        <v>62.134478322281602</v>
      </c>
      <c r="AI609">
        <v>90.976547015098902</v>
      </c>
      <c r="AJ609">
        <v>87.319012859661697</v>
      </c>
      <c r="AK609">
        <v>62.211597945273802</v>
      </c>
      <c r="AL609">
        <v>89.445125307744405</v>
      </c>
      <c r="AM609">
        <v>83.487474446998405</v>
      </c>
      <c r="AN609">
        <v>1.0000000064466299</v>
      </c>
    </row>
    <row r="610" spans="1:40" x14ac:dyDescent="0.25">
      <c r="A610" t="str">
        <f>"20190312161236541"</f>
        <v>20190312161236541</v>
      </c>
      <c r="B610" t="str">
        <f>"1552378356536022"</f>
        <v>1552378356536022</v>
      </c>
      <c r="C610" t="s">
        <v>40</v>
      </c>
      <c r="D610">
        <v>5.1407959999999999</v>
      </c>
      <c r="E610">
        <v>0.47515619999999997</v>
      </c>
      <c r="F610" t="s">
        <v>42</v>
      </c>
      <c r="G610">
        <v>-230.70050000000001</v>
      </c>
      <c r="H610" s="1">
        <v>-4.8435910000000001E-6</v>
      </c>
      <c r="I610">
        <v>364.70159999999998</v>
      </c>
      <c r="J610">
        <v>-290.84589999999997</v>
      </c>
      <c r="K610">
        <v>1.0602799999999999</v>
      </c>
      <c r="L610">
        <v>367.62790000000001</v>
      </c>
      <c r="M610">
        <v>0.99989530000000004</v>
      </c>
      <c r="N610">
        <v>0</v>
      </c>
      <c r="O610">
        <v>-1.5341770000000001E-3</v>
      </c>
      <c r="P610">
        <v>0.99334529999999999</v>
      </c>
      <c r="Q610">
        <v>-4.6338869999999997E-3</v>
      </c>
      <c r="R610">
        <v>-0.1150828</v>
      </c>
      <c r="S610">
        <v>3.0029599999999999</v>
      </c>
      <c r="T610">
        <v>-5.2773239999999999E-2</v>
      </c>
      <c r="U610">
        <v>-0.1456604</v>
      </c>
      <c r="V610">
        <v>0.1135568</v>
      </c>
      <c r="W610">
        <v>9.6809010000000004E-3</v>
      </c>
      <c r="X610">
        <v>0.99348429999999999</v>
      </c>
      <c r="Y610">
        <v>4.6909060000000002E-2</v>
      </c>
      <c r="Z610">
        <v>-3.8496400000000001E-4</v>
      </c>
      <c r="AA610">
        <v>0.99889910000000004</v>
      </c>
      <c r="AB610">
        <v>32</v>
      </c>
      <c r="AC610">
        <v>60.145399999999903</v>
      </c>
      <c r="AD610">
        <v>-1.0602848435909999</v>
      </c>
      <c r="AE610">
        <v>-2.9263000000000199</v>
      </c>
      <c r="AF610">
        <v>2.8331349362320499</v>
      </c>
      <c r="AG610">
        <v>-1.0602848435909999</v>
      </c>
      <c r="AH610">
        <v>60.131176244824502</v>
      </c>
      <c r="AI610">
        <v>91.009064829807599</v>
      </c>
      <c r="AJ610">
        <v>87.302452276812303</v>
      </c>
      <c r="AK610">
        <v>60.207218953399497</v>
      </c>
      <c r="AL610">
        <v>89.445316544539097</v>
      </c>
      <c r="AM610">
        <v>83.479302365865394</v>
      </c>
      <c r="AN610">
        <v>0.99999996050844997</v>
      </c>
    </row>
    <row r="611" spans="1:40" x14ac:dyDescent="0.25">
      <c r="A611" t="str">
        <f>"20190312161236554"</f>
        <v>20190312161236554</v>
      </c>
      <c r="B611" t="str">
        <f>"1552378356546759"</f>
        <v>1552378356546759</v>
      </c>
      <c r="C611" t="s">
        <v>40</v>
      </c>
      <c r="D611">
        <v>5.1777689999999996</v>
      </c>
      <c r="E611">
        <v>0.47518300000000002</v>
      </c>
      <c r="F611" t="s">
        <v>42</v>
      </c>
      <c r="G611">
        <v>-230.78229999999999</v>
      </c>
      <c r="H611" s="1">
        <v>-4.8086960000000001E-6</v>
      </c>
      <c r="I611">
        <v>364.70030000000003</v>
      </c>
      <c r="J611">
        <v>-290.66730000000001</v>
      </c>
      <c r="K611">
        <v>1.0602780000000001</v>
      </c>
      <c r="L611">
        <v>367.6277</v>
      </c>
      <c r="M611">
        <v>0.99989539999999999</v>
      </c>
      <c r="N611">
        <v>0</v>
      </c>
      <c r="O611">
        <v>-1.4764680000000001E-3</v>
      </c>
      <c r="P611">
        <v>0.99332419999999999</v>
      </c>
      <c r="Q611">
        <v>-4.4234399999999998E-3</v>
      </c>
      <c r="R611">
        <v>-0.1152726</v>
      </c>
      <c r="S611">
        <v>3.0028990000000002</v>
      </c>
      <c r="T611">
        <v>-5.3009269999999997E-2</v>
      </c>
      <c r="U611">
        <v>-0.146362299999999</v>
      </c>
      <c r="V611">
        <v>0.1138039</v>
      </c>
      <c r="W611">
        <v>9.8892670000000002E-3</v>
      </c>
      <c r="X611">
        <v>0.99345399999999995</v>
      </c>
      <c r="Y611">
        <v>4.7200510000000001E-2</v>
      </c>
      <c r="Z611">
        <v>-3.9028009999999999E-4</v>
      </c>
      <c r="AA611">
        <v>0.99888529999999998</v>
      </c>
      <c r="AB611">
        <v>32</v>
      </c>
      <c r="AC611">
        <v>59.884999999999998</v>
      </c>
      <c r="AD611">
        <v>-1.0602828086959999</v>
      </c>
      <c r="AE611">
        <v>-2.9273999999999698</v>
      </c>
      <c r="AF611">
        <v>2.8380818134016601</v>
      </c>
      <c r="AG611">
        <v>-1.0602828086959999</v>
      </c>
      <c r="AH611">
        <v>59.8705340078725</v>
      </c>
      <c r="AI611">
        <v>91.013441117119996</v>
      </c>
      <c r="AJ611">
        <v>87.286002609591705</v>
      </c>
      <c r="AK611">
        <v>59.947141302999597</v>
      </c>
      <c r="AL611">
        <v>89.433377495468505</v>
      </c>
      <c r="AM611">
        <v>83.465038318189102</v>
      </c>
      <c r="AN611">
        <v>0.999999987686503</v>
      </c>
    </row>
    <row r="612" spans="1:40" x14ac:dyDescent="0.25">
      <c r="A612" t="str">
        <f>"20190312161236566"</f>
        <v>20190312161236566</v>
      </c>
      <c r="B612" t="str">
        <f>"1552378356556519"</f>
        <v>1552378356556519</v>
      </c>
      <c r="C612" t="s">
        <v>40</v>
      </c>
      <c r="D612">
        <v>5.2763869999999997</v>
      </c>
      <c r="E612">
        <v>0.47517910000000002</v>
      </c>
      <c r="F612" t="s">
        <v>42</v>
      </c>
      <c r="G612">
        <v>-229.19929999999999</v>
      </c>
      <c r="H612" s="1">
        <v>-1.589156E-6</v>
      </c>
      <c r="I612">
        <v>364.6155</v>
      </c>
      <c r="J612">
        <v>-290.49220000000003</v>
      </c>
      <c r="K612">
        <v>1.060279</v>
      </c>
      <c r="L612">
        <v>367.6275</v>
      </c>
      <c r="M612">
        <v>0.9998956</v>
      </c>
      <c r="N612">
        <v>0</v>
      </c>
      <c r="O612">
        <v>-1.4201909999999999E-3</v>
      </c>
      <c r="P612">
        <v>0.99325479999999999</v>
      </c>
      <c r="Q612">
        <v>-4.4315359999999998E-3</v>
      </c>
      <c r="R612">
        <v>-0.1158704</v>
      </c>
      <c r="S612">
        <v>3.0028990000000002</v>
      </c>
      <c r="T612">
        <v>-5.1797870000000003E-2</v>
      </c>
      <c r="U612">
        <v>-0.1471558</v>
      </c>
      <c r="V612">
        <v>0.11445760000000001</v>
      </c>
      <c r="W612">
        <v>9.8783010000000008E-3</v>
      </c>
      <c r="X612">
        <v>0.99337900000000001</v>
      </c>
      <c r="Y612">
        <v>4.7520310000000003E-2</v>
      </c>
      <c r="Z612">
        <v>-3.8508649999999999E-4</v>
      </c>
      <c r="AA612">
        <v>0.99887020000000004</v>
      </c>
      <c r="AB612">
        <v>32</v>
      </c>
      <c r="AC612">
        <v>61.292900000000003</v>
      </c>
      <c r="AD612">
        <v>-1.0602805891560001</v>
      </c>
      <c r="AE612">
        <v>-3.012</v>
      </c>
      <c r="AF612">
        <v>2.9240674426695699</v>
      </c>
      <c r="AG612">
        <v>-1.0602805891560001</v>
      </c>
      <c r="AH612">
        <v>61.278823263257102</v>
      </c>
      <c r="AI612">
        <v>90.990138434286493</v>
      </c>
      <c r="AJ612">
        <v>87.268065372533002</v>
      </c>
      <c r="AK612">
        <v>61.3577097508253</v>
      </c>
      <c r="AL612">
        <v>89.4340058275247</v>
      </c>
      <c r="AM612">
        <v>83.427336519426404</v>
      </c>
      <c r="AN612">
        <v>0.99999998033470305</v>
      </c>
    </row>
    <row r="613" spans="1:40" x14ac:dyDescent="0.25">
      <c r="A613" t="str">
        <f>"20190312161236578"</f>
        <v>20190312161236578</v>
      </c>
      <c r="B613" t="str">
        <f>"1552378356566278"</f>
        <v>1552378356566278</v>
      </c>
      <c r="C613" t="s">
        <v>40</v>
      </c>
      <c r="D613">
        <v>5.0783370000000003</v>
      </c>
      <c r="E613">
        <v>0.47508919999999999</v>
      </c>
      <c r="F613" t="s">
        <v>42</v>
      </c>
      <c r="G613">
        <v>-229.4425</v>
      </c>
      <c r="H613" s="1">
        <v>-1.511115E-6</v>
      </c>
      <c r="I613">
        <v>364.59780000000001</v>
      </c>
      <c r="J613">
        <v>-290.3347</v>
      </c>
      <c r="K613">
        <v>1.0602819999999999</v>
      </c>
      <c r="L613">
        <v>367.62729999999999</v>
      </c>
      <c r="M613">
        <v>0.9998958</v>
      </c>
      <c r="N613">
        <v>0</v>
      </c>
      <c r="O613">
        <v>-1.3697550000000001E-3</v>
      </c>
      <c r="P613">
        <v>0.99322319999999997</v>
      </c>
      <c r="Q613">
        <v>-4.7434620000000004E-3</v>
      </c>
      <c r="R613">
        <v>-0.1161277</v>
      </c>
      <c r="S613">
        <v>3.0028079999999999</v>
      </c>
      <c r="T613">
        <v>-5.2151080000000002E-2</v>
      </c>
      <c r="U613">
        <v>-0.14901729999999899</v>
      </c>
      <c r="V613">
        <v>0.11476509999999999</v>
      </c>
      <c r="W613">
        <v>9.5640789999999996E-3</v>
      </c>
      <c r="X613">
        <v>0.99334659999999997</v>
      </c>
      <c r="Y613">
        <v>4.8189700000000002E-2</v>
      </c>
      <c r="Z613">
        <v>-3.944021E-4</v>
      </c>
      <c r="AA613">
        <v>0.99883809999999995</v>
      </c>
      <c r="AB613">
        <v>32</v>
      </c>
      <c r="AC613">
        <v>60.892200000000003</v>
      </c>
      <c r="AD613">
        <v>-1.060283511115</v>
      </c>
      <c r="AE613">
        <v>-3.0294999999999801</v>
      </c>
      <c r="AF613">
        <v>2.9451903889227</v>
      </c>
      <c r="AG613">
        <v>-1.060283511115</v>
      </c>
      <c r="AH613">
        <v>60.877880728819797</v>
      </c>
      <c r="AI613">
        <v>90.996629348833594</v>
      </c>
      <c r="AJ613">
        <v>87.230266375637797</v>
      </c>
      <c r="AK613">
        <v>60.9583030405485</v>
      </c>
      <c r="AL613">
        <v>89.452010275003204</v>
      </c>
      <c r="AM613">
        <v>83.409620566285398</v>
      </c>
      <c r="AN613">
        <v>0.99999998375834298</v>
      </c>
    </row>
    <row r="614" spans="1:40" x14ac:dyDescent="0.25">
      <c r="A614" t="str">
        <f>"20190312161236590"</f>
        <v>20190312161236590</v>
      </c>
      <c r="B614" t="str">
        <f>"1552378356586774"</f>
        <v>1552378356586774</v>
      </c>
      <c r="C614" t="s">
        <v>40</v>
      </c>
      <c r="D614">
        <v>5.2234339999999904</v>
      </c>
      <c r="E614">
        <v>0.47523110000000002</v>
      </c>
      <c r="F614" t="s">
        <v>42</v>
      </c>
      <c r="G614">
        <v>-230.59800000000001</v>
      </c>
      <c r="H614" s="1">
        <v>-4.8945490000000002E-6</v>
      </c>
      <c r="I614">
        <v>364.66210000000001</v>
      </c>
      <c r="J614">
        <v>-290.16480000000001</v>
      </c>
      <c r="K614">
        <v>1.060284</v>
      </c>
      <c r="L614">
        <v>367.62720000000002</v>
      </c>
      <c r="M614">
        <v>0.99989589999999995</v>
      </c>
      <c r="N614">
        <v>0</v>
      </c>
      <c r="O614">
        <v>-1.3151459999999999E-3</v>
      </c>
      <c r="P614">
        <v>0.99320850000000005</v>
      </c>
      <c r="Q614">
        <v>-4.6481830000000002E-3</v>
      </c>
      <c r="R614">
        <v>-0.116257</v>
      </c>
      <c r="S614">
        <v>3.002777</v>
      </c>
      <c r="T614">
        <v>-5.3297280000000002E-2</v>
      </c>
      <c r="U614">
        <v>-0.14904790000000001</v>
      </c>
      <c r="V614">
        <v>0.1149487</v>
      </c>
      <c r="W614">
        <v>9.6570590000000008E-3</v>
      </c>
      <c r="X614">
        <v>0.99332450000000005</v>
      </c>
      <c r="Y614">
        <v>4.825455E-2</v>
      </c>
      <c r="Z614">
        <v>-4.0461689999999999E-4</v>
      </c>
      <c r="AA614">
        <v>0.99883500000000003</v>
      </c>
      <c r="AB614">
        <v>31</v>
      </c>
      <c r="AC614">
        <v>59.566800000000001</v>
      </c>
      <c r="AD614">
        <v>-1.0602888945489899</v>
      </c>
      <c r="AE614">
        <v>-2.9651000000000001</v>
      </c>
      <c r="AF614">
        <v>2.8858382195739498</v>
      </c>
      <c r="AG614">
        <v>-1.0602888945489899</v>
      </c>
      <c r="AH614">
        <v>59.551826659109302</v>
      </c>
      <c r="AI614">
        <v>91.018818099874395</v>
      </c>
      <c r="AJ614">
        <v>87.225658489589506</v>
      </c>
      <c r="AK614">
        <v>59.631135602184003</v>
      </c>
      <c r="AL614">
        <v>89.446682683119306</v>
      </c>
      <c r="AM614">
        <v>83.3990247530716</v>
      </c>
      <c r="AN614">
        <v>1.00000001236023</v>
      </c>
    </row>
    <row r="615" spans="1:40" x14ac:dyDescent="0.25">
      <c r="A615" t="str">
        <f>"20190312161236606"</f>
        <v>20190312161236606</v>
      </c>
      <c r="B615" t="str">
        <f>"1552378356596536"</f>
        <v>1552378356596536</v>
      </c>
      <c r="C615" t="s">
        <v>40</v>
      </c>
      <c r="D615">
        <v>5.3227209999999996</v>
      </c>
      <c r="E615">
        <v>0.47523110000000002</v>
      </c>
      <c r="F615" t="s">
        <v>42</v>
      </c>
      <c r="G615">
        <v>-230.40110000000001</v>
      </c>
      <c r="H615" s="1">
        <v>-4.9843720000000002E-6</v>
      </c>
      <c r="I615">
        <v>364.63200000000001</v>
      </c>
      <c r="J615">
        <v>-289.94139999999999</v>
      </c>
      <c r="K615">
        <v>1.0602830000000001</v>
      </c>
      <c r="L615">
        <v>367.62700000000001</v>
      </c>
      <c r="M615">
        <v>0.99989589999999995</v>
      </c>
      <c r="N615">
        <v>0</v>
      </c>
      <c r="O615">
        <v>-1.2430130000000001E-3</v>
      </c>
      <c r="P615">
        <v>0.99313030000000002</v>
      </c>
      <c r="Q615">
        <v>-4.8230850000000004E-3</v>
      </c>
      <c r="R615">
        <v>-0.1169153</v>
      </c>
      <c r="S615">
        <v>3.0026549999999999</v>
      </c>
      <c r="T615">
        <v>-5.3271060000000002E-2</v>
      </c>
      <c r="U615">
        <v>-0.15048220000000001</v>
      </c>
      <c r="V615">
        <v>0.1156788</v>
      </c>
      <c r="W615">
        <v>9.478729E-3</v>
      </c>
      <c r="X615">
        <v>0.99324140000000005</v>
      </c>
      <c r="Y615">
        <v>4.8804470000000003E-2</v>
      </c>
      <c r="Z615">
        <v>-4.1058309999999999E-4</v>
      </c>
      <c r="AA615">
        <v>0.99880829999999998</v>
      </c>
      <c r="AB615">
        <v>31</v>
      </c>
      <c r="AC615">
        <v>59.540299999999903</v>
      </c>
      <c r="AD615">
        <v>-1.0602879843719999</v>
      </c>
      <c r="AE615">
        <v>-2.9950000000000001</v>
      </c>
      <c r="AF615">
        <v>2.9200569952681801</v>
      </c>
      <c r="AG615">
        <v>-1.0602879843719999</v>
      </c>
      <c r="AH615">
        <v>59.525148142608998</v>
      </c>
      <c r="AI615">
        <v>91.019244180340394</v>
      </c>
      <c r="AJ615">
        <v>87.191557960468899</v>
      </c>
      <c r="AK615">
        <v>59.606159118542102</v>
      </c>
      <c r="AL615">
        <v>89.456900675858293</v>
      </c>
      <c r="AM615">
        <v>83.356921188899094</v>
      </c>
      <c r="AN615">
        <v>0.99999995487342597</v>
      </c>
    </row>
    <row r="616" spans="1:40" x14ac:dyDescent="0.25">
      <c r="A616" t="str">
        <f>"20190312161236618"</f>
        <v>20190312161236618</v>
      </c>
      <c r="B616" t="str">
        <f>"1552378356606295"</f>
        <v>1552378356606295</v>
      </c>
      <c r="C616" t="s">
        <v>40</v>
      </c>
      <c r="D616">
        <v>5.2784050000000002</v>
      </c>
      <c r="E616">
        <v>0.475271</v>
      </c>
      <c r="F616" t="s">
        <v>42</v>
      </c>
      <c r="G616">
        <v>-230.68700000000001</v>
      </c>
      <c r="H616" s="1">
        <v>-4.8648179999999996E-6</v>
      </c>
      <c r="I616">
        <v>364.61439999999999</v>
      </c>
      <c r="J616">
        <v>-289.78429999999997</v>
      </c>
      <c r="K616">
        <v>1.060284</v>
      </c>
      <c r="L616">
        <v>367.6268</v>
      </c>
      <c r="M616">
        <v>0.99989609999999995</v>
      </c>
      <c r="N616">
        <v>0</v>
      </c>
      <c r="O616">
        <v>-1.1925799999999999E-3</v>
      </c>
      <c r="P616">
        <v>0.99310359999999998</v>
      </c>
      <c r="Q616">
        <v>-4.8999020000000003E-3</v>
      </c>
      <c r="R616">
        <v>-0.1171401</v>
      </c>
      <c r="S616">
        <v>3.0025330000000001</v>
      </c>
      <c r="T616">
        <v>-5.3726790000000003E-2</v>
      </c>
      <c r="U616">
        <v>-0.1526489</v>
      </c>
      <c r="V616">
        <v>0.1159536</v>
      </c>
      <c r="W616">
        <v>9.3995789999999999E-3</v>
      </c>
      <c r="X616">
        <v>0.99321009999999998</v>
      </c>
      <c r="Y616">
        <v>4.9575540000000001E-2</v>
      </c>
      <c r="Z616">
        <v>-4.2190000000000001E-4</v>
      </c>
      <c r="AA616">
        <v>0.9987703</v>
      </c>
      <c r="AB616">
        <v>31</v>
      </c>
      <c r="AC616">
        <v>59.097299999999898</v>
      </c>
      <c r="AD616">
        <v>-1.060288864818</v>
      </c>
      <c r="AE616">
        <v>-3.0124000000000102</v>
      </c>
      <c r="AF616">
        <v>2.9409680988975899</v>
      </c>
      <c r="AG616">
        <v>-1.060288864818</v>
      </c>
      <c r="AH616">
        <v>59.081882037499902</v>
      </c>
      <c r="AI616">
        <v>91.026853815286202</v>
      </c>
      <c r="AJ616">
        <v>87.150292361951202</v>
      </c>
      <c r="AK616">
        <v>59.164535753512403</v>
      </c>
      <c r="AL616">
        <v>89.461435834322799</v>
      </c>
      <c r="AM616">
        <v>83.341073854790395</v>
      </c>
      <c r="AN616">
        <v>0.99999994609017195</v>
      </c>
    </row>
    <row r="617" spans="1:40" x14ac:dyDescent="0.25">
      <c r="A617" t="str">
        <f>"20190312161236630"</f>
        <v>20190312161236630</v>
      </c>
      <c r="B617" t="str">
        <f>"1552378356625814"</f>
        <v>1552378356625814</v>
      </c>
      <c r="C617" t="s">
        <v>40</v>
      </c>
      <c r="D617">
        <v>5.2108679999999996</v>
      </c>
      <c r="E617">
        <v>0.47546860000000002</v>
      </c>
      <c r="F617" t="s">
        <v>42</v>
      </c>
      <c r="G617">
        <v>-230.90129999999999</v>
      </c>
      <c r="H617" s="1">
        <v>-4.7734279999999998E-6</v>
      </c>
      <c r="I617">
        <v>364.61149999999998</v>
      </c>
      <c r="J617">
        <v>-289.60700000000003</v>
      </c>
      <c r="K617">
        <v>1.0602849999999999</v>
      </c>
      <c r="L617">
        <v>367.62670000000003</v>
      </c>
      <c r="M617">
        <v>0.99989620000000001</v>
      </c>
      <c r="N617">
        <v>0</v>
      </c>
      <c r="O617">
        <v>-1.1354710000000001E-3</v>
      </c>
      <c r="P617">
        <v>0.99309179999999997</v>
      </c>
      <c r="Q617">
        <v>-4.8447439999999998E-3</v>
      </c>
      <c r="R617">
        <v>-0.1172417</v>
      </c>
      <c r="S617">
        <v>3.0024109999999999</v>
      </c>
      <c r="T617">
        <v>-5.4063439999999997E-2</v>
      </c>
      <c r="U617">
        <v>-0.15374760000000001</v>
      </c>
      <c r="V617">
        <v>0.1161121</v>
      </c>
      <c r="W617">
        <v>9.4525040000000005E-3</v>
      </c>
      <c r="X617">
        <v>0.99319109999999999</v>
      </c>
      <c r="Y617">
        <v>4.999899E-2</v>
      </c>
      <c r="Z617">
        <v>-4.2939369999999999E-4</v>
      </c>
      <c r="AA617">
        <v>0.9987492</v>
      </c>
      <c r="AB617">
        <v>31</v>
      </c>
      <c r="AC617">
        <v>58.7057</v>
      </c>
      <c r="AD617">
        <v>-1.0602897734279999</v>
      </c>
      <c r="AE617">
        <v>-3.0152000000000498</v>
      </c>
      <c r="AF617">
        <v>2.9475735800542502</v>
      </c>
      <c r="AG617">
        <v>-1.0602897734279999</v>
      </c>
      <c r="AH617">
        <v>58.689991663915698</v>
      </c>
      <c r="AI617">
        <v>91.033686889688994</v>
      </c>
      <c r="AJ617">
        <v>87.124863327450996</v>
      </c>
      <c r="AK617">
        <v>58.773527424546899</v>
      </c>
      <c r="AL617">
        <v>89.458403330741504</v>
      </c>
      <c r="AM617">
        <v>83.331927092473293</v>
      </c>
      <c r="AN617">
        <v>0.99999996535874403</v>
      </c>
    </row>
    <row r="618" spans="1:40" x14ac:dyDescent="0.25">
      <c r="A618" t="str">
        <f>"20190312161236641"</f>
        <v>20190312161236641</v>
      </c>
      <c r="B618" t="str">
        <f>"1552378356636549"</f>
        <v>1552378356636549</v>
      </c>
      <c r="C618" t="s">
        <v>40</v>
      </c>
      <c r="D618">
        <v>5.2099029999999997</v>
      </c>
      <c r="E618">
        <v>0.47555770000000003</v>
      </c>
      <c r="F618" t="s">
        <v>42</v>
      </c>
      <c r="G618">
        <v>-229.78989999999999</v>
      </c>
      <c r="H618" s="1">
        <v>-1.4106009999999999E-6</v>
      </c>
      <c r="I618">
        <v>364.53120000000001</v>
      </c>
      <c r="J618">
        <v>-289.4479</v>
      </c>
      <c r="K618">
        <v>1.0602849999999999</v>
      </c>
      <c r="L618">
        <v>367.62650000000002</v>
      </c>
      <c r="M618">
        <v>0.99989620000000001</v>
      </c>
      <c r="N618">
        <v>0</v>
      </c>
      <c r="O618">
        <v>-1.0836109999999999E-3</v>
      </c>
      <c r="P618">
        <v>0.99305739999999998</v>
      </c>
      <c r="Q618">
        <v>-4.7704059999999996E-3</v>
      </c>
      <c r="R618">
        <v>-0.1175336</v>
      </c>
      <c r="S618">
        <v>3.0022890000000002</v>
      </c>
      <c r="T618">
        <v>-5.3216930000000003E-2</v>
      </c>
      <c r="U618">
        <v>-0.155365</v>
      </c>
      <c r="V618">
        <v>0.1164558</v>
      </c>
      <c r="W618">
        <v>9.5249819999999995E-3</v>
      </c>
      <c r="X618">
        <v>0.99315019999999998</v>
      </c>
      <c r="Y618">
        <v>5.0589639999999998E-2</v>
      </c>
      <c r="Z618">
        <v>-4.2883230000000002E-4</v>
      </c>
      <c r="AA618">
        <v>0.99871949999999998</v>
      </c>
      <c r="AB618">
        <v>31</v>
      </c>
      <c r="AC618">
        <v>59.658000000000001</v>
      </c>
      <c r="AD618">
        <v>-1.0602864106009999</v>
      </c>
      <c r="AE618">
        <v>-3.0952999999999999</v>
      </c>
      <c r="AF618">
        <v>3.0296910236900798</v>
      </c>
      <c r="AG618">
        <v>-1.0602864106009999</v>
      </c>
      <c r="AH618">
        <v>59.642530679468997</v>
      </c>
      <c r="AI618">
        <v>91.017148906312798</v>
      </c>
      <c r="AJ618">
        <v>87.092017571385199</v>
      </c>
      <c r="AK618">
        <v>59.728843123091998</v>
      </c>
      <c r="AL618">
        <v>89.454250478598794</v>
      </c>
      <c r="AM618">
        <v>83.312094734175304</v>
      </c>
      <c r="AN618">
        <v>0.99999999919788995</v>
      </c>
    </row>
    <row r="619" spans="1:40" x14ac:dyDescent="0.25">
      <c r="A619" t="str">
        <f>"20190312161236663"</f>
        <v>20190312161236663</v>
      </c>
      <c r="B619" t="str">
        <f>"1552378356656069"</f>
        <v>1552378356656069</v>
      </c>
      <c r="C619" t="s">
        <v>40</v>
      </c>
      <c r="D619">
        <v>5.2225190000000001</v>
      </c>
      <c r="E619">
        <v>0.47571580000000002</v>
      </c>
      <c r="F619" t="s">
        <v>42</v>
      </c>
      <c r="G619">
        <v>-228.76949999999999</v>
      </c>
      <c r="H619" s="1">
        <v>-1.7783369999999999E-6</v>
      </c>
      <c r="I619">
        <v>364.45420000000001</v>
      </c>
      <c r="J619">
        <v>-289.1454</v>
      </c>
      <c r="K619">
        <v>1.0602910000000001</v>
      </c>
      <c r="L619">
        <v>367.62630000000001</v>
      </c>
      <c r="M619">
        <v>0.99989629999999996</v>
      </c>
      <c r="N619">
        <v>0</v>
      </c>
      <c r="O619">
        <v>-9.8596410000000002E-4</v>
      </c>
      <c r="P619">
        <v>0.99303350000000001</v>
      </c>
      <c r="Q619">
        <v>-4.7666499999999999E-3</v>
      </c>
      <c r="R619">
        <v>-0.1177383</v>
      </c>
      <c r="S619">
        <v>3.0021360000000001</v>
      </c>
      <c r="T619">
        <v>-5.2458879999999999E-2</v>
      </c>
      <c r="U619">
        <v>-0.15695190000000001</v>
      </c>
      <c r="V619">
        <v>0.11675720000000001</v>
      </c>
      <c r="W619">
        <v>9.5245050000000008E-3</v>
      </c>
      <c r="X619">
        <v>0.99311479999999996</v>
      </c>
      <c r="Y619">
        <v>5.1216379999999999E-2</v>
      </c>
      <c r="Z619">
        <v>-4.2991710000000002E-4</v>
      </c>
      <c r="AA619">
        <v>0.99868749999999995</v>
      </c>
      <c r="AB619">
        <v>31</v>
      </c>
      <c r="AC619">
        <v>60.375900000000001</v>
      </c>
      <c r="AD619">
        <v>-1.060292778337</v>
      </c>
      <c r="AE619">
        <v>-3.1720999999999999</v>
      </c>
      <c r="AF619">
        <v>3.1116068431556201</v>
      </c>
      <c r="AG619">
        <v>-1.060292778337</v>
      </c>
      <c r="AH619">
        <v>60.360434204754903</v>
      </c>
      <c r="AI619">
        <v>91.005021247737005</v>
      </c>
      <c r="AJ619">
        <v>87.0489896516399</v>
      </c>
      <c r="AK619">
        <v>60.449882839495402</v>
      </c>
      <c r="AL619">
        <v>89.454277801065501</v>
      </c>
      <c r="AM619">
        <v>83.294706293125699</v>
      </c>
      <c r="AN619">
        <v>0.99999998296318704</v>
      </c>
    </row>
    <row r="620" spans="1:40" x14ac:dyDescent="0.25">
      <c r="A620" t="str">
        <f>"20190312161236687"</f>
        <v>20190312161236687</v>
      </c>
      <c r="B620" t="str">
        <f>"1552378356676566"</f>
        <v>1552378356676566</v>
      </c>
      <c r="C620" t="s">
        <v>40</v>
      </c>
      <c r="D620">
        <v>5.5210299999999997</v>
      </c>
      <c r="E620">
        <v>0.47571580000000002</v>
      </c>
      <c r="F620" t="s">
        <v>42</v>
      </c>
      <c r="G620">
        <v>-227.97219999999999</v>
      </c>
      <c r="H620" s="1">
        <v>-2.0662689999999998E-6</v>
      </c>
      <c r="I620">
        <v>364.39179999999999</v>
      </c>
      <c r="J620">
        <v>-288.81020000000001</v>
      </c>
      <c r="K620">
        <v>1.06029</v>
      </c>
      <c r="L620">
        <v>367.62599999999998</v>
      </c>
      <c r="M620">
        <v>0.99989649999999997</v>
      </c>
      <c r="N620">
        <v>0</v>
      </c>
      <c r="O620">
        <v>-8.7746649999999999E-4</v>
      </c>
      <c r="P620">
        <v>0.99298949999999997</v>
      </c>
      <c r="Q620">
        <v>-4.9397140000000004E-3</v>
      </c>
      <c r="R620">
        <v>-0.1181001</v>
      </c>
      <c r="S620">
        <v>3.0019840000000002</v>
      </c>
      <c r="T620">
        <v>-5.2032229999999999E-2</v>
      </c>
      <c r="U620">
        <v>-0.1587219</v>
      </c>
      <c r="V620">
        <v>0.117227</v>
      </c>
      <c r="W620">
        <v>9.3471300000000004E-3</v>
      </c>
      <c r="X620">
        <v>0.99306119999999998</v>
      </c>
      <c r="Y620">
        <v>5.191461E-2</v>
      </c>
      <c r="Z620">
        <v>-4.3436180000000003E-4</v>
      </c>
      <c r="AA620">
        <v>0.99865139999999997</v>
      </c>
      <c r="AB620">
        <v>31</v>
      </c>
      <c r="AC620">
        <v>60.838000000000001</v>
      </c>
      <c r="AD620">
        <v>-1.0602920662690001</v>
      </c>
      <c r="AE620">
        <v>-3.23419999999998</v>
      </c>
      <c r="AF620">
        <v>3.17984681956175</v>
      </c>
      <c r="AG620">
        <v>-1.0602920662690001</v>
      </c>
      <c r="AH620">
        <v>60.822392672620097</v>
      </c>
      <c r="AI620">
        <v>90.9973510735947</v>
      </c>
      <c r="AJ620">
        <v>87.007252235027906</v>
      </c>
      <c r="AK620">
        <v>60.914687026069998</v>
      </c>
      <c r="AL620">
        <v>89.464441124566093</v>
      </c>
      <c r="AM620">
        <v>83.2676130882721</v>
      </c>
      <c r="AN620">
        <v>1.0000000426568301</v>
      </c>
    </row>
    <row r="621" spans="1:40" x14ac:dyDescent="0.25">
      <c r="A621" t="str">
        <f>"20190312161236699"</f>
        <v>20190312161236699</v>
      </c>
      <c r="B621" t="str">
        <f>"1552378356696085"</f>
        <v>1552378356696085</v>
      </c>
      <c r="C621" t="s">
        <v>40</v>
      </c>
      <c r="D621">
        <v>5.4478429999999998</v>
      </c>
      <c r="E621">
        <v>0.477134</v>
      </c>
      <c r="F621" t="s">
        <v>42</v>
      </c>
      <c r="G621">
        <v>-228.22200000000001</v>
      </c>
      <c r="H621" s="1">
        <v>-1.979674E-6</v>
      </c>
      <c r="I621">
        <v>364.39780000000002</v>
      </c>
      <c r="J621">
        <v>-288.63830000000002</v>
      </c>
      <c r="K621">
        <v>1.06029</v>
      </c>
      <c r="L621">
        <v>367.6259</v>
      </c>
      <c r="M621">
        <v>0.99989660000000002</v>
      </c>
      <c r="N621">
        <v>0</v>
      </c>
      <c r="O621">
        <v>-8.2238020000000001E-4</v>
      </c>
      <c r="P621">
        <v>0.99301790000000001</v>
      </c>
      <c r="Q621">
        <v>-5.0370019999999996E-3</v>
      </c>
      <c r="R621">
        <v>-0.117858199999999</v>
      </c>
      <c r="S621">
        <v>3.0018919999999998</v>
      </c>
      <c r="T621">
        <v>-5.2532910000000002E-2</v>
      </c>
      <c r="U621">
        <v>-0.15994259999999999</v>
      </c>
      <c r="V621">
        <v>0.1170397</v>
      </c>
      <c r="W621">
        <v>9.2479510000000008E-3</v>
      </c>
      <c r="X621">
        <v>0.99308419999999997</v>
      </c>
      <c r="Y621">
        <v>5.2375959999999999E-2</v>
      </c>
      <c r="Z621">
        <v>-4.4354639999999999E-4</v>
      </c>
      <c r="AA621">
        <v>0.99862740000000005</v>
      </c>
      <c r="AB621">
        <v>31</v>
      </c>
      <c r="AC621">
        <v>60.4163</v>
      </c>
      <c r="AD621">
        <v>-1.060291979674</v>
      </c>
      <c r="AE621">
        <v>-3.22809999999998</v>
      </c>
      <c r="AF621">
        <v>3.1774327728005098</v>
      </c>
      <c r="AG621">
        <v>-1.060291979674</v>
      </c>
      <c r="AH621">
        <v>60.400384547519302</v>
      </c>
      <c r="AI621">
        <v>91.004300823159596</v>
      </c>
      <c r="AJ621">
        <v>86.988664419613002</v>
      </c>
      <c r="AK621">
        <v>60.4931959115737</v>
      </c>
      <c r="AL621">
        <v>89.470123897193602</v>
      </c>
      <c r="AM621">
        <v>83.278425540194704</v>
      </c>
      <c r="AN621">
        <v>1.00000002213171</v>
      </c>
    </row>
    <row r="622" spans="1:40" x14ac:dyDescent="0.25">
      <c r="A622" t="str">
        <f>"20190312161236731"</f>
        <v>20190312161236731</v>
      </c>
      <c r="B622" t="str">
        <f>"1552378356726343"</f>
        <v>1552378356726343</v>
      </c>
      <c r="C622" t="s">
        <v>40</v>
      </c>
      <c r="D622">
        <v>5.5192600000000001</v>
      </c>
      <c r="E622">
        <v>0.47841650000000002</v>
      </c>
      <c r="F622" t="s">
        <v>42</v>
      </c>
      <c r="G622">
        <v>-230.49780000000001</v>
      </c>
      <c r="H622" s="1">
        <v>-4.9966900000000001E-6</v>
      </c>
      <c r="I622">
        <v>364.32870000000003</v>
      </c>
      <c r="J622">
        <v>-288.20760000000001</v>
      </c>
      <c r="K622">
        <v>1.0602910000000001</v>
      </c>
      <c r="L622">
        <v>367.62580000000003</v>
      </c>
      <c r="M622">
        <v>0.99989669999999997</v>
      </c>
      <c r="N622">
        <v>0</v>
      </c>
      <c r="O622">
        <v>-6.8347890000000004E-4</v>
      </c>
      <c r="P622">
        <v>0.99298629999999999</v>
      </c>
      <c r="Q622">
        <v>-5.0373229999999998E-3</v>
      </c>
      <c r="R622">
        <v>-0.1181236</v>
      </c>
      <c r="S622">
        <v>3.0005799999999998</v>
      </c>
      <c r="T622">
        <v>-5.472076E-2</v>
      </c>
      <c r="U622">
        <v>-0.17016600000000001</v>
      </c>
      <c r="V622">
        <v>0.1174432</v>
      </c>
      <c r="W622">
        <v>9.2427059999999998E-3</v>
      </c>
      <c r="X622">
        <v>0.99303660000000005</v>
      </c>
      <c r="Y622">
        <v>5.5928449999999998E-2</v>
      </c>
      <c r="Z622">
        <v>-4.9706990000000003E-4</v>
      </c>
      <c r="AA622">
        <v>0.99843470000000001</v>
      </c>
      <c r="AB622">
        <v>31</v>
      </c>
      <c r="AC622">
        <v>57.709800000000001</v>
      </c>
      <c r="AD622">
        <v>-1.0602959966900001</v>
      </c>
      <c r="AE622">
        <v>-3.2970999999999999</v>
      </c>
      <c r="AF622">
        <v>3.2565560164458902</v>
      </c>
      <c r="AG622">
        <v>-1.0602959966900001</v>
      </c>
      <c r="AH622">
        <v>57.692628701084701</v>
      </c>
      <c r="AI622">
        <v>91.051211038064693</v>
      </c>
      <c r="AJ622">
        <v>86.769273157228398</v>
      </c>
      <c r="AK622">
        <v>57.794193403230999</v>
      </c>
      <c r="AL622">
        <v>89.470424420441304</v>
      </c>
      <c r="AM622">
        <v>83.255145388786801</v>
      </c>
      <c r="AN622">
        <v>1.00000001089</v>
      </c>
    </row>
    <row r="623" spans="1:40" x14ac:dyDescent="0.25">
      <c r="A623" t="str">
        <f>"20190312161236743"</f>
        <v>20190312161236743</v>
      </c>
      <c r="B623" t="str">
        <f>"1552378356736102"</f>
        <v>1552378356736102</v>
      </c>
      <c r="C623" t="s">
        <v>40</v>
      </c>
      <c r="D623">
        <v>5.56088</v>
      </c>
      <c r="E623">
        <v>0.47906470000000001</v>
      </c>
      <c r="F623" t="s">
        <v>42</v>
      </c>
      <c r="G623">
        <v>-232.29150000000001</v>
      </c>
      <c r="H623" s="1">
        <v>-4.2411190000000002E-6</v>
      </c>
      <c r="I623">
        <v>364.25020000000001</v>
      </c>
      <c r="J623">
        <v>-288.02100000000002</v>
      </c>
      <c r="K623">
        <v>1.0602929999999999</v>
      </c>
      <c r="L623">
        <v>367.62569999999999</v>
      </c>
      <c r="M623">
        <v>0.99989689999999998</v>
      </c>
      <c r="N623">
        <v>0</v>
      </c>
      <c r="O623">
        <v>-6.2326959999999996E-4</v>
      </c>
      <c r="P623">
        <v>0.99301030000000001</v>
      </c>
      <c r="Q623">
        <v>-4.8816800000000002E-3</v>
      </c>
      <c r="R623">
        <v>-0.11792809999999999</v>
      </c>
      <c r="S623">
        <v>2.9993590000000001</v>
      </c>
      <c r="T623">
        <v>-5.6874510000000003E-2</v>
      </c>
      <c r="U623">
        <v>-0.18106079999999999</v>
      </c>
      <c r="V623">
        <v>0.1173073</v>
      </c>
      <c r="W623">
        <v>9.3967180000000001E-3</v>
      </c>
      <c r="X623">
        <v>0.99305120000000002</v>
      </c>
      <c r="Y623">
        <v>5.962402E-2</v>
      </c>
      <c r="Z623">
        <v>-5.5292939999999999E-4</v>
      </c>
      <c r="AA623">
        <v>0.99822069999999996</v>
      </c>
      <c r="AB623">
        <v>31</v>
      </c>
      <c r="AC623">
        <v>55.729499999999902</v>
      </c>
      <c r="AD623">
        <v>-1.0602972411189999</v>
      </c>
      <c r="AE623">
        <v>-3.3754999999999802</v>
      </c>
      <c r="AF623">
        <v>3.3395568310819601</v>
      </c>
      <c r="AG623">
        <v>-1.0602972411189999</v>
      </c>
      <c r="AH623">
        <v>55.711500482337101</v>
      </c>
      <c r="AI623">
        <v>91.088364334339303</v>
      </c>
      <c r="AJ623">
        <v>86.569580386912193</v>
      </c>
      <c r="AK623">
        <v>55.821574288629698</v>
      </c>
      <c r="AL623">
        <v>89.4615997902592</v>
      </c>
      <c r="AM623">
        <v>83.262976588360999</v>
      </c>
      <c r="AN623">
        <v>0.99999999338195</v>
      </c>
    </row>
    <row r="624" spans="1:40" x14ac:dyDescent="0.25">
      <c r="A624" t="str">
        <f>"20190312161236756"</f>
        <v>20190312161236756</v>
      </c>
      <c r="B624" t="str">
        <f>"1552378356745862"</f>
        <v>1552378356745862</v>
      </c>
      <c r="C624" t="s">
        <v>40</v>
      </c>
      <c r="D624">
        <v>5.4888709999999996</v>
      </c>
      <c r="E624">
        <v>0.47962680000000002</v>
      </c>
      <c r="F624" t="s">
        <v>42</v>
      </c>
      <c r="G624">
        <v>-232.44710000000001</v>
      </c>
      <c r="H624" s="1">
        <v>-4.1864710000000003E-6</v>
      </c>
      <c r="I624">
        <v>364.18200000000002</v>
      </c>
      <c r="J624">
        <v>-287.84449999999998</v>
      </c>
      <c r="K624">
        <v>1.0602910000000001</v>
      </c>
      <c r="L624">
        <v>367.62560000000002</v>
      </c>
      <c r="M624">
        <v>0.99989689999999998</v>
      </c>
      <c r="N624">
        <v>0</v>
      </c>
      <c r="O624">
        <v>-5.661625E-4</v>
      </c>
      <c r="P624">
        <v>0.99301050000000002</v>
      </c>
      <c r="Q624">
        <v>-4.8312620000000002E-3</v>
      </c>
      <c r="R624">
        <v>-0.1179283</v>
      </c>
      <c r="S624">
        <v>2.9988100000000002</v>
      </c>
      <c r="T624">
        <v>-5.7214380000000002E-2</v>
      </c>
      <c r="U624">
        <v>-0.1858215</v>
      </c>
      <c r="V624">
        <v>0.1173643</v>
      </c>
      <c r="W624">
        <v>9.4444009999999998E-3</v>
      </c>
      <c r="X624">
        <v>0.99304400000000004</v>
      </c>
      <c r="Y624">
        <v>6.1270329999999998E-2</v>
      </c>
      <c r="Z624">
        <v>-5.7308469999999999E-4</v>
      </c>
      <c r="AA624">
        <v>0.99812100000000004</v>
      </c>
      <c r="AB624">
        <v>31</v>
      </c>
      <c r="AC624">
        <v>55.397399999999898</v>
      </c>
      <c r="AD624">
        <v>-1.060295186471</v>
      </c>
      <c r="AE624">
        <v>-3.4436000000000599</v>
      </c>
      <c r="AF624">
        <v>3.4109875446039299</v>
      </c>
      <c r="AG624">
        <v>-1.060295186471</v>
      </c>
      <c r="AH624">
        <v>55.379131900842602</v>
      </c>
      <c r="AI624">
        <v>91.094783335939496</v>
      </c>
      <c r="AJ624">
        <v>86.475412290732095</v>
      </c>
      <c r="AK624">
        <v>55.494209715994899</v>
      </c>
      <c r="AL624">
        <v>89.458867627529102</v>
      </c>
      <c r="AM624">
        <v>83.259684737767301</v>
      </c>
      <c r="AN624">
        <v>0.999999980780369</v>
      </c>
    </row>
    <row r="625" spans="1:40" x14ac:dyDescent="0.25">
      <c r="A625" t="str">
        <f>"20190312161236770"</f>
        <v>20190312161236770</v>
      </c>
      <c r="B625" t="str">
        <f>"1552378356766358"</f>
        <v>1552378356766358</v>
      </c>
      <c r="C625" t="s">
        <v>40</v>
      </c>
      <c r="D625">
        <v>5.5631309999999896</v>
      </c>
      <c r="E625">
        <v>0.48075990000000002</v>
      </c>
      <c r="F625" t="s">
        <v>42</v>
      </c>
      <c r="G625">
        <v>-232.97970000000001</v>
      </c>
      <c r="H625" s="1">
        <v>-3.9644770000000003E-6</v>
      </c>
      <c r="I625">
        <v>364.1454</v>
      </c>
      <c r="J625">
        <v>-287.65769999999998</v>
      </c>
      <c r="K625">
        <v>1.060292</v>
      </c>
      <c r="L625">
        <v>367.62560000000002</v>
      </c>
      <c r="M625">
        <v>0.99989680000000003</v>
      </c>
      <c r="N625">
        <v>0</v>
      </c>
      <c r="O625">
        <v>-5.0524089999999999E-4</v>
      </c>
      <c r="P625">
        <v>0.99302389999999996</v>
      </c>
      <c r="Q625">
        <v>-4.7971979999999999E-3</v>
      </c>
      <c r="R625">
        <v>-0.1178149</v>
      </c>
      <c r="S625">
        <v>2.99823</v>
      </c>
      <c r="T625">
        <v>-5.7942510000000003E-2</v>
      </c>
      <c r="U625">
        <v>-0.19018550000000001</v>
      </c>
      <c r="V625">
        <v>0.1173115</v>
      </c>
      <c r="W625">
        <v>9.4763450000000006E-3</v>
      </c>
      <c r="X625">
        <v>0.99304999999999999</v>
      </c>
      <c r="Y625">
        <v>6.2789510000000007E-2</v>
      </c>
      <c r="Z625">
        <v>-5.9630160000000002E-4</v>
      </c>
      <c r="AA625">
        <v>0.99802659999999999</v>
      </c>
      <c r="AB625">
        <v>31</v>
      </c>
      <c r="AC625">
        <v>54.677999999999898</v>
      </c>
      <c r="AD625">
        <v>-1.060295964477</v>
      </c>
      <c r="AE625">
        <v>-3.4802000000000199</v>
      </c>
      <c r="AF625">
        <v>3.45127857885171</v>
      </c>
      <c r="AG625">
        <v>-1.060295964477</v>
      </c>
      <c r="AH625">
        <v>54.659280636024597</v>
      </c>
      <c r="AI625">
        <v>91.109091976322304</v>
      </c>
      <c r="AJ625">
        <v>86.387044831951997</v>
      </c>
      <c r="AK625">
        <v>54.778394563995903</v>
      </c>
      <c r="AL625">
        <v>89.457037324521806</v>
      </c>
      <c r="AM625">
        <v>83.262729530815506</v>
      </c>
      <c r="AN625">
        <v>1.0000000458234</v>
      </c>
    </row>
    <row r="626" spans="1:40" x14ac:dyDescent="0.25">
      <c r="A626" t="str">
        <f>"20190312161236784"</f>
        <v>20190312161236784</v>
      </c>
      <c r="B626" t="str">
        <f>"1552378356776118"</f>
        <v>1552378356776118</v>
      </c>
      <c r="C626" t="s">
        <v>40</v>
      </c>
      <c r="D626">
        <v>5.5780799999999999</v>
      </c>
      <c r="E626">
        <v>0.48130709999999999</v>
      </c>
      <c r="F626" t="s">
        <v>42</v>
      </c>
      <c r="G626">
        <v>-234.5077</v>
      </c>
      <c r="H626" s="1">
        <v>-3.321373E-6</v>
      </c>
      <c r="I626">
        <v>364.10579999999999</v>
      </c>
      <c r="J626">
        <v>-287.43990000000002</v>
      </c>
      <c r="K626">
        <v>1.0602929999999999</v>
      </c>
      <c r="L626">
        <v>367.62549999999999</v>
      </c>
      <c r="M626">
        <v>0.99989689999999998</v>
      </c>
      <c r="N626">
        <v>0</v>
      </c>
      <c r="O626">
        <v>-4.3489389999999998E-4</v>
      </c>
      <c r="P626">
        <v>0.99304179999999997</v>
      </c>
      <c r="Q626">
        <v>-4.6109150000000002E-3</v>
      </c>
      <c r="R626">
        <v>-0.11767279999999999</v>
      </c>
      <c r="S626">
        <v>2.997223</v>
      </c>
      <c r="T626">
        <v>-5.9791799999999999E-2</v>
      </c>
      <c r="U626">
        <v>-0.1984863</v>
      </c>
      <c r="V626">
        <v>0.117239</v>
      </c>
      <c r="W626">
        <v>9.6608730000000004E-3</v>
      </c>
      <c r="X626">
        <v>0.99305670000000001</v>
      </c>
      <c r="Y626">
        <v>6.5631770000000006E-2</v>
      </c>
      <c r="Z626">
        <v>-6.4519899999999995E-4</v>
      </c>
      <c r="AA626">
        <v>0.9978437</v>
      </c>
      <c r="AB626">
        <v>31</v>
      </c>
      <c r="AC626">
        <v>52.932200000000002</v>
      </c>
      <c r="AD626">
        <v>-1.0602963213729999</v>
      </c>
      <c r="AE626">
        <v>-3.5196999999999998</v>
      </c>
      <c r="AF626">
        <v>3.4952810984024798</v>
      </c>
      <c r="AG626">
        <v>-1.0602963213729999</v>
      </c>
      <c r="AH626">
        <v>52.9125881526206</v>
      </c>
      <c r="AI626">
        <v>91.145480049517602</v>
      </c>
      <c r="AJ626">
        <v>86.220666392350395</v>
      </c>
      <c r="AK626">
        <v>53.038506796994398</v>
      </c>
      <c r="AL626">
        <v>89.446464119224999</v>
      </c>
      <c r="AM626">
        <v>83.266900020507293</v>
      </c>
      <c r="AN626">
        <v>0.99999996250150502</v>
      </c>
    </row>
    <row r="627" spans="1:40" x14ac:dyDescent="0.25">
      <c r="A627" t="str">
        <f>"20190312161236807"</f>
        <v>20190312161236807</v>
      </c>
      <c r="B627" t="str">
        <f>"1552378356796614"</f>
        <v>1552378356796614</v>
      </c>
      <c r="C627" t="s">
        <v>40</v>
      </c>
      <c r="D627">
        <v>5.770473</v>
      </c>
      <c r="E627">
        <v>0.48243629999999998</v>
      </c>
      <c r="F627" t="s">
        <v>42</v>
      </c>
      <c r="G627">
        <v>-234.38509999999999</v>
      </c>
      <c r="H627" s="1">
        <v>-3.3802630000000001E-6</v>
      </c>
      <c r="I627">
        <v>364.0412</v>
      </c>
      <c r="J627">
        <v>-287.14170000000001</v>
      </c>
      <c r="K627">
        <v>1.0602940000000001</v>
      </c>
      <c r="L627">
        <v>367.62549999999999</v>
      </c>
      <c r="M627">
        <v>0.99989720000000004</v>
      </c>
      <c r="N627">
        <v>0</v>
      </c>
      <c r="O627">
        <v>-3.3867780000000001E-4</v>
      </c>
      <c r="P627">
        <v>0.99305429999999995</v>
      </c>
      <c r="Q627">
        <v>-4.7076050000000001E-3</v>
      </c>
      <c r="R627">
        <v>-0.1175663</v>
      </c>
      <c r="S627">
        <v>2.9967039999999998</v>
      </c>
      <c r="T627">
        <v>-5.9888839999999999E-2</v>
      </c>
      <c r="U627">
        <v>-0.20245360000000001</v>
      </c>
      <c r="V627">
        <v>0.1172281</v>
      </c>
      <c r="W627">
        <v>9.5607420000000005E-3</v>
      </c>
      <c r="X627">
        <v>0.99305900000000003</v>
      </c>
      <c r="Y627">
        <v>6.7053909999999994E-2</v>
      </c>
      <c r="Z627">
        <v>-6.6244299999999997E-4</v>
      </c>
      <c r="AA627">
        <v>0.99774910000000006</v>
      </c>
      <c r="AB627">
        <v>31</v>
      </c>
      <c r="AC627">
        <v>52.756599999999999</v>
      </c>
      <c r="AD627">
        <v>-1.060297380263</v>
      </c>
      <c r="AE627">
        <v>-3.5842999999999798</v>
      </c>
      <c r="AF627">
        <v>3.5649970906247801</v>
      </c>
      <c r="AG627">
        <v>-1.060297380263</v>
      </c>
      <c r="AH627">
        <v>52.736607210327499</v>
      </c>
      <c r="AI627">
        <v>91.149184714227701</v>
      </c>
      <c r="AJ627">
        <v>86.132686395351897</v>
      </c>
      <c r="AK627">
        <v>52.8676004264154</v>
      </c>
      <c r="AL627">
        <v>89.452201492140205</v>
      </c>
      <c r="AM627">
        <v>83.267535716775498</v>
      </c>
      <c r="AN627">
        <v>1.0000000063490999</v>
      </c>
    </row>
    <row r="628" spans="1:40" x14ac:dyDescent="0.25">
      <c r="A628" t="str">
        <f>"20190312161236820"</f>
        <v>20190312161236820</v>
      </c>
      <c r="B628" t="str">
        <f>"1552378356816134"</f>
        <v>1552378356816134</v>
      </c>
      <c r="C628" t="s">
        <v>40</v>
      </c>
      <c r="D628">
        <v>5.517684</v>
      </c>
      <c r="E628">
        <v>0.48340169999999999</v>
      </c>
      <c r="F628" t="s">
        <v>42</v>
      </c>
      <c r="G628">
        <v>-234.95650000000001</v>
      </c>
      <c r="H628" s="1">
        <v>-3.2112330000000001E-6</v>
      </c>
      <c r="I628">
        <v>363.94560000000001</v>
      </c>
      <c r="J628">
        <v>-286.96980000000002</v>
      </c>
      <c r="K628">
        <v>1.060295</v>
      </c>
      <c r="L628">
        <v>367.62549999999999</v>
      </c>
      <c r="M628">
        <v>0.99989709999999998</v>
      </c>
      <c r="N628">
        <v>0</v>
      </c>
      <c r="O628">
        <v>-2.831151E-4</v>
      </c>
      <c r="P628">
        <v>0.99307160000000005</v>
      </c>
      <c r="Q628">
        <v>-4.5742079999999997E-3</v>
      </c>
      <c r="R628">
        <v>-0.1174246</v>
      </c>
      <c r="S628">
        <v>2.9957280000000002</v>
      </c>
      <c r="T628">
        <v>-6.0867070000000002E-2</v>
      </c>
      <c r="U628">
        <v>-0.21124270000000001</v>
      </c>
      <c r="V628">
        <v>0.1171415</v>
      </c>
      <c r="W628">
        <v>9.6923430000000008E-3</v>
      </c>
      <c r="X628">
        <v>0.9930679</v>
      </c>
      <c r="Y628">
        <v>7.0043229999999998E-2</v>
      </c>
      <c r="Z628">
        <v>-7.0486720000000004E-4</v>
      </c>
      <c r="AA628">
        <v>0.99754370000000003</v>
      </c>
      <c r="AB628">
        <v>31</v>
      </c>
      <c r="AC628">
        <v>52.013300000000001</v>
      </c>
      <c r="AD628">
        <v>-1.0602982112329999</v>
      </c>
      <c r="AE628">
        <v>-3.6798999999999702</v>
      </c>
      <c r="AF628">
        <v>3.6636577227662999</v>
      </c>
      <c r="AG628">
        <v>-1.0602982112329999</v>
      </c>
      <c r="AH628">
        <v>51.992841643682603</v>
      </c>
      <c r="AI628">
        <v>91.165391064621005</v>
      </c>
      <c r="AJ628">
        <v>85.969334882697396</v>
      </c>
      <c r="AK628">
        <v>52.132544560872702</v>
      </c>
      <c r="AL628">
        <v>89.444660936980299</v>
      </c>
      <c r="AM628">
        <v>83.272523332120997</v>
      </c>
      <c r="AN628">
        <v>0.99999996327274399</v>
      </c>
    </row>
    <row r="629" spans="1:40" x14ac:dyDescent="0.25">
      <c r="A629" t="str">
        <f>"20190312161236831"</f>
        <v>20190312161236831</v>
      </c>
      <c r="B629" t="str">
        <f>"1552378356825894"</f>
        <v>1552378356825894</v>
      </c>
      <c r="C629" t="s">
        <v>40</v>
      </c>
      <c r="D629">
        <v>5.6103310000000004</v>
      </c>
      <c r="E629">
        <v>0.48389130000000002</v>
      </c>
      <c r="F629" t="s">
        <v>42</v>
      </c>
      <c r="G629">
        <v>-235.45310000000001</v>
      </c>
      <c r="H629" s="1">
        <v>-3.0619740000000002E-6</v>
      </c>
      <c r="I629">
        <v>363.87150000000003</v>
      </c>
      <c r="J629">
        <v>-286.80040000000002</v>
      </c>
      <c r="K629">
        <v>1.060295</v>
      </c>
      <c r="L629">
        <v>367.62549999999999</v>
      </c>
      <c r="M629">
        <v>0.99989709999999998</v>
      </c>
      <c r="N629">
        <v>0</v>
      </c>
      <c r="O629">
        <v>-2.2862610000000001E-4</v>
      </c>
      <c r="P629">
        <v>0.99308350000000001</v>
      </c>
      <c r="Q629">
        <v>-4.5665799999999998E-3</v>
      </c>
      <c r="R629">
        <v>-0.1173222</v>
      </c>
      <c r="S629">
        <v>2.9948429999999999</v>
      </c>
      <c r="T629">
        <v>-6.1638709999999999E-2</v>
      </c>
      <c r="U629">
        <v>-0.21823119999999999</v>
      </c>
      <c r="V629">
        <v>0.1170933</v>
      </c>
      <c r="W629">
        <v>9.6980639999999993E-3</v>
      </c>
      <c r="X629">
        <v>0.9930736</v>
      </c>
      <c r="Y629">
        <v>7.2433049999999999E-2</v>
      </c>
      <c r="Z629">
        <v>-7.3963030000000001E-4</v>
      </c>
      <c r="AA629">
        <v>0.99737299999999995</v>
      </c>
      <c r="AB629">
        <v>31</v>
      </c>
      <c r="AC629">
        <v>51.347299999999997</v>
      </c>
      <c r="AD629">
        <v>-1.0602980619739999</v>
      </c>
      <c r="AE629">
        <v>-3.75399999999996</v>
      </c>
      <c r="AF629">
        <v>3.7406728055840999</v>
      </c>
      <c r="AG629">
        <v>-1.0602980619739999</v>
      </c>
      <c r="AH629">
        <v>51.326387618512001</v>
      </c>
      <c r="AI629">
        <v>91.180315559329003</v>
      </c>
      <c r="AJ629">
        <v>85.831646912580993</v>
      </c>
      <c r="AK629">
        <v>51.473439082544303</v>
      </c>
      <c r="AL629">
        <v>89.444333171811095</v>
      </c>
      <c r="AM629">
        <v>83.275304362797897</v>
      </c>
      <c r="AN629">
        <v>1.00000003418359</v>
      </c>
    </row>
    <row r="630" spans="1:40" x14ac:dyDescent="0.25">
      <c r="A630" t="str">
        <f>"20190312161236843"</f>
        <v>20190312161236843</v>
      </c>
      <c r="B630" t="str">
        <f>"1552378356836631"</f>
        <v>1552378356836631</v>
      </c>
      <c r="C630" t="s">
        <v>40</v>
      </c>
      <c r="D630">
        <v>5.5405989999999896</v>
      </c>
      <c r="E630">
        <v>0.4844059</v>
      </c>
      <c r="F630" t="s">
        <v>42</v>
      </c>
      <c r="G630">
        <v>-235.6884</v>
      </c>
      <c r="H630" s="1">
        <v>-2.9906740000000001E-6</v>
      </c>
      <c r="I630">
        <v>363.83850000000001</v>
      </c>
      <c r="J630">
        <v>-286.63189999999997</v>
      </c>
      <c r="K630">
        <v>1.0602940000000001</v>
      </c>
      <c r="L630">
        <v>367.62549999999999</v>
      </c>
      <c r="M630">
        <v>0.99989720000000004</v>
      </c>
      <c r="N630">
        <v>0</v>
      </c>
      <c r="O630">
        <v>-1.7425860000000001E-4</v>
      </c>
      <c r="P630">
        <v>0.99307979999999996</v>
      </c>
      <c r="Q630">
        <v>-4.6335609999999996E-3</v>
      </c>
      <c r="R630">
        <v>-0.11735130000000001</v>
      </c>
      <c r="S630">
        <v>2.9944459999999999</v>
      </c>
      <c r="T630">
        <v>-6.2118529999999998E-2</v>
      </c>
      <c r="U630">
        <v>-0.2218628</v>
      </c>
      <c r="V630">
        <v>0.1171764</v>
      </c>
      <c r="W630">
        <v>9.6294039999999994E-3</v>
      </c>
      <c r="X630">
        <v>0.99306439999999996</v>
      </c>
      <c r="Y630">
        <v>7.3699379999999995E-2</v>
      </c>
      <c r="Z630">
        <v>-7.5969359999999997E-4</v>
      </c>
      <c r="AA630">
        <v>0.99728019999999995</v>
      </c>
      <c r="AB630">
        <v>31</v>
      </c>
      <c r="AC630">
        <v>50.943499999999901</v>
      </c>
      <c r="AD630">
        <v>-1.0602969906739901</v>
      </c>
      <c r="AE630">
        <v>-3.7869999999999702</v>
      </c>
      <c r="AF630">
        <v>3.7764947412196599</v>
      </c>
      <c r="AG630">
        <v>-1.0602969906739901</v>
      </c>
      <c r="AH630">
        <v>50.922221489752197</v>
      </c>
      <c r="AI630">
        <v>91.1895682744086</v>
      </c>
      <c r="AJ630">
        <v>85.758593875978093</v>
      </c>
      <c r="AK630">
        <v>51.073072980684003</v>
      </c>
      <c r="AL630">
        <v>89.448267247274302</v>
      </c>
      <c r="AM630">
        <v>83.270513892317197</v>
      </c>
      <c r="AN630">
        <v>0.99999996834285698</v>
      </c>
    </row>
    <row r="631" spans="1:40" x14ac:dyDescent="0.25">
      <c r="A631" t="str">
        <f>"20190312161236856"</f>
        <v>20190312161236856</v>
      </c>
      <c r="B631" t="str">
        <f>"1552378356846391"</f>
        <v>1552378356846391</v>
      </c>
      <c r="C631" t="s">
        <v>40</v>
      </c>
      <c r="D631">
        <v>5.5390680000000003</v>
      </c>
      <c r="E631">
        <v>0.48489569999999999</v>
      </c>
      <c r="F631" t="s">
        <v>42</v>
      </c>
      <c r="G631">
        <v>-236.82929999999999</v>
      </c>
      <c r="H631" s="1">
        <v>-2.594603E-6</v>
      </c>
      <c r="I631">
        <v>363.86790000000002</v>
      </c>
      <c r="J631">
        <v>-286.47019999999998</v>
      </c>
      <c r="K631">
        <v>1.06029</v>
      </c>
      <c r="L631">
        <v>367.62560000000002</v>
      </c>
      <c r="M631">
        <v>0.99989740000000005</v>
      </c>
      <c r="N631">
        <v>0</v>
      </c>
      <c r="O631">
        <v>-1.221568E-4</v>
      </c>
      <c r="P631">
        <v>0.99308379999999996</v>
      </c>
      <c r="Q631">
        <v>-4.762573E-3</v>
      </c>
      <c r="R631">
        <v>-0.117313</v>
      </c>
      <c r="S631">
        <v>2.9939269999999998</v>
      </c>
      <c r="T631">
        <v>-6.3740489999999997E-2</v>
      </c>
      <c r="U631">
        <v>-0.22589110000000001</v>
      </c>
      <c r="V631">
        <v>0.11719010000000001</v>
      </c>
      <c r="W631">
        <v>9.4982799999999996E-3</v>
      </c>
      <c r="X631">
        <v>0.99306410000000001</v>
      </c>
      <c r="Y631">
        <v>7.5097230000000001E-2</v>
      </c>
      <c r="Z631">
        <v>-7.9558570000000004E-4</v>
      </c>
      <c r="AA631">
        <v>0.9971759</v>
      </c>
      <c r="AB631">
        <v>31</v>
      </c>
      <c r="AC631">
        <v>49.640899999999903</v>
      </c>
      <c r="AD631">
        <v>-1.060292594603</v>
      </c>
      <c r="AE631">
        <v>-3.7576999999999998</v>
      </c>
      <c r="AF631">
        <v>3.7499343369237002</v>
      </c>
      <c r="AG631">
        <v>-1.060292594603</v>
      </c>
      <c r="AH631">
        <v>49.618850679685302</v>
      </c>
      <c r="AI631">
        <v>91.220672685665804</v>
      </c>
      <c r="AJ631">
        <v>85.678099115558695</v>
      </c>
      <c r="AK631">
        <v>49.771644243387399</v>
      </c>
      <c r="AL631">
        <v>89.455780472008399</v>
      </c>
      <c r="AM631">
        <v>83.269732298637095</v>
      </c>
      <c r="AN631">
        <v>1.0000000217848799</v>
      </c>
    </row>
    <row r="632" spans="1:40" x14ac:dyDescent="0.25">
      <c r="A632" t="str">
        <f>"20190312161236868"</f>
        <v>20190312161236868</v>
      </c>
      <c r="B632" t="str">
        <f>"1552378356856150"</f>
        <v>1552378356856150</v>
      </c>
      <c r="C632" t="s">
        <v>40</v>
      </c>
      <c r="D632">
        <v>5.6445160000000003</v>
      </c>
      <c r="E632">
        <v>0.48533189999999998</v>
      </c>
      <c r="F632" t="s">
        <v>42</v>
      </c>
      <c r="G632">
        <v>-237.8904</v>
      </c>
      <c r="H632" s="1">
        <v>-2.225188E-6</v>
      </c>
      <c r="I632">
        <v>363.89920000000001</v>
      </c>
      <c r="J632">
        <v>-286.28879999999998</v>
      </c>
      <c r="K632">
        <v>1.0602910000000001</v>
      </c>
      <c r="L632">
        <v>367.62560000000002</v>
      </c>
      <c r="M632">
        <v>0.99989740000000005</v>
      </c>
      <c r="N632">
        <v>0</v>
      </c>
      <c r="O632" s="1">
        <v>-6.3259379999999998E-5</v>
      </c>
      <c r="P632">
        <v>0.99305960000000004</v>
      </c>
      <c r="Q632">
        <v>-4.8440250000000001E-3</v>
      </c>
      <c r="R632">
        <v>-0.1175134</v>
      </c>
      <c r="S632">
        <v>2.993439</v>
      </c>
      <c r="T632">
        <v>-6.5333959999999996E-2</v>
      </c>
      <c r="U632">
        <v>-0.22961429999999999</v>
      </c>
      <c r="V632">
        <v>0.117449</v>
      </c>
      <c r="W632">
        <v>9.4148359999999993E-3</v>
      </c>
      <c r="X632">
        <v>0.99303430000000004</v>
      </c>
      <c r="Y632">
        <v>7.6400029999999994E-2</v>
      </c>
      <c r="Z632">
        <v>-8.3104279999999999E-4</v>
      </c>
      <c r="AA632">
        <v>0.99707690000000004</v>
      </c>
      <c r="AB632">
        <v>31</v>
      </c>
      <c r="AC632">
        <v>48.398399999999903</v>
      </c>
      <c r="AD632">
        <v>-1.060293225188</v>
      </c>
      <c r="AE632">
        <v>-3.7264000000000101</v>
      </c>
      <c r="AF632">
        <v>3.7215624125887099</v>
      </c>
      <c r="AG632">
        <v>-1.060293225188</v>
      </c>
      <c r="AH632">
        <v>48.3755549571095</v>
      </c>
      <c r="AI632">
        <v>91.251907317706696</v>
      </c>
      <c r="AJ632">
        <v>85.6008638508319</v>
      </c>
      <c r="AK632">
        <v>48.530078981210202</v>
      </c>
      <c r="AL632">
        <v>89.460561670442502</v>
      </c>
      <c r="AM632">
        <v>83.254799880549996</v>
      </c>
      <c r="AN632">
        <v>1.0000000138571901</v>
      </c>
    </row>
    <row r="633" spans="1:40" x14ac:dyDescent="0.25">
      <c r="A633" t="str">
        <f>"20190312161236882"</f>
        <v>20190312161236882</v>
      </c>
      <c r="B633" t="str">
        <f>"1552378356876646"</f>
        <v>1552378356876646</v>
      </c>
      <c r="C633" t="s">
        <v>40</v>
      </c>
      <c r="D633">
        <v>5.6014549999999996</v>
      </c>
      <c r="E633">
        <v>0.48623840000000002</v>
      </c>
      <c r="F633" t="s">
        <v>42</v>
      </c>
      <c r="G633">
        <v>-238.3426</v>
      </c>
      <c r="H633" s="1">
        <v>-2.0763520000000001E-6</v>
      </c>
      <c r="I633">
        <v>363.8802</v>
      </c>
      <c r="J633">
        <v>-286.09480000000002</v>
      </c>
      <c r="K633">
        <v>1.0602910000000001</v>
      </c>
      <c r="L633">
        <v>367.62569999999999</v>
      </c>
      <c r="M633">
        <v>0.99989740000000005</v>
      </c>
      <c r="N633">
        <v>0</v>
      </c>
      <c r="O633" s="1">
        <v>-1.40426E-8</v>
      </c>
      <c r="P633">
        <v>0.99306499999999998</v>
      </c>
      <c r="Q633">
        <v>-5.0162130000000003E-3</v>
      </c>
      <c r="R633">
        <v>-0.1174616</v>
      </c>
      <c r="S633">
        <v>2.99295</v>
      </c>
      <c r="T633">
        <v>-6.6186549999999997E-2</v>
      </c>
      <c r="U633">
        <v>-0.23379520000000001</v>
      </c>
      <c r="V633">
        <v>0.11745990000000001</v>
      </c>
      <c r="W633">
        <v>9.2403220000000005E-3</v>
      </c>
      <c r="X633">
        <v>0.99303470000000005</v>
      </c>
      <c r="Y633">
        <v>7.7859100000000001E-2</v>
      </c>
      <c r="Z633">
        <v>-8.5947979999999996E-4</v>
      </c>
      <c r="AA633">
        <v>0.99696399999999996</v>
      </c>
      <c r="AB633">
        <v>31</v>
      </c>
      <c r="AC633">
        <v>47.752200000000002</v>
      </c>
      <c r="AD633">
        <v>-1.060293076352</v>
      </c>
      <c r="AE633">
        <v>-3.7454999999999901</v>
      </c>
      <c r="AF633">
        <v>3.7436649111496401</v>
      </c>
      <c r="AG633">
        <v>-1.060293076352</v>
      </c>
      <c r="AH633">
        <v>47.728812648693598</v>
      </c>
      <c r="AI633">
        <v>91.268717966149197</v>
      </c>
      <c r="AJ633">
        <v>85.515121216974805</v>
      </c>
      <c r="AK633">
        <v>47.887146555509297</v>
      </c>
      <c r="AL633">
        <v>89.470561047282601</v>
      </c>
      <c r="AM633">
        <v>83.254182344848104</v>
      </c>
      <c r="AN633">
        <v>1.0000000635313799</v>
      </c>
    </row>
    <row r="634" spans="1:40" x14ac:dyDescent="0.25">
      <c r="A634" t="str">
        <f>"20190312161236897"</f>
        <v>20190312161236897</v>
      </c>
      <c r="B634" t="str">
        <f>"1552378356886407"</f>
        <v>1552378356886407</v>
      </c>
      <c r="C634" t="s">
        <v>40</v>
      </c>
      <c r="D634">
        <v>5.6915290000000001</v>
      </c>
      <c r="E634">
        <v>0.4866412</v>
      </c>
      <c r="F634" t="s">
        <v>42</v>
      </c>
      <c r="G634">
        <v>-239.8503</v>
      </c>
      <c r="H634" s="1">
        <v>-1.5553479999999901E-6</v>
      </c>
      <c r="I634">
        <v>363.90989999999999</v>
      </c>
      <c r="J634">
        <v>-285.90370000000001</v>
      </c>
      <c r="K634">
        <v>1.0602879999999999</v>
      </c>
      <c r="L634">
        <v>367.62569999999999</v>
      </c>
      <c r="M634">
        <v>0.99989720000000004</v>
      </c>
      <c r="N634">
        <v>0</v>
      </c>
      <c r="O634" s="1">
        <v>6.1983740000000004E-5</v>
      </c>
      <c r="P634">
        <v>0.99307179999999995</v>
      </c>
      <c r="Q634">
        <v>-4.6581529999999999E-3</v>
      </c>
      <c r="R634">
        <v>-0.1174169</v>
      </c>
      <c r="S634">
        <v>2.9921570000000002</v>
      </c>
      <c r="T634">
        <v>-6.8603990000000004E-2</v>
      </c>
      <c r="U634">
        <v>-0.24041750000000001</v>
      </c>
      <c r="V634">
        <v>0.1174769</v>
      </c>
      <c r="W634">
        <v>9.5965019999999998E-3</v>
      </c>
      <c r="X634">
        <v>0.99302919999999995</v>
      </c>
      <c r="Y634">
        <v>8.0131949999999993E-2</v>
      </c>
      <c r="Z634">
        <v>-9.1845109999999996E-4</v>
      </c>
      <c r="AA634">
        <v>0.99678389999999994</v>
      </c>
      <c r="AB634">
        <v>31</v>
      </c>
      <c r="AC634">
        <v>46.053400000000003</v>
      </c>
      <c r="AD634">
        <v>-1.0602895553479901</v>
      </c>
      <c r="AE634">
        <v>-3.7158000000000002</v>
      </c>
      <c r="AF634">
        <v>3.71669751542851</v>
      </c>
      <c r="AG634">
        <v>-1.0602895553479901</v>
      </c>
      <c r="AH634">
        <v>46.028929248811998</v>
      </c>
      <c r="AI634">
        <v>91.315311816700799</v>
      </c>
      <c r="AJ634">
        <v>85.383554040991598</v>
      </c>
      <c r="AK634">
        <v>46.190912332996</v>
      </c>
      <c r="AL634">
        <v>89.450152472000894</v>
      </c>
      <c r="AM634">
        <v>83.253177997127395</v>
      </c>
      <c r="AN634">
        <v>0.99999995346844095</v>
      </c>
    </row>
    <row r="635" spans="1:40" x14ac:dyDescent="0.25">
      <c r="A635" t="str">
        <f>"20190312161236909"</f>
        <v>20190312161236909</v>
      </c>
      <c r="B635" t="str">
        <f>"1552378356905927"</f>
        <v>1552378356905927</v>
      </c>
      <c r="C635" t="s">
        <v>40</v>
      </c>
      <c r="D635">
        <v>5.5580740000000004</v>
      </c>
      <c r="E635">
        <v>0.48740869999999997</v>
      </c>
      <c r="F635" t="s">
        <v>42</v>
      </c>
      <c r="G635">
        <v>-239.41929999999999</v>
      </c>
      <c r="H635" s="1">
        <v>-1.721012E-6</v>
      </c>
      <c r="I635">
        <v>363.83859999999999</v>
      </c>
      <c r="J635">
        <v>-285.73129999999998</v>
      </c>
      <c r="K635">
        <v>1.060289</v>
      </c>
      <c r="L635">
        <v>367.62580000000003</v>
      </c>
      <c r="M635">
        <v>0.99989740000000005</v>
      </c>
      <c r="N635">
        <v>0</v>
      </c>
      <c r="O635">
        <v>1.176649E-4</v>
      </c>
      <c r="P635">
        <v>0.99310080000000001</v>
      </c>
      <c r="Q635">
        <v>-4.7828109999999997E-3</v>
      </c>
      <c r="R635">
        <v>-0.1171677</v>
      </c>
      <c r="S635">
        <v>2.9918209999999998</v>
      </c>
      <c r="T635">
        <v>-6.8242070000000002E-2</v>
      </c>
      <c r="U635">
        <v>-0.24374390000000001</v>
      </c>
      <c r="V635">
        <v>0.1172827</v>
      </c>
      <c r="W635">
        <v>9.4701460000000005E-3</v>
      </c>
      <c r="X635">
        <v>0.99305339999999998</v>
      </c>
      <c r="Y635">
        <v>8.1297289999999994E-2</v>
      </c>
      <c r="Z635">
        <v>-9.2820309999999998E-4</v>
      </c>
      <c r="AA635">
        <v>0.99668939999999995</v>
      </c>
      <c r="AB635">
        <v>31</v>
      </c>
      <c r="AC635">
        <v>46.311999999999898</v>
      </c>
      <c r="AD635">
        <v>-1.0602907210120001</v>
      </c>
      <c r="AE635">
        <v>-3.7872000000000399</v>
      </c>
      <c r="AF635">
        <v>3.79067611245023</v>
      </c>
      <c r="AG635">
        <v>-1.0602907210120001</v>
      </c>
      <c r="AH635">
        <v>46.287453207823098</v>
      </c>
      <c r="AI635">
        <v>91.307848376000194</v>
      </c>
      <c r="AJ635">
        <v>85.318252951483998</v>
      </c>
      <c r="AK635">
        <v>46.454512873013499</v>
      </c>
      <c r="AL635">
        <v>89.457392484149395</v>
      </c>
      <c r="AM635">
        <v>83.264391182954398</v>
      </c>
      <c r="AN635">
        <v>0.99999998531805501</v>
      </c>
    </row>
    <row r="636" spans="1:40" x14ac:dyDescent="0.25">
      <c r="A636" t="str">
        <f>"20190312161236922"</f>
        <v>20190312161236922</v>
      </c>
      <c r="B636" t="str">
        <f>"1552378356916662"</f>
        <v>1552378356916662</v>
      </c>
      <c r="C636" t="s">
        <v>40</v>
      </c>
      <c r="D636">
        <v>5.5993879999999896</v>
      </c>
      <c r="E636">
        <v>0.48782110000000001</v>
      </c>
      <c r="F636" t="s">
        <v>42</v>
      </c>
      <c r="G636">
        <v>-240.16079999999999</v>
      </c>
      <c r="H636" s="1">
        <v>-5.6576059999999996E-6</v>
      </c>
      <c r="I636">
        <v>363.83179999999999</v>
      </c>
      <c r="J636">
        <v>-285.54660000000001</v>
      </c>
      <c r="K636">
        <v>1.0602940000000001</v>
      </c>
      <c r="L636">
        <v>367.6259</v>
      </c>
      <c r="M636">
        <v>0.99989740000000005</v>
      </c>
      <c r="N636">
        <v>0</v>
      </c>
      <c r="O636">
        <v>1.7769540000000001E-4</v>
      </c>
      <c r="P636">
        <v>0.99311260000000001</v>
      </c>
      <c r="Q636">
        <v>-4.841616E-3</v>
      </c>
      <c r="R636">
        <v>-0.1170643</v>
      </c>
      <c r="S636">
        <v>2.9911189999999999</v>
      </c>
      <c r="T636">
        <v>-6.9594859999999995E-2</v>
      </c>
      <c r="U636">
        <v>-0.24902340000000001</v>
      </c>
      <c r="V636">
        <v>0.1172392</v>
      </c>
      <c r="W636">
        <v>9.4095919999999996E-3</v>
      </c>
      <c r="X636">
        <v>0.99305920000000003</v>
      </c>
      <c r="Y636">
        <v>8.3121940000000005E-2</v>
      </c>
      <c r="Z636">
        <v>-9.6933320000000003E-4</v>
      </c>
      <c r="AA636">
        <v>0.99653890000000001</v>
      </c>
      <c r="AB636">
        <v>31</v>
      </c>
      <c r="AC636">
        <v>45.385800000000003</v>
      </c>
      <c r="AD636">
        <v>-1.060299657606</v>
      </c>
      <c r="AE636">
        <v>-3.79410000000001</v>
      </c>
      <c r="AF636">
        <v>3.8001059887664699</v>
      </c>
      <c r="AG636">
        <v>-1.060299657606</v>
      </c>
      <c r="AH636">
        <v>45.360539975352303</v>
      </c>
      <c r="AI636">
        <v>91.334368612354297</v>
      </c>
      <c r="AJ636">
        <v>85.211194559228602</v>
      </c>
      <c r="AK636">
        <v>45.531787003645199</v>
      </c>
      <c r="AL636">
        <v>89.460862174471799</v>
      </c>
      <c r="AM636">
        <v>83.266905434657701</v>
      </c>
      <c r="AN636">
        <v>1.00000007257144</v>
      </c>
    </row>
    <row r="637" spans="1:40" x14ac:dyDescent="0.25">
      <c r="A637" t="str">
        <f>"20190312161236945"</f>
        <v>20190312161236945</v>
      </c>
      <c r="B637" t="str">
        <f>"1552378356936182"</f>
        <v>1552378356936182</v>
      </c>
      <c r="C637" t="s">
        <v>40</v>
      </c>
      <c r="D637">
        <v>5.6281369999999997</v>
      </c>
      <c r="E637">
        <v>0.48852800000000002</v>
      </c>
      <c r="F637" t="s">
        <v>42</v>
      </c>
      <c r="G637">
        <v>-240.83510000000001</v>
      </c>
      <c r="H637" s="1">
        <v>-5.3336289999999901E-6</v>
      </c>
      <c r="I637">
        <v>363.86149999999998</v>
      </c>
      <c r="J637">
        <v>-285.22550000000001</v>
      </c>
      <c r="K637">
        <v>1.0602940000000001</v>
      </c>
      <c r="L637">
        <v>367.62599999999998</v>
      </c>
      <c r="M637">
        <v>0.99989740000000005</v>
      </c>
      <c r="N637">
        <v>0</v>
      </c>
      <c r="O637">
        <v>2.815421E-4</v>
      </c>
      <c r="P637">
        <v>0.99308609999999997</v>
      </c>
      <c r="Q637">
        <v>-4.9174800000000001E-3</v>
      </c>
      <c r="R637">
        <v>-0.1172853</v>
      </c>
      <c r="S637">
        <v>2.9907530000000002</v>
      </c>
      <c r="T637">
        <v>-7.0923330000000007E-2</v>
      </c>
      <c r="U637">
        <v>-0.25180049999999998</v>
      </c>
      <c r="V637">
        <v>0.1175634</v>
      </c>
      <c r="W637">
        <v>9.3294869999999992E-3</v>
      </c>
      <c r="X637">
        <v>0.9930215</v>
      </c>
      <c r="Y637">
        <v>8.4153210000000006E-2</v>
      </c>
      <c r="Z637">
        <v>-1.002576E-3</v>
      </c>
      <c r="AA637">
        <v>0.99645229999999996</v>
      </c>
      <c r="AB637">
        <v>31</v>
      </c>
      <c r="AC637">
        <v>44.3904</v>
      </c>
      <c r="AD637">
        <v>-1.0602993336290001</v>
      </c>
      <c r="AE637">
        <v>-3.7644999999999902</v>
      </c>
      <c r="AF637">
        <v>3.77486060418711</v>
      </c>
      <c r="AG637">
        <v>-1.0602993336290001</v>
      </c>
      <c r="AH637">
        <v>44.3642078653941</v>
      </c>
      <c r="AI637">
        <v>91.364174224086298</v>
      </c>
      <c r="AJ637">
        <v>85.1365326861293</v>
      </c>
      <c r="AK637">
        <v>44.537138960443301</v>
      </c>
      <c r="AL637">
        <v>89.465451986319707</v>
      </c>
      <c r="AM637">
        <v>83.248204185919505</v>
      </c>
      <c r="AN637">
        <v>0.99999994590474495</v>
      </c>
    </row>
    <row r="638" spans="1:40" x14ac:dyDescent="0.25">
      <c r="A638" t="str">
        <f>"20190312161236960"</f>
        <v>20190312161236960</v>
      </c>
      <c r="B638" t="str">
        <f>"1552378356956678"</f>
        <v>1552378356956678</v>
      </c>
      <c r="C638" t="s">
        <v>40</v>
      </c>
      <c r="D638">
        <v>5.7686349999999997</v>
      </c>
      <c r="E638">
        <v>0.48919269999999998</v>
      </c>
      <c r="F638" t="s">
        <v>42</v>
      </c>
      <c r="G638">
        <v>-241.15549999999999</v>
      </c>
      <c r="H638" s="1">
        <v>-5.1887449999999997E-6</v>
      </c>
      <c r="I638">
        <v>363.82440000000003</v>
      </c>
      <c r="J638">
        <v>-285.02330000000001</v>
      </c>
      <c r="K638">
        <v>1.060295</v>
      </c>
      <c r="L638">
        <v>367.62619999999998</v>
      </c>
      <c r="M638">
        <v>0.99989749999999999</v>
      </c>
      <c r="N638">
        <v>0</v>
      </c>
      <c r="O638">
        <v>3.4693810000000001E-4</v>
      </c>
      <c r="P638">
        <v>0.99308370000000001</v>
      </c>
      <c r="Q638">
        <v>-4.6562009999999996E-3</v>
      </c>
      <c r="R638">
        <v>-0.11731900000000001</v>
      </c>
      <c r="S638">
        <v>2.9900820000000001</v>
      </c>
      <c r="T638">
        <v>-7.1939710000000004E-2</v>
      </c>
      <c r="U638">
        <v>-0.25793460000000001</v>
      </c>
      <c r="V638">
        <v>0.11766169999999999</v>
      </c>
      <c r="W638">
        <v>9.5883979999999997E-3</v>
      </c>
      <c r="X638">
        <v>0.99300739999999998</v>
      </c>
      <c r="Y638">
        <v>8.6265010000000003E-2</v>
      </c>
      <c r="Z638">
        <v>-1.0440029999999999E-3</v>
      </c>
      <c r="AA638">
        <v>0.99627169999999998</v>
      </c>
      <c r="AB638">
        <v>31</v>
      </c>
      <c r="AC638">
        <v>43.867800000000003</v>
      </c>
      <c r="AD638">
        <v>-1.0603001887450001</v>
      </c>
      <c r="AE638">
        <v>-3.8017999999999499</v>
      </c>
      <c r="AF638">
        <v>3.8148087217160298</v>
      </c>
      <c r="AG638">
        <v>-1.0603001887450001</v>
      </c>
      <c r="AH638">
        <v>43.841056963462499</v>
      </c>
      <c r="AI638">
        <v>91.380220563850202</v>
      </c>
      <c r="AJ638">
        <v>85.026960920032593</v>
      </c>
      <c r="AK638">
        <v>44.019487477106097</v>
      </c>
      <c r="AL638">
        <v>89.450616819081603</v>
      </c>
      <c r="AM638">
        <v>83.242515829309596</v>
      </c>
      <c r="AN638">
        <v>0.999999954738927</v>
      </c>
    </row>
    <row r="639" spans="1:40" x14ac:dyDescent="0.25">
      <c r="A639" t="str">
        <f>"20190312161236976"</f>
        <v>20190312161236976</v>
      </c>
      <c r="B639" t="str">
        <f>"1552378356966438"</f>
        <v>1552378356966438</v>
      </c>
      <c r="C639" t="s">
        <v>40</v>
      </c>
      <c r="D639">
        <v>5.627103</v>
      </c>
      <c r="E639">
        <v>0.48958410000000002</v>
      </c>
      <c r="F639" t="s">
        <v>42</v>
      </c>
      <c r="G639">
        <v>-240.36770000000001</v>
      </c>
      <c r="H639" s="1">
        <v>-5.5846800000000004E-6</v>
      </c>
      <c r="I639">
        <v>363.69159999999999</v>
      </c>
      <c r="J639">
        <v>-284.8116</v>
      </c>
      <c r="K639">
        <v>1.0602940000000001</v>
      </c>
      <c r="L639">
        <v>367.62630000000001</v>
      </c>
      <c r="M639">
        <v>0.99989740000000005</v>
      </c>
      <c r="N639">
        <v>0</v>
      </c>
      <c r="O639">
        <v>4.1572990000000003E-4</v>
      </c>
      <c r="P639">
        <v>0.9930677</v>
      </c>
      <c r="Q639">
        <v>-4.3327790000000001E-3</v>
      </c>
      <c r="R639">
        <v>-0.117464</v>
      </c>
      <c r="S639">
        <v>2.9894099999999999</v>
      </c>
      <c r="T639">
        <v>-7.0980550000000003E-2</v>
      </c>
      <c r="U639">
        <v>-0.2633972</v>
      </c>
      <c r="V639">
        <v>0.1178751</v>
      </c>
      <c r="W639">
        <v>9.9088170000000003E-3</v>
      </c>
      <c r="X639">
        <v>0.99297899999999995</v>
      </c>
      <c r="Y639">
        <v>8.8159440000000006E-2</v>
      </c>
      <c r="Z639">
        <v>-1.0543110000000001E-3</v>
      </c>
      <c r="AA639">
        <v>0.99610580000000004</v>
      </c>
      <c r="AB639">
        <v>31</v>
      </c>
      <c r="AC639">
        <v>44.4438999999999</v>
      </c>
      <c r="AD639">
        <v>-1.0602995846799901</v>
      </c>
      <c r="AE639">
        <v>-3.9347000000000198</v>
      </c>
      <c r="AF639">
        <v>3.9509469872423999</v>
      </c>
      <c r="AG639">
        <v>-1.0602995846799901</v>
      </c>
      <c r="AH639">
        <v>44.4171764301393</v>
      </c>
      <c r="AI639">
        <v>91.362094022413402</v>
      </c>
      <c r="AJ639">
        <v>84.916868101532899</v>
      </c>
      <c r="AK639">
        <v>44.605154178989203</v>
      </c>
      <c r="AL639">
        <v>89.432257320264497</v>
      </c>
      <c r="AM639">
        <v>83.230181775754801</v>
      </c>
      <c r="AN639">
        <v>1.00000000914767</v>
      </c>
    </row>
    <row r="640" spans="1:40" x14ac:dyDescent="0.25">
      <c r="A640" t="str">
        <f>"20190312161236998"</f>
        <v>20190312161236998</v>
      </c>
      <c r="B640" t="str">
        <f>"1552378356985960"</f>
        <v>1552378356985960</v>
      </c>
      <c r="C640" t="s">
        <v>40</v>
      </c>
      <c r="D640">
        <v>5.2757820000000004</v>
      </c>
      <c r="E640">
        <v>0.49021199999999998</v>
      </c>
      <c r="F640" t="s">
        <v>42</v>
      </c>
      <c r="G640">
        <v>-240.27940000000001</v>
      </c>
      <c r="H640" s="1">
        <v>-5.6334579999999996E-6</v>
      </c>
      <c r="I640">
        <v>363.65210000000002</v>
      </c>
      <c r="J640">
        <v>-284.50389999999999</v>
      </c>
      <c r="K640">
        <v>1.060295</v>
      </c>
      <c r="L640">
        <v>367.62650000000002</v>
      </c>
      <c r="M640">
        <v>0.99989749999999999</v>
      </c>
      <c r="N640">
        <v>0</v>
      </c>
      <c r="O640">
        <v>5.153426E-4</v>
      </c>
      <c r="P640">
        <v>0.99305750000000004</v>
      </c>
      <c r="Q640">
        <v>-4.4438539999999997E-3</v>
      </c>
      <c r="R640">
        <v>-0.1175469</v>
      </c>
      <c r="S640">
        <v>2.9890750000000001</v>
      </c>
      <c r="T640">
        <v>-7.116902E-2</v>
      </c>
      <c r="U640">
        <v>-0.2667542</v>
      </c>
      <c r="V640">
        <v>0.1180571</v>
      </c>
      <c r="W640">
        <v>9.7943809999999996E-3</v>
      </c>
      <c r="X640">
        <v>0.99295849999999997</v>
      </c>
      <c r="Y640">
        <v>8.9377869999999998E-2</v>
      </c>
      <c r="Z640">
        <v>-1.074017E-3</v>
      </c>
      <c r="AA640">
        <v>0.99599720000000003</v>
      </c>
      <c r="AB640">
        <v>31</v>
      </c>
      <c r="AC640">
        <v>44.2244999999999</v>
      </c>
      <c r="AD640">
        <v>-1.0603006334580001</v>
      </c>
      <c r="AE640">
        <v>-3.9744000000000002</v>
      </c>
      <c r="AF640">
        <v>3.9949146134657698</v>
      </c>
      <c r="AG640">
        <v>-1.0603006334580001</v>
      </c>
      <c r="AH640">
        <v>44.197243801904101</v>
      </c>
      <c r="AI640">
        <v>91.368695848583599</v>
      </c>
      <c r="AJ640">
        <v>84.835165883976501</v>
      </c>
      <c r="AK640">
        <v>44.390088306818498</v>
      </c>
      <c r="AL640">
        <v>89.438814330708695</v>
      </c>
      <c r="AM640">
        <v>83.219687687368307</v>
      </c>
      <c r="AN640">
        <v>0.99999999574091603</v>
      </c>
    </row>
    <row r="641" spans="1:40" x14ac:dyDescent="0.25">
      <c r="A641" t="str">
        <f>"20190312161237012"</f>
        <v>20190312161237012</v>
      </c>
      <c r="B641" t="str">
        <f>"1552378357006454"</f>
        <v>1552378357006454</v>
      </c>
      <c r="C641" t="s">
        <v>40</v>
      </c>
      <c r="D641">
        <v>5.6760679999999999</v>
      </c>
      <c r="E641">
        <v>0.4907437</v>
      </c>
      <c r="F641" t="s">
        <v>42</v>
      </c>
      <c r="G641">
        <v>-240.37909999999999</v>
      </c>
      <c r="H641" s="1">
        <v>-5.5939360000000001E-6</v>
      </c>
      <c r="I641">
        <v>363.60899999999998</v>
      </c>
      <c r="J641">
        <v>-284.32080000000002</v>
      </c>
      <c r="K641">
        <v>1.0602959999999999</v>
      </c>
      <c r="L641">
        <v>367.6266</v>
      </c>
      <c r="M641">
        <v>0.99989729999999999</v>
      </c>
      <c r="N641">
        <v>0</v>
      </c>
      <c r="O641">
        <v>5.7465999999999995E-4</v>
      </c>
      <c r="P641">
        <v>0.99306939999999999</v>
      </c>
      <c r="Q641">
        <v>-4.218187E-3</v>
      </c>
      <c r="R641">
        <v>-0.117454</v>
      </c>
      <c r="S641">
        <v>2.9884339999999998</v>
      </c>
      <c r="T641">
        <v>-7.1810840000000001E-2</v>
      </c>
      <c r="U641">
        <v>-0.27209470000000002</v>
      </c>
      <c r="V641">
        <v>0.1180229</v>
      </c>
      <c r="W641">
        <v>1.0018010000000001E-2</v>
      </c>
      <c r="X641">
        <v>0.99296030000000002</v>
      </c>
      <c r="Y641">
        <v>9.1220270000000006E-2</v>
      </c>
      <c r="Z641">
        <v>-1.1073539999999901E-3</v>
      </c>
      <c r="AA641">
        <v>0.99583010000000005</v>
      </c>
      <c r="AB641">
        <v>31</v>
      </c>
      <c r="AC641">
        <v>43.941699999999997</v>
      </c>
      <c r="AD641">
        <v>-1.0603015939360001</v>
      </c>
      <c r="AE641">
        <v>-4.0175999999999501</v>
      </c>
      <c r="AF641">
        <v>4.0405203971928696</v>
      </c>
      <c r="AG641">
        <v>-1.0603015939360001</v>
      </c>
      <c r="AH641">
        <v>43.914027036894304</v>
      </c>
      <c r="AI641">
        <v>91.377318969095001</v>
      </c>
      <c r="AJ641">
        <v>84.743028852228804</v>
      </c>
      <c r="AK641">
        <v>44.112263772643999</v>
      </c>
      <c r="AL641">
        <v>89.4260006843121</v>
      </c>
      <c r="AM641">
        <v>83.221645772871597</v>
      </c>
      <c r="AN641">
        <v>0.99999996141242897</v>
      </c>
    </row>
    <row r="642" spans="1:40" x14ac:dyDescent="0.25">
      <c r="A642" t="str">
        <f>"20190312161237024"</f>
        <v>20190312161237024</v>
      </c>
      <c r="B642" t="str">
        <f>"1552378357016215"</f>
        <v>1552378357016215</v>
      </c>
      <c r="C642" t="s">
        <v>40</v>
      </c>
      <c r="D642">
        <v>5.6897320000000002</v>
      </c>
      <c r="E642">
        <v>0.49106129999999998</v>
      </c>
      <c r="F642" t="s">
        <v>42</v>
      </c>
      <c r="G642">
        <v>-239.41929999999999</v>
      </c>
      <c r="H642" s="1">
        <v>-1.817515E-6</v>
      </c>
      <c r="I642">
        <v>363.47579999999999</v>
      </c>
      <c r="J642">
        <v>-284.13630000000001</v>
      </c>
      <c r="K642">
        <v>1.060297</v>
      </c>
      <c r="L642">
        <v>367.62689999999998</v>
      </c>
      <c r="M642">
        <v>0.99989740000000005</v>
      </c>
      <c r="N642">
        <v>0</v>
      </c>
      <c r="O642">
        <v>6.3451139999999996E-4</v>
      </c>
      <c r="P642">
        <v>0.99308969999999996</v>
      </c>
      <c r="Q642">
        <v>-4.2521659999999999E-3</v>
      </c>
      <c r="R642">
        <v>-0.1172813</v>
      </c>
      <c r="S642">
        <v>2.9879760000000002</v>
      </c>
      <c r="T642">
        <v>-7.0557590000000003E-2</v>
      </c>
      <c r="U642">
        <v>-0.27621459999999998</v>
      </c>
      <c r="V642">
        <v>0.1179098</v>
      </c>
      <c r="W642">
        <v>9.9817680000000002E-3</v>
      </c>
      <c r="X642">
        <v>0.99297420000000003</v>
      </c>
      <c r="Y642">
        <v>9.2655650000000006E-2</v>
      </c>
      <c r="Z642">
        <v>-1.106451E-3</v>
      </c>
      <c r="AA642">
        <v>0.99569759999999996</v>
      </c>
      <c r="AB642">
        <v>31</v>
      </c>
      <c r="AC642">
        <v>44.716999999999999</v>
      </c>
      <c r="AD642">
        <v>-1.0602988175149901</v>
      </c>
      <c r="AE642">
        <v>-4.15109999999998</v>
      </c>
      <c r="AF642">
        <v>4.1771470791075203</v>
      </c>
      <c r="AG642">
        <v>-1.0602988175149901</v>
      </c>
      <c r="AH642">
        <v>44.689445889926503</v>
      </c>
      <c r="AI642">
        <v>91.353244447256202</v>
      </c>
      <c r="AJ642">
        <v>84.660047185651607</v>
      </c>
      <c r="AK642">
        <v>44.896763416215101</v>
      </c>
      <c r="AL642">
        <v>89.4280773578203</v>
      </c>
      <c r="AM642">
        <v>83.228174954764299</v>
      </c>
      <c r="AN642">
        <v>1.0000000592470399</v>
      </c>
    </row>
    <row r="643" spans="1:40" x14ac:dyDescent="0.25">
      <c r="A643" t="str">
        <f>"20190312161237043"</f>
        <v>20190312161237043</v>
      </c>
      <c r="B643" t="str">
        <f>"1552378357036711"</f>
        <v>1552378357036711</v>
      </c>
      <c r="C643" t="s">
        <v>40</v>
      </c>
      <c r="D643">
        <v>5.659764</v>
      </c>
      <c r="E643">
        <v>0.491429</v>
      </c>
      <c r="F643" t="s">
        <v>42</v>
      </c>
      <c r="G643">
        <v>-239.61750000000001</v>
      </c>
      <c r="H643" s="1">
        <v>-1.7479790000000001E-6</v>
      </c>
      <c r="I643">
        <v>363.48379999999997</v>
      </c>
      <c r="J643">
        <v>-283.89280000000002</v>
      </c>
      <c r="K643">
        <v>1.0602990000000001</v>
      </c>
      <c r="L643">
        <v>367.62709999999998</v>
      </c>
      <c r="M643">
        <v>0.99989749999999999</v>
      </c>
      <c r="N643">
        <v>0</v>
      </c>
      <c r="O643">
        <v>7.1290649999999998E-4</v>
      </c>
      <c r="P643">
        <v>0.99308989999999997</v>
      </c>
      <c r="Q643">
        <v>-4.815387E-3</v>
      </c>
      <c r="R643">
        <v>-0.1172583</v>
      </c>
      <c r="S643">
        <v>2.9877319999999998</v>
      </c>
      <c r="T643">
        <v>-7.1158170000000007E-2</v>
      </c>
      <c r="U643">
        <v>-0.27804570000000001</v>
      </c>
      <c r="V643">
        <v>0.1179646</v>
      </c>
      <c r="W643">
        <v>9.4162670000000007E-3</v>
      </c>
      <c r="X643">
        <v>0.99297310000000005</v>
      </c>
      <c r="Y643">
        <v>9.3345510000000007E-2</v>
      </c>
      <c r="Z643">
        <v>-1.125984E-3</v>
      </c>
      <c r="AA643">
        <v>0.99563310000000005</v>
      </c>
      <c r="AB643">
        <v>31</v>
      </c>
      <c r="AC643">
        <v>44.275300000000001</v>
      </c>
      <c r="AD643">
        <v>-1.0603007479790001</v>
      </c>
      <c r="AE643">
        <v>-4.1433000000000098</v>
      </c>
      <c r="AF643">
        <v>4.1724941626888397</v>
      </c>
      <c r="AG643">
        <v>-1.0603007479790001</v>
      </c>
      <c r="AH643">
        <v>44.247179097702499</v>
      </c>
      <c r="AI643">
        <v>91.366662586579196</v>
      </c>
      <c r="AJ643">
        <v>84.612957461237102</v>
      </c>
      <c r="AK643">
        <v>44.456122225380803</v>
      </c>
      <c r="AL643">
        <v>89.460479639468105</v>
      </c>
      <c r="AM643">
        <v>83.225049480153601</v>
      </c>
      <c r="AN643">
        <v>0.99999994513049095</v>
      </c>
    </row>
    <row r="644" spans="1:40" x14ac:dyDescent="0.25">
      <c r="A644" t="str">
        <f>"20190312161237056"</f>
        <v>20190312161237056</v>
      </c>
      <c r="B644" t="str">
        <f>"1552378357046470"</f>
        <v>1552378357046470</v>
      </c>
      <c r="C644" t="s">
        <v>40</v>
      </c>
      <c r="D644">
        <v>5.6695580000000003</v>
      </c>
      <c r="E644">
        <v>0.49171049999999999</v>
      </c>
      <c r="F644" t="s">
        <v>42</v>
      </c>
      <c r="G644">
        <v>-240.33250000000001</v>
      </c>
      <c r="H644" s="1">
        <v>-5.6301410000000002E-6</v>
      </c>
      <c r="I644">
        <v>363.5292</v>
      </c>
      <c r="J644">
        <v>-283.72269999999997</v>
      </c>
      <c r="K644">
        <v>1.0603</v>
      </c>
      <c r="L644">
        <v>367.62729999999999</v>
      </c>
      <c r="M644">
        <v>0.99989740000000005</v>
      </c>
      <c r="N644">
        <v>0</v>
      </c>
      <c r="O644">
        <v>7.6816739999999997E-4</v>
      </c>
      <c r="P644">
        <v>0.99310699999999996</v>
      </c>
      <c r="Q644">
        <v>-4.8624590000000004E-3</v>
      </c>
      <c r="R644">
        <v>-0.1171117</v>
      </c>
      <c r="S644">
        <v>2.9873660000000002</v>
      </c>
      <c r="T644">
        <v>-7.2715639999999998E-2</v>
      </c>
      <c r="U644">
        <v>-0.28103640000000002</v>
      </c>
      <c r="V644">
        <v>0.1178728</v>
      </c>
      <c r="W644">
        <v>9.3671559999999997E-3</v>
      </c>
      <c r="X644">
        <v>0.99298450000000005</v>
      </c>
      <c r="Y644">
        <v>9.4398339999999997E-2</v>
      </c>
      <c r="Z644">
        <v>-1.164834E-3</v>
      </c>
      <c r="AA644">
        <v>0.99553380000000002</v>
      </c>
      <c r="AB644">
        <v>31</v>
      </c>
      <c r="AC644">
        <v>43.390199999999901</v>
      </c>
      <c r="AD644">
        <v>-1.0603056301410001</v>
      </c>
      <c r="AE644">
        <v>-4.0980999999999801</v>
      </c>
      <c r="AF644">
        <v>4.1289893377472398</v>
      </c>
      <c r="AG644">
        <v>-1.0603056301410001</v>
      </c>
      <c r="AH644">
        <v>43.361374808369703</v>
      </c>
      <c r="AI644">
        <v>91.394455996321597</v>
      </c>
      <c r="AJ644">
        <v>84.560539304574505</v>
      </c>
      <c r="AK644">
        <v>43.5704214605787</v>
      </c>
      <c r="AL644">
        <v>89.463293634888899</v>
      </c>
      <c r="AM644">
        <v>83.230349792041295</v>
      </c>
      <c r="AN644">
        <v>0.99999997891580805</v>
      </c>
    </row>
    <row r="645" spans="1:40" x14ac:dyDescent="0.25">
      <c r="A645" t="str">
        <f>"20190312161237076"</f>
        <v>20190312161237076</v>
      </c>
      <c r="B645" t="str">
        <f>"1552378357065991"</f>
        <v>1552378357065991</v>
      </c>
      <c r="C645" t="s">
        <v>40</v>
      </c>
      <c r="D645">
        <v>5.7510629999999896</v>
      </c>
      <c r="E645">
        <v>0.49237310000000001</v>
      </c>
      <c r="F645" t="s">
        <v>42</v>
      </c>
      <c r="G645">
        <v>-239.8296</v>
      </c>
      <c r="H645" s="1">
        <v>-1.6788929999999999E-6</v>
      </c>
      <c r="I645">
        <v>363.47210000000001</v>
      </c>
      <c r="J645">
        <v>-283.4443</v>
      </c>
      <c r="K645">
        <v>1.0603</v>
      </c>
      <c r="L645">
        <v>367.62759999999997</v>
      </c>
      <c r="M645">
        <v>0.99989729999999999</v>
      </c>
      <c r="N645">
        <v>0</v>
      </c>
      <c r="O645">
        <v>8.5883539999999999E-4</v>
      </c>
      <c r="P645">
        <v>0.99315889999999996</v>
      </c>
      <c r="Q645">
        <v>-4.1845700000000003E-3</v>
      </c>
      <c r="R645">
        <v>-0.1166951</v>
      </c>
      <c r="S645">
        <v>2.9871219999999998</v>
      </c>
      <c r="T645">
        <v>-7.2158100000000003E-2</v>
      </c>
      <c r="U645">
        <v>-0.28277590000000002</v>
      </c>
      <c r="V645">
        <v>0.1175465</v>
      </c>
      <c r="W645">
        <v>1.0042799999999999E-2</v>
      </c>
      <c r="X645">
        <v>0.99301660000000003</v>
      </c>
      <c r="Y645">
        <v>9.5071000000000003E-2</v>
      </c>
      <c r="Z645">
        <v>-1.166259E-3</v>
      </c>
      <c r="AA645">
        <v>0.99546979999999996</v>
      </c>
      <c r="AB645">
        <v>31</v>
      </c>
      <c r="AC645">
        <v>43.614699999999999</v>
      </c>
      <c r="AD645">
        <v>-1.060301678893</v>
      </c>
      <c r="AE645">
        <v>-4.15549999999996</v>
      </c>
      <c r="AF645">
        <v>4.19050580790128</v>
      </c>
      <c r="AG645">
        <v>-1.060301678893</v>
      </c>
      <c r="AH645">
        <v>43.585586974855403</v>
      </c>
      <c r="AI645">
        <v>91.387159140305201</v>
      </c>
      <c r="AJ645">
        <v>84.508217311421305</v>
      </c>
      <c r="AK645">
        <v>43.799406052125903</v>
      </c>
      <c r="AL645">
        <v>89.424580274176805</v>
      </c>
      <c r="AM645">
        <v>83.249132808767001</v>
      </c>
      <c r="AN645">
        <v>1.0000000026848199</v>
      </c>
    </row>
    <row r="646" spans="1:40" x14ac:dyDescent="0.25">
      <c r="A646" t="str">
        <f>"20190312161237089"</f>
        <v>20190312161237089</v>
      </c>
      <c r="B646" t="str">
        <f>"1552378357086486"</f>
        <v>1552378357086486</v>
      </c>
      <c r="C646" t="s">
        <v>40</v>
      </c>
      <c r="D646">
        <v>5.7073289999999997</v>
      </c>
      <c r="E646">
        <v>0.49295949999999999</v>
      </c>
      <c r="F646" t="s">
        <v>42</v>
      </c>
      <c r="G646">
        <v>-238.62440000000001</v>
      </c>
      <c r="H646" s="1">
        <v>-2.1286650000000001E-6</v>
      </c>
      <c r="I646">
        <v>363.32310000000001</v>
      </c>
      <c r="J646">
        <v>-283.2654</v>
      </c>
      <c r="K646">
        <v>1.0603</v>
      </c>
      <c r="L646">
        <v>367.62779999999998</v>
      </c>
      <c r="M646">
        <v>0.99989740000000005</v>
      </c>
      <c r="N646">
        <v>0</v>
      </c>
      <c r="O646">
        <v>9.1665959999999999E-4</v>
      </c>
      <c r="P646">
        <v>0.99318649999999997</v>
      </c>
      <c r="Q646">
        <v>-4.2172240000000003E-3</v>
      </c>
      <c r="R646">
        <v>-0.11646140000000001</v>
      </c>
      <c r="S646">
        <v>2.9866640000000002</v>
      </c>
      <c r="T646">
        <v>-7.0655229999999999E-2</v>
      </c>
      <c r="U646">
        <v>-0.2868347</v>
      </c>
      <c r="V646">
        <v>0.1173701</v>
      </c>
      <c r="W646">
        <v>1.000847E-2</v>
      </c>
      <c r="X646">
        <v>0.99303779999999997</v>
      </c>
      <c r="Y646">
        <v>9.6484150000000005E-2</v>
      </c>
      <c r="Z646">
        <v>-1.160115E-3</v>
      </c>
      <c r="AA646">
        <v>0.99533389999999999</v>
      </c>
      <c r="AB646">
        <v>31</v>
      </c>
      <c r="AC646">
        <v>44.640999999999899</v>
      </c>
      <c r="AD646">
        <v>-1.0603021286650001</v>
      </c>
      <c r="AE646">
        <v>-4.3046999999999596</v>
      </c>
      <c r="AF646">
        <v>4.34319535162905</v>
      </c>
      <c r="AG646">
        <v>-1.0603021286650001</v>
      </c>
      <c r="AH646">
        <v>44.612099029222598</v>
      </c>
      <c r="AI646">
        <v>91.355096449438093</v>
      </c>
      <c r="AJ646">
        <v>84.439512474797297</v>
      </c>
      <c r="AK646">
        <v>44.835554711184599</v>
      </c>
      <c r="AL646">
        <v>89.426547330463293</v>
      </c>
      <c r="AM646">
        <v>83.259313006855606</v>
      </c>
      <c r="AN646">
        <v>0.99999999103729498</v>
      </c>
    </row>
    <row r="647" spans="1:40" x14ac:dyDescent="0.25">
      <c r="A647" t="str">
        <f>"20190312161237102"</f>
        <v>20190312161237102</v>
      </c>
      <c r="B647" t="str">
        <f>"1552378357096247"</f>
        <v>1552378357096247</v>
      </c>
      <c r="C647" t="s">
        <v>40</v>
      </c>
      <c r="D647">
        <v>5.5676170000000003</v>
      </c>
      <c r="E647">
        <v>0.49327009999999999</v>
      </c>
      <c r="F647" t="s">
        <v>42</v>
      </c>
      <c r="G647">
        <v>-239.2004</v>
      </c>
      <c r="H647" s="1">
        <v>-1.9289310000000001E-6</v>
      </c>
      <c r="I647">
        <v>363.33710000000002</v>
      </c>
      <c r="J647">
        <v>-283.0806</v>
      </c>
      <c r="K647">
        <v>1.060298</v>
      </c>
      <c r="L647">
        <v>367.62799999999999</v>
      </c>
      <c r="M647">
        <v>0.99989740000000005</v>
      </c>
      <c r="N647">
        <v>0</v>
      </c>
      <c r="O647">
        <v>9.7680870000000004E-4</v>
      </c>
      <c r="P647">
        <v>0.99319679999999999</v>
      </c>
      <c r="Q647">
        <v>-4.2365450000000004E-3</v>
      </c>
      <c r="R647">
        <v>-0.11637160000000001</v>
      </c>
      <c r="S647">
        <v>2.9862060000000001</v>
      </c>
      <c r="T647">
        <v>-7.1854589999999996E-2</v>
      </c>
      <c r="U647">
        <v>-0.29077150000000002</v>
      </c>
      <c r="V647">
        <v>0.1173401</v>
      </c>
      <c r="W647">
        <v>9.9874899999999999E-3</v>
      </c>
      <c r="X647">
        <v>0.99304159999999997</v>
      </c>
      <c r="Y647">
        <v>9.7857130000000001E-2</v>
      </c>
      <c r="Z647">
        <v>-1.1978290000000001E-3</v>
      </c>
      <c r="AA647">
        <v>0.99519970000000002</v>
      </c>
      <c r="AB647">
        <v>31</v>
      </c>
      <c r="AC647">
        <v>43.880200000000002</v>
      </c>
      <c r="AD647">
        <v>-1.060299928931</v>
      </c>
      <c r="AE647">
        <v>-4.2909000000000201</v>
      </c>
      <c r="AF647">
        <v>4.3312599277148198</v>
      </c>
      <c r="AG647">
        <v>-1.060299928931</v>
      </c>
      <c r="AH647">
        <v>43.850626443603403</v>
      </c>
      <c r="AI647">
        <v>91.378426192730402</v>
      </c>
      <c r="AJ647">
        <v>84.359018557619606</v>
      </c>
      <c r="AK647">
        <v>44.076768121054101</v>
      </c>
      <c r="AL647">
        <v>89.427749480699703</v>
      </c>
      <c r="AM647">
        <v>83.261045640534107</v>
      </c>
      <c r="AN647">
        <v>1.0000000341775299</v>
      </c>
    </row>
    <row r="648" spans="1:40" x14ac:dyDescent="0.25">
      <c r="A648" t="str">
        <f>"20190312161237115"</f>
        <v>20190312161237115</v>
      </c>
      <c r="B648" t="str">
        <f>"1552378357106008"</f>
        <v>1552378357106008</v>
      </c>
      <c r="C648" t="s">
        <v>40</v>
      </c>
      <c r="D648">
        <v>5.4781760000000004</v>
      </c>
      <c r="E648">
        <v>0.4936159</v>
      </c>
      <c r="F648" t="s">
        <v>42</v>
      </c>
      <c r="G648">
        <v>-239.4907</v>
      </c>
      <c r="H648" s="1">
        <v>-1.8264330000000001E-6</v>
      </c>
      <c r="I648">
        <v>363.351</v>
      </c>
      <c r="J648">
        <v>-282.89710000000002</v>
      </c>
      <c r="K648">
        <v>1.060297</v>
      </c>
      <c r="L648">
        <v>367.62830000000002</v>
      </c>
      <c r="M648">
        <v>0.99989720000000004</v>
      </c>
      <c r="N648">
        <v>0</v>
      </c>
      <c r="O648">
        <v>1.036305E-3</v>
      </c>
      <c r="P648">
        <v>0.99324520000000005</v>
      </c>
      <c r="Q648">
        <v>-4.8387589999999998E-3</v>
      </c>
      <c r="R648">
        <v>-0.1159343</v>
      </c>
      <c r="S648">
        <v>2.9859010000000001</v>
      </c>
      <c r="T648">
        <v>-7.263029E-2</v>
      </c>
      <c r="U648">
        <v>-0.29296879999999997</v>
      </c>
      <c r="V648">
        <v>0.11696189999999999</v>
      </c>
      <c r="W648">
        <v>9.3833660000000006E-3</v>
      </c>
      <c r="X648">
        <v>0.99309210000000003</v>
      </c>
      <c r="Y648">
        <v>9.8650660000000001E-2</v>
      </c>
      <c r="Z648">
        <v>-1.2219069999999999E-3</v>
      </c>
      <c r="AA648">
        <v>0.99512140000000004</v>
      </c>
      <c r="AB648">
        <v>31</v>
      </c>
      <c r="AC648">
        <v>43.406399999999998</v>
      </c>
      <c r="AD648">
        <v>-1.060298826433</v>
      </c>
      <c r="AE648">
        <v>-4.2773000000000199</v>
      </c>
      <c r="AF648">
        <v>4.3197318182299496</v>
      </c>
      <c r="AG648">
        <v>-1.060298826433</v>
      </c>
      <c r="AH648">
        <v>43.376310327194602</v>
      </c>
      <c r="AI648">
        <v>91.393380403970696</v>
      </c>
      <c r="AJ648">
        <v>84.312816804813394</v>
      </c>
      <c r="AK648">
        <v>43.603768348433498</v>
      </c>
      <c r="AL648">
        <v>89.462364854964306</v>
      </c>
      <c r="AM648">
        <v>83.282905688950805</v>
      </c>
      <c r="AN648">
        <v>1.00000002634575</v>
      </c>
    </row>
    <row r="649" spans="1:40" x14ac:dyDescent="0.25">
      <c r="A649" t="str">
        <f>"20190312161237132"</f>
        <v>20190312161237132</v>
      </c>
      <c r="B649" t="str">
        <f>"1552378357126502"</f>
        <v>1552378357126502</v>
      </c>
      <c r="C649" t="s">
        <v>40</v>
      </c>
      <c r="D649">
        <v>5.5643459999999996</v>
      </c>
      <c r="E649">
        <v>0.49426560000000003</v>
      </c>
      <c r="F649" t="s">
        <v>42</v>
      </c>
      <c r="G649">
        <v>-240.67519999999999</v>
      </c>
      <c r="H649" s="1">
        <v>-5.4789880000000001E-6</v>
      </c>
      <c r="I649">
        <v>363.46800000000002</v>
      </c>
      <c r="J649">
        <v>-282.67619999999999</v>
      </c>
      <c r="K649">
        <v>1.060289</v>
      </c>
      <c r="L649">
        <v>367.62860000000001</v>
      </c>
      <c r="M649">
        <v>0.99989720000000004</v>
      </c>
      <c r="N649">
        <v>0</v>
      </c>
      <c r="O649">
        <v>1.107607E-3</v>
      </c>
      <c r="P649">
        <v>0.99325140000000001</v>
      </c>
      <c r="Q649">
        <v>-5.1937490000000001E-3</v>
      </c>
      <c r="R649">
        <v>-0.115866</v>
      </c>
      <c r="S649">
        <v>2.985687</v>
      </c>
      <c r="T649">
        <v>-7.4978349999999999E-2</v>
      </c>
      <c r="U649">
        <v>-0.29418949999999999</v>
      </c>
      <c r="V649">
        <v>0.1169644</v>
      </c>
      <c r="W649">
        <v>9.0257529999999992E-3</v>
      </c>
      <c r="X649">
        <v>0.99309510000000001</v>
      </c>
      <c r="Y649">
        <v>9.9129389999999998E-2</v>
      </c>
      <c r="Z649">
        <v>-1.2692440000000001E-3</v>
      </c>
      <c r="AA649">
        <v>0.99507369999999995</v>
      </c>
      <c r="AB649">
        <v>30</v>
      </c>
      <c r="AC649">
        <v>42.000999999999998</v>
      </c>
      <c r="AD649">
        <v>-1.060294478988</v>
      </c>
      <c r="AE649">
        <v>-4.1605999999999801</v>
      </c>
      <c r="AF649">
        <v>4.2044693950592098</v>
      </c>
      <c r="AG649">
        <v>-1.060294478988</v>
      </c>
      <c r="AH649">
        <v>41.9698785842902</v>
      </c>
      <c r="AI649">
        <v>91.439963920638206</v>
      </c>
      <c r="AJ649">
        <v>84.279294638462503</v>
      </c>
      <c r="AK649">
        <v>42.193275479111797</v>
      </c>
      <c r="AL649">
        <v>89.4828554278387</v>
      </c>
      <c r="AM649">
        <v>83.282783532905995</v>
      </c>
      <c r="AN649">
        <v>1.00000000636429</v>
      </c>
    </row>
    <row r="650" spans="1:40" x14ac:dyDescent="0.25">
      <c r="A650" t="str">
        <f>"20190312161237146"</f>
        <v>20190312161237146</v>
      </c>
      <c r="B650" t="str">
        <f>"1552378357136262"</f>
        <v>1552378357136262</v>
      </c>
      <c r="C650" t="s">
        <v>40</v>
      </c>
      <c r="D650">
        <v>5.6722060000000001</v>
      </c>
      <c r="E650">
        <v>0.49454730000000002</v>
      </c>
      <c r="F650" t="s">
        <v>42</v>
      </c>
      <c r="G650">
        <v>-241.63740000000001</v>
      </c>
      <c r="H650" s="1">
        <v>-5.0152309999999997E-6</v>
      </c>
      <c r="I650">
        <v>363.51830000000001</v>
      </c>
      <c r="J650">
        <v>-282.48689999999999</v>
      </c>
      <c r="K650">
        <v>1.0602879999999999</v>
      </c>
      <c r="L650">
        <v>367.62889999999999</v>
      </c>
      <c r="M650">
        <v>0.99989720000000004</v>
      </c>
      <c r="N650">
        <v>0</v>
      </c>
      <c r="O650">
        <v>1.169071E-3</v>
      </c>
      <c r="P650">
        <v>0.99327929999999998</v>
      </c>
      <c r="Q650">
        <v>-5.0646379999999998E-3</v>
      </c>
      <c r="R650">
        <v>-0.11563279999999999</v>
      </c>
      <c r="S650">
        <v>2.9851070000000002</v>
      </c>
      <c r="T650">
        <v>-7.7124360000000003E-2</v>
      </c>
      <c r="U650">
        <v>-0.29898069999999999</v>
      </c>
      <c r="V650">
        <v>0.11679249999999999</v>
      </c>
      <c r="W650">
        <v>9.1530640000000007E-3</v>
      </c>
      <c r="X650">
        <v>0.99311419999999995</v>
      </c>
      <c r="Y650">
        <v>0.1007884</v>
      </c>
      <c r="Z650">
        <v>-1.3286680000000001E-3</v>
      </c>
      <c r="AA650">
        <v>0.99490699999999999</v>
      </c>
      <c r="AB650">
        <v>30</v>
      </c>
      <c r="AC650">
        <v>40.8494999999999</v>
      </c>
      <c r="AD650">
        <v>-1.0602930152309999</v>
      </c>
      <c r="AE650">
        <v>-4.1105999999999696</v>
      </c>
      <c r="AF650">
        <v>4.1555864044380204</v>
      </c>
      <c r="AG650">
        <v>-1.0602930152309999</v>
      </c>
      <c r="AH650">
        <v>40.817442216992603</v>
      </c>
      <c r="AI650">
        <v>91.480358584240193</v>
      </c>
      <c r="AJ650">
        <v>84.186798737697103</v>
      </c>
      <c r="AK650">
        <v>41.042133336127002</v>
      </c>
      <c r="AL650">
        <v>89.475560761425399</v>
      </c>
      <c r="AM650">
        <v>83.292693488326094</v>
      </c>
      <c r="AN650">
        <v>1.00000004043923</v>
      </c>
    </row>
    <row r="651" spans="1:40" x14ac:dyDescent="0.25">
      <c r="A651" t="str">
        <f>"20190312161237166"</f>
        <v>20190312161237166</v>
      </c>
      <c r="B651" t="str">
        <f>"1552378357156758"</f>
        <v>1552378357156758</v>
      </c>
      <c r="C651" t="s">
        <v>40</v>
      </c>
      <c r="D651">
        <v>5.7403779999999998</v>
      </c>
      <c r="E651">
        <v>0.49484080000000003</v>
      </c>
      <c r="F651" t="s">
        <v>42</v>
      </c>
      <c r="G651">
        <v>-241.483</v>
      </c>
      <c r="H651" s="1">
        <v>-5.0918960000000002E-6</v>
      </c>
      <c r="I651">
        <v>363.49740000000003</v>
      </c>
      <c r="J651">
        <v>-282.2226</v>
      </c>
      <c r="K651">
        <v>1.0602940000000001</v>
      </c>
      <c r="L651">
        <v>367.6293</v>
      </c>
      <c r="M651">
        <v>0.99989709999999998</v>
      </c>
      <c r="N651">
        <v>0</v>
      </c>
      <c r="O651">
        <v>1.2546790000000001E-3</v>
      </c>
      <c r="P651">
        <v>0.99335399999999996</v>
      </c>
      <c r="Q651">
        <v>-4.879914E-3</v>
      </c>
      <c r="R651">
        <v>-0.11499669999999999</v>
      </c>
      <c r="S651">
        <v>2.9848629999999998</v>
      </c>
      <c r="T651">
        <v>-7.7183719999999997E-2</v>
      </c>
      <c r="U651">
        <v>-0.30075069999999998</v>
      </c>
      <c r="V651">
        <v>0.1162417</v>
      </c>
      <c r="W651">
        <v>9.3356849999999998E-3</v>
      </c>
      <c r="X651">
        <v>0.99317710000000003</v>
      </c>
      <c r="Y651">
        <v>0.1014654</v>
      </c>
      <c r="Z651">
        <v>-1.3406959999999999E-3</v>
      </c>
      <c r="AA651">
        <v>0.99483820000000001</v>
      </c>
      <c r="AB651">
        <v>30</v>
      </c>
      <c r="AC651">
        <v>40.739600000000003</v>
      </c>
      <c r="AD651">
        <v>-1.060299091896</v>
      </c>
      <c r="AE651">
        <v>-4.1318999999999697</v>
      </c>
      <c r="AF651">
        <v>4.1802143834112497</v>
      </c>
      <c r="AG651">
        <v>-1.060299091896</v>
      </c>
      <c r="AH651">
        <v>40.707090345822202</v>
      </c>
      <c r="AI651">
        <v>91.484246096568896</v>
      </c>
      <c r="AJ651">
        <v>84.136843642085495</v>
      </c>
      <c r="AK651">
        <v>40.934895027085297</v>
      </c>
      <c r="AL651">
        <v>89.4650968911739</v>
      </c>
      <c r="AM651">
        <v>83.324458321625897</v>
      </c>
      <c r="AN651">
        <v>1.0000000198988499</v>
      </c>
    </row>
    <row r="652" spans="1:40" x14ac:dyDescent="0.25">
      <c r="A652" t="str">
        <f>"20190312161237181"</f>
        <v>20190312161237181</v>
      </c>
      <c r="B652" t="str">
        <f>"1552378357176279"</f>
        <v>1552378357176279</v>
      </c>
      <c r="C652" t="s">
        <v>40</v>
      </c>
      <c r="D652">
        <v>5.4676559999999998</v>
      </c>
      <c r="E652">
        <v>0.49546459999999998</v>
      </c>
      <c r="F652" t="s">
        <v>42</v>
      </c>
      <c r="G652">
        <v>-240.99959999999999</v>
      </c>
      <c r="H652" s="1">
        <v>-5.3248089999999999E-6</v>
      </c>
      <c r="I652">
        <v>363.47280000000001</v>
      </c>
      <c r="J652">
        <v>-282.01400000000001</v>
      </c>
      <c r="K652">
        <v>1.0602959999999999</v>
      </c>
      <c r="L652">
        <v>367.62959999999998</v>
      </c>
      <c r="M652">
        <v>0.99989700000000004</v>
      </c>
      <c r="N652">
        <v>0</v>
      </c>
      <c r="O652">
        <v>1.322461E-3</v>
      </c>
      <c r="P652">
        <v>0.99339129999999998</v>
      </c>
      <c r="Q652">
        <v>-4.7625319999999999E-3</v>
      </c>
      <c r="R652">
        <v>-0.1146783</v>
      </c>
      <c r="S652">
        <v>2.9848629999999998</v>
      </c>
      <c r="T652">
        <v>-7.6773880000000003E-2</v>
      </c>
      <c r="U652">
        <v>-0.30096440000000002</v>
      </c>
      <c r="V652">
        <v>0.1159905</v>
      </c>
      <c r="W652">
        <v>9.4515499999999995E-3</v>
      </c>
      <c r="X652">
        <v>0.99320540000000002</v>
      </c>
      <c r="Y652">
        <v>0.10160370000000001</v>
      </c>
      <c r="Z652">
        <v>-1.337087E-3</v>
      </c>
      <c r="AA652">
        <v>0.99482409999999999</v>
      </c>
      <c r="AB652">
        <v>30</v>
      </c>
      <c r="AC652">
        <v>41.014400000000002</v>
      </c>
      <c r="AD652">
        <v>-1.0603013248090001</v>
      </c>
      <c r="AE652">
        <v>-4.1567999999999703</v>
      </c>
      <c r="AF652">
        <v>4.2082579717826203</v>
      </c>
      <c r="AG652">
        <v>-1.0603013248090001</v>
      </c>
      <c r="AH652">
        <v>40.981755816722</v>
      </c>
      <c r="AI652">
        <v>91.474306571103597</v>
      </c>
      <c r="AJ652">
        <v>84.137067533804796</v>
      </c>
      <c r="AK652">
        <v>41.210896421673397</v>
      </c>
      <c r="AL652">
        <v>89.458458037701504</v>
      </c>
      <c r="AM652">
        <v>83.338942581304707</v>
      </c>
      <c r="AN652">
        <v>1.0000000472384001</v>
      </c>
    </row>
    <row r="653" spans="1:40" x14ac:dyDescent="0.25">
      <c r="A653" t="str">
        <f>"20190312161237198"</f>
        <v>20190312161237198</v>
      </c>
      <c r="B653" t="str">
        <f>"1552378357186039"</f>
        <v>1552378357186039</v>
      </c>
      <c r="C653" t="s">
        <v>40</v>
      </c>
      <c r="D653">
        <v>5.4899079999999998</v>
      </c>
      <c r="E653">
        <v>0.49574879999999999</v>
      </c>
      <c r="F653" t="s">
        <v>42</v>
      </c>
      <c r="G653">
        <v>-240.72559999999999</v>
      </c>
      <c r="H653" s="1">
        <v>-5.4658729999999999E-6</v>
      </c>
      <c r="I653">
        <v>363.40750000000003</v>
      </c>
      <c r="J653">
        <v>-281.78129999999999</v>
      </c>
      <c r="K653">
        <v>1.0602959999999999</v>
      </c>
      <c r="L653">
        <v>367.63</v>
      </c>
      <c r="M653">
        <v>0.99989709999999998</v>
      </c>
      <c r="N653">
        <v>0</v>
      </c>
      <c r="O653">
        <v>1.3981110000000001E-3</v>
      </c>
      <c r="P653">
        <v>0.9934404</v>
      </c>
      <c r="Q653">
        <v>-4.9027070000000001E-3</v>
      </c>
      <c r="R653">
        <v>-0.1142476</v>
      </c>
      <c r="S653">
        <v>2.9843440000000001</v>
      </c>
      <c r="T653">
        <v>-7.6639180000000001E-2</v>
      </c>
      <c r="U653">
        <v>-0.3051758</v>
      </c>
      <c r="V653">
        <v>0.1156349</v>
      </c>
      <c r="W653">
        <v>9.3094590000000008E-3</v>
      </c>
      <c r="X653">
        <v>0.99324820000000003</v>
      </c>
      <c r="Y653">
        <v>0.1030852</v>
      </c>
      <c r="Z653">
        <v>-1.3557860000000001E-3</v>
      </c>
      <c r="AA653">
        <v>0.99467159999999999</v>
      </c>
      <c r="AB653">
        <v>30</v>
      </c>
      <c r="AC653">
        <v>41.055700000000002</v>
      </c>
      <c r="AD653">
        <v>-1.0603014658729999</v>
      </c>
      <c r="AE653">
        <v>-4.2224999999999602</v>
      </c>
      <c r="AF653">
        <v>4.27707928878218</v>
      </c>
      <c r="AG653">
        <v>-1.0603014658729999</v>
      </c>
      <c r="AH653">
        <v>41.022680886641901</v>
      </c>
      <c r="AI653">
        <v>91.472599223364</v>
      </c>
      <c r="AJ653">
        <v>84.047771382505601</v>
      </c>
      <c r="AK653">
        <v>41.258671737809401</v>
      </c>
      <c r="AL653">
        <v>89.466599607062506</v>
      </c>
      <c r="AM653">
        <v>83.359464768080898</v>
      </c>
      <c r="AN653">
        <v>1.00000004146406</v>
      </c>
    </row>
    <row r="654" spans="1:40" x14ac:dyDescent="0.25">
      <c r="A654" t="str">
        <f>"20190312161237212"</f>
        <v>20190312161237212</v>
      </c>
      <c r="B654" t="str">
        <f>"1552378357206535"</f>
        <v>1552378357206535</v>
      </c>
      <c r="C654" t="s">
        <v>40</v>
      </c>
      <c r="D654">
        <v>5.6258710000000001</v>
      </c>
      <c r="E654">
        <v>0.49634279999999997</v>
      </c>
      <c r="F654" t="s">
        <v>42</v>
      </c>
      <c r="G654">
        <v>-240.8657</v>
      </c>
      <c r="H654" s="1">
        <v>-5.3947460000000002E-6</v>
      </c>
      <c r="I654">
        <v>363.43540000000002</v>
      </c>
      <c r="J654">
        <v>-281.59390000000002</v>
      </c>
      <c r="K654">
        <v>1.060298</v>
      </c>
      <c r="L654">
        <v>367.63029999999998</v>
      </c>
      <c r="M654">
        <v>0.99989700000000004</v>
      </c>
      <c r="N654">
        <v>0</v>
      </c>
      <c r="O654">
        <v>1.45891799999999E-3</v>
      </c>
      <c r="P654">
        <v>0.99344940000000004</v>
      </c>
      <c r="Q654">
        <v>-4.9091129999999997E-3</v>
      </c>
      <c r="R654">
        <v>-0.11416809999999999</v>
      </c>
      <c r="S654">
        <v>2.9842219999999999</v>
      </c>
      <c r="T654">
        <v>-7.7334050000000001E-2</v>
      </c>
      <c r="U654">
        <v>-0.30593870000000001</v>
      </c>
      <c r="V654">
        <v>0.11561589999999999</v>
      </c>
      <c r="W654">
        <v>9.3013530000000001E-3</v>
      </c>
      <c r="X654">
        <v>0.99325039999999998</v>
      </c>
      <c r="Y654">
        <v>0.1034007</v>
      </c>
      <c r="Z654">
        <v>-1.373761E-3</v>
      </c>
      <c r="AA654">
        <v>0.99463889999999999</v>
      </c>
      <c r="AB654">
        <v>30</v>
      </c>
      <c r="AC654">
        <v>40.728200000000001</v>
      </c>
      <c r="AD654">
        <v>-1.0603033947460001</v>
      </c>
      <c r="AE654">
        <v>-4.1948999999999597</v>
      </c>
      <c r="AF654">
        <v>4.2514695074320397</v>
      </c>
      <c r="AG654">
        <v>-1.0603033947460001</v>
      </c>
      <c r="AH654">
        <v>40.694744642928697</v>
      </c>
      <c r="AI654">
        <v>91.484431186716805</v>
      </c>
      <c r="AJ654">
        <v>84.035819623527402</v>
      </c>
      <c r="AK654">
        <v>40.929958194636697</v>
      </c>
      <c r="AL654">
        <v>89.467064020287296</v>
      </c>
      <c r="AM654">
        <v>83.360560708513006</v>
      </c>
      <c r="AN654">
        <v>0.99999995430029898</v>
      </c>
    </row>
    <row r="655" spans="1:40" x14ac:dyDescent="0.25">
      <c r="A655" t="str">
        <f>"20190312161237224"</f>
        <v>20190312161237224</v>
      </c>
      <c r="B655" t="str">
        <f>"1552378357216295"</f>
        <v>1552378357216295</v>
      </c>
      <c r="C655" t="s">
        <v>40</v>
      </c>
      <c r="D655">
        <v>5.5980930000000004</v>
      </c>
      <c r="E655">
        <v>0.49662299999999998</v>
      </c>
      <c r="F655" t="s">
        <v>42</v>
      </c>
      <c r="G655">
        <v>-240.4684</v>
      </c>
      <c r="H655" s="1">
        <v>-5.5969359999999999E-6</v>
      </c>
      <c r="I655">
        <v>363.35419999999999</v>
      </c>
      <c r="J655">
        <v>-281.43220000000002</v>
      </c>
      <c r="K655">
        <v>1.0602959999999999</v>
      </c>
      <c r="L655">
        <v>367.63060000000002</v>
      </c>
      <c r="M655">
        <v>0.99989680000000003</v>
      </c>
      <c r="N655">
        <v>0</v>
      </c>
      <c r="O655">
        <v>1.5115009999999999E-3</v>
      </c>
      <c r="P655">
        <v>0.99344880000000002</v>
      </c>
      <c r="Q655">
        <v>-5.0175389999999997E-3</v>
      </c>
      <c r="R655">
        <v>-0.1141682</v>
      </c>
      <c r="S655">
        <v>2.983765</v>
      </c>
      <c r="T655">
        <v>-7.6927780000000001E-2</v>
      </c>
      <c r="U655">
        <v>-0.31024170000000001</v>
      </c>
      <c r="V655">
        <v>0.1156683</v>
      </c>
      <c r="W655">
        <v>9.1912090000000005E-3</v>
      </c>
      <c r="X655">
        <v>0.99324539999999994</v>
      </c>
      <c r="Y655">
        <v>0.10488749999999999</v>
      </c>
      <c r="Z655">
        <v>-1.387117E-3</v>
      </c>
      <c r="AA655">
        <v>0.99448309999999995</v>
      </c>
      <c r="AB655">
        <v>30</v>
      </c>
      <c r="AC655">
        <v>40.963799999999999</v>
      </c>
      <c r="AD655">
        <v>-1.0603015969359999</v>
      </c>
      <c r="AE655">
        <v>-4.2764000000000202</v>
      </c>
      <c r="AF655">
        <v>4.3354449344304804</v>
      </c>
      <c r="AG655">
        <v>-1.0603015969359999</v>
      </c>
      <c r="AH655">
        <v>40.930162215280802</v>
      </c>
      <c r="AI655">
        <v>91.475671817111504</v>
      </c>
      <c r="AJ655">
        <v>83.953605645744005</v>
      </c>
      <c r="AK655">
        <v>41.172788358637398</v>
      </c>
      <c r="AL655">
        <v>89.473375116190795</v>
      </c>
      <c r="AM655">
        <v>83.3575452946083</v>
      </c>
      <c r="AN655">
        <v>1.00000002928446</v>
      </c>
    </row>
    <row r="656" spans="1:40" x14ac:dyDescent="0.25">
      <c r="A656" t="str">
        <f>"20190312161237237"</f>
        <v>20190312161237237</v>
      </c>
      <c r="B656" t="str">
        <f>"1552378357226055"</f>
        <v>1552378357226055</v>
      </c>
      <c r="C656" t="s">
        <v>40</v>
      </c>
      <c r="D656">
        <v>5.704116</v>
      </c>
      <c r="E656">
        <v>0.49683240000000001</v>
      </c>
      <c r="F656" t="s">
        <v>42</v>
      </c>
      <c r="G656">
        <v>-240.49260000000001</v>
      </c>
      <c r="H656" s="1">
        <v>-5.5881290000000001E-6</v>
      </c>
      <c r="I656">
        <v>363.33949999999999</v>
      </c>
      <c r="J656">
        <v>-281.25670000000002</v>
      </c>
      <c r="K656">
        <v>1.060297</v>
      </c>
      <c r="L656">
        <v>367.63099999999997</v>
      </c>
      <c r="M656">
        <v>0.99989680000000003</v>
      </c>
      <c r="N656">
        <v>0</v>
      </c>
      <c r="O656">
        <v>1.5686109999999999E-3</v>
      </c>
      <c r="P656">
        <v>0.99345499999999998</v>
      </c>
      <c r="Q656">
        <v>-5.0322320000000002E-3</v>
      </c>
      <c r="R656">
        <v>-0.1141138</v>
      </c>
      <c r="S656">
        <v>2.9834589999999999</v>
      </c>
      <c r="T656">
        <v>-7.7269080000000004E-2</v>
      </c>
      <c r="U656">
        <v>-0.31271359999999998</v>
      </c>
      <c r="V656">
        <v>0.1156705</v>
      </c>
      <c r="W656">
        <v>9.1745200000000002E-3</v>
      </c>
      <c r="X656">
        <v>0.99324520000000005</v>
      </c>
      <c r="Y656">
        <v>0.10576919999999999</v>
      </c>
      <c r="Z656">
        <v>-1.4062110000000001E-3</v>
      </c>
      <c r="AA656">
        <v>0.99438970000000004</v>
      </c>
      <c r="AB656">
        <v>30</v>
      </c>
      <c r="AC656">
        <v>40.764099999999999</v>
      </c>
      <c r="AD656">
        <v>-1.060302588129</v>
      </c>
      <c r="AE656">
        <v>-4.2914999999999797</v>
      </c>
      <c r="AF656">
        <v>4.3525318021950898</v>
      </c>
      <c r="AG656">
        <v>-1.060302588129</v>
      </c>
      <c r="AH656">
        <v>40.730063339352299</v>
      </c>
      <c r="AI656">
        <v>91.482773105448601</v>
      </c>
      <c r="AJ656">
        <v>83.900356448049294</v>
      </c>
      <c r="AK656">
        <v>40.975685891698802</v>
      </c>
      <c r="AL656">
        <v>89.474331314528897</v>
      </c>
      <c r="AM656">
        <v>83.357418759179396</v>
      </c>
      <c r="AN656">
        <v>0.99999993185525704</v>
      </c>
    </row>
    <row r="657" spans="1:40" x14ac:dyDescent="0.25">
      <c r="A657" t="str">
        <f>"20190312161237250"</f>
        <v>20190312161237250</v>
      </c>
      <c r="B657" t="str">
        <f>"1552378357246550"</f>
        <v>1552378357246550</v>
      </c>
      <c r="C657" t="s">
        <v>40</v>
      </c>
      <c r="D657">
        <v>5.7072430000000001</v>
      </c>
      <c r="E657">
        <v>0.49736639999999999</v>
      </c>
      <c r="F657" t="s">
        <v>42</v>
      </c>
      <c r="G657">
        <v>-239.8672</v>
      </c>
      <c r="H657" s="1">
        <v>-1.7183999999999999E-6</v>
      </c>
      <c r="I657">
        <v>363.27550000000002</v>
      </c>
      <c r="J657">
        <v>-281.07690000000002</v>
      </c>
      <c r="K657">
        <v>1.060324</v>
      </c>
      <c r="L657">
        <v>367.63130000000001</v>
      </c>
      <c r="M657">
        <v>0.99989539999999999</v>
      </c>
      <c r="N657">
        <v>0</v>
      </c>
      <c r="O657">
        <v>1.6262449999999999E-3</v>
      </c>
      <c r="P657">
        <v>0.99346129999999999</v>
      </c>
      <c r="Q657">
        <v>-5.1003899999999998E-3</v>
      </c>
      <c r="R657">
        <v>-0.1140548</v>
      </c>
      <c r="S657">
        <v>2.9833370000000001</v>
      </c>
      <c r="T657">
        <v>-7.6425789999999993E-2</v>
      </c>
      <c r="U657">
        <v>-0.3139343</v>
      </c>
      <c r="V657">
        <v>0.11566890000000001</v>
      </c>
      <c r="W657">
        <v>9.1964539999999997E-3</v>
      </c>
      <c r="X657">
        <v>0.99324520000000005</v>
      </c>
      <c r="Y657">
        <v>0.1062338</v>
      </c>
      <c r="Z657">
        <v>-1.398301E-3</v>
      </c>
      <c r="AA657">
        <v>0.99434020000000001</v>
      </c>
      <c r="AB657">
        <v>30</v>
      </c>
      <c r="AC657">
        <v>41.209699999999998</v>
      </c>
      <c r="AD657">
        <v>-1.0603257183999999</v>
      </c>
      <c r="AE657">
        <v>-4.3557999999999799</v>
      </c>
      <c r="AF657">
        <v>4.4199244235299897</v>
      </c>
      <c r="AG657">
        <v>-1.0603257183999999</v>
      </c>
      <c r="AH657">
        <v>41.175602738968998</v>
      </c>
      <c r="AI657">
        <v>91.466693252950805</v>
      </c>
      <c r="AJ657">
        <v>83.873143386251101</v>
      </c>
      <c r="AK657">
        <v>41.425720071668202</v>
      </c>
      <c r="AL657">
        <v>89.473074544438504</v>
      </c>
      <c r="AM657">
        <v>83.357509820886307</v>
      </c>
      <c r="AN657">
        <v>0.99999994825821004</v>
      </c>
    </row>
    <row r="658" spans="1:40" x14ac:dyDescent="0.25">
      <c r="A658" t="str">
        <f>"20190312161237265"</f>
        <v>20190312161237265</v>
      </c>
      <c r="B658" t="str">
        <f>"1552378357256311"</f>
        <v>1552378357256311</v>
      </c>
      <c r="C658" t="s">
        <v>40</v>
      </c>
      <c r="D658">
        <v>5.6099709999999998</v>
      </c>
      <c r="E658">
        <v>0.4976276</v>
      </c>
      <c r="F658" t="s">
        <v>42</v>
      </c>
      <c r="G658">
        <v>-239.05549999999999</v>
      </c>
      <c r="H658" s="1">
        <v>-2.0296309999999998E-6</v>
      </c>
      <c r="I658">
        <v>363.14400000000001</v>
      </c>
      <c r="J658">
        <v>-280.8723</v>
      </c>
      <c r="K658">
        <v>1.060514</v>
      </c>
      <c r="L658">
        <v>367.63170000000002</v>
      </c>
      <c r="M658">
        <v>0.99988509999999997</v>
      </c>
      <c r="N658">
        <v>0</v>
      </c>
      <c r="O658">
        <v>1.683265E-3</v>
      </c>
      <c r="P658">
        <v>0.9934307</v>
      </c>
      <c r="Q658">
        <v>-5.3467940000000002E-3</v>
      </c>
      <c r="R658">
        <v>-0.1143112</v>
      </c>
      <c r="S658">
        <v>2.9827880000000002</v>
      </c>
      <c r="T658">
        <v>-7.5264449999999997E-2</v>
      </c>
      <c r="U658">
        <v>-0.31851200000000002</v>
      </c>
      <c r="V658">
        <v>0.11598169999999999</v>
      </c>
      <c r="W658">
        <v>9.6336949999999994E-3</v>
      </c>
      <c r="X658">
        <v>0.99320469999999905</v>
      </c>
      <c r="Y658">
        <v>0.107819</v>
      </c>
      <c r="Z658">
        <v>-1.3985759999999999E-3</v>
      </c>
      <c r="AA658">
        <v>0.99416950000000004</v>
      </c>
      <c r="AB658">
        <v>30</v>
      </c>
      <c r="AC658">
        <v>41.816800000000001</v>
      </c>
      <c r="AD658">
        <v>-1.0605160296309999</v>
      </c>
      <c r="AE658">
        <v>-4.48770000000001</v>
      </c>
      <c r="AF658">
        <v>4.5551939325223598</v>
      </c>
      <c r="AG658">
        <v>-1.0605160296309999</v>
      </c>
      <c r="AH658">
        <v>41.782618119097897</v>
      </c>
      <c r="AI658">
        <v>91.445394384094399</v>
      </c>
      <c r="AJ658">
        <v>83.778114280152494</v>
      </c>
      <c r="AK658">
        <v>42.043568627060701</v>
      </c>
      <c r="AL658">
        <v>89.448021435487405</v>
      </c>
      <c r="AM658">
        <v>83.339438751399697</v>
      </c>
      <c r="AN658">
        <v>1.0000000694581599</v>
      </c>
    </row>
    <row r="659" spans="1:40" x14ac:dyDescent="0.25">
      <c r="A659" t="str">
        <f>"20190312161237278"</f>
        <v>20190312161237278</v>
      </c>
      <c r="B659" t="str">
        <f>"1552378357266070"</f>
        <v>1552378357266070</v>
      </c>
      <c r="C659" t="s">
        <v>40</v>
      </c>
      <c r="D659">
        <v>5.7847</v>
      </c>
      <c r="E659">
        <v>0.4979479</v>
      </c>
      <c r="F659" t="s">
        <v>42</v>
      </c>
      <c r="G659">
        <v>-239.1627</v>
      </c>
      <c r="H659" s="1">
        <v>-1.9951830000000001E-6</v>
      </c>
      <c r="I659">
        <v>363.13630000000001</v>
      </c>
      <c r="J659">
        <v>-280.70859999999999</v>
      </c>
      <c r="K659">
        <v>1.0608329999999999</v>
      </c>
      <c r="L659">
        <v>367.63200000000001</v>
      </c>
      <c r="M659">
        <v>0.99987490000000001</v>
      </c>
      <c r="N659">
        <v>0</v>
      </c>
      <c r="O659">
        <v>1.728874E-3</v>
      </c>
      <c r="P659">
        <v>0.9934326</v>
      </c>
      <c r="Q659">
        <v>-5.959509E-3</v>
      </c>
      <c r="R659">
        <v>-0.11426360000000001</v>
      </c>
      <c r="S659">
        <v>2.9824519999999999</v>
      </c>
      <c r="T659">
        <v>-7.5832369999999996E-2</v>
      </c>
      <c r="U659">
        <v>-0.3214417</v>
      </c>
      <c r="V659">
        <v>0.11597979999999999</v>
      </c>
      <c r="W659">
        <v>9.6761309999999993E-3</v>
      </c>
      <c r="X659">
        <v>0.99320450000000005</v>
      </c>
      <c r="Y659">
        <v>0.1088407</v>
      </c>
      <c r="Z659">
        <v>-1.4233169999999999E-3</v>
      </c>
      <c r="AA659">
        <v>0.9940582</v>
      </c>
      <c r="AB659">
        <v>30</v>
      </c>
      <c r="AC659">
        <v>41.545899999999897</v>
      </c>
      <c r="AD659">
        <v>-1.0608349951829901</v>
      </c>
      <c r="AE659">
        <v>-4.4956999999999399</v>
      </c>
      <c r="AF659">
        <v>4.56458817509938</v>
      </c>
      <c r="AG659">
        <v>-1.0608349951829901</v>
      </c>
      <c r="AH659">
        <v>41.511312821409099</v>
      </c>
      <c r="AI659">
        <v>91.455126620131395</v>
      </c>
      <c r="AJ659">
        <v>83.724960200496596</v>
      </c>
      <c r="AK659">
        <v>41.774991660707002</v>
      </c>
      <c r="AL659">
        <v>89.445589913474507</v>
      </c>
      <c r="AM659">
        <v>83.339545554520598</v>
      </c>
      <c r="AN659">
        <v>1.0000000601696999</v>
      </c>
    </row>
    <row r="660" spans="1:40" x14ac:dyDescent="0.25">
      <c r="A660" t="str">
        <f>"20190312161237291"</f>
        <v>20190312161237291</v>
      </c>
      <c r="B660" t="str">
        <f>"1552378357286568"</f>
        <v>1552378357286568</v>
      </c>
      <c r="C660" t="s">
        <v>40</v>
      </c>
      <c r="D660">
        <v>5.7848620000000004</v>
      </c>
      <c r="E660">
        <v>0.4980328</v>
      </c>
      <c r="F660" t="s">
        <v>42</v>
      </c>
      <c r="G660">
        <v>-239.8253</v>
      </c>
      <c r="H660" s="1">
        <v>-1.7534940000000001E-6</v>
      </c>
      <c r="I660">
        <v>363.19720000000001</v>
      </c>
      <c r="J660">
        <v>-280.54230000000001</v>
      </c>
      <c r="K660">
        <v>1.0612079999999999</v>
      </c>
      <c r="L660">
        <v>367.63240000000002</v>
      </c>
      <c r="M660">
        <v>0.99986620000000004</v>
      </c>
      <c r="N660">
        <v>0</v>
      </c>
      <c r="O660">
        <v>1.7760530000000001E-3</v>
      </c>
      <c r="P660">
        <v>0.99343190000000003</v>
      </c>
      <c r="Q660">
        <v>-6.1328900000000002E-3</v>
      </c>
      <c r="R660">
        <v>-0.1142616</v>
      </c>
      <c r="S660">
        <v>2.9821170000000001</v>
      </c>
      <c r="T660">
        <v>-7.7379580000000003E-2</v>
      </c>
      <c r="U660">
        <v>-0.3234863</v>
      </c>
      <c r="V660">
        <v>0.11602460000000001</v>
      </c>
      <c r="W660">
        <v>1.0042799999999999E-2</v>
      </c>
      <c r="X660">
        <v>0.99319559999999996</v>
      </c>
      <c r="Y660">
        <v>0.1095715</v>
      </c>
      <c r="Z660">
        <v>-1.4631290000000001E-3</v>
      </c>
      <c r="AA660">
        <v>0.99397780000000002</v>
      </c>
      <c r="AB660">
        <v>30</v>
      </c>
      <c r="AC660">
        <v>40.716999999999999</v>
      </c>
      <c r="AD660">
        <v>-1.0612097534939999</v>
      </c>
      <c r="AE660">
        <v>-4.4352</v>
      </c>
      <c r="AF660">
        <v>4.5044941682208401</v>
      </c>
      <c r="AG660">
        <v>-1.0612097534939999</v>
      </c>
      <c r="AH660">
        <v>40.681747185499503</v>
      </c>
      <c r="AI660">
        <v>91.4851862878551</v>
      </c>
      <c r="AJ660">
        <v>83.681651200485305</v>
      </c>
      <c r="AK660">
        <v>40.944122751835103</v>
      </c>
      <c r="AL660">
        <v>89.424580291476502</v>
      </c>
      <c r="AM660">
        <v>83.336936751326306</v>
      </c>
      <c r="AN660">
        <v>1.00000003274817</v>
      </c>
    </row>
    <row r="661" spans="1:40" x14ac:dyDescent="0.25">
      <c r="A661" t="str">
        <f>"20190312161237305"</f>
        <v>20190312161237305</v>
      </c>
      <c r="B661" t="str">
        <f>"1552378357296326"</f>
        <v>1552378357296326</v>
      </c>
      <c r="C661" t="s">
        <v>40</v>
      </c>
      <c r="D661">
        <v>5.5463290000000001</v>
      </c>
      <c r="E661">
        <v>0.49785750000000001</v>
      </c>
      <c r="F661" t="s">
        <v>42</v>
      </c>
      <c r="G661">
        <v>-239.44739999999999</v>
      </c>
      <c r="H661" s="1">
        <v>-1.890508E-6</v>
      </c>
      <c r="I661">
        <v>363.16559999999998</v>
      </c>
      <c r="J661">
        <v>-280.35160000000002</v>
      </c>
      <c r="K661">
        <v>1.061653</v>
      </c>
      <c r="L661">
        <v>367.63279999999997</v>
      </c>
      <c r="M661">
        <v>0.99986790000000003</v>
      </c>
      <c r="N661">
        <v>0</v>
      </c>
      <c r="O661">
        <v>1.8357759999999999E-3</v>
      </c>
      <c r="P661">
        <v>0.9934229</v>
      </c>
      <c r="Q661">
        <v>-6.0004159999999997E-3</v>
      </c>
      <c r="R661">
        <v>-0.1143491</v>
      </c>
      <c r="S661">
        <v>2.9820859999999998</v>
      </c>
      <c r="T661">
        <v>-7.7007409999999998E-2</v>
      </c>
      <c r="U661">
        <v>-0.3241272</v>
      </c>
      <c r="V661">
        <v>0.116171</v>
      </c>
      <c r="W661">
        <v>1.0060919999999999E-2</v>
      </c>
      <c r="X661">
        <v>0.99317820000000001</v>
      </c>
      <c r="Y661">
        <v>0.1098433</v>
      </c>
      <c r="Z661">
        <v>-1.461129E-3</v>
      </c>
      <c r="AA661">
        <v>0.9939479</v>
      </c>
      <c r="AB661">
        <v>29</v>
      </c>
      <c r="AC661">
        <v>40.904200000000003</v>
      </c>
      <c r="AD661">
        <v>-1.0616548905080001</v>
      </c>
      <c r="AE661">
        <v>-4.4671999999999903</v>
      </c>
      <c r="AF661">
        <v>4.5392713987341899</v>
      </c>
      <c r="AG661">
        <v>-1.0616548905080001</v>
      </c>
      <c r="AH661">
        <v>40.868722703420701</v>
      </c>
      <c r="AI661">
        <v>91.478958624780901</v>
      </c>
      <c r="AJ661">
        <v>83.6621594500253</v>
      </c>
      <c r="AK661">
        <v>41.133740303393203</v>
      </c>
      <c r="AL661">
        <v>89.423541980388507</v>
      </c>
      <c r="AM661">
        <v>83.328489200997097</v>
      </c>
      <c r="AN661">
        <v>0.99999993015374</v>
      </c>
    </row>
    <row r="662" spans="1:40" x14ac:dyDescent="0.25">
      <c r="A662" t="str">
        <f>"20190312161237317"</f>
        <v>20190312161237317</v>
      </c>
      <c r="B662" t="str">
        <f>"1552378357306086"</f>
        <v>1552378357306086</v>
      </c>
      <c r="C662" t="s">
        <v>40</v>
      </c>
      <c r="D662">
        <v>5.5867760000000004</v>
      </c>
      <c r="E662">
        <v>0.4976217</v>
      </c>
      <c r="F662" t="s">
        <v>42</v>
      </c>
      <c r="G662">
        <v>-238.96719999999999</v>
      </c>
      <c r="H662" s="1">
        <v>-2.0586090000000001E-6</v>
      </c>
      <c r="I662">
        <v>363.14789999999999</v>
      </c>
      <c r="J662">
        <v>-280.18680000000001</v>
      </c>
      <c r="K662">
        <v>1.0620259999999999</v>
      </c>
      <c r="L662">
        <v>367.63310000000001</v>
      </c>
      <c r="M662">
        <v>0.99988030000000006</v>
      </c>
      <c r="N662">
        <v>0</v>
      </c>
      <c r="O662">
        <v>1.886537E-3</v>
      </c>
      <c r="P662">
        <v>0.99341979999999996</v>
      </c>
      <c r="Q662">
        <v>-4.9839410000000004E-3</v>
      </c>
      <c r="R662">
        <v>-0.1144212</v>
      </c>
      <c r="S662">
        <v>2.982208</v>
      </c>
      <c r="T662">
        <v>-7.6503989999999994E-2</v>
      </c>
      <c r="U662">
        <v>-0.3231812</v>
      </c>
      <c r="V662">
        <v>0.1162938</v>
      </c>
      <c r="W662">
        <v>1.0285020000000001E-2</v>
      </c>
      <c r="X662">
        <v>0.99316159999999998</v>
      </c>
      <c r="Y662">
        <v>0.1095783</v>
      </c>
      <c r="Z662">
        <v>-1.4494550000000001E-3</v>
      </c>
      <c r="AA662">
        <v>0.99397709999999995</v>
      </c>
      <c r="AB662">
        <v>29</v>
      </c>
      <c r="AC662">
        <v>41.2196</v>
      </c>
      <c r="AD662">
        <v>-1.0620280586089901</v>
      </c>
      <c r="AE662">
        <v>-4.4852000000000096</v>
      </c>
      <c r="AF662">
        <v>4.5599718110345604</v>
      </c>
      <c r="AG662">
        <v>-1.0620280586089901</v>
      </c>
      <c r="AH662">
        <v>41.184044375351</v>
      </c>
      <c r="AI662">
        <v>91.468211645363297</v>
      </c>
      <c r="AJ662">
        <v>83.681842661371206</v>
      </c>
      <c r="AK662">
        <v>41.449327589547003</v>
      </c>
      <c r="AL662">
        <v>89.410701370002101</v>
      </c>
      <c r="AM662">
        <v>83.321390050217602</v>
      </c>
      <c r="AN662">
        <v>0.99999999663469996</v>
      </c>
    </row>
    <row r="663" spans="1:40" x14ac:dyDescent="0.25">
      <c r="A663" t="str">
        <f>"20190312161237334"</f>
        <v>20190312161237334</v>
      </c>
      <c r="B663" t="str">
        <f>"1552378357326582"</f>
        <v>1552378357326582</v>
      </c>
      <c r="C663" t="s">
        <v>40</v>
      </c>
      <c r="D663">
        <v>5.5587929999999997</v>
      </c>
      <c r="E663">
        <v>0.4972452</v>
      </c>
      <c r="F663" t="s">
        <v>42</v>
      </c>
      <c r="G663">
        <v>-237.00919999999999</v>
      </c>
      <c r="H663" s="1">
        <v>-2.769396E-6</v>
      </c>
      <c r="I663">
        <v>362.98079999999999</v>
      </c>
      <c r="J663">
        <v>-279.98079999999999</v>
      </c>
      <c r="K663">
        <v>1.062548</v>
      </c>
      <c r="L663">
        <v>367.6336</v>
      </c>
      <c r="M663">
        <v>0.99990000000000001</v>
      </c>
      <c r="N663">
        <v>0</v>
      </c>
      <c r="O663">
        <v>1.948962E-3</v>
      </c>
      <c r="P663">
        <v>0.99344149999999998</v>
      </c>
      <c r="Q663">
        <v>-3.1713039999999998E-3</v>
      </c>
      <c r="R663">
        <v>-0.11429789999999999</v>
      </c>
      <c r="S663">
        <v>2.9824519999999999</v>
      </c>
      <c r="T663">
        <v>-7.335854E-2</v>
      </c>
      <c r="U663">
        <v>-0.32135010000000003</v>
      </c>
      <c r="V663">
        <v>0.11623219999999999</v>
      </c>
      <c r="W663">
        <v>1.076279E-2</v>
      </c>
      <c r="X663">
        <v>0.99316380000000004</v>
      </c>
      <c r="Y663">
        <v>0.1090314</v>
      </c>
      <c r="Z663">
        <v>-1.3846360000000001E-3</v>
      </c>
      <c r="AA663">
        <v>0.99403730000000001</v>
      </c>
      <c r="AB663">
        <v>29</v>
      </c>
      <c r="AC663">
        <v>42.971600000000002</v>
      </c>
      <c r="AD663">
        <v>-1.0625507693959999</v>
      </c>
      <c r="AE663">
        <v>-4.6528000000000098</v>
      </c>
      <c r="AF663">
        <v>4.7336886820731401</v>
      </c>
      <c r="AG663">
        <v>-1.0625507693959999</v>
      </c>
      <c r="AH663">
        <v>42.936501520623601</v>
      </c>
      <c r="AI663">
        <v>91.409076719962201</v>
      </c>
      <c r="AJ663">
        <v>83.708629107297995</v>
      </c>
      <c r="AK663">
        <v>43.209720960761203</v>
      </c>
      <c r="AL663">
        <v>89.383325680616096</v>
      </c>
      <c r="AM663">
        <v>83.324910383499102</v>
      </c>
      <c r="AN663">
        <v>1.0000000477979301</v>
      </c>
    </row>
    <row r="664" spans="1:40" x14ac:dyDescent="0.25">
      <c r="A664" t="str">
        <f>"20190312161237350"</f>
        <v>20190312161237350</v>
      </c>
      <c r="B664" t="str">
        <f>"1552378357346103"</f>
        <v>1552378357346103</v>
      </c>
      <c r="C664" t="s">
        <v>40</v>
      </c>
      <c r="D664">
        <v>5.5820759999999998</v>
      </c>
      <c r="E664">
        <v>0.49685220000000002</v>
      </c>
      <c r="F664" t="s">
        <v>42</v>
      </c>
      <c r="G664">
        <v>-234.46379999999999</v>
      </c>
      <c r="H664" s="1">
        <v>-3.6894409999999999E-6</v>
      </c>
      <c r="I664">
        <v>362.77859999999998</v>
      </c>
      <c r="J664">
        <v>-279.7543</v>
      </c>
      <c r="K664">
        <v>1.0633159999999999</v>
      </c>
      <c r="L664">
        <v>367.63409999999999</v>
      </c>
      <c r="M664">
        <v>0.99992119999999995</v>
      </c>
      <c r="N664">
        <v>0</v>
      </c>
      <c r="O664">
        <v>2.0164929999999998E-3</v>
      </c>
      <c r="P664">
        <v>0.99347450000000004</v>
      </c>
      <c r="Q664">
        <v>-1.4889689999999999E-3</v>
      </c>
      <c r="R664">
        <v>-0.1140444</v>
      </c>
      <c r="S664">
        <v>2.9830019999999999</v>
      </c>
      <c r="T664">
        <v>-6.9635150000000007E-2</v>
      </c>
      <c r="U664">
        <v>-0.31817630000000002</v>
      </c>
      <c r="V664">
        <v>0.11604589999999899</v>
      </c>
      <c r="W664">
        <v>1.083669E-2</v>
      </c>
      <c r="X664">
        <v>0.99318470000000003</v>
      </c>
      <c r="Y664">
        <v>0.10803690000000001</v>
      </c>
      <c r="Z664">
        <v>-1.304209E-3</v>
      </c>
      <c r="AA664">
        <v>0.99414599999999997</v>
      </c>
      <c r="AB664">
        <v>30</v>
      </c>
      <c r="AC664">
        <v>45.290500000000002</v>
      </c>
      <c r="AD664">
        <v>-1.063319689441</v>
      </c>
      <c r="AE664">
        <v>-4.8555000000000001</v>
      </c>
      <c r="AF664">
        <v>4.9441308492570002</v>
      </c>
      <c r="AG664">
        <v>-1.063319689441</v>
      </c>
      <c r="AH664">
        <v>45.255954196036598</v>
      </c>
      <c r="AI664">
        <v>91.337997993045704</v>
      </c>
      <c r="AJ664">
        <v>83.765265829736705</v>
      </c>
      <c r="AK664">
        <v>45.5376379362203</v>
      </c>
      <c r="AL664">
        <v>89.379091225307207</v>
      </c>
      <c r="AM664">
        <v>83.335652054945896</v>
      </c>
      <c r="AN664">
        <v>0.99999996653552703</v>
      </c>
    </row>
    <row r="665" spans="1:40" x14ac:dyDescent="0.25">
      <c r="A665" t="str">
        <f>"20190312161237366"</f>
        <v>20190312161237366</v>
      </c>
      <c r="B665" t="str">
        <f>"1552378357355863"</f>
        <v>1552378357355863</v>
      </c>
      <c r="C665" t="s">
        <v>40</v>
      </c>
      <c r="D665">
        <v>5.509735</v>
      </c>
      <c r="E665">
        <v>0.49667830000000002</v>
      </c>
      <c r="F665" t="s">
        <v>42</v>
      </c>
      <c r="G665">
        <v>-231.14789999999999</v>
      </c>
      <c r="H665" s="1">
        <v>-5.0396470000000002E-6</v>
      </c>
      <c r="I665">
        <v>362.51409999999998</v>
      </c>
      <c r="J665">
        <v>-279.53269999999998</v>
      </c>
      <c r="K665">
        <v>1.064306</v>
      </c>
      <c r="L665">
        <v>367.63470000000001</v>
      </c>
      <c r="M665">
        <v>0.99993759999999998</v>
      </c>
      <c r="N665">
        <v>0</v>
      </c>
      <c r="O665">
        <v>2.0858589999999998E-3</v>
      </c>
      <c r="P665">
        <v>0.99345870000000003</v>
      </c>
      <c r="Q665">
        <v>-3.7195719999999998E-4</v>
      </c>
      <c r="R665">
        <v>-0.1141933</v>
      </c>
      <c r="S665">
        <v>2.9835210000000001</v>
      </c>
      <c r="T665">
        <v>-6.5267919999999993E-2</v>
      </c>
      <c r="U665">
        <v>-0.31426999999999999</v>
      </c>
      <c r="V665">
        <v>0.11626350000000001</v>
      </c>
      <c r="W665">
        <v>1.055442E-2</v>
      </c>
      <c r="X665">
        <v>0.99316230000000005</v>
      </c>
      <c r="Y665">
        <v>0.1068043</v>
      </c>
      <c r="Z665">
        <v>-1.2103750000000001E-3</v>
      </c>
      <c r="AA665">
        <v>0.99427929999999998</v>
      </c>
      <c r="AB665">
        <v>30</v>
      </c>
      <c r="AC665">
        <v>48.384799999999899</v>
      </c>
      <c r="AD665">
        <v>-1.0643110396469999</v>
      </c>
      <c r="AE665">
        <v>-5.12060000000002</v>
      </c>
      <c r="AF665">
        <v>5.2190215055212201</v>
      </c>
      <c r="AG665">
        <v>-1.0643110396469999</v>
      </c>
      <c r="AH665">
        <v>48.350877334176403</v>
      </c>
      <c r="AI665">
        <v>91.253724535136996</v>
      </c>
      <c r="AJ665">
        <v>83.839313119432205</v>
      </c>
      <c r="AK665">
        <v>48.643378608488703</v>
      </c>
      <c r="AL665">
        <v>89.3952650362409</v>
      </c>
      <c r="AM665">
        <v>83.323119092452998</v>
      </c>
      <c r="AN665">
        <v>0.99999997567753796</v>
      </c>
    </row>
    <row r="666" spans="1:40" x14ac:dyDescent="0.25">
      <c r="A666" t="str">
        <f>"20190312161237381"</f>
        <v>20190312161237381</v>
      </c>
      <c r="B666" t="str">
        <f>"1552378357376359"</f>
        <v>1552378357376359</v>
      </c>
      <c r="C666" t="s">
        <v>40</v>
      </c>
      <c r="D666">
        <v>5.6293499999999996</v>
      </c>
      <c r="E666">
        <v>0.49634070000000002</v>
      </c>
      <c r="F666" t="s">
        <v>42</v>
      </c>
      <c r="G666">
        <v>-228.93520000000001</v>
      </c>
      <c r="H666" s="1">
        <v>-2.2888940000000001E-6</v>
      </c>
      <c r="I666">
        <v>362.32339999999999</v>
      </c>
      <c r="J666">
        <v>-279.35019999999997</v>
      </c>
      <c r="K666">
        <v>1.065237</v>
      </c>
      <c r="L666">
        <v>367.63510000000002</v>
      </c>
      <c r="M666">
        <v>0.99994890000000003</v>
      </c>
      <c r="N666">
        <v>0</v>
      </c>
      <c r="O666">
        <v>2.1481730000000002E-3</v>
      </c>
      <c r="P666">
        <v>0.99347390000000002</v>
      </c>
      <c r="Q666">
        <v>5.2660700000000001E-4</v>
      </c>
      <c r="R666">
        <v>-0.1140598</v>
      </c>
      <c r="S666">
        <v>2.9837340000000001</v>
      </c>
      <c r="T666">
        <v>-6.2762139999999994E-2</v>
      </c>
      <c r="U666">
        <v>-0.31320189999999998</v>
      </c>
      <c r="V666">
        <v>0.11619210000000001</v>
      </c>
      <c r="W666">
        <v>1.036989E-2</v>
      </c>
      <c r="X666">
        <v>0.99317259999999996</v>
      </c>
      <c r="Y666">
        <v>0.1065087</v>
      </c>
      <c r="Z666">
        <v>-1.1620630000000001E-3</v>
      </c>
      <c r="AA666">
        <v>0.9943111</v>
      </c>
      <c r="AB666">
        <v>30</v>
      </c>
      <c r="AC666">
        <v>50.4149999999999</v>
      </c>
      <c r="AD666">
        <v>-1.0652392888940001</v>
      </c>
      <c r="AE666">
        <v>-5.3117000000000303</v>
      </c>
      <c r="AF666">
        <v>5.4176010245668103</v>
      </c>
      <c r="AG666">
        <v>-1.0652392888940001</v>
      </c>
      <c r="AH666">
        <v>50.381226799148003</v>
      </c>
      <c r="AI666">
        <v>91.204316405203798</v>
      </c>
      <c r="AJ666">
        <v>83.862446339749397</v>
      </c>
      <c r="AK666">
        <v>50.682868401375799</v>
      </c>
      <c r="AL666">
        <v>89.405838405610297</v>
      </c>
      <c r="AM666">
        <v>83.327251103651193</v>
      </c>
      <c r="AN666">
        <v>0.99999997605588997</v>
      </c>
    </row>
    <row r="667" spans="1:40" x14ac:dyDescent="0.25">
      <c r="A667" t="str">
        <f>"20190312161237394"</f>
        <v>20190312161237394</v>
      </c>
      <c r="B667" t="str">
        <f>"1552378357386118"</f>
        <v>1552378357386118</v>
      </c>
      <c r="C667" t="s">
        <v>40</v>
      </c>
      <c r="D667">
        <v>5.538583</v>
      </c>
      <c r="E667">
        <v>0.49619980000000002</v>
      </c>
      <c r="F667" t="s">
        <v>42</v>
      </c>
      <c r="G667">
        <v>-227.1053</v>
      </c>
      <c r="H667" s="1">
        <v>-2.9432259999999999E-6</v>
      </c>
      <c r="I667">
        <v>362.20460000000003</v>
      </c>
      <c r="J667">
        <v>-279.1669</v>
      </c>
      <c r="K667">
        <v>1.066206</v>
      </c>
      <c r="L667">
        <v>367.63560000000001</v>
      </c>
      <c r="M667">
        <v>0.99995880000000004</v>
      </c>
      <c r="N667">
        <v>0</v>
      </c>
      <c r="O667">
        <v>2.2132639999999999E-3</v>
      </c>
      <c r="P667">
        <v>0.99344410000000005</v>
      </c>
      <c r="Q667">
        <v>1.455816E-3</v>
      </c>
      <c r="R667">
        <v>-0.1143107</v>
      </c>
      <c r="S667">
        <v>2.9841609999999998</v>
      </c>
      <c r="T667">
        <v>-6.084502E-2</v>
      </c>
      <c r="U667">
        <v>-0.31018069999999998</v>
      </c>
      <c r="V667">
        <v>0.1165076</v>
      </c>
      <c r="W667">
        <v>1.022256E-2</v>
      </c>
      <c r="X667">
        <v>0.99313720000000005</v>
      </c>
      <c r="Y667">
        <v>0.1055644</v>
      </c>
      <c r="Z667">
        <v>-1.1181959999999999E-3</v>
      </c>
      <c r="AA667">
        <v>0.99441179999999996</v>
      </c>
      <c r="AB667">
        <v>30</v>
      </c>
      <c r="AC667">
        <v>52.061599999999999</v>
      </c>
      <c r="AD667">
        <v>-1.066208943226</v>
      </c>
      <c r="AE667">
        <v>-5.4309999999999796</v>
      </c>
      <c r="AF667">
        <v>5.5439170267188196</v>
      </c>
      <c r="AG667">
        <v>-1.066208943226</v>
      </c>
      <c r="AH667">
        <v>52.027865137368202</v>
      </c>
      <c r="AI667">
        <v>91.167393245635395</v>
      </c>
      <c r="AJ667">
        <v>83.917702306103394</v>
      </c>
      <c r="AK667">
        <v>52.333264452563299</v>
      </c>
      <c r="AL667">
        <v>89.414280260266096</v>
      </c>
      <c r="AM667">
        <v>83.309060104734996</v>
      </c>
      <c r="AN667">
        <v>1.0000000098072701</v>
      </c>
    </row>
    <row r="668" spans="1:40" x14ac:dyDescent="0.25">
      <c r="A668" t="str">
        <f>"20190312161237411"</f>
        <v>20190312161237411</v>
      </c>
      <c r="B668" t="str">
        <f>"1552378357406615"</f>
        <v>1552378357406615</v>
      </c>
      <c r="C668" t="s">
        <v>40</v>
      </c>
      <c r="D668">
        <v>5.5792089999999996</v>
      </c>
      <c r="E668">
        <v>0.49602859999999999</v>
      </c>
      <c r="F668" t="s">
        <v>42</v>
      </c>
      <c r="G668">
        <v>-224.83779999999999</v>
      </c>
      <c r="H668" s="1">
        <v>-3.7702950000000002E-6</v>
      </c>
      <c r="I668">
        <v>361.99639999999999</v>
      </c>
      <c r="J668">
        <v>-278.93990000000002</v>
      </c>
      <c r="K668">
        <v>1.0674360000000001</v>
      </c>
      <c r="L668">
        <v>367.63619999999997</v>
      </c>
      <c r="M668">
        <v>0.99996940000000001</v>
      </c>
      <c r="N668">
        <v>0</v>
      </c>
      <c r="O668">
        <v>2.2958599999999998E-3</v>
      </c>
      <c r="P668">
        <v>0.99343649999999994</v>
      </c>
      <c r="Q668">
        <v>2.94503E-3</v>
      </c>
      <c r="R668">
        <v>-0.1143474</v>
      </c>
      <c r="S668">
        <v>2.9842529999999998</v>
      </c>
      <c r="T668">
        <v>-5.8565859999999997E-2</v>
      </c>
      <c r="U668">
        <v>-0.30975340000000001</v>
      </c>
      <c r="V668">
        <v>0.1166266</v>
      </c>
      <c r="W668">
        <v>1.0391829999999999E-2</v>
      </c>
      <c r="X668">
        <v>0.99312140000000004</v>
      </c>
      <c r="Y668">
        <v>0.10550420000000001</v>
      </c>
      <c r="Z668">
        <v>-1.077319E-3</v>
      </c>
      <c r="AA668">
        <v>0.99441829999999998</v>
      </c>
      <c r="AB668">
        <v>30</v>
      </c>
      <c r="AC668">
        <v>54.1021</v>
      </c>
      <c r="AD668">
        <v>-1.067439770295</v>
      </c>
      <c r="AE668">
        <v>-5.6397999999999797</v>
      </c>
      <c r="AF668">
        <v>5.7617806402250498</v>
      </c>
      <c r="AG668">
        <v>-1.067439770295</v>
      </c>
      <c r="AH668">
        <v>54.068187621333401</v>
      </c>
      <c r="AI668">
        <v>91.124647354100205</v>
      </c>
      <c r="AJ668">
        <v>83.917227019331193</v>
      </c>
      <c r="AK668">
        <v>54.384799866001103</v>
      </c>
      <c r="AL668">
        <v>89.404581243724394</v>
      </c>
      <c r="AM668">
        <v>83.302182496565493</v>
      </c>
      <c r="AN668">
        <v>0.99999993454813196</v>
      </c>
    </row>
    <row r="669" spans="1:40" x14ac:dyDescent="0.25">
      <c r="A669" t="str">
        <f>"20190312161237424"</f>
        <v>20190312161237424</v>
      </c>
      <c r="B669" t="str">
        <f>"1552378357416375"</f>
        <v>1552378357416375</v>
      </c>
      <c r="C669" t="s">
        <v>40</v>
      </c>
      <c r="D669">
        <v>5.5088670000000004</v>
      </c>
      <c r="E669">
        <v>0.49585820000000003</v>
      </c>
      <c r="F669" t="s">
        <v>42</v>
      </c>
      <c r="G669">
        <v>-220.05340000000001</v>
      </c>
      <c r="H669" s="1">
        <v>-5.679969E-6</v>
      </c>
      <c r="I669">
        <v>361.55149999999998</v>
      </c>
      <c r="J669">
        <v>-278.7679</v>
      </c>
      <c r="K669">
        <v>1.068381</v>
      </c>
      <c r="L669">
        <v>367.63659999999999</v>
      </c>
      <c r="M669">
        <v>0.99997619999999998</v>
      </c>
      <c r="N669">
        <v>0</v>
      </c>
      <c r="O669">
        <v>2.3572720000000001E-3</v>
      </c>
      <c r="P669">
        <v>0.9934404</v>
      </c>
      <c r="Q669">
        <v>3.9612069999999996E-3</v>
      </c>
      <c r="R669">
        <v>-0.1142845</v>
      </c>
      <c r="S669">
        <v>2.984467</v>
      </c>
      <c r="T669">
        <v>-5.4099559999999998E-2</v>
      </c>
      <c r="U669">
        <v>-0.30838009999999999</v>
      </c>
      <c r="V669">
        <v>0.11662459999999999</v>
      </c>
      <c r="W669">
        <v>1.043379E-2</v>
      </c>
      <c r="X669">
        <v>0.99312129999999998</v>
      </c>
      <c r="Y669">
        <v>0.105108199999999</v>
      </c>
      <c r="Z669">
        <v>-9.9265989999999999E-4</v>
      </c>
      <c r="AA669">
        <v>0.99446029999999996</v>
      </c>
      <c r="AB669">
        <v>30</v>
      </c>
      <c r="AC669">
        <v>58.714500000000001</v>
      </c>
      <c r="AD669">
        <v>-1.0683866799690001</v>
      </c>
      <c r="AE669">
        <v>-6.0851000000000104</v>
      </c>
      <c r="AF669">
        <v>6.2214539832269997</v>
      </c>
      <c r="AG669">
        <v>-1.0683866799690001</v>
      </c>
      <c r="AH669">
        <v>58.680769283306802</v>
      </c>
      <c r="AI669">
        <v>91.037243178704401</v>
      </c>
      <c r="AJ669">
        <v>83.947994061909498</v>
      </c>
      <c r="AK669">
        <v>59.019324152721701</v>
      </c>
      <c r="AL669">
        <v>89.402177044702</v>
      </c>
      <c r="AM669">
        <v>83.302295643945001</v>
      </c>
      <c r="AN669">
        <v>1.0000000389063</v>
      </c>
    </row>
    <row r="670" spans="1:40" x14ac:dyDescent="0.25">
      <c r="A670" t="str">
        <f>"20190312161237436"</f>
        <v>20190312161237436</v>
      </c>
      <c r="B670" t="str">
        <f>"1552378357426135"</f>
        <v>1552378357426135</v>
      </c>
      <c r="C670" t="s">
        <v>40</v>
      </c>
      <c r="D670">
        <v>5.5480640000000001</v>
      </c>
      <c r="E670">
        <v>0.495697</v>
      </c>
      <c r="F670" t="s">
        <v>42</v>
      </c>
      <c r="G670">
        <v>-216.33459999999999</v>
      </c>
      <c r="H670" s="1">
        <v>-3.4672189999999999E-6</v>
      </c>
      <c r="I670">
        <v>361.22109999999998</v>
      </c>
      <c r="J670">
        <v>-278.59949999999998</v>
      </c>
      <c r="K670">
        <v>1.0693870000000001</v>
      </c>
      <c r="L670">
        <v>367.63709999999998</v>
      </c>
      <c r="M670">
        <v>0.99997970000000003</v>
      </c>
      <c r="N670">
        <v>0</v>
      </c>
      <c r="O670">
        <v>2.4190689999999998E-3</v>
      </c>
      <c r="P670">
        <v>0.99345030000000001</v>
      </c>
      <c r="Q670">
        <v>4.6433359999999996E-3</v>
      </c>
      <c r="R670">
        <v>-0.1141697</v>
      </c>
      <c r="S670">
        <v>2.9847109999999999</v>
      </c>
      <c r="T670">
        <v>-5.1075580000000002E-2</v>
      </c>
      <c r="U670">
        <v>-0.30670170000000002</v>
      </c>
      <c r="V670">
        <v>0.11657140000000001</v>
      </c>
      <c r="W670">
        <v>1.0511029999999999E-2</v>
      </c>
      <c r="X670">
        <v>0.99312670000000003</v>
      </c>
      <c r="Y670">
        <v>0.10460999999999999</v>
      </c>
      <c r="Z670">
        <v>-9.3393529999999999E-4</v>
      </c>
      <c r="AA670">
        <v>0.99451290000000003</v>
      </c>
      <c r="AB670">
        <v>30</v>
      </c>
      <c r="AC670">
        <v>62.264899999999898</v>
      </c>
      <c r="AD670">
        <v>-1.069390467219</v>
      </c>
      <c r="AE670">
        <v>-6.4159999999999897</v>
      </c>
      <c r="AF670">
        <v>6.5646908543550504</v>
      </c>
      <c r="AG670">
        <v>-1.069390467219</v>
      </c>
      <c r="AH670">
        <v>62.231033022363597</v>
      </c>
      <c r="AI670">
        <v>90.979053903969799</v>
      </c>
      <c r="AJ670">
        <v>83.978195064590395</v>
      </c>
      <c r="AK670">
        <v>62.585463432135199</v>
      </c>
      <c r="AL670">
        <v>89.397751257342804</v>
      </c>
      <c r="AM670">
        <v>83.305359231382695</v>
      </c>
      <c r="AN670">
        <v>1.0000000076512501</v>
      </c>
    </row>
    <row r="671" spans="1:40" x14ac:dyDescent="0.25">
      <c r="A671" t="str">
        <f>"20190312161237450"</f>
        <v>20190312161237450</v>
      </c>
      <c r="B671" t="str">
        <f>"1552378357446631"</f>
        <v>1552378357446631</v>
      </c>
      <c r="C671" t="s">
        <v>40</v>
      </c>
      <c r="D671">
        <v>5.5451309999999996</v>
      </c>
      <c r="E671">
        <v>0.49541239999999998</v>
      </c>
      <c r="F671" t="s">
        <v>42</v>
      </c>
      <c r="G671">
        <v>-213.59909999999999</v>
      </c>
      <c r="H671" s="1">
        <v>-4.4615340000000001E-6</v>
      </c>
      <c r="I671">
        <v>360.9828</v>
      </c>
      <c r="J671">
        <v>-278.42630000000003</v>
      </c>
      <c r="K671">
        <v>1.0705039999999999</v>
      </c>
      <c r="L671">
        <v>367.63749999999999</v>
      </c>
      <c r="M671">
        <v>0.99998180000000003</v>
      </c>
      <c r="N671">
        <v>0</v>
      </c>
      <c r="O671">
        <v>2.4831219999999999E-3</v>
      </c>
      <c r="P671">
        <v>0.99345919999999999</v>
      </c>
      <c r="Q671">
        <v>4.9939340000000002E-3</v>
      </c>
      <c r="R671">
        <v>-0.114081</v>
      </c>
      <c r="S671">
        <v>2.9848940000000002</v>
      </c>
      <c r="T671">
        <v>-4.9107669999999999E-2</v>
      </c>
      <c r="U671">
        <v>-0.30557250000000002</v>
      </c>
      <c r="V671">
        <v>0.1165461</v>
      </c>
      <c r="W671">
        <v>1.048147E-2</v>
      </c>
      <c r="X671">
        <v>0.99312999999999996</v>
      </c>
      <c r="Y671">
        <v>0.1042964</v>
      </c>
      <c r="Z671">
        <v>-8.9639690000000002E-4</v>
      </c>
      <c r="AA671">
        <v>0.99454589999999998</v>
      </c>
      <c r="AB671">
        <v>30</v>
      </c>
      <c r="AC671">
        <v>64.827200000000005</v>
      </c>
      <c r="AD671">
        <v>-1.0705084615339999</v>
      </c>
      <c r="AE671">
        <v>-6.6546999999999903</v>
      </c>
      <c r="AF671">
        <v>6.8138170937752998</v>
      </c>
      <c r="AG671">
        <v>-1.0705084615339999</v>
      </c>
      <c r="AH671">
        <v>64.792991435738202</v>
      </c>
      <c r="AI671">
        <v>90.941363436523901</v>
      </c>
      <c r="AJ671">
        <v>83.996677065631303</v>
      </c>
      <c r="AK671">
        <v>65.159080955345601</v>
      </c>
      <c r="AL671">
        <v>89.399445024757796</v>
      </c>
      <c r="AM671">
        <v>83.306821053048793</v>
      </c>
      <c r="AN671">
        <v>1.00000002576928</v>
      </c>
    </row>
    <row r="672" spans="1:40" x14ac:dyDescent="0.25">
      <c r="A672" t="str">
        <f>"20190312161237463"</f>
        <v>20190312161237463</v>
      </c>
      <c r="B672" t="str">
        <f>"1552378357456392"</f>
        <v>1552378357456392</v>
      </c>
      <c r="C672" t="s">
        <v>40</v>
      </c>
      <c r="D672">
        <v>5.5768380000000004</v>
      </c>
      <c r="E672">
        <v>0.49529990000000002</v>
      </c>
      <c r="F672" t="s">
        <v>42</v>
      </c>
      <c r="G672">
        <v>-213.00129999999999</v>
      </c>
      <c r="H672" s="1">
        <v>-4.659659E-6</v>
      </c>
      <c r="I672">
        <v>361.0027</v>
      </c>
      <c r="J672">
        <v>-278.25400000000002</v>
      </c>
      <c r="K672">
        <v>1.071868</v>
      </c>
      <c r="L672">
        <v>367.63799999999998</v>
      </c>
      <c r="M672">
        <v>0.99998120000000001</v>
      </c>
      <c r="N672">
        <v>0</v>
      </c>
      <c r="O672">
        <v>2.5477189999999999E-3</v>
      </c>
      <c r="P672">
        <v>0.9934693</v>
      </c>
      <c r="Q672">
        <v>4.8404059999999898E-3</v>
      </c>
      <c r="R672">
        <v>-0.1139988</v>
      </c>
      <c r="S672">
        <v>2.9852289999999999</v>
      </c>
      <c r="T672">
        <v>-4.8845409999999999E-2</v>
      </c>
      <c r="U672">
        <v>-0.30273440000000001</v>
      </c>
      <c r="V672">
        <v>0.1165282</v>
      </c>
      <c r="W672">
        <v>1.039612E-2</v>
      </c>
      <c r="X672">
        <v>0.99313289999999999</v>
      </c>
      <c r="Y672">
        <v>0.1034137</v>
      </c>
      <c r="Z672">
        <v>-8.8540519999999998E-4</v>
      </c>
      <c r="AA672">
        <v>0.99463800000000002</v>
      </c>
      <c r="AB672">
        <v>29</v>
      </c>
      <c r="AC672">
        <v>65.252700000000004</v>
      </c>
      <c r="AD672">
        <v>-1.071872659659</v>
      </c>
      <c r="AE672">
        <v>-6.6353000000000204</v>
      </c>
      <c r="AF672">
        <v>6.7997106093413704</v>
      </c>
      <c r="AG672">
        <v>-1.071872659659</v>
      </c>
      <c r="AH672">
        <v>65.218165392753306</v>
      </c>
      <c r="AI672">
        <v>90.936506594236505</v>
      </c>
      <c r="AJ672">
        <v>84.047790576493895</v>
      </c>
      <c r="AK672">
        <v>65.580439710067793</v>
      </c>
      <c r="AL672">
        <v>89.4043354281619</v>
      </c>
      <c r="AM672">
        <v>83.307859079868393</v>
      </c>
      <c r="AN672">
        <v>0.99999992888434897</v>
      </c>
    </row>
    <row r="673" spans="1:40" x14ac:dyDescent="0.25">
      <c r="A673" t="str">
        <f>"20190312161237477"</f>
        <v>20190312161237477</v>
      </c>
      <c r="B673" t="str">
        <f>"1552378357466151"</f>
        <v>1552378357466151</v>
      </c>
      <c r="C673" t="s">
        <v>40</v>
      </c>
      <c r="D673">
        <v>5.5356670000000001</v>
      </c>
      <c r="E673">
        <v>0.49517670000000003</v>
      </c>
      <c r="F673" t="s">
        <v>42</v>
      </c>
      <c r="G673">
        <v>-214.03919999999999</v>
      </c>
      <c r="H673" s="1">
        <v>-4.2658989999999999E-6</v>
      </c>
      <c r="I673">
        <v>361.15519999999998</v>
      </c>
      <c r="J673">
        <v>-278.0693</v>
      </c>
      <c r="K673">
        <v>1.0734490000000001</v>
      </c>
      <c r="L673">
        <v>367.6386</v>
      </c>
      <c r="M673">
        <v>0.99998069999999895</v>
      </c>
      <c r="N673">
        <v>0</v>
      </c>
      <c r="O673">
        <v>2.614515E-3</v>
      </c>
      <c r="P673">
        <v>0.99346749999999995</v>
      </c>
      <c r="Q673">
        <v>4.6113839999999996E-3</v>
      </c>
      <c r="R673">
        <v>-0.1140236</v>
      </c>
      <c r="S673">
        <v>2.985382</v>
      </c>
      <c r="T673">
        <v>-4.983187E-2</v>
      </c>
      <c r="U673">
        <v>-0.30139159999999998</v>
      </c>
      <c r="V673">
        <v>0.1166195</v>
      </c>
      <c r="W673">
        <v>1.0242589999999999E-2</v>
      </c>
      <c r="X673">
        <v>0.9931238</v>
      </c>
      <c r="Y673">
        <v>0.1030316</v>
      </c>
      <c r="Z673">
        <v>-9.0119039999999998E-4</v>
      </c>
      <c r="AA673">
        <v>0.9946777</v>
      </c>
      <c r="AB673">
        <v>29</v>
      </c>
      <c r="AC673">
        <v>64.030100000000004</v>
      </c>
      <c r="AD673">
        <v>-1.0734532658989999</v>
      </c>
      <c r="AE673">
        <v>-6.4834000000000103</v>
      </c>
      <c r="AF673">
        <v>6.6489383751318298</v>
      </c>
      <c r="AG673">
        <v>-1.0734532658989999</v>
      </c>
      <c r="AH673">
        <v>63.995126045691897</v>
      </c>
      <c r="AI673">
        <v>90.955844188066393</v>
      </c>
      <c r="AJ673">
        <v>84.0683897162546</v>
      </c>
      <c r="AK673">
        <v>64.348557412224594</v>
      </c>
      <c r="AL673">
        <v>89.413132530790193</v>
      </c>
      <c r="AM673">
        <v>83.302602580460402</v>
      </c>
      <c r="AN673">
        <v>0.99999995027829702</v>
      </c>
    </row>
    <row r="674" spans="1:40" x14ac:dyDescent="0.25">
      <c r="A674" t="str">
        <f>"20190312161237491"</f>
        <v>20190312161237491</v>
      </c>
      <c r="B674" t="str">
        <f>"1552378357486647"</f>
        <v>1552378357486647</v>
      </c>
      <c r="C674" t="s">
        <v>40</v>
      </c>
      <c r="D674">
        <v>4.5130150000000002</v>
      </c>
      <c r="E674">
        <v>0.49498160000000002</v>
      </c>
      <c r="F674" t="s">
        <v>42</v>
      </c>
      <c r="G674">
        <v>-215.65020000000001</v>
      </c>
      <c r="H674" s="1">
        <v>-3.6627480000000002E-6</v>
      </c>
      <c r="I674">
        <v>361.36149999999998</v>
      </c>
      <c r="J674">
        <v>-277.90499999999997</v>
      </c>
      <c r="K674">
        <v>1.0749070000000001</v>
      </c>
      <c r="L674">
        <v>367.63900000000001</v>
      </c>
      <c r="M674">
        <v>0.99998030000000004</v>
      </c>
      <c r="N674">
        <v>0</v>
      </c>
      <c r="O674">
        <v>2.6727019999999999E-3</v>
      </c>
      <c r="P674">
        <v>0.99347339999999995</v>
      </c>
      <c r="Q674">
        <v>4.4290420000000002E-3</v>
      </c>
      <c r="R674">
        <v>-0.1139797</v>
      </c>
      <c r="S674">
        <v>2.9855040000000002</v>
      </c>
      <c r="T674">
        <v>-5.1343199999999999E-2</v>
      </c>
      <c r="U674">
        <v>-0.3002319</v>
      </c>
      <c r="V674">
        <v>0.1166333</v>
      </c>
      <c r="W674">
        <v>1.010336E-2</v>
      </c>
      <c r="X674">
        <v>0.99312370000000005</v>
      </c>
      <c r="Y674">
        <v>0.1027021</v>
      </c>
      <c r="Z674">
        <v>-9.2667080000000005E-4</v>
      </c>
      <c r="AA674">
        <v>0.99471169999999998</v>
      </c>
      <c r="AB674">
        <v>29</v>
      </c>
      <c r="AC674">
        <v>62.254799999999904</v>
      </c>
      <c r="AD674">
        <v>-1.0749106627480001</v>
      </c>
      <c r="AE674">
        <v>-6.2775000000000301</v>
      </c>
      <c r="AF674">
        <v>6.4419676065355</v>
      </c>
      <c r="AG674">
        <v>-1.0749106627480001</v>
      </c>
      <c r="AH674">
        <v>62.219436990127797</v>
      </c>
      <c r="AI674">
        <v>90.984488858408398</v>
      </c>
      <c r="AJ674">
        <v>84.0888713690141</v>
      </c>
      <c r="AK674">
        <v>62.561271717773003</v>
      </c>
      <c r="AL674">
        <v>89.421110289661598</v>
      </c>
      <c r="AM674">
        <v>83.301816586058095</v>
      </c>
      <c r="AN674">
        <v>1.0000000440269301</v>
      </c>
    </row>
    <row r="675" spans="1:40" x14ac:dyDescent="0.25">
      <c r="A675" t="str">
        <f>"20190312161237973"</f>
        <v>20190312161237973</v>
      </c>
      <c r="B675" t="str">
        <f>"1552378357966396"</f>
        <v>1552378357966396</v>
      </c>
      <c r="C675" t="s">
        <v>40</v>
      </c>
      <c r="D675">
        <v>5.2204839999999999</v>
      </c>
      <c r="E675">
        <v>0.4946373</v>
      </c>
      <c r="F675" t="s">
        <v>42</v>
      </c>
      <c r="G675">
        <v>-216.49799999999999</v>
      </c>
      <c r="H675" s="1">
        <v>-3.3394350000000001E-6</v>
      </c>
      <c r="I675">
        <v>361.4923</v>
      </c>
      <c r="J675">
        <v>-271.59649999999999</v>
      </c>
      <c r="K675">
        <v>1.1090629999999999</v>
      </c>
      <c r="L675">
        <v>367.6644</v>
      </c>
      <c r="M675">
        <v>0.99990480000000004</v>
      </c>
      <c r="N675">
        <v>0</v>
      </c>
      <c r="O675">
        <v>4.7446370000000003E-3</v>
      </c>
      <c r="P675">
        <v>0.99387230000000004</v>
      </c>
      <c r="Q675">
        <v>-5.0443429999999997E-3</v>
      </c>
      <c r="R675">
        <v>-0.1104193</v>
      </c>
      <c r="S675">
        <v>2.9856569999999998</v>
      </c>
      <c r="T675">
        <v>-5.2262900000000001E-2</v>
      </c>
      <c r="U675">
        <v>-0.29885859999999997</v>
      </c>
      <c r="V675">
        <v>0.1151329</v>
      </c>
      <c r="W675">
        <v>7.8518219999999996E-3</v>
      </c>
      <c r="X675">
        <v>0.99331910000000001</v>
      </c>
      <c r="Y675">
        <v>0.1043042</v>
      </c>
      <c r="Z675">
        <v>-9.9341180000000009E-4</v>
      </c>
      <c r="AA675">
        <v>0.99454489999999995</v>
      </c>
      <c r="AB675">
        <v>29</v>
      </c>
      <c r="AC675">
        <v>55.098500000000001</v>
      </c>
      <c r="AD675">
        <v>-1.109066339435</v>
      </c>
      <c r="AE675">
        <v>-6.1721000000000004</v>
      </c>
      <c r="AF675">
        <v>6.4309015373638703</v>
      </c>
      <c r="AG675">
        <v>-1.109066339435</v>
      </c>
      <c r="AH675">
        <v>55.046566156078903</v>
      </c>
      <c r="AI675">
        <v>91.146431950206406</v>
      </c>
      <c r="AJ675">
        <v>83.336536338149401</v>
      </c>
      <c r="AK675">
        <v>55.432039185872497</v>
      </c>
      <c r="AL675">
        <v>89.550119131012195</v>
      </c>
      <c r="AM675">
        <v>83.388504943749098</v>
      </c>
      <c r="AN675">
        <v>1.0000000350979601</v>
      </c>
    </row>
    <row r="676" spans="1:40" x14ac:dyDescent="0.25">
      <c r="A676" t="str">
        <f>"20190312161238070"</f>
        <v>20190312161238070</v>
      </c>
      <c r="B676" t="str">
        <f>"1552378358065949"</f>
        <v>1552378358065949</v>
      </c>
      <c r="C676" t="s">
        <v>40</v>
      </c>
      <c r="D676">
        <v>5.3662429999999999</v>
      </c>
      <c r="E676">
        <v>0.53179719999999997</v>
      </c>
      <c r="F676" t="s">
        <v>42</v>
      </c>
      <c r="G676">
        <v>-230.46190000000001</v>
      </c>
      <c r="H676" s="1">
        <v>-5.1180150000000002E-6</v>
      </c>
      <c r="I676">
        <v>363.73140000000001</v>
      </c>
      <c r="J676">
        <v>-270.34410000000003</v>
      </c>
      <c r="K676">
        <v>1.1097809999999999</v>
      </c>
      <c r="L676">
        <v>367.67099999999999</v>
      </c>
      <c r="M676">
        <v>0.99989589999999995</v>
      </c>
      <c r="N676">
        <v>0</v>
      </c>
      <c r="O676">
        <v>5.1554749999999996E-3</v>
      </c>
      <c r="P676">
        <v>0.99398679999999995</v>
      </c>
      <c r="Q676">
        <v>-3.7476219999999999E-3</v>
      </c>
      <c r="R676">
        <v>-0.1094376</v>
      </c>
      <c r="S676">
        <v>2.9863279999999999</v>
      </c>
      <c r="T676">
        <v>-8.051693E-2</v>
      </c>
      <c r="U676">
        <v>-0.28552250000000001</v>
      </c>
      <c r="V676">
        <v>0.11455949999999999</v>
      </c>
      <c r="W676">
        <v>9.6522899999999991E-3</v>
      </c>
      <c r="X676">
        <v>0.99336950000000002</v>
      </c>
      <c r="Y676">
        <v>0.1002692</v>
      </c>
      <c r="Z676">
        <v>-1.4870829999999999E-3</v>
      </c>
      <c r="AA676">
        <v>0.99495919999999904</v>
      </c>
      <c r="AB676">
        <v>29</v>
      </c>
      <c r="AC676">
        <v>39.882199999999997</v>
      </c>
      <c r="AD676">
        <v>-1.1097861180149999</v>
      </c>
      <c r="AE676">
        <v>-3.93959999999998</v>
      </c>
      <c r="AF676">
        <v>4.1420017519223098</v>
      </c>
      <c r="AG676">
        <v>-1.1097861180149999</v>
      </c>
      <c r="AH676">
        <v>39.830813781615198</v>
      </c>
      <c r="AI676">
        <v>91.587435157755095</v>
      </c>
      <c r="AJ676">
        <v>84.063157236208994</v>
      </c>
      <c r="AK676">
        <v>40.060972657268003</v>
      </c>
      <c r="AL676">
        <v>89.446955935152502</v>
      </c>
      <c r="AM676">
        <v>83.4214738761587</v>
      </c>
      <c r="AN676">
        <v>1.00000000463637</v>
      </c>
    </row>
    <row r="677" spans="1:40" x14ac:dyDescent="0.25">
      <c r="A677" t="str">
        <f>"20190312161238082"</f>
        <v>20190312161238082</v>
      </c>
      <c r="B677" t="str">
        <f>"1552378358076684"</f>
        <v>1552378358076684</v>
      </c>
      <c r="C677" t="s">
        <v>40</v>
      </c>
      <c r="D677">
        <v>5.7828530000000002</v>
      </c>
      <c r="E677">
        <v>0.5304508</v>
      </c>
      <c r="F677" t="s">
        <v>43</v>
      </c>
      <c r="G677">
        <v>-269.48509999999999</v>
      </c>
      <c r="H677">
        <v>0.80069899999999905</v>
      </c>
      <c r="I677">
        <v>367.51609999999999</v>
      </c>
      <c r="J677">
        <v>-270.17649999999998</v>
      </c>
      <c r="K677">
        <v>1.1098380000000001</v>
      </c>
      <c r="L677">
        <v>367.67189999999999</v>
      </c>
      <c r="M677">
        <v>0.99989510000000004</v>
      </c>
      <c r="N677">
        <v>0</v>
      </c>
      <c r="O677">
        <v>5.2102800000000003E-3</v>
      </c>
      <c r="P677">
        <v>0.99397179999999996</v>
      </c>
      <c r="Q677">
        <v>-3.8214849999999999E-3</v>
      </c>
      <c r="R677">
        <v>-0.109570899999999</v>
      </c>
      <c r="S677">
        <v>2.9555359999999999</v>
      </c>
      <c r="T677">
        <v>-1.06338</v>
      </c>
      <c r="U677">
        <v>-0.53222659999999999</v>
      </c>
      <c r="V677">
        <v>0.11474719999999999</v>
      </c>
      <c r="W677">
        <v>9.6265410000000006E-3</v>
      </c>
      <c r="X677">
        <v>0.99334809999999996</v>
      </c>
      <c r="Y677">
        <v>0.17159340000000001</v>
      </c>
      <c r="Z677">
        <v>-3.1516389999999998E-2</v>
      </c>
      <c r="AA677">
        <v>0.98466359999999997</v>
      </c>
      <c r="AB677">
        <v>29</v>
      </c>
      <c r="AC677">
        <v>0.69139999999998702</v>
      </c>
      <c r="AD677">
        <v>-0.309138999999999</v>
      </c>
      <c r="AE677">
        <v>-0.15579999999999899</v>
      </c>
      <c r="AF677">
        <v>0.13392130070984101</v>
      </c>
      <c r="AG677">
        <v>-0.309138999999999</v>
      </c>
      <c r="AH677">
        <v>0.58019359595303399</v>
      </c>
      <c r="AI677">
        <v>117.43696552724199</v>
      </c>
      <c r="AJ677">
        <v>77.002526299624193</v>
      </c>
      <c r="AK677">
        <v>0.67091463308660104</v>
      </c>
      <c r="AL677">
        <v>89.4484313206341</v>
      </c>
      <c r="AM677">
        <v>83.410649295095595</v>
      </c>
      <c r="AN677">
        <v>1.0000000189865299</v>
      </c>
    </row>
    <row r="678" spans="1:40" x14ac:dyDescent="0.25">
      <c r="A678" t="str">
        <f>"20190312161238094"</f>
        <v>20190312161238094</v>
      </c>
      <c r="B678" t="str">
        <f>"1552378358086444"</f>
        <v>1552378358086444</v>
      </c>
      <c r="C678" t="s">
        <v>40</v>
      </c>
      <c r="D678">
        <v>5.6958250000000001</v>
      </c>
      <c r="E678">
        <v>0.5304508</v>
      </c>
      <c r="F678" t="s">
        <v>43</v>
      </c>
      <c r="G678">
        <v>-269.44920000000002</v>
      </c>
      <c r="H678">
        <v>0.88826159999999998</v>
      </c>
      <c r="I678">
        <v>367.54149999999998</v>
      </c>
      <c r="J678">
        <v>-270.02929999999998</v>
      </c>
      <c r="K678">
        <v>1.1098809999999999</v>
      </c>
      <c r="L678">
        <v>367.67270000000002</v>
      </c>
      <c r="M678">
        <v>0.99989430000000001</v>
      </c>
      <c r="N678">
        <v>0</v>
      </c>
      <c r="O678">
        <v>5.2587629999999996E-3</v>
      </c>
      <c r="P678">
        <v>0.99393980000000004</v>
      </c>
      <c r="Q678">
        <v>-3.9193500000000003E-3</v>
      </c>
      <c r="R678">
        <v>-0.1098566</v>
      </c>
      <c r="S678">
        <v>2.9563899999999999</v>
      </c>
      <c r="T678">
        <v>-0.90067719999999996</v>
      </c>
      <c r="U678">
        <v>-0.52926640000000003</v>
      </c>
      <c r="V678">
        <v>0.11508110000000001</v>
      </c>
      <c r="W678">
        <v>9.5678940000000004E-3</v>
      </c>
      <c r="X678">
        <v>0.99331000000000003</v>
      </c>
      <c r="Y678">
        <v>0.17352909999999999</v>
      </c>
      <c r="Z678">
        <v>-2.7211180000000001E-2</v>
      </c>
      <c r="AA678">
        <v>0.98445269999999996</v>
      </c>
      <c r="AB678">
        <v>29</v>
      </c>
      <c r="AC678">
        <v>0.58009999999995898</v>
      </c>
      <c r="AD678">
        <v>-0.22161939999999899</v>
      </c>
      <c r="AE678">
        <v>-0.13120000000003501</v>
      </c>
      <c r="AF678">
        <v>0.117881312519825</v>
      </c>
      <c r="AG678">
        <v>-0.22161939999999899</v>
      </c>
      <c r="AH678">
        <v>0.50876078221885901</v>
      </c>
      <c r="AI678">
        <v>112.994618306351</v>
      </c>
      <c r="AJ678">
        <v>76.954606983056493</v>
      </c>
      <c r="AK678">
        <v>0.56731710341016695</v>
      </c>
      <c r="AL678">
        <v>89.451791679613393</v>
      </c>
      <c r="AM678">
        <v>83.391393228609701</v>
      </c>
      <c r="AN678">
        <v>0.99999998013640201</v>
      </c>
    </row>
    <row r="679" spans="1:40" x14ac:dyDescent="0.25">
      <c r="A679" t="str">
        <f>"20190312161238105"</f>
        <v>20190312161238105</v>
      </c>
      <c r="B679" t="str">
        <f>"1552378358096205"</f>
        <v>1552378358096205</v>
      </c>
      <c r="C679" t="s">
        <v>40</v>
      </c>
      <c r="D679">
        <v>5.6521739999999996</v>
      </c>
      <c r="E679">
        <v>0.52694169999999996</v>
      </c>
      <c r="F679" t="s">
        <v>43</v>
      </c>
      <c r="G679">
        <v>-269.20499999999998</v>
      </c>
      <c r="H679">
        <v>0.85865429999999998</v>
      </c>
      <c r="I679">
        <v>367.5249</v>
      </c>
      <c r="J679">
        <v>-269.8707</v>
      </c>
      <c r="K679">
        <v>1.1099270000000001</v>
      </c>
      <c r="L679">
        <v>367.67360000000002</v>
      </c>
      <c r="M679">
        <v>0.99989349999999999</v>
      </c>
      <c r="N679">
        <v>0</v>
      </c>
      <c r="O679">
        <v>5.3107569999999897E-3</v>
      </c>
      <c r="P679">
        <v>0.99389910000000004</v>
      </c>
      <c r="Q679">
        <v>-3.9909910000000002E-3</v>
      </c>
      <c r="R679">
        <v>-0.1102211</v>
      </c>
      <c r="S679">
        <v>2.9561459999999999</v>
      </c>
      <c r="T679">
        <v>-0.9010319</v>
      </c>
      <c r="U679">
        <v>-0.53005979999999997</v>
      </c>
      <c r="V679">
        <v>0.11549710000000001</v>
      </c>
      <c r="W679">
        <v>9.535946E-3</v>
      </c>
      <c r="X679">
        <v>0.99326210000000004</v>
      </c>
      <c r="Y679">
        <v>0.17382800000000001</v>
      </c>
      <c r="Z679">
        <v>-2.7282569999999999E-2</v>
      </c>
      <c r="AA679">
        <v>0.984398</v>
      </c>
      <c r="AB679">
        <v>29</v>
      </c>
      <c r="AC679">
        <v>0.66570000000001495</v>
      </c>
      <c r="AD679">
        <v>-0.25127270000000002</v>
      </c>
      <c r="AE679">
        <v>-0.14870000000001901</v>
      </c>
      <c r="AF679">
        <v>0.13404357642395801</v>
      </c>
      <c r="AG679">
        <v>-0.25127270000000002</v>
      </c>
      <c r="AH679">
        <v>0.58545343997301702</v>
      </c>
      <c r="AI679">
        <v>112.70285908146801</v>
      </c>
      <c r="AJ679">
        <v>77.104013527039598</v>
      </c>
      <c r="AK679">
        <v>0.65104637355725603</v>
      </c>
      <c r="AL679">
        <v>89.453622290633405</v>
      </c>
      <c r="AM679">
        <v>83.367399615422897</v>
      </c>
      <c r="AN679">
        <v>1.0000000568354599</v>
      </c>
    </row>
    <row r="680" spans="1:40" x14ac:dyDescent="0.25">
      <c r="A680" t="str">
        <f>"20190312161238118"</f>
        <v>20190312161238118</v>
      </c>
      <c r="B680" t="str">
        <f>"1552378358105963"</f>
        <v>1552378358105963</v>
      </c>
      <c r="C680" t="s">
        <v>40</v>
      </c>
      <c r="D680">
        <v>5.7166379999999997</v>
      </c>
      <c r="E680">
        <v>0.52578130000000001</v>
      </c>
      <c r="F680" t="s">
        <v>42</v>
      </c>
      <c r="G680">
        <v>-254.73480000000001</v>
      </c>
      <c r="H680" s="1">
        <v>-3.071043E-6</v>
      </c>
      <c r="I680">
        <v>364.9375</v>
      </c>
      <c r="J680">
        <v>-269.72629999999998</v>
      </c>
      <c r="K680">
        <v>1.10996299999999</v>
      </c>
      <c r="L680">
        <v>367.67439999999999</v>
      </c>
      <c r="M680">
        <v>0.99989269999999997</v>
      </c>
      <c r="N680">
        <v>0</v>
      </c>
      <c r="O680">
        <v>5.358448E-3</v>
      </c>
      <c r="P680">
        <v>0.99390270000000003</v>
      </c>
      <c r="Q680">
        <v>-4.0139329999999999E-3</v>
      </c>
      <c r="R680">
        <v>-0.1101874</v>
      </c>
      <c r="S680">
        <v>2.9582519999999999</v>
      </c>
      <c r="T680">
        <v>-0.21693019999999999</v>
      </c>
      <c r="U680">
        <v>-0.53475950000000005</v>
      </c>
      <c r="V680">
        <v>0.1155108</v>
      </c>
      <c r="W680">
        <v>9.5469130000000006E-3</v>
      </c>
      <c r="X680">
        <v>0.99326029999999998</v>
      </c>
      <c r="Y680">
        <v>0.18266760000000001</v>
      </c>
      <c r="Z680">
        <v>-7.0243730000000004E-3</v>
      </c>
      <c r="AA680">
        <v>0.98314959999999996</v>
      </c>
      <c r="AB680">
        <v>29</v>
      </c>
      <c r="AC680">
        <v>14.991499999999901</v>
      </c>
      <c r="AD680">
        <v>-1.1099660710429899</v>
      </c>
      <c r="AE680">
        <v>-2.7368999999999901</v>
      </c>
      <c r="AF680">
        <v>2.8023327918958998</v>
      </c>
      <c r="AG680">
        <v>-1.1099660710429899</v>
      </c>
      <c r="AH680">
        <v>14.897585225315099</v>
      </c>
      <c r="AI680">
        <v>94.187852347224506</v>
      </c>
      <c r="AJ680">
        <v>79.346778053414297</v>
      </c>
      <c r="AK680">
        <v>15.199445361621899</v>
      </c>
      <c r="AL680">
        <v>89.452993844096795</v>
      </c>
      <c r="AM680">
        <v>83.366607968618894</v>
      </c>
      <c r="AN680">
        <v>0.99999995601027802</v>
      </c>
    </row>
    <row r="681" spans="1:40" x14ac:dyDescent="0.25">
      <c r="A681" t="str">
        <f>"20190312161238132"</f>
        <v>20190312161238132</v>
      </c>
      <c r="B681" t="str">
        <f>"1552378358126462"</f>
        <v>1552378358126462</v>
      </c>
      <c r="C681" t="s">
        <v>40</v>
      </c>
      <c r="D681">
        <v>5.4968870000000001</v>
      </c>
      <c r="E681">
        <v>0.523837</v>
      </c>
      <c r="F681" t="s">
        <v>42</v>
      </c>
      <c r="G681">
        <v>-245.5205</v>
      </c>
      <c r="H681" s="1">
        <v>-3.3731730000000001E-6</v>
      </c>
      <c r="I681">
        <v>363.34449999999998</v>
      </c>
      <c r="J681">
        <v>-269.54910000000001</v>
      </c>
      <c r="K681">
        <v>1.1100000000000001</v>
      </c>
      <c r="L681">
        <v>367.67540000000002</v>
      </c>
      <c r="M681">
        <v>0.99989189999999994</v>
      </c>
      <c r="N681">
        <v>0</v>
      </c>
      <c r="O681">
        <v>5.4167089999999996E-3</v>
      </c>
      <c r="P681">
        <v>0.99389380000000005</v>
      </c>
      <c r="Q681">
        <v>-3.7498010000000001E-3</v>
      </c>
      <c r="R681">
        <v>-0.1102791</v>
      </c>
      <c r="S681">
        <v>2.9591370000000001</v>
      </c>
      <c r="T681">
        <v>-0.135692799999999</v>
      </c>
      <c r="U681">
        <v>-0.5293274</v>
      </c>
      <c r="V681">
        <v>0.11566</v>
      </c>
      <c r="W681">
        <v>9.8492149999999997E-3</v>
      </c>
      <c r="X681">
        <v>0.99324000000000001</v>
      </c>
      <c r="Y681">
        <v>0.18122389999999999</v>
      </c>
      <c r="Z681">
        <v>-4.3665869999999999E-3</v>
      </c>
      <c r="AA681">
        <v>0.98343219999999998</v>
      </c>
      <c r="AB681">
        <v>29</v>
      </c>
      <c r="AC681">
        <v>24.028600000000001</v>
      </c>
      <c r="AD681">
        <v>-1.1100033731729999</v>
      </c>
      <c r="AE681">
        <v>-4.3309000000000397</v>
      </c>
      <c r="AF681">
        <v>4.4518033704290598</v>
      </c>
      <c r="AG681">
        <v>-1.1100033731729999</v>
      </c>
      <c r="AH681">
        <v>23.955274226387601</v>
      </c>
      <c r="AI681">
        <v>92.608391916375396</v>
      </c>
      <c r="AJ681">
        <v>79.472356645047597</v>
      </c>
      <c r="AK681">
        <v>24.390691339091902</v>
      </c>
      <c r="AL681">
        <v>89.4356724079109</v>
      </c>
      <c r="AM681">
        <v>83.357981889563504</v>
      </c>
      <c r="AN681">
        <v>0.99999997011805697</v>
      </c>
    </row>
    <row r="682" spans="1:40" x14ac:dyDescent="0.25">
      <c r="A682" t="str">
        <f>"20190312161238145"</f>
        <v>20190312161238145</v>
      </c>
      <c r="B682" t="str">
        <f>"1552378358136221"</f>
        <v>1552378358136221</v>
      </c>
      <c r="C682" t="s">
        <v>40</v>
      </c>
      <c r="D682">
        <v>5.6455279999999997</v>
      </c>
      <c r="E682">
        <v>0.52583349999999995</v>
      </c>
      <c r="F682" t="s">
        <v>42</v>
      </c>
      <c r="G682">
        <v>-239.08949999999999</v>
      </c>
      <c r="H682" s="1">
        <v>-2.2230810000000001E-6</v>
      </c>
      <c r="I682">
        <v>362.3734</v>
      </c>
      <c r="J682">
        <v>-269.3793</v>
      </c>
      <c r="K682">
        <v>1.1100350000000001</v>
      </c>
      <c r="L682">
        <v>367.6764</v>
      </c>
      <c r="M682">
        <v>0.99989119999999998</v>
      </c>
      <c r="N682">
        <v>0</v>
      </c>
      <c r="O682">
        <v>5.4724379999999996E-3</v>
      </c>
      <c r="P682">
        <v>0.99388370000000004</v>
      </c>
      <c r="Q682">
        <v>-3.6561900000000001E-3</v>
      </c>
      <c r="R682">
        <v>-0.11037329999999999</v>
      </c>
      <c r="S682">
        <v>2.9608460000000001</v>
      </c>
      <c r="T682">
        <v>-0.1078981</v>
      </c>
      <c r="U682">
        <v>-0.51538090000000003</v>
      </c>
      <c r="V682">
        <v>0.1158095</v>
      </c>
      <c r="W682">
        <v>9.9770009999999992E-3</v>
      </c>
      <c r="X682">
        <v>0.99322129999999997</v>
      </c>
      <c r="Y682">
        <v>0.17675879999999999</v>
      </c>
      <c r="Z682">
        <v>-3.393535E-3</v>
      </c>
      <c r="AA682">
        <v>0.98424829999999996</v>
      </c>
      <c r="AB682">
        <v>29</v>
      </c>
      <c r="AC682">
        <v>30.2898</v>
      </c>
      <c r="AD682">
        <v>-1.1100372230810001</v>
      </c>
      <c r="AE682">
        <v>-5.3029999999999902</v>
      </c>
      <c r="AF682">
        <v>5.4615783212586804</v>
      </c>
      <c r="AG682">
        <v>-1.1100372230810001</v>
      </c>
      <c r="AH682">
        <v>30.220943045229099</v>
      </c>
      <c r="AI682">
        <v>92.070066964881903</v>
      </c>
      <c r="AJ682">
        <v>79.755982120260995</v>
      </c>
      <c r="AK682">
        <v>30.730545373274001</v>
      </c>
      <c r="AL682">
        <v>89.428350446969205</v>
      </c>
      <c r="AM682">
        <v>83.349349304125894</v>
      </c>
      <c r="AN682">
        <v>0.99999996580644601</v>
      </c>
    </row>
    <row r="683" spans="1:40" x14ac:dyDescent="0.25">
      <c r="A683" t="str">
        <f>"20190312161238159"</f>
        <v>20190312161238159</v>
      </c>
      <c r="B683" t="str">
        <f>"1552378358145980"</f>
        <v>1552378358145980</v>
      </c>
      <c r="C683" t="s">
        <v>40</v>
      </c>
      <c r="D683">
        <v>5.6545100000000001</v>
      </c>
      <c r="E683">
        <v>0.52637529999999999</v>
      </c>
      <c r="F683" t="s">
        <v>42</v>
      </c>
      <c r="G683">
        <v>-239.1842</v>
      </c>
      <c r="H683" s="1">
        <v>-2.2236420000000001E-6</v>
      </c>
      <c r="I683">
        <v>362.25029999999998</v>
      </c>
      <c r="J683">
        <v>-269.20760000000001</v>
      </c>
      <c r="K683">
        <v>1.1100719999999999</v>
      </c>
      <c r="L683">
        <v>367.67739999999998</v>
      </c>
      <c r="M683">
        <v>0.99989039999999996</v>
      </c>
      <c r="N683">
        <v>0</v>
      </c>
      <c r="O683">
        <v>5.528725E-3</v>
      </c>
      <c r="P683">
        <v>0.99388330000000003</v>
      </c>
      <c r="Q683">
        <v>-3.0485759999999999E-3</v>
      </c>
      <c r="R683">
        <v>-0.11039450000000001</v>
      </c>
      <c r="S683">
        <v>2.959015</v>
      </c>
      <c r="T683">
        <v>-0.108779399999999</v>
      </c>
      <c r="U683">
        <v>-0.5317383</v>
      </c>
      <c r="V683">
        <v>0.1158867</v>
      </c>
      <c r="W683">
        <v>1.061641E-2</v>
      </c>
      <c r="X683">
        <v>0.99320569999999997</v>
      </c>
      <c r="Y683">
        <v>0.1821846</v>
      </c>
      <c r="Z683">
        <v>-3.522645E-3</v>
      </c>
      <c r="AA683">
        <v>0.98325799999999997</v>
      </c>
      <c r="AB683">
        <v>29</v>
      </c>
      <c r="AC683">
        <v>30.023399999999999</v>
      </c>
      <c r="AD683">
        <v>-1.110074223642</v>
      </c>
      <c r="AE683">
        <v>-5.4270999999999896</v>
      </c>
      <c r="AF683">
        <v>5.5856295917560201</v>
      </c>
      <c r="AG683">
        <v>-1.110074223642</v>
      </c>
      <c r="AH683">
        <v>29.953281283403399</v>
      </c>
      <c r="AI683">
        <v>92.086485841969306</v>
      </c>
      <c r="AJ683">
        <v>79.436919795426803</v>
      </c>
      <c r="AK683">
        <v>30.489843921558201</v>
      </c>
      <c r="AL683">
        <v>89.391713085935805</v>
      </c>
      <c r="AM683">
        <v>83.344852064124098</v>
      </c>
      <c r="AN683">
        <v>0.99999999895533398</v>
      </c>
    </row>
    <row r="684" spans="1:40" x14ac:dyDescent="0.25">
      <c r="A684" t="str">
        <f>"20190312161238175"</f>
        <v>20190312161238175</v>
      </c>
      <c r="B684" t="str">
        <f>"1552378358166477"</f>
        <v>1552378358166477</v>
      </c>
      <c r="C684" t="s">
        <v>40</v>
      </c>
      <c r="D684">
        <v>6.9152570000000004</v>
      </c>
      <c r="E684">
        <v>0.52475059999999996</v>
      </c>
      <c r="F684" t="s">
        <v>42</v>
      </c>
      <c r="G684">
        <v>-240.75989999999999</v>
      </c>
      <c r="H684" s="1">
        <v>-5.6058770000000004E-6</v>
      </c>
      <c r="I684">
        <v>362.52690000000001</v>
      </c>
      <c r="J684">
        <v>-269.00760000000002</v>
      </c>
      <c r="K684">
        <v>1.110104</v>
      </c>
      <c r="L684">
        <v>367.67860000000002</v>
      </c>
      <c r="M684">
        <v>0.99988949999999999</v>
      </c>
      <c r="N684">
        <v>0</v>
      </c>
      <c r="O684">
        <v>5.594229E-3</v>
      </c>
      <c r="P684">
        <v>0.99388089999999996</v>
      </c>
      <c r="Q684">
        <v>-3.1061919999999998E-3</v>
      </c>
      <c r="R684">
        <v>-0.1104136</v>
      </c>
      <c r="S684">
        <v>2.9586489999999999</v>
      </c>
      <c r="T684">
        <v>-0.11545179999999999</v>
      </c>
      <c r="U684">
        <v>-0.53567500000000001</v>
      </c>
      <c r="V684">
        <v>0.1159709</v>
      </c>
      <c r="W684">
        <v>1.059304E-2</v>
      </c>
      <c r="X684">
        <v>0.99319610000000003</v>
      </c>
      <c r="Y684">
        <v>0.1835205</v>
      </c>
      <c r="Z684">
        <v>-3.7669629999999999E-3</v>
      </c>
      <c r="AA684">
        <v>0.98300869999999996</v>
      </c>
      <c r="AB684">
        <v>29</v>
      </c>
      <c r="AC684">
        <v>28.247699999999998</v>
      </c>
      <c r="AD684">
        <v>-1.1101096058769999</v>
      </c>
      <c r="AE684">
        <v>-5.1516999999999999</v>
      </c>
      <c r="AF684">
        <v>5.3017339358107396</v>
      </c>
      <c r="AG684">
        <v>-1.1101096058769999</v>
      </c>
      <c r="AH684">
        <v>28.176320088984401</v>
      </c>
      <c r="AI684">
        <v>92.217339318951105</v>
      </c>
      <c r="AJ684">
        <v>79.343665871901493</v>
      </c>
      <c r="AK684">
        <v>28.692259231717799</v>
      </c>
      <c r="AL684">
        <v>89.3930521506405</v>
      </c>
      <c r="AM684">
        <v>83.339996248795302</v>
      </c>
      <c r="AN684">
        <v>0.99999997759922998</v>
      </c>
    </row>
    <row r="685" spans="1:40" x14ac:dyDescent="0.25">
      <c r="A685" t="str">
        <f>"20190312161238193"</f>
        <v>20190312161238193</v>
      </c>
      <c r="B685" t="str">
        <f>"1552378358185996"</f>
        <v>1552378358185996</v>
      </c>
      <c r="C685" t="s">
        <v>40</v>
      </c>
      <c r="D685">
        <v>5.6973419999999999</v>
      </c>
      <c r="E685">
        <v>0.52271650000000003</v>
      </c>
      <c r="F685" t="s">
        <v>42</v>
      </c>
      <c r="G685">
        <v>-241.5959</v>
      </c>
      <c r="H685" s="1">
        <v>-5.1550319999999998E-6</v>
      </c>
      <c r="I685">
        <v>362.84089999999998</v>
      </c>
      <c r="J685">
        <v>-268.76769999999999</v>
      </c>
      <c r="K685">
        <v>1.110139</v>
      </c>
      <c r="L685">
        <v>367.68</v>
      </c>
      <c r="M685">
        <v>0.99988860000000002</v>
      </c>
      <c r="N685">
        <v>0</v>
      </c>
      <c r="O685">
        <v>5.6732989999999997E-3</v>
      </c>
      <c r="P685">
        <v>0.99390639999999997</v>
      </c>
      <c r="Q685">
        <v>-3.4389960000000002E-3</v>
      </c>
      <c r="R685">
        <v>-0.11017490000000001</v>
      </c>
      <c r="S685">
        <v>2.9600520000000001</v>
      </c>
      <c r="T685">
        <v>-0.1198751</v>
      </c>
      <c r="U685">
        <v>-0.52239990000000003</v>
      </c>
      <c r="V685">
        <v>0.11581089999999999</v>
      </c>
      <c r="W685">
        <v>1.0296939999999999E-2</v>
      </c>
      <c r="X685">
        <v>0.99321789999999999</v>
      </c>
      <c r="Y685">
        <v>0.17923520000000001</v>
      </c>
      <c r="Z685">
        <v>-3.8279799999999999E-3</v>
      </c>
      <c r="AA685">
        <v>0.98379879999999997</v>
      </c>
      <c r="AB685">
        <v>29</v>
      </c>
      <c r="AC685">
        <v>27.171799999999902</v>
      </c>
      <c r="AD685">
        <v>-1.1101441550319999</v>
      </c>
      <c r="AE685">
        <v>-4.8391000000000304</v>
      </c>
      <c r="AF685">
        <v>4.9851249338105399</v>
      </c>
      <c r="AG685">
        <v>-1.1101441550319999</v>
      </c>
      <c r="AH685">
        <v>27.100060191930002</v>
      </c>
      <c r="AI685">
        <v>92.307122111717803</v>
      </c>
      <c r="AJ685">
        <v>79.576821649722802</v>
      </c>
      <c r="AK685">
        <v>27.577112848463301</v>
      </c>
      <c r="AL685">
        <v>89.410018366707902</v>
      </c>
      <c r="AM685">
        <v>83.349247062924107</v>
      </c>
      <c r="AN685">
        <v>0.99999999420629104</v>
      </c>
    </row>
    <row r="686" spans="1:40" x14ac:dyDescent="0.25">
      <c r="A686" t="str">
        <f>"20190312161238206"</f>
        <v>20190312161238206</v>
      </c>
      <c r="B686" t="str">
        <f>"1552378358196733"</f>
        <v>1552378358196733</v>
      </c>
      <c r="C686" t="s">
        <v>40</v>
      </c>
      <c r="D686">
        <v>6.2189639999999997</v>
      </c>
      <c r="E686">
        <v>0.52221799999999996</v>
      </c>
      <c r="F686" t="s">
        <v>42</v>
      </c>
      <c r="G686">
        <v>-238.0761</v>
      </c>
      <c r="H686" s="1">
        <v>-2.5513769999999998E-6</v>
      </c>
      <c r="I686">
        <v>362.4357</v>
      </c>
      <c r="J686">
        <v>-268.59480000000002</v>
      </c>
      <c r="K686">
        <v>1.1101589999999999</v>
      </c>
      <c r="L686">
        <v>367.68099999999998</v>
      </c>
      <c r="M686">
        <v>0.99988790000000005</v>
      </c>
      <c r="N686">
        <v>0</v>
      </c>
      <c r="O686">
        <v>5.7301080000000002E-3</v>
      </c>
      <c r="P686">
        <v>0.99389400000000006</v>
      </c>
      <c r="Q686">
        <v>-3.574856E-3</v>
      </c>
      <c r="R686">
        <v>-0.11028209999999999</v>
      </c>
      <c r="S686">
        <v>2.9619140000000002</v>
      </c>
      <c r="T686">
        <v>-0.1071348</v>
      </c>
      <c r="U686">
        <v>-0.50610350000000004</v>
      </c>
      <c r="V686">
        <v>0.11597440000000001</v>
      </c>
      <c r="W686">
        <v>1.018489E-2</v>
      </c>
      <c r="X686">
        <v>0.99319999999999997</v>
      </c>
      <c r="Y686">
        <v>0.17396110000000001</v>
      </c>
      <c r="Z686">
        <v>-3.3282730000000001E-3</v>
      </c>
      <c r="AA686">
        <v>0.98474689999999998</v>
      </c>
      <c r="AB686">
        <v>28</v>
      </c>
      <c r="AC686">
        <v>30.518699999999999</v>
      </c>
      <c r="AD686">
        <v>-1.110161551377</v>
      </c>
      <c r="AE686">
        <v>-5.2452999999999799</v>
      </c>
      <c r="AF686">
        <v>5.4131486494499699</v>
      </c>
      <c r="AG686">
        <v>-1.110161551377</v>
      </c>
      <c r="AH686">
        <v>30.4490044199251</v>
      </c>
      <c r="AI686">
        <v>92.055855530016302</v>
      </c>
      <c r="AJ686">
        <v>79.919416042793898</v>
      </c>
      <c r="AK686">
        <v>30.946348849837101</v>
      </c>
      <c r="AL686">
        <v>89.416438708660493</v>
      </c>
      <c r="AM686">
        <v>83.339822973386902</v>
      </c>
      <c r="AN686">
        <v>1.00000001671983</v>
      </c>
    </row>
    <row r="687" spans="1:40" x14ac:dyDescent="0.25">
      <c r="A687" t="str">
        <f>"20190312161238220"</f>
        <v>20190312161238220</v>
      </c>
      <c r="B687" t="str">
        <f>"1552378358216253"</f>
        <v>1552378358216253</v>
      </c>
      <c r="C687" t="s">
        <v>40</v>
      </c>
      <c r="D687">
        <v>5.6815160000000002</v>
      </c>
      <c r="E687">
        <v>0.52298359999999899</v>
      </c>
      <c r="F687" t="s">
        <v>42</v>
      </c>
      <c r="G687">
        <v>-235.4074</v>
      </c>
      <c r="H687" s="1">
        <v>-3.5634909999999998E-6</v>
      </c>
      <c r="I687">
        <v>362.04500000000002</v>
      </c>
      <c r="J687">
        <v>-268.43060000000003</v>
      </c>
      <c r="K687">
        <v>1.1101760000000001</v>
      </c>
      <c r="L687">
        <v>367.68209999999999</v>
      </c>
      <c r="M687">
        <v>0.99988730000000003</v>
      </c>
      <c r="N687">
        <v>0</v>
      </c>
      <c r="O687">
        <v>5.7839049999999998E-3</v>
      </c>
      <c r="P687">
        <v>0.99387420000000004</v>
      </c>
      <c r="Q687">
        <v>-3.6606960000000002E-3</v>
      </c>
      <c r="R687">
        <v>-0.1104576</v>
      </c>
      <c r="S687">
        <v>2.96225</v>
      </c>
      <c r="T687">
        <v>-9.9090929999999994E-2</v>
      </c>
      <c r="U687">
        <v>-0.50305180000000005</v>
      </c>
      <c r="V687">
        <v>0.11620320000000001</v>
      </c>
      <c r="W687">
        <v>1.011957E-2</v>
      </c>
      <c r="X687">
        <v>0.99317390000000005</v>
      </c>
      <c r="Y687">
        <v>0.1730266</v>
      </c>
      <c r="Z687">
        <v>-3.0647140000000001E-3</v>
      </c>
      <c r="AA687">
        <v>0.98491240000000002</v>
      </c>
      <c r="AB687">
        <v>28</v>
      </c>
      <c r="AC687">
        <v>33.023200000000003</v>
      </c>
      <c r="AD687">
        <v>-1.1101795634909899</v>
      </c>
      <c r="AE687">
        <v>-5.63709999999997</v>
      </c>
      <c r="AF687">
        <v>5.82163386374586</v>
      </c>
      <c r="AG687">
        <v>-1.1101795634909899</v>
      </c>
      <c r="AH687">
        <v>32.953850625755898</v>
      </c>
      <c r="AI687">
        <v>91.900102939210299</v>
      </c>
      <c r="AJ687">
        <v>79.981484656552098</v>
      </c>
      <c r="AK687">
        <v>33.482535605466602</v>
      </c>
      <c r="AL687">
        <v>89.420181447764605</v>
      </c>
      <c r="AM687">
        <v>83.326628051700496</v>
      </c>
      <c r="AN687">
        <v>0.99999999251421701</v>
      </c>
    </row>
    <row r="688" spans="1:40" x14ac:dyDescent="0.25">
      <c r="A688" t="str">
        <f>"20190312161238233"</f>
        <v>20190312161238233</v>
      </c>
      <c r="B688" t="str">
        <f>"1552378358226013"</f>
        <v>1552378358226013</v>
      </c>
      <c r="C688" t="s">
        <v>40</v>
      </c>
      <c r="D688">
        <v>5.7370780000000003</v>
      </c>
      <c r="E688">
        <v>0.5233409</v>
      </c>
      <c r="F688" t="s">
        <v>42</v>
      </c>
      <c r="G688">
        <v>-235.26929999999999</v>
      </c>
      <c r="H688" s="1">
        <v>-3.6285850000000001E-6</v>
      </c>
      <c r="I688">
        <v>361.97699999999998</v>
      </c>
      <c r="J688">
        <v>-268.26260000000002</v>
      </c>
      <c r="K688">
        <v>1.11019</v>
      </c>
      <c r="L688">
        <v>367.68310000000002</v>
      </c>
      <c r="M688">
        <v>0.99988679999999996</v>
      </c>
      <c r="N688">
        <v>0</v>
      </c>
      <c r="O688">
        <v>5.8390739999999997E-3</v>
      </c>
      <c r="P688">
        <v>0.99387179999999997</v>
      </c>
      <c r="Q688">
        <v>-3.9552099999999998E-3</v>
      </c>
      <c r="R688">
        <v>-0.1104701</v>
      </c>
      <c r="S688">
        <v>2.961487</v>
      </c>
      <c r="T688">
        <v>-9.9144940000000001E-2</v>
      </c>
      <c r="U688">
        <v>-0.50949100000000003</v>
      </c>
      <c r="V688">
        <v>0.1162706</v>
      </c>
      <c r="W688">
        <v>9.8449230000000002E-3</v>
      </c>
      <c r="X688">
        <v>0.99316879999999996</v>
      </c>
      <c r="Y688">
        <v>0.17520179999999999</v>
      </c>
      <c r="Z688">
        <v>-3.1045729999999998E-3</v>
      </c>
      <c r="AA688">
        <v>0.98452759999999995</v>
      </c>
      <c r="AB688">
        <v>28</v>
      </c>
      <c r="AC688">
        <v>32.993299999999998</v>
      </c>
      <c r="AD688">
        <v>-1.110193628585</v>
      </c>
      <c r="AE688">
        <v>-5.7061000000000401</v>
      </c>
      <c r="AF688">
        <v>5.8921938137333401</v>
      </c>
      <c r="AG688">
        <v>-1.110193628585</v>
      </c>
      <c r="AH688">
        <v>32.923220885377503</v>
      </c>
      <c r="AI688">
        <v>91.901137717002399</v>
      </c>
      <c r="AJ688">
        <v>79.853325629569298</v>
      </c>
      <c r="AK688">
        <v>33.464741912928403</v>
      </c>
      <c r="AL688">
        <v>89.435918361529602</v>
      </c>
      <c r="AM688">
        <v>83.322758335568494</v>
      </c>
      <c r="AN688">
        <v>1.0000000201133299</v>
      </c>
    </row>
    <row r="689" spans="1:40" x14ac:dyDescent="0.25">
      <c r="A689" t="str">
        <f>"20190312161238247"</f>
        <v>20190312161238247</v>
      </c>
      <c r="B689" t="str">
        <f>"1552378358236749"</f>
        <v>1552378358236749</v>
      </c>
      <c r="C689" t="s">
        <v>40</v>
      </c>
      <c r="D689">
        <v>5.676412</v>
      </c>
      <c r="E689">
        <v>0.52370640000000002</v>
      </c>
      <c r="F689" t="s">
        <v>42</v>
      </c>
      <c r="G689">
        <v>-235.28039999999999</v>
      </c>
      <c r="H689" s="1">
        <v>-3.6255560000000001E-6</v>
      </c>
      <c r="I689">
        <v>361.9742</v>
      </c>
      <c r="J689">
        <v>-268.07690000000002</v>
      </c>
      <c r="K689">
        <v>1.110204</v>
      </c>
      <c r="L689">
        <v>367.68419999999998</v>
      </c>
      <c r="M689">
        <v>0.9998861</v>
      </c>
      <c r="N689">
        <v>0</v>
      </c>
      <c r="O689">
        <v>5.9004369999999997E-3</v>
      </c>
      <c r="P689">
        <v>0.99382780000000004</v>
      </c>
      <c r="Q689">
        <v>-3.454922E-3</v>
      </c>
      <c r="R689">
        <v>-0.1108817</v>
      </c>
      <c r="S689">
        <v>2.9611510000000001</v>
      </c>
      <c r="T689">
        <v>-9.9673390000000001E-2</v>
      </c>
      <c r="U689">
        <v>-0.51254270000000002</v>
      </c>
      <c r="V689">
        <v>0.1167426</v>
      </c>
      <c r="W689">
        <v>1.036465E-2</v>
      </c>
      <c r="X689">
        <v>0.99310810000000005</v>
      </c>
      <c r="Y689">
        <v>0.17626439999999999</v>
      </c>
      <c r="Z689">
        <v>-3.1409860000000001E-3</v>
      </c>
      <c r="AA689">
        <v>0.98433789999999999</v>
      </c>
      <c r="AB689">
        <v>28</v>
      </c>
      <c r="AC689">
        <v>32.796500000000002</v>
      </c>
      <c r="AD689">
        <v>-1.1102076255560001</v>
      </c>
      <c r="AE689">
        <v>-5.7099999999999804</v>
      </c>
      <c r="AF689">
        <v>5.8968744095858199</v>
      </c>
      <c r="AG689">
        <v>-1.1102076255560001</v>
      </c>
      <c r="AH689">
        <v>32.725836413949402</v>
      </c>
      <c r="AI689">
        <v>91.912213540620002</v>
      </c>
      <c r="AJ689">
        <v>79.785471990103702</v>
      </c>
      <c r="AK689">
        <v>33.271399997097298</v>
      </c>
      <c r="AL689">
        <v>89.406138653656498</v>
      </c>
      <c r="AM689">
        <v>83.295492308856097</v>
      </c>
      <c r="AN689">
        <v>0.99999997945499597</v>
      </c>
    </row>
    <row r="690" spans="1:40" x14ac:dyDescent="0.25">
      <c r="A690" t="str">
        <f>"20190312161238261"</f>
        <v>20190312161238261</v>
      </c>
      <c r="B690" t="str">
        <f>"1552378358256269"</f>
        <v>1552378358256269</v>
      </c>
      <c r="C690" t="s">
        <v>40</v>
      </c>
      <c r="D690">
        <v>5.7149979999999996</v>
      </c>
      <c r="E690">
        <v>0.52430429999999995</v>
      </c>
      <c r="F690" t="s">
        <v>42</v>
      </c>
      <c r="G690">
        <v>-234.33519999999999</v>
      </c>
      <c r="H690" s="1">
        <v>-3.9947549999999997E-6</v>
      </c>
      <c r="I690">
        <v>361.7955</v>
      </c>
      <c r="J690">
        <v>-267.90550000000002</v>
      </c>
      <c r="K690">
        <v>1.110217</v>
      </c>
      <c r="L690">
        <v>367.68529999999998</v>
      </c>
      <c r="M690">
        <v>0.99988560000000004</v>
      </c>
      <c r="N690">
        <v>0</v>
      </c>
      <c r="O690">
        <v>5.9568219999999996E-3</v>
      </c>
      <c r="P690">
        <v>0.99380420000000003</v>
      </c>
      <c r="Q690">
        <v>-3.4272349999999998E-3</v>
      </c>
      <c r="R690">
        <v>-0.111094</v>
      </c>
      <c r="S690">
        <v>2.9606319999999999</v>
      </c>
      <c r="T690">
        <v>-9.7413899999999901E-2</v>
      </c>
      <c r="U690">
        <v>-0.51669309999999902</v>
      </c>
      <c r="V690">
        <v>0.117011</v>
      </c>
      <c r="W690">
        <v>1.0408519999999999E-2</v>
      </c>
      <c r="X690">
        <v>0.99307610000000002</v>
      </c>
      <c r="Y690">
        <v>0.17769179999999901</v>
      </c>
      <c r="Z690">
        <v>-3.0951289999999998E-3</v>
      </c>
      <c r="AA690">
        <v>0.98408130000000005</v>
      </c>
      <c r="AB690">
        <v>28</v>
      </c>
      <c r="AC690">
        <v>33.570300000000003</v>
      </c>
      <c r="AD690">
        <v>-1.1102209947549999</v>
      </c>
      <c r="AE690">
        <v>-5.8897999999999797</v>
      </c>
      <c r="AF690">
        <v>6.08323241289715</v>
      </c>
      <c r="AG690">
        <v>-1.1102209947549999</v>
      </c>
      <c r="AH690">
        <v>33.499071722322803</v>
      </c>
      <c r="AI690">
        <v>91.867670397122396</v>
      </c>
      <c r="AJ690">
        <v>79.707584381511694</v>
      </c>
      <c r="AK690">
        <v>34.065027719111598</v>
      </c>
      <c r="AL690">
        <v>89.403624979863096</v>
      </c>
      <c r="AM690">
        <v>83.280004392131403</v>
      </c>
      <c r="AN690">
        <v>1.0000000259003901</v>
      </c>
    </row>
    <row r="691" spans="1:40" x14ac:dyDescent="0.25">
      <c r="A691" t="str">
        <f>"20190312161238273"</f>
        <v>20190312161238273</v>
      </c>
      <c r="B691" t="str">
        <f>"1552378358266029"</f>
        <v>1552378358266029</v>
      </c>
      <c r="C691" t="s">
        <v>40</v>
      </c>
      <c r="D691">
        <v>5.7389049999999999</v>
      </c>
      <c r="E691">
        <v>0.52462259999999905</v>
      </c>
      <c r="F691" t="s">
        <v>42</v>
      </c>
      <c r="G691">
        <v>-234.7277</v>
      </c>
      <c r="H691" s="1">
        <v>-3.8505039999999999E-6</v>
      </c>
      <c r="I691">
        <v>361.83569999999997</v>
      </c>
      <c r="J691">
        <v>-267.75139999999999</v>
      </c>
      <c r="K691">
        <v>1.110228</v>
      </c>
      <c r="L691">
        <v>367.68619999999999</v>
      </c>
      <c r="M691">
        <v>0.99988480000000002</v>
      </c>
      <c r="N691">
        <v>0</v>
      </c>
      <c r="O691">
        <v>6.0076219999999998E-3</v>
      </c>
      <c r="P691">
        <v>0.99381419999999998</v>
      </c>
      <c r="Q691">
        <v>-3.5900250000000002E-3</v>
      </c>
      <c r="R691">
        <v>-0.1109966</v>
      </c>
      <c r="S691">
        <v>2.9600219999999999</v>
      </c>
      <c r="T691">
        <v>-9.9050280000000004E-2</v>
      </c>
      <c r="U691">
        <v>-0.52188109999999999</v>
      </c>
      <c r="V691">
        <v>0.1169642</v>
      </c>
      <c r="W691">
        <v>1.025975E-2</v>
      </c>
      <c r="X691">
        <v>0.9930831</v>
      </c>
      <c r="Y691">
        <v>0.17944489999999999</v>
      </c>
      <c r="Z691">
        <v>-3.1780469999999998E-3</v>
      </c>
      <c r="AA691">
        <v>0.9837629</v>
      </c>
      <c r="AB691">
        <v>28</v>
      </c>
      <c r="AC691">
        <v>33.023699999999899</v>
      </c>
      <c r="AD691">
        <v>-1.1102318505040001</v>
      </c>
      <c r="AE691">
        <v>-5.85050000000001</v>
      </c>
      <c r="AF691">
        <v>6.0421862000460802</v>
      </c>
      <c r="AG691">
        <v>-1.1102318505040001</v>
      </c>
      <c r="AH691">
        <v>32.9518423573492</v>
      </c>
      <c r="AI691">
        <v>91.898089739295202</v>
      </c>
      <c r="AJ691">
        <v>79.609434558645503</v>
      </c>
      <c r="AK691">
        <v>33.519614311347503</v>
      </c>
      <c r="AL691">
        <v>89.412149292171804</v>
      </c>
      <c r="AM691">
        <v>83.282714487691607</v>
      </c>
      <c r="AN691">
        <v>0.99999996502865496</v>
      </c>
    </row>
    <row r="692" spans="1:40" x14ac:dyDescent="0.25">
      <c r="A692" t="str">
        <f>"20190312161238285"</f>
        <v>20190312161238285</v>
      </c>
      <c r="B692" t="str">
        <f>"1552378358276764"</f>
        <v>1552378358276764</v>
      </c>
      <c r="C692" t="s">
        <v>40</v>
      </c>
      <c r="D692">
        <v>5.8427179999999996</v>
      </c>
      <c r="E692">
        <v>0.52418589999999998</v>
      </c>
      <c r="F692" t="s">
        <v>42</v>
      </c>
      <c r="G692">
        <v>-234.93549999999999</v>
      </c>
      <c r="H692" s="1">
        <v>-3.769537E-6</v>
      </c>
      <c r="I692">
        <v>361.87419999999997</v>
      </c>
      <c r="J692">
        <v>-267.59440000000001</v>
      </c>
      <c r="K692">
        <v>1.110236</v>
      </c>
      <c r="L692">
        <v>367.68729999999999</v>
      </c>
      <c r="M692">
        <v>0.99988449999999995</v>
      </c>
      <c r="N692">
        <v>0</v>
      </c>
      <c r="O692">
        <v>6.0591439999999998E-3</v>
      </c>
      <c r="P692">
        <v>0.99379439999999997</v>
      </c>
      <c r="Q692">
        <v>-3.4418439999999999E-3</v>
      </c>
      <c r="R692">
        <v>-0.1111805</v>
      </c>
      <c r="S692">
        <v>2.959778</v>
      </c>
      <c r="T692">
        <v>-0.1001353</v>
      </c>
      <c r="U692">
        <v>-0.52420040000000001</v>
      </c>
      <c r="V692">
        <v>0.1171991</v>
      </c>
      <c r="W692">
        <v>1.042091E-2</v>
      </c>
      <c r="X692">
        <v>0.99305370000000004</v>
      </c>
      <c r="Y692">
        <v>0.18025430000000001</v>
      </c>
      <c r="Z692">
        <v>-3.2281969999999999E-3</v>
      </c>
      <c r="AA692">
        <v>0.98361469999999995</v>
      </c>
      <c r="AB692">
        <v>28</v>
      </c>
      <c r="AC692">
        <v>32.658900000000003</v>
      </c>
      <c r="AD692">
        <v>-1.1102397695370001</v>
      </c>
      <c r="AE692">
        <v>-5.8131000000000101</v>
      </c>
      <c r="AF692">
        <v>6.0041717687244196</v>
      </c>
      <c r="AG692">
        <v>-1.1102397695370001</v>
      </c>
      <c r="AH692">
        <v>32.586571982973403</v>
      </c>
      <c r="AI692">
        <v>91.919060650804695</v>
      </c>
      <c r="AJ692">
        <v>79.560174168008999</v>
      </c>
      <c r="AK692">
        <v>33.153693377597001</v>
      </c>
      <c r="AL692">
        <v>89.402914994032102</v>
      </c>
      <c r="AM692">
        <v>83.269150324545606</v>
      </c>
      <c r="AN692">
        <v>0.99999993774486196</v>
      </c>
    </row>
    <row r="693" spans="1:40" x14ac:dyDescent="0.25">
      <c r="A693" t="str">
        <f>"20190312161238298"</f>
        <v>20190312161238298</v>
      </c>
      <c r="B693" t="str">
        <f>"1552378358286524"</f>
        <v>1552378358286524</v>
      </c>
      <c r="C693" t="s">
        <v>40</v>
      </c>
      <c r="D693">
        <v>5.738658</v>
      </c>
      <c r="E693">
        <v>0.52420710000000004</v>
      </c>
      <c r="F693" t="s">
        <v>42</v>
      </c>
      <c r="G693">
        <v>-232.86240000000001</v>
      </c>
      <c r="H693" s="1">
        <v>-4.5559330000000001E-6</v>
      </c>
      <c r="I693">
        <v>361.57010000000002</v>
      </c>
      <c r="J693">
        <v>-267.43970000000002</v>
      </c>
      <c r="K693">
        <v>1.110244</v>
      </c>
      <c r="L693">
        <v>367.68830000000003</v>
      </c>
      <c r="M693">
        <v>0.99988390000000005</v>
      </c>
      <c r="N693">
        <v>0</v>
      </c>
      <c r="O693">
        <v>6.1103160000000002E-3</v>
      </c>
      <c r="P693">
        <v>0.99379629999999997</v>
      </c>
      <c r="Q693">
        <v>-3.5363439999999999E-3</v>
      </c>
      <c r="R693">
        <v>-0.1111613</v>
      </c>
      <c r="S693">
        <v>2.9600520000000001</v>
      </c>
      <c r="T693">
        <v>-9.4620590000000004E-2</v>
      </c>
      <c r="U693">
        <v>-0.52133180000000001</v>
      </c>
      <c r="V693">
        <v>0.1172305</v>
      </c>
      <c r="W693">
        <v>1.033795E-2</v>
      </c>
      <c r="X693">
        <v>0.99305089999999996</v>
      </c>
      <c r="Y693">
        <v>0.17937600000000001</v>
      </c>
      <c r="Z693">
        <v>-3.0381729999999999E-3</v>
      </c>
      <c r="AA693">
        <v>0.98377590000000004</v>
      </c>
      <c r="AB693">
        <v>28</v>
      </c>
      <c r="AC693">
        <v>34.577300000000001</v>
      </c>
      <c r="AD693">
        <v>-1.110248555933</v>
      </c>
      <c r="AE693">
        <v>-6.1181999999999999</v>
      </c>
      <c r="AF693">
        <v>6.3230634134718997</v>
      </c>
      <c r="AG693">
        <v>-1.110248555933</v>
      </c>
      <c r="AH693">
        <v>34.504772188947101</v>
      </c>
      <c r="AI693">
        <v>91.812785537471697</v>
      </c>
      <c r="AJ693">
        <v>79.615658962923007</v>
      </c>
      <c r="AK693">
        <v>35.096909929477803</v>
      </c>
      <c r="AL693">
        <v>89.407668531313703</v>
      </c>
      <c r="AM693">
        <v>83.267344737353099</v>
      </c>
      <c r="AN693">
        <v>0.99999997666563101</v>
      </c>
    </row>
    <row r="694" spans="1:40" x14ac:dyDescent="0.25">
      <c r="A694" t="str">
        <f>"20190312161238311"</f>
        <v>20190312161238311</v>
      </c>
      <c r="B694" t="str">
        <f>"1552378358306045"</f>
        <v>1552378358306045</v>
      </c>
      <c r="C694" t="s">
        <v>40</v>
      </c>
      <c r="D694">
        <v>5.6738739999999996</v>
      </c>
      <c r="E694">
        <v>0.52397919999999998</v>
      </c>
      <c r="F694" t="s">
        <v>42</v>
      </c>
      <c r="G694">
        <v>-232.27269999999999</v>
      </c>
      <c r="H694" s="1">
        <v>-4.7779749999999998E-6</v>
      </c>
      <c r="I694">
        <v>361.4898</v>
      </c>
      <c r="J694">
        <v>-267.274</v>
      </c>
      <c r="K694">
        <v>1.110252</v>
      </c>
      <c r="L694">
        <v>367.68939999999998</v>
      </c>
      <c r="M694">
        <v>0.99988370000000004</v>
      </c>
      <c r="N694">
        <v>0</v>
      </c>
      <c r="O694">
        <v>6.1648249999999996E-3</v>
      </c>
      <c r="P694">
        <v>0.99378560000000005</v>
      </c>
      <c r="Q694">
        <v>-3.5547600000000001E-3</v>
      </c>
      <c r="R694">
        <v>-0.1112562</v>
      </c>
      <c r="S694">
        <v>2.9600520000000001</v>
      </c>
      <c r="T694">
        <v>-9.3450900000000003E-2</v>
      </c>
      <c r="U694">
        <v>-0.52172850000000004</v>
      </c>
      <c r="V694">
        <v>0.1173797</v>
      </c>
      <c r="W694">
        <v>1.0330799999999999E-2</v>
      </c>
      <c r="X694">
        <v>0.99303330000000001</v>
      </c>
      <c r="Y694">
        <v>0.17955969999999999</v>
      </c>
      <c r="Z694">
        <v>-3.0051850000000001E-3</v>
      </c>
      <c r="AA694">
        <v>0.98374249999999996</v>
      </c>
      <c r="AB694">
        <v>28</v>
      </c>
      <c r="AC694">
        <v>35.001300000000001</v>
      </c>
      <c r="AD694">
        <v>-1.1102567779749899</v>
      </c>
      <c r="AE694">
        <v>-6.19959999999997</v>
      </c>
      <c r="AF694">
        <v>6.40902753734143</v>
      </c>
      <c r="AG694">
        <v>-1.1102567779749899</v>
      </c>
      <c r="AH694">
        <v>34.928336213818397</v>
      </c>
      <c r="AI694">
        <v>91.790754304513996</v>
      </c>
      <c r="AJ694">
        <v>79.602414934196503</v>
      </c>
      <c r="AK694">
        <v>35.528818932705597</v>
      </c>
      <c r="AL694">
        <v>89.4080781887169</v>
      </c>
      <c r="AM694">
        <v>83.258736475518205</v>
      </c>
      <c r="AN694">
        <v>0.99999992715480701</v>
      </c>
    </row>
    <row r="695" spans="1:40" x14ac:dyDescent="0.25">
      <c r="A695" t="str">
        <f>"20190312161238326"</f>
        <v>20190312161238326</v>
      </c>
      <c r="B695" t="str">
        <f>"1552378358316781"</f>
        <v>1552378358316781</v>
      </c>
      <c r="C695" t="s">
        <v>40</v>
      </c>
      <c r="D695">
        <v>5.6995809999999896</v>
      </c>
      <c r="E695">
        <v>0.52394770000000002</v>
      </c>
      <c r="F695" t="s">
        <v>42</v>
      </c>
      <c r="G695">
        <v>-231.99770000000001</v>
      </c>
      <c r="H695" s="1">
        <v>-4.8714929999999999E-6</v>
      </c>
      <c r="I695">
        <v>361.49009999999998</v>
      </c>
      <c r="J695">
        <v>-267.07859999999999</v>
      </c>
      <c r="K695">
        <v>1.1102559999999999</v>
      </c>
      <c r="L695">
        <v>367.69060000000002</v>
      </c>
      <c r="M695">
        <v>0.99988310000000002</v>
      </c>
      <c r="N695">
        <v>0</v>
      </c>
      <c r="O695">
        <v>6.2288109999999999E-3</v>
      </c>
      <c r="P695">
        <v>0.993811</v>
      </c>
      <c r="Q695">
        <v>-3.4472679999999999E-3</v>
      </c>
      <c r="R695">
        <v>-0.1110324</v>
      </c>
      <c r="S695">
        <v>2.960175</v>
      </c>
      <c r="T695">
        <v>-9.3165869999999998E-2</v>
      </c>
      <c r="U695">
        <v>-0.52020259999999996</v>
      </c>
      <c r="V695">
        <v>0.11721959999999999</v>
      </c>
      <c r="W695">
        <v>1.0450950000000001E-2</v>
      </c>
      <c r="X695">
        <v>0.99305109999999996</v>
      </c>
      <c r="Y695">
        <v>0.17912449999999999</v>
      </c>
      <c r="Z695">
        <v>-2.9912390000000001E-3</v>
      </c>
      <c r="AA695">
        <v>0.98382190000000003</v>
      </c>
      <c r="AB695">
        <v>28</v>
      </c>
      <c r="AC695">
        <v>35.0808999999999</v>
      </c>
      <c r="AD695">
        <v>-1.110260871493</v>
      </c>
      <c r="AE695">
        <v>-6.2005000000000301</v>
      </c>
      <c r="AF695">
        <v>6.4126847188153402</v>
      </c>
      <c r="AG695">
        <v>-1.110260871493</v>
      </c>
      <c r="AH695">
        <v>35.007591299199603</v>
      </c>
      <c r="AI695">
        <v>91.786807839848194</v>
      </c>
      <c r="AJ695">
        <v>79.619651357330994</v>
      </c>
      <c r="AK695">
        <v>35.607396044607</v>
      </c>
      <c r="AL695">
        <v>89.401193815428798</v>
      </c>
      <c r="AM695">
        <v>83.267966331964303</v>
      </c>
      <c r="AN695">
        <v>1.0000000720956299</v>
      </c>
    </row>
    <row r="696" spans="1:40" x14ac:dyDescent="0.25">
      <c r="A696" t="str">
        <f>"20190312161238340"</f>
        <v>20190312161238340</v>
      </c>
      <c r="B696" t="str">
        <f>"1552378358336301"</f>
        <v>1552378358336301</v>
      </c>
      <c r="C696" t="s">
        <v>40</v>
      </c>
      <c r="D696">
        <v>5.7810290000000002</v>
      </c>
      <c r="E696">
        <v>0.52375729999999998</v>
      </c>
      <c r="F696" t="s">
        <v>42</v>
      </c>
      <c r="G696">
        <v>-231.25630000000001</v>
      </c>
      <c r="H696" s="1">
        <v>-5.1897599999999996E-6</v>
      </c>
      <c r="I696">
        <v>361.40570000000002</v>
      </c>
      <c r="J696">
        <v>-266.90609999999998</v>
      </c>
      <c r="K696">
        <v>1.1102650000000001</v>
      </c>
      <c r="L696">
        <v>367.6918</v>
      </c>
      <c r="M696">
        <v>0.99988250000000001</v>
      </c>
      <c r="N696">
        <v>0</v>
      </c>
      <c r="O696">
        <v>6.2858360000000004E-3</v>
      </c>
      <c r="P696">
        <v>0.99384050000000002</v>
      </c>
      <c r="Q696">
        <v>-3.7010680000000001E-3</v>
      </c>
      <c r="R696">
        <v>-0.11075989999999999</v>
      </c>
      <c r="S696">
        <v>2.9603269999999999</v>
      </c>
      <c r="T696">
        <v>-9.1750979999999996E-2</v>
      </c>
      <c r="U696">
        <v>-0.51937869999999997</v>
      </c>
      <c r="V696">
        <v>0.11700389999999999</v>
      </c>
      <c r="W696">
        <v>1.0207300000000001E-2</v>
      </c>
      <c r="X696">
        <v>0.99307900000000005</v>
      </c>
      <c r="Y696">
        <v>0.17890909999999999</v>
      </c>
      <c r="Z696">
        <v>-2.9441960000000001E-3</v>
      </c>
      <c r="AA696">
        <v>0.98386119999999999</v>
      </c>
      <c r="AB696">
        <v>28</v>
      </c>
      <c r="AC696">
        <v>35.6497999999999</v>
      </c>
      <c r="AD696">
        <v>-1.11027018976</v>
      </c>
      <c r="AE696">
        <v>-6.28609999999997</v>
      </c>
      <c r="AF696">
        <v>6.5039682813628401</v>
      </c>
      <c r="AG696">
        <v>-1.11027018976</v>
      </c>
      <c r="AH696">
        <v>35.576112272950397</v>
      </c>
      <c r="AI696">
        <v>91.758399186502501</v>
      </c>
      <c r="AJ696">
        <v>79.639688340046405</v>
      </c>
      <c r="AK696">
        <v>36.182786898701004</v>
      </c>
      <c r="AL696">
        <v>89.415154634271602</v>
      </c>
      <c r="AM696">
        <v>83.280427862796898</v>
      </c>
      <c r="AN696">
        <v>1.0000000009147501</v>
      </c>
    </row>
    <row r="697" spans="1:40" x14ac:dyDescent="0.25">
      <c r="A697" t="str">
        <f>"20190312161238354"</f>
        <v>20190312161238354</v>
      </c>
      <c r="B697" t="str">
        <f>"1552378358346060"</f>
        <v>1552378358346060</v>
      </c>
      <c r="C697" t="s">
        <v>40</v>
      </c>
      <c r="D697">
        <v>5.7877349999999996</v>
      </c>
      <c r="E697">
        <v>0.52359449999999996</v>
      </c>
      <c r="F697" t="s">
        <v>42</v>
      </c>
      <c r="G697">
        <v>-232.10589999999999</v>
      </c>
      <c r="H697" s="1">
        <v>-4.8006849999999901E-6</v>
      </c>
      <c r="I697">
        <v>361.61779999999999</v>
      </c>
      <c r="J697">
        <v>-266.73020000000002</v>
      </c>
      <c r="K697">
        <v>1.1102749999999999</v>
      </c>
      <c r="L697">
        <v>367.69290000000001</v>
      </c>
      <c r="M697">
        <v>0.99988189999999999</v>
      </c>
      <c r="N697">
        <v>0</v>
      </c>
      <c r="O697">
        <v>6.3441180000000002E-3</v>
      </c>
      <c r="P697">
        <v>0.99388949999999998</v>
      </c>
      <c r="Q697">
        <v>-3.3711919999999999E-3</v>
      </c>
      <c r="R697">
        <v>-0.11032839999999999</v>
      </c>
      <c r="S697">
        <v>2.960693</v>
      </c>
      <c r="T697">
        <v>-9.4458100000000003E-2</v>
      </c>
      <c r="U697">
        <v>-0.51675420000000005</v>
      </c>
      <c r="V697">
        <v>0.1166307</v>
      </c>
      <c r="W697">
        <v>1.0547269999999999E-2</v>
      </c>
      <c r="X697">
        <v>0.99311939999999999</v>
      </c>
      <c r="Y697">
        <v>0.17809459999999999</v>
      </c>
      <c r="Z697">
        <v>-3.019837E-3</v>
      </c>
      <c r="AA697">
        <v>0.98400869999999996</v>
      </c>
      <c r="AB697">
        <v>28</v>
      </c>
      <c r="AC697">
        <v>34.624299999999998</v>
      </c>
      <c r="AD697">
        <v>-1.1102798006850001</v>
      </c>
      <c r="AE697">
        <v>-6.0751000000000097</v>
      </c>
      <c r="AF697">
        <v>6.2883869084955197</v>
      </c>
      <c r="AG697">
        <v>-1.1102798006850001</v>
      </c>
      <c r="AH697">
        <v>34.550592213730603</v>
      </c>
      <c r="AI697">
        <v>91.810832655503006</v>
      </c>
      <c r="AJ697">
        <v>79.6847822742549</v>
      </c>
      <c r="AK697">
        <v>35.135736130985599</v>
      </c>
      <c r="AL697">
        <v>89.395674771134694</v>
      </c>
      <c r="AM697">
        <v>83.301935808271793</v>
      </c>
      <c r="AN697">
        <v>1.00000005387164</v>
      </c>
    </row>
    <row r="698" spans="1:40" x14ac:dyDescent="0.25">
      <c r="A698" t="str">
        <f>"20190312161238371"</f>
        <v>20190312161238371</v>
      </c>
      <c r="B698" t="str">
        <f>"1552378358366557"</f>
        <v>1552378358366557</v>
      </c>
      <c r="C698" t="s">
        <v>40</v>
      </c>
      <c r="D698">
        <v>5.7569059999999999</v>
      </c>
      <c r="E698">
        <v>0.52314170000000004</v>
      </c>
      <c r="F698" t="s">
        <v>42</v>
      </c>
      <c r="G698">
        <v>-232.4127</v>
      </c>
      <c r="H698" s="1">
        <v>-4.665859E-6</v>
      </c>
      <c r="I698">
        <v>361.73219999999998</v>
      </c>
      <c r="J698">
        <v>-266.51609999999999</v>
      </c>
      <c r="K698">
        <v>1.1102829999999999</v>
      </c>
      <c r="L698">
        <v>367.6943</v>
      </c>
      <c r="M698">
        <v>0.99988140000000003</v>
      </c>
      <c r="N698">
        <v>0</v>
      </c>
      <c r="O698">
        <v>6.4144349999999996E-3</v>
      </c>
      <c r="P698">
        <v>0.99393509999999996</v>
      </c>
      <c r="Q698">
        <v>-3.5525489999999999E-3</v>
      </c>
      <c r="R698">
        <v>-0.1099101</v>
      </c>
      <c r="S698">
        <v>2.9610599999999998</v>
      </c>
      <c r="T698">
        <v>-9.5799449999999994E-2</v>
      </c>
      <c r="U698">
        <v>-0.51431269999999996</v>
      </c>
      <c r="V698">
        <v>0.1162825</v>
      </c>
      <c r="W698">
        <v>1.0376089999999999E-2</v>
      </c>
      <c r="X698">
        <v>0.99316199999999999</v>
      </c>
      <c r="Y698">
        <v>0.1773535</v>
      </c>
      <c r="Z698">
        <v>-3.0529009999999998E-3</v>
      </c>
      <c r="AA698">
        <v>0.98414250000000003</v>
      </c>
      <c r="AB698">
        <v>28</v>
      </c>
      <c r="AC698">
        <v>34.103399999999901</v>
      </c>
      <c r="AD698">
        <v>-1.110287665859</v>
      </c>
      <c r="AE698">
        <v>-5.9621000000000199</v>
      </c>
      <c r="AF698">
        <v>6.1744024840628997</v>
      </c>
      <c r="AG698">
        <v>-1.110287665859</v>
      </c>
      <c r="AH698">
        <v>34.029451992491303</v>
      </c>
      <c r="AI698">
        <v>91.838740317997207</v>
      </c>
      <c r="AJ698">
        <v>79.715968855926505</v>
      </c>
      <c r="AK698">
        <v>34.602884094327102</v>
      </c>
      <c r="AL698">
        <v>89.405483179166893</v>
      </c>
      <c r="AM698">
        <v>83.322035799218895</v>
      </c>
      <c r="AN698">
        <v>1.0000000206469599</v>
      </c>
    </row>
    <row r="699" spans="1:40" x14ac:dyDescent="0.25">
      <c r="A699" t="str">
        <f>"20190312161238384"</f>
        <v>20190312161238384</v>
      </c>
      <c r="B699" t="str">
        <f>"1552378358376316"</f>
        <v>1552378358376316</v>
      </c>
      <c r="C699" t="s">
        <v>40</v>
      </c>
      <c r="D699">
        <v>5.7331760000000003</v>
      </c>
      <c r="E699">
        <v>0.52300249999999904</v>
      </c>
      <c r="F699" t="s">
        <v>42</v>
      </c>
      <c r="G699">
        <v>-233.8142</v>
      </c>
      <c r="H699" s="1">
        <v>-4.0983960000000003E-6</v>
      </c>
      <c r="I699">
        <v>362.07240000000002</v>
      </c>
      <c r="J699">
        <v>-266.35050000000001</v>
      </c>
      <c r="K699">
        <v>1.1102909999999999</v>
      </c>
      <c r="L699">
        <v>367.69549999999998</v>
      </c>
      <c r="M699">
        <v>0.99988100000000002</v>
      </c>
      <c r="N699">
        <v>0</v>
      </c>
      <c r="O699">
        <v>6.4685069999999897E-3</v>
      </c>
      <c r="P699">
        <v>0.99396130000000005</v>
      </c>
      <c r="Q699">
        <v>-3.4321379999999999E-3</v>
      </c>
      <c r="R699">
        <v>-0.1096767</v>
      </c>
      <c r="S699">
        <v>2.9616699999999998</v>
      </c>
      <c r="T699">
        <v>-0.1005539</v>
      </c>
      <c r="U699">
        <v>-0.50915529999999998</v>
      </c>
      <c r="V699">
        <v>0.1161032</v>
      </c>
      <c r="W699">
        <v>1.050388E-2</v>
      </c>
      <c r="X699">
        <v>0.9931816</v>
      </c>
      <c r="Y699">
        <v>0.17569949999999901</v>
      </c>
      <c r="Z699">
        <v>-3.1781069999999999E-3</v>
      </c>
      <c r="AA699">
        <v>0.9844387</v>
      </c>
      <c r="AB699">
        <v>28</v>
      </c>
      <c r="AC699">
        <v>32.536299999999997</v>
      </c>
      <c r="AD699">
        <v>-1.1102950983959901</v>
      </c>
      <c r="AE699">
        <v>-5.62309999999996</v>
      </c>
      <c r="AF699">
        <v>5.8268756440544598</v>
      </c>
      <c r="AG699">
        <v>-1.1102950983959901</v>
      </c>
      <c r="AH699">
        <v>32.462536200360603</v>
      </c>
      <c r="AI699">
        <v>91.928096600693493</v>
      </c>
      <c r="AJ699">
        <v>79.824033329287303</v>
      </c>
      <c r="AK699">
        <v>33.000022599030501</v>
      </c>
      <c r="AL699">
        <v>89.398160932688896</v>
      </c>
      <c r="AM699">
        <v>83.332370396146501</v>
      </c>
      <c r="AN699">
        <v>0.99999998756192698</v>
      </c>
    </row>
    <row r="700" spans="1:40" x14ac:dyDescent="0.25">
      <c r="A700" t="str">
        <f>"20190312161238399"</f>
        <v>20190312161238399</v>
      </c>
      <c r="B700" t="str">
        <f>"1552378358396812"</f>
        <v>1552378358396812</v>
      </c>
      <c r="C700" t="s">
        <v>40</v>
      </c>
      <c r="D700">
        <v>5.7503029999999997</v>
      </c>
      <c r="E700">
        <v>0.52275269999999996</v>
      </c>
      <c r="F700" t="s">
        <v>42</v>
      </c>
      <c r="G700">
        <v>-234.37540000000001</v>
      </c>
      <c r="H700" s="1">
        <v>-3.8676930000000003E-6</v>
      </c>
      <c r="I700">
        <v>362.22160000000002</v>
      </c>
      <c r="J700">
        <v>-266.16199999999998</v>
      </c>
      <c r="K700">
        <v>1.1102959999999999</v>
      </c>
      <c r="L700">
        <v>367.6968</v>
      </c>
      <c r="M700">
        <v>0.9998804</v>
      </c>
      <c r="N700">
        <v>0</v>
      </c>
      <c r="O700">
        <v>6.5307969999999996E-3</v>
      </c>
      <c r="P700">
        <v>0.99397380000000002</v>
      </c>
      <c r="Q700">
        <v>-3.3647640000000001E-3</v>
      </c>
      <c r="R700">
        <v>-0.1095666</v>
      </c>
      <c r="S700">
        <v>2.9619140000000002</v>
      </c>
      <c r="T700">
        <v>-0.1028485</v>
      </c>
      <c r="U700">
        <v>-0.50704959999999999</v>
      </c>
      <c r="V700">
        <v>0.1160549</v>
      </c>
      <c r="W700">
        <v>1.057778E-2</v>
      </c>
      <c r="X700">
        <v>0.99318649999999997</v>
      </c>
      <c r="Y700">
        <v>0.175063</v>
      </c>
      <c r="Z700">
        <v>-3.2417000000000001E-3</v>
      </c>
      <c r="AA700">
        <v>0.98455190000000004</v>
      </c>
      <c r="AB700">
        <v>28</v>
      </c>
      <c r="AC700">
        <v>31.7866</v>
      </c>
      <c r="AD700">
        <v>-1.110299867693</v>
      </c>
      <c r="AE700">
        <v>-5.4751999999999699</v>
      </c>
      <c r="AF700">
        <v>5.6759697927010802</v>
      </c>
      <c r="AG700">
        <v>-1.110299867693</v>
      </c>
      <c r="AH700">
        <v>31.712583705031701</v>
      </c>
      <c r="AI700">
        <v>91.973841824667105</v>
      </c>
      <c r="AJ700">
        <v>79.8525536721273</v>
      </c>
      <c r="AK700">
        <v>32.235653617268198</v>
      </c>
      <c r="AL700">
        <v>89.393926562890996</v>
      </c>
      <c r="AM700">
        <v>83.335151818052594</v>
      </c>
      <c r="AN700">
        <v>1.00000002651299</v>
      </c>
    </row>
    <row r="701" spans="1:40" x14ac:dyDescent="0.25">
      <c r="A701" t="str">
        <f>"20190312161238414"</f>
        <v>20190312161238414</v>
      </c>
      <c r="B701" t="str">
        <f>"1552378358406573"</f>
        <v>1552378358406573</v>
      </c>
      <c r="C701" t="s">
        <v>40</v>
      </c>
      <c r="D701">
        <v>5.7249910000000002</v>
      </c>
      <c r="E701">
        <v>0.52241380000000004</v>
      </c>
      <c r="F701" t="s">
        <v>42</v>
      </c>
      <c r="G701">
        <v>-235.1534</v>
      </c>
      <c r="H701" s="1">
        <v>-3.5516469999999998E-6</v>
      </c>
      <c r="I701">
        <v>362.4144</v>
      </c>
      <c r="J701">
        <v>-265.9785</v>
      </c>
      <c r="K701">
        <v>1.110298</v>
      </c>
      <c r="L701">
        <v>367.69799999999998</v>
      </c>
      <c r="M701">
        <v>0.99987999999999999</v>
      </c>
      <c r="N701">
        <v>0</v>
      </c>
      <c r="O701">
        <v>6.5913630000000003E-3</v>
      </c>
      <c r="P701">
        <v>0.99397190000000002</v>
      </c>
      <c r="Q701">
        <v>-3.4391249999999999E-3</v>
      </c>
      <c r="R701">
        <v>-0.109582399999999</v>
      </c>
      <c r="S701">
        <v>2.962189</v>
      </c>
      <c r="T701">
        <v>-0.1060643</v>
      </c>
      <c r="U701">
        <v>-0.50460819999999995</v>
      </c>
      <c r="V701">
        <v>0.1161309</v>
      </c>
      <c r="W701">
        <v>1.0509599999999999E-2</v>
      </c>
      <c r="X701">
        <v>0.99317829999999996</v>
      </c>
      <c r="Y701">
        <v>0.17431269999999999</v>
      </c>
      <c r="Z701">
        <v>-3.331741E-3</v>
      </c>
      <c r="AA701">
        <v>0.98468469999999997</v>
      </c>
      <c r="AB701">
        <v>28</v>
      </c>
      <c r="AC701">
        <v>30.8250999999999</v>
      </c>
      <c r="AD701">
        <v>-1.1103015516470001</v>
      </c>
      <c r="AE701">
        <v>-5.2836000000000301</v>
      </c>
      <c r="AF701">
        <v>5.4797780589996199</v>
      </c>
      <c r="AG701">
        <v>-1.1103015516470001</v>
      </c>
      <c r="AH701">
        <v>30.750843333641601</v>
      </c>
      <c r="AI701">
        <v>92.035801565710102</v>
      </c>
      <c r="AJ701">
        <v>79.895993449305294</v>
      </c>
      <c r="AK701">
        <v>31.255001245267199</v>
      </c>
      <c r="AL701">
        <v>89.397833182161193</v>
      </c>
      <c r="AM701">
        <v>83.330771995660996</v>
      </c>
      <c r="AN701">
        <v>0.99999998660892997</v>
      </c>
    </row>
    <row r="702" spans="1:40" x14ac:dyDescent="0.25">
      <c r="A702" t="str">
        <f>"20190312161238427"</f>
        <v>20190312161238427</v>
      </c>
      <c r="B702" t="str">
        <f>"1552378358416333"</f>
        <v>1552378358416333</v>
      </c>
      <c r="C702" t="s">
        <v>40</v>
      </c>
      <c r="D702">
        <v>5.7256489999999998</v>
      </c>
      <c r="E702">
        <v>0.52210469999999998</v>
      </c>
      <c r="F702" t="s">
        <v>42</v>
      </c>
      <c r="G702">
        <v>-234.37049999999999</v>
      </c>
      <c r="H702" s="1">
        <v>-3.8375470000000003E-6</v>
      </c>
      <c r="I702">
        <v>362.34120000000001</v>
      </c>
      <c r="J702">
        <v>-265.80790000000002</v>
      </c>
      <c r="K702">
        <v>1.110304</v>
      </c>
      <c r="L702">
        <v>367.69920000000002</v>
      </c>
      <c r="M702">
        <v>0.99987950000000003</v>
      </c>
      <c r="N702">
        <v>0</v>
      </c>
      <c r="O702">
        <v>6.6476479999999999E-3</v>
      </c>
      <c r="P702">
        <v>0.99395750000000005</v>
      </c>
      <c r="Q702">
        <v>-3.3087839999999999E-3</v>
      </c>
      <c r="R702">
        <v>-0.1097167</v>
      </c>
      <c r="S702">
        <v>2.9625240000000002</v>
      </c>
      <c r="T702">
        <v>-0.1040653</v>
      </c>
      <c r="U702">
        <v>-0.50207520000000005</v>
      </c>
      <c r="V702">
        <v>0.11632089999999901</v>
      </c>
      <c r="W702">
        <v>1.064501E-2</v>
      </c>
      <c r="X702">
        <v>0.9931546</v>
      </c>
      <c r="Y702">
        <v>0.173536</v>
      </c>
      <c r="Z702">
        <v>-3.2572740000000001E-3</v>
      </c>
      <c r="AA702">
        <v>0.98482219999999998</v>
      </c>
      <c r="AB702">
        <v>28</v>
      </c>
      <c r="AC702">
        <v>31.4374</v>
      </c>
      <c r="AD702">
        <v>-1.1103078375469999</v>
      </c>
      <c r="AE702">
        <v>-5.3579999999999997</v>
      </c>
      <c r="AF702">
        <v>5.5601471643391198</v>
      </c>
      <c r="AG702">
        <v>-1.1103078375469999</v>
      </c>
      <c r="AH702">
        <v>31.3630667349533</v>
      </c>
      <c r="AI702">
        <v>91.9964202235236</v>
      </c>
      <c r="AJ702">
        <v>79.946869283121003</v>
      </c>
      <c r="AK702">
        <v>31.871460195672899</v>
      </c>
      <c r="AL702">
        <v>89.390074312569496</v>
      </c>
      <c r="AM702">
        <v>83.319801136548904</v>
      </c>
      <c r="AN702">
        <v>0.99999996375793399</v>
      </c>
    </row>
    <row r="703" spans="1:40" x14ac:dyDescent="0.25">
      <c r="A703" t="str">
        <f>"20190312161238441"</f>
        <v>20190312161238441</v>
      </c>
      <c r="B703" t="str">
        <f>"1552378358436829"</f>
        <v>1552378358436829</v>
      </c>
      <c r="C703" t="s">
        <v>40</v>
      </c>
      <c r="D703">
        <v>5.6423489999999896</v>
      </c>
      <c r="E703">
        <v>0.52157969999999998</v>
      </c>
      <c r="F703" t="s">
        <v>42</v>
      </c>
      <c r="G703">
        <v>-233.56360000000001</v>
      </c>
      <c r="H703" s="1">
        <v>-4.1354969999999998E-6</v>
      </c>
      <c r="I703">
        <v>362.2534</v>
      </c>
      <c r="J703">
        <v>-265.64179999999999</v>
      </c>
      <c r="K703">
        <v>1.1103080000000001</v>
      </c>
      <c r="L703">
        <v>367.7004</v>
      </c>
      <c r="M703">
        <v>0.99987910000000002</v>
      </c>
      <c r="N703">
        <v>0</v>
      </c>
      <c r="O703">
        <v>6.7023899999999999E-3</v>
      </c>
      <c r="P703">
        <v>0.99395049999999996</v>
      </c>
      <c r="Q703">
        <v>-3.3297299999999999E-3</v>
      </c>
      <c r="R703">
        <v>-0.1097791</v>
      </c>
      <c r="S703">
        <v>2.9626769999999998</v>
      </c>
      <c r="T703">
        <v>-0.10201730000000001</v>
      </c>
      <c r="U703">
        <v>-0.50036619999999998</v>
      </c>
      <c r="V703">
        <v>0.1164375</v>
      </c>
      <c r="W703">
        <v>1.0627849999999999E-2</v>
      </c>
      <c r="X703">
        <v>0.99314119999999995</v>
      </c>
      <c r="Y703">
        <v>0.17303370000000001</v>
      </c>
      <c r="Z703">
        <v>-3.1864850000000002E-3</v>
      </c>
      <c r="AA703">
        <v>0.98491079999999998</v>
      </c>
      <c r="AB703">
        <v>28</v>
      </c>
      <c r="AC703">
        <v>32.078199999999903</v>
      </c>
      <c r="AD703">
        <v>-1.110312135497</v>
      </c>
      <c r="AE703">
        <v>-5.4470000000000001</v>
      </c>
      <c r="AF703">
        <v>5.6553140063419596</v>
      </c>
      <c r="AG703">
        <v>-1.110312135497</v>
      </c>
      <c r="AH703">
        <v>32.003700748457497</v>
      </c>
      <c r="AI703">
        <v>91.956688806712194</v>
      </c>
      <c r="AJ703">
        <v>79.978821823312799</v>
      </c>
      <c r="AK703">
        <v>32.518490603737703</v>
      </c>
      <c r="AL703">
        <v>89.391057611978795</v>
      </c>
      <c r="AM703">
        <v>83.313076112905804</v>
      </c>
      <c r="AN703">
        <v>1.0000000428696501</v>
      </c>
    </row>
    <row r="704" spans="1:40" x14ac:dyDescent="0.25">
      <c r="A704" t="str">
        <f>"20190312161238454"</f>
        <v>20190312161238454</v>
      </c>
      <c r="B704" t="str">
        <f>"1552378358446589"</f>
        <v>1552378358446589</v>
      </c>
      <c r="C704" t="s">
        <v>40</v>
      </c>
      <c r="D704">
        <v>5.6285270000000001</v>
      </c>
      <c r="E704">
        <v>0.52157140000000002</v>
      </c>
      <c r="F704" t="s">
        <v>42</v>
      </c>
      <c r="G704">
        <v>-232.24379999999999</v>
      </c>
      <c r="H704" s="1">
        <v>-4.6416650000000001E-6</v>
      </c>
      <c r="I704">
        <v>362.10739999999998</v>
      </c>
      <c r="J704">
        <v>-265.47629999999998</v>
      </c>
      <c r="K704">
        <v>1.110311</v>
      </c>
      <c r="L704">
        <v>367.70150000000001</v>
      </c>
      <c r="M704">
        <v>0.99987879999999996</v>
      </c>
      <c r="N704">
        <v>0</v>
      </c>
      <c r="O704">
        <v>6.7567759999999999E-3</v>
      </c>
      <c r="P704">
        <v>0.99394300000000002</v>
      </c>
      <c r="Q704">
        <v>-3.293589E-3</v>
      </c>
      <c r="R704">
        <v>-0.10984969999999999</v>
      </c>
      <c r="S704">
        <v>2.9631349999999999</v>
      </c>
      <c r="T704">
        <v>-9.8508830000000006E-2</v>
      </c>
      <c r="U704">
        <v>-0.49621579999999899</v>
      </c>
      <c r="V704">
        <v>0.116562</v>
      </c>
      <c r="W704">
        <v>1.0667899999999999E-2</v>
      </c>
      <c r="X704">
        <v>0.99312610000000001</v>
      </c>
      <c r="Y704">
        <v>0.1717282</v>
      </c>
      <c r="Z704">
        <v>-3.0570969999999999E-3</v>
      </c>
      <c r="AA704">
        <v>0.9851396</v>
      </c>
      <c r="AB704">
        <v>28</v>
      </c>
      <c r="AC704">
        <v>33.232499999999902</v>
      </c>
      <c r="AD704">
        <v>-1.110315641665</v>
      </c>
      <c r="AE704">
        <v>-5.5941000000000196</v>
      </c>
      <c r="AF704">
        <v>5.8122297196051997</v>
      </c>
      <c r="AG704">
        <v>-1.110315641665</v>
      </c>
      <c r="AH704">
        <v>33.157946316550301</v>
      </c>
      <c r="AI704">
        <v>91.889088816478505</v>
      </c>
      <c r="AJ704">
        <v>80.057677993915306</v>
      </c>
      <c r="AK704">
        <v>33.681808429311197</v>
      </c>
      <c r="AL704">
        <v>89.388762745883</v>
      </c>
      <c r="AM704">
        <v>83.305890162004502</v>
      </c>
      <c r="AN704">
        <v>0.99999997721780898</v>
      </c>
    </row>
    <row r="705" spans="1:40" x14ac:dyDescent="0.25">
      <c r="A705" t="str">
        <f>"20190312161238467"</f>
        <v>20190312161238467</v>
      </c>
      <c r="B705" t="str">
        <f>"1552378358456349"</f>
        <v>1552378358456349</v>
      </c>
      <c r="C705" t="s">
        <v>40</v>
      </c>
      <c r="D705">
        <v>5.6121530000000002</v>
      </c>
      <c r="E705">
        <v>0.5215649</v>
      </c>
      <c r="F705" t="s">
        <v>42</v>
      </c>
      <c r="G705">
        <v>-232.26</v>
      </c>
      <c r="H705" s="1">
        <v>-4.6298239999999999E-6</v>
      </c>
      <c r="I705">
        <v>362.13510000000002</v>
      </c>
      <c r="J705">
        <v>-265.30700000000002</v>
      </c>
      <c r="K705">
        <v>1.110312</v>
      </c>
      <c r="L705">
        <v>367.70280000000002</v>
      </c>
      <c r="M705">
        <v>0.9998783</v>
      </c>
      <c r="N705">
        <v>0</v>
      </c>
      <c r="O705">
        <v>6.8125349999999998E-3</v>
      </c>
      <c r="P705">
        <v>0.9939462</v>
      </c>
      <c r="Q705">
        <v>-3.2973350000000002E-3</v>
      </c>
      <c r="R705">
        <v>-0.10981929999999999</v>
      </c>
      <c r="S705">
        <v>2.9630740000000002</v>
      </c>
      <c r="T705">
        <v>-9.9045750000000002E-2</v>
      </c>
      <c r="U705">
        <v>-0.49655149999999998</v>
      </c>
      <c r="V705">
        <v>0.1165872</v>
      </c>
      <c r="W705">
        <v>1.0667899999999999E-2</v>
      </c>
      <c r="X705">
        <v>0.99312319999999998</v>
      </c>
      <c r="Y705">
        <v>0.17189380000000001</v>
      </c>
      <c r="Z705">
        <v>-3.078384E-3</v>
      </c>
      <c r="AA705">
        <v>0.98511070000000001</v>
      </c>
      <c r="AB705">
        <v>28</v>
      </c>
      <c r="AC705">
        <v>33.046999999999997</v>
      </c>
      <c r="AD705">
        <v>-1.1103166298239999</v>
      </c>
      <c r="AE705">
        <v>-5.5677000000000003</v>
      </c>
      <c r="AF705">
        <v>5.7863752315908696</v>
      </c>
      <c r="AG705">
        <v>-1.1103166298239999</v>
      </c>
      <c r="AH705">
        <v>32.972106418172999</v>
      </c>
      <c r="AI705">
        <v>91.8996643080566</v>
      </c>
      <c r="AJ705">
        <v>80.046347031319101</v>
      </c>
      <c r="AK705">
        <v>33.494398680832496</v>
      </c>
      <c r="AL705">
        <v>89.388762781102798</v>
      </c>
      <c r="AM705">
        <v>83.304436700192994</v>
      </c>
      <c r="AN705">
        <v>1.0000000348362399</v>
      </c>
    </row>
    <row r="706" spans="1:40" x14ac:dyDescent="0.25">
      <c r="A706" t="str">
        <f>"20190312161238484"</f>
        <v>20190312161238484</v>
      </c>
      <c r="B706" t="str">
        <f>"1552378358476845"</f>
        <v>1552378358476845</v>
      </c>
      <c r="C706" t="s">
        <v>40</v>
      </c>
      <c r="D706">
        <v>5.5334479999999999</v>
      </c>
      <c r="E706">
        <v>0.52153769999999999</v>
      </c>
      <c r="F706" t="s">
        <v>42</v>
      </c>
      <c r="G706">
        <v>-232.48259999999999</v>
      </c>
      <c r="H706" s="1">
        <v>-4.5219589999999996E-6</v>
      </c>
      <c r="I706">
        <v>362.2047</v>
      </c>
      <c r="J706">
        <v>-265.09120000000001</v>
      </c>
      <c r="K706">
        <v>1.110312</v>
      </c>
      <c r="L706">
        <v>367.70429999999999</v>
      </c>
      <c r="M706">
        <v>0.99987760000000003</v>
      </c>
      <c r="N706">
        <v>0</v>
      </c>
      <c r="O706">
        <v>6.8837289999999999E-3</v>
      </c>
      <c r="P706">
        <v>0.99391739999999995</v>
      </c>
      <c r="Q706">
        <v>-3.3466440000000002E-3</v>
      </c>
      <c r="R706">
        <v>-0.1100783</v>
      </c>
      <c r="S706">
        <v>2.963104</v>
      </c>
      <c r="T706">
        <v>-0.1002295</v>
      </c>
      <c r="U706">
        <v>-0.49630740000000001</v>
      </c>
      <c r="V706">
        <v>0.1169166</v>
      </c>
      <c r="W706">
        <v>1.062165E-2</v>
      </c>
      <c r="X706">
        <v>0.99308490000000005</v>
      </c>
      <c r="Y706">
        <v>0.17188100000000001</v>
      </c>
      <c r="Z706">
        <v>-3.1173199999999998E-3</v>
      </c>
      <c r="AA706">
        <v>0.98511280000000001</v>
      </c>
      <c r="AB706">
        <v>28</v>
      </c>
      <c r="AC706">
        <v>32.608600000000003</v>
      </c>
      <c r="AD706">
        <v>-1.1103165219589901</v>
      </c>
      <c r="AE706">
        <v>-5.4995999999999796</v>
      </c>
      <c r="AF706">
        <v>5.7175151077100796</v>
      </c>
      <c r="AG706">
        <v>-1.1103165219589901</v>
      </c>
      <c r="AH706">
        <v>32.533290220922197</v>
      </c>
      <c r="AI706">
        <v>91.925185963270295</v>
      </c>
      <c r="AJ706">
        <v>80.032424749561699</v>
      </c>
      <c r="AK706">
        <v>33.050533344933697</v>
      </c>
      <c r="AL706">
        <v>89.391412818277502</v>
      </c>
      <c r="AM706">
        <v>83.285435262146706</v>
      </c>
      <c r="AN706">
        <v>0.99999996470614505</v>
      </c>
    </row>
    <row r="707" spans="1:40" x14ac:dyDescent="0.25">
      <c r="A707" t="str">
        <f>"20190312161238499"</f>
        <v>20190312161238499</v>
      </c>
      <c r="B707" t="str">
        <f>"1552378358496365"</f>
        <v>1552378358496365</v>
      </c>
      <c r="C707" t="s">
        <v>40</v>
      </c>
      <c r="D707">
        <v>5.5537720000000004</v>
      </c>
      <c r="E707">
        <v>0.5215398</v>
      </c>
      <c r="F707" t="s">
        <v>42</v>
      </c>
      <c r="G707">
        <v>-232.80439999999999</v>
      </c>
      <c r="H707" s="1">
        <v>-4.3839849999999997E-6</v>
      </c>
      <c r="I707">
        <v>362.29050000000001</v>
      </c>
      <c r="J707">
        <v>-264.91649999999998</v>
      </c>
      <c r="K707">
        <v>1.1103130000000001</v>
      </c>
      <c r="L707">
        <v>367.7056</v>
      </c>
      <c r="M707">
        <v>0.99987720000000002</v>
      </c>
      <c r="N707">
        <v>0</v>
      </c>
      <c r="O707">
        <v>6.9414619999999998E-3</v>
      </c>
      <c r="P707">
        <v>0.99388739999999998</v>
      </c>
      <c r="Q707">
        <v>-3.610551E-3</v>
      </c>
      <c r="R707">
        <v>-0.1103389</v>
      </c>
      <c r="S707">
        <v>2.9629819999999998</v>
      </c>
      <c r="T707">
        <v>-0.1018944</v>
      </c>
      <c r="U707">
        <v>-0.4968262</v>
      </c>
      <c r="V707">
        <v>0.1172347</v>
      </c>
      <c r="W707">
        <v>1.035988E-2</v>
      </c>
      <c r="X707">
        <v>0.99305019999999999</v>
      </c>
      <c r="Y707">
        <v>0.1721087</v>
      </c>
      <c r="Z707">
        <v>-3.1750139999999999E-3</v>
      </c>
      <c r="AA707">
        <v>0.98507290000000003</v>
      </c>
      <c r="AB707">
        <v>28</v>
      </c>
      <c r="AC707">
        <v>32.112099999999998</v>
      </c>
      <c r="AD707">
        <v>-1.11031738398499</v>
      </c>
      <c r="AE707">
        <v>-5.41509999999999</v>
      </c>
      <c r="AF707">
        <v>5.63135019817922</v>
      </c>
      <c r="AG707">
        <v>-1.11031738398499</v>
      </c>
      <c r="AH707">
        <v>32.036492513963097</v>
      </c>
      <c r="AI707">
        <v>91.955006923980093</v>
      </c>
      <c r="AJ707">
        <v>80.030439946758705</v>
      </c>
      <c r="AK707">
        <v>32.546609075984001</v>
      </c>
      <c r="AL707">
        <v>89.406411981910097</v>
      </c>
      <c r="AM707">
        <v>83.267101039451802</v>
      </c>
      <c r="AN707">
        <v>1.0000000008588701</v>
      </c>
    </row>
    <row r="708" spans="1:40" x14ac:dyDescent="0.25">
      <c r="A708" t="str">
        <f>"20190312161238516"</f>
        <v>20190312161238516</v>
      </c>
      <c r="B708" t="str">
        <f>"1552378358506125"</f>
        <v>1552378358506125</v>
      </c>
      <c r="C708" t="s">
        <v>40</v>
      </c>
      <c r="D708">
        <v>5.5790009999999999</v>
      </c>
      <c r="E708">
        <v>0.5215706</v>
      </c>
      <c r="F708" t="s">
        <v>42</v>
      </c>
      <c r="G708">
        <v>-233.59100000000001</v>
      </c>
      <c r="H708" s="1">
        <v>-4.074795E-6</v>
      </c>
      <c r="I708">
        <v>362.44650000000001</v>
      </c>
      <c r="J708">
        <v>-264.69260000000003</v>
      </c>
      <c r="K708">
        <v>1.1103149999999999</v>
      </c>
      <c r="L708">
        <v>367.7072</v>
      </c>
      <c r="M708">
        <v>0.99987669999999995</v>
      </c>
      <c r="N708">
        <v>0</v>
      </c>
      <c r="O708">
        <v>7.0154040000000003E-3</v>
      </c>
      <c r="P708">
        <v>0.99378100000000003</v>
      </c>
      <c r="Q708">
        <v>-3.560307E-3</v>
      </c>
      <c r="R708">
        <v>-0.11129559999999999</v>
      </c>
      <c r="S708">
        <v>2.9628299999999999</v>
      </c>
      <c r="T708">
        <v>-0.10501580000000001</v>
      </c>
      <c r="U708">
        <v>-0.49740600000000001</v>
      </c>
      <c r="V708">
        <v>0.11826390000000001</v>
      </c>
      <c r="W708">
        <v>1.041185E-2</v>
      </c>
      <c r="X708">
        <v>0.99292760000000002</v>
      </c>
      <c r="Y708">
        <v>0.17237069999999999</v>
      </c>
      <c r="Z708">
        <v>-3.2795430000000002E-3</v>
      </c>
      <c r="AA708">
        <v>0.98502670000000003</v>
      </c>
      <c r="AB708">
        <v>28</v>
      </c>
      <c r="AC708">
        <v>31.101600000000001</v>
      </c>
      <c r="AD708">
        <v>-1.110319074795</v>
      </c>
      <c r="AE708">
        <v>-5.2606999999999804</v>
      </c>
      <c r="AF708">
        <v>5.4720024064011596</v>
      </c>
      <c r="AG708">
        <v>-1.110319074795</v>
      </c>
      <c r="AH708">
        <v>31.025483633511399</v>
      </c>
      <c r="AI708">
        <v>92.0184608541514</v>
      </c>
      <c r="AJ708">
        <v>79.997541712905203</v>
      </c>
      <c r="AK708">
        <v>31.523899718734</v>
      </c>
      <c r="AL708">
        <v>89.403434151824598</v>
      </c>
      <c r="AM708">
        <v>83.207712116487599</v>
      </c>
      <c r="AN708">
        <v>0.99999998775269605</v>
      </c>
    </row>
    <row r="709" spans="1:40" x14ac:dyDescent="0.25">
      <c r="A709" t="str">
        <f>"20190312161238529"</f>
        <v>20190312161238529</v>
      </c>
      <c r="B709" t="str">
        <f>"1552378358526621"</f>
        <v>1552378358526621</v>
      </c>
      <c r="C709" t="s">
        <v>40</v>
      </c>
      <c r="D709">
        <v>5.4505150000000002</v>
      </c>
      <c r="E709">
        <v>0.52159860000000002</v>
      </c>
      <c r="F709" t="s">
        <v>42</v>
      </c>
      <c r="G709">
        <v>-233.80500000000001</v>
      </c>
      <c r="H709" s="1">
        <v>-3.9899910000000003E-6</v>
      </c>
      <c r="I709">
        <v>362.49160000000001</v>
      </c>
      <c r="J709">
        <v>-264.53070000000002</v>
      </c>
      <c r="K709">
        <v>1.1103160000000001</v>
      </c>
      <c r="L709">
        <v>367.70839999999998</v>
      </c>
      <c r="M709">
        <v>0.99987630000000005</v>
      </c>
      <c r="N709">
        <v>0</v>
      </c>
      <c r="O709">
        <v>7.0687939999999998E-3</v>
      </c>
      <c r="P709">
        <v>0.99373920000000004</v>
      </c>
      <c r="Q709">
        <v>-3.690703E-3</v>
      </c>
      <c r="R709">
        <v>-0.1116645</v>
      </c>
      <c r="S709">
        <v>2.962402</v>
      </c>
      <c r="T709">
        <v>-0.10648920000000001</v>
      </c>
      <c r="U709">
        <v>-0.50021359999999904</v>
      </c>
      <c r="V709">
        <v>0.1186855</v>
      </c>
      <c r="W709">
        <v>1.028216E-2</v>
      </c>
      <c r="X709">
        <v>0.9928787</v>
      </c>
      <c r="Y709">
        <v>0.17335049999999999</v>
      </c>
      <c r="Z709">
        <v>-3.3451280000000002E-3</v>
      </c>
      <c r="AA709">
        <v>0.98485449999999997</v>
      </c>
      <c r="AB709">
        <v>28</v>
      </c>
      <c r="AC709">
        <v>30.7257</v>
      </c>
      <c r="AD709">
        <v>-1.1103199899909999</v>
      </c>
      <c r="AE709">
        <v>-5.2167999999999699</v>
      </c>
      <c r="AF709">
        <v>5.4269964583637202</v>
      </c>
      <c r="AG709">
        <v>-1.1103199899909999</v>
      </c>
      <c r="AH709">
        <v>30.649150356023199</v>
      </c>
      <c r="AI709">
        <v>92.042981938432007</v>
      </c>
      <c r="AJ709">
        <v>79.9588051646829</v>
      </c>
      <c r="AK709">
        <v>31.145714289214599</v>
      </c>
      <c r="AL709">
        <v>89.410865271218</v>
      </c>
      <c r="AM709">
        <v>83.1833931048251</v>
      </c>
      <c r="AN709">
        <v>1.0000000418191</v>
      </c>
    </row>
    <row r="710" spans="1:40" x14ac:dyDescent="0.25">
      <c r="A710" t="str">
        <f>"20190312161238542"</f>
        <v>20190312161238542</v>
      </c>
      <c r="B710" t="str">
        <f>"1552378358536380"</f>
        <v>1552378358536380</v>
      </c>
      <c r="C710" t="s">
        <v>40</v>
      </c>
      <c r="D710">
        <v>5.4042329999999996</v>
      </c>
      <c r="E710">
        <v>0.52146709999999996</v>
      </c>
      <c r="F710" t="s">
        <v>42</v>
      </c>
      <c r="G710">
        <v>-233.84370000000001</v>
      </c>
      <c r="H710" s="1">
        <v>-3.9711909999999997E-6</v>
      </c>
      <c r="I710">
        <v>362.5127</v>
      </c>
      <c r="J710">
        <v>-264.36790000000002</v>
      </c>
      <c r="K710">
        <v>1.1103190000000001</v>
      </c>
      <c r="L710">
        <v>367.70960000000002</v>
      </c>
      <c r="M710">
        <v>0.99987579999999998</v>
      </c>
      <c r="N710">
        <v>0</v>
      </c>
      <c r="O710">
        <v>7.1221890000000001E-3</v>
      </c>
      <c r="P710">
        <v>0.99375069999999999</v>
      </c>
      <c r="Q710">
        <v>-3.570171E-3</v>
      </c>
      <c r="R710">
        <v>-0.111565899999999</v>
      </c>
      <c r="S710">
        <v>2.9621580000000001</v>
      </c>
      <c r="T710">
        <v>-0.1071768</v>
      </c>
      <c r="U710">
        <v>-0.50152589999999997</v>
      </c>
      <c r="V710">
        <v>0.1186401</v>
      </c>
      <c r="W710">
        <v>1.040422E-2</v>
      </c>
      <c r="X710">
        <v>0.99288279999999995</v>
      </c>
      <c r="Y710">
        <v>0.17383879999999999</v>
      </c>
      <c r="Z710">
        <v>-3.37755E-3</v>
      </c>
      <c r="AA710">
        <v>0.98476830000000004</v>
      </c>
      <c r="AB710">
        <v>28</v>
      </c>
      <c r="AC710">
        <v>30.5242</v>
      </c>
      <c r="AD710">
        <v>-1.1103229711910001</v>
      </c>
      <c r="AE710">
        <v>-5.1969000000000198</v>
      </c>
      <c r="AF710">
        <v>5.40723572099414</v>
      </c>
      <c r="AG710">
        <v>-1.1103229711910001</v>
      </c>
      <c r="AH710">
        <v>30.4472571922147</v>
      </c>
      <c r="AI710">
        <v>92.056337206803505</v>
      </c>
      <c r="AJ710">
        <v>79.929635834271195</v>
      </c>
      <c r="AK710">
        <v>30.943601693591098</v>
      </c>
      <c r="AL710">
        <v>89.403871342353398</v>
      </c>
      <c r="AM710">
        <v>83.186003969065695</v>
      </c>
      <c r="AN710">
        <v>0.99999998782882904</v>
      </c>
    </row>
    <row r="711" spans="1:40" x14ac:dyDescent="0.25">
      <c r="A711" t="str">
        <f>"20190312161238555"</f>
        <v>20190312161238555</v>
      </c>
      <c r="B711" t="str">
        <f>"1552378358546141"</f>
        <v>1552378358546141</v>
      </c>
      <c r="C711" t="s">
        <v>40</v>
      </c>
      <c r="D711">
        <v>5.4829140000000001</v>
      </c>
      <c r="E711">
        <v>0.52106540000000001</v>
      </c>
      <c r="F711" t="s">
        <v>42</v>
      </c>
      <c r="G711">
        <v>-233.7638</v>
      </c>
      <c r="H711" s="1">
        <v>-3.99114E-6</v>
      </c>
      <c r="I711">
        <v>362.53989999999999</v>
      </c>
      <c r="J711">
        <v>-264.20670000000001</v>
      </c>
      <c r="K711">
        <v>1.110317</v>
      </c>
      <c r="L711">
        <v>367.71080000000001</v>
      </c>
      <c r="M711">
        <v>0.99987550000000003</v>
      </c>
      <c r="N711">
        <v>0</v>
      </c>
      <c r="O711">
        <v>7.1754030000000003E-3</v>
      </c>
      <c r="P711">
        <v>0.99374879999999999</v>
      </c>
      <c r="Q711">
        <v>-3.3110700000000002E-3</v>
      </c>
      <c r="R711">
        <v>-0.1115926</v>
      </c>
      <c r="S711">
        <v>2.9623110000000001</v>
      </c>
      <c r="T711">
        <v>-0.10747329999999999</v>
      </c>
      <c r="U711">
        <v>-0.50039670000000003</v>
      </c>
      <c r="V711">
        <v>0.1187194</v>
      </c>
      <c r="W711">
        <v>1.066456E-2</v>
      </c>
      <c r="X711">
        <v>0.99287060000000005</v>
      </c>
      <c r="Y711">
        <v>0.17351739999999999</v>
      </c>
      <c r="Z711">
        <v>-3.3829519999999998E-3</v>
      </c>
      <c r="AA711">
        <v>0.98482499999999995</v>
      </c>
      <c r="AB711">
        <v>28</v>
      </c>
      <c r="AC711">
        <v>30.442900000000002</v>
      </c>
      <c r="AD711">
        <v>-1.1103209911399901</v>
      </c>
      <c r="AE711">
        <v>-5.1709000000000103</v>
      </c>
      <c r="AF711">
        <v>5.3822696472732101</v>
      </c>
      <c r="AG711">
        <v>-1.1103209911399901</v>
      </c>
      <c r="AH711">
        <v>30.365748612906401</v>
      </c>
      <c r="AI711">
        <v>92.061970874099899</v>
      </c>
      <c r="AJ711">
        <v>79.948826151765303</v>
      </c>
      <c r="AK711">
        <v>30.859039649372601</v>
      </c>
      <c r="AL711">
        <v>89.388954156051497</v>
      </c>
      <c r="AM711">
        <v>83.181409310810395</v>
      </c>
      <c r="AN711">
        <v>1.0000000285603501</v>
      </c>
    </row>
    <row r="712" spans="1:40" x14ac:dyDescent="0.25">
      <c r="A712" t="str">
        <f>"20190312161238572"</f>
        <v>20190312161238572</v>
      </c>
      <c r="B712" t="str">
        <f>"1552378358566043"</f>
        <v>1552378358566043</v>
      </c>
      <c r="C712" t="s">
        <v>40</v>
      </c>
      <c r="D712">
        <v>5.5017950000000004</v>
      </c>
      <c r="E712">
        <v>0.52024110000000001</v>
      </c>
      <c r="F712" t="s">
        <v>42</v>
      </c>
      <c r="G712">
        <v>-233.51230000000001</v>
      </c>
      <c r="H712" s="1">
        <v>-4.0720019999999998E-6</v>
      </c>
      <c r="I712">
        <v>362.55770000000001</v>
      </c>
      <c r="J712">
        <v>-263.99380000000002</v>
      </c>
      <c r="K712">
        <v>1.110317</v>
      </c>
      <c r="L712">
        <v>367.7124</v>
      </c>
      <c r="M712">
        <v>0.99987490000000001</v>
      </c>
      <c r="N712">
        <v>0</v>
      </c>
      <c r="O712">
        <v>7.2457789999999999E-3</v>
      </c>
      <c r="P712">
        <v>0.99377470000000001</v>
      </c>
      <c r="Q712">
        <v>-3.7364960000000002E-3</v>
      </c>
      <c r="R712">
        <v>-0.11134670000000001</v>
      </c>
      <c r="S712">
        <v>2.9626459999999999</v>
      </c>
      <c r="T712">
        <v>-0.1071686</v>
      </c>
      <c r="U712">
        <v>-0.49737550000000003</v>
      </c>
      <c r="V712">
        <v>0.1185437</v>
      </c>
      <c r="W712">
        <v>1.024068E-2</v>
      </c>
      <c r="X712">
        <v>0.992896</v>
      </c>
      <c r="Y712">
        <v>0.17259289999999999</v>
      </c>
      <c r="Z712">
        <v>-3.3592019999999999E-3</v>
      </c>
      <c r="AA712">
        <v>0.98498750000000002</v>
      </c>
      <c r="AB712">
        <v>28</v>
      </c>
      <c r="AC712">
        <v>30.4815</v>
      </c>
      <c r="AD712">
        <v>-1.110321072002</v>
      </c>
      <c r="AE712">
        <v>-5.1546999999999903</v>
      </c>
      <c r="AF712">
        <v>5.36852348109392</v>
      </c>
      <c r="AG712">
        <v>-1.110321072002</v>
      </c>
      <c r="AH712">
        <v>30.4041258200476</v>
      </c>
      <c r="AI712">
        <v>92.059609132603001</v>
      </c>
      <c r="AJ712">
        <v>79.986374026064397</v>
      </c>
      <c r="AK712">
        <v>30.894412506653499</v>
      </c>
      <c r="AL712">
        <v>89.413241985145106</v>
      </c>
      <c r="AM712">
        <v>83.191578293925105</v>
      </c>
      <c r="AN712">
        <v>0.99999997357627501</v>
      </c>
    </row>
    <row r="713" spans="1:40" x14ac:dyDescent="0.25">
      <c r="A713" t="str">
        <f>"20190312161238586"</f>
        <v>20190312161238586</v>
      </c>
      <c r="B713" t="str">
        <f>"1552378358576778"</f>
        <v>1552378358576778</v>
      </c>
      <c r="C713" t="s">
        <v>40</v>
      </c>
      <c r="D713">
        <v>5.4683900000000003</v>
      </c>
      <c r="E713">
        <v>0.51986319999999997</v>
      </c>
      <c r="F713" t="s">
        <v>42</v>
      </c>
      <c r="G713">
        <v>-233.78989999999999</v>
      </c>
      <c r="H713" s="1">
        <v>-3.9346079999999998E-6</v>
      </c>
      <c r="I713">
        <v>362.71899999999999</v>
      </c>
      <c r="J713">
        <v>-263.82100000000003</v>
      </c>
      <c r="K713">
        <v>1.1103190000000001</v>
      </c>
      <c r="L713">
        <v>367.71370000000002</v>
      </c>
      <c r="M713">
        <v>0.99987459999999995</v>
      </c>
      <c r="N713">
        <v>0</v>
      </c>
      <c r="O713">
        <v>7.3025719999999898E-3</v>
      </c>
      <c r="P713">
        <v>0.99376509999999996</v>
      </c>
      <c r="Q713">
        <v>-4.0102530000000001E-3</v>
      </c>
      <c r="R713">
        <v>-0.1114219</v>
      </c>
      <c r="S713">
        <v>2.9635009999999999</v>
      </c>
      <c r="T713">
        <v>-0.1089405</v>
      </c>
      <c r="U713">
        <v>-0.48992920000000001</v>
      </c>
      <c r="V713">
        <v>0.1186753</v>
      </c>
      <c r="W713">
        <v>9.9674640000000005E-3</v>
      </c>
      <c r="X713">
        <v>0.99288310000000002</v>
      </c>
      <c r="Y713">
        <v>0.1701916</v>
      </c>
      <c r="Z713">
        <v>-3.3726839999999999E-3</v>
      </c>
      <c r="AA713">
        <v>0.98540519999999998</v>
      </c>
      <c r="AB713">
        <v>28</v>
      </c>
      <c r="AC713">
        <v>30.031099999999899</v>
      </c>
      <c r="AD713">
        <v>-1.1103229346079999</v>
      </c>
      <c r="AE713">
        <v>-4.9947000000000203</v>
      </c>
      <c r="AF713">
        <v>5.2069665860622703</v>
      </c>
      <c r="AG713">
        <v>-1.1103229346079999</v>
      </c>
      <c r="AH713">
        <v>29.9539775502158</v>
      </c>
      <c r="AI713">
        <v>92.091510210512695</v>
      </c>
      <c r="AJ713">
        <v>80.138687694138497</v>
      </c>
      <c r="AK713">
        <v>30.423446371611501</v>
      </c>
      <c r="AL713">
        <v>89.428896931371995</v>
      </c>
      <c r="AM713">
        <v>83.184003343289902</v>
      </c>
      <c r="AN713">
        <v>1.0000000137171401</v>
      </c>
    </row>
    <row r="714" spans="1:40" x14ac:dyDescent="0.25">
      <c r="A714" t="str">
        <f>"20190312161238602"</f>
        <v>20190312161238602</v>
      </c>
      <c r="B714" t="str">
        <f>"1552378358596299"</f>
        <v>1552378358596299</v>
      </c>
      <c r="C714" t="s">
        <v>40</v>
      </c>
      <c r="D714">
        <v>5.4054719999999996</v>
      </c>
      <c r="E714">
        <v>0.51921289999999998</v>
      </c>
      <c r="F714" t="s">
        <v>42</v>
      </c>
      <c r="G714">
        <v>-234.18639999999999</v>
      </c>
      <c r="H714" s="1">
        <v>-3.766207E-6</v>
      </c>
      <c r="I714">
        <v>362.84480000000002</v>
      </c>
      <c r="J714">
        <v>-263.62970000000001</v>
      </c>
      <c r="K714">
        <v>1.1103209999999999</v>
      </c>
      <c r="L714">
        <v>367.71519999999998</v>
      </c>
      <c r="M714">
        <v>0.99987400000000004</v>
      </c>
      <c r="N714">
        <v>0</v>
      </c>
      <c r="O714">
        <v>7.3658630000000003E-3</v>
      </c>
      <c r="P714">
        <v>0.99375590000000003</v>
      </c>
      <c r="Q714">
        <v>-4.3496819999999997E-3</v>
      </c>
      <c r="R714">
        <v>-0.1114918</v>
      </c>
      <c r="S714">
        <v>2.9637760000000002</v>
      </c>
      <c r="T714">
        <v>-0.1110437</v>
      </c>
      <c r="U714">
        <v>-0.4869385</v>
      </c>
      <c r="V714">
        <v>0.1188082</v>
      </c>
      <c r="W714">
        <v>9.6284500000000002E-3</v>
      </c>
      <c r="X714">
        <v>0.99287060000000005</v>
      </c>
      <c r="Y714">
        <v>0.1692671</v>
      </c>
      <c r="Z714">
        <v>-3.422877E-3</v>
      </c>
      <c r="AA714">
        <v>0.98556429999999995</v>
      </c>
      <c r="AB714">
        <v>28</v>
      </c>
      <c r="AC714">
        <v>29.443300000000001</v>
      </c>
      <c r="AD714">
        <v>-1.1103247662069999</v>
      </c>
      <c r="AE714">
        <v>-4.8703999999999601</v>
      </c>
      <c r="AF714">
        <v>5.0801326137316503</v>
      </c>
      <c r="AG714">
        <v>-1.1103247662069999</v>
      </c>
      <c r="AH714">
        <v>29.365974043743702</v>
      </c>
      <c r="AI714">
        <v>92.133655182016298</v>
      </c>
      <c r="AJ714">
        <v>80.185321287480093</v>
      </c>
      <c r="AK714">
        <v>29.822826827740201</v>
      </c>
      <c r="AL714">
        <v>89.448321961593606</v>
      </c>
      <c r="AM714">
        <v>83.176357197987301</v>
      </c>
      <c r="AN714">
        <v>1.0000000618904901</v>
      </c>
    </row>
    <row r="715" spans="1:40" x14ac:dyDescent="0.25">
      <c r="A715" t="str">
        <f>"20190312161238617"</f>
        <v>20190312161238617</v>
      </c>
      <c r="B715" t="str">
        <f>"1552378358606059"</f>
        <v>1552378358606059</v>
      </c>
      <c r="C715" t="s">
        <v>40</v>
      </c>
      <c r="D715">
        <v>5.3690569999999997</v>
      </c>
      <c r="E715">
        <v>0.518899</v>
      </c>
      <c r="F715" t="s">
        <v>42</v>
      </c>
      <c r="G715">
        <v>-234.77869999999999</v>
      </c>
      <c r="H715" s="1">
        <v>-3.5165889999999998E-6</v>
      </c>
      <c r="I715">
        <v>363.02550000000002</v>
      </c>
      <c r="J715">
        <v>-263.43889999999999</v>
      </c>
      <c r="K715">
        <v>1.1103209999999999</v>
      </c>
      <c r="L715">
        <v>367.7167</v>
      </c>
      <c r="M715">
        <v>0.99987360000000003</v>
      </c>
      <c r="N715">
        <v>0</v>
      </c>
      <c r="O715">
        <v>7.428858E-3</v>
      </c>
      <c r="P715">
        <v>0.99377009999999999</v>
      </c>
      <c r="Q715">
        <v>-4.6226269999999998E-3</v>
      </c>
      <c r="R715">
        <v>-0.11135390000000001</v>
      </c>
      <c r="S715">
        <v>2.9642940000000002</v>
      </c>
      <c r="T715">
        <v>-0.11408</v>
      </c>
      <c r="U715">
        <v>-0.48184199999999999</v>
      </c>
      <c r="V715">
        <v>0.1187329</v>
      </c>
      <c r="W715">
        <v>9.3561890000000009E-3</v>
      </c>
      <c r="X715">
        <v>0.99288209999999999</v>
      </c>
      <c r="Y715">
        <v>0.1676455</v>
      </c>
      <c r="Z715">
        <v>-3.4876970000000001E-3</v>
      </c>
      <c r="AA715">
        <v>0.98584119999999997</v>
      </c>
      <c r="AB715">
        <v>28</v>
      </c>
      <c r="AC715">
        <v>28.6602</v>
      </c>
      <c r="AD715">
        <v>-1.1103245165890001</v>
      </c>
      <c r="AE715">
        <v>-4.6911999999999798</v>
      </c>
      <c r="AF715">
        <v>4.8968463882573499</v>
      </c>
      <c r="AG715">
        <v>-1.1103245165890001</v>
      </c>
      <c r="AH715">
        <v>28.582775781882201</v>
      </c>
      <c r="AI715">
        <v>92.192675220492504</v>
      </c>
      <c r="AJ715">
        <v>80.278376546727998</v>
      </c>
      <c r="AK715">
        <v>29.020458240346301</v>
      </c>
      <c r="AL715">
        <v>89.463922010908107</v>
      </c>
      <c r="AM715">
        <v>83.180719487280498</v>
      </c>
      <c r="AN715">
        <v>0.99999995215770998</v>
      </c>
    </row>
    <row r="716" spans="1:40" x14ac:dyDescent="0.25">
      <c r="A716" t="str">
        <f>"20190312161238633"</f>
        <v>20190312161238633</v>
      </c>
      <c r="B716" t="str">
        <f>"1552378358626555"</f>
        <v>1552378358626555</v>
      </c>
      <c r="C716" t="s">
        <v>40</v>
      </c>
      <c r="D716">
        <v>5.3938810000000004</v>
      </c>
      <c r="E716">
        <v>0.51839150000000001</v>
      </c>
      <c r="F716" t="s">
        <v>42</v>
      </c>
      <c r="G716">
        <v>-234.78319999999999</v>
      </c>
      <c r="H716" s="1">
        <v>-3.4994950000000002E-6</v>
      </c>
      <c r="I716">
        <v>363.08390000000003</v>
      </c>
      <c r="J716">
        <v>-263.24759999999998</v>
      </c>
      <c r="K716">
        <v>1.1103190000000001</v>
      </c>
      <c r="L716">
        <v>367.71809999999999</v>
      </c>
      <c r="M716">
        <v>0.99987300000000001</v>
      </c>
      <c r="N716">
        <v>0</v>
      </c>
      <c r="O716">
        <v>7.4919729999999999E-3</v>
      </c>
      <c r="P716">
        <v>0.9937897</v>
      </c>
      <c r="Q716">
        <v>-4.5802610000000004E-3</v>
      </c>
      <c r="R716">
        <v>-0.11118020000000001</v>
      </c>
      <c r="S716">
        <v>2.964569</v>
      </c>
      <c r="T716">
        <v>-0.1148682</v>
      </c>
      <c r="U716">
        <v>-0.4792786</v>
      </c>
      <c r="V716">
        <v>0.11862200000000001</v>
      </c>
      <c r="W716">
        <v>9.3986239999999995E-3</v>
      </c>
      <c r="X716">
        <v>0.99289499999999997</v>
      </c>
      <c r="Y716">
        <v>0.16686139999999999</v>
      </c>
      <c r="Z716">
        <v>-3.4990389999999998E-3</v>
      </c>
      <c r="AA716">
        <v>0.98597409999999996</v>
      </c>
      <c r="AB716">
        <v>28</v>
      </c>
      <c r="AC716">
        <v>28.464399999999898</v>
      </c>
      <c r="AD716">
        <v>-1.1103224994949901</v>
      </c>
      <c r="AE716">
        <v>-4.6341999999999599</v>
      </c>
      <c r="AF716">
        <v>4.8401710014812096</v>
      </c>
      <c r="AG716">
        <v>-1.1103224994949901</v>
      </c>
      <c r="AH716">
        <v>28.386800822254401</v>
      </c>
      <c r="AI716">
        <v>92.208092019232893</v>
      </c>
      <c r="AJ716">
        <v>80.323679396828695</v>
      </c>
      <c r="AK716">
        <v>28.817885631996099</v>
      </c>
      <c r="AL716">
        <v>89.461490581639794</v>
      </c>
      <c r="AM716">
        <v>83.187116681583007</v>
      </c>
      <c r="AN716">
        <v>0.99999999702104603</v>
      </c>
    </row>
    <row r="717" spans="1:40" x14ac:dyDescent="0.25">
      <c r="A717" t="str">
        <f>"20190312161238645"</f>
        <v>20190312161238645</v>
      </c>
      <c r="B717" t="str">
        <f>"1552378358636315"</f>
        <v>1552378358636315</v>
      </c>
      <c r="C717" t="s">
        <v>40</v>
      </c>
      <c r="D717">
        <v>5.3843940000000003</v>
      </c>
      <c r="E717">
        <v>0.51815540000000004</v>
      </c>
      <c r="F717" t="s">
        <v>42</v>
      </c>
      <c r="G717">
        <v>-234.7013</v>
      </c>
      <c r="H717" s="1">
        <v>-3.5097590000000002E-6</v>
      </c>
      <c r="I717">
        <v>363.15010000000001</v>
      </c>
      <c r="J717">
        <v>-263.08969999999999</v>
      </c>
      <c r="K717">
        <v>1.11032</v>
      </c>
      <c r="L717">
        <v>367.71940000000001</v>
      </c>
      <c r="M717">
        <v>0.99987269999999995</v>
      </c>
      <c r="N717">
        <v>0</v>
      </c>
      <c r="O717">
        <v>7.5440630000000002E-3</v>
      </c>
      <c r="P717">
        <v>0.99377119999999997</v>
      </c>
      <c r="Q717">
        <v>-5.004568E-3</v>
      </c>
      <c r="R717">
        <v>-0.1113291</v>
      </c>
      <c r="S717">
        <v>2.9651179999999999</v>
      </c>
      <c r="T717">
        <v>-0.11532969999999999</v>
      </c>
      <c r="U717">
        <v>-0.4744873</v>
      </c>
      <c r="V717">
        <v>0.11882239999999999</v>
      </c>
      <c r="W717">
        <v>8.9742580000000006E-3</v>
      </c>
      <c r="X717">
        <v>0.99287499999999995</v>
      </c>
      <c r="Y717">
        <v>0.1653307</v>
      </c>
      <c r="Z717">
        <v>-3.4853380000000002E-3</v>
      </c>
      <c r="AA717">
        <v>0.986232</v>
      </c>
      <c r="AB717">
        <v>28</v>
      </c>
      <c r="AC717">
        <v>28.388399999999901</v>
      </c>
      <c r="AD717">
        <v>-1.1103235097589901</v>
      </c>
      <c r="AE717">
        <v>-4.5692999999999904</v>
      </c>
      <c r="AF717">
        <v>4.7762331129708899</v>
      </c>
      <c r="AG717">
        <v>-1.1103235097589901</v>
      </c>
      <c r="AH717">
        <v>28.310902874360899</v>
      </c>
      <c r="AI717">
        <v>92.214664704836494</v>
      </c>
      <c r="AJ717">
        <v>80.424000893781795</v>
      </c>
      <c r="AK717">
        <v>28.7324284147243</v>
      </c>
      <c r="AL717">
        <v>89.4858060070991</v>
      </c>
      <c r="AM717">
        <v>83.175579282804605</v>
      </c>
      <c r="AN717">
        <v>1.0000000328367</v>
      </c>
    </row>
    <row r="718" spans="1:40" x14ac:dyDescent="0.25">
      <c r="A718" t="str">
        <f>"20190312161238656"</f>
        <v>20190312161238656</v>
      </c>
      <c r="B718" t="str">
        <f>"1552378358646074"</f>
        <v>1552378358646074</v>
      </c>
      <c r="C718" t="s">
        <v>40</v>
      </c>
      <c r="D718">
        <v>5.3506099999999996</v>
      </c>
      <c r="E718">
        <v>0.51794979999999902</v>
      </c>
      <c r="F718" t="s">
        <v>42</v>
      </c>
      <c r="G718">
        <v>-234.95009999999999</v>
      </c>
      <c r="H718" s="1">
        <v>-3.4039710000000002E-6</v>
      </c>
      <c r="I718">
        <v>363.2294</v>
      </c>
      <c r="J718">
        <v>-262.95240000000001</v>
      </c>
      <c r="K718">
        <v>1.1103130000000001</v>
      </c>
      <c r="L718">
        <v>367.72039999999998</v>
      </c>
      <c r="M718">
        <v>0.99987230000000005</v>
      </c>
      <c r="N718">
        <v>0</v>
      </c>
      <c r="O718">
        <v>7.5892429999999999E-3</v>
      </c>
      <c r="P718">
        <v>0.99379379999999995</v>
      </c>
      <c r="Q718">
        <v>-5.2253569999999999E-3</v>
      </c>
      <c r="R718">
        <v>-0.1111148</v>
      </c>
      <c r="S718">
        <v>2.9651489999999998</v>
      </c>
      <c r="T718">
        <v>-0.116997699999999</v>
      </c>
      <c r="U718">
        <v>-0.47311399999999998</v>
      </c>
      <c r="V718">
        <v>0.1186532</v>
      </c>
      <c r="W718">
        <v>8.7530149999999994E-3</v>
      </c>
      <c r="X718">
        <v>0.99289720000000004</v>
      </c>
      <c r="Y718">
        <v>0.16492490000000001</v>
      </c>
      <c r="Z718">
        <v>-3.529618E-3</v>
      </c>
      <c r="AA718">
        <v>0.98629979999999995</v>
      </c>
      <c r="AB718">
        <v>28</v>
      </c>
      <c r="AC718">
        <v>28.002300000000002</v>
      </c>
      <c r="AD718">
        <v>-1.1103164039709901</v>
      </c>
      <c r="AE718">
        <v>-4.4909999999999801</v>
      </c>
      <c r="AF718">
        <v>4.6962097156014604</v>
      </c>
      <c r="AG718">
        <v>-1.1103164039709901</v>
      </c>
      <c r="AH718">
        <v>27.924604792242601</v>
      </c>
      <c r="AI718">
        <v>92.245451425331794</v>
      </c>
      <c r="AJ718">
        <v>80.453634327465295</v>
      </c>
      <c r="AK718">
        <v>28.338502801185101</v>
      </c>
      <c r="AL718">
        <v>89.498482790129799</v>
      </c>
      <c r="AM718">
        <v>83.185356561619699</v>
      </c>
      <c r="AN718">
        <v>1.0000000234548301</v>
      </c>
    </row>
    <row r="719" spans="1:40" x14ac:dyDescent="0.25">
      <c r="A719" t="str">
        <f>"20190312161238670"</f>
        <v>20190312161238670</v>
      </c>
      <c r="B719" t="str">
        <f>"1552378358666571"</f>
        <v>1552378358666571</v>
      </c>
      <c r="C719" t="s">
        <v>40</v>
      </c>
      <c r="D719">
        <v>5.3516859999999999</v>
      </c>
      <c r="E719">
        <v>0.51758779999999904</v>
      </c>
      <c r="F719" t="s">
        <v>42</v>
      </c>
      <c r="G719">
        <v>-234.8691</v>
      </c>
      <c r="H719" s="1">
        <v>-3.4228320000000001E-6</v>
      </c>
      <c r="I719">
        <v>363.26220000000001</v>
      </c>
      <c r="J719">
        <v>-262.78919999999999</v>
      </c>
      <c r="K719">
        <v>1.1103130000000001</v>
      </c>
      <c r="L719">
        <v>367.72179999999997</v>
      </c>
      <c r="M719">
        <v>0.99987199999999998</v>
      </c>
      <c r="N719">
        <v>0</v>
      </c>
      <c r="O719">
        <v>7.6426489999999996E-3</v>
      </c>
      <c r="P719">
        <v>0.99377210000000005</v>
      </c>
      <c r="Q719">
        <v>-5.4447200000000001E-3</v>
      </c>
      <c r="R719">
        <v>-0.111301</v>
      </c>
      <c r="S719">
        <v>2.9654850000000001</v>
      </c>
      <c r="T719">
        <v>-0.1172446</v>
      </c>
      <c r="U719">
        <v>-0.47076420000000002</v>
      </c>
      <c r="V719">
        <v>0.1188921</v>
      </c>
      <c r="W719">
        <v>8.5331999999999995E-3</v>
      </c>
      <c r="X719">
        <v>0.99287049999999999</v>
      </c>
      <c r="Y719">
        <v>0.16419790000000001</v>
      </c>
      <c r="Z719">
        <v>-3.5247049999999999E-3</v>
      </c>
      <c r="AA719">
        <v>0.98642110000000005</v>
      </c>
      <c r="AB719">
        <v>28</v>
      </c>
      <c r="AC719">
        <v>27.920099999999898</v>
      </c>
      <c r="AD719">
        <v>-1.1103164228319999</v>
      </c>
      <c r="AE719">
        <v>-4.45959999999996</v>
      </c>
      <c r="AF719">
        <v>4.66567929351696</v>
      </c>
      <c r="AG719">
        <v>-1.1103164228319999</v>
      </c>
      <c r="AH719">
        <v>27.8422617520702</v>
      </c>
      <c r="AI719">
        <v>92.252305626626907</v>
      </c>
      <c r="AJ719">
        <v>80.487023600716896</v>
      </c>
      <c r="AK719">
        <v>28.2523079641214</v>
      </c>
      <c r="AL719">
        <v>89.5110777149238</v>
      </c>
      <c r="AM719">
        <v>83.171583278355897</v>
      </c>
      <c r="AN719">
        <v>0.99999998835744897</v>
      </c>
    </row>
    <row r="720" spans="1:40" x14ac:dyDescent="0.25">
      <c r="A720" t="str">
        <f>"20190312161238685"</f>
        <v>20190312161238685</v>
      </c>
      <c r="B720" t="str">
        <f>"1552378358676331"</f>
        <v>1552378358676331</v>
      </c>
      <c r="C720" t="s">
        <v>40</v>
      </c>
      <c r="D720">
        <v>5.349628</v>
      </c>
      <c r="E720">
        <v>0.51740829999999904</v>
      </c>
      <c r="F720" t="s">
        <v>42</v>
      </c>
      <c r="G720">
        <v>-235.0231</v>
      </c>
      <c r="H720" s="1">
        <v>-3.350978E-6</v>
      </c>
      <c r="I720">
        <v>363.33530000000002</v>
      </c>
      <c r="J720">
        <v>-262.60210000000001</v>
      </c>
      <c r="K720">
        <v>1.1103149999999999</v>
      </c>
      <c r="L720">
        <v>367.72320000000002</v>
      </c>
      <c r="M720">
        <v>0.99987170000000003</v>
      </c>
      <c r="N720">
        <v>0</v>
      </c>
      <c r="O720">
        <v>7.7042789999999996E-3</v>
      </c>
      <c r="P720">
        <v>0.99374739999999995</v>
      </c>
      <c r="Q720">
        <v>-5.6625340000000003E-3</v>
      </c>
      <c r="R720">
        <v>-0.1115095</v>
      </c>
      <c r="S720">
        <v>2.9656370000000001</v>
      </c>
      <c r="T720">
        <v>-0.118589899999999</v>
      </c>
      <c r="U720">
        <v>-0.46850589999999998</v>
      </c>
      <c r="V720">
        <v>0.119162</v>
      </c>
      <c r="W720">
        <v>8.3148159999999992E-3</v>
      </c>
      <c r="X720">
        <v>0.99283999999999994</v>
      </c>
      <c r="Y720">
        <v>0.16351540000000001</v>
      </c>
      <c r="Z720">
        <v>-3.5540390000000002E-3</v>
      </c>
      <c r="AA720">
        <v>0.98653440000000003</v>
      </c>
      <c r="AB720">
        <v>28</v>
      </c>
      <c r="AC720">
        <v>27.579000000000001</v>
      </c>
      <c r="AD720">
        <v>-1.1103183509779999</v>
      </c>
      <c r="AE720">
        <v>-4.3879000000000001</v>
      </c>
      <c r="AF720">
        <v>4.59300631894964</v>
      </c>
      <c r="AG720">
        <v>-1.1103183509779999</v>
      </c>
      <c r="AH720">
        <v>27.500898547235799</v>
      </c>
      <c r="AI720">
        <v>92.280446194881804</v>
      </c>
      <c r="AJ720">
        <v>80.518374281653905</v>
      </c>
      <c r="AK720">
        <v>27.9039053680983</v>
      </c>
      <c r="AL720">
        <v>89.523590642336103</v>
      </c>
      <c r="AM720">
        <v>83.156020527436098</v>
      </c>
      <c r="AN720">
        <v>0.99999999200455603</v>
      </c>
    </row>
    <row r="721" spans="1:40" x14ac:dyDescent="0.25">
      <c r="A721" t="str">
        <f>"20190312161238705"</f>
        <v>20190312161238705</v>
      </c>
      <c r="B721" t="str">
        <f>"1552378358695851"</f>
        <v>1552378358695851</v>
      </c>
      <c r="C721" t="s">
        <v>40</v>
      </c>
      <c r="D721">
        <v>5.2808089999999996</v>
      </c>
      <c r="E721">
        <v>0.51702689999999996</v>
      </c>
      <c r="F721" t="s">
        <v>42</v>
      </c>
      <c r="G721">
        <v>-235.0472</v>
      </c>
      <c r="H721" s="1">
        <v>-3.3311300000000002E-6</v>
      </c>
      <c r="I721">
        <v>363.37900000000002</v>
      </c>
      <c r="J721">
        <v>-262.34300000000002</v>
      </c>
      <c r="K721">
        <v>1.110312</v>
      </c>
      <c r="L721">
        <v>367.7253</v>
      </c>
      <c r="M721">
        <v>0.99987079999999995</v>
      </c>
      <c r="N721">
        <v>0</v>
      </c>
      <c r="O721">
        <v>7.7904019999999897E-3</v>
      </c>
      <c r="P721">
        <v>0.99378480000000002</v>
      </c>
      <c r="Q721">
        <v>-6.0857530000000002E-3</v>
      </c>
      <c r="R721">
        <v>-0.1111535</v>
      </c>
      <c r="S721">
        <v>2.9656980000000002</v>
      </c>
      <c r="T721">
        <v>-0.11950180000000001</v>
      </c>
      <c r="U721">
        <v>-0.46755980000000003</v>
      </c>
      <c r="V721">
        <v>0.11889180000000001</v>
      </c>
      <c r="W721">
        <v>7.8909210000000004E-3</v>
      </c>
      <c r="X721">
        <v>0.99287590000000003</v>
      </c>
      <c r="Y721">
        <v>0.163288299999999</v>
      </c>
      <c r="Z721">
        <v>-3.580265E-3</v>
      </c>
      <c r="AA721">
        <v>0.98657189999999995</v>
      </c>
      <c r="AB721">
        <v>28</v>
      </c>
      <c r="AC721">
        <v>27.2958</v>
      </c>
      <c r="AD721">
        <v>-1.11031533113</v>
      </c>
      <c r="AE721">
        <v>-4.3462999999999798</v>
      </c>
      <c r="AF721">
        <v>4.5514895475284503</v>
      </c>
      <c r="AG721">
        <v>-1.11031533113</v>
      </c>
      <c r="AH721">
        <v>27.217187939111</v>
      </c>
      <c r="AI721">
        <v>92.304105043457099</v>
      </c>
      <c r="AJ721">
        <v>80.5063599178103</v>
      </c>
      <c r="AK721">
        <v>27.617461442875101</v>
      </c>
      <c r="AL721">
        <v>89.547878856117293</v>
      </c>
      <c r="AM721">
        <v>83.171637133062504</v>
      </c>
      <c r="AN721">
        <v>1.0000000397711299</v>
      </c>
    </row>
    <row r="722" spans="1:40" x14ac:dyDescent="0.25">
      <c r="A722" t="str">
        <f>"20190312161238718"</f>
        <v>20190312161238718</v>
      </c>
      <c r="B722" t="str">
        <f>"1552378358706587"</f>
        <v>1552378358706587</v>
      </c>
      <c r="C722" t="s">
        <v>40</v>
      </c>
      <c r="D722">
        <v>5.324846</v>
      </c>
      <c r="E722">
        <v>0.51679090000000005</v>
      </c>
      <c r="F722" t="s">
        <v>42</v>
      </c>
      <c r="G722">
        <v>-235.13329999999999</v>
      </c>
      <c r="H722" s="1">
        <v>-3.276863E-6</v>
      </c>
      <c r="I722">
        <v>363.47289999999998</v>
      </c>
      <c r="J722">
        <v>-262.18970000000002</v>
      </c>
      <c r="K722">
        <v>1.110311</v>
      </c>
      <c r="L722">
        <v>367.72660000000002</v>
      </c>
      <c r="M722">
        <v>0.9998705</v>
      </c>
      <c r="N722">
        <v>0</v>
      </c>
      <c r="O722">
        <v>7.8407689999999992E-3</v>
      </c>
      <c r="P722">
        <v>0.99378750000000005</v>
      </c>
      <c r="Q722">
        <v>-6.0188730000000001E-3</v>
      </c>
      <c r="R722">
        <v>-0.1111322</v>
      </c>
      <c r="S722">
        <v>2.9661870000000001</v>
      </c>
      <c r="T722">
        <v>-0.1210372</v>
      </c>
      <c r="U722">
        <v>-0.46356199999999997</v>
      </c>
      <c r="V722">
        <v>0.1189206</v>
      </c>
      <c r="W722">
        <v>7.9576769999999998E-3</v>
      </c>
      <c r="X722">
        <v>0.99287190000000003</v>
      </c>
      <c r="Y722">
        <v>0.16201260000000001</v>
      </c>
      <c r="Z722">
        <v>-3.6021999999999998E-3</v>
      </c>
      <c r="AA722">
        <v>0.9867821</v>
      </c>
      <c r="AB722">
        <v>28</v>
      </c>
      <c r="AC722">
        <v>27.0564</v>
      </c>
      <c r="AD722">
        <v>-1.1103142768629899</v>
      </c>
      <c r="AE722">
        <v>-4.2537000000000296</v>
      </c>
      <c r="AF722">
        <v>4.4584061304591902</v>
      </c>
      <c r="AG722">
        <v>-1.1103142768629899</v>
      </c>
      <c r="AH722">
        <v>26.977876650190701</v>
      </c>
      <c r="AI722">
        <v>92.325258390026406</v>
      </c>
      <c r="AJ722">
        <v>80.616026111182293</v>
      </c>
      <c r="AK722">
        <v>27.366329888577098</v>
      </c>
      <c r="AL722">
        <v>89.544053890908103</v>
      </c>
      <c r="AM722">
        <v>83.169971417730594</v>
      </c>
      <c r="AN722">
        <v>1.0000000217686</v>
      </c>
    </row>
    <row r="723" spans="1:40" x14ac:dyDescent="0.25">
      <c r="A723" t="str">
        <f>"20190312161238731"</f>
        <v>20190312161238731</v>
      </c>
      <c r="B723" t="str">
        <f>"1552378358726108"</f>
        <v>1552378358726108</v>
      </c>
      <c r="C723" t="s">
        <v>40</v>
      </c>
      <c r="D723">
        <v>5.2637890000000001</v>
      </c>
      <c r="E723">
        <v>0.51638109999999904</v>
      </c>
      <c r="F723" t="s">
        <v>42</v>
      </c>
      <c r="G723">
        <v>-234.5615</v>
      </c>
      <c r="H723" s="1">
        <v>-3.484198E-6</v>
      </c>
      <c r="I723">
        <v>363.42500000000001</v>
      </c>
      <c r="J723">
        <v>-262.02370000000002</v>
      </c>
      <c r="K723">
        <v>1.110311</v>
      </c>
      <c r="L723">
        <v>367.72800000000001</v>
      </c>
      <c r="M723">
        <v>0.99987009999999998</v>
      </c>
      <c r="N723">
        <v>0</v>
      </c>
      <c r="O723">
        <v>7.8955480000000005E-3</v>
      </c>
      <c r="P723">
        <v>0.99383679999999996</v>
      </c>
      <c r="Q723">
        <v>-6.196165E-3</v>
      </c>
      <c r="R723">
        <v>-0.1106825</v>
      </c>
      <c r="S723">
        <v>2.9664000000000001</v>
      </c>
      <c r="T723">
        <v>-0.1192125</v>
      </c>
      <c r="U723">
        <v>-0.46185300000000001</v>
      </c>
      <c r="V723">
        <v>0.11852550000000001</v>
      </c>
      <c r="W723">
        <v>7.7798219999999996E-3</v>
      </c>
      <c r="X723">
        <v>0.99292049999999998</v>
      </c>
      <c r="Y723">
        <v>0.16150529999999999</v>
      </c>
      <c r="Z723">
        <v>-3.5399009999999998E-3</v>
      </c>
      <c r="AA723">
        <v>0.98686549999999995</v>
      </c>
      <c r="AB723">
        <v>28</v>
      </c>
      <c r="AC723">
        <v>27.462199999999999</v>
      </c>
      <c r="AD723">
        <v>-1.1103144841979999</v>
      </c>
      <c r="AE723">
        <v>-4.3029999999999902</v>
      </c>
      <c r="AF723">
        <v>4.5125168050875404</v>
      </c>
      <c r="AG723">
        <v>-1.1103144841979999</v>
      </c>
      <c r="AH723">
        <v>27.383676187720699</v>
      </c>
      <c r="AI723">
        <v>92.291011624147401</v>
      </c>
      <c r="AJ723">
        <v>80.642408358337505</v>
      </c>
      <c r="AK723">
        <v>27.775192667629799</v>
      </c>
      <c r="AL723">
        <v>89.554244523781406</v>
      </c>
      <c r="AM723">
        <v>83.192780173958596</v>
      </c>
      <c r="AN723">
        <v>0.99999996955042503</v>
      </c>
    </row>
    <row r="724" spans="1:40" x14ac:dyDescent="0.25">
      <c r="A724" t="str">
        <f>"20190312161238744"</f>
        <v>20190312161238744</v>
      </c>
      <c r="B724" t="str">
        <f>"1552378358735867"</f>
        <v>1552378358735867</v>
      </c>
      <c r="C724" t="s">
        <v>40</v>
      </c>
      <c r="D724">
        <v>5.2525779999999997</v>
      </c>
      <c r="E724">
        <v>0.51620809999999995</v>
      </c>
      <c r="F724" t="s">
        <v>42</v>
      </c>
      <c r="G724">
        <v>-234.11369999999999</v>
      </c>
      <c r="H724" s="1">
        <v>-3.6363089999999998E-6</v>
      </c>
      <c r="I724">
        <v>363.42610000000002</v>
      </c>
      <c r="J724">
        <v>-261.85410000000002</v>
      </c>
      <c r="K724">
        <v>1.110312</v>
      </c>
      <c r="L724">
        <v>367.7294</v>
      </c>
      <c r="M724">
        <v>0.99986960000000003</v>
      </c>
      <c r="N724">
        <v>0</v>
      </c>
      <c r="O724">
        <v>7.9516369999999992E-3</v>
      </c>
      <c r="P724">
        <v>0.99387150000000002</v>
      </c>
      <c r="Q724">
        <v>-6.1143880000000001E-3</v>
      </c>
      <c r="R724">
        <v>-0.1103732</v>
      </c>
      <c r="S724">
        <v>2.9669490000000001</v>
      </c>
      <c r="T724">
        <v>-0.1180305</v>
      </c>
      <c r="U724">
        <v>-0.45730589999999999</v>
      </c>
      <c r="V724">
        <v>0.1182724</v>
      </c>
      <c r="W724">
        <v>7.8608810000000001E-3</v>
      </c>
      <c r="X724">
        <v>0.99295009999999995</v>
      </c>
      <c r="Y724">
        <v>0.16005939999999999</v>
      </c>
      <c r="Z724">
        <v>-3.478236E-3</v>
      </c>
      <c r="AA724">
        <v>0.98710129999999996</v>
      </c>
      <c r="AB724">
        <v>28</v>
      </c>
      <c r="AC724">
        <v>27.740400000000001</v>
      </c>
      <c r="AD724">
        <v>-1.1103156363089901</v>
      </c>
      <c r="AE724">
        <v>-4.3032999999999699</v>
      </c>
      <c r="AF724">
        <v>4.5167015049146597</v>
      </c>
      <c r="AG724">
        <v>-1.1103156363089901</v>
      </c>
      <c r="AH724">
        <v>27.6620274487477</v>
      </c>
      <c r="AI724">
        <v>92.268530114561898</v>
      </c>
      <c r="AJ724">
        <v>80.726486061252501</v>
      </c>
      <c r="AK724">
        <v>28.0503325447668</v>
      </c>
      <c r="AL724">
        <v>89.549600069154593</v>
      </c>
      <c r="AM724">
        <v>83.207380979048196</v>
      </c>
      <c r="AN724">
        <v>1.00000002757093</v>
      </c>
    </row>
    <row r="725" spans="1:40" x14ac:dyDescent="0.25">
      <c r="A725" t="str">
        <f>"20190312161238758"</f>
        <v>20190312161238758</v>
      </c>
      <c r="B725" t="str">
        <f>"1552378358746603"</f>
        <v>1552378358746603</v>
      </c>
      <c r="C725" t="s">
        <v>40</v>
      </c>
      <c r="D725">
        <v>5.2356759999999998</v>
      </c>
      <c r="E725">
        <v>0.51602190000000003</v>
      </c>
      <c r="F725" t="s">
        <v>42</v>
      </c>
      <c r="G725">
        <v>-233.92779999999999</v>
      </c>
      <c r="H725" s="1">
        <v>-3.6940219999999999E-6</v>
      </c>
      <c r="I725">
        <v>363.44690000000003</v>
      </c>
      <c r="J725">
        <v>-261.7079</v>
      </c>
      <c r="K725">
        <v>1.1103130000000001</v>
      </c>
      <c r="L725">
        <v>367.73059999999998</v>
      </c>
      <c r="M725">
        <v>0.99986920000000001</v>
      </c>
      <c r="N725">
        <v>0</v>
      </c>
      <c r="O725">
        <v>7.9999779999999996E-3</v>
      </c>
      <c r="P725">
        <v>0.9938785</v>
      </c>
      <c r="Q725">
        <v>-6.3923039999999997E-3</v>
      </c>
      <c r="R725">
        <v>-0.11029360000000001</v>
      </c>
      <c r="S725">
        <v>2.9672239999999999</v>
      </c>
      <c r="T725">
        <v>-0.1179726</v>
      </c>
      <c r="U725">
        <v>-0.45501710000000001</v>
      </c>
      <c r="V725">
        <v>0.1182407</v>
      </c>
      <c r="W725">
        <v>7.5824179999999996E-3</v>
      </c>
      <c r="X725">
        <v>0.99295599999999995</v>
      </c>
      <c r="Y725">
        <v>0.15935009999999999</v>
      </c>
      <c r="Z725">
        <v>-3.4643120000000002E-3</v>
      </c>
      <c r="AA725">
        <v>0.98721610000000004</v>
      </c>
      <c r="AB725">
        <v>28</v>
      </c>
      <c r="AC725">
        <v>27.780100000000001</v>
      </c>
      <c r="AD725">
        <v>-1.110316694022</v>
      </c>
      <c r="AE725">
        <v>-4.2836999999999499</v>
      </c>
      <c r="AF725">
        <v>4.4988053551668603</v>
      </c>
      <c r="AG725">
        <v>-1.110316694022</v>
      </c>
      <c r="AH725">
        <v>27.701713747781799</v>
      </c>
      <c r="AI725">
        <v>92.265601601492904</v>
      </c>
      <c r="AJ725">
        <v>80.775601219915899</v>
      </c>
      <c r="AK725">
        <v>28.086598180426599</v>
      </c>
      <c r="AL725">
        <v>89.565555281483398</v>
      </c>
      <c r="AM725">
        <v>83.209224542027798</v>
      </c>
      <c r="AN725">
        <v>0.99999998706760795</v>
      </c>
    </row>
    <row r="726" spans="1:40" x14ac:dyDescent="0.25">
      <c r="A726" t="str">
        <f>"20190312161238771"</f>
        <v>20190312161238771</v>
      </c>
      <c r="B726" t="str">
        <f>"1552378358766122"</f>
        <v>1552378358766122</v>
      </c>
      <c r="C726" t="s">
        <v>40</v>
      </c>
      <c r="D726">
        <v>5.2629419999999998</v>
      </c>
      <c r="E726">
        <v>0.51580909999999902</v>
      </c>
      <c r="F726" t="s">
        <v>42</v>
      </c>
      <c r="G726">
        <v>-234.0223</v>
      </c>
      <c r="H726" s="1">
        <v>-3.6466349999999999E-6</v>
      </c>
      <c r="I726">
        <v>363.50409999999999</v>
      </c>
      <c r="J726">
        <v>-261.54039999999998</v>
      </c>
      <c r="K726">
        <v>1.1103130000000001</v>
      </c>
      <c r="L726">
        <v>367.73200000000003</v>
      </c>
      <c r="M726">
        <v>0.9998688</v>
      </c>
      <c r="N726">
        <v>0</v>
      </c>
      <c r="O726">
        <v>8.0552339999999997E-3</v>
      </c>
      <c r="P726">
        <v>0.99387320000000001</v>
      </c>
      <c r="Q726">
        <v>-6.3056719999999896E-3</v>
      </c>
      <c r="R726">
        <v>-0.11034629999999999</v>
      </c>
      <c r="S726">
        <v>2.967438</v>
      </c>
      <c r="T726">
        <v>-0.1190073</v>
      </c>
      <c r="U726">
        <v>-0.45300289999999999</v>
      </c>
      <c r="V726">
        <v>0.1183485</v>
      </c>
      <c r="W726">
        <v>7.6677680000000002E-3</v>
      </c>
      <c r="X726">
        <v>0.99294249999999995</v>
      </c>
      <c r="Y726">
        <v>0.1587375</v>
      </c>
      <c r="Z726">
        <v>-3.484596E-3</v>
      </c>
      <c r="AA726">
        <v>0.98731469999999999</v>
      </c>
      <c r="AB726">
        <v>28</v>
      </c>
      <c r="AC726">
        <v>27.518099999999901</v>
      </c>
      <c r="AD726">
        <v>-1.1103166466349901</v>
      </c>
      <c r="AE726">
        <v>-4.2278999999999698</v>
      </c>
      <c r="AF726">
        <v>4.4423839722868204</v>
      </c>
      <c r="AG726">
        <v>-1.1103166466349901</v>
      </c>
      <c r="AH726">
        <v>27.439505358037099</v>
      </c>
      <c r="AI726">
        <v>92.287410478150704</v>
      </c>
      <c r="AJ726">
        <v>80.803756366348694</v>
      </c>
      <c r="AK726">
        <v>27.818950963448799</v>
      </c>
      <c r="AL726">
        <v>89.560664943652995</v>
      </c>
      <c r="AM726">
        <v>83.202999743681602</v>
      </c>
      <c r="AN726">
        <v>0.99999998521230005</v>
      </c>
    </row>
    <row r="727" spans="1:40" x14ac:dyDescent="0.25">
      <c r="A727" t="str">
        <f>"20190312161238785"</f>
        <v>20190312161238785</v>
      </c>
      <c r="B727" t="str">
        <f>"1552378358776859"</f>
        <v>1552378358776859</v>
      </c>
      <c r="C727" t="s">
        <v>40</v>
      </c>
      <c r="D727">
        <v>5.5864760000000002</v>
      </c>
      <c r="E727">
        <v>0.51567940000000001</v>
      </c>
      <c r="F727" t="s">
        <v>42</v>
      </c>
      <c r="G727">
        <v>-233.73439999999999</v>
      </c>
      <c r="H727" s="1">
        <v>-3.7551900000000002E-6</v>
      </c>
      <c r="I727">
        <v>363.49990000000003</v>
      </c>
      <c r="J727">
        <v>-261.36340000000001</v>
      </c>
      <c r="K727">
        <v>1.1103179999999999</v>
      </c>
      <c r="L727">
        <v>367.73349999999999</v>
      </c>
      <c r="M727">
        <v>0.99986830000000004</v>
      </c>
      <c r="N727">
        <v>0</v>
      </c>
      <c r="O727">
        <v>8.1132959999999903E-3</v>
      </c>
      <c r="P727">
        <v>0.99388509999999997</v>
      </c>
      <c r="Q727">
        <v>-6.4059549999999996E-3</v>
      </c>
      <c r="R727">
        <v>-0.11023429999999999</v>
      </c>
      <c r="S727">
        <v>2.96759</v>
      </c>
      <c r="T727">
        <v>-0.11849800000000001</v>
      </c>
      <c r="U727">
        <v>-0.45166020000000001</v>
      </c>
      <c r="V727">
        <v>0.1182941</v>
      </c>
      <c r="W727">
        <v>7.5666830000000003E-3</v>
      </c>
      <c r="X727">
        <v>0.99294979999999999</v>
      </c>
      <c r="Y727">
        <v>0.15835199999999999</v>
      </c>
      <c r="Z727">
        <v>-3.464291E-3</v>
      </c>
      <c r="AA727">
        <v>0.98737660000000005</v>
      </c>
      <c r="AB727">
        <v>28</v>
      </c>
      <c r="AC727">
        <v>27.629000000000001</v>
      </c>
      <c r="AD727">
        <v>-1.11032175519</v>
      </c>
      <c r="AE727">
        <v>-4.2335999999999601</v>
      </c>
      <c r="AF727">
        <v>4.4506222534580404</v>
      </c>
      <c r="AG727">
        <v>-1.11032175519</v>
      </c>
      <c r="AH727">
        <v>27.550266175733299</v>
      </c>
      <c r="AI727">
        <v>92.278360744583594</v>
      </c>
      <c r="AJ727">
        <v>80.823402164147396</v>
      </c>
      <c r="AK727">
        <v>27.929518778467699</v>
      </c>
      <c r="AL727">
        <v>89.566456873785299</v>
      </c>
      <c r="AM727">
        <v>83.206144319406903</v>
      </c>
      <c r="AN727">
        <v>1.0000000270532301</v>
      </c>
    </row>
    <row r="728" spans="1:40" x14ac:dyDescent="0.25">
      <c r="A728" t="str">
        <f>"20190312161238800"</f>
        <v>20190312161238800</v>
      </c>
      <c r="B728" t="str">
        <f>"1552378358796379"</f>
        <v>1552378358796379</v>
      </c>
      <c r="C728" t="s">
        <v>40</v>
      </c>
      <c r="D728">
        <v>5.2493699999999999</v>
      </c>
      <c r="E728">
        <v>0.51540509999999995</v>
      </c>
      <c r="F728" t="s">
        <v>42</v>
      </c>
      <c r="G728">
        <v>-233.3511</v>
      </c>
      <c r="H728" s="1">
        <v>-3.9226140000000003E-6</v>
      </c>
      <c r="I728">
        <v>363.48320000000001</v>
      </c>
      <c r="J728">
        <v>-261.1866</v>
      </c>
      <c r="K728">
        <v>1.1103209999999999</v>
      </c>
      <c r="L728">
        <v>367.73500000000001</v>
      </c>
      <c r="M728">
        <v>0.99986790000000003</v>
      </c>
      <c r="N728">
        <v>0</v>
      </c>
      <c r="O728">
        <v>8.1718880000000004E-3</v>
      </c>
      <c r="P728">
        <v>0.99391289999999999</v>
      </c>
      <c r="Q728">
        <v>-6.3667480000000002E-3</v>
      </c>
      <c r="R728">
        <v>-0.1099851</v>
      </c>
      <c r="S728">
        <v>2.9677730000000002</v>
      </c>
      <c r="T728">
        <v>-0.1176329</v>
      </c>
      <c r="U728">
        <v>-0.45028689999999999</v>
      </c>
      <c r="V728">
        <v>0.118103399999999</v>
      </c>
      <c r="W728">
        <v>7.6048289999999996E-3</v>
      </c>
      <c r="X728">
        <v>0.99297219999999997</v>
      </c>
      <c r="Y728">
        <v>0.15795629999999999</v>
      </c>
      <c r="Z728">
        <v>-3.433443E-3</v>
      </c>
      <c r="AA728">
        <v>0.98744010000000004</v>
      </c>
      <c r="AB728">
        <v>28</v>
      </c>
      <c r="AC728">
        <v>27.8355</v>
      </c>
      <c r="AD728">
        <v>-1.110324922614</v>
      </c>
      <c r="AE728">
        <v>-4.2518000000000002</v>
      </c>
      <c r="AF728">
        <v>4.4721954978873697</v>
      </c>
      <c r="AG728">
        <v>-1.110324922614</v>
      </c>
      <c r="AH728">
        <v>27.756664545158699</v>
      </c>
      <c r="AI728">
        <v>92.261593597077706</v>
      </c>
      <c r="AJ728">
        <v>80.847080628060098</v>
      </c>
      <c r="AK728">
        <v>28.136555949113099</v>
      </c>
      <c r="AL728">
        <v>89.564271202314004</v>
      </c>
      <c r="AM728">
        <v>83.217146046236607</v>
      </c>
      <c r="AN728">
        <v>1.0000000182442501</v>
      </c>
    </row>
    <row r="729" spans="1:40" x14ac:dyDescent="0.25">
      <c r="A729" t="str">
        <f>"20190312161238818"</f>
        <v>20190312161238818</v>
      </c>
      <c r="B729" t="str">
        <f>"1552378358806140"</f>
        <v>1552378358806140</v>
      </c>
      <c r="C729" t="s">
        <v>40</v>
      </c>
      <c r="D729">
        <v>5.2330300000000003</v>
      </c>
      <c r="E729">
        <v>0.5152447</v>
      </c>
      <c r="F729" t="s">
        <v>42</v>
      </c>
      <c r="G729">
        <v>-232.53380000000001</v>
      </c>
      <c r="H729" s="1">
        <v>-4.2852489999999999E-6</v>
      </c>
      <c r="I729">
        <v>363.41550000000001</v>
      </c>
      <c r="J729">
        <v>-260.96499999999997</v>
      </c>
      <c r="K729">
        <v>1.1103190000000001</v>
      </c>
      <c r="L729">
        <v>367.73680000000002</v>
      </c>
      <c r="M729">
        <v>0.99986730000000001</v>
      </c>
      <c r="N729">
        <v>0</v>
      </c>
      <c r="O729">
        <v>8.2452640000000004E-3</v>
      </c>
      <c r="P729">
        <v>0.9938903</v>
      </c>
      <c r="Q729">
        <v>-5.4086219999999897E-3</v>
      </c>
      <c r="R729">
        <v>-0.1102398</v>
      </c>
      <c r="S729">
        <v>2.96814</v>
      </c>
      <c r="T729">
        <v>-0.115018</v>
      </c>
      <c r="U729">
        <v>-0.44744869999999998</v>
      </c>
      <c r="V729">
        <v>0.1184306</v>
      </c>
      <c r="W729">
        <v>8.5608549999999992E-3</v>
      </c>
      <c r="X729">
        <v>0.99292539999999996</v>
      </c>
      <c r="Y729">
        <v>0.15709379999999901</v>
      </c>
      <c r="Z729">
        <v>-3.3432219999999999E-3</v>
      </c>
      <c r="AA729">
        <v>0.98757799999999996</v>
      </c>
      <c r="AB729">
        <v>27</v>
      </c>
      <c r="AC729">
        <v>28.431199999999901</v>
      </c>
      <c r="AD729">
        <v>-1.1103232852489999</v>
      </c>
      <c r="AE729">
        <v>-4.3212999999999999</v>
      </c>
      <c r="AF729">
        <v>4.5488180520838704</v>
      </c>
      <c r="AG729">
        <v>-1.1103232852489999</v>
      </c>
      <c r="AH729">
        <v>28.352334792832298</v>
      </c>
      <c r="AI729">
        <v>92.214359675527504</v>
      </c>
      <c r="AJ729">
        <v>80.885204067263999</v>
      </c>
      <c r="AK729">
        <v>28.736378541381701</v>
      </c>
      <c r="AL729">
        <v>89.509493134519502</v>
      </c>
      <c r="AM729">
        <v>83.198212689325999</v>
      </c>
      <c r="AN729">
        <v>0.99999997260992501</v>
      </c>
    </row>
    <row r="730" spans="1:40" x14ac:dyDescent="0.25">
      <c r="A730" t="str">
        <f>"20190312161238833"</f>
        <v>20190312161238833</v>
      </c>
      <c r="B730" t="str">
        <f>"1552378358826636"</f>
        <v>1552378358826636</v>
      </c>
      <c r="C730" t="s">
        <v>40</v>
      </c>
      <c r="D730">
        <v>5.3675230000000003</v>
      </c>
      <c r="E730">
        <v>0.51501300000000005</v>
      </c>
      <c r="F730" t="s">
        <v>42</v>
      </c>
      <c r="G730">
        <v>-231.2978</v>
      </c>
      <c r="H730" s="1">
        <v>-4.8411829999999997E-6</v>
      </c>
      <c r="I730">
        <v>363.2704</v>
      </c>
      <c r="J730">
        <v>-260.78129999999999</v>
      </c>
      <c r="K730">
        <v>1.11032</v>
      </c>
      <c r="L730">
        <v>367.73840000000001</v>
      </c>
      <c r="M730">
        <v>0.99986679999999994</v>
      </c>
      <c r="N730">
        <v>0</v>
      </c>
      <c r="O730">
        <v>8.3060659999999904E-3</v>
      </c>
      <c r="P730">
        <v>0.99388520000000002</v>
      </c>
      <c r="Q730">
        <v>-5.3110400000000004E-3</v>
      </c>
      <c r="R730">
        <v>-0.110291</v>
      </c>
      <c r="S730">
        <v>2.9682620000000002</v>
      </c>
      <c r="T730">
        <v>-0.1110901</v>
      </c>
      <c r="U730">
        <v>-0.44686890000000001</v>
      </c>
      <c r="V730">
        <v>0.1185421</v>
      </c>
      <c r="W730">
        <v>8.6566950000000007E-3</v>
      </c>
      <c r="X730">
        <v>0.99291130000000005</v>
      </c>
      <c r="Y730">
        <v>0.15696740000000001</v>
      </c>
      <c r="Z730">
        <v>-3.2289559999999998E-3</v>
      </c>
      <c r="AA730">
        <v>0.98759850000000005</v>
      </c>
      <c r="AB730">
        <v>27</v>
      </c>
      <c r="AC730">
        <v>29.4834999999999</v>
      </c>
      <c r="AD730">
        <v>-1.110324841183</v>
      </c>
      <c r="AE730">
        <v>-4.4680000000000097</v>
      </c>
      <c r="AF730">
        <v>4.7062372945979698</v>
      </c>
      <c r="AG730">
        <v>-1.110324841183</v>
      </c>
      <c r="AH730">
        <v>29.404601719338899</v>
      </c>
      <c r="AI730">
        <v>92.135324032415497</v>
      </c>
      <c r="AJ730">
        <v>80.906871324284893</v>
      </c>
      <c r="AK730">
        <v>29.7995317580489</v>
      </c>
      <c r="AL730">
        <v>89.504001721294898</v>
      </c>
      <c r="AM730">
        <v>83.191773251878303</v>
      </c>
      <c r="AN730">
        <v>1.00000000875421</v>
      </c>
    </row>
    <row r="731" spans="1:40" x14ac:dyDescent="0.25">
      <c r="A731" t="str">
        <f>"20190312161238852"</f>
        <v>20190312161238852</v>
      </c>
      <c r="B731" t="str">
        <f>"1552378358846155"</f>
        <v>1552378358846155</v>
      </c>
      <c r="C731" t="s">
        <v>40</v>
      </c>
      <c r="D731">
        <v>5.2130650000000003</v>
      </c>
      <c r="E731">
        <v>0.53214249999999996</v>
      </c>
      <c r="F731" t="s">
        <v>42</v>
      </c>
      <c r="G731">
        <v>-230.39189999999999</v>
      </c>
      <c r="H731" s="1">
        <v>-5.2458759999999901E-6</v>
      </c>
      <c r="I731">
        <v>363.17989999999998</v>
      </c>
      <c r="J731">
        <v>-260.55130000000003</v>
      </c>
      <c r="K731">
        <v>1.1103209999999999</v>
      </c>
      <c r="L731">
        <v>367.74040000000002</v>
      </c>
      <c r="M731">
        <v>0.99986609999999998</v>
      </c>
      <c r="N731">
        <v>0</v>
      </c>
      <c r="O731">
        <v>8.3821280000000008E-3</v>
      </c>
      <c r="P731">
        <v>0.99381699999999995</v>
      </c>
      <c r="Q731">
        <v>-5.5367999999999997E-3</v>
      </c>
      <c r="R731">
        <v>-0.1108922</v>
      </c>
      <c r="S731">
        <v>2.9684750000000002</v>
      </c>
      <c r="T731">
        <v>-0.108458</v>
      </c>
      <c r="U731">
        <v>-0.44528200000000001</v>
      </c>
      <c r="V731">
        <v>0.1192182</v>
      </c>
      <c r="W731">
        <v>8.4282999999999893E-3</v>
      </c>
      <c r="X731">
        <v>0.9928323</v>
      </c>
      <c r="Y731">
        <v>0.1565213</v>
      </c>
      <c r="Z731">
        <v>-3.147066E-3</v>
      </c>
      <c r="AA731">
        <v>0.98766960000000004</v>
      </c>
      <c r="AB731">
        <v>27</v>
      </c>
      <c r="AC731">
        <v>30.159400000000002</v>
      </c>
      <c r="AD731">
        <v>-1.1103262458759999</v>
      </c>
      <c r="AE731">
        <v>-4.5605000000000402</v>
      </c>
      <c r="AF731">
        <v>4.8067953584912599</v>
      </c>
      <c r="AG731">
        <v>-1.1103262458759999</v>
      </c>
      <c r="AH731">
        <v>30.080251500307099</v>
      </c>
      <c r="AI731">
        <v>92.087488806868905</v>
      </c>
      <c r="AJ731">
        <v>80.920950100904406</v>
      </c>
      <c r="AK731">
        <v>30.482119944525198</v>
      </c>
      <c r="AL731">
        <v>89.517088261959898</v>
      </c>
      <c r="AM731">
        <v>83.152770760591594</v>
      </c>
      <c r="AN731">
        <v>0.99999999568770903</v>
      </c>
    </row>
    <row r="732" spans="1:40" x14ac:dyDescent="0.25">
      <c r="A732" t="str">
        <f>"20190312161238875"</f>
        <v>20190312161238875</v>
      </c>
      <c r="B732" t="str">
        <f>"1552378358866650"</f>
        <v>1552378358866650</v>
      </c>
      <c r="C732" t="s">
        <v>40</v>
      </c>
      <c r="D732">
        <v>5.153823</v>
      </c>
      <c r="E732">
        <v>0.53517429999999999</v>
      </c>
      <c r="F732" t="s">
        <v>42</v>
      </c>
      <c r="G732">
        <v>-224.667</v>
      </c>
      <c r="H732" s="1">
        <v>-4.189559E-6</v>
      </c>
      <c r="I732">
        <v>360.63900000000001</v>
      </c>
      <c r="J732">
        <v>-260.26580000000001</v>
      </c>
      <c r="K732">
        <v>1.1103209999999999</v>
      </c>
      <c r="L732">
        <v>367.74290000000002</v>
      </c>
      <c r="M732">
        <v>0.99986540000000002</v>
      </c>
      <c r="N732">
        <v>0</v>
      </c>
      <c r="O732">
        <v>8.4767869999999995E-3</v>
      </c>
      <c r="P732">
        <v>0.9937667</v>
      </c>
      <c r="Q732">
        <v>-5.9567219999999898E-3</v>
      </c>
      <c r="R732">
        <v>-0.1113218</v>
      </c>
      <c r="S732">
        <v>2.9529719999999999</v>
      </c>
      <c r="T732">
        <v>-9.1370220000000002E-2</v>
      </c>
      <c r="U732">
        <v>-0.58438109999999999</v>
      </c>
      <c r="V732">
        <v>0.1197416</v>
      </c>
      <c r="W732">
        <v>8.0048810000000001E-3</v>
      </c>
      <c r="X732">
        <v>0.99277280000000001</v>
      </c>
      <c r="Y732">
        <v>0.2023433</v>
      </c>
      <c r="Z732">
        <v>-3.3594319999999999E-3</v>
      </c>
      <c r="AA732">
        <v>0.97930890000000004</v>
      </c>
      <c r="AB732">
        <v>27</v>
      </c>
      <c r="AC732">
        <v>35.598799999999997</v>
      </c>
      <c r="AD732">
        <v>-1.1103251895589901</v>
      </c>
      <c r="AE732">
        <v>-7.1039000000000003</v>
      </c>
      <c r="AF732">
        <v>7.3985161984789398</v>
      </c>
      <c r="AG732">
        <v>-1.1103251895589901</v>
      </c>
      <c r="AH732">
        <v>35.504080420082801</v>
      </c>
      <c r="AI732">
        <v>91.753591577733502</v>
      </c>
      <c r="AJ732">
        <v>78.228876429530303</v>
      </c>
      <c r="AK732">
        <v>36.283751052522497</v>
      </c>
      <c r="AL732">
        <v>89.541349195987095</v>
      </c>
      <c r="AM732">
        <v>83.122588631199704</v>
      </c>
      <c r="AN732">
        <v>0.99999998065511198</v>
      </c>
    </row>
    <row r="733" spans="1:40" x14ac:dyDescent="0.25">
      <c r="A733" t="str">
        <f>"20190312161238889"</f>
        <v>20190312161238889</v>
      </c>
      <c r="B733" t="str">
        <f>"1552378358886170"</f>
        <v>1552378358886170</v>
      </c>
      <c r="C733" t="s">
        <v>40</v>
      </c>
      <c r="D733">
        <v>5.195049</v>
      </c>
      <c r="E733">
        <v>0.53630509999999998</v>
      </c>
      <c r="F733" t="s">
        <v>53</v>
      </c>
      <c r="G733">
        <v>-208.4616</v>
      </c>
      <c r="H733">
        <v>7.9987059999999999E-2</v>
      </c>
      <c r="I733">
        <v>357.01350000000002</v>
      </c>
      <c r="J733">
        <v>-260.10090000000002</v>
      </c>
      <c r="K733">
        <v>1.1103209999999999</v>
      </c>
      <c r="L733">
        <v>367.74439999999998</v>
      </c>
      <c r="M733">
        <v>0.99986489999999995</v>
      </c>
      <c r="N733">
        <v>0</v>
      </c>
      <c r="O733">
        <v>8.5315059999999995E-3</v>
      </c>
      <c r="P733">
        <v>0.99374969999999996</v>
      </c>
      <c r="Q733">
        <v>-6.1362700000000001E-3</v>
      </c>
      <c r="R733">
        <v>-0.11146250000000001</v>
      </c>
      <c r="S733">
        <v>2.9500120000000001</v>
      </c>
      <c r="T733">
        <v>-5.8672790000000002E-2</v>
      </c>
      <c r="U733">
        <v>-0.61099239999999999</v>
      </c>
      <c r="V733">
        <v>0.1199364</v>
      </c>
      <c r="W733">
        <v>7.8232140000000002E-3</v>
      </c>
      <c r="X733">
        <v>0.99275080000000004</v>
      </c>
      <c r="Y733">
        <v>0.2111169</v>
      </c>
      <c r="Z733">
        <v>-2.2451459999999999E-3</v>
      </c>
      <c r="AA733">
        <v>0.97745820000000005</v>
      </c>
      <c r="AB733">
        <v>27</v>
      </c>
      <c r="AC733">
        <v>51.639299999999999</v>
      </c>
      <c r="AD733">
        <v>-1.03033393999999</v>
      </c>
      <c r="AE733">
        <v>-10.730899999999901</v>
      </c>
      <c r="AF733">
        <v>11.166852338582901</v>
      </c>
      <c r="AG733">
        <v>-1.03033393999999</v>
      </c>
      <c r="AH733">
        <v>51.526196898805402</v>
      </c>
      <c r="AI733">
        <v>91.119568041905495</v>
      </c>
      <c r="AJ733">
        <v>77.771857759058193</v>
      </c>
      <c r="AK733">
        <v>52.732429737630099</v>
      </c>
      <c r="AL733">
        <v>89.551758304210793</v>
      </c>
      <c r="AM733">
        <v>83.111356439208905</v>
      </c>
      <c r="AN733">
        <v>1.0000000468114401</v>
      </c>
    </row>
    <row r="734" spans="1:40" x14ac:dyDescent="0.25">
      <c r="A734" t="str">
        <f>"20190312161238903"</f>
        <v>20190312161238903</v>
      </c>
      <c r="B734" t="str">
        <f>"1552378358896908"</f>
        <v>1552378358896908</v>
      </c>
      <c r="C734" t="s">
        <v>40</v>
      </c>
      <c r="D734">
        <v>5.1520169999999998</v>
      </c>
      <c r="E734">
        <v>0.53662069999999995</v>
      </c>
      <c r="F734" t="s">
        <v>53</v>
      </c>
      <c r="G734">
        <v>-203.11600000000001</v>
      </c>
      <c r="H734">
        <v>7.9987909999999995E-2</v>
      </c>
      <c r="I734">
        <v>355.74930000000001</v>
      </c>
      <c r="J734">
        <v>-259.92160000000001</v>
      </c>
      <c r="K734">
        <v>1.11032</v>
      </c>
      <c r="L734">
        <v>367.74599999999998</v>
      </c>
      <c r="M734">
        <v>0.99986450000000004</v>
      </c>
      <c r="N734">
        <v>0</v>
      </c>
      <c r="O734">
        <v>8.5906439999999997E-3</v>
      </c>
      <c r="P734">
        <v>0.99373060000000002</v>
      </c>
      <c r="Q734">
        <v>-6.1822830000000002E-3</v>
      </c>
      <c r="R734">
        <v>-0.1116311</v>
      </c>
      <c r="S734">
        <v>2.9488829999999999</v>
      </c>
      <c r="T734">
        <v>-5.331814E-2</v>
      </c>
      <c r="U734">
        <v>-0.62072749999999999</v>
      </c>
      <c r="V734">
        <v>0.1201634</v>
      </c>
      <c r="W734">
        <v>7.7755319999999999E-3</v>
      </c>
      <c r="X734">
        <v>0.99272360000000004</v>
      </c>
      <c r="Y734">
        <v>0.2143467</v>
      </c>
      <c r="Z734">
        <v>-2.0703039999999998E-3</v>
      </c>
      <c r="AA734">
        <v>0.97675540000000005</v>
      </c>
      <c r="AB734">
        <v>27</v>
      </c>
      <c r="AC734">
        <v>56.805599999999998</v>
      </c>
      <c r="AD734">
        <v>-1.0303320899999999</v>
      </c>
      <c r="AE734">
        <v>-11.996699999999899</v>
      </c>
      <c r="AF734">
        <v>12.4803715232473</v>
      </c>
      <c r="AG734">
        <v>-1.0303320899999999</v>
      </c>
      <c r="AH734">
        <v>56.682582536715401</v>
      </c>
      <c r="AI734">
        <v>91.017008770831495</v>
      </c>
      <c r="AJ734">
        <v>77.582744238372499</v>
      </c>
      <c r="AK734">
        <v>58.049430837911899</v>
      </c>
      <c r="AL734">
        <v>89.554490309733893</v>
      </c>
      <c r="AM734">
        <v>83.098256869720203</v>
      </c>
      <c r="AN734">
        <v>0.99999992379719804</v>
      </c>
    </row>
    <row r="735" spans="1:40" x14ac:dyDescent="0.25">
      <c r="A735" t="str">
        <f>"20190312161238919"</f>
        <v>20190312161238919</v>
      </c>
      <c r="B735" t="str">
        <f>"1552378358906668"</f>
        <v>1552378358906668</v>
      </c>
      <c r="C735" t="s">
        <v>40</v>
      </c>
      <c r="D735">
        <v>5.1351440000000004</v>
      </c>
      <c r="E735">
        <v>0.53691899999999904</v>
      </c>
      <c r="F735" t="s">
        <v>53</v>
      </c>
      <c r="G735">
        <v>-194.54259999999999</v>
      </c>
      <c r="H735" s="1">
        <v>-3.6186130000000001E-6</v>
      </c>
      <c r="I735">
        <v>353.91120000000001</v>
      </c>
      <c r="J735">
        <v>-259.73829999999998</v>
      </c>
      <c r="K735">
        <v>1.110317</v>
      </c>
      <c r="L735">
        <v>367.74759999999998</v>
      </c>
      <c r="M735">
        <v>0.99986399999999998</v>
      </c>
      <c r="N735">
        <v>0</v>
      </c>
      <c r="O735">
        <v>8.651031E-3</v>
      </c>
      <c r="P735">
        <v>0.99373449999999997</v>
      </c>
      <c r="Q735">
        <v>-6.0537759999999899E-3</v>
      </c>
      <c r="R735">
        <v>-0.1116031</v>
      </c>
      <c r="S735">
        <v>2.9485169999999998</v>
      </c>
      <c r="T735">
        <v>-5.0074340000000002E-2</v>
      </c>
      <c r="U735">
        <v>-0.62393189999999998</v>
      </c>
      <c r="V735">
        <v>0.1201955</v>
      </c>
      <c r="W735">
        <v>7.9018890000000005E-3</v>
      </c>
      <c r="X735">
        <v>0.99271880000000001</v>
      </c>
      <c r="Y735">
        <v>0.21545010000000001</v>
      </c>
      <c r="Z735">
        <v>-1.954669E-3</v>
      </c>
      <c r="AA735">
        <v>0.97651290000000002</v>
      </c>
      <c r="AB735">
        <v>27</v>
      </c>
      <c r="AC735">
        <v>65.195699999999903</v>
      </c>
      <c r="AD735">
        <v>-1.1103206186129999</v>
      </c>
      <c r="AE735">
        <v>-13.8363999999999</v>
      </c>
      <c r="AF735">
        <v>14.395952300177299</v>
      </c>
      <c r="AG735">
        <v>-1.1103206186129999</v>
      </c>
      <c r="AH735">
        <v>65.055493412569206</v>
      </c>
      <c r="AI735">
        <v>90.9546973903241</v>
      </c>
      <c r="AJ735">
        <v>77.522250515017305</v>
      </c>
      <c r="AK735">
        <v>66.638528477585197</v>
      </c>
      <c r="AL735">
        <v>89.547250401589395</v>
      </c>
      <c r="AM735">
        <v>83.0963978962439</v>
      </c>
      <c r="AN735">
        <v>1.0000000069717201</v>
      </c>
    </row>
    <row r="736" spans="1:40" x14ac:dyDescent="0.25">
      <c r="A736" t="str">
        <f>"20190312161238933"</f>
        <v>20190312161238933</v>
      </c>
      <c r="B736" t="str">
        <f>"1552378358926187"</f>
        <v>1552378358926187</v>
      </c>
      <c r="C736" t="s">
        <v>40</v>
      </c>
      <c r="D736">
        <v>5.1394520000000004</v>
      </c>
      <c r="E736">
        <v>0.53727780000000003</v>
      </c>
      <c r="F736" t="s">
        <v>53</v>
      </c>
      <c r="G736">
        <v>-189.16929999999999</v>
      </c>
      <c r="H736" s="1">
        <v>-1.9829990000000001E-6</v>
      </c>
      <c r="I736">
        <v>352.75740000000002</v>
      </c>
      <c r="J736">
        <v>-259.56700000000001</v>
      </c>
      <c r="K736">
        <v>1.1103160000000001</v>
      </c>
      <c r="L736">
        <v>367.7491</v>
      </c>
      <c r="M736">
        <v>0.99986350000000002</v>
      </c>
      <c r="N736">
        <v>0</v>
      </c>
      <c r="O736">
        <v>8.7076619999999997E-3</v>
      </c>
      <c r="P736">
        <v>0.99373469999999997</v>
      </c>
      <c r="Q736">
        <v>-5.9430619999999998E-3</v>
      </c>
      <c r="R736">
        <v>-0.11160829999999999</v>
      </c>
      <c r="S736">
        <v>2.948334</v>
      </c>
      <c r="T736">
        <v>-4.6388510000000001E-2</v>
      </c>
      <c r="U736">
        <v>-0.62628169999999905</v>
      </c>
      <c r="V736">
        <v>0.12025669999999999</v>
      </c>
      <c r="W736">
        <v>8.0110800000000003E-3</v>
      </c>
      <c r="X736">
        <v>0.99271050000000005</v>
      </c>
      <c r="Y736">
        <v>0.21626679999999901</v>
      </c>
      <c r="Z736">
        <v>-1.818006E-3</v>
      </c>
      <c r="AA736">
        <v>0.97633259999999999</v>
      </c>
      <c r="AB736">
        <v>27</v>
      </c>
      <c r="AC736">
        <v>70.3977</v>
      </c>
      <c r="AD736">
        <v>-1.110317982999</v>
      </c>
      <c r="AE736">
        <v>-14.9916999999999</v>
      </c>
      <c r="AF736">
        <v>15.600478940651699</v>
      </c>
      <c r="AG736">
        <v>-1.110317982999</v>
      </c>
      <c r="AH736">
        <v>70.247758389686993</v>
      </c>
      <c r="AI736">
        <v>90.883994135593497</v>
      </c>
      <c r="AJ736">
        <v>77.479069128834993</v>
      </c>
      <c r="AK736">
        <v>71.967737966236896</v>
      </c>
      <c r="AL736">
        <v>89.540994014204401</v>
      </c>
      <c r="AM736">
        <v>83.092859542503604</v>
      </c>
      <c r="AN736">
        <v>0.99999999405395301</v>
      </c>
    </row>
    <row r="737" spans="1:40" x14ac:dyDescent="0.25">
      <c r="A737" t="str">
        <f>"20190312161238944"</f>
        <v>20190312161238944</v>
      </c>
      <c r="B737" t="str">
        <f>"1552378358936924"</f>
        <v>1552378358936924</v>
      </c>
      <c r="C737" t="s">
        <v>40</v>
      </c>
      <c r="D737">
        <v>5.2055110000000004</v>
      </c>
      <c r="E737">
        <v>0.53758869999999903</v>
      </c>
      <c r="F737" t="s">
        <v>53</v>
      </c>
      <c r="G737">
        <v>-180.4323</v>
      </c>
      <c r="H737" s="1">
        <v>-2.96968E-6</v>
      </c>
      <c r="I737">
        <v>350.85809999999998</v>
      </c>
      <c r="J737">
        <v>-259.4119</v>
      </c>
      <c r="K737">
        <v>1.1103190000000001</v>
      </c>
      <c r="L737">
        <v>367.75049999999999</v>
      </c>
      <c r="M737">
        <v>0.9998631</v>
      </c>
      <c r="N737">
        <v>0</v>
      </c>
      <c r="O737">
        <v>8.7588079999999999E-3</v>
      </c>
      <c r="P737">
        <v>0.99376109999999895</v>
      </c>
      <c r="Q737">
        <v>-6.06706E-3</v>
      </c>
      <c r="R737">
        <v>-0.1113661</v>
      </c>
      <c r="S737">
        <v>2.9479980000000001</v>
      </c>
      <c r="T737">
        <v>-4.1362639999999999E-2</v>
      </c>
      <c r="U737">
        <v>-0.62924190000000002</v>
      </c>
      <c r="V737">
        <v>0.1200657</v>
      </c>
      <c r="W737">
        <v>7.8861539999999994E-3</v>
      </c>
      <c r="X737">
        <v>0.99273460000000002</v>
      </c>
      <c r="Y737">
        <v>0.21728239999999999</v>
      </c>
      <c r="Z737">
        <v>-1.6288260000000001E-3</v>
      </c>
      <c r="AA737">
        <v>0.97610739999999996</v>
      </c>
      <c r="AB737">
        <v>27</v>
      </c>
      <c r="AC737">
        <v>78.979600000000005</v>
      </c>
      <c r="AD737">
        <v>-1.11032196968</v>
      </c>
      <c r="AE737">
        <v>-16.892399999999999</v>
      </c>
      <c r="AF737">
        <v>17.580264701856901</v>
      </c>
      <c r="AG737">
        <v>-1.11032196968</v>
      </c>
      <c r="AH737">
        <v>78.813702843970503</v>
      </c>
      <c r="AI737">
        <v>90.787767824133795</v>
      </c>
      <c r="AJ737">
        <v>77.425402657868403</v>
      </c>
      <c r="AK737">
        <v>80.758270646673694</v>
      </c>
      <c r="AL737">
        <v>89.548151964268698</v>
      </c>
      <c r="AM737">
        <v>83.103890015009497</v>
      </c>
      <c r="AN737">
        <v>0.99999997488928005</v>
      </c>
    </row>
    <row r="738" spans="1:40" x14ac:dyDescent="0.25">
      <c r="A738" t="str">
        <f>"20190312161238957"</f>
        <v>20190312161238957</v>
      </c>
      <c r="B738" t="str">
        <f>"1552378358946683"</f>
        <v>1552378358946683</v>
      </c>
      <c r="C738" t="s">
        <v>40</v>
      </c>
      <c r="D738">
        <v>5.1544660000000002</v>
      </c>
      <c r="E738">
        <v>0.53776139999999995</v>
      </c>
      <c r="F738" t="s">
        <v>53</v>
      </c>
      <c r="G738">
        <v>-179.20599999999999</v>
      </c>
      <c r="H738">
        <v>7.9986669999999996E-2</v>
      </c>
      <c r="I738">
        <v>350.57100000000003</v>
      </c>
      <c r="J738">
        <v>-259.26749999999998</v>
      </c>
      <c r="K738">
        <v>1.110312</v>
      </c>
      <c r="L738">
        <v>367.75189999999998</v>
      </c>
      <c r="M738">
        <v>0.99986269999999999</v>
      </c>
      <c r="N738">
        <v>0</v>
      </c>
      <c r="O738">
        <v>8.8063210000000006E-3</v>
      </c>
      <c r="P738">
        <v>0.99376220000000004</v>
      </c>
      <c r="Q738">
        <v>-6.0544419999999897E-3</v>
      </c>
      <c r="R738">
        <v>-0.1113572</v>
      </c>
      <c r="S738">
        <v>2.947845</v>
      </c>
      <c r="T738">
        <v>-3.7868260000000001E-2</v>
      </c>
      <c r="U738">
        <v>-0.63140869999999905</v>
      </c>
      <c r="V738">
        <v>0.120104</v>
      </c>
      <c r="W738">
        <v>7.8971200000000005E-3</v>
      </c>
      <c r="X738">
        <v>0.99272990000000005</v>
      </c>
      <c r="Y738">
        <v>0.21802849999999999</v>
      </c>
      <c r="Z738">
        <v>-1.4965359999999999E-3</v>
      </c>
      <c r="AA738">
        <v>0.97594119999999995</v>
      </c>
      <c r="AB738">
        <v>27</v>
      </c>
      <c r="AC738">
        <v>80.061499999999995</v>
      </c>
      <c r="AD738">
        <v>-1.0303253299999999</v>
      </c>
      <c r="AE738">
        <v>-17.180900000000001</v>
      </c>
      <c r="AF738">
        <v>17.882519150510898</v>
      </c>
      <c r="AG738">
        <v>-1.0303253299999999</v>
      </c>
      <c r="AH738">
        <v>79.894430215327006</v>
      </c>
      <c r="AI738">
        <v>90.721012126084503</v>
      </c>
      <c r="AJ738">
        <v>77.383609889908996</v>
      </c>
      <c r="AK738">
        <v>81.877750585160797</v>
      </c>
      <c r="AL738">
        <v>89.547523648195195</v>
      </c>
      <c r="AM738">
        <v>83.101679059780693</v>
      </c>
      <c r="AN738">
        <v>0.99999999483715196</v>
      </c>
    </row>
    <row r="739" spans="1:40" x14ac:dyDescent="0.25">
      <c r="A739" t="str">
        <f>"20190312161238975"</f>
        <v>20190312161238975</v>
      </c>
      <c r="B739" t="str">
        <f>"1552378358966203"</f>
        <v>1552378358966203</v>
      </c>
      <c r="C739" t="s">
        <v>40</v>
      </c>
      <c r="D739">
        <v>5.129918</v>
      </c>
      <c r="E739">
        <v>0.53744199999999998</v>
      </c>
      <c r="F739" t="s">
        <v>41</v>
      </c>
      <c r="G739">
        <v>-160.44479999999999</v>
      </c>
      <c r="H739">
        <v>-0.05</v>
      </c>
      <c r="I739">
        <v>346.53550000000001</v>
      </c>
      <c r="J739">
        <v>-259.05290000000002</v>
      </c>
      <c r="K739">
        <v>1.110312</v>
      </c>
      <c r="L739">
        <v>367.75380000000001</v>
      </c>
      <c r="M739">
        <v>0.99986220000000003</v>
      </c>
      <c r="N739">
        <v>0</v>
      </c>
      <c r="O739">
        <v>8.8772E-3</v>
      </c>
      <c r="P739">
        <v>0.99375690000000005</v>
      </c>
      <c r="Q739">
        <v>-6.3834149999999999E-3</v>
      </c>
      <c r="R739">
        <v>-0.1113862</v>
      </c>
      <c r="S739">
        <v>2.9476930000000001</v>
      </c>
      <c r="T739">
        <v>-3.4609910000000001E-2</v>
      </c>
      <c r="U739">
        <v>-0.63284300000000004</v>
      </c>
      <c r="V739">
        <v>0.1202033</v>
      </c>
      <c r="W739">
        <v>7.5662050000000003E-3</v>
      </c>
      <c r="X739">
        <v>0.99272050000000001</v>
      </c>
      <c r="Y739">
        <v>0.21856490000000001</v>
      </c>
      <c r="Z739">
        <v>-1.371714E-3</v>
      </c>
      <c r="AA739">
        <v>0.97582139999999995</v>
      </c>
      <c r="AB739">
        <v>27</v>
      </c>
      <c r="AC739">
        <v>98.608099999999993</v>
      </c>
      <c r="AD739">
        <v>-1.160312</v>
      </c>
      <c r="AE739">
        <v>-21.218299999999999</v>
      </c>
      <c r="AF739">
        <v>22.089990501516599</v>
      </c>
      <c r="AG739">
        <v>-1.160312</v>
      </c>
      <c r="AH739">
        <v>98.402814221252697</v>
      </c>
      <c r="AI739">
        <v>90.659165831719406</v>
      </c>
      <c r="AJ739">
        <v>77.347685838652893</v>
      </c>
      <c r="AK739">
        <v>100.85845453384999</v>
      </c>
      <c r="AL739">
        <v>89.566484265810203</v>
      </c>
      <c r="AM739">
        <v>83.095965924732596</v>
      </c>
      <c r="AN739">
        <v>1.0000000359546199</v>
      </c>
    </row>
    <row r="740" spans="1:40" x14ac:dyDescent="0.25">
      <c r="A740" t="str">
        <f>"20190312161238998"</f>
        <v>20190312161238998</v>
      </c>
      <c r="B740" t="str">
        <f>"1552378358986699"</f>
        <v>1552378358986699</v>
      </c>
      <c r="C740" t="s">
        <v>40</v>
      </c>
      <c r="D740">
        <v>5.0567029999999997</v>
      </c>
      <c r="E740">
        <v>0.53765540000000001</v>
      </c>
      <c r="F740" t="s">
        <v>41</v>
      </c>
      <c r="G740">
        <v>-144.84479999999999</v>
      </c>
      <c r="H740">
        <v>-0.05</v>
      </c>
      <c r="I740">
        <v>343.31709999999998</v>
      </c>
      <c r="J740">
        <v>-258.7799</v>
      </c>
      <c r="K740">
        <v>1.1103099999999999</v>
      </c>
      <c r="L740">
        <v>367.75639999999999</v>
      </c>
      <c r="M740">
        <v>0.99986140000000001</v>
      </c>
      <c r="N740">
        <v>0</v>
      </c>
      <c r="O740">
        <v>8.967806E-3</v>
      </c>
      <c r="P740">
        <v>0.99377660000000001</v>
      </c>
      <c r="Q740">
        <v>-6.3153209999999996E-3</v>
      </c>
      <c r="R740">
        <v>-0.1112139</v>
      </c>
      <c r="S740">
        <v>2.9479679999999999</v>
      </c>
      <c r="T740">
        <v>-2.9950259999999999E-2</v>
      </c>
      <c r="U740">
        <v>-0.63076779999999999</v>
      </c>
      <c r="V740">
        <v>0.1201212</v>
      </c>
      <c r="W740">
        <v>7.6315289999999997E-3</v>
      </c>
      <c r="X740">
        <v>0.99272990000000005</v>
      </c>
      <c r="Y740">
        <v>0.2179817</v>
      </c>
      <c r="Z740">
        <v>-1.185005E-3</v>
      </c>
      <c r="AA740">
        <v>0.97595209999999999</v>
      </c>
      <c r="AB740">
        <v>27</v>
      </c>
      <c r="AC740">
        <v>113.93510000000001</v>
      </c>
      <c r="AD740">
        <v>-1.16031</v>
      </c>
      <c r="AE740">
        <v>-24.439299999999999</v>
      </c>
      <c r="AF740">
        <v>25.457641322777899</v>
      </c>
      <c r="AG740">
        <v>-1.16031</v>
      </c>
      <c r="AH740">
        <v>113.700055657866</v>
      </c>
      <c r="AI740">
        <v>90.5705578560639</v>
      </c>
      <c r="AJ740">
        <v>77.379523637616998</v>
      </c>
      <c r="AK740">
        <v>116.52098728391</v>
      </c>
      <c r="AL740">
        <v>89.562741352062105</v>
      </c>
      <c r="AM740">
        <v>83.100700677959793</v>
      </c>
      <c r="AN740">
        <v>0.999999998639164</v>
      </c>
    </row>
    <row r="741" spans="1:40" x14ac:dyDescent="0.25">
      <c r="A741" t="str">
        <f>"20190312161239021"</f>
        <v>20190312161239021</v>
      </c>
      <c r="B741" t="str">
        <f>"1552378359015979"</f>
        <v>1552378359015979</v>
      </c>
      <c r="C741" t="s">
        <v>40</v>
      </c>
      <c r="D741">
        <v>5.148072</v>
      </c>
      <c r="E741">
        <v>0.53795199999999999</v>
      </c>
      <c r="F741" t="s">
        <v>41</v>
      </c>
      <c r="G741">
        <v>-146.4281</v>
      </c>
      <c r="H741">
        <v>-0.05</v>
      </c>
      <c r="I741">
        <v>343.6755</v>
      </c>
      <c r="J741">
        <v>-258.4939</v>
      </c>
      <c r="K741">
        <v>1.1103160000000001</v>
      </c>
      <c r="L741">
        <v>367.75900000000001</v>
      </c>
      <c r="M741">
        <v>0.99986059999999999</v>
      </c>
      <c r="N741">
        <v>0</v>
      </c>
      <c r="O741">
        <v>9.0626470000000001E-3</v>
      </c>
      <c r="P741">
        <v>0.99379200000000001</v>
      </c>
      <c r="Q741">
        <v>-5.9312749999999997E-3</v>
      </c>
      <c r="R741">
        <v>-0.1110971</v>
      </c>
      <c r="S741">
        <v>2.9478909999999998</v>
      </c>
      <c r="T741">
        <v>-3.0444260000000001E-2</v>
      </c>
      <c r="U741">
        <v>-0.63183590000000001</v>
      </c>
      <c r="V741">
        <v>0.1200987</v>
      </c>
      <c r="W741">
        <v>8.0125109999999999E-3</v>
      </c>
      <c r="X741">
        <v>0.99272959999999999</v>
      </c>
      <c r="Y741">
        <v>0.2184171</v>
      </c>
      <c r="Z741">
        <v>-1.207727E-3</v>
      </c>
      <c r="AA741">
        <v>0.97585480000000002</v>
      </c>
      <c r="AB741">
        <v>27</v>
      </c>
      <c r="AC741">
        <v>112.0658</v>
      </c>
      <c r="AD741">
        <v>-1.1603159999999999</v>
      </c>
      <c r="AE741">
        <v>-24.083500000000001</v>
      </c>
      <c r="AF741">
        <v>25.095651877535101</v>
      </c>
      <c r="AG741">
        <v>-1.1603159999999999</v>
      </c>
      <c r="AH741">
        <v>111.83145579895201</v>
      </c>
      <c r="AI741">
        <v>90.580031275905</v>
      </c>
      <c r="AJ741">
        <v>77.352013308268496</v>
      </c>
      <c r="AK741">
        <v>114.61855252310301</v>
      </c>
      <c r="AL741">
        <v>89.540912014122995</v>
      </c>
      <c r="AM741">
        <v>83.101978474237995</v>
      </c>
      <c r="AN741">
        <v>0.99999997839518695</v>
      </c>
    </row>
    <row r="742" spans="1:40" x14ac:dyDescent="0.25">
      <c r="A742" t="str">
        <f>"20190312161239042"</f>
        <v>20190312161239042</v>
      </c>
      <c r="B742" t="str">
        <f>"1552378359036475"</f>
        <v>1552378359036475</v>
      </c>
      <c r="C742" t="s">
        <v>40</v>
      </c>
      <c r="D742">
        <v>5.1470909999999996</v>
      </c>
      <c r="E742">
        <v>0.53818379999999999</v>
      </c>
      <c r="F742" t="s">
        <v>45</v>
      </c>
      <c r="G742">
        <v>-141.81030000000001</v>
      </c>
      <c r="H742">
        <v>0.26559739999999998</v>
      </c>
      <c r="I742">
        <v>342.64400000000001</v>
      </c>
      <c r="J742">
        <v>-258.24430000000001</v>
      </c>
      <c r="K742">
        <v>1.110317</v>
      </c>
      <c r="L742">
        <v>367.76139999999998</v>
      </c>
      <c r="M742">
        <v>0.99985990000000002</v>
      </c>
      <c r="N742">
        <v>0</v>
      </c>
      <c r="O742">
        <v>9.1455670000000003E-3</v>
      </c>
      <c r="P742">
        <v>0.99380109999999999</v>
      </c>
      <c r="Q742">
        <v>-5.9919839999999997E-3</v>
      </c>
      <c r="R742">
        <v>-0.1110131</v>
      </c>
      <c r="S742">
        <v>2.9476930000000001</v>
      </c>
      <c r="T742">
        <v>-2.1339420000000001E-2</v>
      </c>
      <c r="U742">
        <v>-0.63446040000000004</v>
      </c>
      <c r="V742">
        <v>0.120097</v>
      </c>
      <c r="W742">
        <v>7.9495720000000002E-3</v>
      </c>
      <c r="X742">
        <v>0.99273029999999995</v>
      </c>
      <c r="Y742">
        <v>0.21934780000000001</v>
      </c>
      <c r="Z742">
        <v>-8.5044999999999999E-4</v>
      </c>
      <c r="AA742">
        <v>0.97564640000000002</v>
      </c>
      <c r="AB742">
        <v>27</v>
      </c>
      <c r="AC742">
        <v>116.434</v>
      </c>
      <c r="AD742">
        <v>-0.84471959999999902</v>
      </c>
      <c r="AE742">
        <v>-25.1173999999999</v>
      </c>
      <c r="AF742">
        <v>26.1799922688358</v>
      </c>
      <c r="AG742">
        <v>-0.84471959999999902</v>
      </c>
      <c r="AH742">
        <v>116.193550375277</v>
      </c>
      <c r="AI742">
        <v>90.406343058491103</v>
      </c>
      <c r="AJ742">
        <v>77.302513086862504</v>
      </c>
      <c r="AK742">
        <v>119.109389618161</v>
      </c>
      <c r="AL742">
        <v>89.544518262851994</v>
      </c>
      <c r="AM742">
        <v>83.1020799921818</v>
      </c>
      <c r="AN742">
        <v>0.99999996682103598</v>
      </c>
    </row>
    <row r="743" spans="1:40" x14ac:dyDescent="0.25">
      <c r="A743" t="str">
        <f>"20190312161239064"</f>
        <v>20190312161239064</v>
      </c>
      <c r="B743" t="str">
        <f>"1552378359055995"</f>
        <v>1552378359055995</v>
      </c>
      <c r="C743" t="s">
        <v>40</v>
      </c>
      <c r="D743">
        <v>5.154439</v>
      </c>
      <c r="E743">
        <v>0.53840589999999999</v>
      </c>
      <c r="F743" t="s">
        <v>45</v>
      </c>
      <c r="G743">
        <v>-141.86920000000001</v>
      </c>
      <c r="H743">
        <v>0.37680730000000001</v>
      </c>
      <c r="I743">
        <v>342.64400000000001</v>
      </c>
      <c r="J743">
        <v>-257.96980000000002</v>
      </c>
      <c r="K743">
        <v>1.110317</v>
      </c>
      <c r="L743">
        <v>367.76400000000001</v>
      </c>
      <c r="M743">
        <v>0.99985900000000005</v>
      </c>
      <c r="N743">
        <v>0</v>
      </c>
      <c r="O743">
        <v>9.2370089999999992E-3</v>
      </c>
      <c r="P743">
        <v>0.99379119999999999</v>
      </c>
      <c r="Q743">
        <v>-6.2137729999999997E-3</v>
      </c>
      <c r="R743">
        <v>-0.1110888</v>
      </c>
      <c r="S743">
        <v>2.94754</v>
      </c>
      <c r="T743">
        <v>-1.8578170000000001E-2</v>
      </c>
      <c r="U743">
        <v>-0.6361694</v>
      </c>
      <c r="V743">
        <v>0.1202635</v>
      </c>
      <c r="W743">
        <v>7.7245109999999999E-3</v>
      </c>
      <c r="X743">
        <v>0.99271200000000004</v>
      </c>
      <c r="Y743">
        <v>0.2199894</v>
      </c>
      <c r="Z743">
        <v>-7.4296859999999998E-4</v>
      </c>
      <c r="AA743">
        <v>0.97550199999999998</v>
      </c>
      <c r="AB743">
        <v>27</v>
      </c>
      <c r="AC743">
        <v>116.1006</v>
      </c>
      <c r="AD743">
        <v>-0.73350969999999904</v>
      </c>
      <c r="AE743">
        <v>-25.12</v>
      </c>
      <c r="AF743">
        <v>26.190457213006599</v>
      </c>
      <c r="AG743">
        <v>-0.73350969999999904</v>
      </c>
      <c r="AH743">
        <v>115.859171669391</v>
      </c>
      <c r="AI743">
        <v>90.353810264942197</v>
      </c>
      <c r="AJ743">
        <v>77.262136480798702</v>
      </c>
      <c r="AK743">
        <v>118.78478751685201</v>
      </c>
      <c r="AL743">
        <v>89.557413739903097</v>
      </c>
      <c r="AM743">
        <v>83.0924830832803</v>
      </c>
      <c r="AN743">
        <v>1.0000000462232099</v>
      </c>
    </row>
    <row r="744" spans="1:40" x14ac:dyDescent="0.25">
      <c r="A744" t="str">
        <f>"20190312161239078"</f>
        <v>20190312161239078</v>
      </c>
      <c r="B744" t="str">
        <f>"1552378359066731"</f>
        <v>1552378359066731</v>
      </c>
      <c r="C744" t="s">
        <v>40</v>
      </c>
      <c r="D744">
        <v>5.2761480000000001</v>
      </c>
      <c r="E744">
        <v>0.53840589999999999</v>
      </c>
      <c r="F744" t="s">
        <v>45</v>
      </c>
      <c r="G744">
        <v>-141.9126</v>
      </c>
      <c r="H744">
        <v>0.3888894</v>
      </c>
      <c r="I744">
        <v>342.64400000000001</v>
      </c>
      <c r="J744">
        <v>-257.80579999999998</v>
      </c>
      <c r="K744">
        <v>1.110317</v>
      </c>
      <c r="L744">
        <v>367.76560000000001</v>
      </c>
      <c r="M744">
        <v>0.99985860000000004</v>
      </c>
      <c r="N744">
        <v>0</v>
      </c>
      <c r="O744">
        <v>9.291199E-3</v>
      </c>
      <c r="P744">
        <v>0.99377570000000004</v>
      </c>
      <c r="Q744">
        <v>-6.3375530000000001E-3</v>
      </c>
      <c r="R744">
        <v>-0.111220899999999</v>
      </c>
      <c r="S744">
        <v>2.9473569999999998</v>
      </c>
      <c r="T744">
        <v>-1.832104E-2</v>
      </c>
      <c r="U744">
        <v>-0.63793949999999999</v>
      </c>
      <c r="V744">
        <v>0.1204493</v>
      </c>
      <c r="W744">
        <v>7.5991069999999999E-3</v>
      </c>
      <c r="X744">
        <v>0.99269039999999997</v>
      </c>
      <c r="Y744">
        <v>0.22061449999999999</v>
      </c>
      <c r="Z744">
        <v>-7.3493810000000001E-4</v>
      </c>
      <c r="AA744">
        <v>0.97536080000000003</v>
      </c>
      <c r="AB744">
        <v>27</v>
      </c>
      <c r="AC744">
        <v>115.893199999999</v>
      </c>
      <c r="AD744">
        <v>-0.72142759999999995</v>
      </c>
      <c r="AE744">
        <v>-25.121600000000001</v>
      </c>
      <c r="AF744">
        <v>26.196438453334299</v>
      </c>
      <c r="AG744">
        <v>-0.72142759999999995</v>
      </c>
      <c r="AH744">
        <v>115.650483558787</v>
      </c>
      <c r="AI744">
        <v>90.348575998367195</v>
      </c>
      <c r="AJ744">
        <v>77.237084569698595</v>
      </c>
      <c r="AK744">
        <v>118.582495305178</v>
      </c>
      <c r="AL744">
        <v>89.564599052584896</v>
      </c>
      <c r="AM744">
        <v>83.0817656467907</v>
      </c>
      <c r="AN744">
        <v>1.0000000052749201</v>
      </c>
    </row>
    <row r="745" spans="1:40" x14ac:dyDescent="0.25">
      <c r="A745" t="str">
        <f>"20190312161239096"</f>
        <v>20190312161239096</v>
      </c>
      <c r="B745" t="str">
        <f>"1552378359086251"</f>
        <v>1552378359086251</v>
      </c>
      <c r="C745" t="s">
        <v>40</v>
      </c>
      <c r="D745">
        <v>5.1830189999999998</v>
      </c>
      <c r="E745">
        <v>0.53862189999999999</v>
      </c>
      <c r="F745" t="s">
        <v>45</v>
      </c>
      <c r="G745">
        <v>-141.8246</v>
      </c>
      <c r="H745">
        <v>0.37279139999999999</v>
      </c>
      <c r="I745">
        <v>342.64400000000001</v>
      </c>
      <c r="J745">
        <v>-257.57780000000002</v>
      </c>
      <c r="K745">
        <v>1.1103209999999999</v>
      </c>
      <c r="L745">
        <v>367.76780000000002</v>
      </c>
      <c r="M745">
        <v>0.99985789999999997</v>
      </c>
      <c r="N745">
        <v>0</v>
      </c>
      <c r="O745">
        <v>9.3664330000000004E-3</v>
      </c>
      <c r="P745">
        <v>0.9937608</v>
      </c>
      <c r="Q745">
        <v>-6.1403619999999999E-3</v>
      </c>
      <c r="R745">
        <v>-0.1113639</v>
      </c>
      <c r="S745">
        <v>2.9472200000000002</v>
      </c>
      <c r="T745">
        <v>-1.8741250000000001E-2</v>
      </c>
      <c r="U745">
        <v>-0.63836669999999995</v>
      </c>
      <c r="V745">
        <v>0.12066689999999999</v>
      </c>
      <c r="W745">
        <v>7.7936489999999997E-3</v>
      </c>
      <c r="X745">
        <v>0.9926625</v>
      </c>
      <c r="Y745">
        <v>0.2208321</v>
      </c>
      <c r="Z745">
        <v>-7.5297449999999996E-4</v>
      </c>
      <c r="AA745">
        <v>0.9753115</v>
      </c>
      <c r="AB745">
        <v>27</v>
      </c>
      <c r="AC745">
        <v>115.75320000000001</v>
      </c>
      <c r="AD745">
        <v>-0.73752959999999901</v>
      </c>
      <c r="AE745">
        <v>-25.123799999999999</v>
      </c>
      <c r="AF745">
        <v>26.205982787799901</v>
      </c>
      <c r="AG745">
        <v>-0.73752959999999901</v>
      </c>
      <c r="AH745">
        <v>115.50829955569399</v>
      </c>
      <c r="AI745">
        <v>90.3567667258245</v>
      </c>
      <c r="AJ745">
        <v>77.217387023826006</v>
      </c>
      <c r="AK745">
        <v>118.446041512721</v>
      </c>
      <c r="AL745">
        <v>89.553452302594806</v>
      </c>
      <c r="AM745">
        <v>83.069195929353498</v>
      </c>
      <c r="AN745">
        <v>1.00000004031329</v>
      </c>
    </row>
    <row r="746" spans="1:40" x14ac:dyDescent="0.25">
      <c r="A746" t="str">
        <f>"20190312161239109"</f>
        <v>20190312161239109</v>
      </c>
      <c r="B746" t="str">
        <f>"1552378359106747"</f>
        <v>1552378359106747</v>
      </c>
      <c r="C746" t="s">
        <v>40</v>
      </c>
      <c r="D746">
        <v>5.1038739999999896</v>
      </c>
      <c r="E746">
        <v>0.56213089999999999</v>
      </c>
      <c r="F746" t="s">
        <v>45</v>
      </c>
      <c r="G746">
        <v>-142.12280000000001</v>
      </c>
      <c r="H746">
        <v>0.78609099999999998</v>
      </c>
      <c r="I746">
        <v>342.64400000000001</v>
      </c>
      <c r="J746">
        <v>-257.42630000000003</v>
      </c>
      <c r="K746">
        <v>1.110325</v>
      </c>
      <c r="L746">
        <v>367.76929999999999</v>
      </c>
      <c r="M746">
        <v>0.99985749999999995</v>
      </c>
      <c r="N746">
        <v>0</v>
      </c>
      <c r="O746">
        <v>9.4167469999999996E-3</v>
      </c>
      <c r="P746">
        <v>0.99377199999999999</v>
      </c>
      <c r="Q746">
        <v>-6.2602419999999897E-3</v>
      </c>
      <c r="R746">
        <v>-0.1112566</v>
      </c>
      <c r="S746">
        <v>2.9469150000000002</v>
      </c>
      <c r="T746">
        <v>-8.2756280000000002E-3</v>
      </c>
      <c r="U746">
        <v>-0.64126590000000006</v>
      </c>
      <c r="V746">
        <v>0.1206097</v>
      </c>
      <c r="W746">
        <v>7.6720599999999996E-3</v>
      </c>
      <c r="X746">
        <v>0.99267039999999995</v>
      </c>
      <c r="Y746">
        <v>0.22182189999999999</v>
      </c>
      <c r="Z746">
        <v>-3.3400850000000001E-4</v>
      </c>
      <c r="AA746">
        <v>0.97508720000000004</v>
      </c>
      <c r="AB746">
        <v>27</v>
      </c>
      <c r="AC746">
        <v>115.3035</v>
      </c>
      <c r="AD746">
        <v>-0.32423400000000002</v>
      </c>
      <c r="AE746">
        <v>-25.1252999999999</v>
      </c>
      <c r="AF746">
        <v>26.209878381163499</v>
      </c>
      <c r="AG746">
        <v>-0.32423400000000002</v>
      </c>
      <c r="AH746">
        <v>115.060896201063</v>
      </c>
      <c r="AI746">
        <v>90.157422717144101</v>
      </c>
      <c r="AJ746">
        <v>77.167480972544894</v>
      </c>
      <c r="AK746">
        <v>118.008782245365</v>
      </c>
      <c r="AL746">
        <v>89.560419047734001</v>
      </c>
      <c r="AM746">
        <v>83.072504016435602</v>
      </c>
      <c r="AN746">
        <v>1.0000000416374399</v>
      </c>
    </row>
    <row r="747" spans="1:40" x14ac:dyDescent="0.25">
      <c r="A747" t="str">
        <f>"20190312161239122"</f>
        <v>20190312161239122</v>
      </c>
      <c r="B747" t="str">
        <f>"1552378359116507"</f>
        <v>1552378359116507</v>
      </c>
      <c r="C747" t="s">
        <v>40</v>
      </c>
      <c r="D747">
        <v>5.1425479999999997</v>
      </c>
      <c r="E747">
        <v>0.56213089999999999</v>
      </c>
      <c r="F747" t="s">
        <v>45</v>
      </c>
      <c r="G747">
        <v>-168.98429999999999</v>
      </c>
      <c r="H747">
        <v>6.9438829999999996</v>
      </c>
      <c r="I747">
        <v>342.45049999999998</v>
      </c>
      <c r="J747">
        <v>-257.27350000000001</v>
      </c>
      <c r="K747">
        <v>1.1103289999999999</v>
      </c>
      <c r="L747">
        <v>367.77069999999998</v>
      </c>
      <c r="M747">
        <v>0.99985690000000005</v>
      </c>
      <c r="N747">
        <v>0</v>
      </c>
      <c r="O747">
        <v>9.4672390000000006E-3</v>
      </c>
      <c r="P747">
        <v>0.99380049999999998</v>
      </c>
      <c r="Q747">
        <v>-6.0907959999999999E-3</v>
      </c>
      <c r="R747">
        <v>-0.1110115</v>
      </c>
      <c r="S747">
        <v>2.9262389999999998</v>
      </c>
      <c r="T747">
        <v>0.19301219999999999</v>
      </c>
      <c r="U747">
        <v>-0.83770750000000005</v>
      </c>
      <c r="V747">
        <v>0.1204151</v>
      </c>
      <c r="W747">
        <v>7.8403789999999998E-3</v>
      </c>
      <c r="X747">
        <v>0.99269260000000004</v>
      </c>
      <c r="Y747">
        <v>0.28371990000000002</v>
      </c>
      <c r="Z747">
        <v>9.7751339999999996E-3</v>
      </c>
      <c r="AA747">
        <v>0.95885739999999997</v>
      </c>
      <c r="AB747">
        <v>27</v>
      </c>
      <c r="AC747">
        <v>88.289199999999994</v>
      </c>
      <c r="AD747">
        <v>5.8335540000000004</v>
      </c>
      <c r="AE747">
        <v>-25.3202</v>
      </c>
      <c r="AF747">
        <v>26.049919427537699</v>
      </c>
      <c r="AG747">
        <v>5.8335540000000004</v>
      </c>
      <c r="AH747">
        <v>87.691766882744204</v>
      </c>
      <c r="AI747">
        <v>86.351235467649801</v>
      </c>
      <c r="AJ747">
        <v>73.455299477373003</v>
      </c>
      <c r="AK747">
        <v>91.665013137345298</v>
      </c>
      <c r="AL747">
        <v>89.550774740897893</v>
      </c>
      <c r="AM747">
        <v>83.0837261388792</v>
      </c>
      <c r="AN747">
        <v>0.99999993297281398</v>
      </c>
    </row>
    <row r="748" spans="1:40" x14ac:dyDescent="0.25">
      <c r="A748" t="str">
        <f>"20190312161239135"</f>
        <v>20190312161239135</v>
      </c>
      <c r="B748" t="str">
        <f>"1552378359126267"</f>
        <v>1552378359126267</v>
      </c>
      <c r="C748" t="s">
        <v>40</v>
      </c>
      <c r="D748">
        <v>5.0714189999999997</v>
      </c>
      <c r="E748">
        <v>0.56231450000000005</v>
      </c>
      <c r="F748" t="s">
        <v>45</v>
      </c>
      <c r="G748">
        <v>-168.98429999999999</v>
      </c>
      <c r="H748">
        <v>6.9504210000000004</v>
      </c>
      <c r="I748">
        <v>342.51900000000001</v>
      </c>
      <c r="J748">
        <v>-257.11770000000001</v>
      </c>
      <c r="K748">
        <v>1.110328</v>
      </c>
      <c r="L748">
        <v>367.77229999999997</v>
      </c>
      <c r="M748">
        <v>0.99985650000000004</v>
      </c>
      <c r="N748">
        <v>0</v>
      </c>
      <c r="O748">
        <v>9.518627E-3</v>
      </c>
      <c r="P748">
        <v>0.99381589999999997</v>
      </c>
      <c r="Q748">
        <v>-5.9340759999999999E-3</v>
      </c>
      <c r="R748">
        <v>-0.1108828</v>
      </c>
      <c r="S748">
        <v>2.9263759999999999</v>
      </c>
      <c r="T748">
        <v>0.1935722</v>
      </c>
      <c r="U748">
        <v>-0.83697509999999997</v>
      </c>
      <c r="V748">
        <v>0.1203375</v>
      </c>
      <c r="W748">
        <v>7.9958219999999997E-3</v>
      </c>
      <c r="X748">
        <v>0.99270080000000005</v>
      </c>
      <c r="Y748">
        <v>0.28353230000000001</v>
      </c>
      <c r="Z748">
        <v>9.8005760000000001E-3</v>
      </c>
      <c r="AA748">
        <v>0.9589126</v>
      </c>
      <c r="AB748">
        <v>27</v>
      </c>
      <c r="AC748">
        <v>88.133399999999995</v>
      </c>
      <c r="AD748">
        <v>5.8400930000000004</v>
      </c>
      <c r="AE748">
        <v>-25.2532999999999</v>
      </c>
      <c r="AF748">
        <v>25.985702396336801</v>
      </c>
      <c r="AG748">
        <v>5.8400930000000004</v>
      </c>
      <c r="AH748">
        <v>87.533811831654901</v>
      </c>
      <c r="AI748">
        <v>86.340386079146299</v>
      </c>
      <c r="AJ748">
        <v>73.465702321279196</v>
      </c>
      <c r="AK748">
        <v>91.496074391523507</v>
      </c>
      <c r="AL748">
        <v>89.541868246848495</v>
      </c>
      <c r="AM748">
        <v>83.088196656409195</v>
      </c>
      <c r="AN748">
        <v>0.99999996269817204</v>
      </c>
    </row>
    <row r="749" spans="1:40" x14ac:dyDescent="0.25">
      <c r="A749" t="str">
        <f>"20190312161239149"</f>
        <v>20190312161239149</v>
      </c>
      <c r="B749" t="str">
        <f>"1552378359146765"</f>
        <v>1552378359146765</v>
      </c>
      <c r="C749" t="s">
        <v>40</v>
      </c>
      <c r="D749">
        <v>5.1249929999999999</v>
      </c>
      <c r="E749">
        <v>0.56230849999999999</v>
      </c>
      <c r="F749" t="s">
        <v>45</v>
      </c>
      <c r="G749">
        <v>-169.40099999999899</v>
      </c>
      <c r="H749">
        <v>6.9556429999999896</v>
      </c>
      <c r="I749">
        <v>342.66039999999998</v>
      </c>
      <c r="J749">
        <v>-256.95229999999998</v>
      </c>
      <c r="K749">
        <v>1.11032999999999</v>
      </c>
      <c r="L749">
        <v>367.774</v>
      </c>
      <c r="M749">
        <v>0.99985590000000002</v>
      </c>
      <c r="N749">
        <v>0</v>
      </c>
      <c r="O749">
        <v>9.5731759999999992E-3</v>
      </c>
      <c r="P749">
        <v>0.99385449999999997</v>
      </c>
      <c r="Q749">
        <v>-5.9666880000000004E-3</v>
      </c>
      <c r="R749">
        <v>-0.1105344</v>
      </c>
      <c r="S749">
        <v>2.926361</v>
      </c>
      <c r="T749">
        <v>0.1950085</v>
      </c>
      <c r="U749">
        <v>-0.83776859999999997</v>
      </c>
      <c r="V749">
        <v>0.1200435</v>
      </c>
      <c r="W749">
        <v>7.9619679999999998E-3</v>
      </c>
      <c r="X749">
        <v>0.99273670000000003</v>
      </c>
      <c r="Y749">
        <v>0.28381679999999998</v>
      </c>
      <c r="Z749">
        <v>9.8856800000000009E-3</v>
      </c>
      <c r="AA749">
        <v>0.9588276</v>
      </c>
      <c r="AB749">
        <v>27</v>
      </c>
      <c r="AC749">
        <v>87.551299999999998</v>
      </c>
      <c r="AD749">
        <v>5.8453129999999902</v>
      </c>
      <c r="AE749">
        <v>-25.113600000000002</v>
      </c>
      <c r="AF749">
        <v>25.8442329931177</v>
      </c>
      <c r="AG749">
        <v>5.8453129999999902</v>
      </c>
      <c r="AH749">
        <v>86.948738652714496</v>
      </c>
      <c r="AI749">
        <v>86.312916347356705</v>
      </c>
      <c r="AJ749">
        <v>73.446193259958804</v>
      </c>
      <c r="AK749">
        <v>90.896508273797707</v>
      </c>
      <c r="AL749">
        <v>89.543808014803403</v>
      </c>
      <c r="AM749">
        <v>83.105167266652003</v>
      </c>
      <c r="AN749">
        <v>0.99999999517678595</v>
      </c>
    </row>
    <row r="750" spans="1:40" x14ac:dyDescent="0.25">
      <c r="A750" t="str">
        <f>"20190312161239164"</f>
        <v>20190312161239164</v>
      </c>
      <c r="B750" t="str">
        <f>"1552378359156524"</f>
        <v>1552378359156524</v>
      </c>
      <c r="C750" t="s">
        <v>40</v>
      </c>
      <c r="D750">
        <v>5.0853190000000001</v>
      </c>
      <c r="E750">
        <v>0.56270600000000004</v>
      </c>
      <c r="F750" t="s">
        <v>45</v>
      </c>
      <c r="G750">
        <v>-169.69399999999999</v>
      </c>
      <c r="H750">
        <v>6.9889890000000001</v>
      </c>
      <c r="I750">
        <v>342.81540000000001</v>
      </c>
      <c r="J750">
        <v>-256.762</v>
      </c>
      <c r="K750">
        <v>1.110328</v>
      </c>
      <c r="L750">
        <v>367.7758</v>
      </c>
      <c r="M750">
        <v>0.99985550000000001</v>
      </c>
      <c r="N750">
        <v>0</v>
      </c>
      <c r="O750">
        <v>9.6365989999999992E-3</v>
      </c>
      <c r="P750">
        <v>0.99390000000000001</v>
      </c>
      <c r="Q750">
        <v>-6.1729380000000002E-3</v>
      </c>
      <c r="R750">
        <v>-0.1101139</v>
      </c>
      <c r="S750">
        <v>2.9266049999999999</v>
      </c>
      <c r="T750">
        <v>0.19716790000000001</v>
      </c>
      <c r="U750">
        <v>-0.83709719999999999</v>
      </c>
      <c r="V750">
        <v>0.1196864</v>
      </c>
      <c r="W750">
        <v>7.7540730000000002E-3</v>
      </c>
      <c r="X750">
        <v>0.99278149999999998</v>
      </c>
      <c r="Y750">
        <v>0.28364</v>
      </c>
      <c r="Z750">
        <v>9.9927760000000001E-3</v>
      </c>
      <c r="AA750">
        <v>0.95887880000000003</v>
      </c>
      <c r="AB750">
        <v>27</v>
      </c>
      <c r="AC750">
        <v>87.067999999999898</v>
      </c>
      <c r="AD750">
        <v>5.8786610000000001</v>
      </c>
      <c r="AE750">
        <v>-24.9604</v>
      </c>
      <c r="AF750">
        <v>25.690143049590699</v>
      </c>
      <c r="AG750">
        <v>5.8786610000000001</v>
      </c>
      <c r="AH750">
        <v>86.459191099550907</v>
      </c>
      <c r="AI750">
        <v>86.270902356889906</v>
      </c>
      <c r="AJ750">
        <v>73.451417206980906</v>
      </c>
      <c r="AK750">
        <v>90.386579925617397</v>
      </c>
      <c r="AL750">
        <v>89.555719905707704</v>
      </c>
      <c r="AM750">
        <v>83.125788387224105</v>
      </c>
      <c r="AN750">
        <v>1.00000003336764</v>
      </c>
    </row>
    <row r="751" spans="1:40" x14ac:dyDescent="0.25">
      <c r="A751" t="str">
        <f>"20190312161239178"</f>
        <v>20190312161239178</v>
      </c>
      <c r="B751" t="str">
        <f>"1552378359166283"</f>
        <v>1552378359166283</v>
      </c>
      <c r="C751" t="s">
        <v>40</v>
      </c>
      <c r="D751">
        <v>5.1375780000000004</v>
      </c>
      <c r="E751">
        <v>0.56270600000000004</v>
      </c>
      <c r="F751" t="s">
        <v>45</v>
      </c>
      <c r="G751">
        <v>-169.17949999999999</v>
      </c>
      <c r="H751">
        <v>6.9557159999999998</v>
      </c>
      <c r="I751">
        <v>342.67329999999998</v>
      </c>
      <c r="J751">
        <v>-256.59859999999998</v>
      </c>
      <c r="K751">
        <v>1.1103270000000001</v>
      </c>
      <c r="L751">
        <v>367.77749999999997</v>
      </c>
      <c r="M751">
        <v>0.99985500000000005</v>
      </c>
      <c r="N751">
        <v>0</v>
      </c>
      <c r="O751">
        <v>9.6909049999999997E-3</v>
      </c>
      <c r="P751">
        <v>0.99393609999999999</v>
      </c>
      <c r="Q751">
        <v>-6.2634400000000003E-3</v>
      </c>
      <c r="R751">
        <v>-0.1097824</v>
      </c>
      <c r="S751">
        <v>2.9266969999999999</v>
      </c>
      <c r="T751">
        <v>0.19533229999999999</v>
      </c>
      <c r="U751">
        <v>-0.83883669999999999</v>
      </c>
      <c r="V751">
        <v>0.1194093</v>
      </c>
      <c r="W751">
        <v>7.6625230000000001E-3</v>
      </c>
      <c r="X751">
        <v>0.99281560000000002</v>
      </c>
      <c r="Y751">
        <v>0.2842211</v>
      </c>
      <c r="Z751">
        <v>9.921394E-3</v>
      </c>
      <c r="AA751">
        <v>0.95870750000000005</v>
      </c>
      <c r="AB751">
        <v>27</v>
      </c>
      <c r="AC751">
        <v>87.419099999999901</v>
      </c>
      <c r="AD751">
        <v>5.8453889999999999</v>
      </c>
      <c r="AE751">
        <v>-25.104199999999899</v>
      </c>
      <c r="AF751">
        <v>25.8435282549069</v>
      </c>
      <c r="AG751">
        <v>5.8453889999999999</v>
      </c>
      <c r="AH751">
        <v>86.813108927786104</v>
      </c>
      <c r="AI751">
        <v>86.307583146719793</v>
      </c>
      <c r="AJ751">
        <v>73.4221766798956</v>
      </c>
      <c r="AK751">
        <v>90.766581994317406</v>
      </c>
      <c r="AL751">
        <v>89.560965499662601</v>
      </c>
      <c r="AM751">
        <v>83.141785232995502</v>
      </c>
      <c r="AN751">
        <v>1.0000000553942801</v>
      </c>
    </row>
    <row r="752" spans="1:40" x14ac:dyDescent="0.25">
      <c r="A752" t="str">
        <f>"20190312161239198"</f>
        <v>20190312161239198</v>
      </c>
      <c r="B752" t="str">
        <f>"1552378359186780"</f>
        <v>1552378359186780</v>
      </c>
      <c r="C752" t="s">
        <v>40</v>
      </c>
      <c r="D752">
        <v>5.0695319999999997</v>
      </c>
      <c r="E752">
        <v>0.57454139999999998</v>
      </c>
      <c r="F752" t="s">
        <v>45</v>
      </c>
      <c r="G752">
        <v>-168.87350000000001</v>
      </c>
      <c r="H752">
        <v>6.9558169999999997</v>
      </c>
      <c r="I752">
        <v>342.6567</v>
      </c>
      <c r="J752">
        <v>-256.3648</v>
      </c>
      <c r="K752">
        <v>1.110322</v>
      </c>
      <c r="L752">
        <v>367.77980000000002</v>
      </c>
      <c r="M752">
        <v>0.99985409999999997</v>
      </c>
      <c r="N752">
        <v>0</v>
      </c>
      <c r="O752">
        <v>9.7687550000000005E-3</v>
      </c>
      <c r="P752">
        <v>0.99402449999999998</v>
      </c>
      <c r="Q752">
        <v>-6.269826E-3</v>
      </c>
      <c r="R752">
        <v>-0.10897610000000001</v>
      </c>
      <c r="S752">
        <v>2.926987</v>
      </c>
      <c r="T752">
        <v>0.1950375</v>
      </c>
      <c r="U752">
        <v>-0.8381653</v>
      </c>
      <c r="V752">
        <v>0.11868139999999899</v>
      </c>
      <c r="W752">
        <v>7.6548939999999998E-3</v>
      </c>
      <c r="X752">
        <v>0.99290290000000003</v>
      </c>
      <c r="Y752">
        <v>0.28406940000000003</v>
      </c>
      <c r="Z752">
        <v>9.9059509999999996E-3</v>
      </c>
      <c r="AA752">
        <v>0.95875259999999995</v>
      </c>
      <c r="AB752">
        <v>27</v>
      </c>
      <c r="AC752">
        <v>87.491299999999995</v>
      </c>
      <c r="AD752">
        <v>5.8454949999999997</v>
      </c>
      <c r="AE752">
        <v>-25.123100000000001</v>
      </c>
      <c r="AF752">
        <v>25.869982035957499</v>
      </c>
      <c r="AG752">
        <v>5.8454949999999997</v>
      </c>
      <c r="AH752">
        <v>86.883384812017297</v>
      </c>
      <c r="AI752">
        <v>86.310558879275703</v>
      </c>
      <c r="AJ752">
        <v>73.418824851280306</v>
      </c>
      <c r="AK752">
        <v>90.841336068602999</v>
      </c>
      <c r="AL752">
        <v>89.561402606641593</v>
      </c>
      <c r="AM752">
        <v>83.183790941612401</v>
      </c>
      <c r="AN752">
        <v>1.00000002046826</v>
      </c>
    </row>
    <row r="753" spans="1:40" x14ac:dyDescent="0.25">
      <c r="A753" t="str">
        <f>"20190312161239213"</f>
        <v>20190312161239213</v>
      </c>
      <c r="B753" t="str">
        <f>"1552378359206299"</f>
        <v>1552378359206299</v>
      </c>
      <c r="C753" t="s">
        <v>40</v>
      </c>
      <c r="D753">
        <v>5.297167</v>
      </c>
      <c r="E753">
        <v>0.57743310000000003</v>
      </c>
      <c r="F753" t="s">
        <v>45</v>
      </c>
      <c r="G753">
        <v>-168.98339999999999</v>
      </c>
      <c r="H753">
        <v>4.3184269999999998</v>
      </c>
      <c r="I753">
        <v>340.07940000000002</v>
      </c>
      <c r="J753">
        <v>-256.18529999999998</v>
      </c>
      <c r="K753">
        <v>1.110322</v>
      </c>
      <c r="L753">
        <v>367.7817</v>
      </c>
      <c r="M753">
        <v>0.99985369999999996</v>
      </c>
      <c r="N753">
        <v>0</v>
      </c>
      <c r="O753">
        <v>9.8284849999999997E-3</v>
      </c>
      <c r="P753">
        <v>0.99404809999999999</v>
      </c>
      <c r="Q753">
        <v>-6.4009019999999896E-3</v>
      </c>
      <c r="R753">
        <v>-0.10875600000000001</v>
      </c>
      <c r="S753">
        <v>2.917313</v>
      </c>
      <c r="T753">
        <v>0.1071059</v>
      </c>
      <c r="U753">
        <v>-0.92480469999999904</v>
      </c>
      <c r="V753">
        <v>0.11852070000000001</v>
      </c>
      <c r="W753">
        <v>7.5223379999999999E-3</v>
      </c>
      <c r="X753">
        <v>0.99292309999999995</v>
      </c>
      <c r="Y753">
        <v>0.31134400000000001</v>
      </c>
      <c r="Z753">
        <v>5.9290369999999998E-3</v>
      </c>
      <c r="AA753">
        <v>0.95027879999999998</v>
      </c>
      <c r="AB753">
        <v>27</v>
      </c>
      <c r="AC753">
        <v>87.201899999999995</v>
      </c>
      <c r="AD753">
        <v>3.2081050000000002</v>
      </c>
      <c r="AE753">
        <v>-27.702299999999902</v>
      </c>
      <c r="AF753">
        <v>28.5230423488673</v>
      </c>
      <c r="AG753">
        <v>3.2081050000000002</v>
      </c>
      <c r="AH753">
        <v>86.8186550514164</v>
      </c>
      <c r="AI753">
        <v>87.989414544221205</v>
      </c>
      <c r="AJ753">
        <v>71.812793168810401</v>
      </c>
      <c r="AK753">
        <v>91.440334357782902</v>
      </c>
      <c r="AL753">
        <v>89.568997720973002</v>
      </c>
      <c r="AM753">
        <v>83.193070920356405</v>
      </c>
      <c r="AN753">
        <v>1.0000000122055399</v>
      </c>
    </row>
    <row r="754" spans="1:40" x14ac:dyDescent="0.25">
      <c r="A754" t="str">
        <f>"20190312161239232"</f>
        <v>20190312161239232</v>
      </c>
      <c r="B754" t="str">
        <f>"1552378359226795"</f>
        <v>1552378359226795</v>
      </c>
      <c r="C754" t="s">
        <v>40</v>
      </c>
      <c r="D754">
        <v>5.3054110000000003</v>
      </c>
      <c r="E754">
        <v>0.57780039999999999</v>
      </c>
      <c r="F754" t="s">
        <v>45</v>
      </c>
      <c r="G754">
        <v>-168.40099999999899</v>
      </c>
      <c r="H754">
        <v>2.9038499999999998</v>
      </c>
      <c r="I754">
        <v>339.32960000000003</v>
      </c>
      <c r="J754">
        <v>-255.95089999999999</v>
      </c>
      <c r="K754">
        <v>1.1103179999999999</v>
      </c>
      <c r="L754">
        <v>367.78410000000002</v>
      </c>
      <c r="M754">
        <v>0.99985299999999999</v>
      </c>
      <c r="N754">
        <v>0</v>
      </c>
      <c r="O754">
        <v>9.9061630000000008E-3</v>
      </c>
      <c r="P754">
        <v>0.99406530000000004</v>
      </c>
      <c r="Q754">
        <v>-6.8039859999999997E-3</v>
      </c>
      <c r="R754">
        <v>-0.1085739</v>
      </c>
      <c r="S754">
        <v>2.915009</v>
      </c>
      <c r="T754">
        <v>5.9556959999999999E-2</v>
      </c>
      <c r="U754">
        <v>-0.94479369999999996</v>
      </c>
      <c r="V754">
        <v>0.1184159</v>
      </c>
      <c r="W754">
        <v>7.117038E-3</v>
      </c>
      <c r="X754">
        <v>0.9929386</v>
      </c>
      <c r="Y754">
        <v>0.31767069999999997</v>
      </c>
      <c r="Z754">
        <v>3.361274E-3</v>
      </c>
      <c r="AA754">
        <v>0.94819520000000002</v>
      </c>
      <c r="AB754">
        <v>27</v>
      </c>
      <c r="AC754">
        <v>87.549899999999994</v>
      </c>
      <c r="AD754">
        <v>1.7935319999999899</v>
      </c>
      <c r="AE754">
        <v>-28.454499999999999</v>
      </c>
      <c r="AF754">
        <v>29.30934698714</v>
      </c>
      <c r="AG754">
        <v>1.7935319999999899</v>
      </c>
      <c r="AH754">
        <v>87.230590313945896</v>
      </c>
      <c r="AI754">
        <v>88.8834430589623</v>
      </c>
      <c r="AJ754">
        <v>71.427729017329696</v>
      </c>
      <c r="AK754">
        <v>92.040374099451995</v>
      </c>
      <c r="AL754">
        <v>89.592220325778698</v>
      </c>
      <c r="AM754">
        <v>83.199138605673994</v>
      </c>
      <c r="AN754">
        <v>1.00000002048633</v>
      </c>
    </row>
    <row r="755" spans="1:40" x14ac:dyDescent="0.25">
      <c r="A755" t="str">
        <f>"20190312161239246"</f>
        <v>20190312161239246</v>
      </c>
      <c r="B755" t="str">
        <f>"1552378359236555"</f>
        <v>1552378359236555</v>
      </c>
      <c r="C755" t="s">
        <v>40</v>
      </c>
      <c r="D755">
        <v>5.3871549999999999</v>
      </c>
      <c r="E755">
        <v>0.57874899999999996</v>
      </c>
      <c r="F755" t="s">
        <v>45</v>
      </c>
      <c r="G755">
        <v>-168.40110000000001</v>
      </c>
      <c r="H755">
        <v>3.0627200000000001</v>
      </c>
      <c r="I755">
        <v>339.32229999999998</v>
      </c>
      <c r="J755">
        <v>-255.77959999999999</v>
      </c>
      <c r="K755">
        <v>1.1103149999999999</v>
      </c>
      <c r="L755">
        <v>367.78579999999999</v>
      </c>
      <c r="M755">
        <v>0.99985250000000003</v>
      </c>
      <c r="N755">
        <v>0</v>
      </c>
      <c r="O755">
        <v>9.9633889999999996E-3</v>
      </c>
      <c r="P755">
        <v>0.99404669999999895</v>
      </c>
      <c r="Q755">
        <v>-7.1921550000000004E-3</v>
      </c>
      <c r="R755">
        <v>-0.1087176</v>
      </c>
      <c r="S755">
        <v>2.9148710000000002</v>
      </c>
      <c r="T755">
        <v>6.5003160000000004E-2</v>
      </c>
      <c r="U755">
        <v>-0.94760129999999998</v>
      </c>
      <c r="V755">
        <v>0.1186166</v>
      </c>
      <c r="W755">
        <v>6.7265160000000001E-3</v>
      </c>
      <c r="X755">
        <v>0.99291739999999995</v>
      </c>
      <c r="Y755">
        <v>0.31855220000000001</v>
      </c>
      <c r="Z755">
        <v>3.679037E-3</v>
      </c>
      <c r="AA755">
        <v>0.94789820000000002</v>
      </c>
      <c r="AB755">
        <v>27</v>
      </c>
      <c r="AC755">
        <v>87.378499999999903</v>
      </c>
      <c r="AD755">
        <v>1.9524049999999999</v>
      </c>
      <c r="AE755">
        <v>-28.4635</v>
      </c>
      <c r="AF755">
        <v>29.319524193872201</v>
      </c>
      <c r="AG755">
        <v>1.9524049999999999</v>
      </c>
      <c r="AH755">
        <v>87.051249178672094</v>
      </c>
      <c r="AI755">
        <v>88.782360130049994</v>
      </c>
      <c r="AJ755">
        <v>71.386082446977099</v>
      </c>
      <c r="AK755">
        <v>91.876908784559902</v>
      </c>
      <c r="AL755">
        <v>89.614596136629999</v>
      </c>
      <c r="AM755">
        <v>83.187576153685299</v>
      </c>
      <c r="AN755">
        <v>1.0000000535178999</v>
      </c>
    </row>
    <row r="756" spans="1:40" x14ac:dyDescent="0.25">
      <c r="A756" t="str">
        <f>"20190312161239259"</f>
        <v>20190312161239259</v>
      </c>
      <c r="B756" t="str">
        <f>"1552378359256075"</f>
        <v>1552378359256075</v>
      </c>
      <c r="C756" t="s">
        <v>40</v>
      </c>
      <c r="D756">
        <v>5.1174429999999997</v>
      </c>
      <c r="E756">
        <v>0.57936909999999997</v>
      </c>
      <c r="F756" t="s">
        <v>45</v>
      </c>
      <c r="G756">
        <v>-168.40110000000001</v>
      </c>
      <c r="H756">
        <v>3.0043160000000002</v>
      </c>
      <c r="I756">
        <v>339.1361</v>
      </c>
      <c r="J756">
        <v>-255.6327</v>
      </c>
      <c r="K756">
        <v>1.1103179999999999</v>
      </c>
      <c r="L756">
        <v>367.78739999999999</v>
      </c>
      <c r="M756">
        <v>0.99985199999999996</v>
      </c>
      <c r="N756">
        <v>0</v>
      </c>
      <c r="O756">
        <v>1.001203E-2</v>
      </c>
      <c r="P756">
        <v>0.99403799999999998</v>
      </c>
      <c r="Q756">
        <v>-7.6179689999999996E-3</v>
      </c>
      <c r="R756">
        <v>-0.1087684</v>
      </c>
      <c r="S756">
        <v>2.91391</v>
      </c>
      <c r="T756">
        <v>6.3161610000000007E-2</v>
      </c>
      <c r="U756">
        <v>-0.95541379999999998</v>
      </c>
      <c r="V756">
        <v>0.1187155</v>
      </c>
      <c r="W756">
        <v>6.2988019999999896E-3</v>
      </c>
      <c r="X756">
        <v>0.99290840000000002</v>
      </c>
      <c r="Y756">
        <v>0.32098929999999998</v>
      </c>
      <c r="Z756">
        <v>3.6012700000000002E-3</v>
      </c>
      <c r="AA756">
        <v>0.94707600000000003</v>
      </c>
      <c r="AB756">
        <v>27</v>
      </c>
      <c r="AC756">
        <v>87.231599999999901</v>
      </c>
      <c r="AD756">
        <v>1.8939980000000001</v>
      </c>
      <c r="AE756">
        <v>-28.6512999999999</v>
      </c>
      <c r="AF756">
        <v>29.5107571744641</v>
      </c>
      <c r="AG756">
        <v>1.8939980000000001</v>
      </c>
      <c r="AH756">
        <v>86.903362196713402</v>
      </c>
      <c r="AI756">
        <v>88.817761586459596</v>
      </c>
      <c r="AJ756">
        <v>71.243473138725506</v>
      </c>
      <c r="AK756">
        <v>91.796875646872394</v>
      </c>
      <c r="AL756">
        <v>89.639102867433607</v>
      </c>
      <c r="AM756">
        <v>83.181888328114894</v>
      </c>
      <c r="AN756">
        <v>1.00000006781872</v>
      </c>
    </row>
    <row r="757" spans="1:40" x14ac:dyDescent="0.25">
      <c r="A757" t="str">
        <f>"20190312161239272"</f>
        <v>20190312161239272</v>
      </c>
      <c r="B757" t="str">
        <f>"1552378359266812"</f>
        <v>1552378359266812</v>
      </c>
      <c r="C757" t="s">
        <v>40</v>
      </c>
      <c r="D757">
        <v>5.1672609999999999</v>
      </c>
      <c r="E757">
        <v>0.57983850000000003</v>
      </c>
      <c r="F757" t="s">
        <v>45</v>
      </c>
      <c r="G757">
        <v>-168.40090000000001</v>
      </c>
      <c r="H757">
        <v>2.505093</v>
      </c>
      <c r="I757">
        <v>339.04750000000001</v>
      </c>
      <c r="J757">
        <v>-255.4742</v>
      </c>
      <c r="K757">
        <v>1.1103160000000001</v>
      </c>
      <c r="L757">
        <v>367.78899999999999</v>
      </c>
      <c r="M757">
        <v>0.9998515</v>
      </c>
      <c r="N757">
        <v>0</v>
      </c>
      <c r="O757">
        <v>1.006455E-2</v>
      </c>
      <c r="P757">
        <v>0.99402539999999995</v>
      </c>
      <c r="Q757">
        <v>-7.8194739999999999E-3</v>
      </c>
      <c r="R757">
        <v>-0.1088689</v>
      </c>
      <c r="S757">
        <v>2.9133300000000002</v>
      </c>
      <c r="T757">
        <v>4.658234E-2</v>
      </c>
      <c r="U757">
        <v>-0.95983890000000005</v>
      </c>
      <c r="V757">
        <v>0.1188681</v>
      </c>
      <c r="W757">
        <v>6.0956730000000002E-3</v>
      </c>
      <c r="X757">
        <v>0.99289130000000003</v>
      </c>
      <c r="Y757">
        <v>0.32242459999999901</v>
      </c>
      <c r="Z757">
        <v>2.6679920000000001E-3</v>
      </c>
      <c r="AA757">
        <v>0.94659139999999997</v>
      </c>
      <c r="AB757">
        <v>27</v>
      </c>
      <c r="AC757">
        <v>87.073299999999904</v>
      </c>
      <c r="AD757">
        <v>1.3947769999999999</v>
      </c>
      <c r="AE757">
        <v>-28.741499999999899</v>
      </c>
      <c r="AF757">
        <v>29.609632257411</v>
      </c>
      <c r="AG757">
        <v>1.3947769999999999</v>
      </c>
      <c r="AH757">
        <v>86.759516002140998</v>
      </c>
      <c r="AI757">
        <v>89.128329539935095</v>
      </c>
      <c r="AJ757">
        <v>71.1560494362149</v>
      </c>
      <c r="AK757">
        <v>91.683637265460902</v>
      </c>
      <c r="AL757">
        <v>89.650741486210705</v>
      </c>
      <c r="AM757">
        <v>83.173090346170696</v>
      </c>
      <c r="AN757">
        <v>0.99999995802131003</v>
      </c>
    </row>
    <row r="758" spans="1:40" x14ac:dyDescent="0.25">
      <c r="A758" t="str">
        <f>"20190312161239286"</f>
        <v>20190312161239286</v>
      </c>
      <c r="B758" t="str">
        <f>"1552378359276573"</f>
        <v>1552378359276573</v>
      </c>
      <c r="C758" t="s">
        <v>40</v>
      </c>
      <c r="D758">
        <v>5.3249620000000002</v>
      </c>
      <c r="E758">
        <v>0.58014759999999999</v>
      </c>
      <c r="F758" t="s">
        <v>45</v>
      </c>
      <c r="G758">
        <v>-168.4008</v>
      </c>
      <c r="H758">
        <v>2.2014360000000002</v>
      </c>
      <c r="I758">
        <v>338.99029999999999</v>
      </c>
      <c r="J758">
        <v>-255.30430000000001</v>
      </c>
      <c r="K758">
        <v>1.1103179999999999</v>
      </c>
      <c r="L758">
        <v>367.79079999999999</v>
      </c>
      <c r="M758">
        <v>0.99985089999999999</v>
      </c>
      <c r="N758">
        <v>0</v>
      </c>
      <c r="O758">
        <v>1.0121069999999999E-2</v>
      </c>
      <c r="P758">
        <v>0.99395789999999995</v>
      </c>
      <c r="Q758">
        <v>-8.0768519999999903E-3</v>
      </c>
      <c r="R758">
        <v>-0.1094652</v>
      </c>
      <c r="S758">
        <v>2.9127960000000002</v>
      </c>
      <c r="T758">
        <v>3.6500570000000003E-2</v>
      </c>
      <c r="U758">
        <v>-0.96337890000000004</v>
      </c>
      <c r="V758">
        <v>0.1195198</v>
      </c>
      <c r="W758">
        <v>5.8353249999999997E-3</v>
      </c>
      <c r="X758">
        <v>0.99281470000000005</v>
      </c>
      <c r="Y758">
        <v>0.32358160000000002</v>
      </c>
      <c r="Z758">
        <v>2.098337E-3</v>
      </c>
      <c r="AA758">
        <v>0.94619790000000004</v>
      </c>
      <c r="AB758">
        <v>27</v>
      </c>
      <c r="AC758">
        <v>86.903499999999994</v>
      </c>
      <c r="AD758">
        <v>1.091118</v>
      </c>
      <c r="AE758">
        <v>-28.8005</v>
      </c>
      <c r="AF758">
        <v>29.674452098783199</v>
      </c>
      <c r="AG758">
        <v>1.091118</v>
      </c>
      <c r="AH758">
        <v>86.595227555419697</v>
      </c>
      <c r="AI758">
        <v>89.317080134102298</v>
      </c>
      <c r="AJ758">
        <v>71.084438307690107</v>
      </c>
      <c r="AK758">
        <v>91.545054925035799</v>
      </c>
      <c r="AL758">
        <v>89.665658618339506</v>
      </c>
      <c r="AM758">
        <v>83.135493086315606</v>
      </c>
      <c r="AN758">
        <v>1.00000003107299</v>
      </c>
    </row>
    <row r="759" spans="1:40" x14ac:dyDescent="0.25">
      <c r="A759" t="str">
        <f>"20190312161239300"</f>
        <v>20190312161239300</v>
      </c>
      <c r="B759" t="str">
        <f>"1552378359296091"</f>
        <v>1552378359296091</v>
      </c>
      <c r="C759" t="s">
        <v>40</v>
      </c>
      <c r="D759">
        <v>5.2322139999999999</v>
      </c>
      <c r="E759">
        <v>0.58011650000000003</v>
      </c>
      <c r="F759" t="s">
        <v>45</v>
      </c>
      <c r="G759">
        <v>-168.4008</v>
      </c>
      <c r="H759">
        <v>2.2348400000000002</v>
      </c>
      <c r="I759">
        <v>338.91660000000002</v>
      </c>
      <c r="J759">
        <v>-255.14330000000001</v>
      </c>
      <c r="K759">
        <v>1.110317</v>
      </c>
      <c r="L759">
        <v>367.79239999999999</v>
      </c>
      <c r="M759">
        <v>0.99985029999999997</v>
      </c>
      <c r="N759">
        <v>0</v>
      </c>
      <c r="O759">
        <v>1.017442E-2</v>
      </c>
      <c r="P759">
        <v>0.99392000000000003</v>
      </c>
      <c r="Q759">
        <v>-7.8307649999999999E-3</v>
      </c>
      <c r="R759">
        <v>-0.10982740000000001</v>
      </c>
      <c r="S759">
        <v>2.9120029999999999</v>
      </c>
      <c r="T759">
        <v>3.7681220000000001E-2</v>
      </c>
      <c r="U759">
        <v>-0.96752930000000004</v>
      </c>
      <c r="V759">
        <v>0.1199345</v>
      </c>
      <c r="W759">
        <v>6.0794610000000004E-3</v>
      </c>
      <c r="X759">
        <v>0.99276319999999996</v>
      </c>
      <c r="Y759">
        <v>0.32492189999999999</v>
      </c>
      <c r="Z759">
        <v>2.1754090000000001E-3</v>
      </c>
      <c r="AA759">
        <v>0.94573839999999998</v>
      </c>
      <c r="AB759">
        <v>27</v>
      </c>
      <c r="AC759">
        <v>86.742500000000007</v>
      </c>
      <c r="AD759">
        <v>1.1245229999999999</v>
      </c>
      <c r="AE759">
        <v>-28.875799999999899</v>
      </c>
      <c r="AF759">
        <v>29.752444683977401</v>
      </c>
      <c r="AG759">
        <v>1.1245229999999999</v>
      </c>
      <c r="AH759">
        <v>86.431109197528301</v>
      </c>
      <c r="AI759">
        <v>89.295174372998105</v>
      </c>
      <c r="AJ759">
        <v>71.004843723861399</v>
      </c>
      <c r="AK759">
        <v>91.415584851630896</v>
      </c>
      <c r="AL759">
        <v>89.651670399945701</v>
      </c>
      <c r="AM759">
        <v>83.111549732438505</v>
      </c>
      <c r="AN759">
        <v>1.00000000770527</v>
      </c>
    </row>
    <row r="760" spans="1:40" x14ac:dyDescent="0.25">
      <c r="A760" t="str">
        <f>"20190312161239313"</f>
        <v>20190312161239313</v>
      </c>
      <c r="B760" t="str">
        <f>"1552378359306827"</f>
        <v>1552378359306827</v>
      </c>
      <c r="C760" t="s">
        <v>40</v>
      </c>
      <c r="D760">
        <v>5.1884790000000001</v>
      </c>
      <c r="E760">
        <v>0.58046999999999904</v>
      </c>
      <c r="F760" t="s">
        <v>45</v>
      </c>
      <c r="G760">
        <v>-168.4008</v>
      </c>
      <c r="H760">
        <v>2.1392039999999999</v>
      </c>
      <c r="I760">
        <v>338.94060000000002</v>
      </c>
      <c r="J760">
        <v>-254.98920000000001</v>
      </c>
      <c r="K760">
        <v>1.110317</v>
      </c>
      <c r="L760">
        <v>367.79410000000001</v>
      </c>
      <c r="M760">
        <v>0.99984989999999996</v>
      </c>
      <c r="N760">
        <v>0</v>
      </c>
      <c r="O760">
        <v>1.022557E-2</v>
      </c>
      <c r="P760">
        <v>0.99388379999999998</v>
      </c>
      <c r="Q760">
        <v>-8.0524680000000001E-3</v>
      </c>
      <c r="R760">
        <v>-0.11013779999999999</v>
      </c>
      <c r="S760">
        <v>2.9116059999999999</v>
      </c>
      <c r="T760">
        <v>3.4535879999999998E-2</v>
      </c>
      <c r="U760">
        <v>-0.96844479999999999</v>
      </c>
      <c r="V760">
        <v>0.12029529999999999</v>
      </c>
      <c r="W760">
        <v>5.8553529999999998E-3</v>
      </c>
      <c r="X760">
        <v>0.99272090000000002</v>
      </c>
      <c r="Y760">
        <v>0.32528069999999998</v>
      </c>
      <c r="Z760">
        <v>1.996659E-3</v>
      </c>
      <c r="AA760">
        <v>0.94561539999999999</v>
      </c>
      <c r="AB760">
        <v>27</v>
      </c>
      <c r="AC760">
        <v>86.588399999999993</v>
      </c>
      <c r="AD760">
        <v>1.0288870000000001</v>
      </c>
      <c r="AE760">
        <v>-28.8535</v>
      </c>
      <c r="AF760">
        <v>29.733714889304</v>
      </c>
      <c r="AG760">
        <v>1.0288870000000001</v>
      </c>
      <c r="AH760">
        <v>86.277835289824694</v>
      </c>
      <c r="AI760">
        <v>89.354044454241404</v>
      </c>
      <c r="AJ760">
        <v>70.984640277357897</v>
      </c>
      <c r="AK760">
        <v>91.263449813577097</v>
      </c>
      <c r="AL760">
        <v>89.664511073448494</v>
      </c>
      <c r="AM760">
        <v>83.090735600545102</v>
      </c>
      <c r="AN760">
        <v>1.0000000148288199</v>
      </c>
    </row>
    <row r="761" spans="1:40" x14ac:dyDescent="0.25">
      <c r="A761" t="str">
        <f>"20190312161239325"</f>
        <v>20190312161239325</v>
      </c>
      <c r="B761" t="str">
        <f>"1552378359316587"</f>
        <v>1552378359316587</v>
      </c>
      <c r="C761" t="s">
        <v>40</v>
      </c>
      <c r="D761">
        <v>5.3306529999999999</v>
      </c>
      <c r="E761">
        <v>0.58066960000000001</v>
      </c>
      <c r="F761" t="s">
        <v>45</v>
      </c>
      <c r="G761">
        <v>-168.4007</v>
      </c>
      <c r="H761">
        <v>1.9498899999999999</v>
      </c>
      <c r="I761">
        <v>338.88780000000003</v>
      </c>
      <c r="J761">
        <v>-254.84</v>
      </c>
      <c r="K761">
        <v>1.110317</v>
      </c>
      <c r="L761">
        <v>367.79570000000001</v>
      </c>
      <c r="M761">
        <v>0.9998494</v>
      </c>
      <c r="N761">
        <v>0</v>
      </c>
      <c r="O761">
        <v>1.0275400000000001E-2</v>
      </c>
      <c r="P761">
        <v>0.99384490000000003</v>
      </c>
      <c r="Q761">
        <v>-8.2000770000000001E-3</v>
      </c>
      <c r="R761">
        <v>-0.1104787</v>
      </c>
      <c r="S761">
        <v>2.9110260000000001</v>
      </c>
      <c r="T761">
        <v>2.8225900000000002E-2</v>
      </c>
      <c r="U761">
        <v>-0.97180180000000005</v>
      </c>
      <c r="V761">
        <v>0.12068520000000001</v>
      </c>
      <c r="W761">
        <v>5.7056279999999999E-3</v>
      </c>
      <c r="X761">
        <v>0.99267439999999996</v>
      </c>
      <c r="Y761">
        <v>0.32637250000000001</v>
      </c>
      <c r="Z761">
        <v>1.637515E-3</v>
      </c>
      <c r="AA761">
        <v>0.94523979999999996</v>
      </c>
      <c r="AB761">
        <v>27</v>
      </c>
      <c r="AC761">
        <v>86.439300000000003</v>
      </c>
      <c r="AD761">
        <v>0.83957300000000001</v>
      </c>
      <c r="AE761">
        <v>-28.907899999999898</v>
      </c>
      <c r="AF761">
        <v>29.792130960187801</v>
      </c>
      <c r="AG761">
        <v>0.83957300000000001</v>
      </c>
      <c r="AH761">
        <v>86.130358257199504</v>
      </c>
      <c r="AI761">
        <v>89.472196100409406</v>
      </c>
      <c r="AJ761">
        <v>70.919710936829901</v>
      </c>
      <c r="AK761">
        <v>91.141179296105506</v>
      </c>
      <c r="AL761">
        <v>89.673089811951897</v>
      </c>
      <c r="AM761">
        <v>83.068237338421497</v>
      </c>
      <c r="AN761">
        <v>0.99999996805263602</v>
      </c>
    </row>
    <row r="762" spans="1:40" x14ac:dyDescent="0.25">
      <c r="A762" t="str">
        <f>"20190312161239343"</f>
        <v>20190312161239343</v>
      </c>
      <c r="B762" t="str">
        <f>"1552378359336107"</f>
        <v>1552378359336107</v>
      </c>
      <c r="C762" t="s">
        <v>40</v>
      </c>
      <c r="D762">
        <v>5.1986990000000004</v>
      </c>
      <c r="E762">
        <v>0.58139640000000004</v>
      </c>
      <c r="F762" t="s">
        <v>45</v>
      </c>
      <c r="G762">
        <v>-168.4007</v>
      </c>
      <c r="H762">
        <v>1.943746</v>
      </c>
      <c r="I762">
        <v>338.86149999999998</v>
      </c>
      <c r="J762">
        <v>-254.62970000000001</v>
      </c>
      <c r="K762">
        <v>1.110317</v>
      </c>
      <c r="L762">
        <v>367.79790000000003</v>
      </c>
      <c r="M762">
        <v>0.99984870000000003</v>
      </c>
      <c r="N762">
        <v>0</v>
      </c>
      <c r="O762">
        <v>1.034503E-2</v>
      </c>
      <c r="P762">
        <v>0.99379680000000004</v>
      </c>
      <c r="Q762">
        <v>-8.5422940000000006E-3</v>
      </c>
      <c r="R762">
        <v>-0.11088389999999999</v>
      </c>
      <c r="S762">
        <v>2.910507</v>
      </c>
      <c r="T762">
        <v>2.8062699999999999E-2</v>
      </c>
      <c r="U762">
        <v>-0.97424319999999998</v>
      </c>
      <c r="V762">
        <v>0.121159199999999</v>
      </c>
      <c r="W762">
        <v>5.3604029999999997E-3</v>
      </c>
      <c r="X762">
        <v>0.99261860000000002</v>
      </c>
      <c r="Y762">
        <v>0.3272021</v>
      </c>
      <c r="Z762">
        <v>1.6326589999999901E-3</v>
      </c>
      <c r="AA762">
        <v>0.94495300000000004</v>
      </c>
      <c r="AB762">
        <v>27</v>
      </c>
      <c r="AC762">
        <v>86.228999999999999</v>
      </c>
      <c r="AD762">
        <v>0.83342899999999998</v>
      </c>
      <c r="AE762">
        <v>-28.936399999999999</v>
      </c>
      <c r="AF762">
        <v>29.8244759543086</v>
      </c>
      <c r="AG762">
        <v>0.83342899999999998</v>
      </c>
      <c r="AH762">
        <v>85.917793774967905</v>
      </c>
      <c r="AI762">
        <v>89.474962349626793</v>
      </c>
      <c r="AJ762">
        <v>70.856677978414893</v>
      </c>
      <c r="AK762">
        <v>90.950872766593506</v>
      </c>
      <c r="AL762">
        <v>89.692870056262805</v>
      </c>
      <c r="AM762">
        <v>83.040891405540506</v>
      </c>
      <c r="AN762">
        <v>0.99999998536546097</v>
      </c>
    </row>
    <row r="763" spans="1:40" x14ac:dyDescent="0.25">
      <c r="A763" t="str">
        <f>"20190312161239355"</f>
        <v>20190312161239355</v>
      </c>
      <c r="B763" t="str">
        <f>"1552378359346843"</f>
        <v>1552378359346843</v>
      </c>
      <c r="C763" t="s">
        <v>40</v>
      </c>
      <c r="D763">
        <v>5.3938680000000003</v>
      </c>
      <c r="E763">
        <v>0.58156560000000002</v>
      </c>
      <c r="F763" t="s">
        <v>45</v>
      </c>
      <c r="G763">
        <v>-168.4006</v>
      </c>
      <c r="H763">
        <v>1.6483759999999901</v>
      </c>
      <c r="I763">
        <v>338.7389</v>
      </c>
      <c r="J763">
        <v>-254.48859999999999</v>
      </c>
      <c r="K763">
        <v>1.1103069999999999</v>
      </c>
      <c r="L763">
        <v>367.79939999999999</v>
      </c>
      <c r="M763">
        <v>0.99984819999999996</v>
      </c>
      <c r="N763">
        <v>0</v>
      </c>
      <c r="O763">
        <v>1.0392E-2</v>
      </c>
      <c r="P763">
        <v>0.99376880000000001</v>
      </c>
      <c r="Q763">
        <v>-8.3982869999999904E-3</v>
      </c>
      <c r="R763">
        <v>-0.1111442</v>
      </c>
      <c r="S763">
        <v>2.9095149999999999</v>
      </c>
      <c r="T763">
        <v>1.815522E-2</v>
      </c>
      <c r="U763">
        <v>-0.98049929999999996</v>
      </c>
      <c r="V763">
        <v>0.121466</v>
      </c>
      <c r="W763">
        <v>5.5024979999999998E-3</v>
      </c>
      <c r="X763">
        <v>0.99258040000000003</v>
      </c>
      <c r="Y763">
        <v>0.32917669999999999</v>
      </c>
      <c r="Z763">
        <v>1.0625350000000001E-3</v>
      </c>
      <c r="AA763">
        <v>0.94426770000000004</v>
      </c>
      <c r="AB763">
        <v>27</v>
      </c>
      <c r="AC763">
        <v>86.087999999999994</v>
      </c>
      <c r="AD763">
        <v>0.53806899999999902</v>
      </c>
      <c r="AE763">
        <v>-29.060499999999902</v>
      </c>
      <c r="AF763">
        <v>29.952594061725801</v>
      </c>
      <c r="AG763">
        <v>0.53806899999999902</v>
      </c>
      <c r="AH763">
        <v>85.778316066380796</v>
      </c>
      <c r="AI763">
        <v>89.660691333648899</v>
      </c>
      <c r="AJ763">
        <v>70.751509172168895</v>
      </c>
      <c r="AK763">
        <v>90.859049722409196</v>
      </c>
      <c r="AL763">
        <v>89.684728515329198</v>
      </c>
      <c r="AM763">
        <v>83.023177110012895</v>
      </c>
      <c r="AN763">
        <v>1.00000005855219</v>
      </c>
    </row>
    <row r="764" spans="1:40" x14ac:dyDescent="0.25">
      <c r="A764" t="str">
        <f>"20190312161239368"</f>
        <v>20190312161239368</v>
      </c>
      <c r="B764" t="str">
        <f>"1552378359356604"</f>
        <v>1552378359356604</v>
      </c>
      <c r="C764" t="s">
        <v>40</v>
      </c>
      <c r="D764">
        <v>5.3633790000000001</v>
      </c>
      <c r="E764">
        <v>0.58159629999999995</v>
      </c>
      <c r="F764" t="s">
        <v>45</v>
      </c>
      <c r="G764">
        <v>-168.4007</v>
      </c>
      <c r="H764">
        <v>1.712909</v>
      </c>
      <c r="I764">
        <v>338.714</v>
      </c>
      <c r="J764">
        <v>-254.33340000000001</v>
      </c>
      <c r="K764">
        <v>1.110306</v>
      </c>
      <c r="L764">
        <v>367.80110000000002</v>
      </c>
      <c r="M764">
        <v>0.99984770000000001</v>
      </c>
      <c r="N764">
        <v>0</v>
      </c>
      <c r="O764">
        <v>1.04438E-2</v>
      </c>
      <c r="P764">
        <v>0.99378080000000002</v>
      </c>
      <c r="Q764">
        <v>-8.5766709999999993E-3</v>
      </c>
      <c r="R764">
        <v>-0.1110249</v>
      </c>
      <c r="S764">
        <v>2.9090729999999998</v>
      </c>
      <c r="T764">
        <v>2.036321E-2</v>
      </c>
      <c r="U764">
        <v>-0.98284910000000003</v>
      </c>
      <c r="V764">
        <v>0.12139800000000001</v>
      </c>
      <c r="W764">
        <v>5.3227329999999996E-3</v>
      </c>
      <c r="X764">
        <v>0.99258970000000002</v>
      </c>
      <c r="Y764">
        <v>0.32995219999999997</v>
      </c>
      <c r="Z764">
        <v>1.1947710000000001E-3</v>
      </c>
      <c r="AA764">
        <v>0.94399690000000003</v>
      </c>
      <c r="AB764">
        <v>27</v>
      </c>
      <c r="AC764">
        <v>85.932699999999997</v>
      </c>
      <c r="AD764">
        <v>0.602603</v>
      </c>
      <c r="AE764">
        <v>-29.0871</v>
      </c>
      <c r="AF764">
        <v>29.98174221351</v>
      </c>
      <c r="AG764">
        <v>0.602603</v>
      </c>
      <c r="AH764">
        <v>85.620425348468601</v>
      </c>
      <c r="AI764">
        <v>89.619413049040503</v>
      </c>
      <c r="AJ764">
        <v>70.701254355466304</v>
      </c>
      <c r="AK764">
        <v>90.720037661950201</v>
      </c>
      <c r="AL764">
        <v>89.695028441623805</v>
      </c>
      <c r="AM764">
        <v>83.027109153435404</v>
      </c>
      <c r="AN764">
        <v>1.00000005921833</v>
      </c>
    </row>
    <row r="765" spans="1:40" x14ac:dyDescent="0.25">
      <c r="A765" t="str">
        <f>"20190312161239387"</f>
        <v>20190312161239387</v>
      </c>
      <c r="B765" t="str">
        <f>"1552378359376123"</f>
        <v>1552378359376123</v>
      </c>
      <c r="C765" t="s">
        <v>40</v>
      </c>
      <c r="D765">
        <v>5.2838279999999997</v>
      </c>
      <c r="E765">
        <v>0.58219770000000004</v>
      </c>
      <c r="F765" t="s">
        <v>45</v>
      </c>
      <c r="G765">
        <v>-168.4006</v>
      </c>
      <c r="H765">
        <v>1.666463</v>
      </c>
      <c r="I765">
        <v>338.76949999999999</v>
      </c>
      <c r="J765">
        <v>-254.1071</v>
      </c>
      <c r="K765">
        <v>1.1103099999999999</v>
      </c>
      <c r="L765">
        <v>367.80360000000002</v>
      </c>
      <c r="M765">
        <v>0.99984689999999998</v>
      </c>
      <c r="N765">
        <v>0</v>
      </c>
      <c r="O765">
        <v>1.051844E-2</v>
      </c>
      <c r="P765">
        <v>0.99378929999999999</v>
      </c>
      <c r="Q765">
        <v>-9.0280940000000004E-3</v>
      </c>
      <c r="R765">
        <v>-0.1109116</v>
      </c>
      <c r="S765">
        <v>2.909119</v>
      </c>
      <c r="T765">
        <v>1.8828029999999999E-2</v>
      </c>
      <c r="U765">
        <v>-0.98281859999999999</v>
      </c>
      <c r="V765">
        <v>0.12135890000000001</v>
      </c>
      <c r="W765">
        <v>4.8687909999999999E-3</v>
      </c>
      <c r="X765">
        <v>0.9925967</v>
      </c>
      <c r="Y765">
        <v>0.33001029999999998</v>
      </c>
      <c r="Z765">
        <v>1.105338E-3</v>
      </c>
      <c r="AA765">
        <v>0.9439767</v>
      </c>
      <c r="AB765">
        <v>27</v>
      </c>
      <c r="AC765">
        <v>85.706500000000005</v>
      </c>
      <c r="AD765">
        <v>0.55615299999999901</v>
      </c>
      <c r="AE765">
        <v>-29.034099999999999</v>
      </c>
      <c r="AF765">
        <v>29.932949687048001</v>
      </c>
      <c r="AG765">
        <v>0.55615299999999901</v>
      </c>
      <c r="AH765">
        <v>85.393108918824296</v>
      </c>
      <c r="AI765">
        <v>89.647853422484104</v>
      </c>
      <c r="AJ765">
        <v>70.682843779944506</v>
      </c>
      <c r="AK765">
        <v>90.489081296855701</v>
      </c>
      <c r="AL765">
        <v>89.721037707797507</v>
      </c>
      <c r="AM765">
        <v>83.029381565637905</v>
      </c>
      <c r="AN765">
        <v>0.99999994829294903</v>
      </c>
    </row>
    <row r="766" spans="1:40" x14ac:dyDescent="0.25">
      <c r="A766" t="str">
        <f>"20190312161239411"</f>
        <v>20190312161239411</v>
      </c>
      <c r="B766" t="str">
        <f>"1552378359406379"</f>
        <v>1552378359406379</v>
      </c>
      <c r="C766" t="s">
        <v>40</v>
      </c>
      <c r="D766">
        <v>5.4982620000000004</v>
      </c>
      <c r="E766">
        <v>0.58278750000000001</v>
      </c>
      <c r="F766" t="s">
        <v>45</v>
      </c>
      <c r="G766">
        <v>-168.40049999999999</v>
      </c>
      <c r="H766">
        <v>1.3954770000000001</v>
      </c>
      <c r="I766">
        <v>338.71280000000002</v>
      </c>
      <c r="J766">
        <v>-253.839</v>
      </c>
      <c r="K766">
        <v>1.1103099999999999</v>
      </c>
      <c r="L766">
        <v>367.8064</v>
      </c>
      <c r="M766">
        <v>0.99984620000000002</v>
      </c>
      <c r="N766">
        <v>0</v>
      </c>
      <c r="O766">
        <v>1.060564E-2</v>
      </c>
      <c r="P766">
        <v>0.99380109999999999</v>
      </c>
      <c r="Q766">
        <v>-8.8750659999999992E-3</v>
      </c>
      <c r="R766">
        <v>-0.1108205</v>
      </c>
      <c r="S766">
        <v>2.9086910000000001</v>
      </c>
      <c r="T766">
        <v>9.6781249999999992E-3</v>
      </c>
      <c r="U766">
        <v>-0.98727419999999999</v>
      </c>
      <c r="V766">
        <v>0.1213545</v>
      </c>
      <c r="W766">
        <v>5.0185159999999998E-3</v>
      </c>
      <c r="X766">
        <v>0.99259660000000005</v>
      </c>
      <c r="Y766">
        <v>0.33143630000000002</v>
      </c>
      <c r="Z766">
        <v>5.7071159999999999E-4</v>
      </c>
      <c r="AA766">
        <v>0.94347749999999997</v>
      </c>
      <c r="AB766">
        <v>27</v>
      </c>
      <c r="AC766">
        <v>85.438500000000005</v>
      </c>
      <c r="AD766">
        <v>0.285166999999999</v>
      </c>
      <c r="AE766">
        <v>-29.093599999999899</v>
      </c>
      <c r="AF766">
        <v>29.997882336379501</v>
      </c>
      <c r="AG766">
        <v>0.285166999999999</v>
      </c>
      <c r="AH766">
        <v>85.124257767937607</v>
      </c>
      <c r="AI766">
        <v>89.818971094436606</v>
      </c>
      <c r="AJ766">
        <v>70.587486125491196</v>
      </c>
      <c r="AK766">
        <v>90.255711871479093</v>
      </c>
      <c r="AL766">
        <v>89.712459022682495</v>
      </c>
      <c r="AM766">
        <v>83.029631111449305</v>
      </c>
      <c r="AN766">
        <v>1.0000000552523201</v>
      </c>
    </row>
    <row r="767" spans="1:40" x14ac:dyDescent="0.25">
      <c r="A767" t="str">
        <f>"20190312161239424"</f>
        <v>20190312161239424</v>
      </c>
      <c r="B767" t="str">
        <f>"1552378359416141"</f>
        <v>1552378359416141</v>
      </c>
      <c r="C767" t="s">
        <v>40</v>
      </c>
      <c r="D767">
        <v>5.41038</v>
      </c>
      <c r="E767">
        <v>0.58288960000000001</v>
      </c>
      <c r="F767" t="s">
        <v>45</v>
      </c>
      <c r="G767">
        <v>-168.4006</v>
      </c>
      <c r="H767">
        <v>1.4361469999999901</v>
      </c>
      <c r="I767">
        <v>338.67869999999999</v>
      </c>
      <c r="J767">
        <v>-253.6678</v>
      </c>
      <c r="K767">
        <v>1.110314</v>
      </c>
      <c r="L767">
        <v>367.80829999999997</v>
      </c>
      <c r="M767">
        <v>0.9998454</v>
      </c>
      <c r="N767">
        <v>0</v>
      </c>
      <c r="O767">
        <v>1.0661489999999999E-2</v>
      </c>
      <c r="P767">
        <v>0.99381419999999998</v>
      </c>
      <c r="Q767">
        <v>-9.1374720000000006E-3</v>
      </c>
      <c r="R767">
        <v>-0.11067970000000001</v>
      </c>
      <c r="S767">
        <v>2.908264</v>
      </c>
      <c r="T767">
        <v>1.1091470000000001E-2</v>
      </c>
      <c r="U767">
        <v>-0.99148559999999997</v>
      </c>
      <c r="V767">
        <v>0.1212694</v>
      </c>
      <c r="W767">
        <v>4.7543510000000004E-3</v>
      </c>
      <c r="X767">
        <v>0.99260820000000005</v>
      </c>
      <c r="Y767">
        <v>0.33275490000000002</v>
      </c>
      <c r="Z767">
        <v>6.5665039999999997E-4</v>
      </c>
      <c r="AA767">
        <v>0.94301310000000005</v>
      </c>
      <c r="AB767">
        <v>26</v>
      </c>
      <c r="AC767">
        <v>85.267200000000003</v>
      </c>
      <c r="AD767">
        <v>0.32583299999999898</v>
      </c>
      <c r="AE767">
        <v>-29.1295999999999</v>
      </c>
      <c r="AF767">
        <v>30.0367155957912</v>
      </c>
      <c r="AG767">
        <v>0.32583299999999898</v>
      </c>
      <c r="AH767">
        <v>84.950646719695598</v>
      </c>
      <c r="AI767">
        <v>89.792809690446703</v>
      </c>
      <c r="AJ767">
        <v>70.527504547995406</v>
      </c>
      <c r="AK767">
        <v>90.105065501451506</v>
      </c>
      <c r="AL767">
        <v>89.727594714867905</v>
      </c>
      <c r="AM767">
        <v>83.034551657762194</v>
      </c>
      <c r="AN767">
        <v>0.99999995496851402</v>
      </c>
    </row>
    <row r="768" spans="1:40" x14ac:dyDescent="0.25">
      <c r="A768" t="str">
        <f>"20190312161239444"</f>
        <v>20190312161239444</v>
      </c>
      <c r="B768" t="str">
        <f>"1552378359436635"</f>
        <v>1552378359436635</v>
      </c>
      <c r="C768" t="s">
        <v>40</v>
      </c>
      <c r="D768">
        <v>5.3237550000000002</v>
      </c>
      <c r="E768">
        <v>0.58333250000000003</v>
      </c>
      <c r="F768" t="s">
        <v>45</v>
      </c>
      <c r="G768">
        <v>-168.4006</v>
      </c>
      <c r="H768">
        <v>1.503047</v>
      </c>
      <c r="I768">
        <v>338.72710000000001</v>
      </c>
      <c r="J768">
        <v>-253.441</v>
      </c>
      <c r="K768">
        <v>1.1103099999999999</v>
      </c>
      <c r="L768">
        <v>367.81079999999997</v>
      </c>
      <c r="M768">
        <v>0.99984470000000003</v>
      </c>
      <c r="N768">
        <v>0</v>
      </c>
      <c r="O768">
        <v>1.0735099999999999E-2</v>
      </c>
      <c r="P768">
        <v>0.99380219999999997</v>
      </c>
      <c r="Q768">
        <v>-9.4633340000000003E-3</v>
      </c>
      <c r="R768">
        <v>-0.1107602</v>
      </c>
      <c r="S768">
        <v>2.908325</v>
      </c>
      <c r="T768">
        <v>1.339567E-2</v>
      </c>
      <c r="U768">
        <v>-0.99191280000000004</v>
      </c>
      <c r="V768">
        <v>0.1214229</v>
      </c>
      <c r="W768">
        <v>4.4258129999999998E-3</v>
      </c>
      <c r="X768">
        <v>0.992591</v>
      </c>
      <c r="Y768">
        <v>0.33294119999999999</v>
      </c>
      <c r="Z768">
        <v>7.9377829999999997E-4</v>
      </c>
      <c r="AA768">
        <v>0.94294730000000004</v>
      </c>
      <c r="AB768">
        <v>26</v>
      </c>
      <c r="AC768">
        <v>85.040399999999906</v>
      </c>
      <c r="AD768">
        <v>0.392736999999999</v>
      </c>
      <c r="AE768">
        <v>-29.083699999999901</v>
      </c>
      <c r="AF768">
        <v>29.994457422752699</v>
      </c>
      <c r="AG768">
        <v>0.392736999999999</v>
      </c>
      <c r="AH768">
        <v>84.721634107810701</v>
      </c>
      <c r="AI768">
        <v>89.749628276178299</v>
      </c>
      <c r="AJ768">
        <v>70.504234666124802</v>
      </c>
      <c r="AK768">
        <v>89.875341469917402</v>
      </c>
      <c r="AL768">
        <v>89.746418766551997</v>
      </c>
      <c r="AM768">
        <v>83.0257020691826</v>
      </c>
      <c r="AN768">
        <v>1.0000000008730601</v>
      </c>
    </row>
    <row r="769" spans="1:40" x14ac:dyDescent="0.25">
      <c r="A769" t="str">
        <f>"20190312161239455"</f>
        <v>20190312161239455</v>
      </c>
      <c r="B769" t="str">
        <f>"1552378359446396"</f>
        <v>1552378359446396</v>
      </c>
      <c r="C769" t="s">
        <v>40</v>
      </c>
      <c r="D769">
        <v>5.3320169999999996</v>
      </c>
      <c r="E769">
        <v>0.58355249999999903</v>
      </c>
      <c r="F769" t="s">
        <v>45</v>
      </c>
      <c r="G769">
        <v>-168.40049999999999</v>
      </c>
      <c r="H769">
        <v>1.34884</v>
      </c>
      <c r="I769">
        <v>338.6968</v>
      </c>
      <c r="J769">
        <v>-253.30269999999999</v>
      </c>
      <c r="K769">
        <v>1.110304</v>
      </c>
      <c r="L769">
        <v>367.81240000000003</v>
      </c>
      <c r="M769">
        <v>0.99984439999999997</v>
      </c>
      <c r="N769">
        <v>0</v>
      </c>
      <c r="O769">
        <v>1.0779510000000001E-2</v>
      </c>
      <c r="P769">
        <v>0.99380760000000001</v>
      </c>
      <c r="Q769">
        <v>-9.8256019999999993E-3</v>
      </c>
      <c r="R769">
        <v>-0.1106818</v>
      </c>
      <c r="S769">
        <v>2.9078520000000001</v>
      </c>
      <c r="T769">
        <v>8.1564189999999998E-3</v>
      </c>
      <c r="U769">
        <v>-0.99551389999999995</v>
      </c>
      <c r="V769">
        <v>0.1213886</v>
      </c>
      <c r="W769">
        <v>4.0619899999999997E-3</v>
      </c>
      <c r="X769">
        <v>0.9925967</v>
      </c>
      <c r="Y769">
        <v>0.33407750000000003</v>
      </c>
      <c r="Z769">
        <v>4.849721E-4</v>
      </c>
      <c r="AA769">
        <v>0.94254550000000004</v>
      </c>
      <c r="AB769">
        <v>26</v>
      </c>
      <c r="AC769">
        <v>84.902199999999993</v>
      </c>
      <c r="AD769">
        <v>0.238535999999999</v>
      </c>
      <c r="AE769">
        <v>-29.115600000000001</v>
      </c>
      <c r="AF769">
        <v>30.028989293698501</v>
      </c>
      <c r="AG769">
        <v>0.238535999999999</v>
      </c>
      <c r="AH769">
        <v>84.582786266225298</v>
      </c>
      <c r="AI769">
        <v>89.847729372022798</v>
      </c>
      <c r="AJ769">
        <v>70.453874265741504</v>
      </c>
      <c r="AK769">
        <v>89.755472423592707</v>
      </c>
      <c r="AL769">
        <v>89.767264465018101</v>
      </c>
      <c r="AM769">
        <v>83.027692444941593</v>
      </c>
      <c r="AN769">
        <v>0.99999995041180301</v>
      </c>
    </row>
    <row r="770" spans="1:40" x14ac:dyDescent="0.25">
      <c r="A770" t="str">
        <f>"20190312161239468"</f>
        <v>20190312161239468</v>
      </c>
      <c r="B770" t="str">
        <f>"1552378359456663"</f>
        <v>1552378359456663</v>
      </c>
      <c r="C770" t="s">
        <v>40</v>
      </c>
      <c r="D770">
        <v>5.5159399999999996</v>
      </c>
      <c r="E770">
        <v>0.58369659999999901</v>
      </c>
      <c r="F770" t="s">
        <v>45</v>
      </c>
      <c r="G770">
        <v>-168.40049999999999</v>
      </c>
      <c r="H770">
        <v>1.24336</v>
      </c>
      <c r="I770">
        <v>338.70800000000003</v>
      </c>
      <c r="J770">
        <v>-253.15190000000001</v>
      </c>
      <c r="K770">
        <v>1.1103019999999999</v>
      </c>
      <c r="L770">
        <v>367.8141</v>
      </c>
      <c r="M770">
        <v>0.9998437</v>
      </c>
      <c r="N770">
        <v>0</v>
      </c>
      <c r="O770">
        <v>1.082815E-2</v>
      </c>
      <c r="P770">
        <v>0.99383180000000004</v>
      </c>
      <c r="Q770">
        <v>-9.7863299999999993E-3</v>
      </c>
      <c r="R770">
        <v>-0.11046549999999999</v>
      </c>
      <c r="S770">
        <v>2.9077299999999999</v>
      </c>
      <c r="T770">
        <v>4.5571329999999997E-3</v>
      </c>
      <c r="U770">
        <v>-0.99676509999999996</v>
      </c>
      <c r="V770">
        <v>0.12122089999999899</v>
      </c>
      <c r="W770">
        <v>4.0996599999999998E-3</v>
      </c>
      <c r="X770">
        <v>0.99261710000000003</v>
      </c>
      <c r="Y770">
        <v>0.3344992</v>
      </c>
      <c r="Z770">
        <v>2.7135050000000002E-4</v>
      </c>
      <c r="AA770">
        <v>0.94239600000000001</v>
      </c>
      <c r="AB770">
        <v>26</v>
      </c>
      <c r="AC770">
        <v>84.751400000000004</v>
      </c>
      <c r="AD770">
        <v>0.13305799999999901</v>
      </c>
      <c r="AE770">
        <v>-29.106099999999898</v>
      </c>
      <c r="AF770">
        <v>30.022117606651101</v>
      </c>
      <c r="AG770">
        <v>0.13305799999999901</v>
      </c>
      <c r="AH770">
        <v>84.431048227750793</v>
      </c>
      <c r="AI770">
        <v>89.914923926131394</v>
      </c>
      <c r="AJ770">
        <v>70.425555210221901</v>
      </c>
      <c r="AK770">
        <v>89.6099724074042</v>
      </c>
      <c r="AL770">
        <v>89.765106129041897</v>
      </c>
      <c r="AM770">
        <v>83.037371857272703</v>
      </c>
      <c r="AN770">
        <v>1.0000000105106599</v>
      </c>
    </row>
    <row r="771" spans="1:40" x14ac:dyDescent="0.25">
      <c r="A771" t="str">
        <f>"20190312161239486"</f>
        <v>20190312161239486</v>
      </c>
      <c r="B771" t="str">
        <f>"1552378359476183"</f>
        <v>1552378359476183</v>
      </c>
      <c r="C771" t="s">
        <v>40</v>
      </c>
      <c r="D771">
        <v>5.6362480000000001</v>
      </c>
      <c r="E771">
        <v>0.58384139999999995</v>
      </c>
      <c r="F771" t="s">
        <v>45</v>
      </c>
      <c r="G771">
        <v>-168.40049999999999</v>
      </c>
      <c r="H771">
        <v>1.33772</v>
      </c>
      <c r="I771">
        <v>338.73669999999998</v>
      </c>
      <c r="J771">
        <v>-252.9272</v>
      </c>
      <c r="K771">
        <v>1.110306</v>
      </c>
      <c r="L771">
        <v>367.81659999999999</v>
      </c>
      <c r="M771">
        <v>0.99984309999999998</v>
      </c>
      <c r="N771">
        <v>0</v>
      </c>
      <c r="O771">
        <v>1.089992E-2</v>
      </c>
      <c r="P771">
        <v>0.99387300000000001</v>
      </c>
      <c r="Q771">
        <v>-1.0011610000000001E-2</v>
      </c>
      <c r="R771">
        <v>-0.11007459999999999</v>
      </c>
      <c r="S771">
        <v>2.9078369999999998</v>
      </c>
      <c r="T771">
        <v>7.8029629999999996E-3</v>
      </c>
      <c r="U771">
        <v>-0.99765009999999998</v>
      </c>
      <c r="V771">
        <v>0.1209017</v>
      </c>
      <c r="W771">
        <v>3.8726870000000001E-3</v>
      </c>
      <c r="X771">
        <v>0.99265689999999995</v>
      </c>
      <c r="Y771">
        <v>0.3348122</v>
      </c>
      <c r="Z771">
        <v>4.6517740000000002E-4</v>
      </c>
      <c r="AA771">
        <v>0.94228480000000003</v>
      </c>
      <c r="AB771">
        <v>26</v>
      </c>
      <c r="AC771">
        <v>84.526700000000005</v>
      </c>
      <c r="AD771">
        <v>0.22741399999999901</v>
      </c>
      <c r="AE771">
        <v>-29.079899999999999</v>
      </c>
      <c r="AF771">
        <v>29.9994020733706</v>
      </c>
      <c r="AG771">
        <v>0.22741399999999901</v>
      </c>
      <c r="AH771">
        <v>84.204133146120796</v>
      </c>
      <c r="AI771">
        <v>89.854233627780303</v>
      </c>
      <c r="AJ771">
        <v>70.390544555419694</v>
      </c>
      <c r="AK771">
        <v>89.388768202592402</v>
      </c>
      <c r="AL771">
        <v>89.778110818214898</v>
      </c>
      <c r="AM771">
        <v>83.055802368134806</v>
      </c>
      <c r="AN771">
        <v>0.99999996994254903</v>
      </c>
    </row>
    <row r="772" spans="1:40" x14ac:dyDescent="0.25">
      <c r="A772" t="str">
        <f>"20190312161239501"</f>
        <v>20190312161239501</v>
      </c>
      <c r="B772" t="str">
        <f>"1552378359496679"</f>
        <v>1552378359496679</v>
      </c>
      <c r="C772" t="s">
        <v>40</v>
      </c>
      <c r="D772">
        <v>5.5218129999999999</v>
      </c>
      <c r="E772">
        <v>0.52156499999999995</v>
      </c>
      <c r="F772" t="s">
        <v>45</v>
      </c>
      <c r="G772">
        <v>-168.40049999999999</v>
      </c>
      <c r="H772">
        <v>1.2061649999999999</v>
      </c>
      <c r="I772">
        <v>338.8329</v>
      </c>
      <c r="J772">
        <v>-252.76509999999999</v>
      </c>
      <c r="K772">
        <v>1.110304</v>
      </c>
      <c r="L772">
        <v>367.8184</v>
      </c>
      <c r="M772">
        <v>0.99984249999999997</v>
      </c>
      <c r="N772">
        <v>0</v>
      </c>
      <c r="O772">
        <v>1.0951550000000001E-2</v>
      </c>
      <c r="P772">
        <v>0.99393200000000004</v>
      </c>
      <c r="Q772">
        <v>-9.8774080000000007E-3</v>
      </c>
      <c r="R772">
        <v>-0.1095537</v>
      </c>
      <c r="S772">
        <v>2.9080810000000001</v>
      </c>
      <c r="T772">
        <v>3.2981629999999998E-3</v>
      </c>
      <c r="U772">
        <v>-0.99716190000000005</v>
      </c>
      <c r="V772">
        <v>0.1204327</v>
      </c>
      <c r="W772">
        <v>4.006201E-3</v>
      </c>
      <c r="X772">
        <v>0.99271339999999997</v>
      </c>
      <c r="Y772">
        <v>0.33469589999999999</v>
      </c>
      <c r="Z772">
        <v>1.9660430000000001E-4</v>
      </c>
      <c r="AA772">
        <v>0.9423262</v>
      </c>
      <c r="AB772">
        <v>26</v>
      </c>
      <c r="AC772">
        <v>84.364599999999996</v>
      </c>
      <c r="AD772">
        <v>9.5860999999999696E-2</v>
      </c>
      <c r="AE772">
        <v>-28.985499999999998</v>
      </c>
      <c r="AF772">
        <v>29.9077401112405</v>
      </c>
      <c r="AG772">
        <v>9.5860999999999696E-2</v>
      </c>
      <c r="AH772">
        <v>84.0419755016365</v>
      </c>
      <c r="AI772">
        <v>89.9384291184343</v>
      </c>
      <c r="AJ772">
        <v>70.411049465949702</v>
      </c>
      <c r="AK772">
        <v>89.205020901911695</v>
      </c>
      <c r="AL772">
        <v>89.770460974450202</v>
      </c>
      <c r="AM772">
        <v>83.082868573639402</v>
      </c>
      <c r="AN772">
        <v>0.99999998970765103</v>
      </c>
    </row>
    <row r="773" spans="1:40" x14ac:dyDescent="0.25">
      <c r="A773" t="str">
        <f>"20190312161239515"</f>
        <v>20190312161239515</v>
      </c>
      <c r="B773" t="str">
        <f>"1552378359506438"</f>
        <v>1552378359506438</v>
      </c>
      <c r="C773" t="s">
        <v>40</v>
      </c>
      <c r="D773">
        <v>5.5870150000000001</v>
      </c>
      <c r="E773">
        <v>0.51632920000000004</v>
      </c>
      <c r="F773" t="s">
        <v>53</v>
      </c>
      <c r="G773">
        <v>-203.87119999999999</v>
      </c>
      <c r="H773">
        <v>3.7590390000000001E-2</v>
      </c>
      <c r="I773">
        <v>359.59930000000003</v>
      </c>
      <c r="J773">
        <v>-252.60830000000001</v>
      </c>
      <c r="K773">
        <v>1.110304</v>
      </c>
      <c r="L773">
        <v>367.8202</v>
      </c>
      <c r="M773">
        <v>0.9998418</v>
      </c>
      <c r="N773">
        <v>0</v>
      </c>
      <c r="O773">
        <v>1.100168E-2</v>
      </c>
      <c r="P773">
        <v>0.99398260000000005</v>
      </c>
      <c r="Q773">
        <v>-9.9082089999999994E-3</v>
      </c>
      <c r="R773">
        <v>-0.1090904</v>
      </c>
      <c r="S773">
        <v>2.9627840000000001</v>
      </c>
      <c r="T773">
        <v>-6.5002320000000002E-2</v>
      </c>
      <c r="U773">
        <v>-0.49804690000000001</v>
      </c>
      <c r="V773">
        <v>0.1200198</v>
      </c>
      <c r="W773">
        <v>3.973776E-3</v>
      </c>
      <c r="X773">
        <v>0.99276350000000002</v>
      </c>
      <c r="Y773">
        <v>0.1765717</v>
      </c>
      <c r="Z773">
        <v>-2.1629739999999998E-3</v>
      </c>
      <c r="AA773">
        <v>0.98428539999999998</v>
      </c>
      <c r="AB773">
        <v>26</v>
      </c>
      <c r="AC773">
        <v>48.737099999999998</v>
      </c>
      <c r="AD773">
        <v>-1.0727136100000001</v>
      </c>
      <c r="AE773">
        <v>-8.2208999999999701</v>
      </c>
      <c r="AF773">
        <v>8.7525218795713808</v>
      </c>
      <c r="AG773">
        <v>-1.0727136100000001</v>
      </c>
      <c r="AH773">
        <v>48.620794626267603</v>
      </c>
      <c r="AI773">
        <v>91.243915611932394</v>
      </c>
      <c r="AJ773">
        <v>79.795137274841196</v>
      </c>
      <c r="AK773">
        <v>49.413955759796799</v>
      </c>
      <c r="AL773">
        <v>89.772318797031204</v>
      </c>
      <c r="AM773">
        <v>83.106699704490197</v>
      </c>
      <c r="AN773">
        <v>0.99999995510999296</v>
      </c>
    </row>
    <row r="774" spans="1:40" x14ac:dyDescent="0.25">
      <c r="A774" t="str">
        <f>"20190312161239527"</f>
        <v>20190312161239527</v>
      </c>
      <c r="B774" t="str">
        <f>"1552378359516198"</f>
        <v>1552378359516198</v>
      </c>
      <c r="C774" t="s">
        <v>40</v>
      </c>
      <c r="D774">
        <v>5.5136339999999997</v>
      </c>
      <c r="E774">
        <v>0.51363400000000003</v>
      </c>
      <c r="F774" t="s">
        <v>42</v>
      </c>
      <c r="G774">
        <v>-213.91640000000001</v>
      </c>
      <c r="H774" s="1">
        <v>-4.1094419999999999E-6</v>
      </c>
      <c r="I774">
        <v>361.90010000000001</v>
      </c>
      <c r="J774">
        <v>-252.4522</v>
      </c>
      <c r="K774">
        <v>1.110304</v>
      </c>
      <c r="L774">
        <v>367.822</v>
      </c>
      <c r="M774">
        <v>0.99984150000000005</v>
      </c>
      <c r="N774">
        <v>0</v>
      </c>
      <c r="O774">
        <v>1.105151E-2</v>
      </c>
      <c r="P774">
        <v>0.99401689999999998</v>
      </c>
      <c r="Q774">
        <v>-9.8448279999999999E-3</v>
      </c>
      <c r="R774">
        <v>-0.10878119999999999</v>
      </c>
      <c r="S774">
        <v>2.9674839999999998</v>
      </c>
      <c r="T774">
        <v>-8.5155250000000002E-2</v>
      </c>
      <c r="U774">
        <v>-0.45404050000000001</v>
      </c>
      <c r="V774">
        <v>0.11976059999999999</v>
      </c>
      <c r="W774">
        <v>4.0362419999999998E-3</v>
      </c>
      <c r="X774">
        <v>0.99279459999999997</v>
      </c>
      <c r="Y774">
        <v>0.1620916</v>
      </c>
      <c r="Z774">
        <v>-2.6271070000000001E-3</v>
      </c>
      <c r="AA774">
        <v>0.98677219999999999</v>
      </c>
      <c r="AB774">
        <v>26</v>
      </c>
      <c r="AC774">
        <v>38.535800000000002</v>
      </c>
      <c r="AD774">
        <v>-1.110308109442</v>
      </c>
      <c r="AE774">
        <v>-5.9218999999999298</v>
      </c>
      <c r="AF774">
        <v>6.3423149292482002</v>
      </c>
      <c r="AG774">
        <v>-1.110308109442</v>
      </c>
      <c r="AH774">
        <v>38.436821545499399</v>
      </c>
      <c r="AI774">
        <v>91.632555290236496</v>
      </c>
      <c r="AJ774">
        <v>80.630267538107304</v>
      </c>
      <c r="AK774">
        <v>38.972387574797402</v>
      </c>
      <c r="AL774">
        <v>89.768739741580703</v>
      </c>
      <c r="AM774">
        <v>83.1216574046327</v>
      </c>
      <c r="AN774">
        <v>1.0000000051755</v>
      </c>
    </row>
    <row r="775" spans="1:40" x14ac:dyDescent="0.25">
      <c r="A775" t="str">
        <f>"20190312161239548"</f>
        <v>20190312161239548</v>
      </c>
      <c r="B775" t="str">
        <f>"1552378359536695"</f>
        <v>1552378359536695</v>
      </c>
      <c r="C775" t="s">
        <v>40</v>
      </c>
      <c r="D775">
        <v>5.4755529999999997</v>
      </c>
      <c r="E775">
        <v>0.51127049999999996</v>
      </c>
      <c r="F775" t="s">
        <v>42</v>
      </c>
      <c r="G775">
        <v>-223.6806</v>
      </c>
      <c r="H775" s="1">
        <v>-3.7510780000000002E-6</v>
      </c>
      <c r="I775">
        <v>363.65320000000003</v>
      </c>
      <c r="J775">
        <v>-252.21549999999999</v>
      </c>
      <c r="K775">
        <v>1.110303</v>
      </c>
      <c r="L775">
        <v>367.82459999999998</v>
      </c>
      <c r="M775">
        <v>0.99984059999999997</v>
      </c>
      <c r="N775">
        <v>0</v>
      </c>
      <c r="O775">
        <v>1.112693E-2</v>
      </c>
      <c r="P775">
        <v>0.99405860000000001</v>
      </c>
      <c r="Q775">
        <v>-9.7655169999999996E-3</v>
      </c>
      <c r="R775">
        <v>-0.1084093</v>
      </c>
      <c r="S775">
        <v>2.9698180000000001</v>
      </c>
      <c r="T775">
        <v>-0.1146061</v>
      </c>
      <c r="U775">
        <v>-0.43029790000000001</v>
      </c>
      <c r="V775">
        <v>0.119463899999999</v>
      </c>
      <c r="W775">
        <v>4.1134880000000002E-3</v>
      </c>
      <c r="X775">
        <v>0.99282999999999999</v>
      </c>
      <c r="Y775">
        <v>0.15427650000000001</v>
      </c>
      <c r="Z775">
        <v>-3.3873660000000002E-3</v>
      </c>
      <c r="AA775">
        <v>0.98802190000000001</v>
      </c>
      <c r="AB775">
        <v>26</v>
      </c>
      <c r="AC775">
        <v>28.5349</v>
      </c>
      <c r="AD775">
        <v>-1.110306751078</v>
      </c>
      <c r="AE775">
        <v>-4.1713999999999398</v>
      </c>
      <c r="AF775">
        <v>4.4820345722733403</v>
      </c>
      <c r="AG775">
        <v>-1.110306751078</v>
      </c>
      <c r="AH775">
        <v>28.444549061540101</v>
      </c>
      <c r="AI775">
        <v>92.20813616449</v>
      </c>
      <c r="AJ775">
        <v>81.045474741083794</v>
      </c>
      <c r="AK775">
        <v>28.816901053078301</v>
      </c>
      <c r="AL775">
        <v>89.764313828324902</v>
      </c>
      <c r="AM775">
        <v>83.138777764852193</v>
      </c>
      <c r="AN775">
        <v>0.99999997654336703</v>
      </c>
    </row>
    <row r="776" spans="1:40" x14ac:dyDescent="0.25">
      <c r="A776" t="str">
        <f>"20190312161239562"</f>
        <v>20190312161239562</v>
      </c>
      <c r="B776" t="str">
        <f>"1552378359556722"</f>
        <v>1552378359556722</v>
      </c>
      <c r="C776" t="s">
        <v>40</v>
      </c>
      <c r="D776">
        <v>5.5128120000000003</v>
      </c>
      <c r="E776">
        <v>0.51029760000000002</v>
      </c>
      <c r="F776" t="s">
        <v>42</v>
      </c>
      <c r="G776">
        <v>-226.57419999999999</v>
      </c>
      <c r="H776" s="1">
        <v>-2.568422E-6</v>
      </c>
      <c r="I776">
        <v>364.29250000000002</v>
      </c>
      <c r="J776">
        <v>-252.0558</v>
      </c>
      <c r="K776">
        <v>1.110309</v>
      </c>
      <c r="L776">
        <v>367.82650000000001</v>
      </c>
      <c r="M776">
        <v>0.99984010000000001</v>
      </c>
      <c r="N776">
        <v>0</v>
      </c>
      <c r="O776">
        <v>1.1177599999999999E-2</v>
      </c>
      <c r="P776">
        <v>0.99406159999999999</v>
      </c>
      <c r="Q776">
        <v>-9.8742169999999994E-3</v>
      </c>
      <c r="R776">
        <v>-0.10836989999999901</v>
      </c>
      <c r="S776">
        <v>2.9720149999999999</v>
      </c>
      <c r="T776">
        <v>-0.128692</v>
      </c>
      <c r="U776">
        <v>-0.40939330000000002</v>
      </c>
      <c r="V776">
        <v>0.119475</v>
      </c>
      <c r="W776">
        <v>4.0033389999999999E-3</v>
      </c>
      <c r="X776">
        <v>0.99282910000000002</v>
      </c>
      <c r="Y776">
        <v>0.1473805</v>
      </c>
      <c r="Z776">
        <v>-3.65606E-3</v>
      </c>
      <c r="AA776">
        <v>0.98907310000000004</v>
      </c>
      <c r="AB776">
        <v>26</v>
      </c>
      <c r="AC776">
        <v>25.4816</v>
      </c>
      <c r="AD776">
        <v>-1.110311568422</v>
      </c>
      <c r="AE776">
        <v>-3.53399999999999</v>
      </c>
      <c r="AF776">
        <v>3.81153001336533</v>
      </c>
      <c r="AG776">
        <v>-1.110311568422</v>
      </c>
      <c r="AH776">
        <v>25.3932003134402</v>
      </c>
      <c r="AI776">
        <v>92.475948165743802</v>
      </c>
      <c r="AJ776">
        <v>81.463607480590298</v>
      </c>
      <c r="AK776">
        <v>25.701657047362801</v>
      </c>
      <c r="AL776">
        <v>89.770624949950104</v>
      </c>
      <c r="AM776">
        <v>83.138140170856602</v>
      </c>
      <c r="AN776">
        <v>0.99999996207747799</v>
      </c>
    </row>
    <row r="777" spans="1:40" x14ac:dyDescent="0.25">
      <c r="A777" t="str">
        <f>"20190312161239577"</f>
        <v>20190312161239577</v>
      </c>
      <c r="B777" t="str">
        <f>"1552378359566482"</f>
        <v>1552378359566482</v>
      </c>
      <c r="C777" t="s">
        <v>40</v>
      </c>
      <c r="D777">
        <v>5.602195</v>
      </c>
      <c r="E777">
        <v>0.51041139999999996</v>
      </c>
      <c r="F777" t="s">
        <v>42</v>
      </c>
      <c r="G777">
        <v>-226.81309999999999</v>
      </c>
      <c r="H777" s="1">
        <v>-2.453757E-6</v>
      </c>
      <c r="I777">
        <v>364.41789999999997</v>
      </c>
      <c r="J777">
        <v>-251.87889999999999</v>
      </c>
      <c r="K777">
        <v>1.1103130000000001</v>
      </c>
      <c r="L777">
        <v>367.82850000000002</v>
      </c>
      <c r="M777">
        <v>0.99983949999999999</v>
      </c>
      <c r="N777">
        <v>0</v>
      </c>
      <c r="O777">
        <v>1.1233760000000001E-2</v>
      </c>
      <c r="P777">
        <v>0.99401660000000003</v>
      </c>
      <c r="Q777">
        <v>-9.2433559999999994E-3</v>
      </c>
      <c r="R777">
        <v>-0.1088373</v>
      </c>
      <c r="S777">
        <v>2.972855</v>
      </c>
      <c r="T777">
        <v>-0.13076209999999999</v>
      </c>
      <c r="U777">
        <v>-0.40142820000000001</v>
      </c>
      <c r="V777">
        <v>0.1199976</v>
      </c>
      <c r="W777">
        <v>4.6313279999999997E-3</v>
      </c>
      <c r="X777">
        <v>0.99276339999999996</v>
      </c>
      <c r="Y777">
        <v>0.144793899999999</v>
      </c>
      <c r="Z777">
        <v>-3.6602990000000001E-3</v>
      </c>
      <c r="AA777">
        <v>0.98945499999999997</v>
      </c>
      <c r="AB777">
        <v>26</v>
      </c>
      <c r="AC777">
        <v>25.065799999999999</v>
      </c>
      <c r="AD777">
        <v>-1.1103154537569999</v>
      </c>
      <c r="AE777">
        <v>-3.41060000000004</v>
      </c>
      <c r="AF777">
        <v>3.6848965060272101</v>
      </c>
      <c r="AG777">
        <v>-1.1103154537569999</v>
      </c>
      <c r="AH777">
        <v>24.9777814374035</v>
      </c>
      <c r="AI777">
        <v>92.518025283422404</v>
      </c>
      <c r="AJ777">
        <v>81.607860419492098</v>
      </c>
      <c r="AK777">
        <v>25.272531100024</v>
      </c>
      <c r="AL777">
        <v>89.734643508956793</v>
      </c>
      <c r="AM777">
        <v>83.107961802079302</v>
      </c>
      <c r="AN777">
        <v>1.00000002079218</v>
      </c>
    </row>
    <row r="778" spans="1:40" x14ac:dyDescent="0.25">
      <c r="A778" t="str">
        <f>"20190312161239600"</f>
        <v>20190312161239600</v>
      </c>
      <c r="B778" t="str">
        <f>"1552378359586001"</f>
        <v>1552378359586001</v>
      </c>
      <c r="C778" t="s">
        <v>40</v>
      </c>
      <c r="D778">
        <v>5.4072199999999997</v>
      </c>
      <c r="E778">
        <v>0.50973170000000001</v>
      </c>
      <c r="F778" t="s">
        <v>42</v>
      </c>
      <c r="G778">
        <v>-225.02680000000001</v>
      </c>
      <c r="H778" s="1">
        <v>-3.1258920000000002E-6</v>
      </c>
      <c r="I778">
        <v>364.17649999999998</v>
      </c>
      <c r="J778">
        <v>-251.61330000000001</v>
      </c>
      <c r="K778">
        <v>1.1103160000000001</v>
      </c>
      <c r="L778">
        <v>367.83159999999998</v>
      </c>
      <c r="M778">
        <v>0.99983860000000002</v>
      </c>
      <c r="N778">
        <v>0</v>
      </c>
      <c r="O778">
        <v>1.1318770000000001E-2</v>
      </c>
      <c r="P778">
        <v>0.99401859999999997</v>
      </c>
      <c r="Q778">
        <v>-8.2236700000000006E-3</v>
      </c>
      <c r="R778">
        <v>-0.1089015</v>
      </c>
      <c r="S778">
        <v>2.9726720000000002</v>
      </c>
      <c r="T778">
        <v>-0.122917899999999</v>
      </c>
      <c r="U778">
        <v>-0.40429690000000001</v>
      </c>
      <c r="V778">
        <v>0.120146</v>
      </c>
      <c r="W778">
        <v>5.6479319999999996E-3</v>
      </c>
      <c r="X778">
        <v>0.99274019999999996</v>
      </c>
      <c r="Y778">
        <v>0.14584</v>
      </c>
      <c r="Z778">
        <v>-3.4659209999999998E-3</v>
      </c>
      <c r="AA778">
        <v>0.98930209999999996</v>
      </c>
      <c r="AB778">
        <v>26</v>
      </c>
      <c r="AC778">
        <v>26.586500000000001</v>
      </c>
      <c r="AD778">
        <v>-1.110319125892</v>
      </c>
      <c r="AE778">
        <v>-3.6551</v>
      </c>
      <c r="AF778">
        <v>3.9490617589142998</v>
      </c>
      <c r="AG778">
        <v>-1.110319125892</v>
      </c>
      <c r="AH778">
        <v>26.4980631129946</v>
      </c>
      <c r="AI778">
        <v>92.373218223755003</v>
      </c>
      <c r="AJ778">
        <v>81.523478837225397</v>
      </c>
      <c r="AK778">
        <v>26.813713768840099</v>
      </c>
      <c r="AL778">
        <v>89.676395623498607</v>
      </c>
      <c r="AM778">
        <v>83.099360901737398</v>
      </c>
      <c r="AN778">
        <v>1.00000003257395</v>
      </c>
    </row>
    <row r="779" spans="1:40" x14ac:dyDescent="0.25">
      <c r="A779" t="str">
        <f>"20190312161239623"</f>
        <v>20190312161239623</v>
      </c>
      <c r="B779" t="str">
        <f>"1552378359616257"</f>
        <v>1552378359616257</v>
      </c>
      <c r="C779" t="s">
        <v>40</v>
      </c>
      <c r="D779">
        <v>5.5054230000000004</v>
      </c>
      <c r="E779">
        <v>0.50962510000000005</v>
      </c>
      <c r="F779" t="s">
        <v>42</v>
      </c>
      <c r="G779">
        <v>-221.3802</v>
      </c>
      <c r="H779" s="1">
        <v>-4.7177800000000003E-6</v>
      </c>
      <c r="I779">
        <v>363.76690000000002</v>
      </c>
      <c r="J779">
        <v>-251.3486</v>
      </c>
      <c r="K779">
        <v>1.1103209999999999</v>
      </c>
      <c r="L779">
        <v>367.8347</v>
      </c>
      <c r="M779">
        <v>0.99983759999999999</v>
      </c>
      <c r="N779">
        <v>0</v>
      </c>
      <c r="O779">
        <v>1.1403419999999999E-2</v>
      </c>
      <c r="P779">
        <v>0.99398679999999995</v>
      </c>
      <c r="Q779">
        <v>-8.0021080000000008E-3</v>
      </c>
      <c r="R779">
        <v>-0.1092061</v>
      </c>
      <c r="S779">
        <v>2.9733580000000002</v>
      </c>
      <c r="T779">
        <v>-0.1091973</v>
      </c>
      <c r="U779">
        <v>-0.39974979999999999</v>
      </c>
      <c r="V779">
        <v>0.1205344</v>
      </c>
      <c r="W779">
        <v>5.8658440000000003E-3</v>
      </c>
      <c r="X779">
        <v>0.99269180000000001</v>
      </c>
      <c r="Y779">
        <v>0.14443599999999901</v>
      </c>
      <c r="Z779">
        <v>-3.0563589999999998E-3</v>
      </c>
      <c r="AA779">
        <v>0.98950939999999998</v>
      </c>
      <c r="AB779">
        <v>26</v>
      </c>
      <c r="AC779">
        <v>29.968399999999999</v>
      </c>
      <c r="AD779">
        <v>-1.1103257177800001</v>
      </c>
      <c r="AE779">
        <v>-4.0677999999999699</v>
      </c>
      <c r="AF779">
        <v>4.4033758511935801</v>
      </c>
      <c r="AG779">
        <v>-1.1103257177800001</v>
      </c>
      <c r="AH779">
        <v>29.8797859127361</v>
      </c>
      <c r="AI779">
        <v>92.105399561244894</v>
      </c>
      <c r="AJ779">
        <v>81.616678362330802</v>
      </c>
      <c r="AK779">
        <v>30.2229076741034</v>
      </c>
      <c r="AL779">
        <v>89.663909961321195</v>
      </c>
      <c r="AM779">
        <v>83.076934855682694</v>
      </c>
      <c r="AN779">
        <v>0.99999997974821597</v>
      </c>
    </row>
    <row r="780" spans="1:40" x14ac:dyDescent="0.25">
      <c r="A780" t="str">
        <f>"20190312161239635"</f>
        <v>20190312161239635</v>
      </c>
      <c r="B780" t="str">
        <f>"1552378359626017"</f>
        <v>1552378359626017</v>
      </c>
      <c r="C780" t="s">
        <v>40</v>
      </c>
      <c r="D780">
        <v>5.5072109999999999</v>
      </c>
      <c r="E780">
        <v>0.5095807</v>
      </c>
      <c r="F780" t="s">
        <v>42</v>
      </c>
      <c r="G780">
        <v>-217.83529999999999</v>
      </c>
      <c r="H780" s="1">
        <v>-2.397573E-6</v>
      </c>
      <c r="I780">
        <v>363.3218</v>
      </c>
      <c r="J780">
        <v>-251.19489999999999</v>
      </c>
      <c r="K780">
        <v>1.1103209999999999</v>
      </c>
      <c r="L780">
        <v>367.8365</v>
      </c>
      <c r="M780">
        <v>0.99983699999999998</v>
      </c>
      <c r="N780">
        <v>0</v>
      </c>
      <c r="O780">
        <v>1.145272E-2</v>
      </c>
      <c r="P780">
        <v>0.99397369999999996</v>
      </c>
      <c r="Q780">
        <v>-7.7681969999999897E-3</v>
      </c>
      <c r="R780">
        <v>-0.109343</v>
      </c>
      <c r="S780">
        <v>2.9733580000000002</v>
      </c>
      <c r="T780">
        <v>-9.8509550000000001E-2</v>
      </c>
      <c r="U780">
        <v>-0.40039059999999999</v>
      </c>
      <c r="V780">
        <v>0.12071999999999999</v>
      </c>
      <c r="W780">
        <v>6.0980590000000003E-3</v>
      </c>
      <c r="X780">
        <v>0.99266790000000005</v>
      </c>
      <c r="Y780">
        <v>0.14471329999999999</v>
      </c>
      <c r="Z780">
        <v>-2.7635469999999999E-3</v>
      </c>
      <c r="AA780">
        <v>0.98946979999999995</v>
      </c>
      <c r="AB780">
        <v>26</v>
      </c>
      <c r="AC780">
        <v>33.3596</v>
      </c>
      <c r="AD780">
        <v>-1.11032339757299</v>
      </c>
      <c r="AE780">
        <v>-4.5147000000000004</v>
      </c>
      <c r="AF780">
        <v>4.8911782837047904</v>
      </c>
      <c r="AG780">
        <v>-1.11032339757299</v>
      </c>
      <c r="AH780">
        <v>33.269508333359397</v>
      </c>
      <c r="AI780">
        <v>91.891143917818496</v>
      </c>
      <c r="AJ780">
        <v>81.636467942828602</v>
      </c>
      <c r="AK780">
        <v>33.6454547865481</v>
      </c>
      <c r="AL780">
        <v>89.650604801854598</v>
      </c>
      <c r="AM780">
        <v>83.066213035278096</v>
      </c>
      <c r="AN780">
        <v>1.00000003220698</v>
      </c>
    </row>
    <row r="781" spans="1:40" x14ac:dyDescent="0.25">
      <c r="A781" t="str">
        <f>"20190312161239665"</f>
        <v>20190312161239665</v>
      </c>
      <c r="B781" t="str">
        <f>"1552378359656780"</f>
        <v>1552378359656780</v>
      </c>
      <c r="C781" t="s">
        <v>40</v>
      </c>
      <c r="D781">
        <v>5.5666580000000003</v>
      </c>
      <c r="E781">
        <v>0.50953609999999905</v>
      </c>
      <c r="F781" t="s">
        <v>42</v>
      </c>
      <c r="G781">
        <v>-216.2269</v>
      </c>
      <c r="H781" s="1">
        <v>-2.9979079999999999E-6</v>
      </c>
      <c r="I781">
        <v>363.12270000000001</v>
      </c>
      <c r="J781">
        <v>-250.8382</v>
      </c>
      <c r="K781">
        <v>1.1103229999999999</v>
      </c>
      <c r="L781">
        <v>367.84070000000003</v>
      </c>
      <c r="M781">
        <v>0.99983599999999995</v>
      </c>
      <c r="N781">
        <v>0</v>
      </c>
      <c r="O781">
        <v>1.156653E-2</v>
      </c>
      <c r="P781">
        <v>0.99392000000000003</v>
      </c>
      <c r="Q781">
        <v>-7.5687230000000003E-3</v>
      </c>
      <c r="R781">
        <v>-0.1098455</v>
      </c>
      <c r="S781">
        <v>2.9733580000000002</v>
      </c>
      <c r="T781">
        <v>-9.4411490000000001E-2</v>
      </c>
      <c r="U781">
        <v>-0.4008179</v>
      </c>
      <c r="V781">
        <v>0.1213347</v>
      </c>
      <c r="W781">
        <v>6.2930809999999998E-3</v>
      </c>
      <c r="X781">
        <v>0.99259169999999997</v>
      </c>
      <c r="Y781">
        <v>0.1449722</v>
      </c>
      <c r="Z781">
        <v>-2.656304E-3</v>
      </c>
      <c r="AA781">
        <v>0.98943219999999998</v>
      </c>
      <c r="AB781">
        <v>26</v>
      </c>
      <c r="AC781">
        <v>34.6113</v>
      </c>
      <c r="AD781">
        <v>-1.110325997908</v>
      </c>
      <c r="AE781">
        <v>-4.7180000000000097</v>
      </c>
      <c r="AF781">
        <v>5.1128900660152503</v>
      </c>
      <c r="AG781">
        <v>-1.110325997908</v>
      </c>
      <c r="AH781">
        <v>34.5195314412274</v>
      </c>
      <c r="AI781">
        <v>91.822423956515806</v>
      </c>
      <c r="AJ781">
        <v>81.574841263417696</v>
      </c>
      <c r="AK781">
        <v>34.913786955451698</v>
      </c>
      <c r="AL781">
        <v>89.639430637743999</v>
      </c>
      <c r="AM781">
        <v>83.030723134173201</v>
      </c>
      <c r="AN781">
        <v>0.999999997600726</v>
      </c>
    </row>
    <row r="782" spans="1:40" x14ac:dyDescent="0.25">
      <c r="A782" t="str">
        <f>"20190312161239678"</f>
        <v>20190312161239678</v>
      </c>
      <c r="B782" t="str">
        <f>"1552378359666540"</f>
        <v>1552378359666540</v>
      </c>
      <c r="C782" t="s">
        <v>40</v>
      </c>
      <c r="D782">
        <v>5.5148599999999997</v>
      </c>
      <c r="E782">
        <v>0.50956820000000003</v>
      </c>
      <c r="F782" t="s">
        <v>42</v>
      </c>
      <c r="G782">
        <v>-213.4187</v>
      </c>
      <c r="H782" s="1">
        <v>-4.0440900000000001E-6</v>
      </c>
      <c r="I782">
        <v>362.7824</v>
      </c>
      <c r="J782">
        <v>-250.6962</v>
      </c>
      <c r="K782">
        <v>1.1103229999999999</v>
      </c>
      <c r="L782">
        <v>367.8424</v>
      </c>
      <c r="M782">
        <v>0.99983540000000004</v>
      </c>
      <c r="N782">
        <v>0</v>
      </c>
      <c r="O782">
        <v>1.161213E-2</v>
      </c>
      <c r="P782">
        <v>0.9938979</v>
      </c>
      <c r="Q782">
        <v>-7.3825829999999999E-3</v>
      </c>
      <c r="R782">
        <v>-0.1100587</v>
      </c>
      <c r="S782">
        <v>2.9732669999999999</v>
      </c>
      <c r="T782">
        <v>-8.8223700000000002E-2</v>
      </c>
      <c r="U782">
        <v>-0.40191650000000001</v>
      </c>
      <c r="V782">
        <v>0.1215929</v>
      </c>
      <c r="W782">
        <v>6.4771369999999896E-3</v>
      </c>
      <c r="X782">
        <v>0.99255890000000002</v>
      </c>
      <c r="Y782">
        <v>0.14539009999999999</v>
      </c>
      <c r="Z782">
        <v>-2.489818E-3</v>
      </c>
      <c r="AA782">
        <v>0.98937129999999995</v>
      </c>
      <c r="AB782">
        <v>26</v>
      </c>
      <c r="AC782">
        <v>37.277500000000003</v>
      </c>
      <c r="AD782">
        <v>-1.1103270440899999</v>
      </c>
      <c r="AE782">
        <v>-5.0599999999999996</v>
      </c>
      <c r="AF782">
        <v>5.4877914768719203</v>
      </c>
      <c r="AG782">
        <v>-1.1103270440899999</v>
      </c>
      <c r="AH782">
        <v>37.183831388876101</v>
      </c>
      <c r="AI782">
        <v>91.692053633602796</v>
      </c>
      <c r="AJ782">
        <v>81.604582895587995</v>
      </c>
      <c r="AK782">
        <v>37.603005175050001</v>
      </c>
      <c r="AL782">
        <v>89.6288847835702</v>
      </c>
      <c r="AM782">
        <v>83.015810327455796</v>
      </c>
      <c r="AN782">
        <v>0.99999997830166798</v>
      </c>
    </row>
    <row r="783" spans="1:40" x14ac:dyDescent="0.25">
      <c r="A783" t="str">
        <f>"20190312161239691"</f>
        <v>20190312161239691</v>
      </c>
      <c r="B783" t="str">
        <f>"1552378359686061"</f>
        <v>1552378359686061</v>
      </c>
      <c r="C783" t="s">
        <v>40</v>
      </c>
      <c r="D783">
        <v>5.5172359999999996</v>
      </c>
      <c r="E783">
        <v>0.50981589999999999</v>
      </c>
      <c r="F783" t="s">
        <v>42</v>
      </c>
      <c r="G783">
        <v>-212.0625</v>
      </c>
      <c r="H783" s="1">
        <v>-4.630288E-6</v>
      </c>
      <c r="I783">
        <v>362.61</v>
      </c>
      <c r="J783">
        <v>-250.5479</v>
      </c>
      <c r="K783">
        <v>1.11032999999999</v>
      </c>
      <c r="L783">
        <v>367.8442</v>
      </c>
      <c r="M783">
        <v>0.99983469999999997</v>
      </c>
      <c r="N783">
        <v>0</v>
      </c>
      <c r="O783">
        <v>1.1659579999999999E-2</v>
      </c>
      <c r="P783">
        <v>0.99389289999999997</v>
      </c>
      <c r="Q783">
        <v>-7.5345859999999898E-3</v>
      </c>
      <c r="R783">
        <v>-0.1100912</v>
      </c>
      <c r="S783">
        <v>2.9731749999999999</v>
      </c>
      <c r="T783">
        <v>-8.5448620000000003E-2</v>
      </c>
      <c r="U783">
        <v>-0.40267940000000002</v>
      </c>
      <c r="V783">
        <v>0.1216724</v>
      </c>
      <c r="W783">
        <v>6.3240750000000002E-3</v>
      </c>
      <c r="X783">
        <v>0.99255009999999999</v>
      </c>
      <c r="Y783">
        <v>0.1456944</v>
      </c>
      <c r="Z783">
        <v>-2.4172769999999998E-3</v>
      </c>
      <c r="AA783">
        <v>0.9893267</v>
      </c>
      <c r="AB783">
        <v>26</v>
      </c>
      <c r="AC783">
        <v>38.485399999999998</v>
      </c>
      <c r="AD783">
        <v>-1.11033463028799</v>
      </c>
      <c r="AE783">
        <v>-5.23419999999998</v>
      </c>
      <c r="AF783">
        <v>5.6779710762623798</v>
      </c>
      <c r="AG783">
        <v>-1.11033463028799</v>
      </c>
      <c r="AH783">
        <v>38.390374322397101</v>
      </c>
      <c r="AI783">
        <v>91.638841268419199</v>
      </c>
      <c r="AJ783">
        <v>81.586893270803898</v>
      </c>
      <c r="AK783">
        <v>38.823872026729298</v>
      </c>
      <c r="AL783">
        <v>89.637654753939401</v>
      </c>
      <c r="AM783">
        <v>83.011227711641297</v>
      </c>
      <c r="AN783">
        <v>0.99999993392818498</v>
      </c>
    </row>
    <row r="784" spans="1:40" x14ac:dyDescent="0.25">
      <c r="A784" t="str">
        <f>"20190312161239703"</f>
        <v>20190312161239703</v>
      </c>
      <c r="B784" t="str">
        <f>"1552378359696797"</f>
        <v>1552378359696797</v>
      </c>
      <c r="C784" t="s">
        <v>40</v>
      </c>
      <c r="D784">
        <v>5.5231849999999998</v>
      </c>
      <c r="E784">
        <v>0.51018660000000005</v>
      </c>
      <c r="F784" t="s">
        <v>42</v>
      </c>
      <c r="G784">
        <v>-210.13509999999999</v>
      </c>
      <c r="H784" s="1">
        <v>-5.505712E-6</v>
      </c>
      <c r="I784">
        <v>362.33629999999999</v>
      </c>
      <c r="J784">
        <v>-250.40100000000001</v>
      </c>
      <c r="K784">
        <v>1.110331</v>
      </c>
      <c r="L784">
        <v>367.84589999999997</v>
      </c>
      <c r="M784">
        <v>0.99983420000000001</v>
      </c>
      <c r="N784">
        <v>0</v>
      </c>
      <c r="O784">
        <v>1.170703E-2</v>
      </c>
      <c r="P784">
        <v>0.99389590000000005</v>
      </c>
      <c r="Q784">
        <v>-7.443959E-3</v>
      </c>
      <c r="R784">
        <v>-0.1100722</v>
      </c>
      <c r="S784">
        <v>2.972931</v>
      </c>
      <c r="T784">
        <v>-8.1680539999999996E-2</v>
      </c>
      <c r="U784">
        <v>-0.40518189999999998</v>
      </c>
      <c r="V784">
        <v>0.1217005</v>
      </c>
      <c r="W784">
        <v>6.412765E-3</v>
      </c>
      <c r="X784">
        <v>0.99254609999999999</v>
      </c>
      <c r="Y784">
        <v>0.14657500000000001</v>
      </c>
      <c r="Z784">
        <v>-2.3241149999999999E-3</v>
      </c>
      <c r="AA784">
        <v>0.98919679999999999</v>
      </c>
      <c r="AB784">
        <v>26</v>
      </c>
      <c r="AC784">
        <v>40.265899999999903</v>
      </c>
      <c r="AD784">
        <v>-1.110336505712</v>
      </c>
      <c r="AE784">
        <v>-5.5095999999999696</v>
      </c>
      <c r="AF784">
        <v>5.9762016016626198</v>
      </c>
      <c r="AG784">
        <v>-1.110336505712</v>
      </c>
      <c r="AH784">
        <v>40.1686503751936</v>
      </c>
      <c r="AI784">
        <v>91.566129748182803</v>
      </c>
      <c r="AJ784">
        <v>81.537735160250193</v>
      </c>
      <c r="AK784">
        <v>40.625956058955303</v>
      </c>
      <c r="AL784">
        <v>89.632573093016305</v>
      </c>
      <c r="AM784">
        <v>83.009601743261399</v>
      </c>
      <c r="AN784">
        <v>0.99999994794020097</v>
      </c>
    </row>
    <row r="785" spans="1:40" x14ac:dyDescent="0.25">
      <c r="A785" t="str">
        <f>"20190312161239716"</f>
        <v>20190312161239716</v>
      </c>
      <c r="B785" t="str">
        <f>"1552378359706555"</f>
        <v>1552378359706555</v>
      </c>
      <c r="C785" t="s">
        <v>40</v>
      </c>
      <c r="D785">
        <v>5.5215100000000001</v>
      </c>
      <c r="E785">
        <v>0.51031740000000003</v>
      </c>
      <c r="F785" t="s">
        <v>42</v>
      </c>
      <c r="G785">
        <v>-210.89920000000001</v>
      </c>
      <c r="H785" s="1">
        <v>-5.161905E-6</v>
      </c>
      <c r="I785">
        <v>362.4264</v>
      </c>
      <c r="J785">
        <v>-250.25640000000001</v>
      </c>
      <c r="K785">
        <v>1.110331</v>
      </c>
      <c r="L785">
        <v>367.84769999999997</v>
      </c>
      <c r="M785">
        <v>0.99983379999999999</v>
      </c>
      <c r="N785">
        <v>0</v>
      </c>
      <c r="O785">
        <v>1.1753410000000001E-2</v>
      </c>
      <c r="P785">
        <v>0.99387749999999997</v>
      </c>
      <c r="Q785">
        <v>-7.3314219999999998E-3</v>
      </c>
      <c r="R785">
        <v>-0.1102451</v>
      </c>
      <c r="S785">
        <v>2.9726560000000002</v>
      </c>
      <c r="T785">
        <v>-8.3556770000000002E-2</v>
      </c>
      <c r="U785">
        <v>-0.4078369</v>
      </c>
      <c r="V785">
        <v>0.12191929999999999</v>
      </c>
      <c r="W785">
        <v>6.5229119999999996E-3</v>
      </c>
      <c r="X785">
        <v>0.99251860000000003</v>
      </c>
      <c r="Y785">
        <v>0.14749719999999999</v>
      </c>
      <c r="Z785">
        <v>-2.3917510000000001E-3</v>
      </c>
      <c r="AA785">
        <v>0.98905960000000004</v>
      </c>
      <c r="AB785">
        <v>26</v>
      </c>
      <c r="AC785">
        <v>39.357199999999999</v>
      </c>
      <c r="AD785">
        <v>-1.1103361619050001</v>
      </c>
      <c r="AE785">
        <v>-5.4212999999999703</v>
      </c>
      <c r="AF785">
        <v>5.8789597373869302</v>
      </c>
      <c r="AG785">
        <v>-1.1103361619050001</v>
      </c>
      <c r="AH785">
        <v>39.260090562984203</v>
      </c>
      <c r="AI785">
        <v>91.602128151044298</v>
      </c>
      <c r="AJ785">
        <v>81.483584545300701</v>
      </c>
      <c r="AK785">
        <v>39.713344419728401</v>
      </c>
      <c r="AL785">
        <v>89.626262028531102</v>
      </c>
      <c r="AM785">
        <v>82.996966586575695</v>
      </c>
      <c r="AN785">
        <v>1.0000000177196999</v>
      </c>
    </row>
    <row r="786" spans="1:40" x14ac:dyDescent="0.25">
      <c r="A786" t="str">
        <f>"20190312161239733"</f>
        <v>20190312161239733</v>
      </c>
      <c r="B786" t="str">
        <f>"1552378359726075"</f>
        <v>1552378359726075</v>
      </c>
      <c r="C786" t="s">
        <v>40</v>
      </c>
      <c r="D786">
        <v>5.4857040000000001</v>
      </c>
      <c r="E786">
        <v>0.51038349999999999</v>
      </c>
      <c r="F786" t="s">
        <v>42</v>
      </c>
      <c r="G786">
        <v>-211.5669</v>
      </c>
      <c r="H786" s="1">
        <v>-4.8589899999999997E-6</v>
      </c>
      <c r="I786">
        <v>362.51929999999999</v>
      </c>
      <c r="J786">
        <v>-250.05109999999999</v>
      </c>
      <c r="K786">
        <v>1.110333</v>
      </c>
      <c r="L786">
        <v>367.85019999999997</v>
      </c>
      <c r="M786">
        <v>0.99983310000000003</v>
      </c>
      <c r="N786">
        <v>0</v>
      </c>
      <c r="O786">
        <v>1.181929E-2</v>
      </c>
      <c r="P786">
        <v>0.9938825</v>
      </c>
      <c r="Q786">
        <v>-7.0901769999999996E-3</v>
      </c>
      <c r="R786">
        <v>-0.1102172</v>
      </c>
      <c r="S786">
        <v>2.9724430000000002</v>
      </c>
      <c r="T786">
        <v>-8.5304859999999996E-2</v>
      </c>
      <c r="U786">
        <v>-0.40936280000000003</v>
      </c>
      <c r="V786">
        <v>0.1219568</v>
      </c>
      <c r="W786">
        <v>6.762278E-3</v>
      </c>
      <c r="X786">
        <v>0.99251230000000001</v>
      </c>
      <c r="Y786">
        <v>0.14806730000000001</v>
      </c>
      <c r="Z786">
        <v>-2.4518809999999999E-3</v>
      </c>
      <c r="AA786">
        <v>0.98897429999999997</v>
      </c>
      <c r="AB786">
        <v>26</v>
      </c>
      <c r="AC786">
        <v>38.484199999999902</v>
      </c>
      <c r="AD786">
        <v>-1.1103378589899999</v>
      </c>
      <c r="AE786">
        <v>-5.3308999999999802</v>
      </c>
      <c r="AF786">
        <v>5.7807062166854601</v>
      </c>
      <c r="AG786">
        <v>-1.1103378589899999</v>
      </c>
      <c r="AH786">
        <v>38.387144948296203</v>
      </c>
      <c r="AI786">
        <v>91.638340942332903</v>
      </c>
      <c r="AJ786">
        <v>81.436196956292605</v>
      </c>
      <c r="AK786">
        <v>38.835837982541797</v>
      </c>
      <c r="AL786">
        <v>89.612547029666203</v>
      </c>
      <c r="AM786">
        <v>82.994789964719601</v>
      </c>
      <c r="AN786">
        <v>0.99999992756063705</v>
      </c>
    </row>
    <row r="787" spans="1:40" x14ac:dyDescent="0.25">
      <c r="A787" t="str">
        <f>"20190312161239746"</f>
        <v>20190312161239746</v>
      </c>
      <c r="B787" t="str">
        <f>"1552378359735836"</f>
        <v>1552378359735836</v>
      </c>
      <c r="C787" t="s">
        <v>40</v>
      </c>
      <c r="D787">
        <v>5.5365449999999896</v>
      </c>
      <c r="E787">
        <v>0.51046009999999997</v>
      </c>
      <c r="F787" t="s">
        <v>42</v>
      </c>
      <c r="G787">
        <v>-213.63990000000001</v>
      </c>
      <c r="H787" s="1">
        <v>-3.9548510000000002E-6</v>
      </c>
      <c r="I787">
        <v>362.8349</v>
      </c>
      <c r="J787">
        <v>-249.90309999999999</v>
      </c>
      <c r="K787">
        <v>1.110333</v>
      </c>
      <c r="L787">
        <v>367.85199999999998</v>
      </c>
      <c r="M787">
        <v>0.99983250000000001</v>
      </c>
      <c r="N787">
        <v>0</v>
      </c>
      <c r="O787">
        <v>1.186692E-2</v>
      </c>
      <c r="P787">
        <v>0.99388549999999998</v>
      </c>
      <c r="Q787">
        <v>-7.1268850000000003E-3</v>
      </c>
      <c r="R787">
        <v>-0.1101866</v>
      </c>
      <c r="S787">
        <v>2.9724430000000002</v>
      </c>
      <c r="T787">
        <v>-9.0642570000000006E-2</v>
      </c>
      <c r="U787">
        <v>-0.4094238</v>
      </c>
      <c r="V787">
        <v>0.1219736</v>
      </c>
      <c r="W787">
        <v>6.7241319999999999E-3</v>
      </c>
      <c r="X787">
        <v>0.99251060000000002</v>
      </c>
      <c r="Y787">
        <v>0.14812600000000001</v>
      </c>
      <c r="Z787">
        <v>-2.607566E-3</v>
      </c>
      <c r="AA787">
        <v>0.98896499999999998</v>
      </c>
      <c r="AB787">
        <v>26</v>
      </c>
      <c r="AC787">
        <v>36.263199999999898</v>
      </c>
      <c r="AD787">
        <v>-1.110336954851</v>
      </c>
      <c r="AE787">
        <v>-5.0170999999999699</v>
      </c>
      <c r="AF787">
        <v>5.44211470135697</v>
      </c>
      <c r="AG787">
        <v>-1.110336954851</v>
      </c>
      <c r="AH787">
        <v>36.167831785459803</v>
      </c>
      <c r="AI787">
        <v>91.738841705148602</v>
      </c>
      <c r="AJ787">
        <v>81.442991076211399</v>
      </c>
      <c r="AK787">
        <v>36.591823084363398</v>
      </c>
      <c r="AL787">
        <v>89.614732724590795</v>
      </c>
      <c r="AM787">
        <v>82.993822680092805</v>
      </c>
      <c r="AN787">
        <v>1.00000003208023</v>
      </c>
    </row>
    <row r="788" spans="1:40" x14ac:dyDescent="0.25">
      <c r="A788" t="str">
        <f>"20190312161239767"</f>
        <v>20190312161239767</v>
      </c>
      <c r="B788" t="str">
        <f>"1552378359755861"</f>
        <v>1552378359755861</v>
      </c>
      <c r="C788" t="s">
        <v>40</v>
      </c>
      <c r="D788">
        <v>5.5436699999999997</v>
      </c>
      <c r="E788">
        <v>0.51060740000000004</v>
      </c>
      <c r="F788" t="s">
        <v>42</v>
      </c>
      <c r="G788">
        <v>-214.24440000000001</v>
      </c>
      <c r="H788" s="1">
        <v>-3.7220850000000001E-6</v>
      </c>
      <c r="I788">
        <v>362.9366</v>
      </c>
      <c r="J788">
        <v>-249.6669</v>
      </c>
      <c r="K788">
        <v>1.110328</v>
      </c>
      <c r="L788">
        <v>367.85489999999999</v>
      </c>
      <c r="M788">
        <v>0.99983149999999998</v>
      </c>
      <c r="N788">
        <v>0</v>
      </c>
      <c r="O788">
        <v>1.194281E-2</v>
      </c>
      <c r="P788">
        <v>0.99391479999999999</v>
      </c>
      <c r="Q788">
        <v>-7.2288959999999899E-3</v>
      </c>
      <c r="R788">
        <v>-0.1099152</v>
      </c>
      <c r="S788">
        <v>2.9723820000000001</v>
      </c>
      <c r="T788">
        <v>-9.2553499999999997E-2</v>
      </c>
      <c r="U788">
        <v>-0.40972900000000001</v>
      </c>
      <c r="V788">
        <v>0.12177780000000001</v>
      </c>
      <c r="W788">
        <v>6.6197080000000002E-3</v>
      </c>
      <c r="X788">
        <v>0.99253530000000001</v>
      </c>
      <c r="Y788">
        <v>0.14830019999999999</v>
      </c>
      <c r="Z788">
        <v>-2.6675990000000001E-3</v>
      </c>
      <c r="AA788">
        <v>0.98893880000000001</v>
      </c>
      <c r="AB788">
        <v>26</v>
      </c>
      <c r="AC788">
        <v>35.4224999999999</v>
      </c>
      <c r="AD788">
        <v>-1.110331722085</v>
      </c>
      <c r="AE788">
        <v>-4.9182999999999799</v>
      </c>
      <c r="AF788">
        <v>5.3358909406495103</v>
      </c>
      <c r="AG788">
        <v>-1.110331722085</v>
      </c>
      <c r="AH788">
        <v>35.327175609477202</v>
      </c>
      <c r="AI788">
        <v>91.780034560102806</v>
      </c>
      <c r="AJ788">
        <v>81.410849033446496</v>
      </c>
      <c r="AK788">
        <v>35.745124215848101</v>
      </c>
      <c r="AL788">
        <v>89.620715895115595</v>
      </c>
      <c r="AM788">
        <v>83.005130294762793</v>
      </c>
      <c r="AN788">
        <v>0.99999998742646701</v>
      </c>
    </row>
    <row r="789" spans="1:40" x14ac:dyDescent="0.25">
      <c r="A789" t="str">
        <f>"20190312161239781"</f>
        <v>20190312161239781</v>
      </c>
      <c r="B789" t="str">
        <f>"1552378359776357"</f>
        <v>1552378359776357</v>
      </c>
      <c r="C789" t="s">
        <v>40</v>
      </c>
      <c r="D789">
        <v>5.4576120000000001</v>
      </c>
      <c r="E789">
        <v>0.51094220000000001</v>
      </c>
      <c r="F789" t="s">
        <v>42</v>
      </c>
      <c r="G789">
        <v>-215.70060000000001</v>
      </c>
      <c r="H789" s="1">
        <v>-3.1640640000000002E-6</v>
      </c>
      <c r="I789">
        <v>363.17129999999997</v>
      </c>
      <c r="J789">
        <v>-249.5068</v>
      </c>
      <c r="K789">
        <v>1.110328</v>
      </c>
      <c r="L789">
        <v>367.85680000000002</v>
      </c>
      <c r="M789">
        <v>0.99983089999999997</v>
      </c>
      <c r="N789">
        <v>0</v>
      </c>
      <c r="O789">
        <v>1.199443E-2</v>
      </c>
      <c r="P789">
        <v>0.99390319999999999</v>
      </c>
      <c r="Q789">
        <v>-7.5249369999999998E-3</v>
      </c>
      <c r="R789">
        <v>-0.1099989</v>
      </c>
      <c r="S789">
        <v>2.9723359999999999</v>
      </c>
      <c r="T789">
        <v>-9.7163200000000005E-2</v>
      </c>
      <c r="U789">
        <v>-0.40985110000000002</v>
      </c>
      <c r="V789">
        <v>0.1219127</v>
      </c>
      <c r="W789">
        <v>6.321213E-3</v>
      </c>
      <c r="X789">
        <v>0.99252070000000003</v>
      </c>
      <c r="Y789">
        <v>0.148385299999999</v>
      </c>
      <c r="Z789">
        <v>-2.803491E-3</v>
      </c>
      <c r="AA789">
        <v>0.98892559999999996</v>
      </c>
      <c r="AB789">
        <v>26</v>
      </c>
      <c r="AC789">
        <v>33.806199999999897</v>
      </c>
      <c r="AD789">
        <v>-1.1103311640639999</v>
      </c>
      <c r="AE789">
        <v>-4.6855000000000402</v>
      </c>
      <c r="AF789">
        <v>5.0853061031812796</v>
      </c>
      <c r="AG789">
        <v>-1.1103311640639999</v>
      </c>
      <c r="AH789">
        <v>33.711881717161603</v>
      </c>
      <c r="AI789">
        <v>91.865318446261099</v>
      </c>
      <c r="AJ789">
        <v>81.421828708314806</v>
      </c>
      <c r="AK789">
        <v>34.111349172509101</v>
      </c>
      <c r="AL789">
        <v>89.637818762418703</v>
      </c>
      <c r="AM789">
        <v>82.997356595163197</v>
      </c>
      <c r="AN789">
        <v>1.0000000020417801</v>
      </c>
    </row>
    <row r="790" spans="1:40" x14ac:dyDescent="0.25">
      <c r="A790" t="str">
        <f>"20190312161239801"</f>
        <v>20190312161239801</v>
      </c>
      <c r="B790" t="str">
        <f>"1552378359796853"</f>
        <v>1552378359796853</v>
      </c>
      <c r="C790" t="s">
        <v>40</v>
      </c>
      <c r="D790">
        <v>5.5513199999999996</v>
      </c>
      <c r="E790">
        <v>0.51108039999999999</v>
      </c>
      <c r="F790" t="s">
        <v>42</v>
      </c>
      <c r="G790">
        <v>-217.2638</v>
      </c>
      <c r="H790" s="1">
        <v>-2.576961E-6</v>
      </c>
      <c r="I790">
        <v>363.37849999999997</v>
      </c>
      <c r="J790">
        <v>-249.27500000000001</v>
      </c>
      <c r="K790">
        <v>1.110325</v>
      </c>
      <c r="L790">
        <v>367.85969999999998</v>
      </c>
      <c r="M790">
        <v>0.9998302</v>
      </c>
      <c r="N790">
        <v>0</v>
      </c>
      <c r="O790">
        <v>1.206871E-2</v>
      </c>
      <c r="P790">
        <v>0.99392780000000003</v>
      </c>
      <c r="Q790">
        <v>-7.4227009999999899E-3</v>
      </c>
      <c r="R790">
        <v>-0.1097853</v>
      </c>
      <c r="S790">
        <v>2.9719699999999998</v>
      </c>
      <c r="T790">
        <v>-0.1023434</v>
      </c>
      <c r="U790">
        <v>-0.4127808</v>
      </c>
      <c r="V790">
        <v>0.1217731</v>
      </c>
      <c r="W790">
        <v>6.4213480000000003E-3</v>
      </c>
      <c r="X790">
        <v>0.99253720000000001</v>
      </c>
      <c r="Y790">
        <v>0.1494219</v>
      </c>
      <c r="Z790">
        <v>-2.9733390000000002E-3</v>
      </c>
      <c r="AA790">
        <v>0.98876909999999896</v>
      </c>
      <c r="AB790">
        <v>26</v>
      </c>
      <c r="AC790">
        <v>32.011200000000002</v>
      </c>
      <c r="AD790">
        <v>-1.1103275769609999</v>
      </c>
      <c r="AE790">
        <v>-4.4812000000000003</v>
      </c>
      <c r="AF790">
        <v>4.8615085064806198</v>
      </c>
      <c r="AG790">
        <v>-1.1103275769609999</v>
      </c>
      <c r="AH790">
        <v>31.9171194893303</v>
      </c>
      <c r="AI790">
        <v>91.969693237408705</v>
      </c>
      <c r="AJ790">
        <v>81.339465621083903</v>
      </c>
      <c r="AK790">
        <v>32.3043280193681</v>
      </c>
      <c r="AL790">
        <v>89.632081335099002</v>
      </c>
      <c r="AM790">
        <v>83.005410843661096</v>
      </c>
      <c r="AN790">
        <v>1.00000000748879</v>
      </c>
    </row>
    <row r="791" spans="1:40" x14ac:dyDescent="0.25">
      <c r="A791" t="str">
        <f>"20190312161239816"</f>
        <v>20190312161239816</v>
      </c>
      <c r="B791" t="str">
        <f>"1552378359806613"</f>
        <v>1552378359806613</v>
      </c>
      <c r="C791" t="s">
        <v>40</v>
      </c>
      <c r="D791">
        <v>5.6546219999999998</v>
      </c>
      <c r="E791">
        <v>0.5112814</v>
      </c>
      <c r="F791" t="s">
        <v>42</v>
      </c>
      <c r="G791">
        <v>-217.19919999999999</v>
      </c>
      <c r="H791" s="1">
        <v>-2.5925990000000001E-6</v>
      </c>
      <c r="I791">
        <v>363.40230000000003</v>
      </c>
      <c r="J791">
        <v>-249.10249999999999</v>
      </c>
      <c r="K791">
        <v>1.1103259999999999</v>
      </c>
      <c r="L791">
        <v>367.86180000000002</v>
      </c>
      <c r="M791">
        <v>0.99982959999999999</v>
      </c>
      <c r="N791">
        <v>0</v>
      </c>
      <c r="O791">
        <v>1.212415E-2</v>
      </c>
      <c r="P791">
        <v>0.99394439999999995</v>
      </c>
      <c r="Q791">
        <v>-7.4408149999999999E-3</v>
      </c>
      <c r="R791">
        <v>-0.1096338</v>
      </c>
      <c r="S791">
        <v>2.9719540000000002</v>
      </c>
      <c r="T791">
        <v>-0.1028763</v>
      </c>
      <c r="U791">
        <v>-0.41299439999999998</v>
      </c>
      <c r="V791">
        <v>0.1216769</v>
      </c>
      <c r="W791">
        <v>6.4017980000000002E-3</v>
      </c>
      <c r="X791">
        <v>0.99254909999999996</v>
      </c>
      <c r="Y791">
        <v>0.14954609999999999</v>
      </c>
      <c r="Z791">
        <v>-2.9928609999999999E-3</v>
      </c>
      <c r="AA791">
        <v>0.98875020000000002</v>
      </c>
      <c r="AB791">
        <v>26</v>
      </c>
      <c r="AC791">
        <v>31.903300000000002</v>
      </c>
      <c r="AD791">
        <v>-1.1103285925990001</v>
      </c>
      <c r="AE791">
        <v>-4.4594999999999896</v>
      </c>
      <c r="AF791">
        <v>4.8402596570626999</v>
      </c>
      <c r="AG791">
        <v>-1.1103285925990001</v>
      </c>
      <c r="AH791">
        <v>31.809091552526102</v>
      </c>
      <c r="AI791">
        <v>91.976423378822702</v>
      </c>
      <c r="AJ791">
        <v>81.347905853166793</v>
      </c>
      <c r="AK791">
        <v>32.194397781730899</v>
      </c>
      <c r="AL791">
        <v>89.633201481790707</v>
      </c>
      <c r="AM791">
        <v>83.010964819467901</v>
      </c>
      <c r="AN791">
        <v>0.99999998346102603</v>
      </c>
    </row>
    <row r="792" spans="1:40" x14ac:dyDescent="0.25">
      <c r="A792" t="str">
        <f>"20190312161239850"</f>
        <v>20190312161239850</v>
      </c>
      <c r="B792" t="str">
        <f>"1552378359836400"</f>
        <v>1552378359836400</v>
      </c>
      <c r="C792" t="s">
        <v>40</v>
      </c>
      <c r="D792">
        <v>4.3780109999999999</v>
      </c>
      <c r="E792">
        <v>0.51158700000000001</v>
      </c>
      <c r="F792" t="s">
        <v>42</v>
      </c>
      <c r="G792">
        <v>-216.96129999999999</v>
      </c>
      <c r="H792" s="1">
        <v>-2.6788920000000001E-6</v>
      </c>
      <c r="I792">
        <v>363.38229999999999</v>
      </c>
      <c r="J792">
        <v>-248.71639999999999</v>
      </c>
      <c r="K792">
        <v>1.1103289999999999</v>
      </c>
      <c r="L792">
        <v>367.86669999999998</v>
      </c>
      <c r="M792">
        <v>0.99982800000000005</v>
      </c>
      <c r="N792">
        <v>0</v>
      </c>
      <c r="O792">
        <v>1.224665E-2</v>
      </c>
      <c r="P792">
        <v>0.99397579999999996</v>
      </c>
      <c r="Q792">
        <v>-7.2241819999999896E-3</v>
      </c>
      <c r="R792">
        <v>-0.10936079999999999</v>
      </c>
      <c r="S792">
        <v>2.971832</v>
      </c>
      <c r="T792">
        <v>-0.1026629</v>
      </c>
      <c r="U792">
        <v>-0.41418460000000001</v>
      </c>
      <c r="V792">
        <v>0.121526</v>
      </c>
      <c r="W792">
        <v>6.6144619999999998E-3</v>
      </c>
      <c r="X792">
        <v>0.99256619999999995</v>
      </c>
      <c r="Y792">
        <v>0.15006120000000001</v>
      </c>
      <c r="Z792">
        <v>-2.9997610000000001E-3</v>
      </c>
      <c r="AA792">
        <v>0.98867210000000005</v>
      </c>
      <c r="AB792">
        <v>26</v>
      </c>
      <c r="AC792">
        <v>31.755099999999999</v>
      </c>
      <c r="AD792">
        <v>-1.1103316788919999</v>
      </c>
      <c r="AE792">
        <v>-4.4843999999999902</v>
      </c>
      <c r="AF792">
        <v>4.86716079601121</v>
      </c>
      <c r="AG792">
        <v>-1.1103316788919999</v>
      </c>
      <c r="AH792">
        <v>31.659843943560801</v>
      </c>
      <c r="AI792">
        <v>91.985273881328695</v>
      </c>
      <c r="AJ792">
        <v>81.260174704947005</v>
      </c>
      <c r="AK792">
        <v>32.051018847799597</v>
      </c>
      <c r="AL792">
        <v>89.621016476555596</v>
      </c>
      <c r="AM792">
        <v>83.019665915407899</v>
      </c>
      <c r="AN792">
        <v>0.99999999058299405</v>
      </c>
    </row>
    <row r="793" spans="1:40" x14ac:dyDescent="0.25">
      <c r="A793" t="str">
        <f>"20190312161239890"</f>
        <v>20190312161239890</v>
      </c>
      <c r="B793" t="str">
        <f>"1552378359886175"</f>
        <v>1552378359886175</v>
      </c>
      <c r="C793" t="s">
        <v>40</v>
      </c>
      <c r="D793">
        <v>5.7035039999999997</v>
      </c>
      <c r="E793">
        <v>0.48255759999999998</v>
      </c>
      <c r="F793" t="s">
        <v>42</v>
      </c>
      <c r="G793">
        <v>-215.72120000000001</v>
      </c>
      <c r="H793" s="1">
        <v>-3.1366830000000001E-6</v>
      </c>
      <c r="I793">
        <v>363.24790000000002</v>
      </c>
      <c r="J793">
        <v>-248.25450000000001</v>
      </c>
      <c r="K793">
        <v>1.110325</v>
      </c>
      <c r="L793">
        <v>367.8725</v>
      </c>
      <c r="M793">
        <v>0.99982629999999995</v>
      </c>
      <c r="N793">
        <v>0</v>
      </c>
      <c r="O793">
        <v>1.2384829999999999E-2</v>
      </c>
      <c r="P793">
        <v>0.99404079999999995</v>
      </c>
      <c r="Q793">
        <v>-7.3894950000000003E-3</v>
      </c>
      <c r="R793">
        <v>-0.1087582</v>
      </c>
      <c r="S793">
        <v>2.9716800000000001</v>
      </c>
      <c r="T793">
        <v>-0.1000007</v>
      </c>
      <c r="U793">
        <v>-0.4159851</v>
      </c>
      <c r="V793">
        <v>0.1210615</v>
      </c>
      <c r="W793">
        <v>6.4432819999999998E-3</v>
      </c>
      <c r="X793">
        <v>0.99262410000000001</v>
      </c>
      <c r="Y793">
        <v>0.1507966</v>
      </c>
      <c r="Z793">
        <v>-2.938983E-3</v>
      </c>
      <c r="AA793">
        <v>0.98856040000000001</v>
      </c>
      <c r="AB793">
        <v>26</v>
      </c>
      <c r="AC793">
        <v>32.533299999999997</v>
      </c>
      <c r="AD793">
        <v>-1.110328136683</v>
      </c>
      <c r="AE793">
        <v>-4.6245999999999796</v>
      </c>
      <c r="AF793">
        <v>5.0214706267672797</v>
      </c>
      <c r="AG793">
        <v>-1.110328136683</v>
      </c>
      <c r="AH793">
        <v>32.436490652600703</v>
      </c>
      <c r="AI793">
        <v>91.9374557353906</v>
      </c>
      <c r="AJ793">
        <v>81.199936911447793</v>
      </c>
      <c r="AK793">
        <v>32.841649192494103</v>
      </c>
      <c r="AL793">
        <v>89.630824581928707</v>
      </c>
      <c r="AM793">
        <v>83.046486260715994</v>
      </c>
      <c r="AN793">
        <v>1.0000000032829901</v>
      </c>
    </row>
    <row r="794" spans="1:40" x14ac:dyDescent="0.25">
      <c r="A794" t="str">
        <f>"20190312161239903"</f>
        <v>20190312161239903</v>
      </c>
      <c r="B794" t="str">
        <f>"1552378359895935"</f>
        <v>1552378359895935</v>
      </c>
      <c r="C794" t="s">
        <v>40</v>
      </c>
      <c r="D794">
        <v>5.6842489999999897</v>
      </c>
      <c r="E794">
        <v>0.48259740000000001</v>
      </c>
      <c r="F794" t="s">
        <v>42</v>
      </c>
      <c r="G794">
        <v>-226.69460000000001</v>
      </c>
      <c r="H794" s="1">
        <v>-1.9408039999999998E-6</v>
      </c>
      <c r="I794">
        <v>366.56950000000001</v>
      </c>
      <c r="J794">
        <v>-248.0968</v>
      </c>
      <c r="K794">
        <v>1.110322</v>
      </c>
      <c r="L794">
        <v>367.87450000000001</v>
      </c>
      <c r="M794">
        <v>0.99982599999999999</v>
      </c>
      <c r="N794">
        <v>0</v>
      </c>
      <c r="O794">
        <v>1.2426019999999999E-2</v>
      </c>
      <c r="P794">
        <v>0.99408560000000001</v>
      </c>
      <c r="Q794">
        <v>-7.532721E-3</v>
      </c>
      <c r="R794">
        <v>-0.1083407</v>
      </c>
      <c r="S794">
        <v>2.9970249999999998</v>
      </c>
      <c r="T794">
        <v>-0.15434439999999999</v>
      </c>
      <c r="U794">
        <v>-0.1811218</v>
      </c>
      <c r="V794">
        <v>0.1206854</v>
      </c>
      <c r="W794">
        <v>6.297848E-3</v>
      </c>
      <c r="X794">
        <v>0.99267079999999996</v>
      </c>
      <c r="Y794">
        <v>7.2611469999999997E-2</v>
      </c>
      <c r="Z794">
        <v>-2.5058139999999999E-3</v>
      </c>
      <c r="AA794">
        <v>0.9973571</v>
      </c>
      <c r="AB794">
        <v>26</v>
      </c>
      <c r="AC794">
        <v>21.402200000000001</v>
      </c>
      <c r="AD794">
        <v>-1.110323940804</v>
      </c>
      <c r="AE794">
        <v>-1.3049999999999999</v>
      </c>
      <c r="AF794">
        <v>1.56666818049945</v>
      </c>
      <c r="AG794">
        <v>-1.110323940804</v>
      </c>
      <c r="AH794">
        <v>21.3271419572126</v>
      </c>
      <c r="AI794">
        <v>92.972222005212302</v>
      </c>
      <c r="AJ794">
        <v>85.798661875604495</v>
      </c>
      <c r="AK794">
        <v>21.413412911173499</v>
      </c>
      <c r="AL794">
        <v>89.639157494442998</v>
      </c>
      <c r="AM794">
        <v>83.068201068789605</v>
      </c>
      <c r="AN794">
        <v>0.999999972917615</v>
      </c>
    </row>
    <row r="795" spans="1:40" x14ac:dyDescent="0.25">
      <c r="A795" t="str">
        <f>"20190312161239916"</f>
        <v>20190312161239916</v>
      </c>
      <c r="B795" t="str">
        <f>"1552378359906671"</f>
        <v>1552378359906671</v>
      </c>
      <c r="C795" t="s">
        <v>40</v>
      </c>
      <c r="D795">
        <v>5.6353350000000004</v>
      </c>
      <c r="E795">
        <v>0.48186820000000002</v>
      </c>
      <c r="F795" t="s">
        <v>42</v>
      </c>
      <c r="G795">
        <v>-226.96080000000001</v>
      </c>
      <c r="H795" s="1">
        <v>-1.821727E-6</v>
      </c>
      <c r="I795">
        <v>366.60449999999997</v>
      </c>
      <c r="J795">
        <v>-247.95509999999999</v>
      </c>
      <c r="K795">
        <v>1.1103160000000001</v>
      </c>
      <c r="L795">
        <v>367.87639999999999</v>
      </c>
      <c r="M795">
        <v>0.99982550000000003</v>
      </c>
      <c r="N795">
        <v>0</v>
      </c>
      <c r="O795">
        <v>1.2460479999999999E-2</v>
      </c>
      <c r="P795">
        <v>0.99412979999999995</v>
      </c>
      <c r="Q795">
        <v>-7.3376069999999899E-3</v>
      </c>
      <c r="R795">
        <v>-0.1079465</v>
      </c>
      <c r="S795">
        <v>2.997055</v>
      </c>
      <c r="T795">
        <v>-0.15744140000000001</v>
      </c>
      <c r="U795">
        <v>-0.1800842</v>
      </c>
      <c r="V795">
        <v>0.12032610000000001</v>
      </c>
      <c r="W795">
        <v>6.4909640000000001E-3</v>
      </c>
      <c r="X795">
        <v>0.99271319999999996</v>
      </c>
      <c r="Y795">
        <v>7.2297E-2</v>
      </c>
      <c r="Z795">
        <v>-2.549586E-3</v>
      </c>
      <c r="AA795">
        <v>0.99737989999999999</v>
      </c>
      <c r="AB795">
        <v>26</v>
      </c>
      <c r="AC795">
        <v>20.9942999999999</v>
      </c>
      <c r="AD795">
        <v>-1.110317821727</v>
      </c>
      <c r="AE795">
        <v>-1.27190000000001</v>
      </c>
      <c r="AF795">
        <v>1.5291642075749301</v>
      </c>
      <c r="AG795">
        <v>-1.110317821727</v>
      </c>
      <c r="AH795">
        <v>20.9185247104326</v>
      </c>
      <c r="AI795">
        <v>93.030235723003301</v>
      </c>
      <c r="AJ795">
        <v>85.819060313510406</v>
      </c>
      <c r="AK795">
        <v>21.0037097889861</v>
      </c>
      <c r="AL795">
        <v>89.628092546301303</v>
      </c>
      <c r="AM795">
        <v>83.088930595516302</v>
      </c>
      <c r="AN795">
        <v>1.0000000002045399</v>
      </c>
    </row>
    <row r="796" spans="1:40" x14ac:dyDescent="0.25">
      <c r="A796" t="str">
        <f>"20190312161239942"</f>
        <v>20190312161239942</v>
      </c>
      <c r="B796" t="str">
        <f>"1552378359935951"</f>
        <v>1552378359935951</v>
      </c>
      <c r="C796" t="s">
        <v>40</v>
      </c>
      <c r="D796">
        <v>5.6326489999999998</v>
      </c>
      <c r="E796">
        <v>0.48183599999999999</v>
      </c>
      <c r="F796" t="s">
        <v>42</v>
      </c>
      <c r="G796">
        <v>-227.83250000000001</v>
      </c>
      <c r="H796" s="1">
        <v>-1.4953990000000001E-6</v>
      </c>
      <c r="I796">
        <v>366.71600000000001</v>
      </c>
      <c r="J796">
        <v>-247.65100000000001</v>
      </c>
      <c r="K796">
        <v>1.1103069999999999</v>
      </c>
      <c r="L796">
        <v>367.8802</v>
      </c>
      <c r="M796">
        <v>0.99982490000000002</v>
      </c>
      <c r="N796">
        <v>0</v>
      </c>
      <c r="O796">
        <v>1.2522780000000001E-2</v>
      </c>
      <c r="P796">
        <v>0.99416769999999999</v>
      </c>
      <c r="Q796">
        <v>-8.0257190000000006E-3</v>
      </c>
      <c r="R796">
        <v>-0.1075479</v>
      </c>
      <c r="S796">
        <v>2.9977260000000001</v>
      </c>
      <c r="T796">
        <v>-0.16540650000000001</v>
      </c>
      <c r="U796">
        <v>-0.17285159999999999</v>
      </c>
      <c r="V796">
        <v>0.1199901</v>
      </c>
      <c r="W796">
        <v>5.7971790000000004E-3</v>
      </c>
      <c r="X796">
        <v>0.99275820000000004</v>
      </c>
      <c r="Y796">
        <v>6.9938940000000005E-2</v>
      </c>
      <c r="Z796">
        <v>-2.6164510000000001E-3</v>
      </c>
      <c r="AA796">
        <v>0.99754790000000004</v>
      </c>
      <c r="AB796">
        <v>26</v>
      </c>
      <c r="AC796">
        <v>19.818499999999901</v>
      </c>
      <c r="AD796">
        <v>-1.1103084953989999</v>
      </c>
      <c r="AE796">
        <v>-1.1641999999999899</v>
      </c>
      <c r="AF796">
        <v>1.40791163096358</v>
      </c>
      <c r="AG796">
        <v>-1.1103084953989999</v>
      </c>
      <c r="AH796">
        <v>19.740619006583099</v>
      </c>
      <c r="AI796">
        <v>93.211062504467904</v>
      </c>
      <c r="AJ796">
        <v>85.920541524364793</v>
      </c>
      <c r="AK796">
        <v>19.821882828798699</v>
      </c>
      <c r="AL796">
        <v>89.667844262189107</v>
      </c>
      <c r="AM796">
        <v>83.108352669611605</v>
      </c>
      <c r="AN796">
        <v>1.0000000375247999</v>
      </c>
    </row>
    <row r="797" spans="1:40" x14ac:dyDescent="0.25">
      <c r="A797" t="str">
        <f>"20190312161239957"</f>
        <v>20190312161239957</v>
      </c>
      <c r="B797" t="str">
        <f>"1552378359946687"</f>
        <v>1552378359946687</v>
      </c>
      <c r="C797" t="s">
        <v>40</v>
      </c>
      <c r="D797">
        <v>5.7240039999999999</v>
      </c>
      <c r="E797">
        <v>0.48143590000000003</v>
      </c>
      <c r="F797" t="s">
        <v>42</v>
      </c>
      <c r="G797">
        <v>-229.05590000000001</v>
      </c>
      <c r="H797" s="1">
        <v>-1.051079E-6</v>
      </c>
      <c r="I797">
        <v>366.82119999999998</v>
      </c>
      <c r="J797">
        <v>-247.48339999999999</v>
      </c>
      <c r="K797">
        <v>1.1102939999999999</v>
      </c>
      <c r="L797">
        <v>367.88240000000002</v>
      </c>
      <c r="M797">
        <v>0.9998245</v>
      </c>
      <c r="N797">
        <v>0</v>
      </c>
      <c r="O797">
        <v>1.2547289999999999E-2</v>
      </c>
      <c r="P797">
        <v>0.99420299999999995</v>
      </c>
      <c r="Q797">
        <v>-8.5752829999999995E-3</v>
      </c>
      <c r="R797">
        <v>-0.1071782</v>
      </c>
      <c r="S797">
        <v>2.997665</v>
      </c>
      <c r="T797">
        <v>-0.17898910000000001</v>
      </c>
      <c r="U797">
        <v>-0.17071529999999999</v>
      </c>
      <c r="V797">
        <v>0.1196453</v>
      </c>
      <c r="W797">
        <v>5.2445340000000003E-3</v>
      </c>
      <c r="X797">
        <v>0.99280290000000004</v>
      </c>
      <c r="Y797">
        <v>6.9235820000000003E-2</v>
      </c>
      <c r="Z797">
        <v>-2.8115570000000001E-3</v>
      </c>
      <c r="AA797">
        <v>0.99759640000000005</v>
      </c>
      <c r="AB797">
        <v>26</v>
      </c>
      <c r="AC797">
        <v>18.427499999999899</v>
      </c>
      <c r="AD797">
        <v>-1.110295051079</v>
      </c>
      <c r="AE797">
        <v>-1.0612000000000399</v>
      </c>
      <c r="AF797">
        <v>1.28769472765689</v>
      </c>
      <c r="AG797">
        <v>-1.110295051079</v>
      </c>
      <c r="AH797">
        <v>18.346349800164202</v>
      </c>
      <c r="AI797">
        <v>93.454756768070197</v>
      </c>
      <c r="AJ797">
        <v>85.9851046116285</v>
      </c>
      <c r="AK797">
        <v>18.424968488495999</v>
      </c>
      <c r="AL797">
        <v>89.699508973973096</v>
      </c>
      <c r="AM797">
        <v>83.128273104938998</v>
      </c>
      <c r="AN797">
        <v>1.0000000505986799</v>
      </c>
    </row>
    <row r="798" spans="1:40" x14ac:dyDescent="0.25">
      <c r="A798" t="str">
        <f>"20190312161239984"</f>
        <v>20190312161239984</v>
      </c>
      <c r="B798" t="str">
        <f>"1552378359975967"</f>
        <v>1552378359975967</v>
      </c>
      <c r="C798" t="s">
        <v>40</v>
      </c>
      <c r="D798">
        <v>5.61388</v>
      </c>
      <c r="E798">
        <v>0.48090949999999999</v>
      </c>
      <c r="F798" t="s">
        <v>42</v>
      </c>
      <c r="G798">
        <v>-228.01300000000001</v>
      </c>
      <c r="H798" s="1">
        <v>-1.411741E-6</v>
      </c>
      <c r="I798">
        <v>366.7996</v>
      </c>
      <c r="J798">
        <v>-247.1679</v>
      </c>
      <c r="K798">
        <v>1.1102780000000001</v>
      </c>
      <c r="L798">
        <v>367.88639999999998</v>
      </c>
      <c r="M798">
        <v>0.9998243</v>
      </c>
      <c r="N798">
        <v>0</v>
      </c>
      <c r="O798">
        <v>1.257573E-2</v>
      </c>
      <c r="P798">
        <v>0.99419329999999995</v>
      </c>
      <c r="Q798">
        <v>-8.7696259999999904E-3</v>
      </c>
      <c r="R798">
        <v>-0.1072543</v>
      </c>
      <c r="S798">
        <v>2.9980319999999998</v>
      </c>
      <c r="T798">
        <v>-0.17096069999999999</v>
      </c>
      <c r="U798">
        <v>-0.16671749999999999</v>
      </c>
      <c r="V798">
        <v>0.1197496</v>
      </c>
      <c r="W798">
        <v>5.0423559999999996E-3</v>
      </c>
      <c r="X798">
        <v>0.99279139999999999</v>
      </c>
      <c r="Y798">
        <v>6.794596E-2</v>
      </c>
      <c r="Z798">
        <v>-2.6503289999999999E-3</v>
      </c>
      <c r="AA798">
        <v>0.9976855</v>
      </c>
      <c r="AB798">
        <v>26</v>
      </c>
      <c r="AC798">
        <v>19.154900000000001</v>
      </c>
      <c r="AD798">
        <v>-1.110279411741</v>
      </c>
      <c r="AE798">
        <v>-1.08679999999998</v>
      </c>
      <c r="AF798">
        <v>1.32319285785733</v>
      </c>
      <c r="AG798">
        <v>-1.110279411741</v>
      </c>
      <c r="AH798">
        <v>19.075832303228701</v>
      </c>
      <c r="AI798">
        <v>93.323087493398901</v>
      </c>
      <c r="AJ798">
        <v>86.0320407947533</v>
      </c>
      <c r="AK798">
        <v>19.153875267739501</v>
      </c>
      <c r="AL798">
        <v>89.711093080658799</v>
      </c>
      <c r="AM798">
        <v>83.122261171835504</v>
      </c>
      <c r="AN798">
        <v>1.0000000779840701</v>
      </c>
    </row>
    <row r="799" spans="1:40" x14ac:dyDescent="0.25">
      <c r="A799" t="str">
        <f>"20190312161240001"</f>
        <v>20190312161240001</v>
      </c>
      <c r="B799" t="str">
        <f>"1552378359996463"</f>
        <v>1552378359996463</v>
      </c>
      <c r="C799" t="s">
        <v>40</v>
      </c>
      <c r="D799">
        <v>5.5527680000000004</v>
      </c>
      <c r="E799">
        <v>0.48140680000000002</v>
      </c>
      <c r="F799" t="s">
        <v>42</v>
      </c>
      <c r="G799">
        <v>-226.0788</v>
      </c>
      <c r="H799" s="1">
        <v>-2.1753589999999999E-6</v>
      </c>
      <c r="I799">
        <v>366.7364</v>
      </c>
      <c r="J799">
        <v>-246.983</v>
      </c>
      <c r="K799">
        <v>1.110268</v>
      </c>
      <c r="L799">
        <v>367.8888</v>
      </c>
      <c r="M799">
        <v>0.99982420000000005</v>
      </c>
      <c r="N799">
        <v>0</v>
      </c>
      <c r="O799">
        <v>1.258313E-2</v>
      </c>
      <c r="P799">
        <v>0.9941972</v>
      </c>
      <c r="Q799">
        <v>-8.8444460000000006E-3</v>
      </c>
      <c r="R799">
        <v>-0.10721120000000001</v>
      </c>
      <c r="S799">
        <v>2.9985050000000002</v>
      </c>
      <c r="T799">
        <v>-0.15786240000000001</v>
      </c>
      <c r="U799">
        <v>-0.1635132</v>
      </c>
      <c r="V799">
        <v>0.119713899999999</v>
      </c>
      <c r="W799">
        <v>4.9636799999999998E-3</v>
      </c>
      <c r="X799">
        <v>0.99279600000000001</v>
      </c>
      <c r="Y799">
        <v>6.6902279999999995E-2</v>
      </c>
      <c r="Z799">
        <v>-2.4202049999999999E-3</v>
      </c>
      <c r="AA799">
        <v>0.99775659999999999</v>
      </c>
      <c r="AB799">
        <v>26</v>
      </c>
      <c r="AC799">
        <v>20.904199999999999</v>
      </c>
      <c r="AD799">
        <v>-1.1102701753590001</v>
      </c>
      <c r="AE799">
        <v>-1.1524000000000001</v>
      </c>
      <c r="AF799">
        <v>1.4114050373684199</v>
      </c>
      <c r="AG799">
        <v>-1.1102701753590001</v>
      </c>
      <c r="AH799">
        <v>20.8294623323719</v>
      </c>
      <c r="AI799">
        <v>93.044174818649097</v>
      </c>
      <c r="AJ799">
        <v>86.123561679413299</v>
      </c>
      <c r="AK799">
        <v>20.906727747246801</v>
      </c>
      <c r="AL799">
        <v>89.7156009106955</v>
      </c>
      <c r="AM799">
        <v>83.124323499051798</v>
      </c>
      <c r="AN799">
        <v>0.99999997679417596</v>
      </c>
    </row>
    <row r="800" spans="1:40" x14ac:dyDescent="0.25">
      <c r="A800" t="str">
        <f>"20190312161240018"</f>
        <v>20190312161240018</v>
      </c>
      <c r="B800" t="str">
        <f>"1552378360006224"</f>
        <v>1552378360006224</v>
      </c>
      <c r="C800" t="s">
        <v>40</v>
      </c>
      <c r="D800">
        <v>5.5729150000000001</v>
      </c>
      <c r="E800">
        <v>0.48177140000000002</v>
      </c>
      <c r="F800" t="s">
        <v>42</v>
      </c>
      <c r="G800">
        <v>-225.70500000000001</v>
      </c>
      <c r="H800" s="1">
        <v>-2.3423800000000001E-6</v>
      </c>
      <c r="I800">
        <v>366.69900000000001</v>
      </c>
      <c r="J800">
        <v>-246.78020000000001</v>
      </c>
      <c r="K800">
        <v>1.11026</v>
      </c>
      <c r="L800">
        <v>367.8913</v>
      </c>
      <c r="M800">
        <v>0.99982409999999999</v>
      </c>
      <c r="N800">
        <v>0</v>
      </c>
      <c r="O800">
        <v>1.258572E-2</v>
      </c>
      <c r="P800">
        <v>0.99417639999999996</v>
      </c>
      <c r="Q800">
        <v>-8.7209850000000005E-3</v>
      </c>
      <c r="R800">
        <v>-0.1074114</v>
      </c>
      <c r="S800">
        <v>2.9980470000000001</v>
      </c>
      <c r="T800">
        <v>-0.15643509999999999</v>
      </c>
      <c r="U800">
        <v>-0.16763310000000001</v>
      </c>
      <c r="V800">
        <v>0.1199167</v>
      </c>
      <c r="W800">
        <v>5.0828879999999998E-3</v>
      </c>
      <c r="X800">
        <v>0.99277099999999996</v>
      </c>
      <c r="Y800">
        <v>6.8280099999999996E-2</v>
      </c>
      <c r="Z800">
        <v>-2.4346580000000001E-3</v>
      </c>
      <c r="AA800">
        <v>0.99766319999999997</v>
      </c>
      <c r="AB800">
        <v>26</v>
      </c>
      <c r="AC800">
        <v>21.075199999999899</v>
      </c>
      <c r="AD800">
        <v>-1.11026234238</v>
      </c>
      <c r="AE800">
        <v>-1.1922999999999799</v>
      </c>
      <c r="AF800">
        <v>1.4534568727185899</v>
      </c>
      <c r="AG800">
        <v>-1.11026234238</v>
      </c>
      <c r="AH800">
        <v>21.0004267886011</v>
      </c>
      <c r="AI800">
        <v>93.019118941702999</v>
      </c>
      <c r="AJ800">
        <v>86.040825415208204</v>
      </c>
      <c r="AK800">
        <v>21.0799227857494</v>
      </c>
      <c r="AL800">
        <v>89.708770731723007</v>
      </c>
      <c r="AM800">
        <v>83.112615849740294</v>
      </c>
      <c r="AN800">
        <v>1.00000005456515</v>
      </c>
    </row>
    <row r="801" spans="1:40" x14ac:dyDescent="0.25">
      <c r="A801" t="str">
        <f>"20190312161240038"</f>
        <v>20190312161240038</v>
      </c>
      <c r="B801" t="str">
        <f>"1552378360026720"</f>
        <v>1552378360026720</v>
      </c>
      <c r="C801" t="s">
        <v>40</v>
      </c>
      <c r="D801">
        <v>5.6005209999999996</v>
      </c>
      <c r="E801">
        <v>0.48192560000000001</v>
      </c>
      <c r="F801" t="s">
        <v>42</v>
      </c>
      <c r="G801">
        <v>-225.70310000000001</v>
      </c>
      <c r="H801" s="1">
        <v>-2.3448899999999999E-6</v>
      </c>
      <c r="I801">
        <v>366.68920000000003</v>
      </c>
      <c r="J801">
        <v>-246.56139999999999</v>
      </c>
      <c r="K801">
        <v>1.1102620000000001</v>
      </c>
      <c r="L801">
        <v>367.89409999999998</v>
      </c>
      <c r="M801">
        <v>0.99982409999999999</v>
      </c>
      <c r="N801">
        <v>0</v>
      </c>
      <c r="O801">
        <v>1.2583159999999999E-2</v>
      </c>
      <c r="P801">
        <v>0.99414590000000003</v>
      </c>
      <c r="Q801">
        <v>-8.8569110000000003E-3</v>
      </c>
      <c r="R801">
        <v>-0.1076825</v>
      </c>
      <c r="S801">
        <v>2.9977109999999998</v>
      </c>
      <c r="T801">
        <v>-0.15790799999999999</v>
      </c>
      <c r="U801">
        <v>-0.17095949999999999</v>
      </c>
      <c r="V801">
        <v>0.1201849</v>
      </c>
      <c r="W801">
        <v>4.9427000000000004E-3</v>
      </c>
      <c r="X801">
        <v>0.99273920000000004</v>
      </c>
      <c r="Y801">
        <v>6.9383639999999996E-2</v>
      </c>
      <c r="Z801">
        <v>-2.4866340000000002E-3</v>
      </c>
      <c r="AA801">
        <v>0.997587</v>
      </c>
      <c r="AB801">
        <v>26</v>
      </c>
      <c r="AC801">
        <v>20.8582999999999</v>
      </c>
      <c r="AD801">
        <v>-1.11026434489</v>
      </c>
      <c r="AE801">
        <v>-1.2048999999999499</v>
      </c>
      <c r="AF801">
        <v>1.46316149181441</v>
      </c>
      <c r="AG801">
        <v>-1.11026434489</v>
      </c>
      <c r="AH801">
        <v>20.782797002881701</v>
      </c>
      <c r="AI801">
        <v>93.050428059824299</v>
      </c>
      <c r="AJ801">
        <v>85.972876886475206</v>
      </c>
      <c r="AK801">
        <v>20.863800701925101</v>
      </c>
      <c r="AL801">
        <v>89.716802991787304</v>
      </c>
      <c r="AM801">
        <v>83.097141330253507</v>
      </c>
      <c r="AN801">
        <v>0.99999997984396904</v>
      </c>
    </row>
    <row r="802" spans="1:40" x14ac:dyDescent="0.25">
      <c r="A802" t="str">
        <f>"20190312161240060"</f>
        <v>20190312161240060</v>
      </c>
      <c r="B802" t="str">
        <f>"1552378360056001"</f>
        <v>1552378360056001</v>
      </c>
      <c r="C802" t="s">
        <v>40</v>
      </c>
      <c r="D802">
        <v>5.4276999999999997</v>
      </c>
      <c r="E802">
        <v>0.481993</v>
      </c>
      <c r="F802" t="s">
        <v>42</v>
      </c>
      <c r="G802">
        <v>-225.05699999999999</v>
      </c>
      <c r="H802" s="1">
        <v>-2.6287119999999998E-6</v>
      </c>
      <c r="I802">
        <v>366.65179999999998</v>
      </c>
      <c r="J802">
        <v>-246.31280000000001</v>
      </c>
      <c r="K802">
        <v>1.110266</v>
      </c>
      <c r="L802">
        <v>367.8972</v>
      </c>
      <c r="M802">
        <v>0.9998243</v>
      </c>
      <c r="N802">
        <v>0</v>
      </c>
      <c r="O802">
        <v>1.257611E-2</v>
      </c>
      <c r="P802">
        <v>0.994112</v>
      </c>
      <c r="Q802">
        <v>-8.5144899999999996E-3</v>
      </c>
      <c r="R802">
        <v>-0.1080232</v>
      </c>
      <c r="S802">
        <v>2.9975429999999998</v>
      </c>
      <c r="T802">
        <v>-0.15476189999999901</v>
      </c>
      <c r="U802">
        <v>-0.1731567</v>
      </c>
      <c r="V802">
        <v>0.12051829999999999</v>
      </c>
      <c r="W802">
        <v>5.2817259999999996E-3</v>
      </c>
      <c r="X802">
        <v>0.9926971</v>
      </c>
      <c r="Y802">
        <v>7.011212E-2</v>
      </c>
      <c r="Z802">
        <v>-2.4556579999999999E-3</v>
      </c>
      <c r="AA802">
        <v>0.99753610000000004</v>
      </c>
      <c r="AB802">
        <v>25</v>
      </c>
      <c r="AC802">
        <v>21.255799999999901</v>
      </c>
      <c r="AD802">
        <v>-1.110268628712</v>
      </c>
      <c r="AE802">
        <v>-1.2454000000000101</v>
      </c>
      <c r="AF802">
        <v>1.50854084121678</v>
      </c>
      <c r="AG802">
        <v>-1.110268628712</v>
      </c>
      <c r="AH802">
        <v>21.180863658837399</v>
      </c>
      <c r="AI802">
        <v>92.993043543015006</v>
      </c>
      <c r="AJ802">
        <v>85.926166063430898</v>
      </c>
      <c r="AK802">
        <v>21.263522220737102</v>
      </c>
      <c r="AL802">
        <v>89.697377998181494</v>
      </c>
      <c r="AM802">
        <v>83.077887208236206</v>
      </c>
      <c r="AN802">
        <v>1.0000000448064099</v>
      </c>
    </row>
    <row r="803" spans="1:40" x14ac:dyDescent="0.25">
      <c r="A803" t="str">
        <f>"20190312161240080"</f>
        <v>20190312161240080</v>
      </c>
      <c r="B803" t="str">
        <f>"1552378360076495"</f>
        <v>1552378360076495</v>
      </c>
      <c r="C803" t="s">
        <v>40</v>
      </c>
      <c r="D803">
        <v>5.4557159999999998</v>
      </c>
      <c r="E803">
        <v>0.48210160000000002</v>
      </c>
      <c r="F803" t="s">
        <v>42</v>
      </c>
      <c r="G803">
        <v>-223.4478</v>
      </c>
      <c r="H803" s="1">
        <v>-3.3352319999999999E-6</v>
      </c>
      <c r="I803">
        <v>366.5607</v>
      </c>
      <c r="J803">
        <v>-246.08320000000001</v>
      </c>
      <c r="K803">
        <v>1.1102650000000001</v>
      </c>
      <c r="L803">
        <v>367.90010000000001</v>
      </c>
      <c r="M803">
        <v>0.99982459999999995</v>
      </c>
      <c r="N803">
        <v>0</v>
      </c>
      <c r="O803">
        <v>1.256789E-2</v>
      </c>
      <c r="P803">
        <v>0.99412880000000003</v>
      </c>
      <c r="Q803">
        <v>-7.95041199999999E-3</v>
      </c>
      <c r="R803">
        <v>-0.10791249999999999</v>
      </c>
      <c r="S803">
        <v>2.9974820000000002</v>
      </c>
      <c r="T803">
        <v>-0.1455497</v>
      </c>
      <c r="U803">
        <v>-0.17520139999999901</v>
      </c>
      <c r="V803">
        <v>0.1203996</v>
      </c>
      <c r="W803">
        <v>5.843432E-3</v>
      </c>
      <c r="X803">
        <v>0.99270829999999999</v>
      </c>
      <c r="Y803">
        <v>7.0795109999999994E-2</v>
      </c>
      <c r="Z803">
        <v>-2.3258229999999999E-3</v>
      </c>
      <c r="AA803">
        <v>0.99748809999999999</v>
      </c>
      <c r="AB803">
        <v>25</v>
      </c>
      <c r="AC803">
        <v>22.635400000000001</v>
      </c>
      <c r="AD803">
        <v>-1.110268335232</v>
      </c>
      <c r="AE803">
        <v>-1.3394000000000099</v>
      </c>
      <c r="AF803">
        <v>1.6199170650256001</v>
      </c>
      <c r="AG803">
        <v>-1.110268335232</v>
      </c>
      <c r="AH803">
        <v>22.562682478748101</v>
      </c>
      <c r="AI803">
        <v>92.809926889305899</v>
      </c>
      <c r="AJ803">
        <v>85.893421563352405</v>
      </c>
      <c r="AK803">
        <v>22.647990368034499</v>
      </c>
      <c r="AL803">
        <v>89.665194099508099</v>
      </c>
      <c r="AM803">
        <v>83.084716099927505</v>
      </c>
      <c r="AN803">
        <v>0.99999998913329402</v>
      </c>
    </row>
    <row r="804" spans="1:40" x14ac:dyDescent="0.25">
      <c r="A804" t="str">
        <f>"20190312161240095"</f>
        <v>20190312161240095</v>
      </c>
      <c r="B804" t="str">
        <f>"1552378360086257"</f>
        <v>1552378360086257</v>
      </c>
      <c r="C804" t="s">
        <v>40</v>
      </c>
      <c r="D804">
        <v>5.4048590000000001</v>
      </c>
      <c r="E804">
        <v>0.48219309999999999</v>
      </c>
      <c r="F804" t="s">
        <v>42</v>
      </c>
      <c r="G804">
        <v>-222.31970000000001</v>
      </c>
      <c r="H804" s="1">
        <v>-3.8288249999999997E-6</v>
      </c>
      <c r="I804">
        <v>366.50619999999998</v>
      </c>
      <c r="J804">
        <v>-245.92490000000001</v>
      </c>
      <c r="K804">
        <v>1.110271</v>
      </c>
      <c r="L804">
        <v>367.90210000000002</v>
      </c>
      <c r="M804">
        <v>0.99982459999999995</v>
      </c>
      <c r="N804">
        <v>0</v>
      </c>
      <c r="O804">
        <v>1.2562719999999999E-2</v>
      </c>
      <c r="P804">
        <v>0.99412970000000001</v>
      </c>
      <c r="Q804">
        <v>-7.8195260000000003E-3</v>
      </c>
      <c r="R804">
        <v>-0.1079152</v>
      </c>
      <c r="S804">
        <v>2.9974820000000002</v>
      </c>
      <c r="T804">
        <v>-0.14004710000000001</v>
      </c>
      <c r="U804">
        <v>-0.17581179999999999</v>
      </c>
      <c r="V804">
        <v>0.12039710000000001</v>
      </c>
      <c r="W804">
        <v>5.9731289999999998E-3</v>
      </c>
      <c r="X804">
        <v>0.99270780000000003</v>
      </c>
      <c r="Y804">
        <v>7.0999430000000002E-2</v>
      </c>
      <c r="Z804">
        <v>-2.2425029999999999E-3</v>
      </c>
      <c r="AA804">
        <v>0.99747379999999997</v>
      </c>
      <c r="AB804">
        <v>25</v>
      </c>
      <c r="AC804">
        <v>23.6052</v>
      </c>
      <c r="AD804">
        <v>-1.1102748288249999</v>
      </c>
      <c r="AE804">
        <v>-1.3959000000000299</v>
      </c>
      <c r="AF804">
        <v>1.6886411775275101</v>
      </c>
      <c r="AG804">
        <v>-1.1102748288249999</v>
      </c>
      <c r="AH804">
        <v>23.533916024052498</v>
      </c>
      <c r="AI804">
        <v>92.694161018994905</v>
      </c>
      <c r="AJ804">
        <v>85.895860306080294</v>
      </c>
      <c r="AK804">
        <v>23.620529686040399</v>
      </c>
      <c r="AL804">
        <v>89.657762868370497</v>
      </c>
      <c r="AM804">
        <v>83.084854850574104</v>
      </c>
      <c r="AN804">
        <v>0.99999995806964903</v>
      </c>
    </row>
    <row r="805" spans="1:40" x14ac:dyDescent="0.25">
      <c r="A805" t="str">
        <f>"20190312161240109"</f>
        <v>20190312161240109</v>
      </c>
      <c r="B805" t="str">
        <f>"1552378360096992"</f>
        <v>1552378360096992</v>
      </c>
      <c r="C805" t="s">
        <v>40</v>
      </c>
      <c r="D805">
        <v>5.3782860000000001</v>
      </c>
      <c r="E805">
        <v>0.48227959999999898</v>
      </c>
      <c r="F805" t="s">
        <v>42</v>
      </c>
      <c r="G805">
        <v>-221.792</v>
      </c>
      <c r="H805" s="1">
        <v>-4.0601950000000002E-6</v>
      </c>
      <c r="I805">
        <v>366.47820000000002</v>
      </c>
      <c r="J805">
        <v>-245.7516</v>
      </c>
      <c r="K805">
        <v>1.110271</v>
      </c>
      <c r="L805">
        <v>367.90429999999998</v>
      </c>
      <c r="M805">
        <v>0.99982459999999995</v>
      </c>
      <c r="N805">
        <v>0</v>
      </c>
      <c r="O805">
        <v>1.255774E-2</v>
      </c>
      <c r="P805">
        <v>0.99415010000000004</v>
      </c>
      <c r="Q805">
        <v>-7.6672469999999899E-3</v>
      </c>
      <c r="R805">
        <v>-0.1077367</v>
      </c>
      <c r="S805">
        <v>2.9974370000000001</v>
      </c>
      <c r="T805">
        <v>-0.13790150000000001</v>
      </c>
      <c r="U805">
        <v>-0.17684939999999999</v>
      </c>
      <c r="V805">
        <v>0.1202138</v>
      </c>
      <c r="W805">
        <v>6.1238069999999898E-3</v>
      </c>
      <c r="X805">
        <v>0.99272910000000003</v>
      </c>
      <c r="Y805">
        <v>7.1341840000000004E-2</v>
      </c>
      <c r="Z805">
        <v>-2.215833E-3</v>
      </c>
      <c r="AA805">
        <v>0.99744949999999999</v>
      </c>
      <c r="AB805">
        <v>25</v>
      </c>
      <c r="AC805">
        <v>23.959599999999899</v>
      </c>
      <c r="AD805">
        <v>-1.110275060195</v>
      </c>
      <c r="AE805">
        <v>-1.42609999999996</v>
      </c>
      <c r="AF805">
        <v>1.7232077449612699</v>
      </c>
      <c r="AG805">
        <v>-1.110275060195</v>
      </c>
      <c r="AH805">
        <v>23.888683882504601</v>
      </c>
      <c r="AI805">
        <v>92.654136222429997</v>
      </c>
      <c r="AJ805">
        <v>85.874121217427799</v>
      </c>
      <c r="AK805">
        <v>23.976475414034901</v>
      </c>
      <c r="AL805">
        <v>89.6491294981154</v>
      </c>
      <c r="AM805">
        <v>83.095427902366197</v>
      </c>
      <c r="AN805">
        <v>0.999999962354711</v>
      </c>
    </row>
    <row r="806" spans="1:40" x14ac:dyDescent="0.25">
      <c r="A806" t="str">
        <f>"20190312161240125"</f>
        <v>20190312161240125</v>
      </c>
      <c r="B806" t="str">
        <f>"1552378360116512"</f>
        <v>1552378360116512</v>
      </c>
      <c r="C806" t="s">
        <v>40</v>
      </c>
      <c r="D806">
        <v>5.3250330000000003</v>
      </c>
      <c r="E806">
        <v>0.48242400000000002</v>
      </c>
      <c r="F806" t="s">
        <v>42</v>
      </c>
      <c r="G806">
        <v>-221.26820000000001</v>
      </c>
      <c r="H806" s="1">
        <v>-4.288158E-6</v>
      </c>
      <c r="I806">
        <v>366.4597</v>
      </c>
      <c r="J806">
        <v>-245.5684</v>
      </c>
      <c r="K806">
        <v>1.110274</v>
      </c>
      <c r="L806">
        <v>367.90660000000003</v>
      </c>
      <c r="M806">
        <v>0.99982470000000001</v>
      </c>
      <c r="N806">
        <v>0</v>
      </c>
      <c r="O806">
        <v>1.2554249999999999E-2</v>
      </c>
      <c r="P806">
        <v>0.99415260000000005</v>
      </c>
      <c r="Q806">
        <v>-7.4468119999999997E-3</v>
      </c>
      <c r="R806">
        <v>-0.1077285</v>
      </c>
      <c r="S806">
        <v>2.9974669999999999</v>
      </c>
      <c r="T806">
        <v>-0.1359291</v>
      </c>
      <c r="U806">
        <v>-0.17684939999999999</v>
      </c>
      <c r="V806">
        <v>0.1202023</v>
      </c>
      <c r="W806">
        <v>6.3426709999999898E-3</v>
      </c>
      <c r="X806">
        <v>0.99272910000000003</v>
      </c>
      <c r="Y806">
        <v>7.1340269999999997E-2</v>
      </c>
      <c r="Z806">
        <v>-2.1839559999999999E-3</v>
      </c>
      <c r="AA806">
        <v>0.99744960000000005</v>
      </c>
      <c r="AB806">
        <v>25</v>
      </c>
      <c r="AC806">
        <v>24.300199999999901</v>
      </c>
      <c r="AD806">
        <v>-1.110278288158</v>
      </c>
      <c r="AE806">
        <v>-1.4469000000000201</v>
      </c>
      <c r="AF806">
        <v>1.74824944998399</v>
      </c>
      <c r="AG806">
        <v>-1.110278288158</v>
      </c>
      <c r="AH806">
        <v>24.229715215153799</v>
      </c>
      <c r="AI806">
        <v>92.616835942680893</v>
      </c>
      <c r="AJ806">
        <v>85.873082741467002</v>
      </c>
      <c r="AK806">
        <v>24.318063110041901</v>
      </c>
      <c r="AL806">
        <v>89.636589263914203</v>
      </c>
      <c r="AM806">
        <v>83.0960820385082</v>
      </c>
      <c r="AN806">
        <v>0.99999994419375504</v>
      </c>
    </row>
    <row r="807" spans="1:40" x14ac:dyDescent="0.25">
      <c r="A807" t="str">
        <f>"20190312161240146"</f>
        <v>20190312161240146</v>
      </c>
      <c r="B807" t="str">
        <f>"1552378360137008"</f>
        <v>1552378360137008</v>
      </c>
      <c r="C807" t="s">
        <v>40</v>
      </c>
      <c r="D807">
        <v>5.3908430000000003</v>
      </c>
      <c r="E807">
        <v>0.48259750000000001</v>
      </c>
      <c r="F807" t="s">
        <v>42</v>
      </c>
      <c r="G807">
        <v>-220.4092</v>
      </c>
      <c r="H807" s="1">
        <v>-4.6655289999999998E-6</v>
      </c>
      <c r="I807">
        <v>366.40980000000002</v>
      </c>
      <c r="J807">
        <v>-245.33</v>
      </c>
      <c r="K807">
        <v>1.110276</v>
      </c>
      <c r="L807">
        <v>367.90949999999998</v>
      </c>
      <c r="M807">
        <v>0.99982490000000002</v>
      </c>
      <c r="N807">
        <v>0</v>
      </c>
      <c r="O807">
        <v>1.255177E-2</v>
      </c>
      <c r="P807">
        <v>0.99414130000000001</v>
      </c>
      <c r="Q807">
        <v>-7.8121909999999996E-3</v>
      </c>
      <c r="R807">
        <v>-0.1078069</v>
      </c>
      <c r="S807">
        <v>2.9973299999999998</v>
      </c>
      <c r="T807">
        <v>-0.13227220000000001</v>
      </c>
      <c r="U807">
        <v>-0.17831420000000001</v>
      </c>
      <c r="V807">
        <v>0.120278</v>
      </c>
      <c r="W807">
        <v>5.9745589999999999E-3</v>
      </c>
      <c r="X807">
        <v>0.99272229999999995</v>
      </c>
      <c r="Y807">
        <v>7.1830320000000003E-2</v>
      </c>
      <c r="Z807">
        <v>-2.1360149999999998E-3</v>
      </c>
      <c r="AA807">
        <v>0.99741460000000004</v>
      </c>
      <c r="AB807">
        <v>25</v>
      </c>
      <c r="AC807">
        <v>24.9208</v>
      </c>
      <c r="AD807">
        <v>-1.1102806655290001</v>
      </c>
      <c r="AE807">
        <v>-1.4996999999999601</v>
      </c>
      <c r="AF807">
        <v>1.8088346914097</v>
      </c>
      <c r="AG807">
        <v>-1.1102806655290001</v>
      </c>
      <c r="AH807">
        <v>24.850861922598501</v>
      </c>
      <c r="AI807">
        <v>92.551404639156104</v>
      </c>
      <c r="AJ807">
        <v>85.836919193407198</v>
      </c>
      <c r="AK807">
        <v>24.941330044589598</v>
      </c>
      <c r="AL807">
        <v>89.657680958145605</v>
      </c>
      <c r="AM807">
        <v>83.091729286467398</v>
      </c>
      <c r="AN807">
        <v>1.00000002877826</v>
      </c>
    </row>
    <row r="808" spans="1:40" x14ac:dyDescent="0.25">
      <c r="A808" t="str">
        <f>"20190312161240160"</f>
        <v>20190312161240160</v>
      </c>
      <c r="B808" t="str">
        <f>"1552378360156527"</f>
        <v>1552378360156527</v>
      </c>
      <c r="C808" t="s">
        <v>40</v>
      </c>
      <c r="D808">
        <v>5.3068150000000003</v>
      </c>
      <c r="E808">
        <v>0.48282959999999903</v>
      </c>
      <c r="F808" t="s">
        <v>42</v>
      </c>
      <c r="G808">
        <v>-220.64340000000001</v>
      </c>
      <c r="H808" s="1">
        <v>-4.5612130000000002E-6</v>
      </c>
      <c r="I808">
        <v>366.43150000000003</v>
      </c>
      <c r="J808">
        <v>-245.17840000000001</v>
      </c>
      <c r="K808">
        <v>1.110276</v>
      </c>
      <c r="L808">
        <v>367.91140000000001</v>
      </c>
      <c r="M808">
        <v>0.99982479999999996</v>
      </c>
      <c r="N808">
        <v>0</v>
      </c>
      <c r="O808">
        <v>1.2551430000000001E-2</v>
      </c>
      <c r="P808">
        <v>0.99410849999999995</v>
      </c>
      <c r="Q808">
        <v>-7.8306379999999991E-3</v>
      </c>
      <c r="R808">
        <v>-0.1081082</v>
      </c>
      <c r="S808">
        <v>2.997131</v>
      </c>
      <c r="T808">
        <v>-0.13479569999999999</v>
      </c>
      <c r="U808">
        <v>-0.1794434</v>
      </c>
      <c r="V808">
        <v>0.12057850000000001</v>
      </c>
      <c r="W808">
        <v>5.9545329999999997E-3</v>
      </c>
      <c r="X808">
        <v>0.99268590000000001</v>
      </c>
      <c r="Y808">
        <v>7.2204790000000005E-2</v>
      </c>
      <c r="Z808">
        <v>-2.1852379999999999E-3</v>
      </c>
      <c r="AA808">
        <v>0.99738740000000004</v>
      </c>
      <c r="AB808">
        <v>25</v>
      </c>
      <c r="AC808">
        <v>24.535</v>
      </c>
      <c r="AD808">
        <v>-1.110280561213</v>
      </c>
      <c r="AE808">
        <v>-1.47989999999998</v>
      </c>
      <c r="AF808">
        <v>1.7841221031269601</v>
      </c>
      <c r="AG808">
        <v>-1.110280561213</v>
      </c>
      <c r="AH808">
        <v>24.4645726871241</v>
      </c>
      <c r="AI808">
        <v>92.591609808401998</v>
      </c>
      <c r="AJ808">
        <v>85.828988037016302</v>
      </c>
      <c r="AK808">
        <v>24.554656001806499</v>
      </c>
      <c r="AL808">
        <v>89.658828361563707</v>
      </c>
      <c r="AM808">
        <v>83.074385742500894</v>
      </c>
      <c r="AN808">
        <v>0.99999996359215304</v>
      </c>
    </row>
    <row r="809" spans="1:40" x14ac:dyDescent="0.25">
      <c r="A809" t="str">
        <f>"20190312161240174"</f>
        <v>20190312161240174</v>
      </c>
      <c r="B809" t="str">
        <f>"1552378360166288"</f>
        <v>1552378360166288</v>
      </c>
      <c r="C809" t="s">
        <v>40</v>
      </c>
      <c r="D809">
        <v>5.35764</v>
      </c>
      <c r="E809">
        <v>0.50365369999999998</v>
      </c>
      <c r="F809" t="s">
        <v>42</v>
      </c>
      <c r="G809">
        <v>-220.51929999999999</v>
      </c>
      <c r="H809" s="1">
        <v>-4.6182860000000004E-6</v>
      </c>
      <c r="I809">
        <v>366.41</v>
      </c>
      <c r="J809">
        <v>-245.02430000000001</v>
      </c>
      <c r="K809">
        <v>1.110276</v>
      </c>
      <c r="L809">
        <v>367.91329999999999</v>
      </c>
      <c r="M809">
        <v>0.99982479999999996</v>
      </c>
      <c r="N809">
        <v>0</v>
      </c>
      <c r="O809">
        <v>1.255145E-2</v>
      </c>
      <c r="P809">
        <v>0.9940966</v>
      </c>
      <c r="Q809">
        <v>-7.8101459999999996E-3</v>
      </c>
      <c r="R809">
        <v>-0.10821749999999999</v>
      </c>
      <c r="S809">
        <v>2.996902</v>
      </c>
      <c r="T809">
        <v>-0.1349351</v>
      </c>
      <c r="U809">
        <v>-0.1824646</v>
      </c>
      <c r="V809">
        <v>0.12068769999999999</v>
      </c>
      <c r="W809">
        <v>5.9731289999999998E-3</v>
      </c>
      <c r="X809">
        <v>0.99267260000000002</v>
      </c>
      <c r="Y809">
        <v>7.3209960000000004E-2</v>
      </c>
      <c r="Z809">
        <v>-2.2101949999999999E-3</v>
      </c>
      <c r="AA809">
        <v>0.99731409999999998</v>
      </c>
      <c r="AB809">
        <v>25</v>
      </c>
      <c r="AC809">
        <v>24.504999999999999</v>
      </c>
      <c r="AD809">
        <v>-1.1102806182860001</v>
      </c>
      <c r="AE809">
        <v>-1.5032999999999599</v>
      </c>
      <c r="AF809">
        <v>1.8070887357511201</v>
      </c>
      <c r="AG809">
        <v>-1.1102806182860001</v>
      </c>
      <c r="AH809">
        <v>24.4342272810126</v>
      </c>
      <c r="AI809">
        <v>92.594629067846597</v>
      </c>
      <c r="AJ809">
        <v>85.770261138017005</v>
      </c>
      <c r="AK809">
        <v>24.526103554588499</v>
      </c>
      <c r="AL809">
        <v>89.657762898120296</v>
      </c>
      <c r="AM809">
        <v>83.068082696459101</v>
      </c>
      <c r="AN809">
        <v>1.00000004499604</v>
      </c>
    </row>
    <row r="810" spans="1:40" x14ac:dyDescent="0.25">
      <c r="A810" t="str">
        <f>"20190312161240186"</f>
        <v>20190312161240186</v>
      </c>
      <c r="B810" t="str">
        <f>"1552378360177024"</f>
        <v>1552378360177024</v>
      </c>
      <c r="C810" t="s">
        <v>40</v>
      </c>
      <c r="D810">
        <v>5.3574339999999996</v>
      </c>
      <c r="E810">
        <v>0.50365369999999998</v>
      </c>
      <c r="F810" t="s">
        <v>43</v>
      </c>
      <c r="G810">
        <v>-244.148</v>
      </c>
      <c r="H810">
        <v>1.004591</v>
      </c>
      <c r="I810">
        <v>367.8141</v>
      </c>
      <c r="J810">
        <v>-244.87540000000001</v>
      </c>
      <c r="K810">
        <v>1.110279</v>
      </c>
      <c r="L810">
        <v>367.91520000000003</v>
      </c>
      <c r="M810">
        <v>0.99982479999999996</v>
      </c>
      <c r="N810">
        <v>0</v>
      </c>
      <c r="O810">
        <v>1.2551649999999999E-2</v>
      </c>
      <c r="P810">
        <v>0.99408839999999998</v>
      </c>
      <c r="Q810">
        <v>-7.9953609999999994E-3</v>
      </c>
      <c r="R810">
        <v>-0.1082786</v>
      </c>
      <c r="S810">
        <v>2.9783170000000001</v>
      </c>
      <c r="T810">
        <v>-0.35922720000000002</v>
      </c>
      <c r="U810">
        <v>-0.33694459999999998</v>
      </c>
      <c r="V810">
        <v>0.120749</v>
      </c>
      <c r="W810">
        <v>5.7866890000000002E-3</v>
      </c>
      <c r="X810">
        <v>0.99266620000000005</v>
      </c>
      <c r="Y810">
        <v>0.123903</v>
      </c>
      <c r="Z810">
        <v>-8.9259019999999994E-3</v>
      </c>
      <c r="AA810">
        <v>0.99225419999999998</v>
      </c>
      <c r="AB810">
        <v>25</v>
      </c>
      <c r="AC810">
        <v>0.72740000000001703</v>
      </c>
      <c r="AD810">
        <v>-0.105688</v>
      </c>
      <c r="AE810">
        <v>-0.10110000000003</v>
      </c>
      <c r="AF810">
        <v>0.10798650660982199</v>
      </c>
      <c r="AG810">
        <v>-0.105688</v>
      </c>
      <c r="AH810">
        <v>0.71134120535942802</v>
      </c>
      <c r="AI810">
        <v>98.356570338915304</v>
      </c>
      <c r="AJ810">
        <v>81.368011432927105</v>
      </c>
      <c r="AK810">
        <v>0.72721203881398799</v>
      </c>
      <c r="AL810">
        <v>89.668445291106707</v>
      </c>
      <c r="AM810">
        <v>83.0645518234017</v>
      </c>
      <c r="AN810">
        <v>0.99999999569651099</v>
      </c>
    </row>
    <row r="811" spans="1:40" x14ac:dyDescent="0.25">
      <c r="A811" t="str">
        <f>"20190312161240199"</f>
        <v>20190312161240199</v>
      </c>
      <c r="B811" t="str">
        <f>"1552378360186783"</f>
        <v>1552378360186783</v>
      </c>
      <c r="C811" t="s">
        <v>40</v>
      </c>
      <c r="D811">
        <v>5.3121769999999904</v>
      </c>
      <c r="E811">
        <v>0.52867649999999999</v>
      </c>
      <c r="F811" t="s">
        <v>43</v>
      </c>
      <c r="G811">
        <v>-244.14009999999999</v>
      </c>
      <c r="H811">
        <v>1.0214639999999999</v>
      </c>
      <c r="I811">
        <v>367.83190000000002</v>
      </c>
      <c r="J811">
        <v>-244.7346</v>
      </c>
      <c r="K811">
        <v>1.1102799999999999</v>
      </c>
      <c r="L811">
        <v>367.91699999999997</v>
      </c>
      <c r="M811">
        <v>0.99982490000000002</v>
      </c>
      <c r="N811">
        <v>0</v>
      </c>
      <c r="O811">
        <v>1.255214E-2</v>
      </c>
      <c r="P811">
        <v>0.99406919999999999</v>
      </c>
      <c r="Q811">
        <v>-8.0022659999999992E-3</v>
      </c>
      <c r="R811">
        <v>-0.1084548</v>
      </c>
      <c r="S811">
        <v>2.9782259999999998</v>
      </c>
      <c r="T811">
        <v>-0.3597764</v>
      </c>
      <c r="U811">
        <v>-0.3372192</v>
      </c>
      <c r="V811">
        <v>0.12092550000000001</v>
      </c>
      <c r="W811">
        <v>5.7781059999999999E-3</v>
      </c>
      <c r="X811">
        <v>0.99264479999999999</v>
      </c>
      <c r="Y811">
        <v>0.12399350000000001</v>
      </c>
      <c r="Z811">
        <v>-8.9451689999999993E-3</v>
      </c>
      <c r="AA811">
        <v>0.99224270000000003</v>
      </c>
      <c r="AB811">
        <v>25</v>
      </c>
      <c r="AC811">
        <v>0.59450000000001002</v>
      </c>
      <c r="AD811">
        <v>-8.8815999999999895E-2</v>
      </c>
      <c r="AE811">
        <v>-8.5099999999954407E-2</v>
      </c>
      <c r="AF811">
        <v>9.0575283659738298E-2</v>
      </c>
      <c r="AG811">
        <v>-8.8815999999999895E-2</v>
      </c>
      <c r="AH811">
        <v>0.58068468053491895</v>
      </c>
      <c r="AI811">
        <v>98.593689720540198</v>
      </c>
      <c r="AJ811">
        <v>81.134434251752097</v>
      </c>
      <c r="AK811">
        <v>0.59437939236987503</v>
      </c>
      <c r="AL811">
        <v>89.6689370806981</v>
      </c>
      <c r="AM811">
        <v>83.054364888547994</v>
      </c>
      <c r="AN811">
        <v>1.0000000310131101</v>
      </c>
    </row>
    <row r="812" spans="1:40" x14ac:dyDescent="0.25">
      <c r="A812" t="str">
        <f>"20190312161240215"</f>
        <v>20190312161240215</v>
      </c>
      <c r="B812" t="str">
        <f>"1552378360206303"</f>
        <v>1552378360206303</v>
      </c>
      <c r="C812" t="s">
        <v>40</v>
      </c>
      <c r="D812">
        <v>5.3587280000000002</v>
      </c>
      <c r="E812">
        <v>0.53100040000000004</v>
      </c>
      <c r="F812" t="s">
        <v>43</v>
      </c>
      <c r="G812">
        <v>-243.97460000000001</v>
      </c>
      <c r="H812">
        <v>0.89048280000000002</v>
      </c>
      <c r="I812">
        <v>367.78519999999997</v>
      </c>
      <c r="J812">
        <v>-244.5625</v>
      </c>
      <c r="K812">
        <v>1.1102799999999999</v>
      </c>
      <c r="L812">
        <v>367.91919999999999</v>
      </c>
      <c r="M812">
        <v>0.99982490000000002</v>
      </c>
      <c r="N812">
        <v>0</v>
      </c>
      <c r="O812">
        <v>1.25527E-2</v>
      </c>
      <c r="P812">
        <v>0.99405140000000003</v>
      </c>
      <c r="Q812">
        <v>-8.6287889999999996E-3</v>
      </c>
      <c r="R812">
        <v>-0.10857120000000001</v>
      </c>
      <c r="S812">
        <v>2.9551699999999999</v>
      </c>
      <c r="T812">
        <v>-0.85466330000000001</v>
      </c>
      <c r="U812">
        <v>-0.51165769999999999</v>
      </c>
      <c r="V812">
        <v>0.1210422</v>
      </c>
      <c r="W812">
        <v>5.1496440000000001E-3</v>
      </c>
      <c r="X812">
        <v>0.99263400000000002</v>
      </c>
      <c r="Y812">
        <v>0.1754685</v>
      </c>
      <c r="Z812">
        <v>-2.8225030000000002E-2</v>
      </c>
      <c r="AA812">
        <v>0.98408039999999997</v>
      </c>
      <c r="AB812">
        <v>25</v>
      </c>
      <c r="AC812">
        <v>0.58789999999998999</v>
      </c>
      <c r="AD812">
        <v>-0.219797199999999</v>
      </c>
      <c r="AE812">
        <v>-0.134000000000014</v>
      </c>
      <c r="AF812">
        <v>0.124788660107209</v>
      </c>
      <c r="AG812">
        <v>-0.219797199999999</v>
      </c>
      <c r="AH812">
        <v>0.51741960711590795</v>
      </c>
      <c r="AI812">
        <v>112.438412061196</v>
      </c>
      <c r="AJ812">
        <v>76.440629183681096</v>
      </c>
      <c r="AK812">
        <v>0.57585247125211902</v>
      </c>
      <c r="AL812">
        <v>89.704945827381096</v>
      </c>
      <c r="AM812">
        <v>83.047652622104295</v>
      </c>
      <c r="AN812">
        <v>0.999999995485083</v>
      </c>
    </row>
    <row r="813" spans="1:40" x14ac:dyDescent="0.25">
      <c r="A813" t="str">
        <f>"20190312161240237"</f>
        <v>20190312161240237</v>
      </c>
      <c r="B813" t="str">
        <f>"1552378360226799"</f>
        <v>1552378360226799</v>
      </c>
      <c r="C813" t="s">
        <v>40</v>
      </c>
      <c r="D813">
        <v>5.3394079999999997</v>
      </c>
      <c r="E813">
        <v>0.52830200000000005</v>
      </c>
      <c r="F813" t="s">
        <v>43</v>
      </c>
      <c r="G813">
        <v>-243.75710000000001</v>
      </c>
      <c r="H813">
        <v>0.87142260000000005</v>
      </c>
      <c r="I813">
        <v>367.7749</v>
      </c>
      <c r="J813">
        <v>-244.31460000000001</v>
      </c>
      <c r="K813">
        <v>1.110279</v>
      </c>
      <c r="L813">
        <v>367.92230000000001</v>
      </c>
      <c r="M813">
        <v>0.99982490000000002</v>
      </c>
      <c r="N813">
        <v>0</v>
      </c>
      <c r="O813">
        <v>1.255357E-2</v>
      </c>
      <c r="P813">
        <v>0.99402760000000001</v>
      </c>
      <c r="Q813">
        <v>-8.6292350000000007E-3</v>
      </c>
      <c r="R813">
        <v>-0.1087886</v>
      </c>
      <c r="S813">
        <v>2.9526669999999999</v>
      </c>
      <c r="T813">
        <v>-0.87563719999999901</v>
      </c>
      <c r="U813">
        <v>-0.52828980000000003</v>
      </c>
      <c r="V813">
        <v>0.1212598</v>
      </c>
      <c r="W813">
        <v>5.1463070000000001E-3</v>
      </c>
      <c r="X813">
        <v>0.99260749999999998</v>
      </c>
      <c r="Y813">
        <v>0.18040880000000001</v>
      </c>
      <c r="Z813">
        <v>-2.9612079999999999E-2</v>
      </c>
      <c r="AA813">
        <v>0.98314590000000002</v>
      </c>
      <c r="AB813">
        <v>25</v>
      </c>
      <c r="AC813">
        <v>0.55750000000000399</v>
      </c>
      <c r="AD813">
        <v>-0.2388564</v>
      </c>
      <c r="AE813">
        <v>-0.147400000000004</v>
      </c>
      <c r="AF813">
        <v>0.13177854875154499</v>
      </c>
      <c r="AG813">
        <v>-0.2388564</v>
      </c>
      <c r="AH813">
        <v>0.47424048656579199</v>
      </c>
      <c r="AI813">
        <v>115.886112779722</v>
      </c>
      <c r="AJ813">
        <v>74.470832860071496</v>
      </c>
      <c r="AK813">
        <v>0.54710328534033004</v>
      </c>
      <c r="AL813">
        <v>89.7051370379708</v>
      </c>
      <c r="AM813">
        <v>83.0350927809925</v>
      </c>
      <c r="AN813">
        <v>1.00000003631401</v>
      </c>
    </row>
    <row r="814" spans="1:40" x14ac:dyDescent="0.25">
      <c r="A814" t="str">
        <f>"20190312161240259"</f>
        <v>20190312161240259</v>
      </c>
      <c r="B814" t="str">
        <f>"1552378360246320"</f>
        <v>1552378360246320</v>
      </c>
      <c r="C814" t="s">
        <v>40</v>
      </c>
      <c r="D814">
        <v>5.3043389999999997</v>
      </c>
      <c r="E814">
        <v>0.52872529999999995</v>
      </c>
      <c r="F814" t="s">
        <v>43</v>
      </c>
      <c r="G814">
        <v>-243.52500000000001</v>
      </c>
      <c r="H814">
        <v>0.88982190000000005</v>
      </c>
      <c r="I814">
        <v>367.78579999999999</v>
      </c>
      <c r="J814">
        <v>-244.0719</v>
      </c>
      <c r="K814">
        <v>1.110276</v>
      </c>
      <c r="L814">
        <v>367.92529999999999</v>
      </c>
      <c r="M814">
        <v>0.99982499999999996</v>
      </c>
      <c r="N814">
        <v>0</v>
      </c>
      <c r="O814">
        <v>1.2554249999999999E-2</v>
      </c>
      <c r="P814">
        <v>0.99403390000000003</v>
      </c>
      <c r="Q814">
        <v>-8.5003839999999997E-3</v>
      </c>
      <c r="R814">
        <v>-0.1087408</v>
      </c>
      <c r="S814">
        <v>2.955063</v>
      </c>
      <c r="T814">
        <v>-0.82506679999999999</v>
      </c>
      <c r="U814">
        <v>-0.50988770000000005</v>
      </c>
      <c r="V814">
        <v>0.1212131</v>
      </c>
      <c r="W814">
        <v>5.2731439999999996E-3</v>
      </c>
      <c r="X814">
        <v>0.99261250000000001</v>
      </c>
      <c r="Y814">
        <v>0.17540529999999999</v>
      </c>
      <c r="Z814">
        <v>-2.7277530000000001E-2</v>
      </c>
      <c r="AA814">
        <v>0.9841183</v>
      </c>
      <c r="AB814">
        <v>25</v>
      </c>
      <c r="AC814">
        <v>0.54689999999999295</v>
      </c>
      <c r="AD814">
        <v>-0.22045409999999999</v>
      </c>
      <c r="AE814">
        <v>-0.13949999999999799</v>
      </c>
      <c r="AF814">
        <v>0.12698287076288201</v>
      </c>
      <c r="AG814">
        <v>-0.22045409999999999</v>
      </c>
      <c r="AH814">
        <v>0.472951201182432</v>
      </c>
      <c r="AI814">
        <v>114.236351527797</v>
      </c>
      <c r="AJ814">
        <v>74.971070675787701</v>
      </c>
      <c r="AK814">
        <v>0.53703584458944498</v>
      </c>
      <c r="AL814">
        <v>89.697869703368198</v>
      </c>
      <c r="AM814">
        <v>83.037783525010397</v>
      </c>
      <c r="AN814">
        <v>0.999999998407752</v>
      </c>
    </row>
    <row r="815" spans="1:40" x14ac:dyDescent="0.25">
      <c r="A815" t="str">
        <f>"20190312161240272"</f>
        <v>20190312161240272</v>
      </c>
      <c r="B815" t="str">
        <f>"1552378360266816"</f>
        <v>1552378360266816</v>
      </c>
      <c r="C815" t="s">
        <v>40</v>
      </c>
      <c r="D815">
        <v>5.2946479999999996</v>
      </c>
      <c r="E815">
        <v>0.52674600000000005</v>
      </c>
      <c r="F815" t="s">
        <v>43</v>
      </c>
      <c r="G815">
        <v>-243.2972</v>
      </c>
      <c r="H815">
        <v>0.8980513</v>
      </c>
      <c r="I815">
        <v>367.7903</v>
      </c>
      <c r="J815">
        <v>-243.91640000000001</v>
      </c>
      <c r="K815">
        <v>1.1102749999999999</v>
      </c>
      <c r="L815">
        <v>367.92720000000003</v>
      </c>
      <c r="M815">
        <v>0.99982510000000002</v>
      </c>
      <c r="N815">
        <v>0</v>
      </c>
      <c r="O815">
        <v>1.2554630000000001E-2</v>
      </c>
      <c r="P815">
        <v>0.99403260000000004</v>
      </c>
      <c r="Q815">
        <v>-8.8297889999999993E-3</v>
      </c>
      <c r="R815">
        <v>-0.1087274</v>
      </c>
      <c r="S815">
        <v>2.9547880000000002</v>
      </c>
      <c r="T815">
        <v>-0.80950519999999904</v>
      </c>
      <c r="U815">
        <v>-0.51464840000000001</v>
      </c>
      <c r="V815">
        <v>0.1211998</v>
      </c>
      <c r="W815">
        <v>4.9417460000000003E-3</v>
      </c>
      <c r="X815">
        <v>0.99261580000000005</v>
      </c>
      <c r="Y815">
        <v>0.17715500000000001</v>
      </c>
      <c r="Z815">
        <v>-2.7013780000000001E-2</v>
      </c>
      <c r="AA815">
        <v>0.98381220000000003</v>
      </c>
      <c r="AB815">
        <v>25</v>
      </c>
      <c r="AC815">
        <v>0.61920000000000597</v>
      </c>
      <c r="AD815">
        <v>-0.21222369999999899</v>
      </c>
      <c r="AE815">
        <v>-0.136900000000025</v>
      </c>
      <c r="AF815">
        <v>0.13009389069243599</v>
      </c>
      <c r="AG815">
        <v>-0.21222369999999899</v>
      </c>
      <c r="AH815">
        <v>0.55524726575588301</v>
      </c>
      <c r="AI815">
        <v>110.412086216983</v>
      </c>
      <c r="AJ815">
        <v>76.813515961342205</v>
      </c>
      <c r="AK815">
        <v>0.60849227223241698</v>
      </c>
      <c r="AL815">
        <v>89.716857649670104</v>
      </c>
      <c r="AM815">
        <v>83.038562868226094</v>
      </c>
      <c r="AN815">
        <v>0.99999996939160396</v>
      </c>
    </row>
    <row r="816" spans="1:40" x14ac:dyDescent="0.25">
      <c r="A816" t="str">
        <f>"20190312161240285"</f>
        <v>20190312161240285</v>
      </c>
      <c r="B816" t="str">
        <f>"1552378360276576"</f>
        <v>1552378360276576</v>
      </c>
      <c r="C816" t="s">
        <v>40</v>
      </c>
      <c r="D816">
        <v>6.1634859999999998</v>
      </c>
      <c r="E816">
        <v>0.52605429999999997</v>
      </c>
      <c r="F816" t="s">
        <v>43</v>
      </c>
      <c r="G816">
        <v>-243.07640000000001</v>
      </c>
      <c r="H816">
        <v>0.88907069999999999</v>
      </c>
      <c r="I816">
        <v>367.78460000000001</v>
      </c>
      <c r="J816">
        <v>-243.7654</v>
      </c>
      <c r="K816">
        <v>1.1102730000000001</v>
      </c>
      <c r="L816">
        <v>367.92910000000001</v>
      </c>
      <c r="M816">
        <v>0.99982490000000002</v>
      </c>
      <c r="N816">
        <v>0</v>
      </c>
      <c r="O816">
        <v>1.2555119999999999E-2</v>
      </c>
      <c r="P816">
        <v>0.99404669999999895</v>
      </c>
      <c r="Q816">
        <v>-8.8201719999999994E-3</v>
      </c>
      <c r="R816">
        <v>-0.10859870000000001</v>
      </c>
      <c r="S816">
        <v>2.956299</v>
      </c>
      <c r="T816">
        <v>-0.77856650000000005</v>
      </c>
      <c r="U816">
        <v>-0.50088500000000002</v>
      </c>
      <c r="V816">
        <v>0.1210717</v>
      </c>
      <c r="W816">
        <v>4.9503289999999998E-3</v>
      </c>
      <c r="X816">
        <v>0.99263140000000005</v>
      </c>
      <c r="Y816">
        <v>0.17325079999999901</v>
      </c>
      <c r="Z816">
        <v>-2.5510359999999999E-2</v>
      </c>
      <c r="AA816">
        <v>0.98454730000000001</v>
      </c>
      <c r="AB816">
        <v>25</v>
      </c>
      <c r="AC816">
        <v>0.68899999999999195</v>
      </c>
      <c r="AD816">
        <v>-0.22120229999999999</v>
      </c>
      <c r="AE816">
        <v>-0.144499999999993</v>
      </c>
      <c r="AF816">
        <v>0.139379092671503</v>
      </c>
      <c r="AG816">
        <v>-0.22120229999999999</v>
      </c>
      <c r="AH816">
        <v>0.62538714184984801</v>
      </c>
      <c r="AI816">
        <v>109.046441581859</v>
      </c>
      <c r="AJ816">
        <v>77.435910810958902</v>
      </c>
      <c r="AK816">
        <v>0.677839262797858</v>
      </c>
      <c r="AL816">
        <v>89.716365876769501</v>
      </c>
      <c r="AM816">
        <v>83.045956771962807</v>
      </c>
      <c r="AN816">
        <v>0.99999997928202899</v>
      </c>
    </row>
    <row r="817" spans="1:40" x14ac:dyDescent="0.25">
      <c r="A817" t="str">
        <f>"20190312161240298"</f>
        <v>20190312161240298</v>
      </c>
      <c r="B817" t="str">
        <f>"1552378360286336"</f>
        <v>1552378360286336</v>
      </c>
      <c r="C817" t="s">
        <v>40</v>
      </c>
      <c r="D817">
        <v>5.2936820000000004</v>
      </c>
      <c r="E817">
        <v>0.52548719999999904</v>
      </c>
      <c r="F817" t="s">
        <v>43</v>
      </c>
      <c r="G817">
        <v>-243.06129999999999</v>
      </c>
      <c r="H817">
        <v>0.92760180000000003</v>
      </c>
      <c r="I817">
        <v>367.8109</v>
      </c>
      <c r="J817">
        <v>-243.62729999999999</v>
      </c>
      <c r="K817">
        <v>1.1102749999999999</v>
      </c>
      <c r="L817">
        <v>367.93090000000001</v>
      </c>
      <c r="M817">
        <v>0.99982490000000002</v>
      </c>
      <c r="N817">
        <v>0</v>
      </c>
      <c r="O817">
        <v>1.2555480000000001E-2</v>
      </c>
      <c r="P817">
        <v>0.99402579999999996</v>
      </c>
      <c r="Q817">
        <v>-9.2515779999999999E-3</v>
      </c>
      <c r="R817">
        <v>-0.10875310000000001</v>
      </c>
      <c r="S817">
        <v>2.9570620000000001</v>
      </c>
      <c r="T817">
        <v>-0.76724199999999998</v>
      </c>
      <c r="U817">
        <v>-0.49530030000000003</v>
      </c>
      <c r="V817">
        <v>0.12122620000000001</v>
      </c>
      <c r="W817">
        <v>4.5173649999999997E-3</v>
      </c>
      <c r="X817">
        <v>0.99261460000000001</v>
      </c>
      <c r="Y817">
        <v>0.17162929999999901</v>
      </c>
      <c r="Z817">
        <v>-2.4943090000000001E-2</v>
      </c>
      <c r="AA817">
        <v>0.98484579999999999</v>
      </c>
      <c r="AB817">
        <v>25</v>
      </c>
      <c r="AC817">
        <v>0.56600000000000195</v>
      </c>
      <c r="AD817">
        <v>-0.18267319999999901</v>
      </c>
      <c r="AE817">
        <v>-0.12000000000000401</v>
      </c>
      <c r="AF817">
        <v>0.115576597866487</v>
      </c>
      <c r="AG817">
        <v>-0.18267319999999901</v>
      </c>
      <c r="AH817">
        <v>0.51328296504790005</v>
      </c>
      <c r="AI817">
        <v>109.14693845472</v>
      </c>
      <c r="AJ817">
        <v>77.310274445087302</v>
      </c>
      <c r="AK817">
        <v>0.55694420742206896</v>
      </c>
      <c r="AL817">
        <v>89.741173163210405</v>
      </c>
      <c r="AM817">
        <v>83.037053062036406</v>
      </c>
      <c r="AN817">
        <v>0.99999997114307104</v>
      </c>
    </row>
    <row r="818" spans="1:40" x14ac:dyDescent="0.25">
      <c r="A818" t="str">
        <f>"20190312161240314"</f>
        <v>20190312161240314</v>
      </c>
      <c r="B818" t="str">
        <f>"1552378360306831"</f>
        <v>1552378360306831</v>
      </c>
      <c r="C818" t="s">
        <v>40</v>
      </c>
      <c r="D818">
        <v>5.4633830000000003</v>
      </c>
      <c r="E818">
        <v>0.52513319999999997</v>
      </c>
      <c r="F818" t="s">
        <v>43</v>
      </c>
      <c r="G818">
        <v>-242.84460000000001</v>
      </c>
      <c r="H818">
        <v>0.90957829999999995</v>
      </c>
      <c r="I818">
        <v>367.80079999999998</v>
      </c>
      <c r="J818">
        <v>-243.44110000000001</v>
      </c>
      <c r="K818">
        <v>1.110274</v>
      </c>
      <c r="L818">
        <v>367.9332</v>
      </c>
      <c r="M818">
        <v>0.99982490000000002</v>
      </c>
      <c r="N818">
        <v>0</v>
      </c>
      <c r="O818">
        <v>1.255598E-2</v>
      </c>
      <c r="P818">
        <v>0.99402979999999996</v>
      </c>
      <c r="Q818">
        <v>-9.2599499999999994E-3</v>
      </c>
      <c r="R818">
        <v>-0.10871649999999999</v>
      </c>
      <c r="S818">
        <v>2.9571990000000001</v>
      </c>
      <c r="T818">
        <v>-0.75826490000000002</v>
      </c>
      <c r="U818">
        <v>-0.4915466</v>
      </c>
      <c r="V818">
        <v>0.1211902</v>
      </c>
      <c r="W818">
        <v>4.5073520000000001E-3</v>
      </c>
      <c r="X818">
        <v>0.99261909999999998</v>
      </c>
      <c r="Y818">
        <v>0.17057429999999901</v>
      </c>
      <c r="Z818">
        <v>-2.4529490000000001E-2</v>
      </c>
      <c r="AA818">
        <v>0.98503949999999996</v>
      </c>
      <c r="AB818">
        <v>25</v>
      </c>
      <c r="AC818">
        <v>0.59649999999999104</v>
      </c>
      <c r="AD818">
        <v>-0.20069569999999901</v>
      </c>
      <c r="AE818">
        <v>-0.132400000000018</v>
      </c>
      <c r="AF818">
        <v>0.12625829092984001</v>
      </c>
      <c r="AG818">
        <v>-0.20069569999999901</v>
      </c>
      <c r="AH818">
        <v>0.53686917208382401</v>
      </c>
      <c r="AI818">
        <v>109.996364409805</v>
      </c>
      <c r="AJ818">
        <v>76.765938732783596</v>
      </c>
      <c r="AK818">
        <v>0.58689728910686201</v>
      </c>
      <c r="AL818">
        <v>89.741746886712207</v>
      </c>
      <c r="AM818">
        <v>83.039131774816397</v>
      </c>
      <c r="AN818">
        <v>1.0000000292414499</v>
      </c>
    </row>
    <row r="819" spans="1:40" x14ac:dyDescent="0.25">
      <c r="A819" t="str">
        <f>"20190312161240327"</f>
        <v>20190312161240327</v>
      </c>
      <c r="B819" t="str">
        <f>"1552378360316593"</f>
        <v>1552378360316593</v>
      </c>
      <c r="C819" t="s">
        <v>40</v>
      </c>
      <c r="D819">
        <v>5.2734620000000003</v>
      </c>
      <c r="E819">
        <v>0.5247946</v>
      </c>
      <c r="F819" t="s">
        <v>43</v>
      </c>
      <c r="G819">
        <v>-242.62379999999999</v>
      </c>
      <c r="H819">
        <v>0.90247599999999994</v>
      </c>
      <c r="I819">
        <v>367.79790000000003</v>
      </c>
      <c r="J819">
        <v>-243.29259999999999</v>
      </c>
      <c r="K819">
        <v>1.110269</v>
      </c>
      <c r="L819">
        <v>367.93509999999998</v>
      </c>
      <c r="M819">
        <v>0.99982490000000002</v>
      </c>
      <c r="N819">
        <v>0</v>
      </c>
      <c r="O819">
        <v>1.255617E-2</v>
      </c>
      <c r="P819">
        <v>0.99403660000000005</v>
      </c>
      <c r="Q819">
        <v>-9.3547479999999995E-3</v>
      </c>
      <c r="R819">
        <v>-0.10864550000000001</v>
      </c>
      <c r="S819">
        <v>2.957535</v>
      </c>
      <c r="T819">
        <v>-0.75195959999999995</v>
      </c>
      <c r="U819">
        <v>-0.48886109999999999</v>
      </c>
      <c r="V819">
        <v>0.12111959999999999</v>
      </c>
      <c r="W819">
        <v>4.410555E-3</v>
      </c>
      <c r="X819">
        <v>0.99262810000000001</v>
      </c>
      <c r="Y819">
        <v>0.16980399999999901</v>
      </c>
      <c r="Z819">
        <v>-2.4235059999999999E-2</v>
      </c>
      <c r="AA819">
        <v>0.98517980000000005</v>
      </c>
      <c r="AB819">
        <v>25</v>
      </c>
      <c r="AC819">
        <v>0.66880000000000395</v>
      </c>
      <c r="AD819">
        <v>-0.20779299999999901</v>
      </c>
      <c r="AE819">
        <v>-0.13719999999995</v>
      </c>
      <c r="AF819">
        <v>0.13324467751081301</v>
      </c>
      <c r="AG819">
        <v>-0.20779299999999901</v>
      </c>
      <c r="AH819">
        <v>0.61047421997768703</v>
      </c>
      <c r="AI819">
        <v>108.394575364799</v>
      </c>
      <c r="AJ819">
        <v>77.687477693312701</v>
      </c>
      <c r="AK819">
        <v>0.65849134253331398</v>
      </c>
      <c r="AL819">
        <v>89.7472929882328</v>
      </c>
      <c r="AM819">
        <v>83.043209574747394</v>
      </c>
      <c r="AN819">
        <v>0.99999997770458804</v>
      </c>
    </row>
    <row r="820" spans="1:40" x14ac:dyDescent="0.25">
      <c r="A820" t="str">
        <f>"20190312161240340"</f>
        <v>20190312161240340</v>
      </c>
      <c r="B820" t="str">
        <f>"1552378360336112"</f>
        <v>1552378360336112</v>
      </c>
      <c r="C820" t="s">
        <v>40</v>
      </c>
      <c r="D820">
        <v>5.2763929999999997</v>
      </c>
      <c r="E820">
        <v>0.52523739999999997</v>
      </c>
      <c r="F820" t="s">
        <v>43</v>
      </c>
      <c r="G820">
        <v>-242.60919999999999</v>
      </c>
      <c r="H820">
        <v>0.9381661</v>
      </c>
      <c r="I820">
        <v>367.82249999999999</v>
      </c>
      <c r="J820">
        <v>-243.148</v>
      </c>
      <c r="K820">
        <v>1.110268</v>
      </c>
      <c r="L820">
        <v>367.93700000000001</v>
      </c>
      <c r="M820">
        <v>0.99982490000000002</v>
      </c>
      <c r="N820">
        <v>0</v>
      </c>
      <c r="O820">
        <v>1.2556350000000001E-2</v>
      </c>
      <c r="P820">
        <v>0.99406609999999995</v>
      </c>
      <c r="Q820">
        <v>-9.1104580000000001E-3</v>
      </c>
      <c r="R820">
        <v>-0.10839650000000001</v>
      </c>
      <c r="S820">
        <v>2.9578090000000001</v>
      </c>
      <c r="T820">
        <v>-0.74496110000000004</v>
      </c>
      <c r="U820">
        <v>-0.48657230000000001</v>
      </c>
      <c r="V820">
        <v>0.1208711</v>
      </c>
      <c r="W820">
        <v>4.6542160000000001E-3</v>
      </c>
      <c r="X820">
        <v>0.99265729999999996</v>
      </c>
      <c r="Y820">
        <v>0.16916989999999901</v>
      </c>
      <c r="Z820">
        <v>-2.3937449999999999E-2</v>
      </c>
      <c r="AA820">
        <v>0.98529619999999996</v>
      </c>
      <c r="AB820">
        <v>25</v>
      </c>
      <c r="AC820">
        <v>0.53880000000000805</v>
      </c>
      <c r="AD820">
        <v>-0.1721019</v>
      </c>
      <c r="AE820">
        <v>-0.11449999999996401</v>
      </c>
      <c r="AF820">
        <v>0.110472769453816</v>
      </c>
      <c r="AG820">
        <v>-0.1721019</v>
      </c>
      <c r="AH820">
        <v>0.48953215289393198</v>
      </c>
      <c r="AI820">
        <v>108.928893363149</v>
      </c>
      <c r="AJ820">
        <v>77.283077937523302</v>
      </c>
      <c r="AK820">
        <v>0.530532775133991</v>
      </c>
      <c r="AL820">
        <v>89.733332103475306</v>
      </c>
      <c r="AM820">
        <v>83.057545547559201</v>
      </c>
      <c r="AN820">
        <v>0.99999999989253696</v>
      </c>
    </row>
    <row r="821" spans="1:40" x14ac:dyDescent="0.25">
      <c r="A821" t="str">
        <f>"20190312161240354"</f>
        <v>20190312161240354</v>
      </c>
      <c r="B821" t="str">
        <f>"1552378360346848"</f>
        <v>1552378360346848</v>
      </c>
      <c r="C821" t="s">
        <v>40</v>
      </c>
      <c r="D821">
        <v>5.2548320000000004</v>
      </c>
      <c r="E821">
        <v>0.52535600000000005</v>
      </c>
      <c r="F821" t="s">
        <v>43</v>
      </c>
      <c r="G821">
        <v>-242.3938</v>
      </c>
      <c r="H821">
        <v>0.91958010000000001</v>
      </c>
      <c r="I821">
        <v>367.81209999999999</v>
      </c>
      <c r="J821">
        <v>-242.99590000000001</v>
      </c>
      <c r="K821">
        <v>1.1102669999999999</v>
      </c>
      <c r="L821">
        <v>367.93880000000001</v>
      </c>
      <c r="M821">
        <v>0.99982499999999996</v>
      </c>
      <c r="N821">
        <v>0</v>
      </c>
      <c r="O821">
        <v>1.2556370000000001E-2</v>
      </c>
      <c r="P821">
        <v>0.99409499999999995</v>
      </c>
      <c r="Q821">
        <v>-9.0748559999999992E-3</v>
      </c>
      <c r="R821">
        <v>-0.1081343</v>
      </c>
      <c r="S821">
        <v>2.957703</v>
      </c>
      <c r="T821">
        <v>-0.74787340000000002</v>
      </c>
      <c r="U821">
        <v>-0.48928830000000001</v>
      </c>
      <c r="V821">
        <v>0.1206093</v>
      </c>
      <c r="W821">
        <v>4.6880709999999898E-3</v>
      </c>
      <c r="X821">
        <v>0.99268900000000004</v>
      </c>
      <c r="Y821">
        <v>0.16998920000000001</v>
      </c>
      <c r="Z821">
        <v>-2.4128690000000001E-2</v>
      </c>
      <c r="AA821">
        <v>0.98515050000000004</v>
      </c>
      <c r="AB821">
        <v>25</v>
      </c>
      <c r="AC821">
        <v>0.60210000000000696</v>
      </c>
      <c r="AD821">
        <v>-0.19068689999999999</v>
      </c>
      <c r="AE821">
        <v>-0.12670000000002801</v>
      </c>
      <c r="AF821">
        <v>0.12248638665242501</v>
      </c>
      <c r="AG821">
        <v>-0.19068689999999999</v>
      </c>
      <c r="AH821">
        <v>0.54784245074401505</v>
      </c>
      <c r="AI821">
        <v>108.76172007848299</v>
      </c>
      <c r="AJ821">
        <v>77.397102402070004</v>
      </c>
      <c r="AK821">
        <v>0.59287077814983102</v>
      </c>
      <c r="AL821">
        <v>89.731392338020498</v>
      </c>
      <c r="AM821">
        <v>83.072655306809807</v>
      </c>
      <c r="AN821">
        <v>1.00000001598859</v>
      </c>
    </row>
    <row r="822" spans="1:40" x14ac:dyDescent="0.25">
      <c r="A822" t="str">
        <f>"20190312161240370"</f>
        <v>20190312161240370</v>
      </c>
      <c r="B822" t="str">
        <f>"1552378360366368"</f>
        <v>1552378360366368</v>
      </c>
      <c r="C822" t="s">
        <v>40</v>
      </c>
      <c r="D822">
        <v>5.257212</v>
      </c>
      <c r="E822">
        <v>0.52529510000000001</v>
      </c>
      <c r="F822" t="s">
        <v>43</v>
      </c>
      <c r="G822">
        <v>-242.17760000000001</v>
      </c>
      <c r="H822">
        <v>0.9024084</v>
      </c>
      <c r="I822">
        <v>367.80329999999998</v>
      </c>
      <c r="J822">
        <v>-242.82400000000001</v>
      </c>
      <c r="K822">
        <v>1.110263</v>
      </c>
      <c r="L822">
        <v>367.94099999999997</v>
      </c>
      <c r="M822">
        <v>0.99982499999999996</v>
      </c>
      <c r="N822">
        <v>0</v>
      </c>
      <c r="O822">
        <v>1.2556680000000001E-2</v>
      </c>
      <c r="P822">
        <v>0.99415299999999995</v>
      </c>
      <c r="Q822">
        <v>-9.4021469999999996E-3</v>
      </c>
      <c r="R822">
        <v>-0.1075706</v>
      </c>
      <c r="S822">
        <v>2.9577179999999998</v>
      </c>
      <c r="T822">
        <v>-0.751258599999999</v>
      </c>
      <c r="U822">
        <v>-0.48971559999999997</v>
      </c>
      <c r="V822">
        <v>0.12004670000000001</v>
      </c>
      <c r="W822">
        <v>4.3600109999999996E-3</v>
      </c>
      <c r="X822">
        <v>0.99275869999999999</v>
      </c>
      <c r="Y822">
        <v>0.1700747</v>
      </c>
      <c r="Z822">
        <v>-2.4244930000000001E-2</v>
      </c>
      <c r="AA822">
        <v>0.98513289999999998</v>
      </c>
      <c r="AB822">
        <v>25</v>
      </c>
      <c r="AC822">
        <v>0.64639999999999898</v>
      </c>
      <c r="AD822">
        <v>-0.207854599999999</v>
      </c>
      <c r="AE822">
        <v>-0.13769999999999499</v>
      </c>
      <c r="AF822">
        <v>0.13268283563929201</v>
      </c>
      <c r="AG822">
        <v>-0.207854599999999</v>
      </c>
      <c r="AH822">
        <v>0.58659901056058505</v>
      </c>
      <c r="AI822">
        <v>109.065547536145</v>
      </c>
      <c r="AJ822">
        <v>77.254735977079804</v>
      </c>
      <c r="AK822">
        <v>0.636322770930839</v>
      </c>
      <c r="AL822">
        <v>89.750188986625702</v>
      </c>
      <c r="AM822">
        <v>83.105136566283903</v>
      </c>
      <c r="AN822">
        <v>1.00000002815124</v>
      </c>
    </row>
    <row r="823" spans="1:40" x14ac:dyDescent="0.25">
      <c r="A823" t="str">
        <f>"20190312161240381"</f>
        <v>20190312161240381</v>
      </c>
      <c r="B823" t="str">
        <f>"1552378360376128"</f>
        <v>1552378360376128</v>
      </c>
      <c r="C823" t="s">
        <v>40</v>
      </c>
      <c r="D823">
        <v>5.2325039999999996</v>
      </c>
      <c r="E823">
        <v>0.52540069999999905</v>
      </c>
      <c r="F823" t="s">
        <v>43</v>
      </c>
      <c r="G823">
        <v>-241.95939999999999</v>
      </c>
      <c r="H823">
        <v>0.89079989999999998</v>
      </c>
      <c r="I823">
        <v>367.79849999999999</v>
      </c>
      <c r="J823">
        <v>-242.68520000000001</v>
      </c>
      <c r="K823">
        <v>1.110269</v>
      </c>
      <c r="L823">
        <v>367.94279999999998</v>
      </c>
      <c r="M823">
        <v>0.99982499999999996</v>
      </c>
      <c r="N823">
        <v>0</v>
      </c>
      <c r="O823">
        <v>1.2556690000000001E-2</v>
      </c>
      <c r="P823">
        <v>0.99416800000000005</v>
      </c>
      <c r="Q823">
        <v>-9.3793699999999997E-3</v>
      </c>
      <c r="R823">
        <v>-0.1074348</v>
      </c>
      <c r="S823">
        <v>2.9578090000000001</v>
      </c>
      <c r="T823">
        <v>-0.75072689999999997</v>
      </c>
      <c r="U823">
        <v>-0.48733520000000002</v>
      </c>
      <c r="V823">
        <v>0.1199109</v>
      </c>
      <c r="W823">
        <v>4.3819449999999999E-3</v>
      </c>
      <c r="X823">
        <v>0.99277499999999996</v>
      </c>
      <c r="Y823">
        <v>0.16932839999999999</v>
      </c>
      <c r="Z823">
        <v>-2.4136439999999999E-2</v>
      </c>
      <c r="AA823">
        <v>0.98526409999999998</v>
      </c>
      <c r="AB823">
        <v>25</v>
      </c>
      <c r="AC823">
        <v>0.72580000000001998</v>
      </c>
      <c r="AD823">
        <v>-0.2194691</v>
      </c>
      <c r="AE823">
        <v>-0.14429999999998699</v>
      </c>
      <c r="AF823">
        <v>0.14100093907914099</v>
      </c>
      <c r="AG823">
        <v>-0.2194691</v>
      </c>
      <c r="AH823">
        <v>0.66540294478612005</v>
      </c>
      <c r="AI823">
        <v>107.883029165509</v>
      </c>
      <c r="AJ823">
        <v>78.035827529541393</v>
      </c>
      <c r="AK823">
        <v>0.71470905241647098</v>
      </c>
      <c r="AL823">
        <v>89.748932245224594</v>
      </c>
      <c r="AM823">
        <v>83.112973253859906</v>
      </c>
      <c r="AN823">
        <v>1.0000000130028901</v>
      </c>
    </row>
    <row r="824" spans="1:40" x14ac:dyDescent="0.25">
      <c r="A824" t="str">
        <f>"20190312161240395"</f>
        <v>20190312161240395</v>
      </c>
      <c r="B824" t="str">
        <f>"1552378360386864"</f>
        <v>1552378360386864</v>
      </c>
      <c r="C824" t="s">
        <v>40</v>
      </c>
      <c r="D824">
        <v>5.2203470000000003</v>
      </c>
      <c r="E824">
        <v>0.52555260000000004</v>
      </c>
      <c r="F824" t="s">
        <v>43</v>
      </c>
      <c r="G824">
        <v>-241.94730000000001</v>
      </c>
      <c r="H824">
        <v>0.92207439999999996</v>
      </c>
      <c r="I824">
        <v>367.82119999999998</v>
      </c>
      <c r="J824">
        <v>-242.54499999999999</v>
      </c>
      <c r="K824">
        <v>1.1102700000000001</v>
      </c>
      <c r="L824">
        <v>367.94450000000001</v>
      </c>
      <c r="M824">
        <v>0.99982519999999997</v>
      </c>
      <c r="N824">
        <v>0</v>
      </c>
      <c r="O824">
        <v>1.2556700000000001E-2</v>
      </c>
      <c r="P824">
        <v>0.99416420000000005</v>
      </c>
      <c r="Q824">
        <v>-9.5057749999999993E-3</v>
      </c>
      <c r="R824">
        <v>-0.1074585</v>
      </c>
      <c r="S824">
        <v>2.9578090000000001</v>
      </c>
      <c r="T824">
        <v>-0.75438739999999904</v>
      </c>
      <c r="U824">
        <v>-0.4873962</v>
      </c>
      <c r="V824">
        <v>0.1199349</v>
      </c>
      <c r="W824">
        <v>4.253677E-3</v>
      </c>
      <c r="X824">
        <v>0.99277260000000001</v>
      </c>
      <c r="Y824">
        <v>0.16929520000000001</v>
      </c>
      <c r="Z824">
        <v>-2.424637E-2</v>
      </c>
      <c r="AA824">
        <v>0.98526709999999995</v>
      </c>
      <c r="AB824">
        <v>25</v>
      </c>
      <c r="AC824">
        <v>0.59769999999997403</v>
      </c>
      <c r="AD824">
        <v>-0.18819559999999999</v>
      </c>
      <c r="AE824">
        <v>-0.123300000000028</v>
      </c>
      <c r="AF824">
        <v>0.119438274923461</v>
      </c>
      <c r="AG824">
        <v>-0.18819559999999999</v>
      </c>
      <c r="AH824">
        <v>0.54434092821727997</v>
      </c>
      <c r="AI824">
        <v>108.659700418169</v>
      </c>
      <c r="AJ824">
        <v>77.624384307578794</v>
      </c>
      <c r="AK824">
        <v>0.58820925826486503</v>
      </c>
      <c r="AL824">
        <v>89.756281514469407</v>
      </c>
      <c r="AM824">
        <v>83.111591575497599</v>
      </c>
      <c r="AN824">
        <v>0.99999995465839397</v>
      </c>
    </row>
    <row r="825" spans="1:40" x14ac:dyDescent="0.25">
      <c r="A825" t="str">
        <f>"20190312161240410"</f>
        <v>20190312161240410</v>
      </c>
      <c r="B825" t="str">
        <f>"1552378360406384"</f>
        <v>1552378360406384</v>
      </c>
      <c r="C825" t="s">
        <v>40</v>
      </c>
      <c r="D825">
        <v>5.0650719999999998</v>
      </c>
      <c r="E825">
        <v>0.52585369999999998</v>
      </c>
      <c r="F825" t="s">
        <v>43</v>
      </c>
      <c r="G825">
        <v>-241.73269999999999</v>
      </c>
      <c r="H825">
        <v>0.9020996</v>
      </c>
      <c r="I825">
        <v>367.81020000000001</v>
      </c>
      <c r="J825">
        <v>-242.37729999999999</v>
      </c>
      <c r="K825">
        <v>1.110269</v>
      </c>
      <c r="L825">
        <v>367.94670000000002</v>
      </c>
      <c r="M825">
        <v>0.99982519999999997</v>
      </c>
      <c r="N825">
        <v>0</v>
      </c>
      <c r="O825">
        <v>1.2556889999999999E-2</v>
      </c>
      <c r="P825">
        <v>0.99419939999999996</v>
      </c>
      <c r="Q825">
        <v>-9.4296039999999994E-3</v>
      </c>
      <c r="R825">
        <v>-0.1071405</v>
      </c>
      <c r="S825">
        <v>2.9575809999999998</v>
      </c>
      <c r="T825">
        <v>-0.75796479999999999</v>
      </c>
      <c r="U825">
        <v>-0.48843379999999997</v>
      </c>
      <c r="V825">
        <v>0.1196173</v>
      </c>
      <c r="W825">
        <v>4.3285399999999996E-3</v>
      </c>
      <c r="X825">
        <v>0.99281070000000005</v>
      </c>
      <c r="Y825">
        <v>0.1695815</v>
      </c>
      <c r="Z825">
        <v>-2.4394880000000001E-2</v>
      </c>
      <c r="AA825">
        <v>0.98521420000000004</v>
      </c>
      <c r="AB825">
        <v>25</v>
      </c>
      <c r="AC825">
        <v>0.64459999999999695</v>
      </c>
      <c r="AD825">
        <v>-0.2081694</v>
      </c>
      <c r="AE825">
        <v>-0.136500000000012</v>
      </c>
      <c r="AF825">
        <v>0.13146209135526801</v>
      </c>
      <c r="AG825">
        <v>-0.2081694</v>
      </c>
      <c r="AH825">
        <v>0.58449292081318205</v>
      </c>
      <c r="AI825">
        <v>109.160978353934</v>
      </c>
      <c r="AJ825">
        <v>77.324171253209101</v>
      </c>
      <c r="AK825">
        <v>0.63423083734598196</v>
      </c>
      <c r="AL825">
        <v>89.751992167059598</v>
      </c>
      <c r="AM825">
        <v>83.1299193488002</v>
      </c>
      <c r="AN825">
        <v>1.0000000603761501</v>
      </c>
    </row>
    <row r="826" spans="1:40" x14ac:dyDescent="0.25">
      <c r="A826" t="str">
        <f>"20190312161240426"</f>
        <v>20190312161240426</v>
      </c>
      <c r="B826" t="str">
        <f>"1552378360416143"</f>
        <v>1552378360416143</v>
      </c>
      <c r="C826" t="s">
        <v>40</v>
      </c>
      <c r="D826">
        <v>5.4793129999999897</v>
      </c>
      <c r="E826">
        <v>0.52585369999999998</v>
      </c>
      <c r="F826" t="s">
        <v>43</v>
      </c>
      <c r="G826">
        <v>-241.5154</v>
      </c>
      <c r="H826">
        <v>0.88943139999999998</v>
      </c>
      <c r="I826">
        <v>367.80369999999999</v>
      </c>
      <c r="J826">
        <v>-242.1951</v>
      </c>
      <c r="K826">
        <v>1.110276</v>
      </c>
      <c r="L826">
        <v>367.94889999999998</v>
      </c>
      <c r="M826">
        <v>0.99982519999999997</v>
      </c>
      <c r="N826">
        <v>0</v>
      </c>
      <c r="O826">
        <v>1.2556899999999999E-2</v>
      </c>
      <c r="P826">
        <v>0.9941854</v>
      </c>
      <c r="Q826">
        <v>-9.5846449999999993E-3</v>
      </c>
      <c r="R826">
        <v>-0.10725460000000001</v>
      </c>
      <c r="S826">
        <v>2.9575200000000001</v>
      </c>
      <c r="T826">
        <v>-0.75777779999999995</v>
      </c>
      <c r="U826">
        <v>-0.48986819999999998</v>
      </c>
      <c r="V826">
        <v>0.1197314</v>
      </c>
      <c r="W826">
        <v>4.1716610000000001E-3</v>
      </c>
      <c r="X826">
        <v>0.99279759999999995</v>
      </c>
      <c r="Y826">
        <v>0.17003850000000001</v>
      </c>
      <c r="Z826">
        <v>-2.444588E-2</v>
      </c>
      <c r="AA826">
        <v>0.98513410000000001</v>
      </c>
      <c r="AB826">
        <v>25</v>
      </c>
      <c r="AC826">
        <v>0.67969999999999597</v>
      </c>
      <c r="AD826">
        <v>-0.2208446</v>
      </c>
      <c r="AE826">
        <v>-0.14519999999998801</v>
      </c>
      <c r="AF826">
        <v>0.13962721999533201</v>
      </c>
      <c r="AG826">
        <v>-0.2208446</v>
      </c>
      <c r="AH826">
        <v>0.615664145967736</v>
      </c>
      <c r="AI826">
        <v>109.28115506813199</v>
      </c>
      <c r="AJ826">
        <v>77.221970217208806</v>
      </c>
      <c r="AK826">
        <v>0.66881270812011795</v>
      </c>
      <c r="AL826">
        <v>89.7609807480858</v>
      </c>
      <c r="AM826">
        <v>83.123339000075802</v>
      </c>
      <c r="AN826">
        <v>1.0000000427336</v>
      </c>
    </row>
    <row r="827" spans="1:40" x14ac:dyDescent="0.25">
      <c r="A827" t="str">
        <f>"20190312161240539"</f>
        <v>20190312161240539</v>
      </c>
      <c r="B827" t="str">
        <f>"1552378360536192"</f>
        <v>1552378360536192</v>
      </c>
      <c r="C827" t="s">
        <v>40</v>
      </c>
      <c r="D827">
        <v>6.8768549999999999</v>
      </c>
      <c r="E827">
        <v>0.55133540000000003</v>
      </c>
      <c r="F827" t="s">
        <v>42</v>
      </c>
      <c r="G827">
        <v>-221.9425</v>
      </c>
      <c r="H827" s="1">
        <v>-4.6085619999999996E-6</v>
      </c>
      <c r="I827">
        <v>363.02269999999999</v>
      </c>
      <c r="J827">
        <v>-240.95089999999999</v>
      </c>
      <c r="K827">
        <v>1.1102810000000001</v>
      </c>
      <c r="L827">
        <v>367.96449999999999</v>
      </c>
      <c r="M827">
        <v>0.99982539999999998</v>
      </c>
      <c r="N827">
        <v>0</v>
      </c>
      <c r="O827">
        <v>1.2557820000000001E-2</v>
      </c>
      <c r="P827">
        <v>0.99411459999999996</v>
      </c>
      <c r="Q827">
        <v>-8.5508619999999994E-3</v>
      </c>
      <c r="R827">
        <v>-0.1079978</v>
      </c>
      <c r="S827">
        <v>2.9340359999999999</v>
      </c>
      <c r="T827">
        <v>-0.17011609999999999</v>
      </c>
      <c r="U827">
        <v>-0.75689700000000004</v>
      </c>
      <c r="V827">
        <v>0.1204744</v>
      </c>
      <c r="W827">
        <v>5.1916059999999997E-3</v>
      </c>
      <c r="X827">
        <v>0.9927028</v>
      </c>
      <c r="Y827">
        <v>0.26150259999999997</v>
      </c>
      <c r="Z827">
        <v>-8.1690740000000001E-3</v>
      </c>
      <c r="AA827">
        <v>0.96516820000000003</v>
      </c>
      <c r="AB827">
        <v>25</v>
      </c>
      <c r="AC827">
        <v>19.008399999999899</v>
      </c>
      <c r="AD827">
        <v>-1.1102856085620001</v>
      </c>
      <c r="AE827">
        <v>-4.9417999999999997</v>
      </c>
      <c r="AF827">
        <v>5.1636354395114896</v>
      </c>
      <c r="AG827">
        <v>-1.1102856085620001</v>
      </c>
      <c r="AH827">
        <v>18.8844864104686</v>
      </c>
      <c r="AI827">
        <v>93.245864413922106</v>
      </c>
      <c r="AJ827">
        <v>74.707270087067201</v>
      </c>
      <c r="AK827">
        <v>19.609173671318601</v>
      </c>
      <c r="AL827">
        <v>89.702541533665297</v>
      </c>
      <c r="AM827">
        <v>83.0804235532608</v>
      </c>
      <c r="AN827">
        <v>0.99999994147802795</v>
      </c>
    </row>
    <row r="828" spans="1:40" x14ac:dyDescent="0.25">
      <c r="A828" t="str">
        <f>"20190312161240551"</f>
        <v>20190312161240551</v>
      </c>
      <c r="B828" t="str">
        <f>"1552378360546928"</f>
        <v>1552378360546928</v>
      </c>
      <c r="C828" t="s">
        <v>40</v>
      </c>
      <c r="D828">
        <v>4.9249210000000003</v>
      </c>
      <c r="E828">
        <v>0.551961699999999</v>
      </c>
      <c r="F828" t="s">
        <v>44</v>
      </c>
      <c r="G828">
        <v>0</v>
      </c>
      <c r="H828">
        <v>0</v>
      </c>
      <c r="I828">
        <v>0</v>
      </c>
      <c r="J828">
        <v>-240.81389999999999</v>
      </c>
      <c r="K828">
        <v>1.1102810000000001</v>
      </c>
      <c r="L828">
        <v>367.96620000000001</v>
      </c>
      <c r="M828">
        <v>0.99982539999999998</v>
      </c>
      <c r="N828">
        <v>0</v>
      </c>
      <c r="O828">
        <v>1.255801E-2</v>
      </c>
      <c r="P828">
        <v>0.99411070000000001</v>
      </c>
      <c r="Q828">
        <v>-8.4910690000000004E-3</v>
      </c>
      <c r="R828">
        <v>-0.10803649999999999</v>
      </c>
      <c r="S828">
        <v>2.9381560000000002</v>
      </c>
      <c r="T828">
        <v>1.5616299999999901E-2</v>
      </c>
      <c r="U828">
        <v>-0.73367309999999997</v>
      </c>
      <c r="V828">
        <v>0.12051340000000001</v>
      </c>
      <c r="W828">
        <v>5.2502549999999997E-3</v>
      </c>
      <c r="X828">
        <v>0.99269779999999996</v>
      </c>
      <c r="Y828">
        <v>0.25442890000000001</v>
      </c>
      <c r="Z828">
        <v>7.3168319999999997E-4</v>
      </c>
      <c r="AA828">
        <v>0.96709120000000004</v>
      </c>
      <c r="AB828">
        <v>25</v>
      </c>
      <c r="AC828">
        <v>2.9381560000000002</v>
      </c>
      <c r="AD828">
        <v>1.5616299999999901E-2</v>
      </c>
      <c r="AE828">
        <v>-0.73367309999999997</v>
      </c>
      <c r="AF828">
        <v>0.77049567202212998</v>
      </c>
      <c r="AG828">
        <v>1.5616299999999901E-2</v>
      </c>
      <c r="AH828">
        <v>2.9286320354726998</v>
      </c>
      <c r="AI828">
        <v>89.704539618564496</v>
      </c>
      <c r="AJ828">
        <v>75.260041145008699</v>
      </c>
      <c r="AK828">
        <v>3.0283317269789798</v>
      </c>
      <c r="AL828">
        <v>89.699181160119593</v>
      </c>
      <c r="AM828">
        <v>83.078170748759305</v>
      </c>
      <c r="AN828">
        <v>0.99999998344098195</v>
      </c>
    </row>
    <row r="829" spans="1:40" x14ac:dyDescent="0.25">
      <c r="A829" t="str">
        <f>"20190312161240563"</f>
        <v>20190312161240563</v>
      </c>
      <c r="B829" t="str">
        <f>"1552378360556688"</f>
        <v>1552378360556688</v>
      </c>
      <c r="C829" t="s">
        <v>40</v>
      </c>
      <c r="D829">
        <v>4.9938390000000004</v>
      </c>
      <c r="E829">
        <v>0.55237060000000004</v>
      </c>
      <c r="F829" t="s">
        <v>44</v>
      </c>
      <c r="G829">
        <v>0</v>
      </c>
      <c r="H829">
        <v>0</v>
      </c>
      <c r="I829">
        <v>0</v>
      </c>
      <c r="J829">
        <v>-240.67779999999999</v>
      </c>
      <c r="K829">
        <v>1.1102829999999999</v>
      </c>
      <c r="L829">
        <v>367.96800000000002</v>
      </c>
      <c r="M829">
        <v>0.99982539999999998</v>
      </c>
      <c r="N829">
        <v>0</v>
      </c>
      <c r="O829">
        <v>1.255802E-2</v>
      </c>
      <c r="P829">
        <v>0.99412219999999996</v>
      </c>
      <c r="Q829">
        <v>-8.3958250000000009E-3</v>
      </c>
      <c r="R829">
        <v>-0.1079386</v>
      </c>
      <c r="S829">
        <v>2.9376980000000001</v>
      </c>
      <c r="T829">
        <v>4.3876289999999998E-2</v>
      </c>
      <c r="U829">
        <v>-0.74017330000000003</v>
      </c>
      <c r="V829">
        <v>0.1204157</v>
      </c>
      <c r="W829">
        <v>5.3437140000000003E-3</v>
      </c>
      <c r="X829">
        <v>0.99270919999999896</v>
      </c>
      <c r="Y829">
        <v>0.25645230000000002</v>
      </c>
      <c r="Z829">
        <v>2.0703200000000001E-3</v>
      </c>
      <c r="AA829">
        <v>0.96655469999999999</v>
      </c>
      <c r="AB829">
        <v>25</v>
      </c>
      <c r="AC829">
        <v>2.9376980000000001</v>
      </c>
      <c r="AD829">
        <v>4.3876289999999998E-2</v>
      </c>
      <c r="AE829">
        <v>-0.74017330000000003</v>
      </c>
      <c r="AF829">
        <v>0.77684717623927402</v>
      </c>
      <c r="AG829">
        <v>4.3876289999999998E-2</v>
      </c>
      <c r="AH829">
        <v>2.9275562285707202</v>
      </c>
      <c r="AI829">
        <v>89.170070953286597</v>
      </c>
      <c r="AJ829">
        <v>75.138668825772996</v>
      </c>
      <c r="AK829">
        <v>3.0291916637113498</v>
      </c>
      <c r="AL829">
        <v>89.693826291654901</v>
      </c>
      <c r="AM829">
        <v>83.083806544242506</v>
      </c>
      <c r="AN829">
        <v>1.00000002592522</v>
      </c>
    </row>
    <row r="830" spans="1:40" x14ac:dyDescent="0.25">
      <c r="A830" t="str">
        <f>"20190312161240583"</f>
        <v>20190312161240583</v>
      </c>
      <c r="B830" t="str">
        <f>"1552378360576208"</f>
        <v>1552378360576208</v>
      </c>
      <c r="C830" t="s">
        <v>40</v>
      </c>
      <c r="D830">
        <v>4.9147780000000001</v>
      </c>
      <c r="E830">
        <v>0.55045250000000001</v>
      </c>
      <c r="F830" t="s">
        <v>44</v>
      </c>
      <c r="G830">
        <v>0</v>
      </c>
      <c r="H830">
        <v>0</v>
      </c>
      <c r="I830">
        <v>0</v>
      </c>
      <c r="J830">
        <v>-240.46889999999999</v>
      </c>
      <c r="K830">
        <v>1.110274</v>
      </c>
      <c r="L830">
        <v>367.97059999999999</v>
      </c>
      <c r="M830">
        <v>0.99982539999999998</v>
      </c>
      <c r="N830">
        <v>0</v>
      </c>
      <c r="O830">
        <v>1.2558400000000001E-2</v>
      </c>
      <c r="P830">
        <v>0.99410449999999995</v>
      </c>
      <c r="Q830">
        <v>-8.5206309999999903E-3</v>
      </c>
      <c r="R830">
        <v>-0.1080903</v>
      </c>
      <c r="S830">
        <v>2.9374389999999999</v>
      </c>
      <c r="T830">
        <v>4.7198179999999999E-2</v>
      </c>
      <c r="U830">
        <v>-0.74316409999999999</v>
      </c>
      <c r="V830">
        <v>0.1205676</v>
      </c>
      <c r="W830">
        <v>5.2164000000000004E-3</v>
      </c>
      <c r="X830">
        <v>0.9926914</v>
      </c>
      <c r="Y830">
        <v>0.25739329999999999</v>
      </c>
      <c r="Z830">
        <v>2.2344119999999999E-3</v>
      </c>
      <c r="AA830">
        <v>0.9663041</v>
      </c>
      <c r="AB830">
        <v>25</v>
      </c>
      <c r="AC830">
        <v>2.9374389999999999</v>
      </c>
      <c r="AD830">
        <v>4.7198179999999999E-2</v>
      </c>
      <c r="AE830">
        <v>-0.74316409999999999</v>
      </c>
      <c r="AF830">
        <v>0.77980933340238101</v>
      </c>
      <c r="AG830">
        <v>4.7198179999999999E-2</v>
      </c>
      <c r="AH830">
        <v>2.9271632080324101</v>
      </c>
      <c r="AI830">
        <v>89.107358891121194</v>
      </c>
      <c r="AJ830">
        <v>75.082609679430206</v>
      </c>
      <c r="AK830">
        <v>3.0296228661527098</v>
      </c>
      <c r="AL830">
        <v>89.701120936189895</v>
      </c>
      <c r="AM830">
        <v>83.075043716831701</v>
      </c>
      <c r="AN830">
        <v>0.99999998631633902</v>
      </c>
    </row>
    <row r="831" spans="1:40" x14ac:dyDescent="0.25">
      <c r="A831" t="str">
        <f>"20190312161240594"</f>
        <v>20190312161240594</v>
      </c>
      <c r="B831" t="str">
        <f>"1552378360586944"</f>
        <v>1552378360586944</v>
      </c>
      <c r="C831" t="s">
        <v>40</v>
      </c>
      <c r="D831">
        <v>4.9857809999999896</v>
      </c>
      <c r="E831">
        <v>0.54909980000000003</v>
      </c>
      <c r="F831" t="s">
        <v>44</v>
      </c>
      <c r="G831">
        <v>0</v>
      </c>
      <c r="H831">
        <v>0</v>
      </c>
      <c r="I831">
        <v>0</v>
      </c>
      <c r="J831">
        <v>-240.33529999999999</v>
      </c>
      <c r="K831">
        <v>1.1102730000000001</v>
      </c>
      <c r="L831">
        <v>367.97230000000002</v>
      </c>
      <c r="M831">
        <v>0.99982539999999998</v>
      </c>
      <c r="N831">
        <v>0</v>
      </c>
      <c r="O831">
        <v>1.255853E-2</v>
      </c>
      <c r="P831">
        <v>0.99409769999999997</v>
      </c>
      <c r="Q831">
        <v>-8.6962949999999997E-3</v>
      </c>
      <c r="R831">
        <v>-0.1081408</v>
      </c>
      <c r="S831">
        <v>2.9389949999999998</v>
      </c>
      <c r="T831">
        <v>4.0405990000000003E-2</v>
      </c>
      <c r="U831">
        <v>-0.72772219999999999</v>
      </c>
      <c r="V831">
        <v>0.12061819999999999</v>
      </c>
      <c r="W831">
        <v>5.0394960000000001E-3</v>
      </c>
      <c r="X831">
        <v>0.99268619999999996</v>
      </c>
      <c r="Y831">
        <v>0.2524998</v>
      </c>
      <c r="Z831">
        <v>1.879976E-3</v>
      </c>
      <c r="AA831">
        <v>0.96759519999999999</v>
      </c>
      <c r="AB831">
        <v>25</v>
      </c>
      <c r="AC831">
        <v>2.9389949999999998</v>
      </c>
      <c r="AD831">
        <v>4.0405990000000003E-2</v>
      </c>
      <c r="AE831">
        <v>-0.72772219999999999</v>
      </c>
      <c r="AF831">
        <v>0.76444164723877905</v>
      </c>
      <c r="AG831">
        <v>4.0405990000000003E-2</v>
      </c>
      <c r="AH831">
        <v>2.9291015281820498</v>
      </c>
      <c r="AI831">
        <v>89.235284498025095</v>
      </c>
      <c r="AJ831">
        <v>75.373115258462093</v>
      </c>
      <c r="AK831">
        <v>3.0274807081894699</v>
      </c>
      <c r="AL831">
        <v>89.711256931678307</v>
      </c>
      <c r="AM831">
        <v>83.072129740926599</v>
      </c>
      <c r="AN831">
        <v>1.0000000191808001</v>
      </c>
    </row>
    <row r="832" spans="1:40" x14ac:dyDescent="0.25">
      <c r="A832" t="str">
        <f>"20190312161240607"</f>
        <v>20190312161240607</v>
      </c>
      <c r="B832" t="str">
        <f>"1552378360596704"</f>
        <v>1552378360596704</v>
      </c>
      <c r="C832" t="s">
        <v>40</v>
      </c>
      <c r="D832">
        <v>5.0582539999999998</v>
      </c>
      <c r="E832">
        <v>0.54879809999999996</v>
      </c>
      <c r="F832" t="s">
        <v>44</v>
      </c>
      <c r="G832">
        <v>0</v>
      </c>
      <c r="H832">
        <v>0</v>
      </c>
      <c r="I832">
        <v>0</v>
      </c>
      <c r="J832">
        <v>-240.19460000000001</v>
      </c>
      <c r="K832">
        <v>1.1102730000000001</v>
      </c>
      <c r="L832">
        <v>367.97399999999999</v>
      </c>
      <c r="M832">
        <v>0.99982539999999998</v>
      </c>
      <c r="N832">
        <v>0</v>
      </c>
      <c r="O832">
        <v>1.2558720000000001E-2</v>
      </c>
      <c r="P832">
        <v>0.99408739999999995</v>
      </c>
      <c r="Q832">
        <v>-8.9436399999999992E-3</v>
      </c>
      <c r="R832">
        <v>-0.1082135</v>
      </c>
      <c r="S832">
        <v>2.940048</v>
      </c>
      <c r="T832">
        <v>2.4676199999999999E-2</v>
      </c>
      <c r="U832">
        <v>-0.71679689999999996</v>
      </c>
      <c r="V832">
        <v>0.1206909</v>
      </c>
      <c r="W832">
        <v>4.7901139999999998E-3</v>
      </c>
      <c r="X832">
        <v>0.99267859999999997</v>
      </c>
      <c r="Y832">
        <v>0.2490414</v>
      </c>
      <c r="Z832">
        <v>1.133946E-3</v>
      </c>
      <c r="AA832">
        <v>0.96849220000000003</v>
      </c>
      <c r="AB832">
        <v>25</v>
      </c>
      <c r="AC832">
        <v>2.940048</v>
      </c>
      <c r="AD832">
        <v>2.4676199999999999E-2</v>
      </c>
      <c r="AE832">
        <v>-0.71679689999999996</v>
      </c>
      <c r="AF832">
        <v>0.75361702469155201</v>
      </c>
      <c r="AG832">
        <v>2.4676199999999999E-2</v>
      </c>
      <c r="AH832">
        <v>2.9306183153064098</v>
      </c>
      <c r="AI832">
        <v>89.532773539049202</v>
      </c>
      <c r="AJ832">
        <v>75.578686669487595</v>
      </c>
      <c r="AK832">
        <v>3.0260653074183201</v>
      </c>
      <c r="AL832">
        <v>89.725545640524402</v>
      </c>
      <c r="AM832">
        <v>83.067942178683296</v>
      </c>
      <c r="AN832">
        <v>1.0000000207164501</v>
      </c>
    </row>
    <row r="833" spans="1:40" x14ac:dyDescent="0.25">
      <c r="A833" t="str">
        <f>"20190312161240622"</f>
        <v>20190312161240622</v>
      </c>
      <c r="B833" t="str">
        <f>"1552378360616223"</f>
        <v>1552378360616223</v>
      </c>
      <c r="C833" t="s">
        <v>40</v>
      </c>
      <c r="D833">
        <v>4.9529880000000004</v>
      </c>
      <c r="E833">
        <v>0.54735459999999903</v>
      </c>
      <c r="F833" t="s">
        <v>44</v>
      </c>
      <c r="G833">
        <v>0</v>
      </c>
      <c r="H833">
        <v>0</v>
      </c>
      <c r="I833">
        <v>0</v>
      </c>
      <c r="J833">
        <v>-240.0462</v>
      </c>
      <c r="K833">
        <v>1.110274</v>
      </c>
      <c r="L833">
        <v>367.97590000000002</v>
      </c>
      <c r="M833">
        <v>0.99982550000000003</v>
      </c>
      <c r="N833">
        <v>0</v>
      </c>
      <c r="O833">
        <v>1.2558730000000001E-2</v>
      </c>
      <c r="P833">
        <v>0.99407489999999998</v>
      </c>
      <c r="Q833">
        <v>-9.2566109999999997E-3</v>
      </c>
      <c r="R833">
        <v>-0.108304399999999</v>
      </c>
      <c r="S833">
        <v>2.9402620000000002</v>
      </c>
      <c r="T833">
        <v>2.5223260000000001E-2</v>
      </c>
      <c r="U833">
        <v>-0.71466059999999998</v>
      </c>
      <c r="V833">
        <v>0.1207815</v>
      </c>
      <c r="W833">
        <v>4.4754039999999997E-3</v>
      </c>
      <c r="X833">
        <v>0.99266900000000002</v>
      </c>
      <c r="Y833">
        <v>0.24836059999999999</v>
      </c>
      <c r="Z833">
        <v>1.1562219999999999E-3</v>
      </c>
      <c r="AA833">
        <v>0.96866699999999994</v>
      </c>
      <c r="AB833">
        <v>25</v>
      </c>
      <c r="AC833">
        <v>2.9402620000000002</v>
      </c>
      <c r="AD833">
        <v>2.5223260000000001E-2</v>
      </c>
      <c r="AE833">
        <v>-0.71466059999999998</v>
      </c>
      <c r="AF833">
        <v>0.75148149830702005</v>
      </c>
      <c r="AG833">
        <v>2.5223260000000001E-2</v>
      </c>
      <c r="AH833">
        <v>2.9308503316377998</v>
      </c>
      <c r="AI833">
        <v>89.522367456484304</v>
      </c>
      <c r="AJ833">
        <v>75.618946349574401</v>
      </c>
      <c r="AK833">
        <v>3.0257634278978598</v>
      </c>
      <c r="AL833">
        <v>89.743577375949101</v>
      </c>
      <c r="AM833">
        <v>83.062722689470405</v>
      </c>
      <c r="AN833">
        <v>0.99999997177210598</v>
      </c>
    </row>
    <row r="834" spans="1:40" x14ac:dyDescent="0.25">
      <c r="A834" t="str">
        <f>"20190312161240638"</f>
        <v>20190312161240638</v>
      </c>
      <c r="B834" t="str">
        <f>"1552378360626960"</f>
        <v>1552378360626960</v>
      </c>
      <c r="C834" t="s">
        <v>40</v>
      </c>
      <c r="D834">
        <v>4.9774120000000002</v>
      </c>
      <c r="E834">
        <v>0.54669239999999997</v>
      </c>
      <c r="F834" t="s">
        <v>44</v>
      </c>
      <c r="G834">
        <v>0</v>
      </c>
      <c r="H834">
        <v>0</v>
      </c>
      <c r="I834">
        <v>0</v>
      </c>
      <c r="J834">
        <v>-239.85560000000001</v>
      </c>
      <c r="K834">
        <v>1.110274</v>
      </c>
      <c r="L834">
        <v>367.97829999999999</v>
      </c>
      <c r="M834">
        <v>0.99982550000000003</v>
      </c>
      <c r="N834">
        <v>0</v>
      </c>
      <c r="O834">
        <v>1.2558919999999999E-2</v>
      </c>
      <c r="P834">
        <v>0.99407279999999998</v>
      </c>
      <c r="Q834">
        <v>-9.5538889999999994E-3</v>
      </c>
      <c r="R834">
        <v>-0.108297699999999</v>
      </c>
      <c r="S834">
        <v>2.941452</v>
      </c>
      <c r="T834">
        <v>2.1876929999999999E-2</v>
      </c>
      <c r="U834">
        <v>-0.70343020000000001</v>
      </c>
      <c r="V834">
        <v>0.12077499999999999</v>
      </c>
      <c r="W834">
        <v>4.1759529999999996E-3</v>
      </c>
      <c r="X834">
        <v>0.99267110000000003</v>
      </c>
      <c r="Y834">
        <v>0.2447762</v>
      </c>
      <c r="Z834">
        <v>9.8973719999999993E-4</v>
      </c>
      <c r="AA834">
        <v>0.96957910000000003</v>
      </c>
      <c r="AB834">
        <v>25</v>
      </c>
      <c r="AC834">
        <v>2.941452</v>
      </c>
      <c r="AD834">
        <v>2.1876929999999999E-2</v>
      </c>
      <c r="AE834">
        <v>-0.70343020000000001</v>
      </c>
      <c r="AF834">
        <v>0.74028097163176099</v>
      </c>
      <c r="AG834">
        <v>2.1876929999999999E-2</v>
      </c>
      <c r="AH834">
        <v>2.9322313811505798</v>
      </c>
      <c r="AI834">
        <v>89.585536860796793</v>
      </c>
      <c r="AJ834">
        <v>75.830996227278106</v>
      </c>
      <c r="AK834">
        <v>3.02431403621227</v>
      </c>
      <c r="AL834">
        <v>89.760734816499493</v>
      </c>
      <c r="AM834">
        <v>83.063106921593004</v>
      </c>
      <c r="AN834">
        <v>0.99999997599183299</v>
      </c>
    </row>
    <row r="835" spans="1:40" x14ac:dyDescent="0.25">
      <c r="A835" t="str">
        <f>"20190312161240653"</f>
        <v>20190312161240653</v>
      </c>
      <c r="B835" t="str">
        <f>"1552378360646480"</f>
        <v>1552378360646480</v>
      </c>
      <c r="C835" t="s">
        <v>40</v>
      </c>
      <c r="D835">
        <v>4.9433870000000004</v>
      </c>
      <c r="E835">
        <v>0.54564860000000004</v>
      </c>
      <c r="F835" t="s">
        <v>44</v>
      </c>
      <c r="G835">
        <v>0</v>
      </c>
      <c r="H835">
        <v>0</v>
      </c>
      <c r="I835">
        <v>0</v>
      </c>
      <c r="J835">
        <v>-239.6969</v>
      </c>
      <c r="K835">
        <v>1.110269</v>
      </c>
      <c r="L835">
        <v>367.9803</v>
      </c>
      <c r="M835">
        <v>0.99982550000000003</v>
      </c>
      <c r="N835">
        <v>0</v>
      </c>
      <c r="O835">
        <v>1.255911E-2</v>
      </c>
      <c r="P835">
        <v>0.99405790000000005</v>
      </c>
      <c r="Q835">
        <v>-9.3865930000000004E-3</v>
      </c>
      <c r="R835">
        <v>-0.1084483</v>
      </c>
      <c r="S835">
        <v>2.9420320000000002</v>
      </c>
      <c r="T835">
        <v>1.9904970000000001E-2</v>
      </c>
      <c r="U835">
        <v>-0.69818119999999995</v>
      </c>
      <c r="V835">
        <v>0.12092559999999999</v>
      </c>
      <c r="W835">
        <v>4.3409369999999996E-3</v>
      </c>
      <c r="X835">
        <v>0.99265210000000004</v>
      </c>
      <c r="Y835">
        <v>0.24309700000000001</v>
      </c>
      <c r="Z835">
        <v>8.9493509999999995E-4</v>
      </c>
      <c r="AA835">
        <v>0.97000160000000002</v>
      </c>
      <c r="AB835">
        <v>25</v>
      </c>
      <c r="AC835">
        <v>2.9420320000000002</v>
      </c>
      <c r="AD835">
        <v>1.9904970000000001E-2</v>
      </c>
      <c r="AE835">
        <v>-0.69818119999999995</v>
      </c>
      <c r="AF835">
        <v>0.73504710897390002</v>
      </c>
      <c r="AG835">
        <v>1.9904970000000001E-2</v>
      </c>
      <c r="AH835">
        <v>2.9329034522961299</v>
      </c>
      <c r="AI835">
        <v>89.622816987043606</v>
      </c>
      <c r="AJ835">
        <v>75.930275332151396</v>
      </c>
      <c r="AK835">
        <v>3.0236754324385</v>
      </c>
      <c r="AL835">
        <v>89.751281854123704</v>
      </c>
      <c r="AM835">
        <v>83.054409780484093</v>
      </c>
      <c r="AN835">
        <v>1.0000000180519</v>
      </c>
    </row>
    <row r="836" spans="1:40" x14ac:dyDescent="0.25">
      <c r="A836" t="str">
        <f>"20190312161240672"</f>
        <v>20190312161240672</v>
      </c>
      <c r="B836" t="str">
        <f>"1552378360666000"</f>
        <v>1552378360666000</v>
      </c>
      <c r="C836" t="s">
        <v>40</v>
      </c>
      <c r="D836">
        <v>4.9822360000000003</v>
      </c>
      <c r="E836">
        <v>0.54490839999999996</v>
      </c>
      <c r="F836" t="s">
        <v>44</v>
      </c>
      <c r="G836">
        <v>0</v>
      </c>
      <c r="H836">
        <v>0</v>
      </c>
      <c r="I836">
        <v>0</v>
      </c>
      <c r="J836">
        <v>-239.48230000000001</v>
      </c>
      <c r="K836">
        <v>1.110268</v>
      </c>
      <c r="L836">
        <v>367.983</v>
      </c>
      <c r="M836">
        <v>0.99982570000000004</v>
      </c>
      <c r="N836">
        <v>0</v>
      </c>
      <c r="O836">
        <v>1.2559310000000001E-2</v>
      </c>
      <c r="P836">
        <v>0.99400569999999999</v>
      </c>
      <c r="Q836">
        <v>-9.6970719999999993E-3</v>
      </c>
      <c r="R836">
        <v>-0.108899</v>
      </c>
      <c r="S836">
        <v>2.942825</v>
      </c>
      <c r="T836">
        <v>1.941764E-2</v>
      </c>
      <c r="U836">
        <v>-0.69006350000000005</v>
      </c>
      <c r="V836">
        <v>0.12137580000000001</v>
      </c>
      <c r="W836">
        <v>4.0271810000000003E-3</v>
      </c>
      <c r="X836">
        <v>0.99259850000000005</v>
      </c>
      <c r="Y836">
        <v>0.2405032</v>
      </c>
      <c r="Z836">
        <v>8.6462710000000001E-4</v>
      </c>
      <c r="AA836">
        <v>0.97064799999999996</v>
      </c>
      <c r="AB836">
        <v>25</v>
      </c>
      <c r="AC836">
        <v>2.942825</v>
      </c>
      <c r="AD836">
        <v>1.941764E-2</v>
      </c>
      <c r="AE836">
        <v>-0.69006350000000005</v>
      </c>
      <c r="AF836">
        <v>0.72694244224583704</v>
      </c>
      <c r="AG836">
        <v>1.941764E-2</v>
      </c>
      <c r="AH836">
        <v>2.9338042295814599</v>
      </c>
      <c r="AI836">
        <v>89.631919071850106</v>
      </c>
      <c r="AJ836">
        <v>76.0834518834981</v>
      </c>
      <c r="AK836">
        <v>3.0225865771870901</v>
      </c>
      <c r="AL836">
        <v>89.769258911492798</v>
      </c>
      <c r="AM836">
        <v>83.028432932659797</v>
      </c>
      <c r="AN836">
        <v>1.0000000426073401</v>
      </c>
    </row>
    <row r="837" spans="1:40" x14ac:dyDescent="0.25">
      <c r="A837" t="str">
        <f>"20190312161240685"</f>
        <v>20190312161240685</v>
      </c>
      <c r="B837" t="str">
        <f>"1552378360676736"</f>
        <v>1552378360676736</v>
      </c>
      <c r="C837" t="s">
        <v>40</v>
      </c>
      <c r="D837">
        <v>5.005503</v>
      </c>
      <c r="E837">
        <v>0.54465989999999997</v>
      </c>
      <c r="F837" t="s">
        <v>44</v>
      </c>
      <c r="G837">
        <v>0</v>
      </c>
      <c r="H837">
        <v>0</v>
      </c>
      <c r="I837">
        <v>0</v>
      </c>
      <c r="J837">
        <v>-239.34299999999999</v>
      </c>
      <c r="K837">
        <v>1.110269</v>
      </c>
      <c r="L837">
        <v>367.98469999999998</v>
      </c>
      <c r="M837">
        <v>0.99982570000000004</v>
      </c>
      <c r="N837">
        <v>0</v>
      </c>
      <c r="O837">
        <v>1.2559320000000001E-2</v>
      </c>
      <c r="P837">
        <v>0.99397800000000003</v>
      </c>
      <c r="Q837">
        <v>-9.9895650000000006E-3</v>
      </c>
      <c r="R837">
        <v>-0.109125</v>
      </c>
      <c r="S837">
        <v>2.94313</v>
      </c>
      <c r="T837">
        <v>1.6338350000000001E-2</v>
      </c>
      <c r="U837">
        <v>-0.68563839999999998</v>
      </c>
      <c r="V837">
        <v>0.1216015</v>
      </c>
      <c r="W837">
        <v>3.733451E-3</v>
      </c>
      <c r="X837">
        <v>0.99257200000000001</v>
      </c>
      <c r="Y837">
        <v>0.23909830000000001</v>
      </c>
      <c r="Z837">
        <v>7.2371580000000005E-4</v>
      </c>
      <c r="AA837">
        <v>0.9709951</v>
      </c>
      <c r="AB837">
        <v>24</v>
      </c>
      <c r="AC837">
        <v>2.94313</v>
      </c>
      <c r="AD837">
        <v>1.6338350000000001E-2</v>
      </c>
      <c r="AE837">
        <v>-0.68563839999999998</v>
      </c>
      <c r="AF837">
        <v>0.72253043101013004</v>
      </c>
      <c r="AG837">
        <v>1.6338350000000001E-2</v>
      </c>
      <c r="AH837">
        <v>2.9342000832876902</v>
      </c>
      <c r="AI837">
        <v>89.6902198231559</v>
      </c>
      <c r="AJ837">
        <v>76.166455494345698</v>
      </c>
      <c r="AK837">
        <v>3.02189465305822</v>
      </c>
      <c r="AL837">
        <v>89.786088521872401</v>
      </c>
      <c r="AM837">
        <v>83.0154125037444</v>
      </c>
      <c r="AN837">
        <v>1.0000000193212999</v>
      </c>
    </row>
    <row r="838" spans="1:40" x14ac:dyDescent="0.25">
      <c r="A838" t="str">
        <f>"20190312161240699"</f>
        <v>20190312161240699</v>
      </c>
      <c r="B838" t="str">
        <f>"1552378360686497"</f>
        <v>1552378360686497</v>
      </c>
      <c r="C838" t="s">
        <v>40</v>
      </c>
      <c r="D838">
        <v>4.9138339999999996</v>
      </c>
      <c r="E838">
        <v>0.54441390000000001</v>
      </c>
      <c r="F838" t="s">
        <v>44</v>
      </c>
      <c r="G838">
        <v>0</v>
      </c>
      <c r="H838">
        <v>0</v>
      </c>
      <c r="I838">
        <v>0</v>
      </c>
      <c r="J838">
        <v>-239.20339999999999</v>
      </c>
      <c r="K838">
        <v>1.110269</v>
      </c>
      <c r="L838">
        <v>367.98649999999998</v>
      </c>
      <c r="M838">
        <v>0.99982550000000003</v>
      </c>
      <c r="N838">
        <v>0</v>
      </c>
      <c r="O838">
        <v>1.255963E-2</v>
      </c>
      <c r="P838">
        <v>0.99394260000000001</v>
      </c>
      <c r="Q838">
        <v>-1.0179590000000001E-2</v>
      </c>
      <c r="R838">
        <v>-0.1094291</v>
      </c>
      <c r="S838">
        <v>2.9432070000000001</v>
      </c>
      <c r="T838">
        <v>1.516294E-2</v>
      </c>
      <c r="U838">
        <v>-0.68408199999999997</v>
      </c>
      <c r="V838">
        <v>0.12190520000000001</v>
      </c>
      <c r="W838">
        <v>3.5408100000000001E-3</v>
      </c>
      <c r="X838">
        <v>0.99253539999999996</v>
      </c>
      <c r="Y838">
        <v>0.2386064</v>
      </c>
      <c r="Z838">
        <v>6.7042529999999999E-4</v>
      </c>
      <c r="AA838">
        <v>0.97111610000000004</v>
      </c>
      <c r="AB838">
        <v>24</v>
      </c>
      <c r="AC838">
        <v>2.9432070000000001</v>
      </c>
      <c r="AD838">
        <v>1.516294E-2</v>
      </c>
      <c r="AE838">
        <v>-0.68408199999999997</v>
      </c>
      <c r="AF838">
        <v>0.72097900327811004</v>
      </c>
      <c r="AG838">
        <v>1.516294E-2</v>
      </c>
      <c r="AH838">
        <v>2.9343082817376498</v>
      </c>
      <c r="AI838">
        <v>89.712480311117602</v>
      </c>
      <c r="AJ838">
        <v>76.195511180001603</v>
      </c>
      <c r="AK838">
        <v>3.0216230291337598</v>
      </c>
      <c r="AL838">
        <v>89.7971261004691</v>
      </c>
      <c r="AM838">
        <v>82.9978857941461</v>
      </c>
      <c r="AN838">
        <v>0.99999996768782695</v>
      </c>
    </row>
    <row r="839" spans="1:40" x14ac:dyDescent="0.25">
      <c r="A839" t="str">
        <f>"20190312161240712"</f>
        <v>20190312161240712</v>
      </c>
      <c r="B839" t="str">
        <f>"1552378360706016"</f>
        <v>1552378360706016</v>
      </c>
      <c r="C839" t="s">
        <v>40</v>
      </c>
      <c r="D839">
        <v>5.0247289999999998</v>
      </c>
      <c r="E839">
        <v>0.5444388</v>
      </c>
      <c r="F839" t="s">
        <v>44</v>
      </c>
      <c r="G839">
        <v>0</v>
      </c>
      <c r="H839">
        <v>0</v>
      </c>
      <c r="I839">
        <v>0</v>
      </c>
      <c r="J839">
        <v>-239.05269999999999</v>
      </c>
      <c r="K839">
        <v>1.110269</v>
      </c>
      <c r="L839">
        <v>367.98840000000001</v>
      </c>
      <c r="M839">
        <v>0.99982550000000003</v>
      </c>
      <c r="N839">
        <v>0</v>
      </c>
      <c r="O839">
        <v>1.256E-2</v>
      </c>
      <c r="P839">
        <v>0.99392550000000002</v>
      </c>
      <c r="Q839">
        <v>-1.0232750000000001E-2</v>
      </c>
      <c r="R839">
        <v>-0.10957799999999999</v>
      </c>
      <c r="S839">
        <v>2.9432070000000001</v>
      </c>
      <c r="T839">
        <v>1.4386060000000001E-2</v>
      </c>
      <c r="U839">
        <v>-0.68310550000000003</v>
      </c>
      <c r="V839">
        <v>0.12205439999999999</v>
      </c>
      <c r="W839">
        <v>3.4854980000000001E-3</v>
      </c>
      <c r="X839">
        <v>0.99251730000000005</v>
      </c>
      <c r="Y839">
        <v>0.2383014</v>
      </c>
      <c r="Z839">
        <v>6.3536549999999999E-4</v>
      </c>
      <c r="AA839">
        <v>0.97119100000000003</v>
      </c>
      <c r="AB839">
        <v>24</v>
      </c>
      <c r="AC839">
        <v>2.9432070000000001</v>
      </c>
      <c r="AD839">
        <v>1.4386060000000001E-2</v>
      </c>
      <c r="AE839">
        <v>-0.68310550000000003</v>
      </c>
      <c r="AF839">
        <v>0.72000549844619799</v>
      </c>
      <c r="AG839">
        <v>1.4386060000000001E-2</v>
      </c>
      <c r="AH839">
        <v>2.9343276483407199</v>
      </c>
      <c r="AI839">
        <v>89.727192021517496</v>
      </c>
      <c r="AJ839">
        <v>76.213526633193297</v>
      </c>
      <c r="AK839">
        <v>3.0214059019489401</v>
      </c>
      <c r="AL839">
        <v>89.8002952723417</v>
      </c>
      <c r="AM839">
        <v>82.989274546444094</v>
      </c>
      <c r="AN839">
        <v>1.00000000802747</v>
      </c>
    </row>
    <row r="840" spans="1:40" x14ac:dyDescent="0.25">
      <c r="A840" t="str">
        <f>"20190312161240726"</f>
        <v>20190312161240726</v>
      </c>
      <c r="B840" t="str">
        <f>"1552378360716752"</f>
        <v>1552378360716752</v>
      </c>
      <c r="C840" t="s">
        <v>40</v>
      </c>
      <c r="D840">
        <v>4.9447650000000003</v>
      </c>
      <c r="E840">
        <v>0.54456199999999999</v>
      </c>
      <c r="F840" t="s">
        <v>44</v>
      </c>
      <c r="G840">
        <v>0</v>
      </c>
      <c r="H840">
        <v>0</v>
      </c>
      <c r="I840">
        <v>0</v>
      </c>
      <c r="J840">
        <v>-238.8871</v>
      </c>
      <c r="K840">
        <v>1.1102669999999999</v>
      </c>
      <c r="L840">
        <v>367.99040000000002</v>
      </c>
      <c r="M840">
        <v>0.99982570000000004</v>
      </c>
      <c r="N840">
        <v>0</v>
      </c>
      <c r="O840">
        <v>1.2559829999999999E-2</v>
      </c>
      <c r="P840">
        <v>0.9938903</v>
      </c>
      <c r="Q840">
        <v>-1.0169589999999999E-2</v>
      </c>
      <c r="R840">
        <v>-0.1099055</v>
      </c>
      <c r="S840">
        <v>2.943085</v>
      </c>
      <c r="T840">
        <v>9.9234579999999996E-3</v>
      </c>
      <c r="U840">
        <v>-0.68356319999999904</v>
      </c>
      <c r="V840">
        <v>0.122381</v>
      </c>
      <c r="W840">
        <v>3.5465319999999998E-3</v>
      </c>
      <c r="X840">
        <v>0.9924769</v>
      </c>
      <c r="Y840">
        <v>0.2384549</v>
      </c>
      <c r="Z840">
        <v>4.385395E-4</v>
      </c>
      <c r="AA840">
        <v>0.9711535</v>
      </c>
      <c r="AB840">
        <v>24</v>
      </c>
      <c r="AC840">
        <v>2.943085</v>
      </c>
      <c r="AD840">
        <v>9.9234579999999996E-3</v>
      </c>
      <c r="AE840">
        <v>-0.68356319999999904</v>
      </c>
      <c r="AF840">
        <v>0.72046967460825395</v>
      </c>
      <c r="AG840">
        <v>9.9234579999999996E-3</v>
      </c>
      <c r="AH840">
        <v>2.9342349031286599</v>
      </c>
      <c r="AI840">
        <v>89.811818468604102</v>
      </c>
      <c r="AJ840">
        <v>76.204558759005593</v>
      </c>
      <c r="AK840">
        <v>3.0214085281185099</v>
      </c>
      <c r="AL840">
        <v>89.796798267058506</v>
      </c>
      <c r="AM840">
        <v>82.9704190092624</v>
      </c>
      <c r="AN840">
        <v>1.00000004204191</v>
      </c>
    </row>
    <row r="841" spans="1:40" x14ac:dyDescent="0.25">
      <c r="A841" t="str">
        <f>"20190312161240750"</f>
        <v>20190312161240750</v>
      </c>
      <c r="B841" t="str">
        <f>"1552378360746032"</f>
        <v>1552378360746032</v>
      </c>
      <c r="C841" t="s">
        <v>40</v>
      </c>
      <c r="D841">
        <v>5.0022010000000003</v>
      </c>
      <c r="E841">
        <v>0.54503169999999901</v>
      </c>
      <c r="F841" t="s">
        <v>44</v>
      </c>
      <c r="G841">
        <v>0</v>
      </c>
      <c r="H841">
        <v>0</v>
      </c>
      <c r="I841">
        <v>0</v>
      </c>
      <c r="J841">
        <v>-238.64269999999999</v>
      </c>
      <c r="K841">
        <v>1.110269</v>
      </c>
      <c r="L841">
        <v>367.99349999999998</v>
      </c>
      <c r="M841">
        <v>0.99982559999999998</v>
      </c>
      <c r="N841">
        <v>0</v>
      </c>
      <c r="O841">
        <v>1.2560389999999999E-2</v>
      </c>
      <c r="P841">
        <v>0.99390369999999995</v>
      </c>
      <c r="Q841">
        <v>-9.5029009999999994E-3</v>
      </c>
      <c r="R841">
        <v>-0.1098412</v>
      </c>
      <c r="S841">
        <v>2.9427189999999999</v>
      </c>
      <c r="T841">
        <v>6.6840650000000003E-3</v>
      </c>
      <c r="U841">
        <v>-0.68530269999999904</v>
      </c>
      <c r="V841">
        <v>0.1223178</v>
      </c>
      <c r="W841">
        <v>4.2102859999999997E-3</v>
      </c>
      <c r="X841">
        <v>0.99248210000000003</v>
      </c>
      <c r="Y841">
        <v>0.2390274</v>
      </c>
      <c r="Z841">
        <v>2.9604309999999999E-4</v>
      </c>
      <c r="AA841">
        <v>0.97101280000000001</v>
      </c>
      <c r="AB841">
        <v>24</v>
      </c>
      <c r="AC841">
        <v>2.9427189999999999</v>
      </c>
      <c r="AD841">
        <v>6.6840650000000003E-3</v>
      </c>
      <c r="AE841">
        <v>-0.68530269999999904</v>
      </c>
      <c r="AF841">
        <v>0.72221032410251396</v>
      </c>
      <c r="AG841">
        <v>6.6840650000000003E-3</v>
      </c>
      <c r="AH841">
        <v>2.9338639706970202</v>
      </c>
      <c r="AI841">
        <v>89.873250129909806</v>
      </c>
      <c r="AJ841">
        <v>76.170825652821605</v>
      </c>
      <c r="AK841">
        <v>3.0214549851883001</v>
      </c>
      <c r="AL841">
        <v>89.758767679750505</v>
      </c>
      <c r="AM841">
        <v>82.974049377333202</v>
      </c>
      <c r="AN841">
        <v>1.00000004476272</v>
      </c>
    </row>
    <row r="842" spans="1:40" x14ac:dyDescent="0.25">
      <c r="A842" t="str">
        <f>"20190312161240761"</f>
        <v>20190312161240761</v>
      </c>
      <c r="B842" t="str">
        <f>"1552378360756768"</f>
        <v>1552378360756768</v>
      </c>
      <c r="C842" t="s">
        <v>40</v>
      </c>
      <c r="D842">
        <v>5.0502149999999997</v>
      </c>
      <c r="E842">
        <v>0.54514779999999996</v>
      </c>
      <c r="F842" t="s">
        <v>44</v>
      </c>
      <c r="G842">
        <v>0</v>
      </c>
      <c r="H842">
        <v>0</v>
      </c>
      <c r="I842">
        <v>0</v>
      </c>
      <c r="J842">
        <v>-238.51230000000001</v>
      </c>
      <c r="K842">
        <v>1.1102700000000001</v>
      </c>
      <c r="L842">
        <v>367.99520000000001</v>
      </c>
      <c r="M842">
        <v>0.99982570000000004</v>
      </c>
      <c r="N842">
        <v>0</v>
      </c>
      <c r="O842">
        <v>1.2560399999999999E-2</v>
      </c>
      <c r="P842">
        <v>0.99392049999999998</v>
      </c>
      <c r="Q842">
        <v>-9.669024E-3</v>
      </c>
      <c r="R842">
        <v>-0.1096771</v>
      </c>
      <c r="S842">
        <v>2.9423370000000002</v>
      </c>
      <c r="T842">
        <v>8.3684919999999895E-4</v>
      </c>
      <c r="U842">
        <v>-0.68823239999999997</v>
      </c>
      <c r="V842">
        <v>0.1221537</v>
      </c>
      <c r="W842">
        <v>4.0433930000000002E-3</v>
      </c>
      <c r="X842">
        <v>0.99250289999999997</v>
      </c>
      <c r="Y842">
        <v>0.23997250000000001</v>
      </c>
      <c r="Z842" s="1">
        <v>3.7197989999999998E-5</v>
      </c>
      <c r="AA842">
        <v>0.97077970000000002</v>
      </c>
      <c r="AB842">
        <v>24</v>
      </c>
      <c r="AC842">
        <v>2.9423370000000002</v>
      </c>
      <c r="AD842">
        <v>8.3684919999999895E-4</v>
      </c>
      <c r="AE842">
        <v>-0.68823239999999997</v>
      </c>
      <c r="AF842">
        <v>0.72513849881533698</v>
      </c>
      <c r="AG842">
        <v>8.3684919999999895E-4</v>
      </c>
      <c r="AH842">
        <v>2.9334593255883998</v>
      </c>
      <c r="AI842">
        <v>89.984132429729002</v>
      </c>
      <c r="AJ842">
        <v>76.115079738546001</v>
      </c>
      <c r="AK842">
        <v>3.0217561380201299</v>
      </c>
      <c r="AL842">
        <v>89.768330001247804</v>
      </c>
      <c r="AM842">
        <v>82.983526863833106</v>
      </c>
      <c r="AN842">
        <v>0.99999994097952405</v>
      </c>
    </row>
    <row r="843" spans="1:40" x14ac:dyDescent="0.25">
      <c r="A843" t="str">
        <f>"20190312161240784"</f>
        <v>20190312161240784</v>
      </c>
      <c r="B843" t="str">
        <f>"1552378360776289"</f>
        <v>1552378360776289</v>
      </c>
      <c r="C843" t="s">
        <v>40</v>
      </c>
      <c r="D843">
        <v>5.0575130000000001</v>
      </c>
      <c r="E843">
        <v>0.54522349999999997</v>
      </c>
      <c r="F843" t="s">
        <v>44</v>
      </c>
      <c r="G843">
        <v>0</v>
      </c>
      <c r="H843">
        <v>0</v>
      </c>
      <c r="I843">
        <v>0</v>
      </c>
      <c r="J843">
        <v>-238.27180000000001</v>
      </c>
      <c r="K843">
        <v>1.110269</v>
      </c>
      <c r="L843">
        <v>367.9982</v>
      </c>
      <c r="M843">
        <v>0.99982570000000004</v>
      </c>
      <c r="N843">
        <v>0</v>
      </c>
      <c r="O843">
        <v>1.256054E-2</v>
      </c>
      <c r="P843">
        <v>0.99393189999999998</v>
      </c>
      <c r="Q843">
        <v>-9.6164200000000005E-3</v>
      </c>
      <c r="R843">
        <v>-0.10957749999999999</v>
      </c>
      <c r="S843">
        <v>2.9423520000000001</v>
      </c>
      <c r="T843">
        <v>-1.0273459999999999E-3</v>
      </c>
      <c r="U843">
        <v>-0.68887330000000002</v>
      </c>
      <c r="V843">
        <v>0.12205439999999999</v>
      </c>
      <c r="W843">
        <v>4.0939380000000001E-3</v>
      </c>
      <c r="X843">
        <v>0.99251500000000004</v>
      </c>
      <c r="Y843">
        <v>0.240172</v>
      </c>
      <c r="Z843" s="1">
        <v>-4.5698629999999999E-5</v>
      </c>
      <c r="AA843">
        <v>0.97073039999999999</v>
      </c>
      <c r="AB843">
        <v>24</v>
      </c>
      <c r="AC843">
        <v>2.9423520000000001</v>
      </c>
      <c r="AD843">
        <v>-1.0273459999999999E-3</v>
      </c>
      <c r="AE843">
        <v>-0.68887330000000002</v>
      </c>
      <c r="AF843">
        <v>0.72577991909708806</v>
      </c>
      <c r="AG843">
        <v>-1.0273459999999999E-3</v>
      </c>
      <c r="AH843">
        <v>2.93346605801278</v>
      </c>
      <c r="AI843">
        <v>90.019478561620303</v>
      </c>
      <c r="AJ843">
        <v>76.103304349928806</v>
      </c>
      <c r="AK843">
        <v>3.0219167195535701</v>
      </c>
      <c r="AL843">
        <v>89.765433983059495</v>
      </c>
      <c r="AM843">
        <v>82.989258461847697</v>
      </c>
      <c r="AN843">
        <v>1.0000000310563499</v>
      </c>
    </row>
    <row r="844" spans="1:40" x14ac:dyDescent="0.25">
      <c r="A844" t="str">
        <f>"20190312161240796"</f>
        <v>20190312161240796</v>
      </c>
      <c r="B844" t="str">
        <f>"1552378360786049"</f>
        <v>1552378360786049</v>
      </c>
      <c r="C844" t="s">
        <v>40</v>
      </c>
      <c r="D844">
        <v>5.0765659999999997</v>
      </c>
      <c r="E844">
        <v>0.54528989999999999</v>
      </c>
      <c r="F844" t="s">
        <v>44</v>
      </c>
      <c r="G844">
        <v>0</v>
      </c>
      <c r="H844">
        <v>0</v>
      </c>
      <c r="I844">
        <v>0</v>
      </c>
      <c r="J844">
        <v>-238.1396</v>
      </c>
      <c r="K844">
        <v>1.110269</v>
      </c>
      <c r="L844">
        <v>367.99979999999999</v>
      </c>
      <c r="M844">
        <v>0.99982570000000004</v>
      </c>
      <c r="N844">
        <v>0</v>
      </c>
      <c r="O844">
        <v>1.2560730000000001E-2</v>
      </c>
      <c r="P844">
        <v>0.99393589999999998</v>
      </c>
      <c r="Q844">
        <v>-9.7686160000000008E-3</v>
      </c>
      <c r="R844">
        <v>-0.10952679999999999</v>
      </c>
      <c r="S844">
        <v>2.9423219999999999</v>
      </c>
      <c r="T844">
        <v>-3.7992E-3</v>
      </c>
      <c r="U844">
        <v>-0.68890379999999996</v>
      </c>
      <c r="V844">
        <v>0.122004</v>
      </c>
      <c r="W844">
        <v>3.940397E-3</v>
      </c>
      <c r="X844">
        <v>0.99252180000000001</v>
      </c>
      <c r="Y844">
        <v>0.2401838</v>
      </c>
      <c r="Z844">
        <v>-1.6900619999999999E-4</v>
      </c>
      <c r="AA844">
        <v>0.97072740000000002</v>
      </c>
      <c r="AB844">
        <v>24</v>
      </c>
      <c r="AC844">
        <v>2.9423219999999999</v>
      </c>
      <c r="AD844">
        <v>-3.7992E-3</v>
      </c>
      <c r="AE844">
        <v>-0.68890379999999996</v>
      </c>
      <c r="AF844">
        <v>0.72580953385902602</v>
      </c>
      <c r="AG844">
        <v>-3.7992E-3</v>
      </c>
      <c r="AH844">
        <v>2.93343124175852</v>
      </c>
      <c r="AI844">
        <v>90.072033734146302</v>
      </c>
      <c r="AJ844">
        <v>76.102600738194099</v>
      </c>
      <c r="AK844">
        <v>3.02189224882129</v>
      </c>
      <c r="AL844">
        <v>89.774231301009607</v>
      </c>
      <c r="AM844">
        <v>82.992172155329499</v>
      </c>
      <c r="AN844">
        <v>1.0000000131098701</v>
      </c>
    </row>
    <row r="845" spans="1:40" x14ac:dyDescent="0.25">
      <c r="A845" t="str">
        <f>"20190312161240809"</f>
        <v>20190312161240809</v>
      </c>
      <c r="B845" t="str">
        <f>"1552378360796786"</f>
        <v>1552378360796786</v>
      </c>
      <c r="C845" t="s">
        <v>40</v>
      </c>
      <c r="D845">
        <v>5.0445570000000002</v>
      </c>
      <c r="E845">
        <v>0.54530500000000004</v>
      </c>
      <c r="F845" t="s">
        <v>57</v>
      </c>
      <c r="G845">
        <v>317.88170000000002</v>
      </c>
      <c r="H845">
        <v>-0.1</v>
      </c>
      <c r="I845">
        <v>237.72219999999999</v>
      </c>
      <c r="J845">
        <v>-238.00049999999999</v>
      </c>
      <c r="K845">
        <v>1.110268</v>
      </c>
      <c r="L845">
        <v>368.0016</v>
      </c>
      <c r="M845">
        <v>0.99982579999999999</v>
      </c>
      <c r="N845">
        <v>0</v>
      </c>
      <c r="O845">
        <v>1.256092E-2</v>
      </c>
      <c r="P845">
        <v>0.99392590000000003</v>
      </c>
      <c r="Q845">
        <v>-9.8928680000000008E-3</v>
      </c>
      <c r="R845">
        <v>-0.1096081</v>
      </c>
      <c r="S845">
        <v>2.942307</v>
      </c>
      <c r="T845">
        <v>-6.4043999999999898E-3</v>
      </c>
      <c r="U845">
        <v>-0.68939209999999995</v>
      </c>
      <c r="V845">
        <v>0.1220852</v>
      </c>
      <c r="W845">
        <v>3.8140370000000002E-3</v>
      </c>
      <c r="X845">
        <v>0.99251230000000001</v>
      </c>
      <c r="Y845">
        <v>0.24033740000000001</v>
      </c>
      <c r="Z845">
        <v>-2.8505890000000002E-4</v>
      </c>
      <c r="AA845">
        <v>0.97068940000000004</v>
      </c>
      <c r="AB845">
        <v>24</v>
      </c>
      <c r="AC845">
        <v>555.88220000000001</v>
      </c>
      <c r="AD845">
        <v>-1.2102679999999999</v>
      </c>
      <c r="AE845">
        <v>-130.27940000000001</v>
      </c>
      <c r="AF845">
        <v>137.251560717383</v>
      </c>
      <c r="AG845">
        <v>-1.2102679999999999</v>
      </c>
      <c r="AH845">
        <v>554.19926194855498</v>
      </c>
      <c r="AI845">
        <v>90.121453912616801</v>
      </c>
      <c r="AJ845">
        <v>76.090150520896302</v>
      </c>
      <c r="AK845">
        <v>570.94332259193004</v>
      </c>
      <c r="AL845">
        <v>89.781471248110904</v>
      </c>
      <c r="AM845">
        <v>82.987488051396696</v>
      </c>
      <c r="AN845">
        <v>1.00000000429428</v>
      </c>
    </row>
    <row r="846" spans="1:40" x14ac:dyDescent="0.25">
      <c r="A846" t="str">
        <f>"20190312161240822"</f>
        <v>20190312161240822</v>
      </c>
      <c r="B846" t="str">
        <f>"1552378360816304"</f>
        <v>1552378360816304</v>
      </c>
      <c r="C846" t="s">
        <v>40</v>
      </c>
      <c r="D846">
        <v>4.7830859999999999</v>
      </c>
      <c r="E846">
        <v>0.54524280000000003</v>
      </c>
      <c r="F846" t="s">
        <v>57</v>
      </c>
      <c r="G846">
        <v>141.482</v>
      </c>
      <c r="H846">
        <v>-0.1</v>
      </c>
      <c r="I846">
        <v>279.0607</v>
      </c>
      <c r="J846">
        <v>-237.85059999999999</v>
      </c>
      <c r="K846">
        <v>1.110274</v>
      </c>
      <c r="L846">
        <v>368.00349999999997</v>
      </c>
      <c r="M846">
        <v>0.99982579999999999</v>
      </c>
      <c r="N846">
        <v>0</v>
      </c>
      <c r="O846">
        <v>1.256093E-2</v>
      </c>
      <c r="P846">
        <v>0.99390860000000003</v>
      </c>
      <c r="Q846">
        <v>-9.9910480000000006E-3</v>
      </c>
      <c r="R846">
        <v>-0.1097547</v>
      </c>
      <c r="S846">
        <v>2.9422000000000001</v>
      </c>
      <c r="T846">
        <v>-9.3834399999999998E-3</v>
      </c>
      <c r="U846">
        <v>-0.68957519999999894</v>
      </c>
      <c r="V846">
        <v>0.1222317</v>
      </c>
      <c r="W846">
        <v>3.7139009999999999E-3</v>
      </c>
      <c r="X846">
        <v>0.9924946</v>
      </c>
      <c r="Y846">
        <v>0.2404019</v>
      </c>
      <c r="Z846">
        <v>-4.177683E-4</v>
      </c>
      <c r="AA846">
        <v>0.97067329999999996</v>
      </c>
      <c r="AB846">
        <v>24</v>
      </c>
      <c r="AC846">
        <v>379.33260000000001</v>
      </c>
      <c r="AD846">
        <v>-1.2102740000000001</v>
      </c>
      <c r="AE846">
        <v>-88.942799999999906</v>
      </c>
      <c r="AF846">
        <v>93.700102072614399</v>
      </c>
      <c r="AG846">
        <v>-1.2102740000000001</v>
      </c>
      <c r="AH846">
        <v>378.18170828620401</v>
      </c>
      <c r="AI846">
        <v>90.177978466437594</v>
      </c>
      <c r="AJ846">
        <v>76.084355812793405</v>
      </c>
      <c r="AK846">
        <v>389.61850363380398</v>
      </c>
      <c r="AL846">
        <v>89.787208648692896</v>
      </c>
      <c r="AM846">
        <v>82.979033139111195</v>
      </c>
      <c r="AN846">
        <v>0.99999995628734295</v>
      </c>
    </row>
    <row r="847" spans="1:40" x14ac:dyDescent="0.25">
      <c r="A847" t="str">
        <f>"20190312161240840"</f>
        <v>20190312161240840</v>
      </c>
      <c r="B847" t="str">
        <f>"1552378360836800"</f>
        <v>1552378360836800</v>
      </c>
      <c r="C847" t="s">
        <v>40</v>
      </c>
      <c r="D847">
        <v>5.1922389999999998</v>
      </c>
      <c r="E847">
        <v>0.5448691</v>
      </c>
      <c r="F847" t="s">
        <v>57</v>
      </c>
      <c r="G847">
        <v>119.96720000000001</v>
      </c>
      <c r="H847">
        <v>-0.1</v>
      </c>
      <c r="I847">
        <v>284.14269999999999</v>
      </c>
      <c r="J847">
        <v>-237.66380000000001</v>
      </c>
      <c r="K847">
        <v>1.1102749999999999</v>
      </c>
      <c r="L847">
        <v>368.00580000000002</v>
      </c>
      <c r="M847">
        <v>0.99982579999999999</v>
      </c>
      <c r="N847">
        <v>0</v>
      </c>
      <c r="O847">
        <v>1.256112E-2</v>
      </c>
      <c r="P847">
        <v>0.99388100000000001</v>
      </c>
      <c r="Q847">
        <v>-9.9844500000000006E-3</v>
      </c>
      <c r="R847">
        <v>-0.1100048</v>
      </c>
      <c r="S847">
        <v>2.9421539999999999</v>
      </c>
      <c r="T847">
        <v>-9.9514719999999994E-3</v>
      </c>
      <c r="U847">
        <v>-0.68954469999999901</v>
      </c>
      <c r="V847">
        <v>0.1224817</v>
      </c>
      <c r="W847">
        <v>3.7181929999999998E-3</v>
      </c>
      <c r="X847">
        <v>0.99246380000000001</v>
      </c>
      <c r="Y847">
        <v>0.24039569999999999</v>
      </c>
      <c r="Z847">
        <v>-4.4305560000000002E-4</v>
      </c>
      <c r="AA847">
        <v>0.97067490000000001</v>
      </c>
      <c r="AB847">
        <v>24</v>
      </c>
      <c r="AC847">
        <v>357.63099999999997</v>
      </c>
      <c r="AD847">
        <v>-1.210275</v>
      </c>
      <c r="AE847">
        <v>-83.863100000000003</v>
      </c>
      <c r="AF847">
        <v>88.348197432354297</v>
      </c>
      <c r="AG847">
        <v>-1.210275</v>
      </c>
      <c r="AH847">
        <v>356.54539434637798</v>
      </c>
      <c r="AI847">
        <v>90.188777759483003</v>
      </c>
      <c r="AJ847">
        <v>76.083021719949798</v>
      </c>
      <c r="AK847">
        <v>367.33021518074997</v>
      </c>
      <c r="AL847">
        <v>89.786962741330896</v>
      </c>
      <c r="AM847">
        <v>82.964600797484295</v>
      </c>
      <c r="AN847">
        <v>0.99999999305225695</v>
      </c>
    </row>
    <row r="848" spans="1:40" x14ac:dyDescent="0.25">
      <c r="A848" t="str">
        <f>"20190312161240863"</f>
        <v>20190312161240863</v>
      </c>
      <c r="B848" t="str">
        <f>"1552378360856321"</f>
        <v>1552378360856321</v>
      </c>
      <c r="C848" t="s">
        <v>40</v>
      </c>
      <c r="D848">
        <v>5.1606759999999996</v>
      </c>
      <c r="E848">
        <v>0.54510839999999905</v>
      </c>
      <c r="F848" t="s">
        <v>57</v>
      </c>
      <c r="G848">
        <v>206.602</v>
      </c>
      <c r="H848">
        <v>-0.1</v>
      </c>
      <c r="I848">
        <v>264.24979999999999</v>
      </c>
      <c r="J848">
        <v>-237.4205</v>
      </c>
      <c r="K848">
        <v>1.110277</v>
      </c>
      <c r="L848">
        <v>368.00889999999998</v>
      </c>
      <c r="M848">
        <v>0.99982579999999999</v>
      </c>
      <c r="N848">
        <v>0</v>
      </c>
      <c r="O848">
        <v>1.2561320000000001E-2</v>
      </c>
      <c r="P848">
        <v>0.99387380000000003</v>
      </c>
      <c r="Q848">
        <v>-9.9384490000000002E-3</v>
      </c>
      <c r="R848">
        <v>-0.1100751</v>
      </c>
      <c r="S848">
        <v>2.9423219999999999</v>
      </c>
      <c r="T848">
        <v>-8.0155130000000002E-3</v>
      </c>
      <c r="U848">
        <v>-0.68716429999999995</v>
      </c>
      <c r="V848">
        <v>0.12255199999999999</v>
      </c>
      <c r="W848">
        <v>3.7620610000000001E-3</v>
      </c>
      <c r="X848">
        <v>0.99245490000000003</v>
      </c>
      <c r="Y848">
        <v>0.23963960000000001</v>
      </c>
      <c r="Z848">
        <v>-3.5586070000000002E-4</v>
      </c>
      <c r="AA848">
        <v>0.97086190000000006</v>
      </c>
      <c r="AB848">
        <v>24</v>
      </c>
      <c r="AC848">
        <v>444.02249999999998</v>
      </c>
      <c r="AD848">
        <v>-1.210277</v>
      </c>
      <c r="AE848">
        <v>-103.7591</v>
      </c>
      <c r="AF848">
        <v>109.328182288771</v>
      </c>
      <c r="AG848">
        <v>-1.210277</v>
      </c>
      <c r="AH848">
        <v>442.68086742778502</v>
      </c>
      <c r="AI848">
        <v>90.152075517096904</v>
      </c>
      <c r="AJ848">
        <v>76.127353543190907</v>
      </c>
      <c r="AK848">
        <v>455.982967444618</v>
      </c>
      <c r="AL848">
        <v>89.784449260432197</v>
      </c>
      <c r="AM848">
        <v>82.960540744719296</v>
      </c>
      <c r="AN848">
        <v>0.99999993717048596</v>
      </c>
    </row>
    <row r="849" spans="1:40" x14ac:dyDescent="0.25">
      <c r="A849" t="str">
        <f>"20190312161240884"</f>
        <v>20190312161240884</v>
      </c>
      <c r="B849" t="str">
        <f>"1552378360876816"</f>
        <v>1552378360876816</v>
      </c>
      <c r="C849" t="s">
        <v>40</v>
      </c>
      <c r="D849">
        <v>5.1984579999999996</v>
      </c>
      <c r="E849">
        <v>0.54526239999999904</v>
      </c>
      <c r="F849" t="s">
        <v>57</v>
      </c>
      <c r="G849">
        <v>103.39100000000001</v>
      </c>
      <c r="H849">
        <v>-0.1</v>
      </c>
      <c r="I849">
        <v>288.15960000000001</v>
      </c>
      <c r="J849">
        <v>-237.18539999999999</v>
      </c>
      <c r="K849">
        <v>1.1102700000000001</v>
      </c>
      <c r="L849">
        <v>368.01179999999999</v>
      </c>
      <c r="M849">
        <v>0.99982590000000005</v>
      </c>
      <c r="N849">
        <v>0</v>
      </c>
      <c r="O849">
        <v>1.256145E-2</v>
      </c>
      <c r="P849">
        <v>0.99385049999999997</v>
      </c>
      <c r="Q849">
        <v>-1.0210749999999999E-2</v>
      </c>
      <c r="R849">
        <v>-0.11025890000000001</v>
      </c>
      <c r="S849">
        <v>2.942062</v>
      </c>
      <c r="T849">
        <v>-1.044774E-2</v>
      </c>
      <c r="U849">
        <v>-0.68930049999999998</v>
      </c>
      <c r="V849">
        <v>0.1227357</v>
      </c>
      <c r="W849">
        <v>3.4864509999999998E-3</v>
      </c>
      <c r="X849">
        <v>0.99243320000000002</v>
      </c>
      <c r="Y849">
        <v>0.24032629999999999</v>
      </c>
      <c r="Z849">
        <v>-4.6504800000000002E-4</v>
      </c>
      <c r="AA849">
        <v>0.970692</v>
      </c>
      <c r="AB849">
        <v>24</v>
      </c>
      <c r="AC849">
        <v>340.57639999999998</v>
      </c>
      <c r="AD849">
        <v>-1.21027</v>
      </c>
      <c r="AE849">
        <v>-79.852199999999897</v>
      </c>
      <c r="AF849">
        <v>84.123432366212</v>
      </c>
      <c r="AG849">
        <v>-1.21027</v>
      </c>
      <c r="AH849">
        <v>339.54230480807502</v>
      </c>
      <c r="AI849">
        <v>90.198231773961496</v>
      </c>
      <c r="AJ849">
        <v>76.084862495121101</v>
      </c>
      <c r="AK849">
        <v>349.81022480900299</v>
      </c>
      <c r="AL849">
        <v>89.800240653930999</v>
      </c>
      <c r="AM849">
        <v>82.949942411951994</v>
      </c>
      <c r="AN849">
        <v>0.99999993192865</v>
      </c>
    </row>
    <row r="850" spans="1:40" x14ac:dyDescent="0.25">
      <c r="A850" t="str">
        <f>"20190312161240897"</f>
        <v>20190312161240897</v>
      </c>
      <c r="B850" t="str">
        <f>"1552378360886576"</f>
        <v>1552378360886576</v>
      </c>
      <c r="C850" t="s">
        <v>40</v>
      </c>
      <c r="D850">
        <v>5.2355479999999996</v>
      </c>
      <c r="E850">
        <v>0.54528710000000002</v>
      </c>
      <c r="F850" t="s">
        <v>57</v>
      </c>
      <c r="G850">
        <v>20.762119999999999</v>
      </c>
      <c r="H850">
        <v>-0.1</v>
      </c>
      <c r="I850">
        <v>307.44819999999999</v>
      </c>
      <c r="J850">
        <v>-237.0514</v>
      </c>
      <c r="K850">
        <v>1.110271</v>
      </c>
      <c r="L850">
        <v>368.01350000000002</v>
      </c>
      <c r="M850">
        <v>0.99982579999999999</v>
      </c>
      <c r="N850">
        <v>0</v>
      </c>
      <c r="O850">
        <v>1.256182E-2</v>
      </c>
      <c r="P850">
        <v>0.99384600000000001</v>
      </c>
      <c r="Q850">
        <v>-1.055066E-2</v>
      </c>
      <c r="R850">
        <v>-0.1102668</v>
      </c>
      <c r="S850">
        <v>2.9417879999999998</v>
      </c>
      <c r="T850">
        <v>-1.380265E-2</v>
      </c>
      <c r="U850">
        <v>-0.69070430000000005</v>
      </c>
      <c r="V850">
        <v>0.12274409999999999</v>
      </c>
      <c r="W850">
        <v>3.1459919999999998E-3</v>
      </c>
      <c r="X850">
        <v>0.99243340000000002</v>
      </c>
      <c r="Y850">
        <v>0.24078459999999999</v>
      </c>
      <c r="Z850">
        <v>-6.1546509999999997E-4</v>
      </c>
      <c r="AA850">
        <v>0.97057839999999995</v>
      </c>
      <c r="AB850">
        <v>24</v>
      </c>
      <c r="AC850">
        <v>257.81351999999998</v>
      </c>
      <c r="AD850">
        <v>-1.2102709999999901</v>
      </c>
      <c r="AE850">
        <v>-60.565300000000001</v>
      </c>
      <c r="AF850">
        <v>63.798103593394202</v>
      </c>
      <c r="AG850">
        <v>-1.2102709999999901</v>
      </c>
      <c r="AH850">
        <v>257.02692313598101</v>
      </c>
      <c r="AI850">
        <v>90.261842966382602</v>
      </c>
      <c r="AJ850">
        <v>76.060018967018706</v>
      </c>
      <c r="AK850">
        <v>264.82919400012599</v>
      </c>
      <c r="AL850">
        <v>89.819747644521897</v>
      </c>
      <c r="AM850">
        <v>82.949466170367401</v>
      </c>
      <c r="AN850">
        <v>1.0000000323930101</v>
      </c>
    </row>
    <row r="851" spans="1:40" x14ac:dyDescent="0.25">
      <c r="A851" t="str">
        <f>"20190312161240910"</f>
        <v>20190312161240910</v>
      </c>
      <c r="B851" t="str">
        <f>"1552378360906096"</f>
        <v>1552378360906096</v>
      </c>
      <c r="C851" t="s">
        <v>40</v>
      </c>
      <c r="D851">
        <v>5.2496539999999996</v>
      </c>
      <c r="E851">
        <v>0.54553769999999902</v>
      </c>
      <c r="F851" t="s">
        <v>57</v>
      </c>
      <c r="G851">
        <v>-26.97861</v>
      </c>
      <c r="H851">
        <v>-0.1</v>
      </c>
      <c r="I851">
        <v>318.65879999999999</v>
      </c>
      <c r="J851">
        <v>-236.90450000000001</v>
      </c>
      <c r="K851">
        <v>1.110271</v>
      </c>
      <c r="L851">
        <v>368.0154</v>
      </c>
      <c r="M851">
        <v>0.99982590000000005</v>
      </c>
      <c r="N851">
        <v>0</v>
      </c>
      <c r="O851">
        <v>1.256201E-2</v>
      </c>
      <c r="P851">
        <v>0.99382919999999997</v>
      </c>
      <c r="Q851">
        <v>-1.059643E-2</v>
      </c>
      <c r="R851">
        <v>-0.11041670000000001</v>
      </c>
      <c r="S851">
        <v>2.9417270000000002</v>
      </c>
      <c r="T851">
        <v>-1.694787E-2</v>
      </c>
      <c r="U851">
        <v>-0.69113159999999996</v>
      </c>
      <c r="V851">
        <v>0.12289360000000001</v>
      </c>
      <c r="W851">
        <v>3.097832E-3</v>
      </c>
      <c r="X851">
        <v>0.99241500000000005</v>
      </c>
      <c r="Y851">
        <v>0.24092160000000001</v>
      </c>
      <c r="Z851">
        <v>-7.5610259999999904E-4</v>
      </c>
      <c r="AA851">
        <v>0.97054430000000003</v>
      </c>
      <c r="AB851">
        <v>24</v>
      </c>
      <c r="AC851">
        <v>209.92588999999899</v>
      </c>
      <c r="AD851">
        <v>-1.2102709999999901</v>
      </c>
      <c r="AE851">
        <v>-49.3566</v>
      </c>
      <c r="AF851">
        <v>51.988409471930801</v>
      </c>
      <c r="AG851">
        <v>-1.2102709999999901</v>
      </c>
      <c r="AH851">
        <v>209.28265375573599</v>
      </c>
      <c r="AI851">
        <v>90.321562037765602</v>
      </c>
      <c r="AJ851">
        <v>76.049399670206498</v>
      </c>
      <c r="AK851">
        <v>215.64667546326299</v>
      </c>
      <c r="AL851">
        <v>89.8225070138283</v>
      </c>
      <c r="AM851">
        <v>82.940835778651504</v>
      </c>
      <c r="AN851">
        <v>0.99999998285452996</v>
      </c>
    </row>
    <row r="852" spans="1:40" x14ac:dyDescent="0.25">
      <c r="A852" t="str">
        <f>"20190312161240923"</f>
        <v>20190312161240923</v>
      </c>
      <c r="B852" t="str">
        <f>"1552378360916832"</f>
        <v>1552378360916832</v>
      </c>
      <c r="C852" t="s">
        <v>40</v>
      </c>
      <c r="D852">
        <v>5.3178020000000004</v>
      </c>
      <c r="E852">
        <v>0.54566530000000002</v>
      </c>
      <c r="F852" t="s">
        <v>57</v>
      </c>
      <c r="G852">
        <v>-44.857669999999999</v>
      </c>
      <c r="H852">
        <v>-0.1</v>
      </c>
      <c r="I852">
        <v>322.75979999999998</v>
      </c>
      <c r="J852">
        <v>-236.761</v>
      </c>
      <c r="K852">
        <v>1.110274</v>
      </c>
      <c r="L852">
        <v>368.0172</v>
      </c>
      <c r="M852">
        <v>0.99982579999999999</v>
      </c>
      <c r="N852">
        <v>0</v>
      </c>
      <c r="O852">
        <v>1.2562200000000001E-2</v>
      </c>
      <c r="P852">
        <v>0.99382139999999997</v>
      </c>
      <c r="Q852">
        <v>-1.0678490000000001E-2</v>
      </c>
      <c r="R852">
        <v>-0.11047709999999999</v>
      </c>
      <c r="S852">
        <v>2.9414370000000001</v>
      </c>
      <c r="T852">
        <v>-1.8536810000000001E-2</v>
      </c>
      <c r="U852">
        <v>-0.69314580000000003</v>
      </c>
      <c r="V852">
        <v>0.12295399999999999</v>
      </c>
      <c r="W852">
        <v>3.0143850000000001E-3</v>
      </c>
      <c r="X852">
        <v>0.99240779999999995</v>
      </c>
      <c r="Y852">
        <v>0.24157190000000001</v>
      </c>
      <c r="Z852">
        <v>-8.2902759999999996E-4</v>
      </c>
      <c r="AA852">
        <v>0.97038259999999998</v>
      </c>
      <c r="AB852">
        <v>24</v>
      </c>
      <c r="AC852">
        <v>191.90333000000001</v>
      </c>
      <c r="AD852">
        <v>-1.2102740000000001</v>
      </c>
      <c r="AE852">
        <v>-45.257399999999997</v>
      </c>
      <c r="AF852">
        <v>47.662990030476202</v>
      </c>
      <c r="AG852">
        <v>-1.2102740000000001</v>
      </c>
      <c r="AH852">
        <v>191.31238940658301</v>
      </c>
      <c r="AI852">
        <v>90.351707290888498</v>
      </c>
      <c r="AJ852">
        <v>76.010304961499003</v>
      </c>
      <c r="AK852">
        <v>197.16403252686899</v>
      </c>
      <c r="AL852">
        <v>89.827288201334198</v>
      </c>
      <c r="AM852">
        <v>82.937350632870505</v>
      </c>
      <c r="AN852">
        <v>1.00000000706688</v>
      </c>
    </row>
    <row r="853" spans="1:40" x14ac:dyDescent="0.25">
      <c r="A853" t="str">
        <f>"20190312161240936"</f>
        <v>20190312161240936</v>
      </c>
      <c r="B853" t="str">
        <f>"1552378360926593"</f>
        <v>1552378360926593</v>
      </c>
      <c r="C853" t="s">
        <v>40</v>
      </c>
      <c r="D853">
        <v>5.4656710000000004</v>
      </c>
      <c r="E853">
        <v>0.54595609999999895</v>
      </c>
      <c r="F853" t="s">
        <v>57</v>
      </c>
      <c r="G853">
        <v>-51.903440000000003</v>
      </c>
      <c r="H853">
        <v>-0.1</v>
      </c>
      <c r="I853">
        <v>324.36840000000001</v>
      </c>
      <c r="J853">
        <v>-236.62909999999999</v>
      </c>
      <c r="K853">
        <v>1.110274</v>
      </c>
      <c r="L853">
        <v>368.0188</v>
      </c>
      <c r="M853">
        <v>0.99982599999999999</v>
      </c>
      <c r="N853">
        <v>0</v>
      </c>
      <c r="O853">
        <v>1.2562210000000001E-2</v>
      </c>
      <c r="P853">
        <v>0.99379510000000004</v>
      </c>
      <c r="Q853">
        <v>-1.0817220000000001E-2</v>
      </c>
      <c r="R853">
        <v>-0.11070099999999999</v>
      </c>
      <c r="S853">
        <v>2.9412379999999998</v>
      </c>
      <c r="T853">
        <v>-1.9256470000000001E-2</v>
      </c>
      <c r="U853">
        <v>-0.69448849999999995</v>
      </c>
      <c r="V853">
        <v>0.12317790000000001</v>
      </c>
      <c r="W853">
        <v>2.8741959999999999E-3</v>
      </c>
      <c r="X853">
        <v>0.99238040000000005</v>
      </c>
      <c r="Y853">
        <v>0.24200579999999999</v>
      </c>
      <c r="Z853">
        <v>-8.6262600000000002E-4</v>
      </c>
      <c r="AA853">
        <v>0.97027439999999998</v>
      </c>
      <c r="AB853">
        <v>24</v>
      </c>
      <c r="AC853">
        <v>184.72566</v>
      </c>
      <c r="AD853">
        <v>-1.2102740000000001</v>
      </c>
      <c r="AE853">
        <v>-43.650399999999898</v>
      </c>
      <c r="AF853">
        <v>45.965869446414501</v>
      </c>
      <c r="AG853">
        <v>-1.2102740000000001</v>
      </c>
      <c r="AH853">
        <v>184.15519645386499</v>
      </c>
      <c r="AI853">
        <v>90.365335977465705</v>
      </c>
      <c r="AJ853">
        <v>75.985114227872302</v>
      </c>
      <c r="AK853">
        <v>189.809015323512</v>
      </c>
      <c r="AL853">
        <v>89.835320465917704</v>
      </c>
      <c r="AM853">
        <v>82.924426365871</v>
      </c>
      <c r="AN853">
        <v>0.99999995717760704</v>
      </c>
    </row>
    <row r="854" spans="1:40" x14ac:dyDescent="0.25">
      <c r="A854" t="str">
        <f>"20190312161240951"</f>
        <v>20190312161240951</v>
      </c>
      <c r="B854" t="str">
        <f>"1552378360946112"</f>
        <v>1552378360946112</v>
      </c>
      <c r="C854" t="s">
        <v>40</v>
      </c>
      <c r="D854">
        <v>5.2518659999999997</v>
      </c>
      <c r="E854">
        <v>0.54611679999999996</v>
      </c>
      <c r="F854" t="s">
        <v>57</v>
      </c>
      <c r="G854">
        <v>-53.149079999999998</v>
      </c>
      <c r="H854">
        <v>-0.1</v>
      </c>
      <c r="I854">
        <v>324.495</v>
      </c>
      <c r="J854">
        <v>-236.46360000000001</v>
      </c>
      <c r="K854">
        <v>1.110277</v>
      </c>
      <c r="L854">
        <v>368.02089999999998</v>
      </c>
      <c r="M854">
        <v>0.99982590000000005</v>
      </c>
      <c r="N854">
        <v>0</v>
      </c>
      <c r="O854">
        <v>1.256234E-2</v>
      </c>
      <c r="P854">
        <v>0.99379030000000002</v>
      </c>
      <c r="Q854">
        <v>-1.070569E-2</v>
      </c>
      <c r="R854">
        <v>-0.11075450000000001</v>
      </c>
      <c r="S854">
        <v>2.9408259999999999</v>
      </c>
      <c r="T854">
        <v>-1.9398329999999998E-2</v>
      </c>
      <c r="U854">
        <v>-0.69760129999999998</v>
      </c>
      <c r="V854">
        <v>0.1232313</v>
      </c>
      <c r="W854">
        <v>2.9838669999999999E-3</v>
      </c>
      <c r="X854">
        <v>0.99237350000000002</v>
      </c>
      <c r="Y854">
        <v>0.24300859999999999</v>
      </c>
      <c r="Z854">
        <v>-8.722577E-4</v>
      </c>
      <c r="AA854">
        <v>0.97002379999999999</v>
      </c>
      <c r="AB854">
        <v>24</v>
      </c>
      <c r="AC854">
        <v>183.31451999999999</v>
      </c>
      <c r="AD854">
        <v>-1.210277</v>
      </c>
      <c r="AE854">
        <v>-43.525899999999901</v>
      </c>
      <c r="AF854">
        <v>45.823652484589701</v>
      </c>
      <c r="AG854">
        <v>-1.210277</v>
      </c>
      <c r="AH854">
        <v>182.74567225269399</v>
      </c>
      <c r="AI854">
        <v>90.368055259926507</v>
      </c>
      <c r="AJ854">
        <v>75.923267924181403</v>
      </c>
      <c r="AK854">
        <v>188.40714589562199</v>
      </c>
      <c r="AL854">
        <v>89.829036762309102</v>
      </c>
      <c r="AM854">
        <v>82.921341360294505</v>
      </c>
      <c r="AN854">
        <v>1.0000000101321</v>
      </c>
    </row>
    <row r="855" spans="1:40" x14ac:dyDescent="0.25">
      <c r="A855" t="str">
        <f>"20190312161240974"</f>
        <v>20190312161240974</v>
      </c>
      <c r="B855" t="str">
        <f>"1552378360966608"</f>
        <v>1552378360966608</v>
      </c>
      <c r="C855" t="s">
        <v>40</v>
      </c>
      <c r="D855">
        <v>5.2705489999999999</v>
      </c>
      <c r="E855">
        <v>0.54620559999999996</v>
      </c>
      <c r="F855" t="s">
        <v>41</v>
      </c>
      <c r="G855">
        <v>-67.507750000000001</v>
      </c>
      <c r="H855">
        <v>-0.05</v>
      </c>
      <c r="I855">
        <v>327.86610000000002</v>
      </c>
      <c r="J855">
        <v>-236.21809999999999</v>
      </c>
      <c r="K855">
        <v>1.110277</v>
      </c>
      <c r="L855">
        <v>368.024</v>
      </c>
      <c r="M855">
        <v>0.99982599999999999</v>
      </c>
      <c r="N855">
        <v>0</v>
      </c>
      <c r="O855">
        <v>1.2562530000000001E-2</v>
      </c>
      <c r="P855">
        <v>0.99378069999999996</v>
      </c>
      <c r="Q855">
        <v>-1.0682550000000001E-2</v>
      </c>
      <c r="R855">
        <v>-0.11084330000000001</v>
      </c>
      <c r="S855">
        <v>2.9406279999999998</v>
      </c>
      <c r="T855">
        <v>-2.019429E-2</v>
      </c>
      <c r="U855">
        <v>-0.69888309999999998</v>
      </c>
      <c r="V855">
        <v>0.1233202</v>
      </c>
      <c r="W855">
        <v>3.004849E-3</v>
      </c>
      <c r="X855">
        <v>0.99236239999999998</v>
      </c>
      <c r="Y855">
        <v>0.24342330000000001</v>
      </c>
      <c r="Z855">
        <v>-9.0946799999999997E-4</v>
      </c>
      <c r="AA855">
        <v>0.96991970000000005</v>
      </c>
      <c r="AB855">
        <v>24</v>
      </c>
      <c r="AC855">
        <v>168.71035000000001</v>
      </c>
      <c r="AD855">
        <v>-1.160277</v>
      </c>
      <c r="AE855">
        <v>-40.157899999999898</v>
      </c>
      <c r="AF855">
        <v>42.272468655342102</v>
      </c>
      <c r="AG855">
        <v>-1.160277</v>
      </c>
      <c r="AH855">
        <v>168.184973224873</v>
      </c>
      <c r="AI855">
        <v>90.383343759845005</v>
      </c>
      <c r="AJ855">
        <v>75.891244494517693</v>
      </c>
      <c r="AK855">
        <v>173.41999039206701</v>
      </c>
      <c r="AL855">
        <v>89.827834578049405</v>
      </c>
      <c r="AM855">
        <v>82.916208192872205</v>
      </c>
      <c r="AN855">
        <v>1.0000000168896499</v>
      </c>
    </row>
    <row r="856" spans="1:40" x14ac:dyDescent="0.25">
      <c r="A856" t="str">
        <f>"20190312161240995"</f>
        <v>20190312161240995</v>
      </c>
      <c r="B856" t="str">
        <f>"1552378360986128"</f>
        <v>1552378360986128</v>
      </c>
      <c r="C856" t="s">
        <v>40</v>
      </c>
      <c r="D856">
        <v>5.2875100000000002</v>
      </c>
      <c r="E856">
        <v>0.546317099999999</v>
      </c>
      <c r="F856" t="s">
        <v>41</v>
      </c>
      <c r="G856">
        <v>-75.262730000000005</v>
      </c>
      <c r="H856">
        <v>-0.05</v>
      </c>
      <c r="I856">
        <v>329.70530000000002</v>
      </c>
      <c r="J856">
        <v>-235.98759999999999</v>
      </c>
      <c r="K856">
        <v>1.1102749999999999</v>
      </c>
      <c r="L856">
        <v>368.02690000000001</v>
      </c>
      <c r="M856">
        <v>0.99982599999999999</v>
      </c>
      <c r="N856">
        <v>0</v>
      </c>
      <c r="O856">
        <v>1.2562729999999999E-2</v>
      </c>
      <c r="P856">
        <v>0.99382510000000002</v>
      </c>
      <c r="Q856">
        <v>-1.054195E-2</v>
      </c>
      <c r="R856">
        <v>-0.11045729999999999</v>
      </c>
      <c r="S856">
        <v>2.9404910000000002</v>
      </c>
      <c r="T856">
        <v>-2.119708E-2</v>
      </c>
      <c r="U856">
        <v>-0.70004270000000002</v>
      </c>
      <c r="V856">
        <v>0.122935</v>
      </c>
      <c r="W856">
        <v>3.1436070000000001E-3</v>
      </c>
      <c r="X856">
        <v>0.99240980000000001</v>
      </c>
      <c r="Y856">
        <v>0.24379509999999999</v>
      </c>
      <c r="Z856">
        <v>-9.5595170000000004E-4</v>
      </c>
      <c r="AA856">
        <v>0.96982630000000003</v>
      </c>
      <c r="AB856">
        <v>24</v>
      </c>
      <c r="AC856">
        <v>160.72486999999899</v>
      </c>
      <c r="AD856">
        <v>-1.1602749999999999</v>
      </c>
      <c r="AE856">
        <v>-38.321599999999897</v>
      </c>
      <c r="AF856">
        <v>40.335921446967703</v>
      </c>
      <c r="AG856">
        <v>-1.1602749999999999</v>
      </c>
      <c r="AH856">
        <v>160.22281369108799</v>
      </c>
      <c r="AI856">
        <v>90.402354011844906</v>
      </c>
      <c r="AJ856">
        <v>75.869483747886306</v>
      </c>
      <c r="AK856">
        <v>165.226156597981</v>
      </c>
      <c r="AL856">
        <v>89.819884299485395</v>
      </c>
      <c r="AM856">
        <v>82.938445087466107</v>
      </c>
      <c r="AN856">
        <v>1.0000000538130001</v>
      </c>
    </row>
    <row r="857" spans="1:40" x14ac:dyDescent="0.25">
      <c r="A857" t="str">
        <f>"20190312161241007"</f>
        <v>20190312161241007</v>
      </c>
      <c r="B857" t="str">
        <f>"1552378360996865"</f>
        <v>1552378360996865</v>
      </c>
      <c r="C857" t="s">
        <v>40</v>
      </c>
      <c r="D857">
        <v>5.3078609999999999</v>
      </c>
      <c r="E857">
        <v>0.54637720000000001</v>
      </c>
      <c r="F857" t="s">
        <v>41</v>
      </c>
      <c r="G857">
        <v>-83.966899999999995</v>
      </c>
      <c r="H857">
        <v>-0.05</v>
      </c>
      <c r="I857">
        <v>331.87380000000002</v>
      </c>
      <c r="J857">
        <v>-235.8588</v>
      </c>
      <c r="K857">
        <v>1.110276</v>
      </c>
      <c r="L857">
        <v>368.02850000000001</v>
      </c>
      <c r="M857">
        <v>0.99982599999999999</v>
      </c>
      <c r="N857">
        <v>0</v>
      </c>
      <c r="O857">
        <v>1.256291E-2</v>
      </c>
      <c r="P857">
        <v>0.99383270000000001</v>
      </c>
      <c r="Q857">
        <v>-1.0559809999999999E-2</v>
      </c>
      <c r="R857">
        <v>-0.11038580000000001</v>
      </c>
      <c r="S857">
        <v>2.940674</v>
      </c>
      <c r="T857">
        <v>-2.2444249999999999E-2</v>
      </c>
      <c r="U857">
        <v>-0.69934079999999998</v>
      </c>
      <c r="V857">
        <v>0.1228638</v>
      </c>
      <c r="W857">
        <v>3.124534E-3</v>
      </c>
      <c r="X857">
        <v>0.99241860000000004</v>
      </c>
      <c r="Y857">
        <v>0.24356179999999999</v>
      </c>
      <c r="Z857">
        <v>-1.011285E-3</v>
      </c>
      <c r="AA857">
        <v>0.96988490000000005</v>
      </c>
      <c r="AB857">
        <v>24</v>
      </c>
      <c r="AC857">
        <v>151.89189999999999</v>
      </c>
      <c r="AD857">
        <v>-1.1602760000000001</v>
      </c>
      <c r="AE857">
        <v>-36.154699999999899</v>
      </c>
      <c r="AF857">
        <v>38.058130288025502</v>
      </c>
      <c r="AG857">
        <v>-1.1602760000000001</v>
      </c>
      <c r="AH857">
        <v>151.41729781930599</v>
      </c>
      <c r="AI857">
        <v>90.425792607157604</v>
      </c>
      <c r="AJ857">
        <v>75.8911965679481</v>
      </c>
      <c r="AK857">
        <v>156.13124479205601</v>
      </c>
      <c r="AL857">
        <v>89.820977093417099</v>
      </c>
      <c r="AM857">
        <v>82.942555607485502</v>
      </c>
      <c r="AN857">
        <v>0.99999997684455799</v>
      </c>
    </row>
    <row r="858" spans="1:40" x14ac:dyDescent="0.25">
      <c r="A858" t="str">
        <f>"20190312161241031"</f>
        <v>20190312161241031</v>
      </c>
      <c r="B858" t="str">
        <f>"1552378361026144"</f>
        <v>1552378361026144</v>
      </c>
      <c r="C858" t="s">
        <v>40</v>
      </c>
      <c r="D858">
        <v>4.9797120000000001</v>
      </c>
      <c r="E858">
        <v>0.54626850000000005</v>
      </c>
      <c r="F858" t="s">
        <v>41</v>
      </c>
      <c r="G858">
        <v>-88.231380000000001</v>
      </c>
      <c r="H858">
        <v>-0.05</v>
      </c>
      <c r="I858">
        <v>332.90170000000001</v>
      </c>
      <c r="J858">
        <v>-235.62010000000001</v>
      </c>
      <c r="K858">
        <v>1.1102749999999999</v>
      </c>
      <c r="L858">
        <v>368.03149999999999</v>
      </c>
      <c r="M858">
        <v>0.99982599999999999</v>
      </c>
      <c r="N858">
        <v>0</v>
      </c>
      <c r="O858">
        <v>1.256143E-2</v>
      </c>
      <c r="P858">
        <v>0.99387219999999998</v>
      </c>
      <c r="Q858">
        <v>-1.061437E-2</v>
      </c>
      <c r="R858">
        <v>-0.1100269</v>
      </c>
      <c r="S858">
        <v>2.9406590000000001</v>
      </c>
      <c r="T858">
        <v>-2.311206E-2</v>
      </c>
      <c r="U858">
        <v>-0.69970699999999997</v>
      </c>
      <c r="V858">
        <v>0.12250369999999999</v>
      </c>
      <c r="W858">
        <v>3.0677909999999998E-3</v>
      </c>
      <c r="X858">
        <v>0.99246330000000005</v>
      </c>
      <c r="Y858">
        <v>0.24367539999999999</v>
      </c>
      <c r="Z858">
        <v>-1.0417930000000001E-3</v>
      </c>
      <c r="AA858">
        <v>0.9698563</v>
      </c>
      <c r="AB858">
        <v>24</v>
      </c>
      <c r="AC858">
        <v>147.38872000000001</v>
      </c>
      <c r="AD858">
        <v>-1.1602749999999999</v>
      </c>
      <c r="AE858">
        <v>-35.129799999999904</v>
      </c>
      <c r="AF858">
        <v>36.976448659514801</v>
      </c>
      <c r="AG858">
        <v>-1.1602749999999999</v>
      </c>
      <c r="AH858">
        <v>146.92715078048201</v>
      </c>
      <c r="AI858">
        <v>90.438770975363695</v>
      </c>
      <c r="AJ858">
        <v>75.873995913257403</v>
      </c>
      <c r="AK858">
        <v>151.51300812146701</v>
      </c>
      <c r="AL858">
        <v>89.824228244900198</v>
      </c>
      <c r="AM858">
        <v>82.963346266323597</v>
      </c>
      <c r="AN858">
        <v>0.99999998485109898</v>
      </c>
    </row>
    <row r="859" spans="1:40" x14ac:dyDescent="0.25">
      <c r="A859" t="str">
        <f>"20190312161241046"</f>
        <v>20190312161241046</v>
      </c>
      <c r="B859" t="str">
        <f>"1552378361036880"</f>
        <v>1552378361036880</v>
      </c>
      <c r="C859" t="s">
        <v>40</v>
      </c>
      <c r="D859">
        <v>5.277514</v>
      </c>
      <c r="E859">
        <v>0.54642270000000004</v>
      </c>
      <c r="F859" t="s">
        <v>41</v>
      </c>
      <c r="G859">
        <v>-106.5866</v>
      </c>
      <c r="H859">
        <v>-0.05</v>
      </c>
      <c r="I859">
        <v>337.42469999999997</v>
      </c>
      <c r="J859">
        <v>-235.4443</v>
      </c>
      <c r="K859">
        <v>1.1102700000000001</v>
      </c>
      <c r="L859">
        <v>368.03370000000001</v>
      </c>
      <c r="M859">
        <v>0.99982629999999995</v>
      </c>
      <c r="N859">
        <v>0</v>
      </c>
      <c r="O859">
        <v>1.255417E-2</v>
      </c>
      <c r="P859">
        <v>0.99387899999999996</v>
      </c>
      <c r="Q859">
        <v>-1.061661E-2</v>
      </c>
      <c r="R859">
        <v>-0.10996499999999999</v>
      </c>
      <c r="S859">
        <v>2.940979</v>
      </c>
      <c r="T859">
        <v>-2.6445389999999999E-2</v>
      </c>
      <c r="U859">
        <v>-0.69760129999999998</v>
      </c>
      <c r="V859">
        <v>0.1224349</v>
      </c>
      <c r="W859">
        <v>3.0630219999999999E-3</v>
      </c>
      <c r="X859">
        <v>0.99247180000000002</v>
      </c>
      <c r="Y859">
        <v>0.2429849</v>
      </c>
      <c r="Z859">
        <v>-1.188885E-3</v>
      </c>
      <c r="AA859">
        <v>0.97002940000000004</v>
      </c>
      <c r="AB859">
        <v>24</v>
      </c>
      <c r="AC859">
        <v>128.85769999999999</v>
      </c>
      <c r="AD859">
        <v>-1.1602699999999999</v>
      </c>
      <c r="AE859">
        <v>-30.609000000000002</v>
      </c>
      <c r="AF859">
        <v>32.2219694087755</v>
      </c>
      <c r="AG859">
        <v>-1.1602699999999999</v>
      </c>
      <c r="AH859">
        <v>128.453377825134</v>
      </c>
      <c r="AI859">
        <v>90.501965701804806</v>
      </c>
      <c r="AJ859">
        <v>75.918164256597905</v>
      </c>
      <c r="AK859">
        <v>132.43818110250399</v>
      </c>
      <c r="AL859">
        <v>89.824501488965197</v>
      </c>
      <c r="AM859">
        <v>82.967318205159401</v>
      </c>
      <c r="AN859">
        <v>0.99999998031851101</v>
      </c>
    </row>
    <row r="860" spans="1:40" x14ac:dyDescent="0.25">
      <c r="A860" t="str">
        <f>"20190312161241064"</f>
        <v>20190312161241064</v>
      </c>
      <c r="B860" t="str">
        <f>"1552378361056401"</f>
        <v>1552378361056401</v>
      </c>
      <c r="C860" t="s">
        <v>40</v>
      </c>
      <c r="D860">
        <v>5.2813790000000003</v>
      </c>
      <c r="E860">
        <v>0.56314069999999905</v>
      </c>
      <c r="F860" t="s">
        <v>41</v>
      </c>
      <c r="G860">
        <v>-106.95950000000001</v>
      </c>
      <c r="H860">
        <v>-0.05</v>
      </c>
      <c r="I860">
        <v>337.51229999999998</v>
      </c>
      <c r="J860">
        <v>-235.26390000000001</v>
      </c>
      <c r="K860">
        <v>1.110266</v>
      </c>
      <c r="L860">
        <v>368.036</v>
      </c>
      <c r="M860">
        <v>0.99982649999999995</v>
      </c>
      <c r="N860">
        <v>0</v>
      </c>
      <c r="O860">
        <v>1.2540870000000001E-2</v>
      </c>
      <c r="P860">
        <v>0.99393770000000004</v>
      </c>
      <c r="Q860">
        <v>-1.064731E-2</v>
      </c>
      <c r="R860">
        <v>-0.1094295</v>
      </c>
      <c r="S860">
        <v>2.940903</v>
      </c>
      <c r="T860">
        <v>-2.6557560000000001E-2</v>
      </c>
      <c r="U860">
        <v>-0.69860840000000002</v>
      </c>
      <c r="V860">
        <v>0.121887</v>
      </c>
      <c r="W860">
        <v>3.0301210000000002E-3</v>
      </c>
      <c r="X860">
        <v>0.99253930000000001</v>
      </c>
      <c r="Y860">
        <v>0.24329200000000001</v>
      </c>
      <c r="Z860">
        <v>-1.19516E-3</v>
      </c>
      <c r="AA860">
        <v>0.96995229999999999</v>
      </c>
      <c r="AB860">
        <v>24</v>
      </c>
      <c r="AC860">
        <v>128.30439999999999</v>
      </c>
      <c r="AD860">
        <v>-1.160266</v>
      </c>
      <c r="AE860">
        <v>-30.523700000000002</v>
      </c>
      <c r="AF860">
        <v>32.128014000655597</v>
      </c>
      <c r="AG860">
        <v>-1.160266</v>
      </c>
      <c r="AH860">
        <v>127.90157901913599</v>
      </c>
      <c r="AI860">
        <v>90.504088077202795</v>
      </c>
      <c r="AJ860">
        <v>75.899427800169704</v>
      </c>
      <c r="AK860">
        <v>131.880132758522</v>
      </c>
      <c r="AL860">
        <v>89.826386579578696</v>
      </c>
      <c r="AM860">
        <v>82.998948045153597</v>
      </c>
      <c r="AN860">
        <v>0.99999994222337996</v>
      </c>
    </row>
    <row r="861" spans="1:40" x14ac:dyDescent="0.25">
      <c r="A861" t="str">
        <f>"20190312161241087"</f>
        <v>20190312161241087</v>
      </c>
      <c r="B861" t="str">
        <f>"1552378361076896"</f>
        <v>1552378361076896</v>
      </c>
      <c r="C861" t="s">
        <v>40</v>
      </c>
      <c r="D861">
        <v>5.2708640000000004</v>
      </c>
      <c r="E861">
        <v>0.5642258</v>
      </c>
      <c r="F861" t="s">
        <v>45</v>
      </c>
      <c r="G861">
        <v>-144.28630000000001</v>
      </c>
      <c r="H861">
        <v>1.200968</v>
      </c>
      <c r="I861">
        <v>342.19009999999997</v>
      </c>
      <c r="J861">
        <v>-235.01329999999999</v>
      </c>
      <c r="K861">
        <v>1.1102510000000001</v>
      </c>
      <c r="L861">
        <v>368.03910000000002</v>
      </c>
      <c r="M861">
        <v>0.99982680000000002</v>
      </c>
      <c r="N861">
        <v>0</v>
      </c>
      <c r="O861">
        <v>1.250617E-2</v>
      </c>
      <c r="P861">
        <v>0.99399079999999995</v>
      </c>
      <c r="Q861">
        <v>-1.04688E-2</v>
      </c>
      <c r="R861">
        <v>-0.1089624</v>
      </c>
      <c r="S861">
        <v>2.9268190000000001</v>
      </c>
      <c r="T861">
        <v>2.9181239999999998E-3</v>
      </c>
      <c r="U861">
        <v>-0.8314819</v>
      </c>
      <c r="V861">
        <v>0.1213863</v>
      </c>
      <c r="W861">
        <v>3.203212E-3</v>
      </c>
      <c r="X861">
        <v>0.99260020000000004</v>
      </c>
      <c r="Y861">
        <v>0.2852866</v>
      </c>
      <c r="Z861">
        <v>1.5169359999999999E-4</v>
      </c>
      <c r="AA861">
        <v>0.95844220000000002</v>
      </c>
      <c r="AB861">
        <v>24</v>
      </c>
      <c r="AC861">
        <v>90.726999999999904</v>
      </c>
      <c r="AD861">
        <v>9.0716999999999895E-2</v>
      </c>
      <c r="AE861">
        <v>-25.849</v>
      </c>
      <c r="AF861">
        <v>26.981708212166001</v>
      </c>
      <c r="AG861">
        <v>9.0716999999999895E-2</v>
      </c>
      <c r="AH861">
        <v>90.396517039254206</v>
      </c>
      <c r="AI861">
        <v>89.944903079149697</v>
      </c>
      <c r="AJ861">
        <v>73.380597179469504</v>
      </c>
      <c r="AK861">
        <v>94.337432127701703</v>
      </c>
      <c r="AL861">
        <v>89.816469162378297</v>
      </c>
      <c r="AM861">
        <v>83.027847594395595</v>
      </c>
      <c r="AN861">
        <v>1.00000002571742</v>
      </c>
    </row>
    <row r="862" spans="1:40" x14ac:dyDescent="0.25">
      <c r="A862" t="str">
        <f>"20190312161241109"</f>
        <v>20190312161241109</v>
      </c>
      <c r="B862" t="str">
        <f>"1552378361096417"</f>
        <v>1552378361096417</v>
      </c>
      <c r="C862" t="s">
        <v>40</v>
      </c>
      <c r="D862">
        <v>5.2736660000000004</v>
      </c>
      <c r="E862">
        <v>0.56498280000000001</v>
      </c>
      <c r="F862" t="s">
        <v>45</v>
      </c>
      <c r="G862">
        <v>-144.7902</v>
      </c>
      <c r="H862">
        <v>1.2303269999999999</v>
      </c>
      <c r="I862">
        <v>342.19009999999997</v>
      </c>
      <c r="J862">
        <v>-234.78800000000001</v>
      </c>
      <c r="K862">
        <v>1.1102320000000001</v>
      </c>
      <c r="L862">
        <v>368.04180000000002</v>
      </c>
      <c r="M862">
        <v>0.99982749999999998</v>
      </c>
      <c r="N862">
        <v>0</v>
      </c>
      <c r="O862">
        <v>1.2449740000000001E-2</v>
      </c>
      <c r="P862">
        <v>0.99402480000000004</v>
      </c>
      <c r="Q862">
        <v>-1.119525E-2</v>
      </c>
      <c r="R862">
        <v>-0.1085797</v>
      </c>
      <c r="S862">
        <v>2.9262700000000001</v>
      </c>
      <c r="T862">
        <v>3.894687E-3</v>
      </c>
      <c r="U862">
        <v>-0.83837890000000004</v>
      </c>
      <c r="V862">
        <v>0.1209481</v>
      </c>
      <c r="W862">
        <v>2.4703170000000001E-3</v>
      </c>
      <c r="X862">
        <v>0.99265579999999998</v>
      </c>
      <c r="Y862">
        <v>0.28736800000000001</v>
      </c>
      <c r="Z862">
        <v>2.0371500000000001E-4</v>
      </c>
      <c r="AA862">
        <v>0.95782020000000001</v>
      </c>
      <c r="AB862">
        <v>24</v>
      </c>
      <c r="AC862">
        <v>89.997799999999899</v>
      </c>
      <c r="AD862">
        <v>0.12009499999999999</v>
      </c>
      <c r="AE862">
        <v>-25.851700000000001</v>
      </c>
      <c r="AF862">
        <v>26.970207375511801</v>
      </c>
      <c r="AG862">
        <v>0.12009499999999999</v>
      </c>
      <c r="AH862">
        <v>89.668798733478098</v>
      </c>
      <c r="AI862">
        <v>89.9265147993043</v>
      </c>
      <c r="AJ862">
        <v>73.259983018713797</v>
      </c>
      <c r="AK862">
        <v>93.637065177162299</v>
      </c>
      <c r="AL862">
        <v>89.858461123732198</v>
      </c>
      <c r="AM862">
        <v>83.053155718007801</v>
      </c>
      <c r="AN862">
        <v>1.0000000413166601</v>
      </c>
    </row>
    <row r="863" spans="1:40" x14ac:dyDescent="0.25">
      <c r="A863" t="str">
        <f>"20190312161241123"</f>
        <v>20190312161241123</v>
      </c>
      <c r="B863" t="str">
        <f>"1552378361116912"</f>
        <v>1552378361116912</v>
      </c>
      <c r="C863" t="s">
        <v>40</v>
      </c>
      <c r="D863">
        <v>5.2828619999999997</v>
      </c>
      <c r="E863">
        <v>0.56513259999999998</v>
      </c>
      <c r="F863" t="s">
        <v>45</v>
      </c>
      <c r="G863">
        <v>-145.08019999999999</v>
      </c>
      <c r="H863">
        <v>0.98483770000000004</v>
      </c>
      <c r="I863">
        <v>342.19009999999997</v>
      </c>
      <c r="J863">
        <v>-234.62649999999999</v>
      </c>
      <c r="K863">
        <v>1.110217</v>
      </c>
      <c r="L863">
        <v>368.04379999999998</v>
      </c>
      <c r="M863">
        <v>0.99982839999999995</v>
      </c>
      <c r="N863">
        <v>0</v>
      </c>
      <c r="O863">
        <v>1.2388700000000001E-2</v>
      </c>
      <c r="P863">
        <v>0.99401320000000004</v>
      </c>
      <c r="Q863">
        <v>-1.1593890000000001E-2</v>
      </c>
      <c r="R863">
        <v>-0.1086434</v>
      </c>
      <c r="S863">
        <v>2.9258730000000002</v>
      </c>
      <c r="T863">
        <v>-4.0895940000000002E-3</v>
      </c>
      <c r="U863">
        <v>-0.84317019999999998</v>
      </c>
      <c r="V863">
        <v>0.12095110000000001</v>
      </c>
      <c r="W863">
        <v>2.0654829999999999E-3</v>
      </c>
      <c r="X863">
        <v>0.99265630000000005</v>
      </c>
      <c r="Y863">
        <v>0.2887924</v>
      </c>
      <c r="Z863">
        <v>-2.1478219999999999E-4</v>
      </c>
      <c r="AA863">
        <v>0.95739169999999996</v>
      </c>
      <c r="AB863">
        <v>24</v>
      </c>
      <c r="AC863">
        <v>89.546300000000002</v>
      </c>
      <c r="AD863">
        <v>-0.125379299999999</v>
      </c>
      <c r="AE863">
        <v>-25.8537</v>
      </c>
      <c r="AF863">
        <v>26.9611342264987</v>
      </c>
      <c r="AG863">
        <v>-0.125379299999999</v>
      </c>
      <c r="AH863">
        <v>89.218941087351595</v>
      </c>
      <c r="AI863">
        <v>90.077075303774706</v>
      </c>
      <c r="AJ863">
        <v>73.185671326604805</v>
      </c>
      <c r="AK863">
        <v>93.203744171017405</v>
      </c>
      <c r="AL863">
        <v>89.881656455210901</v>
      </c>
      <c r="AM863">
        <v>83.052988557089407</v>
      </c>
      <c r="AN863">
        <v>0.99999998237046095</v>
      </c>
    </row>
    <row r="864" spans="1:40" x14ac:dyDescent="0.25">
      <c r="A864" t="str">
        <f>"20190312161241137"</f>
        <v>20190312161241137</v>
      </c>
      <c r="B864" t="str">
        <f>"1552378361126672"</f>
        <v>1552378361126672</v>
      </c>
      <c r="C864" t="s">
        <v>40</v>
      </c>
      <c r="D864">
        <v>5.2568080000000004</v>
      </c>
      <c r="E864">
        <v>0.56546160000000001</v>
      </c>
      <c r="F864" t="s">
        <v>45</v>
      </c>
      <c r="G864">
        <v>-145.01070000000001</v>
      </c>
      <c r="H864">
        <v>0.79352959999999995</v>
      </c>
      <c r="I864">
        <v>342.19009999999997</v>
      </c>
      <c r="J864">
        <v>-234.48259999999999</v>
      </c>
      <c r="K864">
        <v>1.1102030000000001</v>
      </c>
      <c r="L864">
        <v>368.0455</v>
      </c>
      <c r="M864">
        <v>0.99982919999999997</v>
      </c>
      <c r="N864">
        <v>0</v>
      </c>
      <c r="O864">
        <v>1.2322120000000001E-2</v>
      </c>
      <c r="P864">
        <v>0.99400619999999995</v>
      </c>
      <c r="Q864">
        <v>-1.170117E-2</v>
      </c>
      <c r="R864">
        <v>-0.1086968</v>
      </c>
      <c r="S864">
        <v>2.9257200000000001</v>
      </c>
      <c r="T864">
        <v>-1.0338780000000001E-2</v>
      </c>
      <c r="U864">
        <v>-0.84405520000000001</v>
      </c>
      <c r="V864">
        <v>0.1209383</v>
      </c>
      <c r="W864">
        <v>1.9519959999999999E-3</v>
      </c>
      <c r="X864">
        <v>0.99265809999999999</v>
      </c>
      <c r="Y864">
        <v>0.28900779999999998</v>
      </c>
      <c r="Z864">
        <v>-5.4313039999999999E-4</v>
      </c>
      <c r="AA864">
        <v>0.95732660000000003</v>
      </c>
      <c r="AB864">
        <v>24</v>
      </c>
      <c r="AC864">
        <v>89.471899999999906</v>
      </c>
      <c r="AD864">
        <v>-0.31667339999999999</v>
      </c>
      <c r="AE864">
        <v>-25.855399999999999</v>
      </c>
      <c r="AF864">
        <v>26.955713123128401</v>
      </c>
      <c r="AG864">
        <v>-0.31667339999999999</v>
      </c>
      <c r="AH864">
        <v>89.145451752667995</v>
      </c>
      <c r="AI864">
        <v>90.194820565873499</v>
      </c>
      <c r="AJ864">
        <v>73.175785475560204</v>
      </c>
      <c r="AK864">
        <v>93.132283984695306</v>
      </c>
      <c r="AL864">
        <v>89.888158795776704</v>
      </c>
      <c r="AM864">
        <v>83.053729034286604</v>
      </c>
      <c r="AN864">
        <v>0.99999999309544196</v>
      </c>
    </row>
    <row r="865" spans="1:40" x14ac:dyDescent="0.25">
      <c r="A865" t="str">
        <f>"20190312161241151"</f>
        <v>20190312161241151</v>
      </c>
      <c r="B865" t="str">
        <f>"1552378361146193"</f>
        <v>1552378361146193</v>
      </c>
      <c r="C865" t="s">
        <v>40</v>
      </c>
      <c r="D865">
        <v>5.3774439999999997</v>
      </c>
      <c r="E865">
        <v>0.56568929999999995</v>
      </c>
      <c r="F865" t="s">
        <v>45</v>
      </c>
      <c r="G865">
        <v>-145.11019999999999</v>
      </c>
      <c r="H865">
        <v>0.44813449999999999</v>
      </c>
      <c r="I865">
        <v>342.19009999999997</v>
      </c>
      <c r="J865">
        <v>-234.3398</v>
      </c>
      <c r="K865">
        <v>1.11019</v>
      </c>
      <c r="L865">
        <v>368.04719999999998</v>
      </c>
      <c r="M865">
        <v>0.99983010000000005</v>
      </c>
      <c r="N865">
        <v>0</v>
      </c>
      <c r="O865">
        <v>1.2246480000000001E-2</v>
      </c>
      <c r="P865">
        <v>0.99399839999999995</v>
      </c>
      <c r="Q865">
        <v>-1.1503879999999999E-2</v>
      </c>
      <c r="R865">
        <v>-0.1087888</v>
      </c>
      <c r="S865">
        <v>2.925278</v>
      </c>
      <c r="T865">
        <v>-2.167022E-2</v>
      </c>
      <c r="U865">
        <v>-0.84628300000000001</v>
      </c>
      <c r="V865">
        <v>0.1209551</v>
      </c>
      <c r="W865">
        <v>2.143683E-3</v>
      </c>
      <c r="X865">
        <v>0.99265570000000003</v>
      </c>
      <c r="Y865">
        <v>0.28964079999999998</v>
      </c>
      <c r="Z865">
        <v>-1.1401930000000001E-3</v>
      </c>
      <c r="AA865">
        <v>0.9571347</v>
      </c>
      <c r="AB865">
        <v>24</v>
      </c>
      <c r="AC865">
        <v>89.229600000000005</v>
      </c>
      <c r="AD865">
        <v>-0.66205549999999902</v>
      </c>
      <c r="AE865">
        <v>-25.857099999999999</v>
      </c>
      <c r="AF865">
        <v>26.946644270714899</v>
      </c>
      <c r="AG865">
        <v>-0.66205549999999902</v>
      </c>
      <c r="AH865">
        <v>88.901703757156994</v>
      </c>
      <c r="AI865">
        <v>90.408332055355103</v>
      </c>
      <c r="AJ865">
        <v>73.137626341329195</v>
      </c>
      <c r="AK865">
        <v>92.898185589724093</v>
      </c>
      <c r="AL865">
        <v>89.877175921734903</v>
      </c>
      <c r="AM865">
        <v>83.052756898008496</v>
      </c>
      <c r="AN865">
        <v>1.0000000351676499</v>
      </c>
    </row>
    <row r="866" spans="1:40" x14ac:dyDescent="0.25">
      <c r="A866" t="str">
        <f>"20190312161241163"</f>
        <v>20190312161241163</v>
      </c>
      <c r="B866" t="str">
        <f>"1552378361156928"</f>
        <v>1552378361156928</v>
      </c>
      <c r="C866" t="s">
        <v>40</v>
      </c>
      <c r="D866">
        <v>5.3294360000000003</v>
      </c>
      <c r="E866">
        <v>0.56567709999999904</v>
      </c>
      <c r="F866" t="s">
        <v>45</v>
      </c>
      <c r="G866">
        <v>-145.26140000000001</v>
      </c>
      <c r="H866">
        <v>0.73242959999999901</v>
      </c>
      <c r="I866">
        <v>342.19009999999997</v>
      </c>
      <c r="J866">
        <v>-234.19880000000001</v>
      </c>
      <c r="K866">
        <v>1.1101799999999999</v>
      </c>
      <c r="L866">
        <v>368.0489</v>
      </c>
      <c r="M866">
        <v>0.99983129999999998</v>
      </c>
      <c r="N866">
        <v>0</v>
      </c>
      <c r="O866">
        <v>1.2156129999999999E-2</v>
      </c>
      <c r="P866">
        <v>0.99400710000000003</v>
      </c>
      <c r="Q866">
        <v>-1.077418E-2</v>
      </c>
      <c r="R866">
        <v>-0.10878450000000001</v>
      </c>
      <c r="S866">
        <v>2.9250340000000001</v>
      </c>
      <c r="T866">
        <v>-1.2404200000000001E-2</v>
      </c>
      <c r="U866">
        <v>-0.84906009999999998</v>
      </c>
      <c r="V866">
        <v>0.1208615</v>
      </c>
      <c r="W866">
        <v>2.8684740000000002E-3</v>
      </c>
      <c r="X866">
        <v>0.99266520000000003</v>
      </c>
      <c r="Y866">
        <v>0.29041909999999999</v>
      </c>
      <c r="Z866">
        <v>-6.5386950000000002E-4</v>
      </c>
      <c r="AA866">
        <v>0.95689930000000001</v>
      </c>
      <c r="AB866">
        <v>24</v>
      </c>
      <c r="AC866">
        <v>88.937399999999997</v>
      </c>
      <c r="AD866">
        <v>-0.37775039999999999</v>
      </c>
      <c r="AE866">
        <v>-25.858799999999999</v>
      </c>
      <c r="AF866">
        <v>26.9376779915141</v>
      </c>
      <c r="AG866">
        <v>-0.37775039999999999</v>
      </c>
      <c r="AH866">
        <v>88.614980545146594</v>
      </c>
      <c r="AI866">
        <v>90.233682249640907</v>
      </c>
      <c r="AJ866">
        <v>73.091483476289696</v>
      </c>
      <c r="AK866">
        <v>92.619630575574604</v>
      </c>
      <c r="AL866">
        <v>89.835648314987694</v>
      </c>
      <c r="AM866">
        <v>83.058146267957397</v>
      </c>
      <c r="AN866">
        <v>0.99999996480818798</v>
      </c>
    </row>
    <row r="867" spans="1:40" x14ac:dyDescent="0.25">
      <c r="A867" t="str">
        <f>"20190312161241176"</f>
        <v>20190312161241176</v>
      </c>
      <c r="B867" t="str">
        <f>"1552378361166689"</f>
        <v>1552378361166689</v>
      </c>
      <c r="C867" t="s">
        <v>40</v>
      </c>
      <c r="D867">
        <v>5.3934759999999997</v>
      </c>
      <c r="E867">
        <v>0.56585059999999998</v>
      </c>
      <c r="F867" t="s">
        <v>45</v>
      </c>
      <c r="G867">
        <v>-145.0968</v>
      </c>
      <c r="H867">
        <v>0.92924320000000005</v>
      </c>
      <c r="I867">
        <v>342.19009999999997</v>
      </c>
      <c r="J867">
        <v>-234.0615</v>
      </c>
      <c r="K867">
        <v>1.1101719999999999</v>
      </c>
      <c r="L867">
        <v>368.05040000000002</v>
      </c>
      <c r="M867">
        <v>0.99983250000000001</v>
      </c>
      <c r="N867">
        <v>0</v>
      </c>
      <c r="O867">
        <v>1.205853E-2</v>
      </c>
      <c r="P867">
        <v>0.99397829999999998</v>
      </c>
      <c r="Q867">
        <v>-1.0974390000000001E-2</v>
      </c>
      <c r="R867">
        <v>-0.10902729999999999</v>
      </c>
      <c r="S867">
        <v>2.9250949999999998</v>
      </c>
      <c r="T867">
        <v>-5.9397219999999997E-3</v>
      </c>
      <c r="U867">
        <v>-0.84890750000000004</v>
      </c>
      <c r="V867">
        <v>0.1210072</v>
      </c>
      <c r="W867">
        <v>2.662481E-3</v>
      </c>
      <c r="X867">
        <v>0.99264810000000003</v>
      </c>
      <c r="Y867">
        <v>0.29027629999999999</v>
      </c>
      <c r="Z867">
        <v>-3.1276440000000002E-4</v>
      </c>
      <c r="AA867">
        <v>0.95694290000000004</v>
      </c>
      <c r="AB867">
        <v>24</v>
      </c>
      <c r="AC867">
        <v>88.964699999999993</v>
      </c>
      <c r="AD867">
        <v>-0.180928799999999</v>
      </c>
      <c r="AE867">
        <v>-25.860299999999999</v>
      </c>
      <c r="AF867">
        <v>26.931201915912599</v>
      </c>
      <c r="AG867">
        <v>-0.180928799999999</v>
      </c>
      <c r="AH867">
        <v>88.646025604408905</v>
      </c>
      <c r="AI867">
        <v>90.111892226974604</v>
      </c>
      <c r="AJ867">
        <v>73.1008993680625</v>
      </c>
      <c r="AK867">
        <v>92.646857622500406</v>
      </c>
      <c r="AL867">
        <v>89.847450901664899</v>
      </c>
      <c r="AM867">
        <v>83.049741024401698</v>
      </c>
      <c r="AN867">
        <v>1.0000000408452601</v>
      </c>
    </row>
    <row r="868" spans="1:40" x14ac:dyDescent="0.25">
      <c r="A868" t="str">
        <f>"20190312161241196"</f>
        <v>20190312161241196</v>
      </c>
      <c r="B868" t="str">
        <f>"1552378361186209"</f>
        <v>1552378361186209</v>
      </c>
      <c r="C868" t="s">
        <v>40</v>
      </c>
      <c r="D868">
        <v>5.5802209999999999</v>
      </c>
      <c r="E868">
        <v>0.56606789999999996</v>
      </c>
      <c r="F868" t="s">
        <v>45</v>
      </c>
      <c r="G868">
        <v>-145.18809999999999</v>
      </c>
      <c r="H868">
        <v>0.99726210000000004</v>
      </c>
      <c r="I868">
        <v>342.19009999999997</v>
      </c>
      <c r="J868">
        <v>-233.84690000000001</v>
      </c>
      <c r="K868">
        <v>1.1101510000000001</v>
      </c>
      <c r="L868">
        <v>368.05290000000002</v>
      </c>
      <c r="M868">
        <v>0.99983449999999996</v>
      </c>
      <c r="N868">
        <v>0</v>
      </c>
      <c r="O868">
        <v>1.188822E-2</v>
      </c>
      <c r="P868">
        <v>0.99391929999999995</v>
      </c>
      <c r="Q868">
        <v>-1.094145E-2</v>
      </c>
      <c r="R868">
        <v>-0.1095676</v>
      </c>
      <c r="S868">
        <v>2.9247589999999999</v>
      </c>
      <c r="T868">
        <v>-3.7156340000000002E-3</v>
      </c>
      <c r="U868">
        <v>-0.85104369999999996</v>
      </c>
      <c r="V868">
        <v>0.12137779999999999</v>
      </c>
      <c r="W868">
        <v>2.6877519999999998E-3</v>
      </c>
      <c r="X868">
        <v>0.99260280000000001</v>
      </c>
      <c r="Y868">
        <v>0.29078739999999997</v>
      </c>
      <c r="Z868">
        <v>-1.9576009999999999E-4</v>
      </c>
      <c r="AA868">
        <v>0.95678759999999996</v>
      </c>
      <c r="AB868">
        <v>24</v>
      </c>
      <c r="AC868">
        <v>88.658799999999999</v>
      </c>
      <c r="AD868">
        <v>-0.1128889</v>
      </c>
      <c r="AE868">
        <v>-25.8628</v>
      </c>
      <c r="AF868">
        <v>26.9150270570068</v>
      </c>
      <c r="AG868">
        <v>-0.1128889</v>
      </c>
      <c r="AH868">
        <v>88.344909712162902</v>
      </c>
      <c r="AI868">
        <v>90.070035534139905</v>
      </c>
      <c r="AJ868">
        <v>73.056197431341204</v>
      </c>
      <c r="AK868">
        <v>92.353963084609305</v>
      </c>
      <c r="AL868">
        <v>89.846002977303101</v>
      </c>
      <c r="AM868">
        <v>83.028349091856398</v>
      </c>
      <c r="AN868">
        <v>1.0000000564557401</v>
      </c>
    </row>
    <row r="869" spans="1:40" x14ac:dyDescent="0.25">
      <c r="A869" t="str">
        <f>"20190312161241226"</f>
        <v>20190312161241226</v>
      </c>
      <c r="B869" t="str">
        <f>"1552378361216464"</f>
        <v>1552378361216464</v>
      </c>
      <c r="C869" t="s">
        <v>40</v>
      </c>
      <c r="D869">
        <v>5.5383060000000004</v>
      </c>
      <c r="E869">
        <v>0.53419819999999996</v>
      </c>
      <c r="F869" t="s">
        <v>45</v>
      </c>
      <c r="G869">
        <v>-145.36420000000001</v>
      </c>
      <c r="H869">
        <v>1.1060019999999999</v>
      </c>
      <c r="I869">
        <v>342.19009999999997</v>
      </c>
      <c r="J869">
        <v>-233.54499999999999</v>
      </c>
      <c r="K869">
        <v>1.1101379999999901</v>
      </c>
      <c r="L869">
        <v>368.05610000000001</v>
      </c>
      <c r="M869">
        <v>0.99983770000000005</v>
      </c>
      <c r="N869">
        <v>0</v>
      </c>
      <c r="O869">
        <v>1.1617779999999999E-2</v>
      </c>
      <c r="P869">
        <v>0.99386660000000004</v>
      </c>
      <c r="Q869">
        <v>-1.083012E-2</v>
      </c>
      <c r="R869">
        <v>-0.1100555</v>
      </c>
      <c r="S869">
        <v>2.9241489999999999</v>
      </c>
      <c r="T869">
        <v>-1.3697150000000001E-4</v>
      </c>
      <c r="U869">
        <v>-0.85470579999999996</v>
      </c>
      <c r="V869">
        <v>0.1215967</v>
      </c>
      <c r="W869">
        <v>2.7902719999999999E-3</v>
      </c>
      <c r="X869">
        <v>0.9925756</v>
      </c>
      <c r="Y869">
        <v>0.29168660000000002</v>
      </c>
      <c r="Z869" s="1">
        <v>-7.224829E-6</v>
      </c>
      <c r="AA869">
        <v>0.95651390000000003</v>
      </c>
      <c r="AB869">
        <v>24</v>
      </c>
      <c r="AC869">
        <v>88.180799999999905</v>
      </c>
      <c r="AD869">
        <v>-4.1359999999996903E-3</v>
      </c>
      <c r="AE869">
        <v>-25.866</v>
      </c>
      <c r="AF869">
        <v>26.888816220359001</v>
      </c>
      <c r="AG869">
        <v>-4.1359999999996903E-3</v>
      </c>
      <c r="AH869">
        <v>87.874313497715306</v>
      </c>
      <c r="AI869">
        <v>90.002578729680295</v>
      </c>
      <c r="AJ869">
        <v>72.986320764731403</v>
      </c>
      <c r="AK869">
        <v>91.896155673311497</v>
      </c>
      <c r="AL869">
        <v>89.840128972448298</v>
      </c>
      <c r="AM869">
        <v>83.015710566001303</v>
      </c>
      <c r="AN869">
        <v>0.99999993239203899</v>
      </c>
    </row>
    <row r="870" spans="1:40" x14ac:dyDescent="0.25">
      <c r="A870" t="str">
        <f>"20190312161241242"</f>
        <v>20190312161241242</v>
      </c>
      <c r="B870" t="str">
        <f>"1552378361236960"</f>
        <v>1552378361236960</v>
      </c>
      <c r="C870" t="s">
        <v>40</v>
      </c>
      <c r="D870">
        <v>5.4339639999999996</v>
      </c>
      <c r="E870">
        <v>0.48674800000000001</v>
      </c>
      <c r="F870" t="s">
        <v>52</v>
      </c>
      <c r="G870">
        <v>-169.2955</v>
      </c>
      <c r="H870">
        <v>0.96605680000000005</v>
      </c>
      <c r="I870">
        <v>354.92849999999999</v>
      </c>
      <c r="J870">
        <v>-233.36369999999999</v>
      </c>
      <c r="K870">
        <v>1.110134</v>
      </c>
      <c r="L870">
        <v>368.05799999999999</v>
      </c>
      <c r="M870">
        <v>0.99983979999999995</v>
      </c>
      <c r="N870">
        <v>0</v>
      </c>
      <c r="O870">
        <v>1.1442570000000001E-2</v>
      </c>
      <c r="P870">
        <v>0.99389729999999998</v>
      </c>
      <c r="Q870">
        <v>-1.045974E-2</v>
      </c>
      <c r="R870">
        <v>-0.10981340000000001</v>
      </c>
      <c r="S870">
        <v>2.9516450000000001</v>
      </c>
      <c r="T870">
        <v>-6.615162E-3</v>
      </c>
      <c r="U870">
        <v>-0.60308839999999997</v>
      </c>
      <c r="V870">
        <v>0.1211812</v>
      </c>
      <c r="W870">
        <v>3.1579120000000001E-3</v>
      </c>
      <c r="X870">
        <v>0.99262539999999999</v>
      </c>
      <c r="Y870">
        <v>0.2113852</v>
      </c>
      <c r="Z870">
        <v>-2.598457E-4</v>
      </c>
      <c r="AA870">
        <v>0.97740280000000002</v>
      </c>
      <c r="AB870">
        <v>24</v>
      </c>
      <c r="AC870">
        <v>64.068199999999905</v>
      </c>
      <c r="AD870">
        <v>-0.14407719999999899</v>
      </c>
      <c r="AE870">
        <v>-13.1295</v>
      </c>
      <c r="AF870">
        <v>13.861747308451999</v>
      </c>
      <c r="AG870">
        <v>-0.14407719999999899</v>
      </c>
      <c r="AH870">
        <v>63.913445118141901</v>
      </c>
      <c r="AI870">
        <v>90.1262245061709</v>
      </c>
      <c r="AJ870">
        <v>77.763032153044605</v>
      </c>
      <c r="AK870">
        <v>65.399520361793705</v>
      </c>
      <c r="AL870">
        <v>89.819064673250494</v>
      </c>
      <c r="AM870">
        <v>83.039687384397098</v>
      </c>
      <c r="AN870">
        <v>1.0000000201833901</v>
      </c>
    </row>
    <row r="871" spans="1:40" x14ac:dyDescent="0.25">
      <c r="A871" t="str">
        <f>"20190312161241267"</f>
        <v>20190312161241267</v>
      </c>
      <c r="B871" t="str">
        <f>"1552378361256481"</f>
        <v>1552378361256481</v>
      </c>
      <c r="C871" t="s">
        <v>40</v>
      </c>
      <c r="D871">
        <v>5.4132110000000004</v>
      </c>
      <c r="E871">
        <v>0.48668919999999999</v>
      </c>
      <c r="F871" t="s">
        <v>53</v>
      </c>
      <c r="G871">
        <v>-205.35040000000001</v>
      </c>
      <c r="H871" s="1">
        <v>-3.9201069999999999E-6</v>
      </c>
      <c r="I871">
        <v>365.99939999999998</v>
      </c>
      <c r="J871">
        <v>-233.11689999999999</v>
      </c>
      <c r="K871">
        <v>1.1101319999999999</v>
      </c>
      <c r="L871">
        <v>368.06060000000002</v>
      </c>
      <c r="M871">
        <v>0.99984260000000003</v>
      </c>
      <c r="N871">
        <v>0</v>
      </c>
      <c r="O871">
        <v>1.11974E-2</v>
      </c>
      <c r="P871">
        <v>0.99394519999999997</v>
      </c>
      <c r="Q871">
        <v>-1.0239959999999999E-2</v>
      </c>
      <c r="R871">
        <v>-0.10940030000000001</v>
      </c>
      <c r="S871">
        <v>2.9929049999999999</v>
      </c>
      <c r="T871">
        <v>-0.118606</v>
      </c>
      <c r="U871">
        <v>-0.2199402</v>
      </c>
      <c r="V871">
        <v>0.1205254</v>
      </c>
      <c r="W871">
        <v>3.374873E-3</v>
      </c>
      <c r="X871">
        <v>0.99270449999999999</v>
      </c>
      <c r="Y871">
        <v>8.4378679999999998E-2</v>
      </c>
      <c r="Z871">
        <v>-2.112072E-3</v>
      </c>
      <c r="AA871">
        <v>0.99643150000000003</v>
      </c>
      <c r="AB871">
        <v>24</v>
      </c>
      <c r="AC871">
        <v>27.766499999999901</v>
      </c>
      <c r="AD871">
        <v>-1.11013592010699</v>
      </c>
      <c r="AE871">
        <v>-2.0612000000000399</v>
      </c>
      <c r="AF871">
        <v>2.3682479318200902</v>
      </c>
      <c r="AG871">
        <v>-1.11013592010699</v>
      </c>
      <c r="AH871">
        <v>27.697644864246602</v>
      </c>
      <c r="AI871">
        <v>92.286880526729803</v>
      </c>
      <c r="AJ871">
        <v>85.112891975544599</v>
      </c>
      <c r="AK871">
        <v>27.820865030649301</v>
      </c>
      <c r="AL871">
        <v>89.806633652299098</v>
      </c>
      <c r="AM871">
        <v>83.077534470511594</v>
      </c>
      <c r="AN871">
        <v>0.99999999306658804</v>
      </c>
    </row>
    <row r="872" spans="1:40" x14ac:dyDescent="0.25">
      <c r="A872" t="str">
        <f>"20190312161241286"</f>
        <v>20190312161241286</v>
      </c>
      <c r="B872" t="str">
        <f>"1552378361276976"</f>
        <v>1552378361276976</v>
      </c>
      <c r="C872" t="s">
        <v>40</v>
      </c>
      <c r="D872">
        <v>5.4123549999999998</v>
      </c>
      <c r="E872">
        <v>0.48743069999999999</v>
      </c>
      <c r="F872" t="s">
        <v>53</v>
      </c>
      <c r="G872">
        <v>-205.8597</v>
      </c>
      <c r="H872" s="1">
        <v>-4.140622E-6</v>
      </c>
      <c r="I872">
        <v>366.07490000000001</v>
      </c>
      <c r="J872">
        <v>-232.90520000000001</v>
      </c>
      <c r="K872">
        <v>1.110131</v>
      </c>
      <c r="L872">
        <v>368.06270000000001</v>
      </c>
      <c r="M872">
        <v>0.99984499999999998</v>
      </c>
      <c r="N872">
        <v>0</v>
      </c>
      <c r="O872">
        <v>1.098297E-2</v>
      </c>
      <c r="P872">
        <v>0.99397990000000003</v>
      </c>
      <c r="Q872">
        <v>-9.9736990000000008E-3</v>
      </c>
      <c r="R872">
        <v>-0.109109999999999</v>
      </c>
      <c r="S872">
        <v>2.9930270000000001</v>
      </c>
      <c r="T872">
        <v>-0.1219006</v>
      </c>
      <c r="U872">
        <v>-0.21804809999999999</v>
      </c>
      <c r="V872">
        <v>0.12002259999999999</v>
      </c>
      <c r="W872">
        <v>3.6390379999999998E-3</v>
      </c>
      <c r="X872">
        <v>0.99276450000000005</v>
      </c>
      <c r="Y872">
        <v>8.3532099999999998E-2</v>
      </c>
      <c r="Z872">
        <v>-2.1447240000000002E-3</v>
      </c>
      <c r="AA872">
        <v>0.99650280000000002</v>
      </c>
      <c r="AB872">
        <v>24</v>
      </c>
      <c r="AC872">
        <v>27.045500000000001</v>
      </c>
      <c r="AD872">
        <v>-1.1101351406219999</v>
      </c>
      <c r="AE872">
        <v>-1.98779999999999</v>
      </c>
      <c r="AF872">
        <v>2.2809257522484998</v>
      </c>
      <c r="AG872">
        <v>-1.1101351406219999</v>
      </c>
      <c r="AH872">
        <v>26.976826697947999</v>
      </c>
      <c r="AI872">
        <v>92.348105150178</v>
      </c>
      <c r="AJ872">
        <v>85.167062281206299</v>
      </c>
      <c r="AK872">
        <v>27.095833646685101</v>
      </c>
      <c r="AL872">
        <v>89.791498022965897</v>
      </c>
      <c r="AM872">
        <v>83.106547311656499</v>
      </c>
      <c r="AN872">
        <v>1.0000000097842801</v>
      </c>
    </row>
    <row r="873" spans="1:40" x14ac:dyDescent="0.25">
      <c r="A873" t="str">
        <f>"20190312161241301"</f>
        <v>20190312161241301</v>
      </c>
      <c r="B873" t="str">
        <f>"1552378361296497"</f>
        <v>1552378361296497</v>
      </c>
      <c r="C873" t="s">
        <v>40</v>
      </c>
      <c r="D873">
        <v>5.381869</v>
      </c>
      <c r="E873">
        <v>0.48811919999999998</v>
      </c>
      <c r="F873" t="s">
        <v>53</v>
      </c>
      <c r="G873">
        <v>-207.0478</v>
      </c>
      <c r="H873" s="1">
        <v>-4.6804330000000004E-6</v>
      </c>
      <c r="I873">
        <v>366.13639999999998</v>
      </c>
      <c r="J873">
        <v>-232.756</v>
      </c>
      <c r="K873">
        <v>1.1101319999999999</v>
      </c>
      <c r="L873">
        <v>368.06420000000003</v>
      </c>
      <c r="M873">
        <v>0.99984660000000003</v>
      </c>
      <c r="N873">
        <v>0</v>
      </c>
      <c r="O873">
        <v>1.082989E-2</v>
      </c>
      <c r="P873">
        <v>0.9939848</v>
      </c>
      <c r="Q873">
        <v>-1.0004799999999999E-2</v>
      </c>
      <c r="R873">
        <v>-0.1090598</v>
      </c>
      <c r="S873">
        <v>2.9924010000000001</v>
      </c>
      <c r="T873">
        <v>-0.1284728</v>
      </c>
      <c r="U873">
        <v>-0.22293089999999999</v>
      </c>
      <c r="V873">
        <v>0.1198207</v>
      </c>
      <c r="W873">
        <v>3.6066140000000002E-3</v>
      </c>
      <c r="X873">
        <v>0.99278900000000003</v>
      </c>
      <c r="Y873">
        <v>8.5001939999999998E-2</v>
      </c>
      <c r="Z873">
        <v>-2.2855219999999999E-3</v>
      </c>
      <c r="AA873">
        <v>0.99637819999999999</v>
      </c>
      <c r="AB873">
        <v>24</v>
      </c>
      <c r="AC873">
        <v>25.708199999999898</v>
      </c>
      <c r="AD873">
        <v>-1.110136680433</v>
      </c>
      <c r="AE873">
        <v>-1.9278000000000399</v>
      </c>
      <c r="AF873">
        <v>2.2020470809363699</v>
      </c>
      <c r="AG873">
        <v>-1.110136680433</v>
      </c>
      <c r="AH873">
        <v>25.638271793775999</v>
      </c>
      <c r="AI873">
        <v>92.470273980261297</v>
      </c>
      <c r="AJ873">
        <v>85.090966862910804</v>
      </c>
      <c r="AK873">
        <v>25.7565990644617</v>
      </c>
      <c r="AL873">
        <v>89.793355792126903</v>
      </c>
      <c r="AM873">
        <v>83.118200263339205</v>
      </c>
      <c r="AN873">
        <v>1.00000000316701</v>
      </c>
    </row>
    <row r="874" spans="1:40" x14ac:dyDescent="0.25">
      <c r="A874" t="str">
        <f>"20190312161241315"</f>
        <v>20190312161241315</v>
      </c>
      <c r="B874" t="str">
        <f>"1552378361306257"</f>
        <v>1552378361306257</v>
      </c>
      <c r="C874" t="s">
        <v>40</v>
      </c>
      <c r="D874">
        <v>5.3741079999999997</v>
      </c>
      <c r="E874">
        <v>0.48846800000000001</v>
      </c>
      <c r="F874" t="s">
        <v>53</v>
      </c>
      <c r="G874">
        <v>-207.65610000000001</v>
      </c>
      <c r="H874" s="1">
        <v>-4.9602829999999999E-6</v>
      </c>
      <c r="I874">
        <v>366.15230000000003</v>
      </c>
      <c r="J874">
        <v>-232.6045</v>
      </c>
      <c r="K874">
        <v>1.110131</v>
      </c>
      <c r="L874">
        <v>368.06569999999999</v>
      </c>
      <c r="M874">
        <v>0.99984839999999997</v>
      </c>
      <c r="N874">
        <v>0</v>
      </c>
      <c r="O874">
        <v>1.067222E-2</v>
      </c>
      <c r="P874">
        <v>0.99398710000000001</v>
      </c>
      <c r="Q874">
        <v>-9.6587329999999992E-3</v>
      </c>
      <c r="R874">
        <v>-0.1090711</v>
      </c>
      <c r="S874">
        <v>2.9918369999999999</v>
      </c>
      <c r="T874">
        <v>-0.13232539999999901</v>
      </c>
      <c r="U874">
        <v>-0.22790530000000001</v>
      </c>
      <c r="V874">
        <v>0.1196757</v>
      </c>
      <c r="W874">
        <v>3.950411E-3</v>
      </c>
      <c r="X874">
        <v>0.99280520000000005</v>
      </c>
      <c r="Y874">
        <v>8.6499259999999994E-2</v>
      </c>
      <c r="Z874">
        <v>-2.3803779999999998E-3</v>
      </c>
      <c r="AA874">
        <v>0.9962491</v>
      </c>
      <c r="AB874">
        <v>24</v>
      </c>
      <c r="AC874">
        <v>24.9483999999999</v>
      </c>
      <c r="AD874">
        <v>-1.1101359602830001</v>
      </c>
      <c r="AE874">
        <v>-1.91339999999996</v>
      </c>
      <c r="AF874">
        <v>2.17528912353449</v>
      </c>
      <c r="AG874">
        <v>-1.1101359602830001</v>
      </c>
      <c r="AH874">
        <v>24.8775869867548</v>
      </c>
      <c r="AI874">
        <v>92.545369192346499</v>
      </c>
      <c r="AJ874">
        <v>85.002783234913693</v>
      </c>
      <c r="AK874">
        <v>24.997172218169599</v>
      </c>
      <c r="AL874">
        <v>89.773657538635007</v>
      </c>
      <c r="AM874">
        <v>83.126559579171897</v>
      </c>
      <c r="AN874">
        <v>1.00000002203229</v>
      </c>
    </row>
    <row r="875" spans="1:40" x14ac:dyDescent="0.25">
      <c r="A875" t="str">
        <f>"20190312161241333"</f>
        <v>20190312161241333</v>
      </c>
      <c r="B875" t="str">
        <f>"1552378361316992"</f>
        <v>1552378361316992</v>
      </c>
      <c r="C875" t="s">
        <v>40</v>
      </c>
      <c r="D875">
        <v>5.3984699999999997</v>
      </c>
      <c r="E875">
        <v>0.48895729999999998</v>
      </c>
      <c r="F875" t="s">
        <v>53</v>
      </c>
      <c r="G875">
        <v>-207.59739999999999</v>
      </c>
      <c r="H875" s="1">
        <v>-4.9364720000000002E-6</v>
      </c>
      <c r="I875">
        <v>366.1361</v>
      </c>
      <c r="J875">
        <v>-232.43219999999999</v>
      </c>
      <c r="K875">
        <v>1.110125</v>
      </c>
      <c r="L875">
        <v>368.06740000000002</v>
      </c>
      <c r="M875">
        <v>0.99985040000000003</v>
      </c>
      <c r="N875">
        <v>0</v>
      </c>
      <c r="O875">
        <v>1.0489099999999999E-2</v>
      </c>
      <c r="P875">
        <v>0.99403810000000004</v>
      </c>
      <c r="Q875">
        <v>-9.243958E-3</v>
      </c>
      <c r="R875">
        <v>-0.1086406</v>
      </c>
      <c r="S875">
        <v>2.9915470000000002</v>
      </c>
      <c r="T875">
        <v>-0.1328027</v>
      </c>
      <c r="U875">
        <v>-0.23083500000000001</v>
      </c>
      <c r="V875">
        <v>0.11906410000000001</v>
      </c>
      <c r="W875">
        <v>4.3643010000000001E-3</v>
      </c>
      <c r="X875">
        <v>0.99287689999999995</v>
      </c>
      <c r="Y875">
        <v>8.7292729999999999E-2</v>
      </c>
      <c r="Z875">
        <v>-2.3985600000000001E-3</v>
      </c>
      <c r="AA875">
        <v>0.99617979999999995</v>
      </c>
      <c r="AB875">
        <v>24</v>
      </c>
      <c r="AC875">
        <v>24.834800000000001</v>
      </c>
      <c r="AD875">
        <v>-1.1101299364720001</v>
      </c>
      <c r="AE875">
        <v>-1.93130000000002</v>
      </c>
      <c r="AF875">
        <v>2.1873686764964702</v>
      </c>
      <c r="AG875">
        <v>-1.1101299364720001</v>
      </c>
      <c r="AH875">
        <v>24.763989494972702</v>
      </c>
      <c r="AI875">
        <v>92.556818052591098</v>
      </c>
      <c r="AJ875">
        <v>84.9522438872186</v>
      </c>
      <c r="AK875">
        <v>24.885179242068698</v>
      </c>
      <c r="AL875">
        <v>89.749943159054098</v>
      </c>
      <c r="AM875">
        <v>83.161841813149607</v>
      </c>
      <c r="AN875">
        <v>0.99999992279281602</v>
      </c>
    </row>
    <row r="876" spans="1:40" x14ac:dyDescent="0.25">
      <c r="A876" t="str">
        <f>"20190312161241346"</f>
        <v>20190312161241346</v>
      </c>
      <c r="B876" t="str">
        <f>"1552378361336513"</f>
        <v>1552378361336513</v>
      </c>
      <c r="C876" t="s">
        <v>40</v>
      </c>
      <c r="D876">
        <v>5.3714399999999998</v>
      </c>
      <c r="E876">
        <v>0.49002020000000002</v>
      </c>
      <c r="F876" t="s">
        <v>53</v>
      </c>
      <c r="G876">
        <v>-208.3117</v>
      </c>
      <c r="H876" s="1">
        <v>-5.2554100000000004E-6</v>
      </c>
      <c r="I876">
        <v>366.18799999999999</v>
      </c>
      <c r="J876">
        <v>-232.2645</v>
      </c>
      <c r="K876">
        <v>1.1101219999999901</v>
      </c>
      <c r="L876">
        <v>368.06889999999999</v>
      </c>
      <c r="M876">
        <v>0.99985239999999997</v>
      </c>
      <c r="N876">
        <v>0</v>
      </c>
      <c r="O876">
        <v>1.0306239999999999E-2</v>
      </c>
      <c r="P876">
        <v>0.99404910000000002</v>
      </c>
      <c r="Q876">
        <v>-9.327531E-3</v>
      </c>
      <c r="R876">
        <v>-0.10853450000000001</v>
      </c>
      <c r="S876">
        <v>2.991241</v>
      </c>
      <c r="T876">
        <v>-0.13766999999999999</v>
      </c>
      <c r="U876">
        <v>-0.23306270000000001</v>
      </c>
      <c r="V876">
        <v>0.11877649999999999</v>
      </c>
      <c r="W876">
        <v>4.2784729999999997E-3</v>
      </c>
      <c r="X876">
        <v>0.99291180000000001</v>
      </c>
      <c r="Y876">
        <v>8.7848270000000006E-2</v>
      </c>
      <c r="Z876">
        <v>-2.490917E-3</v>
      </c>
      <c r="AA876">
        <v>0.99613079999999998</v>
      </c>
      <c r="AB876">
        <v>23</v>
      </c>
      <c r="AC876">
        <v>23.9528</v>
      </c>
      <c r="AD876">
        <v>-1.1101272554099999</v>
      </c>
      <c r="AE876">
        <v>-1.8808999999999301</v>
      </c>
      <c r="AF876">
        <v>2.1231541451908198</v>
      </c>
      <c r="AG876">
        <v>-1.1101272554099999</v>
      </c>
      <c r="AH876">
        <v>23.881158565970399</v>
      </c>
      <c r="AI876">
        <v>92.651064651856899</v>
      </c>
      <c r="AJ876">
        <v>84.919476891097204</v>
      </c>
      <c r="AK876">
        <v>24.001039571244899</v>
      </c>
      <c r="AL876">
        <v>89.754860807039094</v>
      </c>
      <c r="AM876">
        <v>83.1784410977628</v>
      </c>
      <c r="AN876">
        <v>1.00000000243135</v>
      </c>
    </row>
    <row r="877" spans="1:40" x14ac:dyDescent="0.25">
      <c r="A877" t="str">
        <f>"20190312161241359"</f>
        <v>20190312161241359</v>
      </c>
      <c r="B877" t="str">
        <f>"1552378361357008"</f>
        <v>1552378361357008</v>
      </c>
      <c r="C877" t="s">
        <v>40</v>
      </c>
      <c r="D877">
        <v>5.4096520000000003</v>
      </c>
      <c r="E877">
        <v>0.49068850000000003</v>
      </c>
      <c r="F877" t="s">
        <v>42</v>
      </c>
      <c r="G877">
        <v>-210.172</v>
      </c>
      <c r="H877" s="1">
        <v>-4.7883810000000003E-6</v>
      </c>
      <c r="I877">
        <v>366.29109999999997</v>
      </c>
      <c r="J877">
        <v>-232.12880000000001</v>
      </c>
      <c r="K877">
        <v>1.1101190000000001</v>
      </c>
      <c r="L877">
        <v>368.07010000000002</v>
      </c>
      <c r="M877">
        <v>0.99985400000000002</v>
      </c>
      <c r="N877">
        <v>0</v>
      </c>
      <c r="O877">
        <v>1.015139E-2</v>
      </c>
      <c r="P877">
        <v>0.99405410000000005</v>
      </c>
      <c r="Q877">
        <v>-9.3897619999999994E-3</v>
      </c>
      <c r="R877">
        <v>-0.1084833</v>
      </c>
      <c r="S877">
        <v>2.990265</v>
      </c>
      <c r="T877">
        <v>-0.1502569</v>
      </c>
      <c r="U877">
        <v>-0.24063109999999999</v>
      </c>
      <c r="V877">
        <v>0.1185716</v>
      </c>
      <c r="W877">
        <v>4.2141000000000001E-3</v>
      </c>
      <c r="X877">
        <v>0.99293659999999995</v>
      </c>
      <c r="Y877">
        <v>9.0201900000000002E-2</v>
      </c>
      <c r="Z877">
        <v>-2.7702320000000001E-3</v>
      </c>
      <c r="AA877">
        <v>0.99591960000000002</v>
      </c>
      <c r="AB877">
        <v>23</v>
      </c>
      <c r="AC877">
        <v>21.956800000000001</v>
      </c>
      <c r="AD877">
        <v>-1.110123788381</v>
      </c>
      <c r="AE877">
        <v>-1.7790000000000501</v>
      </c>
      <c r="AF877">
        <v>1.99675049398585</v>
      </c>
      <c r="AG877">
        <v>-1.110123788381</v>
      </c>
      <c r="AH877">
        <v>21.882036069102998</v>
      </c>
      <c r="AI877">
        <v>92.892254976791506</v>
      </c>
      <c r="AJ877">
        <v>84.786160960556799</v>
      </c>
      <c r="AK877">
        <v>22.000974748639901</v>
      </c>
      <c r="AL877">
        <v>89.758549149914899</v>
      </c>
      <c r="AM877">
        <v>83.190266774769</v>
      </c>
      <c r="AN877">
        <v>1.00000003729246</v>
      </c>
    </row>
    <row r="878" spans="1:40" x14ac:dyDescent="0.25">
      <c r="A878" t="str">
        <f>"20190312161241374"</f>
        <v>20190312161241374</v>
      </c>
      <c r="B878" t="str">
        <f>"1552378361366300"</f>
        <v>1552378361366300</v>
      </c>
      <c r="C878" t="s">
        <v>40</v>
      </c>
      <c r="D878">
        <v>5.3659540000000003</v>
      </c>
      <c r="E878">
        <v>0.49068850000000003</v>
      </c>
      <c r="F878" t="s">
        <v>42</v>
      </c>
      <c r="G878">
        <v>-211.38</v>
      </c>
      <c r="H878" s="1">
        <v>-4.2567759999999998E-6</v>
      </c>
      <c r="I878">
        <v>366.3664</v>
      </c>
      <c r="J878">
        <v>-231.98050000000001</v>
      </c>
      <c r="K878">
        <v>1.1101129999999999</v>
      </c>
      <c r="L878">
        <v>368.07139999999998</v>
      </c>
      <c r="M878">
        <v>0.99985570000000001</v>
      </c>
      <c r="N878">
        <v>0</v>
      </c>
      <c r="O878">
        <v>9.9757060000000009E-3</v>
      </c>
      <c r="P878">
        <v>0.99402889999999999</v>
      </c>
      <c r="Q878">
        <v>-9.8492130000000008E-3</v>
      </c>
      <c r="R878">
        <v>-0.1086713</v>
      </c>
      <c r="S878">
        <v>2.9896389999999999</v>
      </c>
      <c r="T878">
        <v>-0.1599545</v>
      </c>
      <c r="U878">
        <v>-0.24548339999999999</v>
      </c>
      <c r="V878">
        <v>0.11858489999999999</v>
      </c>
      <c r="W878">
        <v>3.7515719999999999E-3</v>
      </c>
      <c r="X878">
        <v>0.99293679999999995</v>
      </c>
      <c r="Y878">
        <v>9.1630690000000001E-2</v>
      </c>
      <c r="Z878">
        <v>-2.9779509999999999E-3</v>
      </c>
      <c r="AA878">
        <v>0.99578860000000002</v>
      </c>
      <c r="AB878">
        <v>23</v>
      </c>
      <c r="AC878">
        <v>20.6005</v>
      </c>
      <c r="AD878">
        <v>-1.11011725677599</v>
      </c>
      <c r="AE878">
        <v>-1.7049999999999801</v>
      </c>
      <c r="AF878">
        <v>1.90494496525351</v>
      </c>
      <c r="AG878">
        <v>-1.11011725677599</v>
      </c>
      <c r="AH878">
        <v>20.5232724327652</v>
      </c>
      <c r="AI878">
        <v>93.082923064476404</v>
      </c>
      <c r="AJ878">
        <v>84.697070038278</v>
      </c>
      <c r="AK878">
        <v>20.641363496482899</v>
      </c>
      <c r="AL878">
        <v>89.785050247370407</v>
      </c>
      <c r="AM878">
        <v>83.189511470166195</v>
      </c>
      <c r="AN878">
        <v>0.99999997079736003</v>
      </c>
    </row>
    <row r="879" spans="1:40" x14ac:dyDescent="0.25">
      <c r="A879" t="str">
        <f>"20190312161241387"</f>
        <v>20190312161241387</v>
      </c>
      <c r="B879" t="str">
        <f>"1552378361376060"</f>
        <v>1552378361376060</v>
      </c>
      <c r="C879" t="s">
        <v>40</v>
      </c>
      <c r="D879">
        <v>5.366892</v>
      </c>
      <c r="E879">
        <v>0.49691449999999998</v>
      </c>
      <c r="F879" t="s">
        <v>42</v>
      </c>
      <c r="G879">
        <v>-211.40880000000001</v>
      </c>
      <c r="H879" s="1">
        <v>-4.2422660000000004E-6</v>
      </c>
      <c r="I879">
        <v>366.37860000000001</v>
      </c>
      <c r="J879">
        <v>-231.8365</v>
      </c>
      <c r="K879">
        <v>1.1101019999999999</v>
      </c>
      <c r="L879">
        <v>368.07260000000002</v>
      </c>
      <c r="M879">
        <v>0.99985749999999995</v>
      </c>
      <c r="N879">
        <v>0</v>
      </c>
      <c r="O879">
        <v>9.7968829999999993E-3</v>
      </c>
      <c r="P879">
        <v>0.99393480000000001</v>
      </c>
      <c r="Q879">
        <v>-1.015464E-2</v>
      </c>
      <c r="R879">
        <v>-0.10950310000000001</v>
      </c>
      <c r="S879">
        <v>2.9895320000000001</v>
      </c>
      <c r="T879">
        <v>-0.1613241</v>
      </c>
      <c r="U879">
        <v>-0.2460022</v>
      </c>
      <c r="V879">
        <v>0.119238</v>
      </c>
      <c r="W879">
        <v>3.4401990000000001E-3</v>
      </c>
      <c r="X879">
        <v>0.99285970000000001</v>
      </c>
      <c r="Y879">
        <v>9.1624929999999993E-2</v>
      </c>
      <c r="Z879">
        <v>-2.9937140000000002E-3</v>
      </c>
      <c r="AA879">
        <v>0.99578909999999998</v>
      </c>
      <c r="AB879">
        <v>23</v>
      </c>
      <c r="AC879">
        <v>20.427699999999898</v>
      </c>
      <c r="AD879">
        <v>-1.110106242266</v>
      </c>
      <c r="AE879">
        <v>-1.6940000000000099</v>
      </c>
      <c r="AF879">
        <v>1.88852632034445</v>
      </c>
      <c r="AG879">
        <v>-1.110106242266</v>
      </c>
      <c r="AH879">
        <v>20.350433926721099</v>
      </c>
      <c r="AI879">
        <v>93.109030009371594</v>
      </c>
      <c r="AJ879">
        <v>84.698119572949906</v>
      </c>
      <c r="AK879">
        <v>20.468000110845999</v>
      </c>
      <c r="AL879">
        <v>89.802890719882598</v>
      </c>
      <c r="AM879">
        <v>83.151831557813793</v>
      </c>
      <c r="AN879">
        <v>0.99999995974862399</v>
      </c>
    </row>
    <row r="880" spans="1:40" x14ac:dyDescent="0.25">
      <c r="A880" t="str">
        <f>"20190312161241401"</f>
        <v>20190312161241401</v>
      </c>
      <c r="B880" t="str">
        <f>"1552378361396555"</f>
        <v>1552378361396555</v>
      </c>
      <c r="C880" t="s">
        <v>40</v>
      </c>
      <c r="D880">
        <v>5.309075</v>
      </c>
      <c r="E880">
        <v>0.4970424</v>
      </c>
      <c r="F880" t="s">
        <v>43</v>
      </c>
      <c r="G880">
        <v>-231.09559999999999</v>
      </c>
      <c r="H880">
        <v>1.0505119999999999</v>
      </c>
      <c r="I880">
        <v>367.99959999999999</v>
      </c>
      <c r="J880">
        <v>-231.69479999999999</v>
      </c>
      <c r="K880">
        <v>1.11009</v>
      </c>
      <c r="L880">
        <v>368.07380000000001</v>
      </c>
      <c r="M880">
        <v>0.99985930000000001</v>
      </c>
      <c r="N880">
        <v>0</v>
      </c>
      <c r="O880">
        <v>9.6041219999999997E-3</v>
      </c>
      <c r="P880">
        <v>0.99384989999999995</v>
      </c>
      <c r="Q880">
        <v>-1.0188569999999999E-2</v>
      </c>
      <c r="R880">
        <v>-0.1102665</v>
      </c>
      <c r="S880">
        <v>2.9835050000000001</v>
      </c>
      <c r="T880">
        <v>-0.240013</v>
      </c>
      <c r="U880">
        <v>-0.29391479999999998</v>
      </c>
      <c r="V880">
        <v>0.1198091</v>
      </c>
      <c r="W880">
        <v>3.4001449999999998E-3</v>
      </c>
      <c r="X880">
        <v>0.99279110000000004</v>
      </c>
      <c r="Y880">
        <v>0.10721899999999999</v>
      </c>
      <c r="Z880">
        <v>-5.0650790000000001E-3</v>
      </c>
      <c r="AA880">
        <v>0.99422250000000001</v>
      </c>
      <c r="AB880">
        <v>23</v>
      </c>
      <c r="AC880">
        <v>0.59919999999999596</v>
      </c>
      <c r="AD880">
        <v>-5.9577999999999902E-2</v>
      </c>
      <c r="AE880">
        <v>-7.4200000000018904E-2</v>
      </c>
      <c r="AF880">
        <v>7.9180937280319399E-2</v>
      </c>
      <c r="AG880">
        <v>-5.9577999999999902E-2</v>
      </c>
      <c r="AH880">
        <v>0.59268873554665003</v>
      </c>
      <c r="AI880">
        <v>95.689962919154496</v>
      </c>
      <c r="AJ880">
        <v>82.390561496283695</v>
      </c>
      <c r="AK880">
        <v>0.60091521544763404</v>
      </c>
      <c r="AL880">
        <v>89.805185661489205</v>
      </c>
      <c r="AM880">
        <v>83.118874526987696</v>
      </c>
      <c r="AN880">
        <v>0.99999997483402003</v>
      </c>
    </row>
    <row r="881" spans="1:40" x14ac:dyDescent="0.25">
      <c r="A881" t="str">
        <f>"20190312161241415"</f>
        <v>20190312161241415</v>
      </c>
      <c r="B881" t="str">
        <f>"1552378361406315"</f>
        <v>1552378361406315</v>
      </c>
      <c r="C881" t="s">
        <v>40</v>
      </c>
      <c r="D881">
        <v>5.4917509999999998</v>
      </c>
      <c r="E881">
        <v>0.49634729999999999</v>
      </c>
      <c r="F881" t="s">
        <v>43</v>
      </c>
      <c r="G881">
        <v>-230.8931</v>
      </c>
      <c r="H881">
        <v>1.042365</v>
      </c>
      <c r="I881">
        <v>367.99369999999999</v>
      </c>
      <c r="J881">
        <v>-231.5504</v>
      </c>
      <c r="K881">
        <v>1.1100749999999999</v>
      </c>
      <c r="L881">
        <v>368.07499999999999</v>
      </c>
      <c r="M881">
        <v>0.99986140000000001</v>
      </c>
      <c r="N881">
        <v>0</v>
      </c>
      <c r="O881">
        <v>9.3963610000000006E-3</v>
      </c>
      <c r="P881">
        <v>0.99379079999999997</v>
      </c>
      <c r="Q881">
        <v>-9.8980809999999995E-3</v>
      </c>
      <c r="R881">
        <v>-0.1108246</v>
      </c>
      <c r="S881">
        <v>2.9830779999999999</v>
      </c>
      <c r="T881">
        <v>-0.2522587</v>
      </c>
      <c r="U881">
        <v>-0.29663089999999998</v>
      </c>
      <c r="V881">
        <v>0.12016060000000001</v>
      </c>
      <c r="W881">
        <v>3.6848150000000001E-3</v>
      </c>
      <c r="X881">
        <v>0.99274759999999995</v>
      </c>
      <c r="Y881">
        <v>0.10788200000000001</v>
      </c>
      <c r="Z881">
        <v>-5.3335469999999897E-3</v>
      </c>
      <c r="AA881">
        <v>0.99414939999999996</v>
      </c>
      <c r="AB881">
        <v>23</v>
      </c>
      <c r="AC881">
        <v>0.657299999999992</v>
      </c>
      <c r="AD881">
        <v>-6.7709999999999895E-2</v>
      </c>
      <c r="AE881">
        <v>-8.1299999999998804E-2</v>
      </c>
      <c r="AF881">
        <v>8.6568439294786595E-2</v>
      </c>
      <c r="AG881">
        <v>-6.7709999999999895E-2</v>
      </c>
      <c r="AH881">
        <v>0.64971637727537301</v>
      </c>
      <c r="AI881">
        <v>95.897836281017902</v>
      </c>
      <c r="AJ881">
        <v>82.410591035293095</v>
      </c>
      <c r="AK881">
        <v>0.65894621152395305</v>
      </c>
      <c r="AL881">
        <v>89.788875168630796</v>
      </c>
      <c r="AM881">
        <v>83.098581379145898</v>
      </c>
      <c r="AN881">
        <v>0.99999997247985095</v>
      </c>
    </row>
    <row r="882" spans="1:40" x14ac:dyDescent="0.25">
      <c r="A882" t="str">
        <f>"20190312161241430"</f>
        <v>20190312161241430</v>
      </c>
      <c r="B882" t="str">
        <f>"1552378361426811"</f>
        <v>1552378361426811</v>
      </c>
      <c r="C882" t="s">
        <v>40</v>
      </c>
      <c r="D882">
        <v>5.4308680000000003</v>
      </c>
      <c r="E882">
        <v>0.49597229999999998</v>
      </c>
      <c r="F882" t="s">
        <v>43</v>
      </c>
      <c r="G882">
        <v>-230.68389999999999</v>
      </c>
      <c r="H882">
        <v>1.042805</v>
      </c>
      <c r="I882">
        <v>367.98939999999999</v>
      </c>
      <c r="J882">
        <v>-231.3937</v>
      </c>
      <c r="K882">
        <v>1.110052</v>
      </c>
      <c r="L882">
        <v>368.07619999999997</v>
      </c>
      <c r="M882">
        <v>0.99986359999999996</v>
      </c>
      <c r="N882">
        <v>0</v>
      </c>
      <c r="O882">
        <v>9.1561790000000004E-3</v>
      </c>
      <c r="P882">
        <v>0.99368480000000003</v>
      </c>
      <c r="Q882">
        <v>-9.9442920000000004E-3</v>
      </c>
      <c r="R882">
        <v>-0.1117672</v>
      </c>
      <c r="S882">
        <v>2.9836269999999998</v>
      </c>
      <c r="T882">
        <v>-0.23177800000000001</v>
      </c>
      <c r="U882">
        <v>-0.2941589</v>
      </c>
      <c r="V882">
        <v>0.1208639</v>
      </c>
      <c r="W882">
        <v>3.6304549999999999E-3</v>
      </c>
      <c r="X882">
        <v>0.99266239999999994</v>
      </c>
      <c r="Y882">
        <v>0.1068778</v>
      </c>
      <c r="Z882">
        <v>-4.8437300000000001E-3</v>
      </c>
      <c r="AA882">
        <v>0.99426040000000004</v>
      </c>
      <c r="AB882">
        <v>23</v>
      </c>
      <c r="AC882">
        <v>0.70980000000000099</v>
      </c>
      <c r="AD882">
        <v>-6.7247000000000001E-2</v>
      </c>
      <c r="AE882">
        <v>-8.6799999999982405E-2</v>
      </c>
      <c r="AF882">
        <v>9.2478193855572904E-2</v>
      </c>
      <c r="AG882">
        <v>-6.7247000000000001E-2</v>
      </c>
      <c r="AH882">
        <v>0.70276050147980995</v>
      </c>
      <c r="AI882">
        <v>95.419537166030196</v>
      </c>
      <c r="AJ882">
        <v>82.503364436878698</v>
      </c>
      <c r="AK882">
        <v>0.71200189451148499</v>
      </c>
      <c r="AL882">
        <v>89.791989783751106</v>
      </c>
      <c r="AM882">
        <v>83.057990375421397</v>
      </c>
      <c r="AN882">
        <v>0.99999995145023701</v>
      </c>
    </row>
    <row r="883" spans="1:40" x14ac:dyDescent="0.25">
      <c r="A883" t="str">
        <f>"20190312161241466"</f>
        <v>20190312161241466</v>
      </c>
      <c r="B883" t="str">
        <f>"1552378361456092"</f>
        <v>1552378361456092</v>
      </c>
      <c r="C883" t="s">
        <v>40</v>
      </c>
      <c r="D883">
        <v>5.5338529999999997</v>
      </c>
      <c r="E883">
        <v>0.4957049</v>
      </c>
      <c r="F883" t="s">
        <v>43</v>
      </c>
      <c r="G883">
        <v>-230.47569999999999</v>
      </c>
      <c r="H883">
        <v>1.0419659999999999</v>
      </c>
      <c r="I883">
        <v>367.9855</v>
      </c>
      <c r="J883">
        <v>-231.02449999999999</v>
      </c>
      <c r="K883">
        <v>1.1100030000000001</v>
      </c>
      <c r="L883">
        <v>368.0788</v>
      </c>
      <c r="M883">
        <v>0.99986929999999996</v>
      </c>
      <c r="N883">
        <v>0</v>
      </c>
      <c r="O883">
        <v>8.5105919999999904E-3</v>
      </c>
      <c r="P883">
        <v>0.99340019999999996</v>
      </c>
      <c r="Q883">
        <v>-1.021736E-2</v>
      </c>
      <c r="R883">
        <v>-0.1142446</v>
      </c>
      <c r="S883">
        <v>2.9836879999999999</v>
      </c>
      <c r="T883">
        <v>-0.2215027</v>
      </c>
      <c r="U883">
        <v>-0.29446409999999901</v>
      </c>
      <c r="V883">
        <v>0.1226981</v>
      </c>
      <c r="W883">
        <v>3.336248E-3</v>
      </c>
      <c r="X883">
        <v>0.99243840000000005</v>
      </c>
      <c r="Y883">
        <v>0.1063677</v>
      </c>
      <c r="Z883">
        <v>-4.5628530000000004E-3</v>
      </c>
      <c r="AA883">
        <v>0.99431639999999999</v>
      </c>
      <c r="AB883">
        <v>23</v>
      </c>
      <c r="AC883">
        <v>0.54879999999999995</v>
      </c>
      <c r="AD883">
        <v>-6.8037000000000097E-2</v>
      </c>
      <c r="AE883">
        <v>-9.3299999999999203E-2</v>
      </c>
      <c r="AF883">
        <v>9.6525787579532604E-2</v>
      </c>
      <c r="AG883">
        <v>-6.8037000000000097E-2</v>
      </c>
      <c r="AH883">
        <v>0.53992075625096003</v>
      </c>
      <c r="AI883">
        <v>97.071200915810607</v>
      </c>
      <c r="AJ883">
        <v>79.863875840314904</v>
      </c>
      <c r="AK883">
        <v>0.55268497724061305</v>
      </c>
      <c r="AL883">
        <v>89.808846709092194</v>
      </c>
      <c r="AM883">
        <v>82.952117025120003</v>
      </c>
      <c r="AN883">
        <v>0.99999996604444297</v>
      </c>
    </row>
    <row r="884" spans="1:40" x14ac:dyDescent="0.25">
      <c r="A884" t="str">
        <f>"20190312161241487"</f>
        <v>20190312161241487</v>
      </c>
      <c r="B884" t="str">
        <f>"1552378361476118"</f>
        <v>1552378361476118</v>
      </c>
      <c r="C884" t="s">
        <v>40</v>
      </c>
      <c r="D884">
        <v>5.4305919999999999</v>
      </c>
      <c r="E884">
        <v>0.49538009999999899</v>
      </c>
      <c r="F884" t="s">
        <v>42</v>
      </c>
      <c r="G884">
        <v>-215.1892</v>
      </c>
      <c r="H884" s="1">
        <v>-2.601622E-6</v>
      </c>
      <c r="I884">
        <v>366.48500000000001</v>
      </c>
      <c r="J884">
        <v>-230.80179999999999</v>
      </c>
      <c r="K884">
        <v>1.1099760000000001</v>
      </c>
      <c r="L884">
        <v>368.08019999999999</v>
      </c>
      <c r="M884">
        <v>0.99987320000000002</v>
      </c>
      <c r="N884">
        <v>0</v>
      </c>
      <c r="O884">
        <v>8.0645850000000009E-3</v>
      </c>
      <c r="P884">
        <v>0.9932877</v>
      </c>
      <c r="Q884">
        <v>-1.018291E-2</v>
      </c>
      <c r="R884">
        <v>-0.1152228</v>
      </c>
      <c r="S884">
        <v>2.983231</v>
      </c>
      <c r="T884">
        <v>-0.20911370000000001</v>
      </c>
      <c r="U884">
        <v>-0.30026249999999999</v>
      </c>
      <c r="V884">
        <v>0.1232328</v>
      </c>
      <c r="W884">
        <v>3.3591369999999999E-3</v>
      </c>
      <c r="X884">
        <v>0.99237209999999998</v>
      </c>
      <c r="Y884">
        <v>0.10788399999999999</v>
      </c>
      <c r="Z884">
        <v>-4.3303179999999997E-3</v>
      </c>
      <c r="AA884">
        <v>0.99415399999999998</v>
      </c>
      <c r="AB884">
        <v>23</v>
      </c>
      <c r="AC884">
        <v>15.612599999999899</v>
      </c>
      <c r="AD884">
        <v>-1.1099786016219999</v>
      </c>
      <c r="AE884">
        <v>-1.59519999999997</v>
      </c>
      <c r="AF884">
        <v>1.7125027002018101</v>
      </c>
      <c r="AG884">
        <v>-1.1099786016219999</v>
      </c>
      <c r="AH884">
        <v>15.5215829731181</v>
      </c>
      <c r="AI884">
        <v>94.065781872744395</v>
      </c>
      <c r="AJ884">
        <v>83.703997094933399</v>
      </c>
      <c r="AK884">
        <v>15.655167069873301</v>
      </c>
      <c r="AL884">
        <v>89.807535264333893</v>
      </c>
      <c r="AM884">
        <v>82.921246186227705</v>
      </c>
      <c r="AN884">
        <v>0.99999999582781696</v>
      </c>
    </row>
    <row r="885" spans="1:40" x14ac:dyDescent="0.25">
      <c r="A885" t="str">
        <f>"20190312161241503"</f>
        <v>20190312161241503</v>
      </c>
      <c r="B885" t="str">
        <f>"1552378361496614"</f>
        <v>1552378361496614</v>
      </c>
      <c r="C885" t="s">
        <v>40</v>
      </c>
      <c r="D885">
        <v>5.4193829999999998</v>
      </c>
      <c r="E885">
        <v>0.49540840000000003</v>
      </c>
      <c r="F885" t="s">
        <v>42</v>
      </c>
      <c r="G885">
        <v>-214.2663</v>
      </c>
      <c r="H885" s="1">
        <v>-3.0104469999999998E-6</v>
      </c>
      <c r="I885">
        <v>366.41210000000001</v>
      </c>
      <c r="J885">
        <v>-230.6551</v>
      </c>
      <c r="K885">
        <v>1.1099570000000001</v>
      </c>
      <c r="L885">
        <v>368.08109999999999</v>
      </c>
      <c r="M885">
        <v>0.99987570000000003</v>
      </c>
      <c r="N885">
        <v>0</v>
      </c>
      <c r="O885">
        <v>7.7398329999999998E-3</v>
      </c>
      <c r="P885">
        <v>0.99324170000000001</v>
      </c>
      <c r="Q885">
        <v>-1.0286E-2</v>
      </c>
      <c r="R885">
        <v>-0.11560960000000001</v>
      </c>
      <c r="S885">
        <v>2.9833069999999999</v>
      </c>
      <c r="T885">
        <v>-0.2002602</v>
      </c>
      <c r="U885">
        <v>-0.30096440000000002</v>
      </c>
      <c r="V885">
        <v>0.1232969</v>
      </c>
      <c r="W885">
        <v>3.2485109999999999E-3</v>
      </c>
      <c r="X885">
        <v>0.99236449999999998</v>
      </c>
      <c r="Y885">
        <v>0.1078143</v>
      </c>
      <c r="Z885">
        <v>-4.123186E-3</v>
      </c>
      <c r="AA885">
        <v>0.99416249999999995</v>
      </c>
      <c r="AB885">
        <v>23</v>
      </c>
      <c r="AC885">
        <v>16.3888</v>
      </c>
      <c r="AD885">
        <v>-1.10996001044699</v>
      </c>
      <c r="AE885">
        <v>-1.6689999999999801</v>
      </c>
      <c r="AF885">
        <v>1.7876927230678601</v>
      </c>
      <c r="AG885">
        <v>-1.10996001044699</v>
      </c>
      <c r="AH885">
        <v>16.301384514376601</v>
      </c>
      <c r="AI885">
        <v>93.872109855153695</v>
      </c>
      <c r="AJ885">
        <v>83.741661986005496</v>
      </c>
      <c r="AK885">
        <v>16.436635713626401</v>
      </c>
      <c r="AL885">
        <v>89.813873700704903</v>
      </c>
      <c r="AM885">
        <v>82.917547839536994</v>
      </c>
      <c r="AN885">
        <v>0.99999998961678804</v>
      </c>
    </row>
    <row r="886" spans="1:40" x14ac:dyDescent="0.25">
      <c r="A886" t="str">
        <f>"20190312161241533"</f>
        <v>20190312161241533</v>
      </c>
      <c r="B886" t="str">
        <f>"1552378361526870"</f>
        <v>1552378361526870</v>
      </c>
      <c r="C886" t="s">
        <v>40</v>
      </c>
      <c r="D886">
        <v>5.4548829999999997</v>
      </c>
      <c r="E886">
        <v>0.49537690000000001</v>
      </c>
      <c r="F886" t="s">
        <v>42</v>
      </c>
      <c r="G886">
        <v>-214.70410000000001</v>
      </c>
      <c r="H886" s="1">
        <v>-2.8133170000000001E-6</v>
      </c>
      <c r="I886">
        <v>366.46460000000002</v>
      </c>
      <c r="J886">
        <v>-230.33340000000001</v>
      </c>
      <c r="K886">
        <v>1.1099129999999999</v>
      </c>
      <c r="L886">
        <v>368.08260000000001</v>
      </c>
      <c r="M886">
        <v>0.99988149999999998</v>
      </c>
      <c r="N886">
        <v>0</v>
      </c>
      <c r="O886">
        <v>6.9610469999999997E-3</v>
      </c>
      <c r="P886">
        <v>0.99315379999999998</v>
      </c>
      <c r="Q886">
        <v>-1.0278509999999999E-2</v>
      </c>
      <c r="R886">
        <v>-0.1163624</v>
      </c>
      <c r="S886">
        <v>2.983063</v>
      </c>
      <c r="T886">
        <v>-0.20757809999999999</v>
      </c>
      <c r="U886">
        <v>-0.3023071</v>
      </c>
      <c r="V886">
        <v>0.1232767</v>
      </c>
      <c r="W886">
        <v>3.2384969999999999E-3</v>
      </c>
      <c r="X886">
        <v>0.992367</v>
      </c>
      <c r="Y886">
        <v>0.1074746</v>
      </c>
      <c r="Z886">
        <v>-4.2079750000000001E-3</v>
      </c>
      <c r="AA886">
        <v>0.9941989</v>
      </c>
      <c r="AB886">
        <v>23</v>
      </c>
      <c r="AC886">
        <v>15.629300000000001</v>
      </c>
      <c r="AD886">
        <v>-1.109915813317</v>
      </c>
      <c r="AE886">
        <v>-1.6179999999999899</v>
      </c>
      <c r="AF886">
        <v>1.71819412671814</v>
      </c>
      <c r="AG886">
        <v>-1.109915813317</v>
      </c>
      <c r="AH886">
        <v>15.5401172385367</v>
      </c>
      <c r="AI886">
        <v>94.060616389602501</v>
      </c>
      <c r="AJ886">
        <v>83.690714505526401</v>
      </c>
      <c r="AK886">
        <v>15.674161794405601</v>
      </c>
      <c r="AL886">
        <v>89.814447455879304</v>
      </c>
      <c r="AM886">
        <v>82.918714050470498</v>
      </c>
      <c r="AN886">
        <v>0.99999994765735301</v>
      </c>
    </row>
    <row r="887" spans="1:40" x14ac:dyDescent="0.25">
      <c r="A887" t="str">
        <f>"20190312161241546"</f>
        <v>20190312161241546</v>
      </c>
      <c r="B887" t="str">
        <f>"1552378361536630"</f>
        <v>1552378361536630</v>
      </c>
      <c r="C887" t="s">
        <v>40</v>
      </c>
      <c r="D887">
        <v>5.4247509999999997</v>
      </c>
      <c r="E887">
        <v>0.5158895</v>
      </c>
      <c r="F887" t="s">
        <v>43</v>
      </c>
      <c r="G887">
        <v>-229.43279999999999</v>
      </c>
      <c r="H887">
        <v>1.0467</v>
      </c>
      <c r="I887">
        <v>367.9907</v>
      </c>
      <c r="J887">
        <v>-230.17779999999999</v>
      </c>
      <c r="K887">
        <v>1.109888</v>
      </c>
      <c r="L887">
        <v>368.08330000000001</v>
      </c>
      <c r="M887">
        <v>0.99988440000000001</v>
      </c>
      <c r="N887">
        <v>0</v>
      </c>
      <c r="O887">
        <v>6.5504099999999996E-3</v>
      </c>
      <c r="P887">
        <v>0.99308260000000004</v>
      </c>
      <c r="Q887">
        <v>-1.055412E-2</v>
      </c>
      <c r="R887">
        <v>-0.1169444</v>
      </c>
      <c r="S887">
        <v>2.9828800000000002</v>
      </c>
      <c r="T887">
        <v>-0.2093709</v>
      </c>
      <c r="U887">
        <v>-0.30416870000000001</v>
      </c>
      <c r="V887">
        <v>0.1234505</v>
      </c>
      <c r="W887">
        <v>2.9523969999999998E-3</v>
      </c>
      <c r="X887">
        <v>0.99234630000000001</v>
      </c>
      <c r="Y887">
        <v>0.10768229999999999</v>
      </c>
      <c r="Z887">
        <v>-4.2228959999999899E-3</v>
      </c>
      <c r="AA887">
        <v>0.99417639999999996</v>
      </c>
      <c r="AB887">
        <v>23</v>
      </c>
      <c r="AC887">
        <v>0.74500000000000399</v>
      </c>
      <c r="AD887">
        <v>-6.3187999999999994E-2</v>
      </c>
      <c r="AE887">
        <v>-9.2600000000004401E-2</v>
      </c>
      <c r="AF887">
        <v>9.6792816213005298E-2</v>
      </c>
      <c r="AG887">
        <v>-6.3187999999999994E-2</v>
      </c>
      <c r="AH887">
        <v>0.73914107366345305</v>
      </c>
      <c r="AI887">
        <v>94.845077844854401</v>
      </c>
      <c r="AJ887">
        <v>82.539393272515795</v>
      </c>
      <c r="AK887">
        <v>0.74812505598382895</v>
      </c>
      <c r="AL887">
        <v>89.830839860079905</v>
      </c>
      <c r="AM887">
        <v>82.908685747234998</v>
      </c>
      <c r="AN887">
        <v>0.99999996086099197</v>
      </c>
    </row>
    <row r="888" spans="1:40" x14ac:dyDescent="0.25">
      <c r="A888" t="str">
        <f>"20190312161241565"</f>
        <v>20190312161241565</v>
      </c>
      <c r="B888" t="str">
        <f>"1552378361556150"</f>
        <v>1552378361556150</v>
      </c>
      <c r="C888" t="s">
        <v>40</v>
      </c>
      <c r="D888">
        <v>5.4775669999999996</v>
      </c>
      <c r="E888">
        <v>0.52413920000000003</v>
      </c>
      <c r="F888" t="s">
        <v>43</v>
      </c>
      <c r="G888">
        <v>-229.47909999999999</v>
      </c>
      <c r="H888">
        <v>0.95598879999999997</v>
      </c>
      <c r="I888">
        <v>367.97770000000003</v>
      </c>
      <c r="J888">
        <v>-229.99080000000001</v>
      </c>
      <c r="K888">
        <v>1.1098589999999999</v>
      </c>
      <c r="L888">
        <v>368.08390000000003</v>
      </c>
      <c r="M888">
        <v>0.99988770000000005</v>
      </c>
      <c r="N888">
        <v>0</v>
      </c>
      <c r="O888">
        <v>6.0248039999999999E-3</v>
      </c>
      <c r="P888">
        <v>0.9929694</v>
      </c>
      <c r="Q888">
        <v>-1.096831E-2</v>
      </c>
      <c r="R888">
        <v>-0.117863</v>
      </c>
      <c r="S888">
        <v>2.9612579999999999</v>
      </c>
      <c r="T888">
        <v>-0.65217190000000003</v>
      </c>
      <c r="U888">
        <v>-0.44750980000000001</v>
      </c>
      <c r="V888">
        <v>0.12384680000000001</v>
      </c>
      <c r="W888">
        <v>2.524199E-3</v>
      </c>
      <c r="X888">
        <v>0.99229809999999996</v>
      </c>
      <c r="Y888">
        <v>0.15168309999999999</v>
      </c>
      <c r="Z888">
        <v>-1.7719490000000001E-2</v>
      </c>
      <c r="AA888">
        <v>0.98827030000000005</v>
      </c>
      <c r="AB888">
        <v>23</v>
      </c>
      <c r="AC888">
        <v>0.51170000000001803</v>
      </c>
      <c r="AD888">
        <v>-0.15387019999999901</v>
      </c>
      <c r="AE888">
        <v>-0.106200000000001</v>
      </c>
      <c r="AF888">
        <v>0.10056352409196501</v>
      </c>
      <c r="AG888">
        <v>-0.15387019999999901</v>
      </c>
      <c r="AH888">
        <v>0.47028258676804902</v>
      </c>
      <c r="AI888">
        <v>107.74224725276299</v>
      </c>
      <c r="AJ888">
        <v>77.929860093702501</v>
      </c>
      <c r="AK888">
        <v>0.50493046277985898</v>
      </c>
      <c r="AL888">
        <v>89.855373891332306</v>
      </c>
      <c r="AM888">
        <v>82.885812114299895</v>
      </c>
      <c r="AN888">
        <v>0.99999996035722005</v>
      </c>
    </row>
    <row r="889" spans="1:40" x14ac:dyDescent="0.25">
      <c r="A889" t="str">
        <f>"20190312161241579"</f>
        <v>20190312161241579</v>
      </c>
      <c r="B889" t="str">
        <f>"1552378361566418"</f>
        <v>1552378361566418</v>
      </c>
      <c r="C889" t="s">
        <v>40</v>
      </c>
      <c r="D889">
        <v>5.3972360000000004</v>
      </c>
      <c r="E889">
        <v>0.52542</v>
      </c>
      <c r="F889" t="s">
        <v>43</v>
      </c>
      <c r="G889">
        <v>-229.2841</v>
      </c>
      <c r="H889">
        <v>0.92918849999999997</v>
      </c>
      <c r="I889">
        <v>367.9615</v>
      </c>
      <c r="J889">
        <v>-229.8509</v>
      </c>
      <c r="K889">
        <v>1.109837</v>
      </c>
      <c r="L889">
        <v>368.08429999999998</v>
      </c>
      <c r="M889">
        <v>0.9998901</v>
      </c>
      <c r="N889">
        <v>0</v>
      </c>
      <c r="O889">
        <v>5.60817E-3</v>
      </c>
      <c r="P889">
        <v>0.99289669999999997</v>
      </c>
      <c r="Q889">
        <v>-1.0980739999999999E-2</v>
      </c>
      <c r="R889">
        <v>-0.1184719</v>
      </c>
      <c r="S889">
        <v>2.9523160000000002</v>
      </c>
      <c r="T889">
        <v>-0.75481129999999996</v>
      </c>
      <c r="U889">
        <v>-0.51025390000000004</v>
      </c>
      <c r="V889">
        <v>0.124041899999999</v>
      </c>
      <c r="W889">
        <v>2.4989259999999998E-3</v>
      </c>
      <c r="X889">
        <v>0.99227390000000004</v>
      </c>
      <c r="Y889">
        <v>0.17033199999999901</v>
      </c>
      <c r="Z889">
        <v>-2.2680570000000001E-2</v>
      </c>
      <c r="AA889">
        <v>0.98512569999999999</v>
      </c>
      <c r="AB889">
        <v>23</v>
      </c>
      <c r="AC889">
        <v>0.56679999999999997</v>
      </c>
      <c r="AD889">
        <v>-0.18064849999999999</v>
      </c>
      <c r="AE889">
        <v>-0.12279999999998301</v>
      </c>
      <c r="AF889">
        <v>0.114835103604208</v>
      </c>
      <c r="AG889">
        <v>-0.18064849999999999</v>
      </c>
      <c r="AH889">
        <v>0.51603371977542201</v>
      </c>
      <c r="AI889">
        <v>108.865929284044</v>
      </c>
      <c r="AJ889">
        <v>77.454164598046006</v>
      </c>
      <c r="AK889">
        <v>0.55866965329906604</v>
      </c>
      <c r="AL889">
        <v>89.856821947189999</v>
      </c>
      <c r="AM889">
        <v>82.874548011091207</v>
      </c>
      <c r="AN889">
        <v>1.00000006510398</v>
      </c>
    </row>
    <row r="890" spans="1:40" x14ac:dyDescent="0.25">
      <c r="A890" t="str">
        <f>"20190312161241593"</f>
        <v>20190312161241593</v>
      </c>
      <c r="B890" t="str">
        <f>"1552378361586913"</f>
        <v>1552378361586913</v>
      </c>
      <c r="C890" t="s">
        <v>40</v>
      </c>
      <c r="D890">
        <v>5.4604889999999999</v>
      </c>
      <c r="E890">
        <v>0.52647369999999905</v>
      </c>
      <c r="F890" t="s">
        <v>43</v>
      </c>
      <c r="G890">
        <v>-229.08529999999999</v>
      </c>
      <c r="H890">
        <v>0.91008999999999995</v>
      </c>
      <c r="I890">
        <v>367.94889999999998</v>
      </c>
      <c r="J890">
        <v>-229.6977</v>
      </c>
      <c r="K890">
        <v>1.1098140000000001</v>
      </c>
      <c r="L890">
        <v>368.08460000000002</v>
      </c>
      <c r="M890">
        <v>0.99989289999999997</v>
      </c>
      <c r="N890">
        <v>0</v>
      </c>
      <c r="O890">
        <v>5.1337090000000002E-3</v>
      </c>
      <c r="P890">
        <v>0.9928169</v>
      </c>
      <c r="Q890">
        <v>-1.091982E-2</v>
      </c>
      <c r="R890">
        <v>-0.1191468</v>
      </c>
      <c r="S890">
        <v>2.9507599999999998</v>
      </c>
      <c r="T890">
        <v>-0.76989259999999904</v>
      </c>
      <c r="U890">
        <v>-0.52130129999999997</v>
      </c>
      <c r="V890">
        <v>0.12424549999999999</v>
      </c>
      <c r="W890">
        <v>2.5442260000000001E-3</v>
      </c>
      <c r="X890">
        <v>0.99224820000000002</v>
      </c>
      <c r="Y890">
        <v>0.17323160000000001</v>
      </c>
      <c r="Z890">
        <v>-2.3372520000000001E-2</v>
      </c>
      <c r="AA890">
        <v>0.98460380000000003</v>
      </c>
      <c r="AB890">
        <v>23</v>
      </c>
      <c r="AC890">
        <v>0.61240000000000705</v>
      </c>
      <c r="AD890">
        <v>-0.19972399999999901</v>
      </c>
      <c r="AE890">
        <v>-0.13570000000004201</v>
      </c>
      <c r="AF890">
        <v>0.12606165335684999</v>
      </c>
      <c r="AG890">
        <v>-0.19972399999999901</v>
      </c>
      <c r="AH890">
        <v>0.55538737513939096</v>
      </c>
      <c r="AI890">
        <v>109.32534676866899</v>
      </c>
      <c r="AJ890">
        <v>77.2117001846145</v>
      </c>
      <c r="AK890">
        <v>0.603519969087424</v>
      </c>
      <c r="AL890">
        <v>89.854226424081602</v>
      </c>
      <c r="AM890">
        <v>82.862789992074397</v>
      </c>
      <c r="AN890">
        <v>0.99999995387971297</v>
      </c>
    </row>
    <row r="891" spans="1:40" x14ac:dyDescent="0.25">
      <c r="A891" t="str">
        <f>"20190312161241610"</f>
        <v>20190312161241610</v>
      </c>
      <c r="B891" t="str">
        <f>"1552378361606433"</f>
        <v>1552378361606433</v>
      </c>
      <c r="C891" t="s">
        <v>40</v>
      </c>
      <c r="D891">
        <v>5.4867589999999904</v>
      </c>
      <c r="E891">
        <v>0.52789399999999997</v>
      </c>
      <c r="F891" t="s">
        <v>43</v>
      </c>
      <c r="G891">
        <v>-228.88749999999999</v>
      </c>
      <c r="H891">
        <v>0.88818539999999901</v>
      </c>
      <c r="I891">
        <v>367.93880000000001</v>
      </c>
      <c r="J891">
        <v>-229.5264</v>
      </c>
      <c r="K891">
        <v>1.1097859999999999</v>
      </c>
      <c r="L891">
        <v>368.0849</v>
      </c>
      <c r="M891">
        <v>0.9998958</v>
      </c>
      <c r="N891">
        <v>0</v>
      </c>
      <c r="O891">
        <v>4.5777580000000003E-3</v>
      </c>
      <c r="P891">
        <v>0.99265409999999998</v>
      </c>
      <c r="Q891">
        <v>-1.067389E-2</v>
      </c>
      <c r="R891">
        <v>-0.1205167</v>
      </c>
      <c r="S891">
        <v>2.949249</v>
      </c>
      <c r="T891">
        <v>-0.80677580000000004</v>
      </c>
      <c r="U891">
        <v>-0.52984619999999905</v>
      </c>
      <c r="V891">
        <v>0.12506329999999999</v>
      </c>
      <c r="W891">
        <v>2.768815E-3</v>
      </c>
      <c r="X891">
        <v>0.9921449</v>
      </c>
      <c r="Y891">
        <v>0.1749339</v>
      </c>
      <c r="Z891">
        <v>-2.453897E-2</v>
      </c>
      <c r="AA891">
        <v>0.98427430000000005</v>
      </c>
      <c r="AB891">
        <v>23</v>
      </c>
      <c r="AC891">
        <v>0.63890000000000602</v>
      </c>
      <c r="AD891">
        <v>-0.22160060000000001</v>
      </c>
      <c r="AE891">
        <v>-0.14609999999998899</v>
      </c>
      <c r="AF891">
        <v>0.13373434189273101</v>
      </c>
      <c r="AG891">
        <v>-0.22160060000000001</v>
      </c>
      <c r="AH891">
        <v>0.572745506470689</v>
      </c>
      <c r="AI891">
        <v>110.645136523632</v>
      </c>
      <c r="AJ891">
        <v>76.857086275967106</v>
      </c>
      <c r="AK891">
        <v>0.62851341696435403</v>
      </c>
      <c r="AL891">
        <v>89.841358383383593</v>
      </c>
      <c r="AM891">
        <v>82.815561018116995</v>
      </c>
      <c r="AN891">
        <v>0.99999999896970204</v>
      </c>
    </row>
    <row r="892" spans="1:40" x14ac:dyDescent="0.25">
      <c r="A892" t="str">
        <f>"20190312161241624"</f>
        <v>20190312161241624</v>
      </c>
      <c r="B892" t="str">
        <f>"1552378361616194"</f>
        <v>1552378361616194</v>
      </c>
      <c r="C892" t="s">
        <v>40</v>
      </c>
      <c r="D892">
        <v>5.4707780000000001</v>
      </c>
      <c r="E892">
        <v>0.52744349999999995</v>
      </c>
      <c r="F892" t="s">
        <v>43</v>
      </c>
      <c r="G892">
        <v>-228.68790000000001</v>
      </c>
      <c r="H892">
        <v>0.8715619</v>
      </c>
      <c r="I892">
        <v>367.92989999999998</v>
      </c>
      <c r="J892">
        <v>-229.37739999999999</v>
      </c>
      <c r="K892">
        <v>1.1097669999999999</v>
      </c>
      <c r="L892">
        <v>368.08499999999998</v>
      </c>
      <c r="M892">
        <v>0.99989799999999995</v>
      </c>
      <c r="N892">
        <v>0</v>
      </c>
      <c r="O892">
        <v>4.0717069999999999E-3</v>
      </c>
      <c r="P892">
        <v>0.99255110000000002</v>
      </c>
      <c r="Q892">
        <v>-1.07852E-2</v>
      </c>
      <c r="R892">
        <v>-0.1213509</v>
      </c>
      <c r="S892">
        <v>2.9471440000000002</v>
      </c>
      <c r="T892">
        <v>-0.83725640000000001</v>
      </c>
      <c r="U892">
        <v>-0.54400630000000005</v>
      </c>
      <c r="V892">
        <v>0.12539520000000001</v>
      </c>
      <c r="W892">
        <v>2.6400690000000001E-3</v>
      </c>
      <c r="X892">
        <v>0.99210330000000002</v>
      </c>
      <c r="Y892">
        <v>0.17853069999999999</v>
      </c>
      <c r="Z892">
        <v>-2.5796280000000001E-2</v>
      </c>
      <c r="AA892">
        <v>0.98359609999999997</v>
      </c>
      <c r="AB892">
        <v>23</v>
      </c>
      <c r="AC892">
        <v>0.68949999999998102</v>
      </c>
      <c r="AD892">
        <v>-0.238205099999999</v>
      </c>
      <c r="AE892">
        <v>-0.15510000000000401</v>
      </c>
      <c r="AF892">
        <v>0.14179756238305699</v>
      </c>
      <c r="AG892">
        <v>-0.238205099999999</v>
      </c>
      <c r="AH892">
        <v>0.61858822803816804</v>
      </c>
      <c r="AI892">
        <v>110.573302198427</v>
      </c>
      <c r="AJ892">
        <v>77.089268412786595</v>
      </c>
      <c r="AK892">
        <v>0.67786400865600405</v>
      </c>
      <c r="AL892">
        <v>89.848735004185698</v>
      </c>
      <c r="AM892">
        <v>82.796395694491395</v>
      </c>
      <c r="AN892">
        <v>0.99999994200912501</v>
      </c>
    </row>
    <row r="893" spans="1:40" x14ac:dyDescent="0.25">
      <c r="A893" t="str">
        <f>"20190312161241647"</f>
        <v>20190312161241647</v>
      </c>
      <c r="B893" t="str">
        <f>"1552378361636689"</f>
        <v>1552378361636689</v>
      </c>
      <c r="C893" t="s">
        <v>40</v>
      </c>
      <c r="D893">
        <v>5.410768</v>
      </c>
      <c r="E893">
        <v>0.52651130000000002</v>
      </c>
      <c r="F893" t="s">
        <v>43</v>
      </c>
      <c r="G893">
        <v>-228.6737</v>
      </c>
      <c r="H893">
        <v>0.90796829999999995</v>
      </c>
      <c r="I893">
        <v>367.95530000000002</v>
      </c>
      <c r="J893">
        <v>-229.14930000000001</v>
      </c>
      <c r="K893">
        <v>1.1097379999999999</v>
      </c>
      <c r="L893">
        <v>368.08510000000001</v>
      </c>
      <c r="M893">
        <v>0.99990120000000005</v>
      </c>
      <c r="N893">
        <v>0</v>
      </c>
      <c r="O893">
        <v>3.2685119999999999E-3</v>
      </c>
      <c r="P893">
        <v>0.99232909999999996</v>
      </c>
      <c r="Q893">
        <v>-1.1192219999999999E-2</v>
      </c>
      <c r="R893">
        <v>-0.12311950000000001</v>
      </c>
      <c r="S893">
        <v>2.9470209999999999</v>
      </c>
      <c r="T893">
        <v>-0.84510549999999995</v>
      </c>
      <c r="U893">
        <v>-0.54226680000000005</v>
      </c>
      <c r="V893">
        <v>0.12636549999999999</v>
      </c>
      <c r="W893">
        <v>2.2075789999999999E-3</v>
      </c>
      <c r="X893">
        <v>0.99198129999999995</v>
      </c>
      <c r="Y893">
        <v>0.17714199999999999</v>
      </c>
      <c r="Z893">
        <v>-2.561362E-2</v>
      </c>
      <c r="AA893">
        <v>0.98385199999999995</v>
      </c>
      <c r="AB893">
        <v>23</v>
      </c>
      <c r="AC893">
        <v>0.47560000000001401</v>
      </c>
      <c r="AD893">
        <v>-0.201769699999999</v>
      </c>
      <c r="AE893">
        <v>-0.12979999999998801</v>
      </c>
      <c r="AF893">
        <v>0.112508249281583</v>
      </c>
      <c r="AG893">
        <v>-0.201769699999999</v>
      </c>
      <c r="AH893">
        <v>0.40699878898372499</v>
      </c>
      <c r="AI893">
        <v>115.539840096276</v>
      </c>
      <c r="AJ893">
        <v>74.547398352116204</v>
      </c>
      <c r="AK893">
        <v>0.467992662579997</v>
      </c>
      <c r="AL893">
        <v>89.873514938415994</v>
      </c>
      <c r="AM893">
        <v>82.740363742766903</v>
      </c>
      <c r="AN893">
        <v>1.0000000062724901</v>
      </c>
    </row>
    <row r="894" spans="1:40" x14ac:dyDescent="0.25">
      <c r="A894" t="str">
        <f>"20190312161241667"</f>
        <v>20190312161241667</v>
      </c>
      <c r="B894" t="str">
        <f>"1552378361656209"</f>
        <v>1552378361656209</v>
      </c>
      <c r="C894" t="s">
        <v>40</v>
      </c>
      <c r="D894">
        <v>5.5223300000000002</v>
      </c>
      <c r="E894">
        <v>0.52516269999999998</v>
      </c>
      <c r="F894" t="s">
        <v>43</v>
      </c>
      <c r="G894">
        <v>-228.4639</v>
      </c>
      <c r="H894">
        <v>0.9174002</v>
      </c>
      <c r="I894">
        <v>367.95920000000001</v>
      </c>
      <c r="J894">
        <v>-228.94659999999999</v>
      </c>
      <c r="K894">
        <v>1.1097090000000001</v>
      </c>
      <c r="L894">
        <v>368.08479999999997</v>
      </c>
      <c r="M894">
        <v>0.9999034</v>
      </c>
      <c r="N894">
        <v>0</v>
      </c>
      <c r="O894">
        <v>2.5217289999999999E-3</v>
      </c>
      <c r="P894">
        <v>0.99206649999999996</v>
      </c>
      <c r="Q894">
        <v>-1.163864E-2</v>
      </c>
      <c r="R894">
        <v>-0.12517400000000001</v>
      </c>
      <c r="S894">
        <v>2.9468230000000002</v>
      </c>
      <c r="T894">
        <v>-0.82683869999999904</v>
      </c>
      <c r="U894">
        <v>-0.54043580000000002</v>
      </c>
      <c r="V894">
        <v>0.12767800000000001</v>
      </c>
      <c r="W894">
        <v>1.7398029999999901E-3</v>
      </c>
      <c r="X894">
        <v>0.99181410000000003</v>
      </c>
      <c r="Y894">
        <v>0.17618589999999901</v>
      </c>
      <c r="Z894">
        <v>-2.4748650000000001E-2</v>
      </c>
      <c r="AA894">
        <v>0.98404570000000002</v>
      </c>
      <c r="AB894">
        <v>23</v>
      </c>
      <c r="AC894">
        <v>0.48269999999999402</v>
      </c>
      <c r="AD894">
        <v>-0.1923088</v>
      </c>
      <c r="AE894">
        <v>-0.12559999999996299</v>
      </c>
      <c r="AF894">
        <v>0.11040431987896999</v>
      </c>
      <c r="AG894">
        <v>-0.1923088</v>
      </c>
      <c r="AH894">
        <v>0.41995193056950197</v>
      </c>
      <c r="AI894">
        <v>113.8876570634</v>
      </c>
      <c r="AJ894">
        <v>75.270390366476093</v>
      </c>
      <c r="AK894">
        <v>0.47490147651321302</v>
      </c>
      <c r="AL894">
        <v>89.900316576019307</v>
      </c>
      <c r="AM894">
        <v>82.664555156408198</v>
      </c>
      <c r="AN894">
        <v>0.99999995377864304</v>
      </c>
    </row>
    <row r="895" spans="1:40" x14ac:dyDescent="0.25">
      <c r="A895" t="str">
        <f>"20190312161241689"</f>
        <v>20190312161241689</v>
      </c>
      <c r="B895" t="str">
        <f>"1552378361676236"</f>
        <v>1552378361676236</v>
      </c>
      <c r="C895" t="s">
        <v>40</v>
      </c>
      <c r="D895">
        <v>5.4372490000000004</v>
      </c>
      <c r="E895">
        <v>0.5240802</v>
      </c>
      <c r="F895" t="s">
        <v>43</v>
      </c>
      <c r="G895">
        <v>-228.25569999999999</v>
      </c>
      <c r="H895">
        <v>0.92248010000000003</v>
      </c>
      <c r="I895">
        <v>367.9588</v>
      </c>
      <c r="J895">
        <v>-228.7174</v>
      </c>
      <c r="K895">
        <v>1.1096900000000001</v>
      </c>
      <c r="L895">
        <v>368.08440000000002</v>
      </c>
      <c r="M895">
        <v>0.99990559999999995</v>
      </c>
      <c r="N895">
        <v>0</v>
      </c>
      <c r="O895">
        <v>1.641967E-3</v>
      </c>
      <c r="P895">
        <v>0.99185089999999998</v>
      </c>
      <c r="Q895">
        <v>-1.1591809999999999E-2</v>
      </c>
      <c r="R895">
        <v>-0.1268773</v>
      </c>
      <c r="S895">
        <v>2.9468540000000001</v>
      </c>
      <c r="T895">
        <v>-0.79854459999999905</v>
      </c>
      <c r="U895">
        <v>-0.53686519999999904</v>
      </c>
      <c r="V895">
        <v>0.1285085</v>
      </c>
      <c r="W895">
        <v>1.7598309999999999E-3</v>
      </c>
      <c r="X895">
        <v>0.9917068</v>
      </c>
      <c r="Y895">
        <v>0.1746886</v>
      </c>
      <c r="Z895">
        <v>-2.3503130000000001E-2</v>
      </c>
      <c r="AA895">
        <v>0.98434319999999997</v>
      </c>
      <c r="AB895">
        <v>23</v>
      </c>
      <c r="AC895">
        <v>0.46170000000000699</v>
      </c>
      <c r="AD895">
        <v>-0.18720990000000001</v>
      </c>
      <c r="AE895">
        <v>-0.125600000000019</v>
      </c>
      <c r="AF895">
        <v>0.109582584589759</v>
      </c>
      <c r="AG895">
        <v>-0.18720990000000001</v>
      </c>
      <c r="AH895">
        <v>0.40022484296813099</v>
      </c>
      <c r="AI895">
        <v>114.282816270566</v>
      </c>
      <c r="AJ895">
        <v>74.6875530746279</v>
      </c>
      <c r="AK895">
        <v>0.45523160526510698</v>
      </c>
      <c r="AL895">
        <v>89.899169054397206</v>
      </c>
      <c r="AM895">
        <v>82.6165754300971</v>
      </c>
      <c r="AN895">
        <v>0.99999995437181799</v>
      </c>
    </row>
    <row r="896" spans="1:40" x14ac:dyDescent="0.25">
      <c r="A896" t="str">
        <f>"20190312161241711"</f>
        <v>20190312161241711</v>
      </c>
      <c r="B896" t="str">
        <f>"1552378361706492"</f>
        <v>1552378361706492</v>
      </c>
      <c r="C896" t="s">
        <v>40</v>
      </c>
      <c r="D896">
        <v>5.4409330000000002</v>
      </c>
      <c r="E896">
        <v>0.52318699999999996</v>
      </c>
      <c r="F896" t="s">
        <v>43</v>
      </c>
      <c r="G896">
        <v>-227.86009999999999</v>
      </c>
      <c r="H896">
        <v>0.88320889999999996</v>
      </c>
      <c r="I896">
        <v>367.92899999999997</v>
      </c>
      <c r="J896">
        <v>-228.4922</v>
      </c>
      <c r="K896">
        <v>1.109667</v>
      </c>
      <c r="L896">
        <v>368.08370000000002</v>
      </c>
      <c r="M896">
        <v>0.99990710000000005</v>
      </c>
      <c r="N896">
        <v>0</v>
      </c>
      <c r="O896">
        <v>7.4588039999999903E-4</v>
      </c>
      <c r="P896">
        <v>0.99159580000000003</v>
      </c>
      <c r="Q896">
        <v>-1.134105E-2</v>
      </c>
      <c r="R896">
        <v>-0.1288792</v>
      </c>
      <c r="S896">
        <v>2.9472049999999999</v>
      </c>
      <c r="T896">
        <v>-0.77853559999999999</v>
      </c>
      <c r="U896">
        <v>-0.53427119999999995</v>
      </c>
      <c r="V896">
        <v>0.12962169999999901</v>
      </c>
      <c r="W896">
        <v>1.9791750000000001E-3</v>
      </c>
      <c r="X896">
        <v>0.99156149999999998</v>
      </c>
      <c r="Y896">
        <v>0.17332320000000001</v>
      </c>
      <c r="Z896">
        <v>-2.2525719999999999E-2</v>
      </c>
      <c r="AA896">
        <v>0.98460729999999996</v>
      </c>
      <c r="AB896">
        <v>23</v>
      </c>
      <c r="AC896">
        <v>0.63210000000000799</v>
      </c>
      <c r="AD896">
        <v>-0.2264581</v>
      </c>
      <c r="AE896">
        <v>-0.15469999999999101</v>
      </c>
      <c r="AF896">
        <v>0.13841015242017099</v>
      </c>
      <c r="AG896">
        <v>-0.2264581</v>
      </c>
      <c r="AH896">
        <v>0.56371870276763003</v>
      </c>
      <c r="AI896">
        <v>111.312458814782</v>
      </c>
      <c r="AJ896">
        <v>76.205026917830907</v>
      </c>
      <c r="AK896">
        <v>0.62307256174430004</v>
      </c>
      <c r="AL896">
        <v>89.8866015464762</v>
      </c>
      <c r="AM896">
        <v>82.552252634384899</v>
      </c>
      <c r="AN896">
        <v>0.99999995526340901</v>
      </c>
    </row>
    <row r="897" spans="1:40" x14ac:dyDescent="0.25">
      <c r="A897" t="str">
        <f>"20190312161241724"</f>
        <v>20190312161241724</v>
      </c>
      <c r="B897" t="str">
        <f>"1552378361716252"</f>
        <v>1552378361716252</v>
      </c>
      <c r="C897" t="s">
        <v>40</v>
      </c>
      <c r="D897">
        <v>5.4543109999999997</v>
      </c>
      <c r="E897">
        <v>0.52317639999999999</v>
      </c>
      <c r="F897" t="s">
        <v>43</v>
      </c>
      <c r="G897">
        <v>-227.65100000000001</v>
      </c>
      <c r="H897">
        <v>0.89278769999999996</v>
      </c>
      <c r="I897">
        <v>367.93099999999998</v>
      </c>
      <c r="J897">
        <v>-228.35300000000001</v>
      </c>
      <c r="K897">
        <v>1.1096569999999999</v>
      </c>
      <c r="L897">
        <v>368.08319999999998</v>
      </c>
      <c r="M897">
        <v>0.99990749999999995</v>
      </c>
      <c r="N897">
        <v>0</v>
      </c>
      <c r="O897">
        <v>1.81392E-4</v>
      </c>
      <c r="P897">
        <v>0.99148150000000002</v>
      </c>
      <c r="Q897">
        <v>-1.147776E-2</v>
      </c>
      <c r="R897">
        <v>-0.1297421</v>
      </c>
      <c r="S897">
        <v>2.947327</v>
      </c>
      <c r="T897">
        <v>-0.75980570000000003</v>
      </c>
      <c r="U897">
        <v>-0.53405760000000002</v>
      </c>
      <c r="V897">
        <v>0.12992480000000001</v>
      </c>
      <c r="W897">
        <v>1.82468E-3</v>
      </c>
      <c r="X897">
        <v>0.99152220000000002</v>
      </c>
      <c r="Y897">
        <v>0.17299110000000001</v>
      </c>
      <c r="Z897">
        <v>-2.1816149999999999E-2</v>
      </c>
      <c r="AA897">
        <v>0.98468169999999999</v>
      </c>
      <c r="AB897">
        <v>23</v>
      </c>
      <c r="AC897">
        <v>0.70199999999999796</v>
      </c>
      <c r="AD897">
        <v>-0.21686929999999899</v>
      </c>
      <c r="AE897">
        <v>-0.15219999999999301</v>
      </c>
      <c r="AF897">
        <v>0.13960214217261599</v>
      </c>
      <c r="AG897">
        <v>-0.21686929999999899</v>
      </c>
      <c r="AH897">
        <v>0.64333062971648203</v>
      </c>
      <c r="AI897">
        <v>108.233786003068</v>
      </c>
      <c r="AJ897">
        <v>77.756687775317801</v>
      </c>
      <c r="AK897">
        <v>0.69310558395750799</v>
      </c>
      <c r="AL897">
        <v>89.895453481962093</v>
      </c>
      <c r="AM897">
        <v>82.534740893240993</v>
      </c>
      <c r="AN897">
        <v>1.0000000281024899</v>
      </c>
    </row>
    <row r="898" spans="1:40" x14ac:dyDescent="0.25">
      <c r="A898" t="str">
        <f>"20190312161241736"</f>
        <v>20190312161241736</v>
      </c>
      <c r="B898" t="str">
        <f>"1552378361726987"</f>
        <v>1552378361726987</v>
      </c>
      <c r="C898" t="s">
        <v>40</v>
      </c>
      <c r="D898">
        <v>6.3295579999999996</v>
      </c>
      <c r="E898">
        <v>0.52278829999999998</v>
      </c>
      <c r="F898" t="s">
        <v>43</v>
      </c>
      <c r="G898">
        <v>-227.63829999999999</v>
      </c>
      <c r="H898">
        <v>0.92459769999999997</v>
      </c>
      <c r="I898">
        <v>367.9529</v>
      </c>
      <c r="J898">
        <v>-228.22479999999999</v>
      </c>
      <c r="K898">
        <v>1.1096469999999901</v>
      </c>
      <c r="L898">
        <v>368.08260000000001</v>
      </c>
      <c r="M898">
        <v>0.99990760000000001</v>
      </c>
      <c r="N898">
        <v>0</v>
      </c>
      <c r="O898">
        <v>-3.449158E-4</v>
      </c>
      <c r="P898">
        <v>0.9913343</v>
      </c>
      <c r="Q898">
        <v>-1.170737E-2</v>
      </c>
      <c r="R898">
        <v>-0.1308407</v>
      </c>
      <c r="S898">
        <v>2.9468230000000002</v>
      </c>
      <c r="T898">
        <v>-0.76303120000000002</v>
      </c>
      <c r="U898">
        <v>-0.53598020000000002</v>
      </c>
      <c r="V898">
        <v>0.13050139999999999</v>
      </c>
      <c r="W898">
        <v>1.577679E-3</v>
      </c>
      <c r="X898">
        <v>0.99144690000000002</v>
      </c>
      <c r="Y898">
        <v>0.17309140000000001</v>
      </c>
      <c r="Z898">
        <v>-2.1787879999999999E-2</v>
      </c>
      <c r="AA898">
        <v>0.98466469999999995</v>
      </c>
      <c r="AB898">
        <v>23</v>
      </c>
      <c r="AC898">
        <v>0.58650000000000002</v>
      </c>
      <c r="AD898">
        <v>-0.1850493</v>
      </c>
      <c r="AE898">
        <v>-0.129700000000013</v>
      </c>
      <c r="AF898">
        <v>0.118272651444415</v>
      </c>
      <c r="AG898">
        <v>-0.1850493</v>
      </c>
      <c r="AH898">
        <v>0.53570223937150097</v>
      </c>
      <c r="AI898">
        <v>108.639765603455</v>
      </c>
      <c r="AJ898">
        <v>77.5499292006741</v>
      </c>
      <c r="AK898">
        <v>0.57897197926827504</v>
      </c>
      <c r="AL898">
        <v>89.909605617085305</v>
      </c>
      <c r="AM898">
        <v>82.501423584887306</v>
      </c>
      <c r="AN898">
        <v>1.0000000299962899</v>
      </c>
    </row>
    <row r="899" spans="1:40" x14ac:dyDescent="0.25">
      <c r="A899" t="str">
        <f>"20190312161241750"</f>
        <v>20190312161241750</v>
      </c>
      <c r="B899" t="str">
        <f>"1552378361746508"</f>
        <v>1552378361746508</v>
      </c>
      <c r="C899" t="s">
        <v>40</v>
      </c>
      <c r="D899">
        <v>5.5366799999999996</v>
      </c>
      <c r="E899">
        <v>0.52269069999999995</v>
      </c>
      <c r="F899" t="s">
        <v>43</v>
      </c>
      <c r="G899">
        <v>-227.44</v>
      </c>
      <c r="H899">
        <v>0.90803599999999995</v>
      </c>
      <c r="I899">
        <v>367.93959999999998</v>
      </c>
      <c r="J899">
        <v>-228.08760000000001</v>
      </c>
      <c r="K899">
        <v>1.1096379999999999</v>
      </c>
      <c r="L899">
        <v>368.08199999999999</v>
      </c>
      <c r="M899">
        <v>0.9999074</v>
      </c>
      <c r="N899">
        <v>0</v>
      </c>
      <c r="O899">
        <v>-9.1304739999999998E-4</v>
      </c>
      <c r="P899">
        <v>0.99115180000000003</v>
      </c>
      <c r="Q899">
        <v>-1.201906E-2</v>
      </c>
      <c r="R899">
        <v>-0.13218859999999999</v>
      </c>
      <c r="S899">
        <v>2.9464869999999999</v>
      </c>
      <c r="T899">
        <v>-0.75694759999999905</v>
      </c>
      <c r="U899">
        <v>-0.53631589999999996</v>
      </c>
      <c r="V899">
        <v>0.13128570000000001</v>
      </c>
      <c r="W899">
        <v>1.2458E-3</v>
      </c>
      <c r="X899">
        <v>0.9913438</v>
      </c>
      <c r="Y899">
        <v>0.17277390000000001</v>
      </c>
      <c r="Z899">
        <v>-2.1439329999999999E-2</v>
      </c>
      <c r="AA899">
        <v>0.98472820000000005</v>
      </c>
      <c r="AB899">
        <v>23</v>
      </c>
      <c r="AC899">
        <v>0.64760000000001094</v>
      </c>
      <c r="AD899">
        <v>-0.201601999999999</v>
      </c>
      <c r="AE899">
        <v>-0.14240000000000899</v>
      </c>
      <c r="AF899">
        <v>0.129808812913388</v>
      </c>
      <c r="AG899">
        <v>-0.201601999999999</v>
      </c>
      <c r="AH899">
        <v>0.59291914051035099</v>
      </c>
      <c r="AI899">
        <v>108.373857599445</v>
      </c>
      <c r="AJ899">
        <v>77.650976256137696</v>
      </c>
      <c r="AK899">
        <v>0.63956766764550899</v>
      </c>
      <c r="AL899">
        <v>89.928620900019993</v>
      </c>
      <c r="AM899">
        <v>82.456099864588396</v>
      </c>
      <c r="AN899">
        <v>1.00000000842028</v>
      </c>
    </row>
    <row r="900" spans="1:40" x14ac:dyDescent="0.25">
      <c r="A900" t="str">
        <f>"20190312161241766"</f>
        <v>20190312161241766</v>
      </c>
      <c r="B900" t="str">
        <f>"1552378361756268"</f>
        <v>1552378361756268</v>
      </c>
      <c r="C900" t="s">
        <v>40</v>
      </c>
      <c r="D900">
        <v>5.5134069999999999</v>
      </c>
      <c r="E900">
        <v>0.52302629999999894</v>
      </c>
      <c r="F900" t="s">
        <v>43</v>
      </c>
      <c r="G900">
        <v>-227.24170000000001</v>
      </c>
      <c r="H900">
        <v>0.89165709999999998</v>
      </c>
      <c r="I900">
        <v>367.92680000000001</v>
      </c>
      <c r="J900">
        <v>-227.92060000000001</v>
      </c>
      <c r="K900">
        <v>1.1096220000000001</v>
      </c>
      <c r="L900">
        <v>368.08100000000002</v>
      </c>
      <c r="M900">
        <v>0.99990679999999998</v>
      </c>
      <c r="N900">
        <v>0</v>
      </c>
      <c r="O900">
        <v>-1.6164549999999999E-3</v>
      </c>
      <c r="P900">
        <v>0.99078460000000002</v>
      </c>
      <c r="Q900">
        <v>-1.2713E-2</v>
      </c>
      <c r="R900">
        <v>-0.1348491</v>
      </c>
      <c r="S900">
        <v>2.9457089999999999</v>
      </c>
      <c r="T900">
        <v>-0.75903169999999898</v>
      </c>
      <c r="U900">
        <v>-0.53890990000000005</v>
      </c>
      <c r="V900">
        <v>0.13324829999999999</v>
      </c>
      <c r="W900">
        <v>5.2243889999999897E-4</v>
      </c>
      <c r="X900">
        <v>0.99108249999999998</v>
      </c>
      <c r="Y900">
        <v>0.17295239999999901</v>
      </c>
      <c r="Z900">
        <v>-2.134585E-2</v>
      </c>
      <c r="AA900">
        <v>0.98469879999999999</v>
      </c>
      <c r="AB900">
        <v>23</v>
      </c>
      <c r="AC900">
        <v>0.67889999999999795</v>
      </c>
      <c r="AD900">
        <v>-0.21796489999999899</v>
      </c>
      <c r="AE900">
        <v>-0.15419999999994599</v>
      </c>
      <c r="AF900">
        <v>0.13943485728215901</v>
      </c>
      <c r="AG900">
        <v>-0.21796489999999899</v>
      </c>
      <c r="AH900">
        <v>0.61852086946489304</v>
      </c>
      <c r="AI900">
        <v>108.971435936894</v>
      </c>
      <c r="AJ900">
        <v>77.296018984661401</v>
      </c>
      <c r="AK900">
        <v>0.67046166409490804</v>
      </c>
      <c r="AL900">
        <v>89.970066453181005</v>
      </c>
      <c r="AM900">
        <v>82.342658834971601</v>
      </c>
      <c r="AN900">
        <v>0.99999995210077097</v>
      </c>
    </row>
    <row r="901" spans="1:40" x14ac:dyDescent="0.25">
      <c r="A901" t="str">
        <f>"20190312161241779"</f>
        <v>20190312161241779</v>
      </c>
      <c r="B901" t="str">
        <f>"1552378361767004"</f>
        <v>1552378361767004</v>
      </c>
      <c r="C901" t="s">
        <v>40</v>
      </c>
      <c r="D901">
        <v>5.4408880000000002</v>
      </c>
      <c r="E901">
        <v>0.523065</v>
      </c>
      <c r="F901" t="s">
        <v>43</v>
      </c>
      <c r="G901">
        <v>-227.22669999999999</v>
      </c>
      <c r="H901">
        <v>0.92855730000000003</v>
      </c>
      <c r="I901">
        <v>367.95119999999997</v>
      </c>
      <c r="J901">
        <v>-227.7861</v>
      </c>
      <c r="K901">
        <v>1.109612</v>
      </c>
      <c r="L901">
        <v>368.08010000000002</v>
      </c>
      <c r="M901">
        <v>0.99990599999999996</v>
      </c>
      <c r="N901">
        <v>0</v>
      </c>
      <c r="O901">
        <v>-2.1918089999999999E-3</v>
      </c>
      <c r="P901">
        <v>0.9905524</v>
      </c>
      <c r="Q901">
        <v>-1.2688029999999999E-2</v>
      </c>
      <c r="R901">
        <v>-0.13654720000000001</v>
      </c>
      <c r="S901">
        <v>2.9433440000000002</v>
      </c>
      <c r="T901">
        <v>-0.76807550000000002</v>
      </c>
      <c r="U901">
        <v>-0.54891969999999901</v>
      </c>
      <c r="V901">
        <v>0.13437650000000001</v>
      </c>
      <c r="W901">
        <v>5.2243869999999998E-4</v>
      </c>
      <c r="X901">
        <v>0.99093019999999998</v>
      </c>
      <c r="Y901">
        <v>0.17556579999999999</v>
      </c>
      <c r="Z901">
        <v>-2.1788579999999998E-2</v>
      </c>
      <c r="AA901">
        <v>0.98422659999999995</v>
      </c>
      <c r="AB901">
        <v>23</v>
      </c>
      <c r="AC901">
        <v>0.55940000000001</v>
      </c>
      <c r="AD901">
        <v>-0.18105470000000001</v>
      </c>
      <c r="AE901">
        <v>-0.12890000000004401</v>
      </c>
      <c r="AF901">
        <v>0.116122395797481</v>
      </c>
      <c r="AG901">
        <v>-0.18105470000000001</v>
      </c>
      <c r="AH901">
        <v>0.50904481112663102</v>
      </c>
      <c r="AI901">
        <v>109.12487156520299</v>
      </c>
      <c r="AJ901">
        <v>77.149678569880194</v>
      </c>
      <c r="AK901">
        <v>0.55262268767467804</v>
      </c>
      <c r="AL901">
        <v>89.970066465744196</v>
      </c>
      <c r="AM901">
        <v>82.277431393501999</v>
      </c>
      <c r="AN901">
        <v>0.99999998898324205</v>
      </c>
    </row>
    <row r="902" spans="1:40" x14ac:dyDescent="0.25">
      <c r="A902" t="str">
        <f>"20190312161241794"</f>
        <v>20190312161241794</v>
      </c>
      <c r="B902" t="str">
        <f>"1552378361786524"</f>
        <v>1552378361786524</v>
      </c>
      <c r="C902" t="s">
        <v>40</v>
      </c>
      <c r="D902">
        <v>5.4297309999999896</v>
      </c>
      <c r="E902">
        <v>0.52284960000000003</v>
      </c>
      <c r="F902" t="s">
        <v>43</v>
      </c>
      <c r="G902">
        <v>-227.02930000000001</v>
      </c>
      <c r="H902">
        <v>0.91135069999999996</v>
      </c>
      <c r="I902">
        <v>367.93759999999997</v>
      </c>
      <c r="J902">
        <v>-227.6404</v>
      </c>
      <c r="K902">
        <v>1.1096029999999999</v>
      </c>
      <c r="L902">
        <v>368.07909999999998</v>
      </c>
      <c r="M902">
        <v>0.99990460000000003</v>
      </c>
      <c r="N902">
        <v>0</v>
      </c>
      <c r="O902">
        <v>-2.8210319999999998E-3</v>
      </c>
      <c r="P902">
        <v>0.99028959999999999</v>
      </c>
      <c r="Q902">
        <v>-1.2700299999999999E-2</v>
      </c>
      <c r="R902">
        <v>-0.13843920000000001</v>
      </c>
      <c r="S902">
        <v>2.9423979999999998</v>
      </c>
      <c r="T902">
        <v>-0.77083040000000003</v>
      </c>
      <c r="U902">
        <v>-0.55404659999999994</v>
      </c>
      <c r="V902">
        <v>0.13564570000000001</v>
      </c>
      <c r="W902">
        <v>4.823839E-4</v>
      </c>
      <c r="X902">
        <v>0.99075729999999995</v>
      </c>
      <c r="Y902">
        <v>0.1766064</v>
      </c>
      <c r="Z902">
        <v>-2.1839799999999999E-2</v>
      </c>
      <c r="AA902">
        <v>0.9840392</v>
      </c>
      <c r="AB902">
        <v>23</v>
      </c>
      <c r="AC902">
        <v>0.61109999999999298</v>
      </c>
      <c r="AD902">
        <v>-0.19825229999999999</v>
      </c>
      <c r="AE902">
        <v>-0.14150000000000701</v>
      </c>
      <c r="AF902">
        <v>0.12708099662286901</v>
      </c>
      <c r="AG902">
        <v>-0.19825229999999999</v>
      </c>
      <c r="AH902">
        <v>0.55596084854565797</v>
      </c>
      <c r="AI902">
        <v>109.168888625316</v>
      </c>
      <c r="AJ902">
        <v>77.124584031902003</v>
      </c>
      <c r="AK902">
        <v>0.60377646465687895</v>
      </c>
      <c r="AL902">
        <v>89.972361437575898</v>
      </c>
      <c r="AM902">
        <v>82.204039912603307</v>
      </c>
      <c r="AN902">
        <v>1.000000008063</v>
      </c>
    </row>
    <row r="903" spans="1:40" x14ac:dyDescent="0.25">
      <c r="A903" t="str">
        <f>"20190312161241807"</f>
        <v>20190312161241807</v>
      </c>
      <c r="B903" t="str">
        <f>"1552378361796283"</f>
        <v>1552378361796283</v>
      </c>
      <c r="C903" t="s">
        <v>40</v>
      </c>
      <c r="D903">
        <v>5.426634</v>
      </c>
      <c r="E903">
        <v>0.52294949999999996</v>
      </c>
      <c r="F903" t="s">
        <v>43</v>
      </c>
      <c r="G903">
        <v>-226.82990000000001</v>
      </c>
      <c r="H903">
        <v>0.89840789999999904</v>
      </c>
      <c r="I903">
        <v>367.92500000000001</v>
      </c>
      <c r="J903">
        <v>-227.5018</v>
      </c>
      <c r="K903">
        <v>1.1095950000000001</v>
      </c>
      <c r="L903">
        <v>368.07799999999997</v>
      </c>
      <c r="M903">
        <v>0.99990299999999999</v>
      </c>
      <c r="N903">
        <v>0</v>
      </c>
      <c r="O903">
        <v>-3.4252200000000001E-3</v>
      </c>
      <c r="P903">
        <v>0.99002129999999999</v>
      </c>
      <c r="Q903">
        <v>-1.2758749999999999E-2</v>
      </c>
      <c r="R903">
        <v>-0.140339299999999</v>
      </c>
      <c r="S903">
        <v>2.941513</v>
      </c>
      <c r="T903">
        <v>-0.7664337</v>
      </c>
      <c r="U903">
        <v>-0.55850219999999995</v>
      </c>
      <c r="V903">
        <v>0.13694790000000001</v>
      </c>
      <c r="W903">
        <v>3.9559980000000001E-4</v>
      </c>
      <c r="X903">
        <v>0.99057819999999996</v>
      </c>
      <c r="Y903">
        <v>0.1775562</v>
      </c>
      <c r="Z903">
        <v>-2.1689650000000001E-2</v>
      </c>
      <c r="AA903">
        <v>0.98387159999999996</v>
      </c>
      <c r="AB903">
        <v>23</v>
      </c>
      <c r="AC903">
        <v>0.67189999999999295</v>
      </c>
      <c r="AD903">
        <v>-0.21118709999999999</v>
      </c>
      <c r="AE903">
        <v>-0.15300000000001901</v>
      </c>
      <c r="AF903">
        <v>0.13775881111910701</v>
      </c>
      <c r="AG903">
        <v>-0.21118709999999999</v>
      </c>
      <c r="AH903">
        <v>0.61468710654939296</v>
      </c>
      <c r="AI903">
        <v>108.533849067048</v>
      </c>
      <c r="AJ903">
        <v>77.368047922542502</v>
      </c>
      <c r="AK903">
        <v>0.66439274544912497</v>
      </c>
      <c r="AL903">
        <v>89.977333801105999</v>
      </c>
      <c r="AM903">
        <v>82.1287269659164</v>
      </c>
      <c r="AN903">
        <v>1.00000002706442</v>
      </c>
    </row>
    <row r="904" spans="1:40" x14ac:dyDescent="0.25">
      <c r="A904" t="str">
        <f>"20190312161241823"</f>
        <v>20190312161241823</v>
      </c>
      <c r="B904" t="str">
        <f>"1552378361816780"</f>
        <v>1552378361816780</v>
      </c>
      <c r="C904" t="s">
        <v>40</v>
      </c>
      <c r="D904">
        <v>5.3906369999999999</v>
      </c>
      <c r="E904">
        <v>0.52283080000000004</v>
      </c>
      <c r="F904" t="s">
        <v>43</v>
      </c>
      <c r="G904">
        <v>-226.81649999999999</v>
      </c>
      <c r="H904">
        <v>0.93092660000000005</v>
      </c>
      <c r="I904">
        <v>367.94600000000003</v>
      </c>
      <c r="J904">
        <v>-227.3426</v>
      </c>
      <c r="K904">
        <v>1.1095820000000001</v>
      </c>
      <c r="L904">
        <v>368.07670000000002</v>
      </c>
      <c r="M904">
        <v>0.99990080000000003</v>
      </c>
      <c r="N904">
        <v>0</v>
      </c>
      <c r="O904">
        <v>-4.129415E-3</v>
      </c>
      <c r="P904">
        <v>0.98946599999999996</v>
      </c>
      <c r="Q904">
        <v>-1.3059919999999999E-2</v>
      </c>
      <c r="R904">
        <v>-0.14417659999999999</v>
      </c>
      <c r="S904">
        <v>2.9402159999999999</v>
      </c>
      <c r="T904">
        <v>-0.76659409999999995</v>
      </c>
      <c r="U904">
        <v>-0.56533809999999995</v>
      </c>
      <c r="V904">
        <v>0.1400892</v>
      </c>
      <c r="W904" s="1">
        <v>5.7898230000000003E-5</v>
      </c>
      <c r="X904">
        <v>0.99013890000000004</v>
      </c>
      <c r="Y904">
        <v>0.17911839999999901</v>
      </c>
      <c r="Z904">
        <v>-2.171826E-2</v>
      </c>
      <c r="AA904">
        <v>0.98358780000000001</v>
      </c>
      <c r="AB904">
        <v>23</v>
      </c>
      <c r="AC904">
        <v>0.526100000000013</v>
      </c>
      <c r="AD904">
        <v>-0.17865539999999999</v>
      </c>
      <c r="AE904">
        <v>-0.130700000000047</v>
      </c>
      <c r="AF904">
        <v>0.11593411900775499</v>
      </c>
      <c r="AG904">
        <v>-0.17865539999999999</v>
      </c>
      <c r="AH904">
        <v>0.47503929445395898</v>
      </c>
      <c r="AI904">
        <v>110.07039174662</v>
      </c>
      <c r="AJ904">
        <v>76.2849706598859</v>
      </c>
      <c r="AK904">
        <v>0.52059658390598396</v>
      </c>
      <c r="AL904">
        <v>89.996682675825298</v>
      </c>
      <c r="AM904">
        <v>81.946992204444797</v>
      </c>
      <c r="AN904">
        <v>1.0000000143010199</v>
      </c>
    </row>
    <row r="905" spans="1:40" x14ac:dyDescent="0.25">
      <c r="A905" t="str">
        <f>"20190312161241838"</f>
        <v>20190312161241838</v>
      </c>
      <c r="B905" t="str">
        <f>"1552378361826540"</f>
        <v>1552378361826540</v>
      </c>
      <c r="C905" t="s">
        <v>40</v>
      </c>
      <c r="D905">
        <v>5.4078160000000004</v>
      </c>
      <c r="E905">
        <v>0.52282989999999996</v>
      </c>
      <c r="F905" t="s">
        <v>43</v>
      </c>
      <c r="G905">
        <v>-226.61670000000001</v>
      </c>
      <c r="H905">
        <v>0.92051340000000004</v>
      </c>
      <c r="I905">
        <v>367.93419999999998</v>
      </c>
      <c r="J905">
        <v>-227.1926</v>
      </c>
      <c r="K905">
        <v>1.1095710000000001</v>
      </c>
      <c r="L905">
        <v>368.07530000000003</v>
      </c>
      <c r="M905">
        <v>0.99989810000000001</v>
      </c>
      <c r="N905">
        <v>0</v>
      </c>
      <c r="O905">
        <v>-4.7997710000000004E-3</v>
      </c>
      <c r="P905">
        <v>0.98909349999999996</v>
      </c>
      <c r="Q905">
        <v>-1.3555930000000001E-2</v>
      </c>
      <c r="R905">
        <v>-0.14666409999999999</v>
      </c>
      <c r="S905">
        <v>2.937897</v>
      </c>
      <c r="T905">
        <v>-0.7652717</v>
      </c>
      <c r="U905">
        <v>-0.57608029999999999</v>
      </c>
      <c r="V905">
        <v>0.14191400000000001</v>
      </c>
      <c r="W905">
        <v>-4.6748759999999998E-4</v>
      </c>
      <c r="X905">
        <v>0.98987890000000001</v>
      </c>
      <c r="Y905">
        <v>0.18201239999999999</v>
      </c>
      <c r="Z905">
        <v>-2.1888330000000001E-2</v>
      </c>
      <c r="AA905">
        <v>0.98305260000000005</v>
      </c>
      <c r="AB905">
        <v>23</v>
      </c>
      <c r="AC905">
        <v>0.57589999999998998</v>
      </c>
      <c r="AD905">
        <v>-0.18905759999999899</v>
      </c>
      <c r="AE905">
        <v>-0.14110000000005099</v>
      </c>
      <c r="AF905">
        <v>0.12556792669448999</v>
      </c>
      <c r="AG905">
        <v>-0.18905759999999899</v>
      </c>
      <c r="AH905">
        <v>0.52336242281968604</v>
      </c>
      <c r="AI905">
        <v>109.354728605709</v>
      </c>
      <c r="AJ905">
        <v>76.508309500309394</v>
      </c>
      <c r="AK905">
        <v>0.57045447316311204</v>
      </c>
      <c r="AL905">
        <v>90.026785066913305</v>
      </c>
      <c r="AM905">
        <v>81.841382913767703</v>
      </c>
      <c r="AN905">
        <v>1.0000000193029299</v>
      </c>
    </row>
    <row r="906" spans="1:40" x14ac:dyDescent="0.25">
      <c r="A906" t="str">
        <f>"20190312161241856"</f>
        <v>20190312161241856</v>
      </c>
      <c r="B906" t="str">
        <f>"1552378361846060"</f>
        <v>1552378361846060</v>
      </c>
      <c r="C906" t="s">
        <v>40</v>
      </c>
      <c r="D906">
        <v>5.4843460000000004</v>
      </c>
      <c r="E906">
        <v>0.52266429999999997</v>
      </c>
      <c r="F906" t="s">
        <v>43</v>
      </c>
      <c r="G906">
        <v>-226.41800000000001</v>
      </c>
      <c r="H906">
        <v>0.90687620000000002</v>
      </c>
      <c r="I906">
        <v>367.92140000000001</v>
      </c>
      <c r="J906">
        <v>-226.99959999999999</v>
      </c>
      <c r="K906">
        <v>1.109559</v>
      </c>
      <c r="L906">
        <v>368.07330000000002</v>
      </c>
      <c r="M906">
        <v>0.9998937</v>
      </c>
      <c r="N906">
        <v>0</v>
      </c>
      <c r="O906">
        <v>-5.6745579999999997E-3</v>
      </c>
      <c r="P906">
        <v>0.98869720000000005</v>
      </c>
      <c r="Q906">
        <v>-1.410663E-2</v>
      </c>
      <c r="R906">
        <v>-0.14926110000000001</v>
      </c>
      <c r="S906">
        <v>2.9361269999999999</v>
      </c>
      <c r="T906">
        <v>-0.76826410000000001</v>
      </c>
      <c r="U906">
        <v>-0.58279419999999904</v>
      </c>
      <c r="V906">
        <v>0.1436463</v>
      </c>
      <c r="W906">
        <v>-1.0519730000000001E-3</v>
      </c>
      <c r="X906">
        <v>0.98962859999999997</v>
      </c>
      <c r="Y906">
        <v>0.18336569999999999</v>
      </c>
      <c r="Z906">
        <v>-2.192873E-2</v>
      </c>
      <c r="AA906">
        <v>0.98280020000000001</v>
      </c>
      <c r="AB906">
        <v>23</v>
      </c>
      <c r="AC906">
        <v>0.58159999999998002</v>
      </c>
      <c r="AD906">
        <v>-0.2026828</v>
      </c>
      <c r="AE906">
        <v>-0.151900000000011</v>
      </c>
      <c r="AF906">
        <v>0.13342740106075601</v>
      </c>
      <c r="AG906">
        <v>-0.2026828</v>
      </c>
      <c r="AH906">
        <v>0.52299293991460905</v>
      </c>
      <c r="AI906">
        <v>110.58195850523001</v>
      </c>
      <c r="AJ906">
        <v>75.687844281821995</v>
      </c>
      <c r="AK906">
        <v>0.57654557839792198</v>
      </c>
      <c r="AL906">
        <v>90.060273620197904</v>
      </c>
      <c r="AM906">
        <v>81.741098672573997</v>
      </c>
      <c r="AN906">
        <v>1.0000000660444099</v>
      </c>
    </row>
    <row r="907" spans="1:40" x14ac:dyDescent="0.25">
      <c r="A907" t="str">
        <f>"20190312161241871"</f>
        <v>20190312161241871</v>
      </c>
      <c r="B907" t="str">
        <f>"1552378361866087"</f>
        <v>1552378361866087</v>
      </c>
      <c r="C907" t="s">
        <v>40</v>
      </c>
      <c r="D907">
        <v>5.3611579999999996</v>
      </c>
      <c r="E907">
        <v>0.54249060000000005</v>
      </c>
      <c r="F907" t="s">
        <v>43</v>
      </c>
      <c r="G907">
        <v>-226.21510000000001</v>
      </c>
      <c r="H907">
        <v>0.90413869999999996</v>
      </c>
      <c r="I907">
        <v>367.91590000000002</v>
      </c>
      <c r="J907">
        <v>-226.85040000000001</v>
      </c>
      <c r="K907">
        <v>1.1095489999999999</v>
      </c>
      <c r="L907">
        <v>368.07170000000002</v>
      </c>
      <c r="M907">
        <v>0.9998899</v>
      </c>
      <c r="N907">
        <v>0</v>
      </c>
      <c r="O907">
        <v>-6.3598259999999998E-3</v>
      </c>
      <c r="P907">
        <v>0.98809150000000001</v>
      </c>
      <c r="Q907">
        <v>-1.5188170000000001E-2</v>
      </c>
      <c r="R907">
        <v>-0.15311710000000001</v>
      </c>
      <c r="S907">
        <v>2.9344640000000002</v>
      </c>
      <c r="T907">
        <v>-0.76839299999999999</v>
      </c>
      <c r="U907">
        <v>-0.58871459999999998</v>
      </c>
      <c r="V907">
        <v>0.14682590000000001</v>
      </c>
      <c r="W907">
        <v>-2.165218E-3</v>
      </c>
      <c r="X907">
        <v>0.98916000000000004</v>
      </c>
      <c r="Y907">
        <v>0.18468010000000001</v>
      </c>
      <c r="Z907">
        <v>-2.1932900000000002E-2</v>
      </c>
      <c r="AA907">
        <v>0.98255389999999998</v>
      </c>
      <c r="AB907">
        <v>23</v>
      </c>
      <c r="AC907">
        <v>0.63529999999999998</v>
      </c>
      <c r="AD907">
        <v>-0.20541029999999999</v>
      </c>
      <c r="AE907">
        <v>-0.15579999999999899</v>
      </c>
      <c r="AF907">
        <v>0.13813458158223399</v>
      </c>
      <c r="AG907">
        <v>-0.20541029999999999</v>
      </c>
      <c r="AH907">
        <v>0.57916628076161303</v>
      </c>
      <c r="AI907">
        <v>109.03386375485</v>
      </c>
      <c r="AJ907">
        <v>76.585236797300396</v>
      </c>
      <c r="AK907">
        <v>0.62984770758194297</v>
      </c>
      <c r="AL907">
        <v>90.124057947660702</v>
      </c>
      <c r="AM907">
        <v>81.556952883472604</v>
      </c>
      <c r="AN907">
        <v>1.0000000193398899</v>
      </c>
    </row>
    <row r="908" spans="1:40" x14ac:dyDescent="0.25">
      <c r="A908" t="str">
        <f>"20190312161241890"</f>
        <v>20190312161241890</v>
      </c>
      <c r="B908" t="str">
        <f>"1552378361886584"</f>
        <v>1552378361886584</v>
      </c>
      <c r="C908" t="s">
        <v>40</v>
      </c>
      <c r="D908">
        <v>5.3586729999999996</v>
      </c>
      <c r="E908">
        <v>0.55555459999999901</v>
      </c>
      <c r="F908" t="s">
        <v>42</v>
      </c>
      <c r="G908">
        <v>-217.2141</v>
      </c>
      <c r="H908" s="1">
        <v>-2.0317349999999999E-6</v>
      </c>
      <c r="I908">
        <v>365.49119999999999</v>
      </c>
      <c r="J908">
        <v>-226.6653</v>
      </c>
      <c r="K908">
        <v>1.1095349999999999</v>
      </c>
      <c r="L908">
        <v>368.06950000000001</v>
      </c>
      <c r="M908">
        <v>0.99988429999999995</v>
      </c>
      <c r="N908">
        <v>0</v>
      </c>
      <c r="O908">
        <v>-7.2215090000000001E-3</v>
      </c>
      <c r="P908">
        <v>0.98751069999999996</v>
      </c>
      <c r="Q908">
        <v>-1.5598249999999999E-2</v>
      </c>
      <c r="R908">
        <v>-0.15677820000000001</v>
      </c>
      <c r="S908">
        <v>2.9102329999999998</v>
      </c>
      <c r="T908">
        <v>-0.3350899</v>
      </c>
      <c r="U908">
        <v>-0.77929689999999996</v>
      </c>
      <c r="V908">
        <v>0.14963799999999999</v>
      </c>
      <c r="W908">
        <v>-2.609143E-3</v>
      </c>
      <c r="X908">
        <v>0.98873739999999999</v>
      </c>
      <c r="Y908">
        <v>0.25018439999999997</v>
      </c>
      <c r="Z908">
        <v>-1.3295339999999999E-2</v>
      </c>
      <c r="AA908">
        <v>0.96810689999999999</v>
      </c>
      <c r="AB908">
        <v>23</v>
      </c>
      <c r="AC908">
        <v>9.4512</v>
      </c>
      <c r="AD908">
        <v>-1.109537031735</v>
      </c>
      <c r="AE908">
        <v>-2.5783000000000098</v>
      </c>
      <c r="AF908">
        <v>2.4781862661274401</v>
      </c>
      <c r="AG908">
        <v>-1.109537031735</v>
      </c>
      <c r="AH908">
        <v>9.3496436768555693</v>
      </c>
      <c r="AI908">
        <v>96.543824025067906</v>
      </c>
      <c r="AJ908">
        <v>75.154734235820698</v>
      </c>
      <c r="AK908">
        <v>9.7359291533258094</v>
      </c>
      <c r="AL908">
        <v>90.149493052795805</v>
      </c>
      <c r="AM908">
        <v>81.394021700003506</v>
      </c>
      <c r="AN908">
        <v>0.99999999241497695</v>
      </c>
    </row>
    <row r="909" spans="1:40" x14ac:dyDescent="0.25">
      <c r="A909" t="str">
        <f>"20190312161241911"</f>
        <v>20190312161241911</v>
      </c>
      <c r="B909" t="str">
        <f>"1552378361906103"</f>
        <v>1552378361906103</v>
      </c>
      <c r="C909" t="s">
        <v>40</v>
      </c>
      <c r="D909">
        <v>5.3853600000000004</v>
      </c>
      <c r="E909">
        <v>0.56281729999999996</v>
      </c>
      <c r="F909" t="s">
        <v>42</v>
      </c>
      <c r="G909">
        <v>-210.98500000000001</v>
      </c>
      <c r="H909" s="1">
        <v>-4.9898759999999996E-6</v>
      </c>
      <c r="I909">
        <v>363.18880000000001</v>
      </c>
      <c r="J909">
        <v>-226.43279999999999</v>
      </c>
      <c r="K909">
        <v>1.1095200000000001</v>
      </c>
      <c r="L909">
        <v>368.06650000000002</v>
      </c>
      <c r="M909">
        <v>0.99987610000000005</v>
      </c>
      <c r="N909">
        <v>0</v>
      </c>
      <c r="O909">
        <v>-8.3223289999999998E-3</v>
      </c>
      <c r="P909">
        <v>0.98689720000000003</v>
      </c>
      <c r="Q909">
        <v>-1.6150040000000001E-2</v>
      </c>
      <c r="R909">
        <v>-0.16054060000000001</v>
      </c>
      <c r="S909">
        <v>2.8918149999999998</v>
      </c>
      <c r="T909">
        <v>-0.20462520000000001</v>
      </c>
      <c r="U909">
        <v>-0.90011600000000003</v>
      </c>
      <c r="V909">
        <v>0.1523157</v>
      </c>
      <c r="W909">
        <v>-3.1986430000000001E-3</v>
      </c>
      <c r="X909">
        <v>0.9883267</v>
      </c>
      <c r="Y909">
        <v>0.2886032</v>
      </c>
      <c r="Z909">
        <v>-9.3886950000000007E-3</v>
      </c>
      <c r="AA909">
        <v>0.9574028</v>
      </c>
      <c r="AB909">
        <v>23</v>
      </c>
      <c r="AC909">
        <v>15.4477999999999</v>
      </c>
      <c r="AD909">
        <v>-1.109524989876</v>
      </c>
      <c r="AE909">
        <v>-4.8776999999999999</v>
      </c>
      <c r="AF909">
        <v>4.7267844967611197</v>
      </c>
      <c r="AG909">
        <v>-1.109524989876</v>
      </c>
      <c r="AH909">
        <v>15.4155478613835</v>
      </c>
      <c r="AI909">
        <v>93.936446297986194</v>
      </c>
      <c r="AJ909">
        <v>72.953177886570501</v>
      </c>
      <c r="AK909">
        <v>16.1620745341861</v>
      </c>
      <c r="AL909">
        <v>90.183269059358906</v>
      </c>
      <c r="AM909">
        <v>81.238806005658404</v>
      </c>
      <c r="AN909">
        <v>0.99999998485820996</v>
      </c>
    </row>
    <row r="910" spans="1:40" x14ac:dyDescent="0.25">
      <c r="A910" t="str">
        <f>"20190312161241924"</f>
        <v>20190312161241924</v>
      </c>
      <c r="B910" t="str">
        <f>"1552378361916840"</f>
        <v>1552378361916840</v>
      </c>
      <c r="C910" t="s">
        <v>40</v>
      </c>
      <c r="D910">
        <v>5.4557929999999999</v>
      </c>
      <c r="E910">
        <v>0.56470549999999997</v>
      </c>
      <c r="F910" t="s">
        <v>53</v>
      </c>
      <c r="G910">
        <v>-205.37370000000001</v>
      </c>
      <c r="H910" s="1">
        <v>-5.0478299999999997E-6</v>
      </c>
      <c r="I910">
        <v>360.9622</v>
      </c>
      <c r="J910">
        <v>-226.30080000000001</v>
      </c>
      <c r="K910">
        <v>1.1095200000000001</v>
      </c>
      <c r="L910">
        <v>368.06470000000002</v>
      </c>
      <c r="M910">
        <v>0.99987090000000001</v>
      </c>
      <c r="N910">
        <v>0</v>
      </c>
      <c r="O910">
        <v>-8.9557730000000002E-3</v>
      </c>
      <c r="P910">
        <v>0.98653389999999996</v>
      </c>
      <c r="Q910">
        <v>-1.6727909999999999E-2</v>
      </c>
      <c r="R910">
        <v>-0.16270029999999999</v>
      </c>
      <c r="S910">
        <v>2.8793489999999999</v>
      </c>
      <c r="T910">
        <v>-0.15170159999999999</v>
      </c>
      <c r="U910">
        <v>-0.97134399999999999</v>
      </c>
      <c r="V910">
        <v>0.15385170000000001</v>
      </c>
      <c r="W910">
        <v>-3.797108E-3</v>
      </c>
      <c r="X910">
        <v>0.98808660000000004</v>
      </c>
      <c r="Y910">
        <v>0.31077470000000001</v>
      </c>
      <c r="Z910">
        <v>-7.5024100000000002E-3</v>
      </c>
      <c r="AA910">
        <v>0.95045400000000002</v>
      </c>
      <c r="AB910">
        <v>23</v>
      </c>
      <c r="AC910">
        <v>20.927099999999999</v>
      </c>
      <c r="AD910">
        <v>-1.1095250478299901</v>
      </c>
      <c r="AE910">
        <v>-7.1025000000000196</v>
      </c>
      <c r="AF910">
        <v>6.8973943267929201</v>
      </c>
      <c r="AG910">
        <v>-1.1095250478299901</v>
      </c>
      <c r="AH910">
        <v>20.937100045757401</v>
      </c>
      <c r="AI910">
        <v>92.881401486937193</v>
      </c>
      <c r="AJ910">
        <v>71.766355426773103</v>
      </c>
      <c r="AK910">
        <v>22.0718656360783</v>
      </c>
      <c r="AL910">
        <v>90.217558797221997</v>
      </c>
      <c r="AM910">
        <v>81.149730508707606</v>
      </c>
      <c r="AN910">
        <v>0.99999994636080503</v>
      </c>
    </row>
    <row r="911" spans="1:40" x14ac:dyDescent="0.25">
      <c r="A911" t="str">
        <f>"20190312161241938"</f>
        <v>20190312161241938</v>
      </c>
      <c r="B911" t="str">
        <f>"1552378361926599"</f>
        <v>1552378361926599</v>
      </c>
      <c r="C911" t="s">
        <v>40</v>
      </c>
      <c r="D911">
        <v>5.4197610000000003</v>
      </c>
      <c r="E911">
        <v>0.56612189999999996</v>
      </c>
      <c r="F911" t="s">
        <v>53</v>
      </c>
      <c r="G911">
        <v>-202.67359999999999</v>
      </c>
      <c r="H911" s="1">
        <v>-3.9386139999999998E-6</v>
      </c>
      <c r="I911">
        <v>359.9</v>
      </c>
      <c r="J911">
        <v>-226.1728</v>
      </c>
      <c r="K911">
        <v>1.1095090000000001</v>
      </c>
      <c r="L911">
        <v>368.06279999999998</v>
      </c>
      <c r="M911">
        <v>0.99986529999999996</v>
      </c>
      <c r="N911">
        <v>0</v>
      </c>
      <c r="O911">
        <v>-9.5769529999999992E-3</v>
      </c>
      <c r="P911">
        <v>0.98622600000000005</v>
      </c>
      <c r="Q911">
        <v>-1.7131440000000001E-2</v>
      </c>
      <c r="R911">
        <v>-0.16451470000000001</v>
      </c>
      <c r="S911">
        <v>2.8748170000000002</v>
      </c>
      <c r="T911">
        <v>-0.1350006</v>
      </c>
      <c r="U911">
        <v>-0.99343870000000001</v>
      </c>
      <c r="V911">
        <v>0.15505429999999901</v>
      </c>
      <c r="W911">
        <v>-4.2186239999999998E-3</v>
      </c>
      <c r="X911">
        <v>0.98789689999999997</v>
      </c>
      <c r="Y911">
        <v>0.31724409999999997</v>
      </c>
      <c r="Z911">
        <v>-6.7984830000000001E-3</v>
      </c>
      <c r="AA911">
        <v>0.94831960000000004</v>
      </c>
      <c r="AB911">
        <v>23</v>
      </c>
      <c r="AC911">
        <v>23.499199999999998</v>
      </c>
      <c r="AD911">
        <v>-1.1095129386139999</v>
      </c>
      <c r="AE911">
        <v>-8.1628000000000007</v>
      </c>
      <c r="AF911">
        <v>7.9215970250122103</v>
      </c>
      <c r="AG911">
        <v>-1.1095129386139999</v>
      </c>
      <c r="AH911">
        <v>23.529498379985899</v>
      </c>
      <c r="AI911">
        <v>92.558813888945195</v>
      </c>
      <c r="AJ911">
        <v>71.393337736896697</v>
      </c>
      <c r="AK911">
        <v>24.851961942699699</v>
      </c>
      <c r="AL911">
        <v>90.241710077438398</v>
      </c>
      <c r="AM911">
        <v>81.0799741210338</v>
      </c>
      <c r="AN911">
        <v>0.99999995888327498</v>
      </c>
    </row>
    <row r="912" spans="1:40" x14ac:dyDescent="0.25">
      <c r="A912" t="str">
        <f>"20190312161241951"</f>
        <v>20190312161241951</v>
      </c>
      <c r="B912" t="str">
        <f>"1552378361946120"</f>
        <v>1552378361946120</v>
      </c>
      <c r="C912" t="s">
        <v>40</v>
      </c>
      <c r="D912">
        <v>5.4055280000000003</v>
      </c>
      <c r="E912">
        <v>0.56523129999999999</v>
      </c>
      <c r="F912" t="s">
        <v>53</v>
      </c>
      <c r="G912">
        <v>-200.0855</v>
      </c>
      <c r="H912" s="1">
        <v>-6.5786260000000003E-6</v>
      </c>
      <c r="I912">
        <v>358.88279999999997</v>
      </c>
      <c r="J912">
        <v>-226.0394</v>
      </c>
      <c r="K912">
        <v>1.1095010000000001</v>
      </c>
      <c r="L912">
        <v>368.06079999999997</v>
      </c>
      <c r="M912">
        <v>0.99985880000000005</v>
      </c>
      <c r="N912">
        <v>0</v>
      </c>
      <c r="O912">
        <v>-1.022902E-2</v>
      </c>
      <c r="P912">
        <v>0.98583050000000005</v>
      </c>
      <c r="Q912">
        <v>-1.779362E-2</v>
      </c>
      <c r="R912">
        <v>-0.16679759999999999</v>
      </c>
      <c r="S912">
        <v>2.8712460000000002</v>
      </c>
      <c r="T912">
        <v>-0.12211669999999999</v>
      </c>
      <c r="U912">
        <v>-1.0103759999999999</v>
      </c>
      <c r="V912">
        <v>0.1566958</v>
      </c>
      <c r="W912">
        <v>-4.9007410000000001E-3</v>
      </c>
      <c r="X912">
        <v>0.98763480000000003</v>
      </c>
      <c r="Y912">
        <v>0.32202419999999998</v>
      </c>
      <c r="Z912">
        <v>-6.2234029999999997E-3</v>
      </c>
      <c r="AA912">
        <v>0.94671099999999997</v>
      </c>
      <c r="AB912">
        <v>23</v>
      </c>
      <c r="AC912">
        <v>25.953900000000001</v>
      </c>
      <c r="AD912">
        <v>-1.109507578626</v>
      </c>
      <c r="AE912">
        <v>-9.1779999999999902</v>
      </c>
      <c r="AF912">
        <v>8.8975603282195692</v>
      </c>
      <c r="AG912">
        <v>-1.109507578626</v>
      </c>
      <c r="AH912">
        <v>26.004191991233299</v>
      </c>
      <c r="AI912">
        <v>92.311708655695796</v>
      </c>
      <c r="AJ912">
        <v>71.111172146522193</v>
      </c>
      <c r="AK912">
        <v>27.506646251010999</v>
      </c>
      <c r="AL912">
        <v>90.280792887254407</v>
      </c>
      <c r="AM912">
        <v>80.984730887976795</v>
      </c>
      <c r="AN912">
        <v>1.00000004458551</v>
      </c>
    </row>
    <row r="913" spans="1:40" x14ac:dyDescent="0.25">
      <c r="A913" t="str">
        <f>"20190312161241964"</f>
        <v>20190312161241964</v>
      </c>
      <c r="B913" t="str">
        <f>"1552378361956855"</f>
        <v>1552378361956855</v>
      </c>
      <c r="C913" t="s">
        <v>40</v>
      </c>
      <c r="D913">
        <v>5.4512549999999997</v>
      </c>
      <c r="E913">
        <v>0.56643209999999999</v>
      </c>
      <c r="F913" t="s">
        <v>53</v>
      </c>
      <c r="G913">
        <v>-185.65450000000001</v>
      </c>
      <c r="H913" s="1">
        <v>-3.0980249999999999E-6</v>
      </c>
      <c r="I913">
        <v>353.81439999999998</v>
      </c>
      <c r="J913">
        <v>-225.90029999999999</v>
      </c>
      <c r="K913">
        <v>1.109491</v>
      </c>
      <c r="L913">
        <v>368.05860000000001</v>
      </c>
      <c r="M913">
        <v>0.99985179999999996</v>
      </c>
      <c r="N913">
        <v>0</v>
      </c>
      <c r="O913">
        <v>-1.0919989999999999E-2</v>
      </c>
      <c r="P913">
        <v>0.98545070000000001</v>
      </c>
      <c r="Q913">
        <v>-1.8456340000000002E-2</v>
      </c>
      <c r="R913">
        <v>-0.16895779999999999</v>
      </c>
      <c r="S913">
        <v>2.870377</v>
      </c>
      <c r="T913">
        <v>-7.8858490000000003E-2</v>
      </c>
      <c r="U913">
        <v>-1.0125729999999999</v>
      </c>
      <c r="V913">
        <v>0.15817609999999999</v>
      </c>
      <c r="W913">
        <v>-5.5832210000000002E-3</v>
      </c>
      <c r="X913">
        <v>0.98739509999999997</v>
      </c>
      <c r="Y913">
        <v>0.3222506</v>
      </c>
      <c r="Z913">
        <v>-4.0050800000000003E-3</v>
      </c>
      <c r="AA913">
        <v>0.94664590000000004</v>
      </c>
      <c r="AB913">
        <v>23</v>
      </c>
      <c r="AC913">
        <v>40.245799999999903</v>
      </c>
      <c r="AD913">
        <v>-1.1094940980249901</v>
      </c>
      <c r="AE913">
        <v>-14.244199999999999</v>
      </c>
      <c r="AF913">
        <v>13.7945112288935</v>
      </c>
      <c r="AG913">
        <v>-1.1094940980249901</v>
      </c>
      <c r="AH913">
        <v>40.3716936583915</v>
      </c>
      <c r="AI913">
        <v>91.489685905303602</v>
      </c>
      <c r="AJ913">
        <v>71.135333206706093</v>
      </c>
      <c r="AK913">
        <v>42.677783049786299</v>
      </c>
      <c r="AL913">
        <v>90.319896671873494</v>
      </c>
      <c r="AM913">
        <v>80.898810268620096</v>
      </c>
      <c r="AN913">
        <v>0.99999996723597695</v>
      </c>
    </row>
    <row r="914" spans="1:40" x14ac:dyDescent="0.25">
      <c r="A914" t="str">
        <f>"20190312161241978"</f>
        <v>20190312161241978</v>
      </c>
      <c r="B914" t="str">
        <f>"1552378361966145"</f>
        <v>1552378361966145</v>
      </c>
      <c r="C914" t="s">
        <v>40</v>
      </c>
      <c r="D914">
        <v>5.3730229999999999</v>
      </c>
      <c r="E914">
        <v>0.56781130000000002</v>
      </c>
      <c r="F914" t="s">
        <v>53</v>
      </c>
      <c r="G914">
        <v>-181.56219999999999</v>
      </c>
      <c r="H914" s="1">
        <v>-3.104406E-6</v>
      </c>
      <c r="I914">
        <v>352.14519999999999</v>
      </c>
      <c r="J914">
        <v>-225.75880000000001</v>
      </c>
      <c r="K914">
        <v>1.109477</v>
      </c>
      <c r="L914">
        <v>368.05619999999999</v>
      </c>
      <c r="M914">
        <v>0.99984379999999995</v>
      </c>
      <c r="N914">
        <v>0</v>
      </c>
      <c r="O914">
        <v>-1.16341E-2</v>
      </c>
      <c r="P914">
        <v>0.98479760000000005</v>
      </c>
      <c r="Q914">
        <v>-1.948505E-2</v>
      </c>
      <c r="R914">
        <v>-0.17261000000000001</v>
      </c>
      <c r="S914">
        <v>2.8665620000000001</v>
      </c>
      <c r="T914">
        <v>-7.1731329999999996E-2</v>
      </c>
      <c r="U914">
        <v>-1.0288389999999901</v>
      </c>
      <c r="V914">
        <v>0.16112850000000001</v>
      </c>
      <c r="W914">
        <v>-6.6397339999999996E-3</v>
      </c>
      <c r="X914">
        <v>0.98691110000000004</v>
      </c>
      <c r="Y914">
        <v>0.32675019999999999</v>
      </c>
      <c r="Z914">
        <v>-3.681695E-3</v>
      </c>
      <c r="AA914">
        <v>0.94510360000000004</v>
      </c>
      <c r="AB914">
        <v>23</v>
      </c>
      <c r="AC914">
        <v>44.196599999999997</v>
      </c>
      <c r="AD914">
        <v>-1.1094801044059901</v>
      </c>
      <c r="AE914">
        <v>-15.911</v>
      </c>
      <c r="AF914">
        <v>15.387105747507301</v>
      </c>
      <c r="AG914">
        <v>-1.1094801044059901</v>
      </c>
      <c r="AH914">
        <v>44.353990977969502</v>
      </c>
      <c r="AI914">
        <v>91.353791021831199</v>
      </c>
      <c r="AJ914">
        <v>70.867525451514595</v>
      </c>
      <c r="AK914">
        <v>46.960307548618601</v>
      </c>
      <c r="AL914">
        <v>90.380431530825206</v>
      </c>
      <c r="AM914">
        <v>80.727389336632697</v>
      </c>
      <c r="AN914">
        <v>0.99999999944152496</v>
      </c>
    </row>
    <row r="915" spans="1:40" x14ac:dyDescent="0.25">
      <c r="A915" t="str">
        <f>"20190312161241994"</f>
        <v>20190312161241994</v>
      </c>
      <c r="B915" t="str">
        <f>"1552378361986642"</f>
        <v>1552378361986642</v>
      </c>
      <c r="C915" t="s">
        <v>40</v>
      </c>
      <c r="D915">
        <v>5.3699089999999998</v>
      </c>
      <c r="E915">
        <v>0.56903199999999998</v>
      </c>
      <c r="F915" t="s">
        <v>53</v>
      </c>
      <c r="G915">
        <v>-182.99780000000001</v>
      </c>
      <c r="H915" s="1">
        <v>-2.7927700000000002E-6</v>
      </c>
      <c r="I915">
        <v>352.35320000000002</v>
      </c>
      <c r="J915">
        <v>-225.60390000000001</v>
      </c>
      <c r="K915">
        <v>1.109461</v>
      </c>
      <c r="L915">
        <v>368.05349999999999</v>
      </c>
      <c r="M915">
        <v>0.99983449999999996</v>
      </c>
      <c r="N915">
        <v>0</v>
      </c>
      <c r="O915">
        <v>-1.242558E-2</v>
      </c>
      <c r="P915">
        <v>0.98442180000000001</v>
      </c>
      <c r="Q915">
        <v>-1.9971900000000001E-2</v>
      </c>
      <c r="R915">
        <v>-0.17468590000000001</v>
      </c>
      <c r="S915">
        <v>2.8607179999999999</v>
      </c>
      <c r="T915">
        <v>-7.4224470000000001E-2</v>
      </c>
      <c r="U915">
        <v>-1.0505370000000001</v>
      </c>
      <c r="V915">
        <v>0.16242679999999901</v>
      </c>
      <c r="W915">
        <v>-7.1511949999999999E-3</v>
      </c>
      <c r="X915">
        <v>0.98669470000000004</v>
      </c>
      <c r="Y915">
        <v>0.33293289999999998</v>
      </c>
      <c r="Z915">
        <v>-3.8699569999999998E-3</v>
      </c>
      <c r="AA915">
        <v>0.94294259999999996</v>
      </c>
      <c r="AB915">
        <v>23</v>
      </c>
      <c r="AC915">
        <v>42.606099999999998</v>
      </c>
      <c r="AD915">
        <v>-1.10946379277</v>
      </c>
      <c r="AE915">
        <v>-15.700299999999899</v>
      </c>
      <c r="AF915">
        <v>15.1605843912869</v>
      </c>
      <c r="AG915">
        <v>-1.10946379277</v>
      </c>
      <c r="AH915">
        <v>42.772377082124599</v>
      </c>
      <c r="AI915">
        <v>91.400513780172503</v>
      </c>
      <c r="AJ915">
        <v>70.483229051889097</v>
      </c>
      <c r="AK915">
        <v>45.393286620911802</v>
      </c>
      <c r="AL915">
        <v>90.409736776954404</v>
      </c>
      <c r="AM915">
        <v>80.6519744592416</v>
      </c>
      <c r="AN915">
        <v>1.0000000179781201</v>
      </c>
    </row>
    <row r="916" spans="1:40" x14ac:dyDescent="0.25">
      <c r="A916" t="str">
        <f>"20190312161242009"</f>
        <v>20190312161242009</v>
      </c>
      <c r="B916" t="str">
        <f>"1552378361996402"</f>
        <v>1552378361996402</v>
      </c>
      <c r="C916" t="s">
        <v>40</v>
      </c>
      <c r="D916">
        <v>5.4290629999999904</v>
      </c>
      <c r="E916">
        <v>0.56951830000000003</v>
      </c>
      <c r="F916" t="s">
        <v>53</v>
      </c>
      <c r="G916">
        <v>-183.41810000000001</v>
      </c>
      <c r="H916" s="1">
        <v>-2.6662290000000002E-6</v>
      </c>
      <c r="I916">
        <v>352.30970000000002</v>
      </c>
      <c r="J916">
        <v>-225.45689999999999</v>
      </c>
      <c r="K916">
        <v>1.1094459999999999</v>
      </c>
      <c r="L916">
        <v>368.05079999999998</v>
      </c>
      <c r="M916">
        <v>0.99982510000000002</v>
      </c>
      <c r="N916">
        <v>0</v>
      </c>
      <c r="O916">
        <v>-1.3186420000000001E-2</v>
      </c>
      <c r="P916">
        <v>0.98406530000000003</v>
      </c>
      <c r="Q916">
        <v>-2.0314430000000001E-2</v>
      </c>
      <c r="R916">
        <v>-0.176645</v>
      </c>
      <c r="S916">
        <v>2.8567960000000001</v>
      </c>
      <c r="T916">
        <v>-7.5132130000000005E-2</v>
      </c>
      <c r="U916">
        <v>-1.0661620000000001</v>
      </c>
      <c r="V916">
        <v>0.1636387</v>
      </c>
      <c r="W916">
        <v>-7.5187300000000004E-3</v>
      </c>
      <c r="X916">
        <v>0.98649169999999997</v>
      </c>
      <c r="Y916">
        <v>0.33716230000000003</v>
      </c>
      <c r="Z916">
        <v>-3.9531740000000003E-3</v>
      </c>
      <c r="AA916">
        <v>0.9414382</v>
      </c>
      <c r="AB916">
        <v>23</v>
      </c>
      <c r="AC916">
        <v>42.038799999999902</v>
      </c>
      <c r="AD916">
        <v>-1.109448666229</v>
      </c>
      <c r="AE916">
        <v>-15.7410999999999</v>
      </c>
      <c r="AF916">
        <v>15.176070917118199</v>
      </c>
      <c r="AG916">
        <v>-1.109448666229</v>
      </c>
      <c r="AH916">
        <v>42.216943367162202</v>
      </c>
      <c r="AI916">
        <v>91.416655932082804</v>
      </c>
      <c r="AJ916">
        <v>70.227594754096003</v>
      </c>
      <c r="AK916">
        <v>44.875542471267998</v>
      </c>
      <c r="AL916">
        <v>90.430795548891396</v>
      </c>
      <c r="AM916">
        <v>80.581568582032602</v>
      </c>
      <c r="AN916">
        <v>1.0000000148036901</v>
      </c>
    </row>
    <row r="917" spans="1:40" x14ac:dyDescent="0.25">
      <c r="A917" t="str">
        <f>"20190312161242024"</f>
        <v>20190312161242024</v>
      </c>
      <c r="B917" t="str">
        <f>"1552378362016321"</f>
        <v>1552378362016321</v>
      </c>
      <c r="C917" t="s">
        <v>40</v>
      </c>
      <c r="D917">
        <v>5.387988</v>
      </c>
      <c r="E917">
        <v>0.57056059999999997</v>
      </c>
      <c r="F917" t="s">
        <v>53</v>
      </c>
      <c r="G917">
        <v>-180.4605</v>
      </c>
      <c r="H917" s="1">
        <v>-3.0395240000000001E-6</v>
      </c>
      <c r="I917">
        <v>351.08679999999998</v>
      </c>
      <c r="J917">
        <v>-225.29669999999999</v>
      </c>
      <c r="K917">
        <v>1.109432</v>
      </c>
      <c r="L917">
        <v>368.04770000000002</v>
      </c>
      <c r="M917">
        <v>0.99981370000000003</v>
      </c>
      <c r="N917">
        <v>0</v>
      </c>
      <c r="O917">
        <v>-1.4029160000000001E-2</v>
      </c>
      <c r="P917">
        <v>0.98352030000000001</v>
      </c>
      <c r="Q917">
        <v>-2.0745070000000001E-2</v>
      </c>
      <c r="R917">
        <v>-0.17960409999999999</v>
      </c>
      <c r="S917">
        <v>2.8540040000000002</v>
      </c>
      <c r="T917">
        <v>-7.0369479999999998E-2</v>
      </c>
      <c r="U917">
        <v>-1.0759890000000001</v>
      </c>
      <c r="V917">
        <v>0.165772799999999</v>
      </c>
      <c r="W917">
        <v>-7.9792790000000006E-3</v>
      </c>
      <c r="X917">
        <v>0.98613170000000006</v>
      </c>
      <c r="Y917">
        <v>0.3395224</v>
      </c>
      <c r="Z917">
        <v>-3.711944E-3</v>
      </c>
      <c r="AA917">
        <v>0.94059060000000005</v>
      </c>
      <c r="AB917">
        <v>23</v>
      </c>
      <c r="AC917">
        <v>44.836199999999899</v>
      </c>
      <c r="AD917">
        <v>-1.109435039524</v>
      </c>
      <c r="AE917">
        <v>-16.960899999999999</v>
      </c>
      <c r="AF917">
        <v>16.321418839413401</v>
      </c>
      <c r="AG917">
        <v>-1.109435039524</v>
      </c>
      <c r="AH917">
        <v>45.045627207461003</v>
      </c>
      <c r="AI917">
        <v>91.326503859444202</v>
      </c>
      <c r="AJ917">
        <v>70.082987515242706</v>
      </c>
      <c r="AK917">
        <v>47.9241910683116</v>
      </c>
      <c r="AL917">
        <v>90.457183857203802</v>
      </c>
      <c r="AM917">
        <v>80.457562548326706</v>
      </c>
      <c r="AN917">
        <v>1.00000000992904</v>
      </c>
    </row>
    <row r="918" spans="1:40" x14ac:dyDescent="0.25">
      <c r="A918" t="str">
        <f>"20190312161242047"</f>
        <v>20190312161242047</v>
      </c>
      <c r="B918" t="str">
        <f>"1552378362036816"</f>
        <v>1552378362036816</v>
      </c>
      <c r="C918" t="s">
        <v>40</v>
      </c>
      <c r="D918">
        <v>5.4457300000000002</v>
      </c>
      <c r="E918">
        <v>0.57102540000000002</v>
      </c>
      <c r="F918" t="s">
        <v>53</v>
      </c>
      <c r="G918">
        <v>-180</v>
      </c>
      <c r="H918">
        <v>2.756163E-2</v>
      </c>
      <c r="I918">
        <v>350.67270000000002</v>
      </c>
      <c r="J918">
        <v>-225.0634</v>
      </c>
      <c r="K918">
        <v>1.1094120000000001</v>
      </c>
      <c r="L918">
        <v>368.04300000000001</v>
      </c>
      <c r="M918">
        <v>0.99979589999999996</v>
      </c>
      <c r="N918">
        <v>0</v>
      </c>
      <c r="O918">
        <v>-1.527384E-2</v>
      </c>
      <c r="P918">
        <v>0.98290420000000001</v>
      </c>
      <c r="Q918">
        <v>-2.2024289999999998E-2</v>
      </c>
      <c r="R918">
        <v>-0.18279570000000001</v>
      </c>
      <c r="S918">
        <v>2.8492579999999998</v>
      </c>
      <c r="T918">
        <v>-6.8052050000000003E-2</v>
      </c>
      <c r="U918">
        <v>-1.0929260000000001</v>
      </c>
      <c r="V918">
        <v>0.16774320000000001</v>
      </c>
      <c r="W918">
        <v>-9.2988299999999992E-3</v>
      </c>
      <c r="X918">
        <v>0.98578690000000002</v>
      </c>
      <c r="Y918">
        <v>0.3437537</v>
      </c>
      <c r="Z918">
        <v>-3.6117839999999998E-3</v>
      </c>
      <c r="AA918">
        <v>0.93905289999999997</v>
      </c>
      <c r="AB918">
        <v>23</v>
      </c>
      <c r="AC918">
        <v>45.063400000000001</v>
      </c>
      <c r="AD918">
        <v>-1.08185037</v>
      </c>
      <c r="AE918">
        <v>-17.370299999999901</v>
      </c>
      <c r="AF918">
        <v>16.6715563510236</v>
      </c>
      <c r="AG918">
        <v>-1.08185037</v>
      </c>
      <c r="AH918">
        <v>45.300745145699103</v>
      </c>
      <c r="AI918">
        <v>91.283896484277903</v>
      </c>
      <c r="AJ918">
        <v>69.795402195577097</v>
      </c>
      <c r="AK918">
        <v>48.283213461243498</v>
      </c>
      <c r="AL918">
        <v>90.532791375443594</v>
      </c>
      <c r="AM918">
        <v>80.342949000227605</v>
      </c>
      <c r="AN918">
        <v>1.0000000307985999</v>
      </c>
    </row>
    <row r="919" spans="1:40" x14ac:dyDescent="0.25">
      <c r="A919" t="str">
        <f>"20190312161242070"</f>
        <v>20190312161242070</v>
      </c>
      <c r="B919" t="str">
        <f>"1552378362066098"</f>
        <v>1552378362066098</v>
      </c>
      <c r="C919" t="s">
        <v>40</v>
      </c>
      <c r="D919">
        <v>5.4958549999999997</v>
      </c>
      <c r="E919">
        <v>0.57148390000000004</v>
      </c>
      <c r="F919" t="s">
        <v>53</v>
      </c>
      <c r="G919">
        <v>-179.97409999999999</v>
      </c>
      <c r="H919">
        <v>7.592902E-2</v>
      </c>
      <c r="I919">
        <v>350.51330000000002</v>
      </c>
      <c r="J919">
        <v>-224.8398</v>
      </c>
      <c r="K919">
        <v>1.1093919999999999</v>
      </c>
      <c r="L919">
        <v>368.03809999999999</v>
      </c>
      <c r="M919">
        <v>0.99977709999999997</v>
      </c>
      <c r="N919">
        <v>0</v>
      </c>
      <c r="O919">
        <v>-1.649231E-2</v>
      </c>
      <c r="P919">
        <v>0.9823537</v>
      </c>
      <c r="Q919">
        <v>-2.3090429999999999E-2</v>
      </c>
      <c r="R919">
        <v>-0.1856035</v>
      </c>
      <c r="S919">
        <v>2.8450319999999998</v>
      </c>
      <c r="T919">
        <v>-6.5210340000000006E-2</v>
      </c>
      <c r="U919">
        <v>-1.106079</v>
      </c>
      <c r="V919">
        <v>0.1693558</v>
      </c>
      <c r="W919">
        <v>-1.041022E-2</v>
      </c>
      <c r="X919">
        <v>0.98550000000000004</v>
      </c>
      <c r="Y919">
        <v>0.34685719999999998</v>
      </c>
      <c r="Z919">
        <v>-3.470426E-3</v>
      </c>
      <c r="AA919">
        <v>0.93791150000000001</v>
      </c>
      <c r="AB919">
        <v>23</v>
      </c>
      <c r="AC919">
        <v>44.865699999999997</v>
      </c>
      <c r="AD919">
        <v>-1.0334629799999999</v>
      </c>
      <c r="AE919">
        <v>-17.5247999999999</v>
      </c>
      <c r="AF919">
        <v>16.774690451175999</v>
      </c>
      <c r="AG919">
        <v>-1.0334629799999999</v>
      </c>
      <c r="AH919">
        <v>45.127871592507702</v>
      </c>
      <c r="AI919">
        <v>91.229708313874397</v>
      </c>
      <c r="AJ919">
        <v>69.609162798048004</v>
      </c>
      <c r="AK919">
        <v>48.155820831272997</v>
      </c>
      <c r="AL919">
        <v>90.596472440801094</v>
      </c>
      <c r="AM919">
        <v>80.249100477227998</v>
      </c>
      <c r="AN919">
        <v>1.0000000048370401</v>
      </c>
    </row>
    <row r="920" spans="1:40" x14ac:dyDescent="0.25">
      <c r="A920" t="str">
        <f>"20190312161242092"</f>
        <v>20190312161242092</v>
      </c>
      <c r="B920" t="str">
        <f>"1552378362086592"</f>
        <v>1552378362086592</v>
      </c>
      <c r="C920" t="s">
        <v>40</v>
      </c>
      <c r="D920">
        <v>5.4730169999999996</v>
      </c>
      <c r="E920">
        <v>0.57172060000000002</v>
      </c>
      <c r="F920" t="s">
        <v>42</v>
      </c>
      <c r="G920">
        <v>-175.535</v>
      </c>
      <c r="H920">
        <v>7.9986710000000003E-2</v>
      </c>
      <c r="I920">
        <v>348.6277</v>
      </c>
      <c r="J920">
        <v>-224.6104</v>
      </c>
      <c r="K920">
        <v>1.109364</v>
      </c>
      <c r="L920">
        <v>368.03280000000001</v>
      </c>
      <c r="M920">
        <v>0.99975579999999997</v>
      </c>
      <c r="N920">
        <v>0</v>
      </c>
      <c r="O920">
        <v>-1.7764789999999999E-2</v>
      </c>
      <c r="P920">
        <v>0.98193680000000005</v>
      </c>
      <c r="Q920">
        <v>-2.3630379999999999E-2</v>
      </c>
      <c r="R920">
        <v>-0.1877288</v>
      </c>
      <c r="S920">
        <v>2.8411870000000001</v>
      </c>
      <c r="T920">
        <v>-5.9319499999999997E-2</v>
      </c>
      <c r="U920">
        <v>-1.11853</v>
      </c>
      <c r="V920">
        <v>0.17023260000000001</v>
      </c>
      <c r="W920">
        <v>-1.1002919999999999E-2</v>
      </c>
      <c r="X920">
        <v>0.98534250000000001</v>
      </c>
      <c r="Y920">
        <v>0.34966730000000001</v>
      </c>
      <c r="Z920">
        <v>-3.1612459999999999E-3</v>
      </c>
      <c r="AA920">
        <v>0.93686860000000005</v>
      </c>
      <c r="AB920">
        <v>23</v>
      </c>
      <c r="AC920">
        <v>49.075400000000002</v>
      </c>
      <c r="AD920">
        <v>-1.02937729</v>
      </c>
      <c r="AE920">
        <v>-19.405100000000001</v>
      </c>
      <c r="AF920">
        <v>18.523100073253101</v>
      </c>
      <c r="AG920">
        <v>-1.02937729</v>
      </c>
      <c r="AH920">
        <v>49.393618297419103</v>
      </c>
      <c r="AI920">
        <v>91.117888251907999</v>
      </c>
      <c r="AJ920">
        <v>69.443453199657696</v>
      </c>
      <c r="AK920">
        <v>52.7626229677795</v>
      </c>
      <c r="AL920">
        <v>90.630433585174003</v>
      </c>
      <c r="AM920">
        <v>80.198057831293497</v>
      </c>
      <c r="AN920">
        <v>1.00000002232876</v>
      </c>
    </row>
    <row r="921" spans="1:40" x14ac:dyDescent="0.25">
      <c r="A921" t="str">
        <f>"20190312161242113"</f>
        <v>20190312161242113</v>
      </c>
      <c r="B921" t="str">
        <f>"1552378362106112"</f>
        <v>1552378362106112</v>
      </c>
      <c r="C921" t="s">
        <v>40</v>
      </c>
      <c r="D921">
        <v>5.5549999999999997</v>
      </c>
      <c r="E921">
        <v>0.5714378</v>
      </c>
      <c r="F921" t="s">
        <v>41</v>
      </c>
      <c r="G921">
        <v>-168.14769999999999</v>
      </c>
      <c r="H921">
        <v>-0.05</v>
      </c>
      <c r="I921">
        <v>345.62099999999998</v>
      </c>
      <c r="J921">
        <v>-224.39599999999999</v>
      </c>
      <c r="K921">
        <v>1.109343</v>
      </c>
      <c r="L921">
        <v>368.02760000000001</v>
      </c>
      <c r="M921">
        <v>0.99973429999999996</v>
      </c>
      <c r="N921">
        <v>0</v>
      </c>
      <c r="O921">
        <v>-1.896772E-2</v>
      </c>
      <c r="P921">
        <v>0.98156829999999995</v>
      </c>
      <c r="Q921">
        <v>-2.4154930000000002E-2</v>
      </c>
      <c r="R921">
        <v>-0.1895799</v>
      </c>
      <c r="S921">
        <v>2.8383940000000001</v>
      </c>
      <c r="T921">
        <v>-5.828154E-2</v>
      </c>
      <c r="U921">
        <v>-1.1266480000000001</v>
      </c>
      <c r="V921">
        <v>0.170903799999999</v>
      </c>
      <c r="W921">
        <v>-1.157796E-2</v>
      </c>
      <c r="X921">
        <v>0.98521970000000003</v>
      </c>
      <c r="Y921">
        <v>0.35117280000000001</v>
      </c>
      <c r="Z921">
        <v>-3.0983500000000001E-3</v>
      </c>
      <c r="AA921">
        <v>0.93630550000000001</v>
      </c>
      <c r="AB921">
        <v>23</v>
      </c>
      <c r="AC921">
        <v>56.2483</v>
      </c>
      <c r="AD921">
        <v>-1.159343</v>
      </c>
      <c r="AE921">
        <v>-22.406600000000001</v>
      </c>
      <c r="AF921">
        <v>21.327755139918899</v>
      </c>
      <c r="AG921">
        <v>-1.159343</v>
      </c>
      <c r="AH921">
        <v>56.642450180170201</v>
      </c>
      <c r="AI921">
        <v>91.097359089284595</v>
      </c>
      <c r="AJ921">
        <v>69.366985037165307</v>
      </c>
      <c r="AK921">
        <v>60.535810706664002</v>
      </c>
      <c r="AL921">
        <v>90.663383059855803</v>
      </c>
      <c r="AM921">
        <v>80.158961854429705</v>
      </c>
      <c r="AN921">
        <v>1.0000000076401401</v>
      </c>
    </row>
    <row r="922" spans="1:40" x14ac:dyDescent="0.25">
      <c r="A922" t="str">
        <f>"20190312161242126"</f>
        <v>20190312161242126</v>
      </c>
      <c r="B922" t="str">
        <f>"1552378362116848"</f>
        <v>1552378362116848</v>
      </c>
      <c r="C922" t="s">
        <v>40</v>
      </c>
      <c r="D922">
        <v>5.448334</v>
      </c>
      <c r="E922">
        <v>0.57100289999999998</v>
      </c>
      <c r="F922" t="s">
        <v>45</v>
      </c>
      <c r="G922">
        <v>-160.6902</v>
      </c>
      <c r="H922">
        <v>-4.6010879999999997E-2</v>
      </c>
      <c r="I922">
        <v>342.64389999999997</v>
      </c>
      <c r="J922">
        <v>-224.25960000000001</v>
      </c>
      <c r="K922">
        <v>1.1093360000000001</v>
      </c>
      <c r="L922">
        <v>368.02420000000001</v>
      </c>
      <c r="M922">
        <v>0.99971980000000005</v>
      </c>
      <c r="N922">
        <v>0</v>
      </c>
      <c r="O922">
        <v>-1.9737520000000001E-2</v>
      </c>
      <c r="P922">
        <v>0.98138219999999998</v>
      </c>
      <c r="Q922">
        <v>-2.4354230000000001E-2</v>
      </c>
      <c r="R922">
        <v>-0.19051589999999999</v>
      </c>
      <c r="S922">
        <v>2.8367610000000001</v>
      </c>
      <c r="T922">
        <v>-5.1446560000000002E-2</v>
      </c>
      <c r="U922">
        <v>-1.1303099999999999</v>
      </c>
      <c r="V922">
        <v>0.17108400000000001</v>
      </c>
      <c r="W922">
        <v>-1.180893E-2</v>
      </c>
      <c r="X922">
        <v>0.98518570000000005</v>
      </c>
      <c r="Y922">
        <v>0.35169349999999999</v>
      </c>
      <c r="Z922">
        <v>-2.7270100000000002E-3</v>
      </c>
      <c r="AA922">
        <v>0.93611129999999998</v>
      </c>
      <c r="AB922">
        <v>23</v>
      </c>
      <c r="AC922">
        <v>63.569400000000002</v>
      </c>
      <c r="AD922">
        <v>-1.15534688</v>
      </c>
      <c r="AE922">
        <v>-25.380299999999998</v>
      </c>
      <c r="AF922">
        <v>24.113675525851399</v>
      </c>
      <c r="AG922">
        <v>-1.15534688</v>
      </c>
      <c r="AH922">
        <v>64.039756282365602</v>
      </c>
      <c r="AI922">
        <v>90.967279766212101</v>
      </c>
      <c r="AJ922">
        <v>69.366522656999706</v>
      </c>
      <c r="AK922">
        <v>68.4389842011404</v>
      </c>
      <c r="AL922">
        <v>90.676617559297796</v>
      </c>
      <c r="AM922">
        <v>80.148455390379794</v>
      </c>
      <c r="AN922">
        <v>1.0000000246841101</v>
      </c>
    </row>
    <row r="923" spans="1:40" x14ac:dyDescent="0.25">
      <c r="A923" t="str">
        <f>"20190312161242140"</f>
        <v>20190312161242140</v>
      </c>
      <c r="B923" t="str">
        <f>"1552378362136368"</f>
        <v>1552378362136368</v>
      </c>
      <c r="C923" t="s">
        <v>40</v>
      </c>
      <c r="D923">
        <v>5.4670759999999996</v>
      </c>
      <c r="E923">
        <v>0.57024929999999996</v>
      </c>
      <c r="F923" t="s">
        <v>45</v>
      </c>
      <c r="G923">
        <v>-160.55680000000001</v>
      </c>
      <c r="H923">
        <v>6.8219749999999996E-2</v>
      </c>
      <c r="I923">
        <v>342.64389999999997</v>
      </c>
      <c r="J923">
        <v>-224.13</v>
      </c>
      <c r="K923">
        <v>1.109324</v>
      </c>
      <c r="L923">
        <v>368.02080000000001</v>
      </c>
      <c r="M923">
        <v>0.99970530000000002</v>
      </c>
      <c r="N923">
        <v>0</v>
      </c>
      <c r="O923">
        <v>-2.0475810000000001E-2</v>
      </c>
      <c r="P923">
        <v>0.98126899999999995</v>
      </c>
      <c r="Q923">
        <v>-2.448672E-2</v>
      </c>
      <c r="R923">
        <v>-0.19108030000000001</v>
      </c>
      <c r="S923">
        <v>2.836395</v>
      </c>
      <c r="T923">
        <v>-4.6355840000000002E-2</v>
      </c>
      <c r="U923">
        <v>-1.130066</v>
      </c>
      <c r="V923">
        <v>0.17092299999999999</v>
      </c>
      <c r="W923">
        <v>-1.197553E-2</v>
      </c>
      <c r="X923">
        <v>0.98521159999999997</v>
      </c>
      <c r="Y923">
        <v>0.35098309999999999</v>
      </c>
      <c r="Z923">
        <v>-2.4403459999999999E-3</v>
      </c>
      <c r="AA923">
        <v>0.93637859999999995</v>
      </c>
      <c r="AB923">
        <v>23</v>
      </c>
      <c r="AC923">
        <v>63.5731999999999</v>
      </c>
      <c r="AD923">
        <v>-1.0411042500000001</v>
      </c>
      <c r="AE923">
        <v>-25.376899999999999</v>
      </c>
      <c r="AF923">
        <v>24.064188604130301</v>
      </c>
      <c r="AG923">
        <v>-1.0411042500000001</v>
      </c>
      <c r="AH923">
        <v>64.064706309584196</v>
      </c>
      <c r="AI923">
        <v>90.871573535068507</v>
      </c>
      <c r="AJ923">
        <v>69.412657752923096</v>
      </c>
      <c r="AK923">
        <v>68.443083403422193</v>
      </c>
      <c r="AL923">
        <v>90.686163734103104</v>
      </c>
      <c r="AM923">
        <v>80.157798557834795</v>
      </c>
      <c r="AN923">
        <v>0.99999999101116999</v>
      </c>
    </row>
    <row r="924" spans="1:40" x14ac:dyDescent="0.25">
      <c r="A924" t="str">
        <f>"20190312161242151"</f>
        <v>20190312161242151</v>
      </c>
      <c r="B924" t="str">
        <f>"1552378362146128"</f>
        <v>1552378362146128</v>
      </c>
      <c r="C924" t="s">
        <v>40</v>
      </c>
      <c r="D924">
        <v>5.4125430000000003</v>
      </c>
      <c r="E924">
        <v>0.56994500000000003</v>
      </c>
      <c r="F924" t="s">
        <v>45</v>
      </c>
      <c r="G924">
        <v>-160.20070000000001</v>
      </c>
      <c r="H924">
        <v>0.30171209999999998</v>
      </c>
      <c r="I924">
        <v>342.64389999999997</v>
      </c>
      <c r="J924">
        <v>-224.00319999999999</v>
      </c>
      <c r="K924">
        <v>1.109313</v>
      </c>
      <c r="L924">
        <v>368.01740000000001</v>
      </c>
      <c r="M924">
        <v>0.99969079999999999</v>
      </c>
      <c r="N924">
        <v>0</v>
      </c>
      <c r="O924">
        <v>-2.1201330000000001E-2</v>
      </c>
      <c r="P924">
        <v>0.98115560000000002</v>
      </c>
      <c r="Q924">
        <v>-2.4507129999999998E-2</v>
      </c>
      <c r="R924">
        <v>-0.19165969999999999</v>
      </c>
      <c r="S924">
        <v>2.837097</v>
      </c>
      <c r="T924">
        <v>-3.5840509999999999E-2</v>
      </c>
      <c r="U924">
        <v>-1.12619</v>
      </c>
      <c r="V924">
        <v>0.17078950000000001</v>
      </c>
      <c r="W924">
        <v>-1.2032309999999999E-2</v>
      </c>
      <c r="X924">
        <v>0.9852341</v>
      </c>
      <c r="Y924">
        <v>0.3491341</v>
      </c>
      <c r="Z924">
        <v>-1.8667860000000001E-3</v>
      </c>
      <c r="AA924">
        <v>0.93707090000000004</v>
      </c>
      <c r="AB924">
        <v>23</v>
      </c>
      <c r="AC924">
        <v>63.802499999999903</v>
      </c>
      <c r="AD924">
        <v>-0.80760089999999995</v>
      </c>
      <c r="AE924">
        <v>-25.3735</v>
      </c>
      <c r="AF924">
        <v>24.011661903371198</v>
      </c>
      <c r="AG924">
        <v>-0.80760089999999995</v>
      </c>
      <c r="AH924">
        <v>64.317256108660601</v>
      </c>
      <c r="AI924">
        <v>90.673966431870596</v>
      </c>
      <c r="AJ924">
        <v>69.527809385692706</v>
      </c>
      <c r="AK924">
        <v>68.658004339789301</v>
      </c>
      <c r="AL924">
        <v>90.689417195474803</v>
      </c>
      <c r="AM924">
        <v>80.165555892020507</v>
      </c>
      <c r="AN924">
        <v>1.00000003079849</v>
      </c>
    </row>
    <row r="925" spans="1:40" x14ac:dyDescent="0.25">
      <c r="A925" t="str">
        <f>"20190312161242165"</f>
        <v>20190312161242165</v>
      </c>
      <c r="B925" t="str">
        <f>"1552378362156864"</f>
        <v>1552378362156864</v>
      </c>
      <c r="C925" t="s">
        <v>40</v>
      </c>
      <c r="D925">
        <v>5.4458229999999999</v>
      </c>
      <c r="E925">
        <v>0.56970600000000005</v>
      </c>
      <c r="F925" t="s">
        <v>45</v>
      </c>
      <c r="G925">
        <v>-160.07130000000001</v>
      </c>
      <c r="H925">
        <v>0.41069559999999999</v>
      </c>
      <c r="I925">
        <v>342.64389999999997</v>
      </c>
      <c r="J925">
        <v>-223.86330000000001</v>
      </c>
      <c r="K925">
        <v>1.1093</v>
      </c>
      <c r="L925">
        <v>368.01350000000002</v>
      </c>
      <c r="M925">
        <v>0.99967379999999995</v>
      </c>
      <c r="N925">
        <v>0</v>
      </c>
      <c r="O925">
        <v>-2.2008070000000001E-2</v>
      </c>
      <c r="P925">
        <v>0.98109880000000005</v>
      </c>
      <c r="Q925">
        <v>-2.4754580000000002E-2</v>
      </c>
      <c r="R925">
        <v>-0.1919179</v>
      </c>
      <c r="S925">
        <v>2.8368989999999998</v>
      </c>
      <c r="T925">
        <v>-3.100002E-2</v>
      </c>
      <c r="U925">
        <v>-1.1259159999999999</v>
      </c>
      <c r="V925">
        <v>0.1702534</v>
      </c>
      <c r="W925">
        <v>-1.2323850000000001E-2</v>
      </c>
      <c r="X925">
        <v>0.98532330000000001</v>
      </c>
      <c r="Y925">
        <v>0.34832760000000001</v>
      </c>
      <c r="Z925">
        <v>-1.6020909999999999E-3</v>
      </c>
      <c r="AA925">
        <v>0.93737150000000002</v>
      </c>
      <c r="AB925">
        <v>23</v>
      </c>
      <c r="AC925">
        <v>63.792000000000002</v>
      </c>
      <c r="AD925">
        <v>-0.69860440000000001</v>
      </c>
      <c r="AE925">
        <v>-25.369599999999998</v>
      </c>
      <c r="AF925">
        <v>23.956916765491101</v>
      </c>
      <c r="AG925">
        <v>-0.69860440000000001</v>
      </c>
      <c r="AH925">
        <v>64.328267990295302</v>
      </c>
      <c r="AI925">
        <v>90.583087261175706</v>
      </c>
      <c r="AJ925">
        <v>69.573832502708498</v>
      </c>
      <c r="AK925">
        <v>68.648000492713706</v>
      </c>
      <c r="AL925">
        <v>90.706122430742795</v>
      </c>
      <c r="AM925">
        <v>80.196696092147604</v>
      </c>
      <c r="AN925">
        <v>1.0000000515066301</v>
      </c>
    </row>
    <row r="926" spans="1:40" x14ac:dyDescent="0.25">
      <c r="A926" t="str">
        <f>"20190312161242179"</f>
        <v>20190312161242179</v>
      </c>
      <c r="B926" t="str">
        <f>"1552378362175915"</f>
        <v>1552378362175915</v>
      </c>
      <c r="C926" t="s">
        <v>40</v>
      </c>
      <c r="D926">
        <v>5.452178</v>
      </c>
      <c r="E926">
        <v>0.56928579999999995</v>
      </c>
      <c r="F926" t="s">
        <v>45</v>
      </c>
      <c r="G926">
        <v>-158.74879999999999</v>
      </c>
      <c r="H926">
        <v>0.48368420000000001</v>
      </c>
      <c r="I926">
        <v>342.19</v>
      </c>
      <c r="J926">
        <v>-223.72730000000001</v>
      </c>
      <c r="K926">
        <v>1.109281</v>
      </c>
      <c r="L926">
        <v>368.00959999999998</v>
      </c>
      <c r="M926">
        <v>0.99965669999999995</v>
      </c>
      <c r="N926">
        <v>0</v>
      </c>
      <c r="O926">
        <v>-2.2798470000000001E-2</v>
      </c>
      <c r="P926">
        <v>0.98106349999999998</v>
      </c>
      <c r="Q926">
        <v>-2.490179E-2</v>
      </c>
      <c r="R926">
        <v>-0.192078</v>
      </c>
      <c r="S926">
        <v>2.837021</v>
      </c>
      <c r="T926">
        <v>-2.7257679999999999E-2</v>
      </c>
      <c r="U926">
        <v>-1.125122</v>
      </c>
      <c r="V926">
        <v>0.16963499999999901</v>
      </c>
      <c r="W926">
        <v>-1.2517550000000001E-2</v>
      </c>
      <c r="X926">
        <v>0.98542739999999995</v>
      </c>
      <c r="Y926">
        <v>0.34734989999999999</v>
      </c>
      <c r="Z926">
        <v>-1.39688299999999E-3</v>
      </c>
      <c r="AA926">
        <v>0.93773450000000003</v>
      </c>
      <c r="AB926">
        <v>23</v>
      </c>
      <c r="AC926">
        <v>64.978499999999997</v>
      </c>
      <c r="AD926">
        <v>-0.62559679999999895</v>
      </c>
      <c r="AE926">
        <v>-25.819599999999902</v>
      </c>
      <c r="AF926">
        <v>24.329406335989599</v>
      </c>
      <c r="AG926">
        <v>-0.62559679999999895</v>
      </c>
      <c r="AH926">
        <v>65.545057365282403</v>
      </c>
      <c r="AI926">
        <v>90.512668518868097</v>
      </c>
      <c r="AJ926">
        <v>69.635780144948399</v>
      </c>
      <c r="AK926">
        <v>69.917565239616493</v>
      </c>
      <c r="AL926">
        <v>90.717221557779098</v>
      </c>
      <c r="AM926">
        <v>80.232628802851394</v>
      </c>
      <c r="AN926">
        <v>0.99999994147687898</v>
      </c>
    </row>
    <row r="927" spans="1:40" x14ac:dyDescent="0.25">
      <c r="A927" t="str">
        <f>"20190312161242192"</f>
        <v>20190312161242192</v>
      </c>
      <c r="B927" t="str">
        <f>"1552378362186652"</f>
        <v>1552378362186652</v>
      </c>
      <c r="C927" t="s">
        <v>40</v>
      </c>
      <c r="D927">
        <v>5.483549</v>
      </c>
      <c r="E927">
        <v>0.56910780000000005</v>
      </c>
      <c r="F927" t="s">
        <v>45</v>
      </c>
      <c r="G927">
        <v>-158.4854</v>
      </c>
      <c r="H927">
        <v>0.65822709999999995</v>
      </c>
      <c r="I927">
        <v>342.19</v>
      </c>
      <c r="J927">
        <v>-223.59610000000001</v>
      </c>
      <c r="K927">
        <v>1.1092759999999999</v>
      </c>
      <c r="L927">
        <v>368.00569999999999</v>
      </c>
      <c r="M927">
        <v>0.99963959999999996</v>
      </c>
      <c r="N927">
        <v>0</v>
      </c>
      <c r="O927">
        <v>-2.3563710000000002E-2</v>
      </c>
      <c r="P927">
        <v>0.98096229999999995</v>
      </c>
      <c r="Q927">
        <v>-2.5185059999999999E-2</v>
      </c>
      <c r="R927">
        <v>-0.19255849999999999</v>
      </c>
      <c r="S927">
        <v>2.8375240000000002</v>
      </c>
      <c r="T927">
        <v>-1.9617200000000001E-2</v>
      </c>
      <c r="U927">
        <v>-1.1229549999999999</v>
      </c>
      <c r="V927">
        <v>0.1693625</v>
      </c>
      <c r="W927">
        <v>-1.284851E-2</v>
      </c>
      <c r="X927">
        <v>0.98547010000000002</v>
      </c>
      <c r="Y927">
        <v>0.34596199999999999</v>
      </c>
      <c r="Z927">
        <v>-9.9559910000000004E-4</v>
      </c>
      <c r="AA927">
        <v>0.93824799999999997</v>
      </c>
      <c r="AB927">
        <v>23</v>
      </c>
      <c r="AC927">
        <v>65.110699999999994</v>
      </c>
      <c r="AD927">
        <v>-0.45104889999999997</v>
      </c>
      <c r="AE927">
        <v>-25.8157</v>
      </c>
      <c r="AF927">
        <v>24.273147583512301</v>
      </c>
      <c r="AG927">
        <v>-0.45104889999999997</v>
      </c>
      <c r="AH927">
        <v>65.698257682055498</v>
      </c>
      <c r="AI927">
        <v>90.368978425698202</v>
      </c>
      <c r="AJ927">
        <v>69.7225385308695</v>
      </c>
      <c r="AK927">
        <v>70.040346952159894</v>
      </c>
      <c r="AL927">
        <v>90.736185630841902</v>
      </c>
      <c r="AM927">
        <v>80.248431939564597</v>
      </c>
      <c r="AN927">
        <v>1.00000002930473</v>
      </c>
    </row>
    <row r="928" spans="1:40" x14ac:dyDescent="0.25">
      <c r="A928" t="str">
        <f>"20190312161242203"</f>
        <v>20190312161242203</v>
      </c>
      <c r="B928" t="str">
        <f>"1552378362196411"</f>
        <v>1552378362196411</v>
      </c>
      <c r="C928" t="s">
        <v>40</v>
      </c>
      <c r="D928">
        <v>5.4564500000000002</v>
      </c>
      <c r="E928">
        <v>0.56893769999999999</v>
      </c>
      <c r="F928" t="s">
        <v>45</v>
      </c>
      <c r="G928">
        <v>-158.36429999999999</v>
      </c>
      <c r="H928">
        <v>0.72209369999999995</v>
      </c>
      <c r="I928">
        <v>342.19</v>
      </c>
      <c r="J928">
        <v>-223.4813</v>
      </c>
      <c r="K928">
        <v>1.1092649999999999</v>
      </c>
      <c r="L928">
        <v>368.00229999999999</v>
      </c>
      <c r="M928">
        <v>0.99962410000000002</v>
      </c>
      <c r="N928">
        <v>0</v>
      </c>
      <c r="O928">
        <v>-2.4237180000000001E-2</v>
      </c>
      <c r="P928">
        <v>0.98090679999999997</v>
      </c>
      <c r="Q928">
        <v>-2.506514E-2</v>
      </c>
      <c r="R928">
        <v>-0.192857</v>
      </c>
      <c r="S928">
        <v>2.8373569999999999</v>
      </c>
      <c r="T928">
        <v>-1.6840819999999999E-2</v>
      </c>
      <c r="U928">
        <v>-1.1228940000000001</v>
      </c>
      <c r="V928">
        <v>0.1689986</v>
      </c>
      <c r="W928">
        <v>-1.277089E-2</v>
      </c>
      <c r="X928">
        <v>0.98553349999999995</v>
      </c>
      <c r="Y928">
        <v>0.345333099999999</v>
      </c>
      <c r="Z928">
        <v>-8.4910529999999995E-4</v>
      </c>
      <c r="AA928">
        <v>0.93847979999999998</v>
      </c>
      <c r="AB928">
        <v>23</v>
      </c>
      <c r="AC928">
        <v>65.117000000000004</v>
      </c>
      <c r="AD928">
        <v>-0.3871713</v>
      </c>
      <c r="AE928">
        <v>-25.8123</v>
      </c>
      <c r="AF928">
        <v>24.225593853920099</v>
      </c>
      <c r="AG928">
        <v>-0.3871713</v>
      </c>
      <c r="AH928">
        <v>65.721528689026101</v>
      </c>
      <c r="AI928">
        <v>90.316700535866104</v>
      </c>
      <c r="AJ928">
        <v>69.765623548822703</v>
      </c>
      <c r="AK928">
        <v>70.045332695427504</v>
      </c>
      <c r="AL928">
        <v>90.731738024926699</v>
      </c>
      <c r="AM928">
        <v>80.269597618402599</v>
      </c>
      <c r="AN928">
        <v>0.99999995102779904</v>
      </c>
    </row>
    <row r="929" spans="1:40" x14ac:dyDescent="0.25">
      <c r="A929" t="str">
        <f>"20190312161242214"</f>
        <v>20190312161242214</v>
      </c>
      <c r="B929" t="str">
        <f>"1552378362206171"</f>
        <v>1552378362206171</v>
      </c>
      <c r="C929" t="s">
        <v>40</v>
      </c>
      <c r="D929">
        <v>5.4266160000000001</v>
      </c>
      <c r="E929">
        <v>0.56883399999999995</v>
      </c>
      <c r="F929" t="s">
        <v>45</v>
      </c>
      <c r="G929">
        <v>-158.2535</v>
      </c>
      <c r="H929">
        <v>0.81899650000000002</v>
      </c>
      <c r="I929">
        <v>342.19</v>
      </c>
      <c r="J929">
        <v>-223.36359999999999</v>
      </c>
      <c r="K929">
        <v>1.1092569999999999</v>
      </c>
      <c r="L929">
        <v>367.99869999999999</v>
      </c>
      <c r="M929">
        <v>0.99960760000000004</v>
      </c>
      <c r="N929">
        <v>0</v>
      </c>
      <c r="O929">
        <v>-2.493018E-2</v>
      </c>
      <c r="P929">
        <v>0.98083589999999998</v>
      </c>
      <c r="Q929">
        <v>-2.4855760000000001E-2</v>
      </c>
      <c r="R929">
        <v>-0.193245</v>
      </c>
      <c r="S929">
        <v>2.837326</v>
      </c>
      <c r="T929">
        <v>-1.262605E-2</v>
      </c>
      <c r="U929">
        <v>-1.122803</v>
      </c>
      <c r="V929">
        <v>0.16870539999999901</v>
      </c>
      <c r="W929">
        <v>-1.260618E-2</v>
      </c>
      <c r="X929">
        <v>0.98558590000000001</v>
      </c>
      <c r="Y929">
        <v>0.34466180000000002</v>
      </c>
      <c r="Z929">
        <v>-6.3220799999999999E-4</v>
      </c>
      <c r="AA929">
        <v>0.93872670000000002</v>
      </c>
      <c r="AB929">
        <v>23</v>
      </c>
      <c r="AC929">
        <v>65.110099999999903</v>
      </c>
      <c r="AD929">
        <v>-0.29026049999999898</v>
      </c>
      <c r="AE929">
        <v>-25.808699999999899</v>
      </c>
      <c r="AF929">
        <v>24.176923042333801</v>
      </c>
      <c r="AG929">
        <v>-0.29026049999999898</v>
      </c>
      <c r="AH929">
        <v>65.732199201991705</v>
      </c>
      <c r="AI929">
        <v>90.237453024519297</v>
      </c>
      <c r="AJ929">
        <v>69.806001724601501</v>
      </c>
      <c r="AK929">
        <v>70.0380601593384</v>
      </c>
      <c r="AL929">
        <v>90.722300043607106</v>
      </c>
      <c r="AM929">
        <v>80.286663849650793</v>
      </c>
      <c r="AN929">
        <v>0.999999997021081</v>
      </c>
    </row>
    <row r="930" spans="1:40" x14ac:dyDescent="0.25">
      <c r="A930" t="str">
        <f>"20190312161242227"</f>
        <v>20190312161242227</v>
      </c>
      <c r="B930" t="str">
        <f>"1552378362216908"</f>
        <v>1552378362216908</v>
      </c>
      <c r="C930" t="s">
        <v>40</v>
      </c>
      <c r="D930">
        <v>5.4299850000000003</v>
      </c>
      <c r="E930">
        <v>0.56884860000000004</v>
      </c>
      <c r="F930" t="s">
        <v>45</v>
      </c>
      <c r="G930">
        <v>-158.1712</v>
      </c>
      <c r="H930">
        <v>0.9252397</v>
      </c>
      <c r="I930">
        <v>342.19</v>
      </c>
      <c r="J930">
        <v>-223.23830000000001</v>
      </c>
      <c r="K930">
        <v>1.109251</v>
      </c>
      <c r="L930">
        <v>367.99470000000002</v>
      </c>
      <c r="M930">
        <v>0.99958950000000002</v>
      </c>
      <c r="N930">
        <v>0</v>
      </c>
      <c r="O930">
        <v>-2.566999E-2</v>
      </c>
      <c r="P930">
        <v>0.98074289999999997</v>
      </c>
      <c r="Q930">
        <v>-2.4737550000000001E-2</v>
      </c>
      <c r="R930">
        <v>-0.19373080000000001</v>
      </c>
      <c r="S930">
        <v>2.8371119999999999</v>
      </c>
      <c r="T930">
        <v>-8.0080029999999996E-3</v>
      </c>
      <c r="U930">
        <v>-1.1231690000000001</v>
      </c>
      <c r="V930">
        <v>0.16846439999999999</v>
      </c>
      <c r="W930">
        <v>-1.253656E-2</v>
      </c>
      <c r="X930">
        <v>0.98562799999999995</v>
      </c>
      <c r="Y930">
        <v>0.344097599999999</v>
      </c>
      <c r="Z930">
        <v>-3.9822000000000002E-4</v>
      </c>
      <c r="AA930">
        <v>0.93893380000000004</v>
      </c>
      <c r="AB930">
        <v>23</v>
      </c>
      <c r="AC930">
        <v>65.067099999999996</v>
      </c>
      <c r="AD930">
        <v>-0.18401129999999999</v>
      </c>
      <c r="AE930">
        <v>-25.8047</v>
      </c>
      <c r="AF930">
        <v>24.125621495072298</v>
      </c>
      <c r="AG930">
        <v>-0.18401129999999999</v>
      </c>
      <c r="AH930">
        <v>65.707660986839599</v>
      </c>
      <c r="AI930">
        <v>90.150621985664799</v>
      </c>
      <c r="AJ930">
        <v>69.838479645317506</v>
      </c>
      <c r="AK930">
        <v>69.996972684848799</v>
      </c>
      <c r="AL930">
        <v>90.718310803458095</v>
      </c>
      <c r="AM930">
        <v>80.300682257507304</v>
      </c>
      <c r="AN930">
        <v>0.99999998689399605</v>
      </c>
    </row>
    <row r="931" spans="1:40" x14ac:dyDescent="0.25">
      <c r="A931" t="str">
        <f>"20190312161242247"</f>
        <v>20190312161242247</v>
      </c>
      <c r="B931" t="str">
        <f>"1552378362236427"</f>
        <v>1552378362236427</v>
      </c>
      <c r="C931" t="s">
        <v>40</v>
      </c>
      <c r="D931">
        <v>5.3517400000000004</v>
      </c>
      <c r="E931">
        <v>0.56886959999999998</v>
      </c>
      <c r="F931" t="s">
        <v>45</v>
      </c>
      <c r="G931">
        <v>-158.1728</v>
      </c>
      <c r="H931">
        <v>1.0032719999999999</v>
      </c>
      <c r="I931">
        <v>342.19</v>
      </c>
      <c r="J931">
        <v>-223.05009999999999</v>
      </c>
      <c r="K931">
        <v>1.10924</v>
      </c>
      <c r="L931">
        <v>367.98860000000002</v>
      </c>
      <c r="M931">
        <v>0.99956149999999999</v>
      </c>
      <c r="N931">
        <v>0</v>
      </c>
      <c r="O931">
        <v>-2.6783990000000001E-2</v>
      </c>
      <c r="P931">
        <v>0.98066050000000005</v>
      </c>
      <c r="Q931">
        <v>-2.4058019999999999E-2</v>
      </c>
      <c r="R931">
        <v>-0.19423389999999999</v>
      </c>
      <c r="S931">
        <v>2.8365629999999999</v>
      </c>
      <c r="T931">
        <v>-4.6199559999999997E-3</v>
      </c>
      <c r="U931">
        <v>-1.1249690000000001</v>
      </c>
      <c r="V931">
        <v>0.1678722</v>
      </c>
      <c r="W931">
        <v>-1.1936479999999999E-2</v>
      </c>
      <c r="X931">
        <v>0.98573650000000002</v>
      </c>
      <c r="Y931">
        <v>0.34362920000000002</v>
      </c>
      <c r="Z931">
        <v>-2.2764500000000001E-4</v>
      </c>
      <c r="AA931">
        <v>0.93910539999999998</v>
      </c>
      <c r="AB931">
        <v>23</v>
      </c>
      <c r="AC931">
        <v>64.877299999999906</v>
      </c>
      <c r="AD931">
        <v>-0.10596800000000001</v>
      </c>
      <c r="AE931">
        <v>-25.7986</v>
      </c>
      <c r="AF931">
        <v>24.051476245738101</v>
      </c>
      <c r="AG931">
        <v>-0.10596800000000001</v>
      </c>
      <c r="AH931">
        <v>65.544914747783807</v>
      </c>
      <c r="AI931">
        <v>90.086961521095304</v>
      </c>
      <c r="AJ931">
        <v>69.849565331128304</v>
      </c>
      <c r="AK931">
        <v>69.818483141003398</v>
      </c>
      <c r="AL931">
        <v>90.683926166952205</v>
      </c>
      <c r="AM931">
        <v>80.335177613243701</v>
      </c>
      <c r="AN931">
        <v>1.0000000012599399</v>
      </c>
    </row>
    <row r="932" spans="1:40" x14ac:dyDescent="0.25">
      <c r="A932" t="str">
        <f>"20190312161242261"</f>
        <v>20190312161242261</v>
      </c>
      <c r="B932" t="str">
        <f>"1552378362255947"</f>
        <v>1552378362255947</v>
      </c>
      <c r="C932" t="s">
        <v>40</v>
      </c>
      <c r="D932">
        <v>5.3362470000000002</v>
      </c>
      <c r="E932">
        <v>0.56879849999999998</v>
      </c>
      <c r="F932" t="s">
        <v>45</v>
      </c>
      <c r="G932">
        <v>-158.11089999999999</v>
      </c>
      <c r="H932">
        <v>1.197443</v>
      </c>
      <c r="I932">
        <v>342.19</v>
      </c>
      <c r="J932">
        <v>-222.90260000000001</v>
      </c>
      <c r="K932">
        <v>1.1092299999999999</v>
      </c>
      <c r="L932">
        <v>367.98360000000002</v>
      </c>
      <c r="M932">
        <v>0.99953840000000005</v>
      </c>
      <c r="N932">
        <v>0</v>
      </c>
      <c r="O932">
        <v>-2.7659179999999998E-2</v>
      </c>
      <c r="P932">
        <v>0.98056860000000001</v>
      </c>
      <c r="Q932">
        <v>-2.3867159999999998E-2</v>
      </c>
      <c r="R932">
        <v>-0.1947188</v>
      </c>
      <c r="S932">
        <v>2.8361049999999999</v>
      </c>
      <c r="T932">
        <v>3.8523670000000002E-3</v>
      </c>
      <c r="U932">
        <v>-1.126709</v>
      </c>
      <c r="V932">
        <v>0.16749710000000001</v>
      </c>
      <c r="W932">
        <v>-1.181049E-2</v>
      </c>
      <c r="X932">
        <v>0.98580179999999995</v>
      </c>
      <c r="Y932">
        <v>0.34335660000000001</v>
      </c>
      <c r="Z932">
        <v>1.885101E-4</v>
      </c>
      <c r="AA932">
        <v>0.93920510000000001</v>
      </c>
      <c r="AB932">
        <v>23</v>
      </c>
      <c r="AC932">
        <v>64.791700000000006</v>
      </c>
      <c r="AD932">
        <v>8.8213000000000097E-2</v>
      </c>
      <c r="AE932">
        <v>-25.793600000000001</v>
      </c>
      <c r="AF932">
        <v>23.991464877654899</v>
      </c>
      <c r="AG932">
        <v>8.8213000000000097E-2</v>
      </c>
      <c r="AH932">
        <v>65.480288941366695</v>
      </c>
      <c r="AI932">
        <v>89.927524485023994</v>
      </c>
      <c r="AJ932">
        <v>69.877561631967197</v>
      </c>
      <c r="AK932">
        <v>69.737123602525998</v>
      </c>
      <c r="AL932">
        <v>90.676706978854298</v>
      </c>
      <c r="AM932">
        <v>80.356993870224898</v>
      </c>
      <c r="AN932">
        <v>0.99999997753284398</v>
      </c>
    </row>
    <row r="933" spans="1:40" x14ac:dyDescent="0.25">
      <c r="A933" t="str">
        <f>"20190312161242275"</f>
        <v>20190312161242275</v>
      </c>
      <c r="B933" t="str">
        <f>"1552378362266214"</f>
        <v>1552378362266214</v>
      </c>
      <c r="C933" t="s">
        <v>40</v>
      </c>
      <c r="D933">
        <v>5.4036670000000004</v>
      </c>
      <c r="E933">
        <v>0.56876210000000005</v>
      </c>
      <c r="F933" t="s">
        <v>45</v>
      </c>
      <c r="G933">
        <v>-158.07</v>
      </c>
      <c r="H933">
        <v>1.3563620000000001</v>
      </c>
      <c r="I933">
        <v>342.19</v>
      </c>
      <c r="J933">
        <v>-222.75640000000001</v>
      </c>
      <c r="K933">
        <v>1.1092229999999901</v>
      </c>
      <c r="L933">
        <v>367.97859999999997</v>
      </c>
      <c r="M933">
        <v>0.99951489999999998</v>
      </c>
      <c r="N933">
        <v>0</v>
      </c>
      <c r="O933">
        <v>-2.852638E-2</v>
      </c>
      <c r="P933">
        <v>0.98049940000000002</v>
      </c>
      <c r="Q933">
        <v>-2.3489949999999999E-2</v>
      </c>
      <c r="R933">
        <v>-0.1951138</v>
      </c>
      <c r="S933">
        <v>2.8356780000000001</v>
      </c>
      <c r="T933">
        <v>1.080942E-2</v>
      </c>
      <c r="U933">
        <v>-1.128174</v>
      </c>
      <c r="V933">
        <v>0.1670392</v>
      </c>
      <c r="W933">
        <v>-1.149712E-2</v>
      </c>
      <c r="X933">
        <v>0.98588319999999996</v>
      </c>
      <c r="Y933">
        <v>0.34300750000000002</v>
      </c>
      <c r="Z933">
        <v>5.2515169999999998E-4</v>
      </c>
      <c r="AA933">
        <v>0.93933250000000001</v>
      </c>
      <c r="AB933">
        <v>23</v>
      </c>
      <c r="AC933">
        <v>64.686400000000006</v>
      </c>
      <c r="AD933">
        <v>0.247139</v>
      </c>
      <c r="AE933">
        <v>-25.788599999999899</v>
      </c>
      <c r="AF933">
        <v>23.932389035517399</v>
      </c>
      <c r="AG933">
        <v>0.247139</v>
      </c>
      <c r="AH933">
        <v>65.394960332656893</v>
      </c>
      <c r="AI933">
        <v>89.796659280734303</v>
      </c>
      <c r="AJ933">
        <v>69.899048134128805</v>
      </c>
      <c r="AK933">
        <v>69.637067424917106</v>
      </c>
      <c r="AL933">
        <v>90.658750978264806</v>
      </c>
      <c r="AM933">
        <v>80.383641915017407</v>
      </c>
      <c r="AN933">
        <v>0.99999998107358701</v>
      </c>
    </row>
    <row r="934" spans="1:40" x14ac:dyDescent="0.25">
      <c r="A934" t="str">
        <f>"20190312161242292"</f>
        <v>20190312161242292</v>
      </c>
      <c r="B934" t="str">
        <f>"1552378362286710"</f>
        <v>1552378362286710</v>
      </c>
      <c r="C934" t="s">
        <v>40</v>
      </c>
      <c r="D934">
        <v>5.3762530000000002</v>
      </c>
      <c r="E934">
        <v>0.56935210000000003</v>
      </c>
      <c r="F934" t="s">
        <v>45</v>
      </c>
      <c r="G934">
        <v>-158.00799999999899</v>
      </c>
      <c r="H934">
        <v>1.452305</v>
      </c>
      <c r="I934">
        <v>342.19</v>
      </c>
      <c r="J934">
        <v>-222.59289999999999</v>
      </c>
      <c r="K934">
        <v>1.109219</v>
      </c>
      <c r="L934">
        <v>367.97280000000001</v>
      </c>
      <c r="M934">
        <v>0.99948769999999998</v>
      </c>
      <c r="N934">
        <v>0</v>
      </c>
      <c r="O934">
        <v>-2.949676E-2</v>
      </c>
      <c r="P934">
        <v>0.98047810000000002</v>
      </c>
      <c r="Q934">
        <v>-2.2743369999999999E-2</v>
      </c>
      <c r="R934">
        <v>-0.1953087</v>
      </c>
      <c r="S934">
        <v>2.8353120000000001</v>
      </c>
      <c r="T934">
        <v>1.5023709999999999E-2</v>
      </c>
      <c r="U934">
        <v>-1.1292719999999901</v>
      </c>
      <c r="V934">
        <v>0.16627910000000001</v>
      </c>
      <c r="W934">
        <v>-1.081992E-2</v>
      </c>
      <c r="X934">
        <v>0.98601939999999999</v>
      </c>
      <c r="Y934">
        <v>0.34244950000000002</v>
      </c>
      <c r="Z934">
        <v>7.2356720000000001E-4</v>
      </c>
      <c r="AA934">
        <v>0.93953600000000004</v>
      </c>
      <c r="AB934">
        <v>23</v>
      </c>
      <c r="AC934">
        <v>64.584900000000005</v>
      </c>
      <c r="AD934">
        <v>0.343086</v>
      </c>
      <c r="AE934">
        <v>-25.782800000000002</v>
      </c>
      <c r="AF934">
        <v>23.865806388116098</v>
      </c>
      <c r="AG934">
        <v>0.343086</v>
      </c>
      <c r="AH934">
        <v>65.315771157377995</v>
      </c>
      <c r="AI934">
        <v>89.717322506138999</v>
      </c>
      <c r="AJ934">
        <v>69.928142550025797</v>
      </c>
      <c r="AK934">
        <v>69.540235723222906</v>
      </c>
      <c r="AL934">
        <v>90.619947826604204</v>
      </c>
      <c r="AM934">
        <v>80.427886682200807</v>
      </c>
      <c r="AN934">
        <v>1.00000003347098</v>
      </c>
    </row>
    <row r="935" spans="1:40" x14ac:dyDescent="0.25">
      <c r="A935" t="str">
        <f>"20190312161242307"</f>
        <v>20190312161242307</v>
      </c>
      <c r="B935" t="str">
        <f>"1552378362296471"</f>
        <v>1552378362296471</v>
      </c>
      <c r="C935" t="s">
        <v>40</v>
      </c>
      <c r="D935">
        <v>5.2599229999999997</v>
      </c>
      <c r="E935">
        <v>0.56948659999999995</v>
      </c>
      <c r="F935" t="s">
        <v>45</v>
      </c>
      <c r="G935">
        <v>-158.16499999999999</v>
      </c>
      <c r="H935">
        <v>1.49394</v>
      </c>
      <c r="I935">
        <v>342.19</v>
      </c>
      <c r="J935">
        <v>-222.4325</v>
      </c>
      <c r="K935">
        <v>1.1092120000000001</v>
      </c>
      <c r="L935">
        <v>367.96710000000002</v>
      </c>
      <c r="M935">
        <v>0.99946000000000002</v>
      </c>
      <c r="N935">
        <v>0</v>
      </c>
      <c r="O935">
        <v>-3.044811E-2</v>
      </c>
      <c r="P935">
        <v>0.98039140000000002</v>
      </c>
      <c r="Q935">
        <v>-2.2149510000000001E-2</v>
      </c>
      <c r="R935">
        <v>-0.19581319999999999</v>
      </c>
      <c r="S935">
        <v>2.8341829999999999</v>
      </c>
      <c r="T935">
        <v>1.6924140000000001E-2</v>
      </c>
      <c r="U935">
        <v>-1.1341859999999999</v>
      </c>
      <c r="V935">
        <v>0.1658483</v>
      </c>
      <c r="W935">
        <v>-1.0292809999999999E-2</v>
      </c>
      <c r="X935">
        <v>0.98609760000000002</v>
      </c>
      <c r="Y935">
        <v>0.34308759999999999</v>
      </c>
      <c r="Z935">
        <v>8.1152600000000002E-4</v>
      </c>
      <c r="AA935">
        <v>0.939303</v>
      </c>
      <c r="AB935">
        <v>23</v>
      </c>
      <c r="AC935">
        <v>64.267499999999998</v>
      </c>
      <c r="AD935">
        <v>0.38472800000000001</v>
      </c>
      <c r="AE935">
        <v>-25.777100000000001</v>
      </c>
      <c r="AF935">
        <v>23.807438398543599</v>
      </c>
      <c r="AG935">
        <v>0.38472800000000001</v>
      </c>
      <c r="AH935">
        <v>65.020614423418394</v>
      </c>
      <c r="AI935">
        <v>89.681652491674299</v>
      </c>
      <c r="AJ935">
        <v>69.889686365063298</v>
      </c>
      <c r="AK935">
        <v>69.243212221367102</v>
      </c>
      <c r="AL935">
        <v>90.589744962976198</v>
      </c>
      <c r="AM935">
        <v>80.4529724352616</v>
      </c>
      <c r="AN935">
        <v>1.00000003863817</v>
      </c>
    </row>
    <row r="936" spans="1:40" x14ac:dyDescent="0.25">
      <c r="A936" t="str">
        <f>"20190312161242321"</f>
        <v>20190312161242321</v>
      </c>
      <c r="B936" t="str">
        <f>"1552378362315990"</f>
        <v>1552378362315990</v>
      </c>
      <c r="C936" t="s">
        <v>40</v>
      </c>
      <c r="D936">
        <v>5.3342580000000002</v>
      </c>
      <c r="E936">
        <v>0.57017469999999904</v>
      </c>
      <c r="F936" t="s">
        <v>45</v>
      </c>
      <c r="G936">
        <v>-158.17609999999999</v>
      </c>
      <c r="H936">
        <v>1.511028</v>
      </c>
      <c r="I936">
        <v>342.19</v>
      </c>
      <c r="J936">
        <v>-222.2921</v>
      </c>
      <c r="K936">
        <v>1.1092070000000001</v>
      </c>
      <c r="L936">
        <v>367.96190000000001</v>
      </c>
      <c r="M936">
        <v>0.99943510000000002</v>
      </c>
      <c r="N936">
        <v>0</v>
      </c>
      <c r="O936">
        <v>-3.1279849999999998E-2</v>
      </c>
      <c r="P936">
        <v>0.98028179999999998</v>
      </c>
      <c r="Q936">
        <v>-2.1692670000000001E-2</v>
      </c>
      <c r="R936">
        <v>-0.19641130000000001</v>
      </c>
      <c r="S936">
        <v>2.8333590000000002</v>
      </c>
      <c r="T936">
        <v>1.77182E-2</v>
      </c>
      <c r="U936">
        <v>-1.1366270000000001</v>
      </c>
      <c r="V936">
        <v>0.1656301</v>
      </c>
      <c r="W936">
        <v>-9.8939839999999998E-3</v>
      </c>
      <c r="X936">
        <v>0.98613830000000002</v>
      </c>
      <c r="Y936">
        <v>0.34309709999999899</v>
      </c>
      <c r="Z936">
        <v>8.4473749999999998E-4</v>
      </c>
      <c r="AA936">
        <v>0.93929960000000001</v>
      </c>
      <c r="AB936">
        <v>23</v>
      </c>
      <c r="AC936">
        <v>64.116</v>
      </c>
      <c r="AD936">
        <v>0.40182099999999998</v>
      </c>
      <c r="AE936">
        <v>-25.771899999999999</v>
      </c>
      <c r="AF936">
        <v>23.752793511924001</v>
      </c>
      <c r="AG936">
        <v>0.40182099999999998</v>
      </c>
      <c r="AH936">
        <v>64.888629066544098</v>
      </c>
      <c r="AI936">
        <v>89.6668222536114</v>
      </c>
      <c r="AJ936">
        <v>69.894605850213495</v>
      </c>
      <c r="AK936">
        <v>69.100584960416199</v>
      </c>
      <c r="AL936">
        <v>90.566892784132406</v>
      </c>
      <c r="AM936">
        <v>80.465688611189805</v>
      </c>
      <c r="AN936">
        <v>0.99999998383614597</v>
      </c>
    </row>
    <row r="937" spans="1:40" x14ac:dyDescent="0.25">
      <c r="A937" t="str">
        <f>"20190312161242336"</f>
        <v>20190312161242336</v>
      </c>
      <c r="B937" t="str">
        <f>"1552378362326726"</f>
        <v>1552378362326726</v>
      </c>
      <c r="C937" t="s">
        <v>40</v>
      </c>
      <c r="D937">
        <v>5.3306300000000002</v>
      </c>
      <c r="E937">
        <v>0.57050559999999995</v>
      </c>
      <c r="F937" t="s">
        <v>45</v>
      </c>
      <c r="G937">
        <v>-158.47499999999999</v>
      </c>
      <c r="H937">
        <v>1.441357</v>
      </c>
      <c r="I937">
        <v>342.19</v>
      </c>
      <c r="J937">
        <v>-222.1455</v>
      </c>
      <c r="K937">
        <v>1.109205</v>
      </c>
      <c r="L937">
        <v>367.9563</v>
      </c>
      <c r="M937">
        <v>0.99940819999999997</v>
      </c>
      <c r="N937">
        <v>0</v>
      </c>
      <c r="O937">
        <v>-3.2146750000000002E-2</v>
      </c>
      <c r="P937">
        <v>0.98026029999999997</v>
      </c>
      <c r="Q937">
        <v>-2.1077169999999999E-2</v>
      </c>
      <c r="R937">
        <v>-0.19658529999999999</v>
      </c>
      <c r="S937">
        <v>2.8315579999999998</v>
      </c>
      <c r="T937">
        <v>1.4737729999999999E-2</v>
      </c>
      <c r="U937">
        <v>-1.143494</v>
      </c>
      <c r="V937">
        <v>0.16495070000000001</v>
      </c>
      <c r="W937">
        <v>-9.3363639999999998E-3</v>
      </c>
      <c r="X937">
        <v>0.98625759999999996</v>
      </c>
      <c r="Y937">
        <v>0.34444999999999998</v>
      </c>
      <c r="Z937">
        <v>7.0181219999999997E-4</v>
      </c>
      <c r="AA937">
        <v>0.93880439999999998</v>
      </c>
      <c r="AB937">
        <v>23</v>
      </c>
      <c r="AC937">
        <v>63.670499999999997</v>
      </c>
      <c r="AD937">
        <v>0.332152</v>
      </c>
      <c r="AE937">
        <v>-25.766300000000001</v>
      </c>
      <c r="AF937">
        <v>23.705473590946699</v>
      </c>
      <c r="AG937">
        <v>0.332152</v>
      </c>
      <c r="AH937">
        <v>64.464444972451304</v>
      </c>
      <c r="AI937">
        <v>89.722926551257601</v>
      </c>
      <c r="AJ937">
        <v>69.810039546428996</v>
      </c>
      <c r="AK937">
        <v>68.685693333680405</v>
      </c>
      <c r="AL937">
        <v>90.534942037121994</v>
      </c>
      <c r="AM937">
        <v>80.505211580275301</v>
      </c>
      <c r="AN937">
        <v>0.99999997734049495</v>
      </c>
    </row>
    <row r="938" spans="1:40" x14ac:dyDescent="0.25">
      <c r="A938" t="str">
        <f>"20190312161242349"</f>
        <v>20190312161242349</v>
      </c>
      <c r="B938" t="str">
        <f>"1552378362346246"</f>
        <v>1552378362346246</v>
      </c>
      <c r="C938" t="s">
        <v>40</v>
      </c>
      <c r="D938">
        <v>5.3688699999999896</v>
      </c>
      <c r="E938">
        <v>0.57108309999999995</v>
      </c>
      <c r="F938" t="s">
        <v>45</v>
      </c>
      <c r="G938">
        <v>-158.54239999999999</v>
      </c>
      <c r="H938">
        <v>1.446528</v>
      </c>
      <c r="I938">
        <v>342.19</v>
      </c>
      <c r="J938">
        <v>-222.01589999999999</v>
      </c>
      <c r="K938">
        <v>1.109199</v>
      </c>
      <c r="L938">
        <v>367.9513</v>
      </c>
      <c r="M938">
        <v>0.99938389999999999</v>
      </c>
      <c r="N938">
        <v>0</v>
      </c>
      <c r="O938">
        <v>-3.2912280000000002E-2</v>
      </c>
      <c r="P938">
        <v>0.98021380000000002</v>
      </c>
      <c r="Q938">
        <v>-2.0665320000000001E-2</v>
      </c>
      <c r="R938">
        <v>-0.1968599</v>
      </c>
      <c r="S938">
        <v>2.8307340000000001</v>
      </c>
      <c r="T938">
        <v>1.5013220000000001E-2</v>
      </c>
      <c r="U938">
        <v>-1.1467590000000001</v>
      </c>
      <c r="V938">
        <v>0.16447200000000001</v>
      </c>
      <c r="W938">
        <v>-8.9755059999999994E-3</v>
      </c>
      <c r="X938">
        <v>0.98634089999999996</v>
      </c>
      <c r="Y938">
        <v>0.34475630000000002</v>
      </c>
      <c r="Z938">
        <v>7.1186539999999895E-4</v>
      </c>
      <c r="AA938">
        <v>0.93869199999999997</v>
      </c>
      <c r="AB938">
        <v>23</v>
      </c>
      <c r="AC938">
        <v>63.473500000000001</v>
      </c>
      <c r="AD938">
        <v>0.33732899999999999</v>
      </c>
      <c r="AE938">
        <v>-25.761299999999999</v>
      </c>
      <c r="AF938">
        <v>23.657555068711599</v>
      </c>
      <c r="AG938">
        <v>0.33732899999999999</v>
      </c>
      <c r="AH938">
        <v>64.285474989924396</v>
      </c>
      <c r="AI938">
        <v>89.717850156832895</v>
      </c>
      <c r="AJ938">
        <v>69.795992135048294</v>
      </c>
      <c r="AK938">
        <v>68.501211648872001</v>
      </c>
      <c r="AL938">
        <v>90.514265525640099</v>
      </c>
      <c r="AM938">
        <v>80.533051753870794</v>
      </c>
      <c r="AN938">
        <v>0.99999998475238205</v>
      </c>
    </row>
    <row r="939" spans="1:40" x14ac:dyDescent="0.25">
      <c r="A939" t="str">
        <f>"20190312161242361"</f>
        <v>20190312161242361</v>
      </c>
      <c r="B939" t="str">
        <f>"1552378362356006"</f>
        <v>1552378362356006</v>
      </c>
      <c r="C939" t="s">
        <v>40</v>
      </c>
      <c r="D939">
        <v>5.329377</v>
      </c>
      <c r="E939">
        <v>0.57125380000000003</v>
      </c>
      <c r="F939" t="s">
        <v>45</v>
      </c>
      <c r="G939">
        <v>-158.7311</v>
      </c>
      <c r="H939">
        <v>1.451938</v>
      </c>
      <c r="I939">
        <v>342.19</v>
      </c>
      <c r="J939">
        <v>-221.87790000000001</v>
      </c>
      <c r="K939">
        <v>1.109199</v>
      </c>
      <c r="L939">
        <v>367.94589999999999</v>
      </c>
      <c r="M939">
        <v>0.99935739999999995</v>
      </c>
      <c r="N939">
        <v>0</v>
      </c>
      <c r="O939">
        <v>-3.372849E-2</v>
      </c>
      <c r="P939">
        <v>0.98012080000000001</v>
      </c>
      <c r="Q939">
        <v>-2.0493790000000001E-2</v>
      </c>
      <c r="R939">
        <v>-0.1973406</v>
      </c>
      <c r="S939">
        <v>2.8295590000000002</v>
      </c>
      <c r="T939">
        <v>1.5324590000000001E-2</v>
      </c>
      <c r="U939">
        <v>-1.1518250000000001</v>
      </c>
      <c r="V939">
        <v>0.1641504</v>
      </c>
      <c r="W939">
        <v>-8.8556989999999999E-3</v>
      </c>
      <c r="X939">
        <v>0.98639549999999998</v>
      </c>
      <c r="Y939">
        <v>0.34556759999999997</v>
      </c>
      <c r="Z939">
        <v>7.2455149999999999E-4</v>
      </c>
      <c r="AA939">
        <v>0.93839360000000005</v>
      </c>
      <c r="AB939">
        <v>23</v>
      </c>
      <c r="AC939">
        <v>63.146799999999999</v>
      </c>
      <c r="AD939">
        <v>0.34273899999999902</v>
      </c>
      <c r="AE939">
        <v>-25.7559</v>
      </c>
      <c r="AF939">
        <v>23.610644267186899</v>
      </c>
      <c r="AG939">
        <v>0.34273899999999902</v>
      </c>
      <c r="AH939">
        <v>63.978021860595398</v>
      </c>
      <c r="AI939">
        <v>89.712044298437107</v>
      </c>
      <c r="AJ939">
        <v>69.743768274410101</v>
      </c>
      <c r="AK939">
        <v>68.196534178274703</v>
      </c>
      <c r="AL939">
        <v>90.507400845111107</v>
      </c>
      <c r="AM939">
        <v>80.5517424031639</v>
      </c>
      <c r="AN939">
        <v>0.999999929822591</v>
      </c>
    </row>
    <row r="940" spans="1:40" x14ac:dyDescent="0.25">
      <c r="A940" t="str">
        <f>"20190312161242375"</f>
        <v>20190312161242375</v>
      </c>
      <c r="B940" t="str">
        <f>"1552378362366275"</f>
        <v>1552378362366275</v>
      </c>
      <c r="C940" t="s">
        <v>40</v>
      </c>
      <c r="D940">
        <v>5.3787830000000003</v>
      </c>
      <c r="E940">
        <v>0.57148580000000004</v>
      </c>
      <c r="F940" t="s">
        <v>45</v>
      </c>
      <c r="G940">
        <v>-158.7687</v>
      </c>
      <c r="H940">
        <v>1.455724</v>
      </c>
      <c r="I940">
        <v>342.19</v>
      </c>
      <c r="J940">
        <v>-221.75790000000001</v>
      </c>
      <c r="K940">
        <v>1.1091930000000001</v>
      </c>
      <c r="L940">
        <v>367.94099999999997</v>
      </c>
      <c r="M940">
        <v>0.99933369999999999</v>
      </c>
      <c r="N940">
        <v>0</v>
      </c>
      <c r="O940">
        <v>-3.4439259999999999E-2</v>
      </c>
      <c r="P940">
        <v>0.98008510000000004</v>
      </c>
      <c r="Q940">
        <v>-2.0046270000000001E-2</v>
      </c>
      <c r="R940">
        <v>-0.1975642</v>
      </c>
      <c r="S940">
        <v>2.828735</v>
      </c>
      <c r="T940">
        <v>1.5532489999999999E-2</v>
      </c>
      <c r="U940">
        <v>-1.1544490000000001</v>
      </c>
      <c r="V940">
        <v>0.16367429999999999</v>
      </c>
      <c r="W940">
        <v>-8.4516009999999996E-3</v>
      </c>
      <c r="X940">
        <v>0.98647819999999997</v>
      </c>
      <c r="Y940">
        <v>0.3457422</v>
      </c>
      <c r="Z940">
        <v>7.3117859999999996E-4</v>
      </c>
      <c r="AA940">
        <v>0.93832919999999997</v>
      </c>
      <c r="AB940">
        <v>23</v>
      </c>
      <c r="AC940">
        <v>62.989199999999997</v>
      </c>
      <c r="AD940">
        <v>0.34653099999999898</v>
      </c>
      <c r="AE940">
        <v>-25.750999999999902</v>
      </c>
      <c r="AF940">
        <v>23.565651073871798</v>
      </c>
      <c r="AG940">
        <v>0.34653099999999898</v>
      </c>
      <c r="AH940">
        <v>63.837083650322199</v>
      </c>
      <c r="AI940">
        <v>89.708226121314098</v>
      </c>
      <c r="AJ940">
        <v>69.738223781228299</v>
      </c>
      <c r="AK940">
        <v>68.048756368119399</v>
      </c>
      <c r="AL940">
        <v>90.484246845757397</v>
      </c>
      <c r="AM940">
        <v>80.579429695296</v>
      </c>
      <c r="AN940">
        <v>0.99999997255759598</v>
      </c>
    </row>
    <row r="941" spans="1:40" x14ac:dyDescent="0.25">
      <c r="A941" t="str">
        <f>"20190312161242386"</f>
        <v>20190312161242386</v>
      </c>
      <c r="B941" t="str">
        <f>"1552378362376034"</f>
        <v>1552378362376034</v>
      </c>
      <c r="C941" t="s">
        <v>40</v>
      </c>
      <c r="D941">
        <v>5.3526239999999996</v>
      </c>
      <c r="E941">
        <v>0.57170569999999998</v>
      </c>
      <c r="F941" t="s">
        <v>45</v>
      </c>
      <c r="G941">
        <v>-158.79689999999999</v>
      </c>
      <c r="H941">
        <v>1.4768709999999901</v>
      </c>
      <c r="I941">
        <v>342.19</v>
      </c>
      <c r="J941">
        <v>-221.62819999999999</v>
      </c>
      <c r="K941">
        <v>1.109186</v>
      </c>
      <c r="L941">
        <v>367.9357</v>
      </c>
      <c r="M941">
        <v>0.99930759999999996</v>
      </c>
      <c r="N941">
        <v>0</v>
      </c>
      <c r="O941">
        <v>-3.520856E-2</v>
      </c>
      <c r="P941">
        <v>0.98000100000000001</v>
      </c>
      <c r="Q941">
        <v>-1.9705899999999998E-2</v>
      </c>
      <c r="R941">
        <v>-0.19801550000000001</v>
      </c>
      <c r="S941">
        <v>2.8281399999999999</v>
      </c>
      <c r="T941">
        <v>1.6515970000000001E-2</v>
      </c>
      <c r="U941">
        <v>-1.1567080000000001</v>
      </c>
      <c r="V941">
        <v>0.1633695</v>
      </c>
      <c r="W941">
        <v>-8.1582740000000001E-3</v>
      </c>
      <c r="X941">
        <v>0.98653120000000005</v>
      </c>
      <c r="Y941">
        <v>0.3457305</v>
      </c>
      <c r="Z941">
        <v>7.7317809999999897E-4</v>
      </c>
      <c r="AA941">
        <v>0.93833350000000004</v>
      </c>
      <c r="AB941">
        <v>23</v>
      </c>
      <c r="AC941">
        <v>62.831299999999999</v>
      </c>
      <c r="AD941">
        <v>0.36768499999999898</v>
      </c>
      <c r="AE941">
        <v>-25.745699999999999</v>
      </c>
      <c r="AF941">
        <v>23.516685809469799</v>
      </c>
      <c r="AG941">
        <v>0.36768499999999898</v>
      </c>
      <c r="AH941">
        <v>63.697004985258701</v>
      </c>
      <c r="AI941">
        <v>89.689738645777496</v>
      </c>
      <c r="AJ941">
        <v>69.736050641031497</v>
      </c>
      <c r="AK941">
        <v>67.9005018229808</v>
      </c>
      <c r="AL941">
        <v>90.467439863132199</v>
      </c>
      <c r="AM941">
        <v>80.597155557475403</v>
      </c>
      <c r="AN941">
        <v>0.99999997976917399</v>
      </c>
    </row>
    <row r="942" spans="1:40" x14ac:dyDescent="0.25">
      <c r="A942" t="str">
        <f>"20190312161242400"</f>
        <v>20190312161242400</v>
      </c>
      <c r="B942" t="str">
        <f>"1552378362396530"</f>
        <v>1552378362396530</v>
      </c>
      <c r="C942" t="s">
        <v>40</v>
      </c>
      <c r="D942">
        <v>5.3346869999999997</v>
      </c>
      <c r="E942">
        <v>0.58985559999999904</v>
      </c>
      <c r="F942" t="s">
        <v>45</v>
      </c>
      <c r="G942">
        <v>-159.9881</v>
      </c>
      <c r="H942">
        <v>1.51081</v>
      </c>
      <c r="I942">
        <v>342.64389999999997</v>
      </c>
      <c r="J942">
        <v>-221.49709999999999</v>
      </c>
      <c r="K942">
        <v>1.109181</v>
      </c>
      <c r="L942">
        <v>367.93020000000001</v>
      </c>
      <c r="M942">
        <v>0.99928019999999995</v>
      </c>
      <c r="N942">
        <v>0</v>
      </c>
      <c r="O942">
        <v>-3.599219E-2</v>
      </c>
      <c r="P942">
        <v>0.97995200000000005</v>
      </c>
      <c r="Q942">
        <v>-1.9421170000000001E-2</v>
      </c>
      <c r="R942">
        <v>-0.1982853</v>
      </c>
      <c r="S942">
        <v>2.827194</v>
      </c>
      <c r="T942">
        <v>1.8421170000000001E-2</v>
      </c>
      <c r="U942">
        <v>-1.160034</v>
      </c>
      <c r="V942">
        <v>0.16286800000000001</v>
      </c>
      <c r="W942">
        <v>-7.9222549999999996E-3</v>
      </c>
      <c r="X942">
        <v>0.9866161</v>
      </c>
      <c r="Y942">
        <v>0.34604889999999999</v>
      </c>
      <c r="Z942">
        <v>8.5855860000000003E-4</v>
      </c>
      <c r="AA942">
        <v>0.9382161</v>
      </c>
      <c r="AB942">
        <v>23</v>
      </c>
      <c r="AC942">
        <v>61.508999999999901</v>
      </c>
      <c r="AD942">
        <v>0.40162900000000001</v>
      </c>
      <c r="AE942">
        <v>-25.286300000000001</v>
      </c>
      <c r="AF942">
        <v>23.055070429183498</v>
      </c>
      <c r="AG942">
        <v>0.40162900000000001</v>
      </c>
      <c r="AH942">
        <v>62.377040504793001</v>
      </c>
      <c r="AI942">
        <v>89.653971507247704</v>
      </c>
      <c r="AJ942">
        <v>69.715270303241596</v>
      </c>
      <c r="AK942">
        <v>66.502577096567094</v>
      </c>
      <c r="AL942">
        <v>90.453916506614803</v>
      </c>
      <c r="AM942">
        <v>80.626298962289795</v>
      </c>
      <c r="AN942">
        <v>1.0000000381637399</v>
      </c>
    </row>
    <row r="943" spans="1:40" x14ac:dyDescent="0.25">
      <c r="A943" t="str">
        <f>"20190312161242415"</f>
        <v>20190312161242415</v>
      </c>
      <c r="B943" t="str">
        <f>"1552378362406290"</f>
        <v>1552378362406290</v>
      </c>
      <c r="C943" t="s">
        <v>40</v>
      </c>
      <c r="D943">
        <v>5.3662660000000004</v>
      </c>
      <c r="E943">
        <v>0.58738210000000002</v>
      </c>
      <c r="F943" t="s">
        <v>42</v>
      </c>
      <c r="G943">
        <v>-180.42580000000001</v>
      </c>
      <c r="H943" s="1">
        <v>-5.6899810000000003E-6</v>
      </c>
      <c r="I943">
        <v>348.88260000000002</v>
      </c>
      <c r="J943">
        <v>-221.3475</v>
      </c>
      <c r="K943">
        <v>1.109167</v>
      </c>
      <c r="L943">
        <v>367.92380000000003</v>
      </c>
      <c r="M943">
        <v>0.99924809999999997</v>
      </c>
      <c r="N943">
        <v>0</v>
      </c>
      <c r="O943">
        <v>-3.6894429999999999E-2</v>
      </c>
      <c r="P943">
        <v>0.97993589999999997</v>
      </c>
      <c r="Q943">
        <v>-1.9416050000000001E-2</v>
      </c>
      <c r="R943">
        <v>-0.1983664</v>
      </c>
      <c r="S943">
        <v>2.7973629999999998</v>
      </c>
      <c r="T943">
        <v>-7.5546740000000001E-2</v>
      </c>
      <c r="U943">
        <v>-1.2973330000000001</v>
      </c>
      <c r="V943">
        <v>0.1620586</v>
      </c>
      <c r="W943">
        <v>-7.9724429999999992E-3</v>
      </c>
      <c r="X943">
        <v>0.98674890000000004</v>
      </c>
      <c r="Y943">
        <v>0.3868626</v>
      </c>
      <c r="Z943">
        <v>-4.0231520000000003E-3</v>
      </c>
      <c r="AA943">
        <v>0.92212859999999996</v>
      </c>
      <c r="AB943">
        <v>23</v>
      </c>
      <c r="AC943">
        <v>40.921699999999902</v>
      </c>
      <c r="AD943">
        <v>-1.1091726899809999</v>
      </c>
      <c r="AE943">
        <v>-19.0412</v>
      </c>
      <c r="AF943">
        <v>17.507771105757001</v>
      </c>
      <c r="AG943">
        <v>-1.1091726899809999</v>
      </c>
      <c r="AH943">
        <v>41.571293920826498</v>
      </c>
      <c r="AI943">
        <v>91.4085902684171</v>
      </c>
      <c r="AJ943">
        <v>67.161583091157794</v>
      </c>
      <c r="AK943">
        <v>45.121223292365698</v>
      </c>
      <c r="AL943">
        <v>90.456792188735605</v>
      </c>
      <c r="AM943">
        <v>80.673295701340194</v>
      </c>
      <c r="AN943">
        <v>0.99999997066627799</v>
      </c>
    </row>
    <row r="944" spans="1:40" x14ac:dyDescent="0.25">
      <c r="A944" t="str">
        <f>"20190312161242429"</f>
        <v>20190312161242429</v>
      </c>
      <c r="B944" t="str">
        <f>"1552378362426787"</f>
        <v>1552378362426787</v>
      </c>
      <c r="C944" t="s">
        <v>40</v>
      </c>
      <c r="D944">
        <v>5.3803640000000001</v>
      </c>
      <c r="E944">
        <v>0.58701579999999998</v>
      </c>
      <c r="F944" t="s">
        <v>42</v>
      </c>
      <c r="G944">
        <v>-177.5951</v>
      </c>
      <c r="H944">
        <v>7.9986440000000006E-2</v>
      </c>
      <c r="I944">
        <v>347.9545</v>
      </c>
      <c r="J944">
        <v>-221.20050000000001</v>
      </c>
      <c r="K944">
        <v>1.1091489999999999</v>
      </c>
      <c r="L944">
        <v>367.91739999999999</v>
      </c>
      <c r="M944">
        <v>0.99921519999999997</v>
      </c>
      <c r="N944">
        <v>0</v>
      </c>
      <c r="O944">
        <v>-3.7791489999999997E-2</v>
      </c>
      <c r="P944">
        <v>0.97986359999999995</v>
      </c>
      <c r="Q944">
        <v>-1.9489909999999999E-2</v>
      </c>
      <c r="R944">
        <v>-0.198716</v>
      </c>
      <c r="S944">
        <v>2.8013150000000002</v>
      </c>
      <c r="T944">
        <v>-6.5894839999999996E-2</v>
      </c>
      <c r="U944">
        <v>-1.278564</v>
      </c>
      <c r="V944">
        <v>0.16152420000000001</v>
      </c>
      <c r="W944">
        <v>-8.1020199999999997E-3</v>
      </c>
      <c r="X944">
        <v>0.98683549999999998</v>
      </c>
      <c r="Y944">
        <v>0.3804556</v>
      </c>
      <c r="Z944">
        <v>-3.4176430000000002E-3</v>
      </c>
      <c r="AA944">
        <v>0.92479290000000003</v>
      </c>
      <c r="AB944">
        <v>23</v>
      </c>
      <c r="AC944">
        <v>43.605400000000003</v>
      </c>
      <c r="AD944">
        <v>-1.0291625599999901</v>
      </c>
      <c r="AE944">
        <v>-19.962899999999902</v>
      </c>
      <c r="AF944">
        <v>18.292184426926099</v>
      </c>
      <c r="AG944">
        <v>-1.0291625599999901</v>
      </c>
      <c r="AH944">
        <v>44.308321856427703</v>
      </c>
      <c r="AI944">
        <v>91.229931192842997</v>
      </c>
      <c r="AJ944">
        <v>67.567276473171802</v>
      </c>
      <c r="AK944">
        <v>47.946747255850198</v>
      </c>
      <c r="AL944">
        <v>90.464216627122497</v>
      </c>
      <c r="AM944">
        <v>80.704314943079297</v>
      </c>
      <c r="AN944">
        <v>1.0000000069869801</v>
      </c>
    </row>
    <row r="945" spans="1:40" x14ac:dyDescent="0.25">
      <c r="A945" t="str">
        <f>"20190312161242442"</f>
        <v>20190312161242442</v>
      </c>
      <c r="B945" t="str">
        <f>"1552378362436546"</f>
        <v>1552378362436546</v>
      </c>
      <c r="C945" t="s">
        <v>40</v>
      </c>
      <c r="D945">
        <v>5.4414579999999999</v>
      </c>
      <c r="E945">
        <v>0.58517219999999903</v>
      </c>
      <c r="F945" t="s">
        <v>45</v>
      </c>
      <c r="G945">
        <v>-164.8192</v>
      </c>
      <c r="H945">
        <v>0.39352330000000002</v>
      </c>
      <c r="I945">
        <v>342.18990000000002</v>
      </c>
      <c r="J945">
        <v>-221.0711</v>
      </c>
      <c r="K945">
        <v>1.1091329999999999</v>
      </c>
      <c r="L945">
        <v>367.9117</v>
      </c>
      <c r="M945">
        <v>0.99918479999999998</v>
      </c>
      <c r="N945">
        <v>0</v>
      </c>
      <c r="O945">
        <v>-3.8596039999999998E-2</v>
      </c>
      <c r="P945">
        <v>0.97983169999999997</v>
      </c>
      <c r="Q945">
        <v>-1.9383890000000001E-2</v>
      </c>
      <c r="R945">
        <v>-0.19888259999999999</v>
      </c>
      <c r="S945">
        <v>2.801682</v>
      </c>
      <c r="T945">
        <v>-3.5560370000000001E-2</v>
      </c>
      <c r="U945">
        <v>-1.2784420000000001</v>
      </c>
      <c r="V945">
        <v>0.1608976</v>
      </c>
      <c r="W945">
        <v>-8.0417860000000004E-3</v>
      </c>
      <c r="X945">
        <v>0.98693839999999999</v>
      </c>
      <c r="Y945">
        <v>0.37968730000000001</v>
      </c>
      <c r="Z945">
        <v>-1.8299670000000001E-3</v>
      </c>
      <c r="AA945">
        <v>0.92511310000000002</v>
      </c>
      <c r="AB945">
        <v>23</v>
      </c>
      <c r="AC945">
        <v>56.251899999999999</v>
      </c>
      <c r="AD945">
        <v>-0.71560969999999902</v>
      </c>
      <c r="AE945">
        <v>-25.721799999999899</v>
      </c>
      <c r="AF945">
        <v>23.528229947841901</v>
      </c>
      <c r="AG945">
        <v>-0.71560969999999902</v>
      </c>
      <c r="AH945">
        <v>57.195154125877202</v>
      </c>
      <c r="AI945">
        <v>90.662935862455797</v>
      </c>
      <c r="AJ945">
        <v>67.639324579223796</v>
      </c>
      <c r="AK945">
        <v>61.8496188929577</v>
      </c>
      <c r="AL945">
        <v>90.460765337819296</v>
      </c>
      <c r="AM945">
        <v>80.740698527508997</v>
      </c>
      <c r="AN945">
        <v>1.00000005670119</v>
      </c>
    </row>
    <row r="946" spans="1:40" x14ac:dyDescent="0.25">
      <c r="A946" t="str">
        <f>"20190312161242455"</f>
        <v>20190312161242455</v>
      </c>
      <c r="B946" t="str">
        <f>"1552378362446307"</f>
        <v>1552378362446307</v>
      </c>
      <c r="C946" t="s">
        <v>40</v>
      </c>
      <c r="D946">
        <v>5.431845</v>
      </c>
      <c r="E946">
        <v>0.58359669999999997</v>
      </c>
      <c r="F946" t="s">
        <v>45</v>
      </c>
      <c r="G946">
        <v>-164.0583</v>
      </c>
      <c r="H946">
        <v>0.53981939999999995</v>
      </c>
      <c r="I946">
        <v>342.18990000000002</v>
      </c>
      <c r="J946">
        <v>-220.9453</v>
      </c>
      <c r="K946">
        <v>1.1091150000000001</v>
      </c>
      <c r="L946">
        <v>367.90589999999997</v>
      </c>
      <c r="M946">
        <v>0.9991546</v>
      </c>
      <c r="N946">
        <v>0</v>
      </c>
      <c r="O946">
        <v>-3.9387760000000001E-2</v>
      </c>
      <c r="P946">
        <v>0.97975900000000005</v>
      </c>
      <c r="Q946">
        <v>-1.895724E-2</v>
      </c>
      <c r="R946">
        <v>-0.19928280000000001</v>
      </c>
      <c r="S946">
        <v>2.8044129999999998</v>
      </c>
      <c r="T946">
        <v>-2.8003810000000001E-2</v>
      </c>
      <c r="U946">
        <v>-1.265228</v>
      </c>
      <c r="V946">
        <v>0.16051869999999999</v>
      </c>
      <c r="W946">
        <v>-7.660081E-3</v>
      </c>
      <c r="X946">
        <v>0.98700310000000002</v>
      </c>
      <c r="Y946">
        <v>0.37500250000000002</v>
      </c>
      <c r="Z946">
        <v>-1.4113579999999999E-3</v>
      </c>
      <c r="AA946">
        <v>0.92702280000000004</v>
      </c>
      <c r="AB946">
        <v>23</v>
      </c>
      <c r="AC946">
        <v>56.887</v>
      </c>
      <c r="AD946">
        <v>-0.56929560000000001</v>
      </c>
      <c r="AE946">
        <v>-25.715999999999902</v>
      </c>
      <c r="AF946">
        <v>23.453284454756599</v>
      </c>
      <c r="AG946">
        <v>-0.56929560000000001</v>
      </c>
      <c r="AH946">
        <v>57.851004824180102</v>
      </c>
      <c r="AI946">
        <v>90.522510019731101</v>
      </c>
      <c r="AJ946">
        <v>67.931952100341107</v>
      </c>
      <c r="AK946">
        <v>62.426912532682699</v>
      </c>
      <c r="AL946">
        <v>90.438894593438803</v>
      </c>
      <c r="AM946">
        <v>80.762722149620302</v>
      </c>
      <c r="AN946">
        <v>1.00000002465011</v>
      </c>
    </row>
    <row r="947" spans="1:40" x14ac:dyDescent="0.25">
      <c r="A947" t="str">
        <f>"20190312161242469"</f>
        <v>20190312161242469</v>
      </c>
      <c r="B947" t="str">
        <f>"1552378362466802"</f>
        <v>1552378362466802</v>
      </c>
      <c r="C947" t="s">
        <v>40</v>
      </c>
      <c r="D947">
        <v>5.4511019999999997</v>
      </c>
      <c r="E947">
        <v>0.58172029999999997</v>
      </c>
      <c r="F947" t="s">
        <v>45</v>
      </c>
      <c r="G947">
        <v>-163.4051</v>
      </c>
      <c r="H947">
        <v>0.6866719</v>
      </c>
      <c r="I947">
        <v>342.18990000000002</v>
      </c>
      <c r="J947">
        <v>-220.79740000000001</v>
      </c>
      <c r="K947">
        <v>1.109092</v>
      </c>
      <c r="L947">
        <v>367.89909999999998</v>
      </c>
      <c r="M947">
        <v>0.99911729999999999</v>
      </c>
      <c r="N947">
        <v>0</v>
      </c>
      <c r="O947">
        <v>-4.0332090000000001E-2</v>
      </c>
      <c r="P947">
        <v>0.97967879999999996</v>
      </c>
      <c r="Q947">
        <v>-1.862285E-2</v>
      </c>
      <c r="R947">
        <v>-0.19970679999999999</v>
      </c>
      <c r="S947">
        <v>2.806473</v>
      </c>
      <c r="T947">
        <v>-2.0604009999999999E-2</v>
      </c>
      <c r="U947">
        <v>-1.2542719999999901</v>
      </c>
      <c r="V947">
        <v>0.160013299999999</v>
      </c>
      <c r="W947">
        <v>-7.3778949999999998E-3</v>
      </c>
      <c r="X947">
        <v>0.98708720000000005</v>
      </c>
      <c r="Y947">
        <v>0.37086190000000002</v>
      </c>
      <c r="Z947">
        <v>-1.017427E-3</v>
      </c>
      <c r="AA947">
        <v>0.9286875</v>
      </c>
      <c r="AB947">
        <v>23</v>
      </c>
      <c r="AC947">
        <v>57.392299999999999</v>
      </c>
      <c r="AD947">
        <v>-0.42242010000000002</v>
      </c>
      <c r="AE947">
        <v>-25.7091999999999</v>
      </c>
      <c r="AF947">
        <v>23.372312698733801</v>
      </c>
      <c r="AG947">
        <v>-0.42242010000000002</v>
      </c>
      <c r="AH947">
        <v>58.379938418195998</v>
      </c>
      <c r="AI947">
        <v>90.384871597261693</v>
      </c>
      <c r="AJ947">
        <v>68.181385984238403</v>
      </c>
      <c r="AK947">
        <v>62.886092654422697</v>
      </c>
      <c r="AL947">
        <v>90.422726116265096</v>
      </c>
      <c r="AM947">
        <v>80.792078216319496</v>
      </c>
      <c r="AN947">
        <v>0.99999991495767604</v>
      </c>
    </row>
    <row r="948" spans="1:40" x14ac:dyDescent="0.25">
      <c r="A948" t="str">
        <f>"20190312161242484"</f>
        <v>20190312161242484</v>
      </c>
      <c r="B948" t="str">
        <f>"1552378362476562"</f>
        <v>1552378362476562</v>
      </c>
      <c r="C948" t="s">
        <v>40</v>
      </c>
      <c r="D948">
        <v>5.4289360000000002</v>
      </c>
      <c r="E948">
        <v>0.5810516</v>
      </c>
      <c r="F948" t="s">
        <v>45</v>
      </c>
      <c r="G948">
        <v>-162.6275</v>
      </c>
      <c r="H948">
        <v>0.86207230000000001</v>
      </c>
      <c r="I948">
        <v>342.19699999999898</v>
      </c>
      <c r="J948">
        <v>-220.6465</v>
      </c>
      <c r="K948">
        <v>1.109062</v>
      </c>
      <c r="L948">
        <v>367.89190000000002</v>
      </c>
      <c r="M948">
        <v>0.9990774</v>
      </c>
      <c r="N948">
        <v>0</v>
      </c>
      <c r="O948">
        <v>-4.1325029999999999E-2</v>
      </c>
      <c r="P948">
        <v>0.97960780000000003</v>
      </c>
      <c r="Q948">
        <v>-1.83714E-2</v>
      </c>
      <c r="R948">
        <v>-0.2000788</v>
      </c>
      <c r="S948">
        <v>2.809021</v>
      </c>
      <c r="T948">
        <v>-1.1928319999999999E-2</v>
      </c>
      <c r="U948">
        <v>-1.24115</v>
      </c>
      <c r="V948">
        <v>0.1594071</v>
      </c>
      <c r="W948">
        <v>-7.1798640000000002E-3</v>
      </c>
      <c r="X948">
        <v>0.98718680000000003</v>
      </c>
      <c r="Y948">
        <v>0.36600149999999998</v>
      </c>
      <c r="Z948">
        <v>-5.7519799999999996E-4</v>
      </c>
      <c r="AA948">
        <v>0.9306141</v>
      </c>
      <c r="AB948">
        <v>23</v>
      </c>
      <c r="AC948">
        <v>58.018999999999998</v>
      </c>
      <c r="AD948">
        <v>-0.24698970000000001</v>
      </c>
      <c r="AE948">
        <v>-25.694900000000001</v>
      </c>
      <c r="AF948">
        <v>23.274793975164702</v>
      </c>
      <c r="AG948">
        <v>-0.24698970000000001</v>
      </c>
      <c r="AH948">
        <v>59.030451526077201</v>
      </c>
      <c r="AI948">
        <v>90.223020951189895</v>
      </c>
      <c r="AJ948">
        <v>68.481449290530904</v>
      </c>
      <c r="AK948">
        <v>63.453693713375202</v>
      </c>
      <c r="AL948">
        <v>90.411379449053697</v>
      </c>
      <c r="AM948">
        <v>80.827277434196802</v>
      </c>
      <c r="AN948">
        <v>0.999999976035853</v>
      </c>
    </row>
    <row r="949" spans="1:40" x14ac:dyDescent="0.25">
      <c r="A949" t="str">
        <f>"20190312161242501"</f>
        <v>20190312161242501</v>
      </c>
      <c r="B949" t="str">
        <f>"1552378362497058"</f>
        <v>1552378362497058</v>
      </c>
      <c r="C949" t="s">
        <v>40</v>
      </c>
      <c r="D949">
        <v>5.3536609999999998</v>
      </c>
      <c r="E949">
        <v>0.58071839999999997</v>
      </c>
      <c r="F949" t="s">
        <v>45</v>
      </c>
      <c r="G949">
        <v>-162.6276</v>
      </c>
      <c r="H949">
        <v>0.95041100000000001</v>
      </c>
      <c r="I949">
        <v>342.34809999999999</v>
      </c>
      <c r="J949">
        <v>-220.46639999999999</v>
      </c>
      <c r="K949">
        <v>1.1090180000000001</v>
      </c>
      <c r="L949">
        <v>367.88310000000001</v>
      </c>
      <c r="M949">
        <v>0.99902679999999999</v>
      </c>
      <c r="N949">
        <v>0</v>
      </c>
      <c r="O949">
        <v>-4.254206E-2</v>
      </c>
      <c r="P949">
        <v>0.97937269999999998</v>
      </c>
      <c r="Q949">
        <v>-1.8485669999999999E-2</v>
      </c>
      <c r="R949">
        <v>-0.20121510000000001</v>
      </c>
      <c r="S949">
        <v>2.8096619999999999</v>
      </c>
      <c r="T949">
        <v>-7.6826809999999898E-3</v>
      </c>
      <c r="U949">
        <v>-1.2370000000000001</v>
      </c>
      <c r="V949">
        <v>0.15934879999999901</v>
      </c>
      <c r="W949">
        <v>-7.3591289999999998E-3</v>
      </c>
      <c r="X949">
        <v>0.98719489999999999</v>
      </c>
      <c r="Y949">
        <v>0.36363879999999998</v>
      </c>
      <c r="Z949">
        <v>-3.6424450000000001E-4</v>
      </c>
      <c r="AA949">
        <v>0.93154000000000003</v>
      </c>
      <c r="AB949">
        <v>23</v>
      </c>
      <c r="AC949">
        <v>57.8387999999999</v>
      </c>
      <c r="AD949">
        <v>-0.158607</v>
      </c>
      <c r="AE949">
        <v>-25.535</v>
      </c>
      <c r="AF949">
        <v>23.0509857932377</v>
      </c>
      <c r="AG949">
        <v>-0.158607</v>
      </c>
      <c r="AH949">
        <v>58.872444764201703</v>
      </c>
      <c r="AI949">
        <v>90.143734165019595</v>
      </c>
      <c r="AJ949">
        <v>68.617611632023099</v>
      </c>
      <c r="AK949">
        <v>63.224503594211598</v>
      </c>
      <c r="AL949">
        <v>90.421650845393302</v>
      </c>
      <c r="AM949">
        <v>80.830649136159593</v>
      </c>
      <c r="AN949">
        <v>0.99999998371354404</v>
      </c>
    </row>
    <row r="950" spans="1:40" x14ac:dyDescent="0.25">
      <c r="A950" t="str">
        <f>"20190312161242518"</f>
        <v>20190312161242518</v>
      </c>
      <c r="B950" t="str">
        <f>"1552378362506818"</f>
        <v>1552378362506818</v>
      </c>
      <c r="C950" t="s">
        <v>40</v>
      </c>
      <c r="D950">
        <v>5.5258979999999998</v>
      </c>
      <c r="E950">
        <v>0.58051709999999901</v>
      </c>
      <c r="F950" t="s">
        <v>45</v>
      </c>
      <c r="G950">
        <v>-162.6276</v>
      </c>
      <c r="H950">
        <v>0.99249639999999995</v>
      </c>
      <c r="I950">
        <v>342.39620000000002</v>
      </c>
      <c r="J950">
        <v>-220.30510000000001</v>
      </c>
      <c r="K950">
        <v>1.108978</v>
      </c>
      <c r="L950">
        <v>367.87490000000003</v>
      </c>
      <c r="M950">
        <v>0.9989787</v>
      </c>
      <c r="N950">
        <v>0</v>
      </c>
      <c r="O950">
        <v>-4.3670239999999999E-2</v>
      </c>
      <c r="P950">
        <v>0.97905310000000001</v>
      </c>
      <c r="Q950">
        <v>-1.9165100000000001E-2</v>
      </c>
      <c r="R950">
        <v>-0.2027013</v>
      </c>
      <c r="S950">
        <v>2.808792</v>
      </c>
      <c r="T950">
        <v>-5.6582689999999996E-3</v>
      </c>
      <c r="U950">
        <v>-1.2377009999999999</v>
      </c>
      <c r="V950">
        <v>0.15973039999999999</v>
      </c>
      <c r="W950">
        <v>-8.0965380000000003E-3</v>
      </c>
      <c r="X950">
        <v>0.98712750000000005</v>
      </c>
      <c r="Y950">
        <v>0.3628885</v>
      </c>
      <c r="Z950">
        <v>-2.6544539999999998E-4</v>
      </c>
      <c r="AA950">
        <v>0.93183260000000001</v>
      </c>
      <c r="AB950">
        <v>23</v>
      </c>
      <c r="AC950">
        <v>57.677500000000002</v>
      </c>
      <c r="AD950">
        <v>-0.1164816</v>
      </c>
      <c r="AE950">
        <v>-25.4787</v>
      </c>
      <c r="AF950">
        <v>22.935352149271399</v>
      </c>
      <c r="AG950">
        <v>-0.1164816</v>
      </c>
      <c r="AH950">
        <v>58.735003583395901</v>
      </c>
      <c r="AI950">
        <v>90.105843820295703</v>
      </c>
      <c r="AJ950">
        <v>68.669919146275603</v>
      </c>
      <c r="AK950">
        <v>63.054298760003398</v>
      </c>
      <c r="AL950">
        <v>90.463902511641194</v>
      </c>
      <c r="AM950">
        <v>80.808448346235707</v>
      </c>
      <c r="AN950">
        <v>1.00000002793399</v>
      </c>
    </row>
    <row r="951" spans="1:40" x14ac:dyDescent="0.25">
      <c r="A951" t="str">
        <f>"20190312161242537"</f>
        <v>20190312161242537</v>
      </c>
      <c r="B951" t="str">
        <f>"1552378362526339"</f>
        <v>1552378362526339</v>
      </c>
      <c r="C951" t="s">
        <v>40</v>
      </c>
      <c r="D951">
        <v>5.4703600000000003</v>
      </c>
      <c r="E951">
        <v>0.58019259999999995</v>
      </c>
      <c r="F951" t="s">
        <v>45</v>
      </c>
      <c r="G951">
        <v>-162.6276</v>
      </c>
      <c r="H951">
        <v>0.98375760000000001</v>
      </c>
      <c r="I951">
        <v>342.38470000000001</v>
      </c>
      <c r="J951">
        <v>-220.11070000000001</v>
      </c>
      <c r="K951">
        <v>1.10894</v>
      </c>
      <c r="L951">
        <v>367.86489999999998</v>
      </c>
      <c r="M951">
        <v>0.99891660000000004</v>
      </c>
      <c r="N951">
        <v>0</v>
      </c>
      <c r="O951">
        <v>-4.5080259999999997E-2</v>
      </c>
      <c r="P951">
        <v>0.97862110000000002</v>
      </c>
      <c r="Q951">
        <v>-1.9043709999999998E-2</v>
      </c>
      <c r="R951">
        <v>-0.2047881</v>
      </c>
      <c r="S951">
        <v>2.80722</v>
      </c>
      <c r="T951">
        <v>-6.0943369999999896E-3</v>
      </c>
      <c r="U951">
        <v>-1.240631</v>
      </c>
      <c r="V951">
        <v>0.16044069999999999</v>
      </c>
      <c r="W951">
        <v>-8.0447160000000004E-3</v>
      </c>
      <c r="X951">
        <v>0.98701269999999997</v>
      </c>
      <c r="Y951">
        <v>0.3625795</v>
      </c>
      <c r="Z951">
        <v>-2.827625E-4</v>
      </c>
      <c r="AA951">
        <v>0.93195280000000003</v>
      </c>
      <c r="AB951">
        <v>23</v>
      </c>
      <c r="AC951">
        <v>57.4831</v>
      </c>
      <c r="AD951">
        <v>-0.1251824</v>
      </c>
      <c r="AE951">
        <v>-25.4801999999999</v>
      </c>
      <c r="AF951">
        <v>22.862675993440199</v>
      </c>
      <c r="AG951">
        <v>-0.1251824</v>
      </c>
      <c r="AH951">
        <v>58.573151554178501</v>
      </c>
      <c r="AI951">
        <v>90.114070561632701</v>
      </c>
      <c r="AJ951">
        <v>68.677961494270903</v>
      </c>
      <c r="AK951">
        <v>62.8771159262498</v>
      </c>
      <c r="AL951">
        <v>90.460933244711995</v>
      </c>
      <c r="AM951">
        <v>80.767221705469694</v>
      </c>
      <c r="AN951">
        <v>1.00000000281665</v>
      </c>
    </row>
    <row r="952" spans="1:40" x14ac:dyDescent="0.25">
      <c r="A952" t="str">
        <f>"20190312161242553"</f>
        <v>20190312161242553</v>
      </c>
      <c r="B952" t="str">
        <f>"1552378362546834"</f>
        <v>1552378362546834</v>
      </c>
      <c r="C952" t="s">
        <v>40</v>
      </c>
      <c r="D952">
        <v>5.4645489999999999</v>
      </c>
      <c r="E952">
        <v>0.58018269999999905</v>
      </c>
      <c r="F952" t="s">
        <v>45</v>
      </c>
      <c r="G952">
        <v>-162.6276</v>
      </c>
      <c r="H952">
        <v>1.0510600000000001</v>
      </c>
      <c r="I952">
        <v>342.3698</v>
      </c>
      <c r="J952">
        <v>-219.94710000000001</v>
      </c>
      <c r="K952">
        <v>1.1088979999999999</v>
      </c>
      <c r="L952">
        <v>367.8562</v>
      </c>
      <c r="M952">
        <v>0.99886079999999999</v>
      </c>
      <c r="N952">
        <v>0</v>
      </c>
      <c r="O952">
        <v>-4.630919E-2</v>
      </c>
      <c r="P952">
        <v>0.97831990000000002</v>
      </c>
      <c r="Q952">
        <v>-1.8716460000000001E-2</v>
      </c>
      <c r="R952">
        <v>-0.20625199999999999</v>
      </c>
      <c r="S952">
        <v>2.8051300000000001</v>
      </c>
      <c r="T952">
        <v>-2.8241870000000001E-3</v>
      </c>
      <c r="U952">
        <v>-1.2441409999999999</v>
      </c>
      <c r="V952">
        <v>0.16070279999999901</v>
      </c>
      <c r="W952">
        <v>-7.7746159999999998E-3</v>
      </c>
      <c r="X952">
        <v>0.98697219999999997</v>
      </c>
      <c r="Y952">
        <v>0.36266490000000001</v>
      </c>
      <c r="Z952">
        <v>-1.2995929999999999E-4</v>
      </c>
      <c r="AA952">
        <v>0.93191959999999996</v>
      </c>
      <c r="AB952">
        <v>23</v>
      </c>
      <c r="AC952">
        <v>57.319499999999998</v>
      </c>
      <c r="AD952">
        <v>-5.7837999999999799E-2</v>
      </c>
      <c r="AE952">
        <v>-25.4864</v>
      </c>
      <c r="AF952">
        <v>22.804438433351599</v>
      </c>
      <c r="AG952">
        <v>-5.7837999999999799E-2</v>
      </c>
      <c r="AH952">
        <v>58.438279941229602</v>
      </c>
      <c r="AI952">
        <v>90.052827404135698</v>
      </c>
      <c r="AJ952">
        <v>68.682720759989806</v>
      </c>
      <c r="AK952">
        <v>62.7302026139266</v>
      </c>
      <c r="AL952">
        <v>90.445457181116097</v>
      </c>
      <c r="AM952">
        <v>80.752026264163703</v>
      </c>
      <c r="AN952">
        <v>0.99999997907731297</v>
      </c>
    </row>
    <row r="953" spans="1:40" x14ac:dyDescent="0.25">
      <c r="A953" t="str">
        <f>"20190312161242571"</f>
        <v>20190312161242571</v>
      </c>
      <c r="B953" t="str">
        <f>"1552378362566355"</f>
        <v>1552378362566355</v>
      </c>
      <c r="C953" t="s">
        <v>40</v>
      </c>
      <c r="D953">
        <v>5.4011809999999896</v>
      </c>
      <c r="E953">
        <v>0.57986729999999997</v>
      </c>
      <c r="F953" t="s">
        <v>45</v>
      </c>
      <c r="G953">
        <v>-162.6276</v>
      </c>
      <c r="H953">
        <v>1.0959000000000001</v>
      </c>
      <c r="I953">
        <v>342.33819999999997</v>
      </c>
      <c r="J953">
        <v>-219.76400000000001</v>
      </c>
      <c r="K953">
        <v>1.108854</v>
      </c>
      <c r="L953">
        <v>367.84609999999998</v>
      </c>
      <c r="M953">
        <v>0.99879459999999998</v>
      </c>
      <c r="N953">
        <v>0</v>
      </c>
      <c r="O953">
        <v>-4.7732249999999997E-2</v>
      </c>
      <c r="P953">
        <v>0.97791459999999997</v>
      </c>
      <c r="Q953">
        <v>-1.7748679999999999E-2</v>
      </c>
      <c r="R953">
        <v>-0.20825150000000001</v>
      </c>
      <c r="S953">
        <v>2.8033450000000002</v>
      </c>
      <c r="T953">
        <v>-6.3538549999999998E-4</v>
      </c>
      <c r="U953">
        <v>-1.248016</v>
      </c>
      <c r="V953">
        <v>0.1613146</v>
      </c>
      <c r="W953">
        <v>-6.8712790000000001E-3</v>
      </c>
      <c r="X953">
        <v>0.98687910000000001</v>
      </c>
      <c r="Y953">
        <v>0.36263319999999999</v>
      </c>
      <c r="Z953" s="1">
        <v>-2.8937870000000001E-5</v>
      </c>
      <c r="AA953">
        <v>0.93193199999999998</v>
      </c>
      <c r="AB953">
        <v>23</v>
      </c>
      <c r="AC953">
        <v>57.136400000000002</v>
      </c>
      <c r="AD953">
        <v>-1.29539999999999E-2</v>
      </c>
      <c r="AE953">
        <v>-25.507899999999999</v>
      </c>
      <c r="AF953">
        <v>22.751392903167599</v>
      </c>
      <c r="AG953">
        <v>-1.29539999999999E-2</v>
      </c>
      <c r="AH953">
        <v>58.288892189880201</v>
      </c>
      <c r="AI953">
        <v>90.011861739648396</v>
      </c>
      <c r="AJ953">
        <v>68.678242147341393</v>
      </c>
      <c r="AK953">
        <v>62.571726838596199</v>
      </c>
      <c r="AL953">
        <v>90.393698390023005</v>
      </c>
      <c r="AM953">
        <v>80.716570238093396</v>
      </c>
      <c r="AN953">
        <v>0.99999998633253195</v>
      </c>
    </row>
    <row r="954" spans="1:40" x14ac:dyDescent="0.25">
      <c r="A954" t="str">
        <f>"20190312161242583"</f>
        <v>20190312161242583</v>
      </c>
      <c r="B954" t="str">
        <f>"1552378362577091"</f>
        <v>1552378362577091</v>
      </c>
      <c r="C954" t="s">
        <v>40</v>
      </c>
      <c r="D954">
        <v>5.489681</v>
      </c>
      <c r="E954">
        <v>0.57957639999999999</v>
      </c>
      <c r="F954" t="s">
        <v>45</v>
      </c>
      <c r="G954">
        <v>-162.6277</v>
      </c>
      <c r="H954">
        <v>1.2607930000000001</v>
      </c>
      <c r="I954">
        <v>342.31880000000001</v>
      </c>
      <c r="J954">
        <v>-219.62950000000001</v>
      </c>
      <c r="K954">
        <v>1.1088249999999999</v>
      </c>
      <c r="L954">
        <v>367.83850000000001</v>
      </c>
      <c r="M954">
        <v>0.99874260000000004</v>
      </c>
      <c r="N954">
        <v>0</v>
      </c>
      <c r="O954">
        <v>-4.881042E-2</v>
      </c>
      <c r="P954">
        <v>0.97764569999999995</v>
      </c>
      <c r="Q954">
        <v>-1.745331E-2</v>
      </c>
      <c r="R954">
        <v>-0.20953359999999999</v>
      </c>
      <c r="S954">
        <v>2.801361</v>
      </c>
      <c r="T954">
        <v>7.4497460000000001E-3</v>
      </c>
      <c r="U954">
        <v>-1.251587</v>
      </c>
      <c r="V954">
        <v>0.1615434</v>
      </c>
      <c r="W954">
        <v>-6.6194699999999997E-3</v>
      </c>
      <c r="X954">
        <v>0.98684340000000004</v>
      </c>
      <c r="Y954">
        <v>0.36286210000000002</v>
      </c>
      <c r="Z954">
        <v>3.3699549999999999E-4</v>
      </c>
      <c r="AA954">
        <v>0.93184279999999997</v>
      </c>
      <c r="AB954">
        <v>23</v>
      </c>
      <c r="AC954">
        <v>57.001800000000003</v>
      </c>
      <c r="AD954">
        <v>0.15196799999999999</v>
      </c>
      <c r="AE954">
        <v>-25.5197</v>
      </c>
      <c r="AF954">
        <v>22.706679927265402</v>
      </c>
      <c r="AG954">
        <v>0.15196799999999999</v>
      </c>
      <c r="AH954">
        <v>58.179212695557197</v>
      </c>
      <c r="AI954">
        <v>89.860582091242307</v>
      </c>
      <c r="AJ954">
        <v>68.679868273442395</v>
      </c>
      <c r="AK954">
        <v>62.453480267053102</v>
      </c>
      <c r="AL954">
        <v>90.379270466532901</v>
      </c>
      <c r="AM954">
        <v>80.703302402458604</v>
      </c>
      <c r="AN954">
        <v>0.99999999179510002</v>
      </c>
    </row>
    <row r="955" spans="1:40" x14ac:dyDescent="0.25">
      <c r="A955" t="str">
        <f>"20190312161242596"</f>
        <v>20190312161242596</v>
      </c>
      <c r="B955" t="str">
        <f>"1552378362586851"</f>
        <v>1552378362586851</v>
      </c>
      <c r="C955" t="s">
        <v>40</v>
      </c>
      <c r="D955">
        <v>5.5172109999999996</v>
      </c>
      <c r="E955">
        <v>0.57911550000000001</v>
      </c>
      <c r="F955" t="s">
        <v>45</v>
      </c>
      <c r="G955">
        <v>-162.6277</v>
      </c>
      <c r="H955">
        <v>1.2596959999999999</v>
      </c>
      <c r="I955">
        <v>342.3349</v>
      </c>
      <c r="J955">
        <v>-219.50700000000001</v>
      </c>
      <c r="K955">
        <v>1.1087990000000001</v>
      </c>
      <c r="L955">
        <v>367.83139999999997</v>
      </c>
      <c r="M955">
        <v>0.99869330000000001</v>
      </c>
      <c r="N955">
        <v>0</v>
      </c>
      <c r="O955">
        <v>-4.9815470000000001E-2</v>
      </c>
      <c r="P955">
        <v>0.97738190000000003</v>
      </c>
      <c r="Q955">
        <v>-1.7337789999999999E-2</v>
      </c>
      <c r="R955">
        <v>-0.2107704</v>
      </c>
      <c r="S955">
        <v>2.8002319999999998</v>
      </c>
      <c r="T955">
        <v>7.4118379999999996E-3</v>
      </c>
      <c r="U955">
        <v>-1.252869</v>
      </c>
      <c r="V955">
        <v>0.1617989</v>
      </c>
      <c r="W955">
        <v>-6.5410619999999899E-3</v>
      </c>
      <c r="X955">
        <v>0.98680210000000002</v>
      </c>
      <c r="Y955">
        <v>0.36241960000000001</v>
      </c>
      <c r="Z955">
        <v>3.3229229999999998E-4</v>
      </c>
      <c r="AA955">
        <v>0.93201489999999998</v>
      </c>
      <c r="AB955">
        <v>23</v>
      </c>
      <c r="AC955">
        <v>56.879300000000001</v>
      </c>
      <c r="AD955">
        <v>0.150897</v>
      </c>
      <c r="AE955">
        <v>-25.496499999999902</v>
      </c>
      <c r="AF955">
        <v>22.63105436823</v>
      </c>
      <c r="AG955">
        <v>0.150897</v>
      </c>
      <c r="AH955">
        <v>58.078534068219398</v>
      </c>
      <c r="AI955">
        <v>89.861295296946395</v>
      </c>
      <c r="AJ955">
        <v>68.710979087883103</v>
      </c>
      <c r="AK955">
        <v>62.332202842797997</v>
      </c>
      <c r="AL955">
        <v>90.374777908537894</v>
      </c>
      <c r="AM955">
        <v>80.6884730265012</v>
      </c>
      <c r="AN955">
        <v>1.00000002704885</v>
      </c>
    </row>
    <row r="956" spans="1:40" x14ac:dyDescent="0.25">
      <c r="A956" t="str">
        <f>"20190312161242615"</f>
        <v>20190312161242615</v>
      </c>
      <c r="B956" t="str">
        <f>"1552378362606371"</f>
        <v>1552378362606371</v>
      </c>
      <c r="C956" t="s">
        <v>40</v>
      </c>
      <c r="D956">
        <v>5.367146</v>
      </c>
      <c r="E956">
        <v>0.57833730000000005</v>
      </c>
      <c r="F956" t="s">
        <v>45</v>
      </c>
      <c r="G956">
        <v>-162.6277</v>
      </c>
      <c r="H956">
        <v>1.2528729999999999</v>
      </c>
      <c r="I956">
        <v>342.37619999999998</v>
      </c>
      <c r="J956">
        <v>-219.3091</v>
      </c>
      <c r="K956">
        <v>1.108757</v>
      </c>
      <c r="L956">
        <v>367.81970000000001</v>
      </c>
      <c r="M956">
        <v>0.99860939999999998</v>
      </c>
      <c r="N956">
        <v>0</v>
      </c>
      <c r="O956">
        <v>-5.147678E-2</v>
      </c>
      <c r="P956">
        <v>0.97707060000000001</v>
      </c>
      <c r="Q956">
        <v>-1.6931700000000001E-2</v>
      </c>
      <c r="R956">
        <v>-0.21224190000000001</v>
      </c>
      <c r="S956">
        <v>2.7993769999999998</v>
      </c>
      <c r="T956">
        <v>7.0910449999999998E-3</v>
      </c>
      <c r="U956">
        <v>-1.2528079999999999</v>
      </c>
      <c r="V956">
        <v>0.16164329999999999</v>
      </c>
      <c r="W956">
        <v>-6.1875609999999899E-3</v>
      </c>
      <c r="X956">
        <v>0.98682990000000004</v>
      </c>
      <c r="Y956">
        <v>0.360958</v>
      </c>
      <c r="Z956">
        <v>3.1224250000000002E-4</v>
      </c>
      <c r="AA956">
        <v>0.93258200000000002</v>
      </c>
      <c r="AB956">
        <v>23</v>
      </c>
      <c r="AC956">
        <v>56.681399999999996</v>
      </c>
      <c r="AD956">
        <v>0.14411599999999899</v>
      </c>
      <c r="AE956">
        <v>-25.4435</v>
      </c>
      <c r="AF956">
        <v>22.491676644381698</v>
      </c>
      <c r="AG956">
        <v>0.14411599999999899</v>
      </c>
      <c r="AH956">
        <v>57.915764187541399</v>
      </c>
      <c r="AI956">
        <v>89.867097196609294</v>
      </c>
      <c r="AJ956">
        <v>68.776242285378899</v>
      </c>
      <c r="AK956">
        <v>62.129960800919399</v>
      </c>
      <c r="AL956">
        <v>90.354523376371205</v>
      </c>
      <c r="AM956">
        <v>80.697528670968495</v>
      </c>
      <c r="AN956">
        <v>1.0000000469400101</v>
      </c>
    </row>
    <row r="957" spans="1:40" x14ac:dyDescent="0.25">
      <c r="A957" t="str">
        <f>"20190312161242627"</f>
        <v>20190312161242627</v>
      </c>
      <c r="B957" t="str">
        <f>"1552378362617106"</f>
        <v>1552378362617106</v>
      </c>
      <c r="C957" t="s">
        <v>40</v>
      </c>
      <c r="D957">
        <v>5.4686199999999996</v>
      </c>
      <c r="E957">
        <v>0.57789349999999995</v>
      </c>
      <c r="F957" t="s">
        <v>45</v>
      </c>
      <c r="G957">
        <v>-162.6277</v>
      </c>
      <c r="H957">
        <v>1.208607</v>
      </c>
      <c r="I957">
        <v>342.48430000000002</v>
      </c>
      <c r="J957">
        <v>-219.18260000000001</v>
      </c>
      <c r="K957">
        <v>1.1087359999999999</v>
      </c>
      <c r="L957">
        <v>367.81209999999999</v>
      </c>
      <c r="M957">
        <v>0.99855329999999998</v>
      </c>
      <c r="N957">
        <v>0</v>
      </c>
      <c r="O957">
        <v>-5.256135E-2</v>
      </c>
      <c r="P957">
        <v>0.97693370000000002</v>
      </c>
      <c r="Q957">
        <v>-1.6780469999999999E-2</v>
      </c>
      <c r="R957">
        <v>-0.21288399999999999</v>
      </c>
      <c r="S957">
        <v>2.798737</v>
      </c>
      <c r="T957">
        <v>4.9304960000000004E-3</v>
      </c>
      <c r="U957">
        <v>-1.250977</v>
      </c>
      <c r="V957">
        <v>0.161219899999999</v>
      </c>
      <c r="W957">
        <v>-6.0660840000000002E-3</v>
      </c>
      <c r="X957">
        <v>0.98689990000000005</v>
      </c>
      <c r="Y957">
        <v>0.35951630000000001</v>
      </c>
      <c r="Z957">
        <v>2.1415520000000001E-4</v>
      </c>
      <c r="AA957">
        <v>0.93313880000000005</v>
      </c>
      <c r="AB957">
        <v>23</v>
      </c>
      <c r="AC957">
        <v>56.554900000000004</v>
      </c>
      <c r="AD957">
        <v>9.9870999999999793E-2</v>
      </c>
      <c r="AE957">
        <v>-25.3277999999999</v>
      </c>
      <c r="AF957">
        <v>22.319933753436501</v>
      </c>
      <c r="AG957">
        <v>9.9870999999999793E-2</v>
      </c>
      <c r="AH957">
        <v>57.807912743297003</v>
      </c>
      <c r="AI957">
        <v>89.907657896661405</v>
      </c>
      <c r="AJ957">
        <v>68.888167687950499</v>
      </c>
      <c r="AK957">
        <v>61.967283244556398</v>
      </c>
      <c r="AL957">
        <v>90.3475631314666</v>
      </c>
      <c r="AM957">
        <v>80.7221174355345</v>
      </c>
      <c r="AN957">
        <v>1.0000000330755501</v>
      </c>
    </row>
    <row r="958" spans="1:40" x14ac:dyDescent="0.25">
      <c r="A958" t="str">
        <f>"20190312161242639"</f>
        <v>20190312161242639</v>
      </c>
      <c r="B958" t="str">
        <f>"1552378362636626"</f>
        <v>1552378362636626</v>
      </c>
      <c r="C958" t="s">
        <v>40</v>
      </c>
      <c r="D958">
        <v>5.5085050000000004</v>
      </c>
      <c r="E958">
        <v>0.5773488</v>
      </c>
      <c r="F958" t="s">
        <v>45</v>
      </c>
      <c r="G958">
        <v>-162.6276</v>
      </c>
      <c r="H958">
        <v>1.1682170000000001</v>
      </c>
      <c r="I958">
        <v>342.56360000000001</v>
      </c>
      <c r="J958">
        <v>-219.0643</v>
      </c>
      <c r="K958">
        <v>1.108716</v>
      </c>
      <c r="L958">
        <v>367.80470000000003</v>
      </c>
      <c r="M958">
        <v>0.99849810000000006</v>
      </c>
      <c r="N958">
        <v>0</v>
      </c>
      <c r="O958">
        <v>-5.3605359999999998E-2</v>
      </c>
      <c r="P958">
        <v>0.97682389999999997</v>
      </c>
      <c r="Q958">
        <v>-1.643559E-2</v>
      </c>
      <c r="R958">
        <v>-0.21341309999999999</v>
      </c>
      <c r="S958">
        <v>2.7986300000000002</v>
      </c>
      <c r="T958">
        <v>2.9437539999999998E-3</v>
      </c>
      <c r="U958">
        <v>-1.24942</v>
      </c>
      <c r="V958">
        <v>0.16072310000000001</v>
      </c>
      <c r="W958">
        <v>-5.745806E-3</v>
      </c>
      <c r="X958">
        <v>0.98698280000000005</v>
      </c>
      <c r="Y958">
        <v>0.35812119999999997</v>
      </c>
      <c r="Z958">
        <v>1.2613779999999999E-4</v>
      </c>
      <c r="AA958">
        <v>0.93367509999999998</v>
      </c>
      <c r="AB958">
        <v>23</v>
      </c>
      <c r="AC958">
        <v>56.436700000000002</v>
      </c>
      <c r="AD958">
        <v>5.9500999999999998E-2</v>
      </c>
      <c r="AE958">
        <v>-25.241099999999999</v>
      </c>
      <c r="AF958">
        <v>22.179279855348302</v>
      </c>
      <c r="AG958">
        <v>5.9500999999999998E-2</v>
      </c>
      <c r="AH958">
        <v>57.708636272831598</v>
      </c>
      <c r="AI958">
        <v>89.944857093617003</v>
      </c>
      <c r="AJ958">
        <v>68.976631011520297</v>
      </c>
      <c r="AK958">
        <v>61.8240300833004</v>
      </c>
      <c r="AL958">
        <v>90.329212249011704</v>
      </c>
      <c r="AM958">
        <v>80.7509758638883</v>
      </c>
      <c r="AN958">
        <v>0.99999998832801895</v>
      </c>
    </row>
    <row r="959" spans="1:40" x14ac:dyDescent="0.25">
      <c r="A959" t="str">
        <f>"20190312161242654"</f>
        <v>20190312161242654</v>
      </c>
      <c r="B959" t="str">
        <f>"1552378362646386"</f>
        <v>1552378362646386</v>
      </c>
      <c r="C959" t="s">
        <v>40</v>
      </c>
      <c r="D959">
        <v>5.5079710000000004</v>
      </c>
      <c r="E959">
        <v>0.57714549999999998</v>
      </c>
      <c r="F959" t="s">
        <v>45</v>
      </c>
      <c r="G959">
        <v>-162.55520000000001</v>
      </c>
      <c r="H959">
        <v>1.091718</v>
      </c>
      <c r="I959">
        <v>342.64389999999997</v>
      </c>
      <c r="J959">
        <v>-218.92250000000001</v>
      </c>
      <c r="K959">
        <v>1.108689</v>
      </c>
      <c r="L959">
        <v>367.79570000000001</v>
      </c>
      <c r="M959">
        <v>0.99842960000000003</v>
      </c>
      <c r="N959">
        <v>0</v>
      </c>
      <c r="O959">
        <v>-5.4870799999999997E-2</v>
      </c>
      <c r="P959">
        <v>0.97674620000000001</v>
      </c>
      <c r="Q959">
        <v>-1.5858799999999999E-2</v>
      </c>
      <c r="R959">
        <v>-0.21381249999999999</v>
      </c>
      <c r="S959">
        <v>2.7989039999999998</v>
      </c>
      <c r="T959">
        <v>-8.4161759999999903E-4</v>
      </c>
      <c r="U959">
        <v>-1.246216</v>
      </c>
      <c r="V959">
        <v>0.15987660000000001</v>
      </c>
      <c r="W959">
        <v>-5.1963579999999999E-3</v>
      </c>
      <c r="X959">
        <v>0.98712330000000004</v>
      </c>
      <c r="Y959">
        <v>0.35601120000000003</v>
      </c>
      <c r="Z959" s="1">
        <v>-3.540368E-5</v>
      </c>
      <c r="AA959">
        <v>0.93448169999999997</v>
      </c>
      <c r="AB959">
        <v>23</v>
      </c>
      <c r="AC959">
        <v>56.3673</v>
      </c>
      <c r="AD959">
        <v>-1.6971E-2</v>
      </c>
      <c r="AE959">
        <v>-25.151800000000001</v>
      </c>
      <c r="AF959">
        <v>22.020785294646</v>
      </c>
      <c r="AG959">
        <v>-1.6971E-2</v>
      </c>
      <c r="AH959">
        <v>57.6625527661365</v>
      </c>
      <c r="AI959">
        <v>90.015753393556807</v>
      </c>
      <c r="AJ959">
        <v>69.098614636206705</v>
      </c>
      <c r="AK959">
        <v>61.724268035475497</v>
      </c>
      <c r="AL959">
        <v>90.297730731259094</v>
      </c>
      <c r="AM959">
        <v>80.800140709206801</v>
      </c>
      <c r="AN959">
        <v>0.99999996938345603</v>
      </c>
    </row>
    <row r="960" spans="1:40" x14ac:dyDescent="0.25">
      <c r="A960" t="str">
        <f>"20190312161242665"</f>
        <v>20190312161242665</v>
      </c>
      <c r="B960" t="str">
        <f>"1552378362657122"</f>
        <v>1552378362657122</v>
      </c>
      <c r="C960" t="s">
        <v>40</v>
      </c>
      <c r="D960">
        <v>5.5071649999999996</v>
      </c>
      <c r="E960">
        <v>0.57696650000000005</v>
      </c>
      <c r="F960" t="s">
        <v>45</v>
      </c>
      <c r="G960">
        <v>-162.40309999999999</v>
      </c>
      <c r="H960">
        <v>1.0968439999999999</v>
      </c>
      <c r="I960">
        <v>342.64389999999997</v>
      </c>
      <c r="J960">
        <v>-218.79669999999999</v>
      </c>
      <c r="K960">
        <v>1.108663</v>
      </c>
      <c r="L960">
        <v>367.7876</v>
      </c>
      <c r="M960">
        <v>0.99836619999999998</v>
      </c>
      <c r="N960">
        <v>0</v>
      </c>
      <c r="O960">
        <v>-5.6015000000000002E-2</v>
      </c>
      <c r="P960">
        <v>0.97664839999999997</v>
      </c>
      <c r="Q960">
        <v>-1.5827870000000001E-2</v>
      </c>
      <c r="R960">
        <v>-0.21426100000000001</v>
      </c>
      <c r="S960">
        <v>2.7987669999999998</v>
      </c>
      <c r="T960">
        <v>-5.8627129999999996E-4</v>
      </c>
      <c r="U960">
        <v>-1.2454829999999999</v>
      </c>
      <c r="V960">
        <v>0.15919829999999999</v>
      </c>
      <c r="W960">
        <v>-5.1889550000000003E-3</v>
      </c>
      <c r="X960">
        <v>0.98723300000000003</v>
      </c>
      <c r="Y960">
        <v>0.35475289999999998</v>
      </c>
      <c r="Z960" s="1">
        <v>-2.4311449999999999E-5</v>
      </c>
      <c r="AA960">
        <v>0.93496009999999996</v>
      </c>
      <c r="AB960">
        <v>23</v>
      </c>
      <c r="AC960">
        <v>56.3935999999999</v>
      </c>
      <c r="AD960">
        <v>-1.18189999999998E-2</v>
      </c>
      <c r="AE960">
        <v>-25.143699999999999</v>
      </c>
      <c r="AF960">
        <v>21.945128223306899</v>
      </c>
      <c r="AG960">
        <v>-1.18189999999998E-2</v>
      </c>
      <c r="AH960">
        <v>57.713558532940098</v>
      </c>
      <c r="AI960">
        <v>90.010967348708505</v>
      </c>
      <c r="AJ960">
        <v>69.181085870234099</v>
      </c>
      <c r="AK960">
        <v>61.744988711321703</v>
      </c>
      <c r="AL960">
        <v>90.297306552756595</v>
      </c>
      <c r="AM960">
        <v>80.839509945248494</v>
      </c>
      <c r="AN960">
        <v>1.00000001013294</v>
      </c>
    </row>
    <row r="961" spans="1:40" x14ac:dyDescent="0.25">
      <c r="A961" t="str">
        <f>"20190312161242680"</f>
        <v>20190312161242680</v>
      </c>
      <c r="B961" t="str">
        <f>"1552378362676642"</f>
        <v>1552378362676642</v>
      </c>
      <c r="C961" t="s">
        <v>40</v>
      </c>
      <c r="D961">
        <v>5.4555959999999999</v>
      </c>
      <c r="E961">
        <v>0.57661379999999995</v>
      </c>
      <c r="F961" t="s">
        <v>45</v>
      </c>
      <c r="G961">
        <v>-162.30170000000001</v>
      </c>
      <c r="H961">
        <v>1.0844800000000001</v>
      </c>
      <c r="I961">
        <v>342.64389999999997</v>
      </c>
      <c r="J961">
        <v>-218.64789999999999</v>
      </c>
      <c r="K961">
        <v>1.108633</v>
      </c>
      <c r="L961">
        <v>367.77769999999998</v>
      </c>
      <c r="M961">
        <v>0.99828779999999995</v>
      </c>
      <c r="N961">
        <v>0</v>
      </c>
      <c r="O961">
        <v>-5.7398999999999999E-2</v>
      </c>
      <c r="P961">
        <v>0.97653760000000001</v>
      </c>
      <c r="Q961">
        <v>-1.584265E-2</v>
      </c>
      <c r="R961">
        <v>-0.2147638</v>
      </c>
      <c r="S961">
        <v>2.7984619999999998</v>
      </c>
      <c r="T961">
        <v>-1.197577E-3</v>
      </c>
      <c r="U961">
        <v>-1.2454829999999999</v>
      </c>
      <c r="V961">
        <v>0.1583376</v>
      </c>
      <c r="W961">
        <v>-5.2294519999999999E-3</v>
      </c>
      <c r="X961">
        <v>0.9873712</v>
      </c>
      <c r="Y961">
        <v>0.35349429999999998</v>
      </c>
      <c r="Z961" s="1">
        <v>-4.8847300000000002E-5</v>
      </c>
      <c r="AA961">
        <v>0.93543670000000001</v>
      </c>
      <c r="AB961">
        <v>23</v>
      </c>
      <c r="AC961">
        <v>56.346199999999897</v>
      </c>
      <c r="AD961">
        <v>-2.4153000000000001E-2</v>
      </c>
      <c r="AE961">
        <v>-25.133800000000001</v>
      </c>
      <c r="AF961">
        <v>21.857933114425698</v>
      </c>
      <c r="AG961">
        <v>-2.4153000000000001E-2</v>
      </c>
      <c r="AH961">
        <v>57.696028893769899</v>
      </c>
      <c r="AI961">
        <v>90.022429779979007</v>
      </c>
      <c r="AJ961">
        <v>69.250987251054298</v>
      </c>
      <c r="AK961">
        <v>61.697662626009198</v>
      </c>
      <c r="AL961">
        <v>90.2996268900404</v>
      </c>
      <c r="AM961">
        <v>80.889456761390804</v>
      </c>
      <c r="AN961">
        <v>1.00000001466571</v>
      </c>
    </row>
    <row r="962" spans="1:40" x14ac:dyDescent="0.25">
      <c r="A962" t="str">
        <f>"20190312161242717"</f>
        <v>20190312161242717</v>
      </c>
      <c r="B962" t="str">
        <f>"1552378362706898"</f>
        <v>1552378362706898</v>
      </c>
      <c r="C962" t="s">
        <v>40</v>
      </c>
      <c r="D962">
        <v>5.4328260000000004</v>
      </c>
      <c r="E962">
        <v>0.57653949999999998</v>
      </c>
      <c r="F962" t="s">
        <v>45</v>
      </c>
      <c r="G962">
        <v>-162.11060000000001</v>
      </c>
      <c r="H962">
        <v>1.0676870000000001</v>
      </c>
      <c r="I962">
        <v>342.64389999999997</v>
      </c>
      <c r="J962">
        <v>-218.27430000000001</v>
      </c>
      <c r="K962">
        <v>1.1085400000000001</v>
      </c>
      <c r="L962">
        <v>367.75200000000001</v>
      </c>
      <c r="M962">
        <v>0.99807559999999995</v>
      </c>
      <c r="N962">
        <v>0</v>
      </c>
      <c r="O962">
        <v>-6.0987769999999997E-2</v>
      </c>
      <c r="P962">
        <v>0.97648069999999998</v>
      </c>
      <c r="Q962">
        <v>-1.6222090000000002E-2</v>
      </c>
      <c r="R962">
        <v>-0.21499509999999999</v>
      </c>
      <c r="S962">
        <v>2.7984309999999999</v>
      </c>
      <c r="T962">
        <v>-2.0264390000000001E-3</v>
      </c>
      <c r="U962">
        <v>-1.244049</v>
      </c>
      <c r="V962">
        <v>0.15501909999999999</v>
      </c>
      <c r="W962">
        <v>-5.6697099999999997E-3</v>
      </c>
      <c r="X962">
        <v>0.98789519999999997</v>
      </c>
      <c r="Y962">
        <v>0.34973189999999998</v>
      </c>
      <c r="Z962" s="1">
        <v>-7.8900300000000001E-5</v>
      </c>
      <c r="AA962">
        <v>0.93684979999999995</v>
      </c>
      <c r="AB962">
        <v>23</v>
      </c>
      <c r="AC962">
        <v>56.163699999999999</v>
      </c>
      <c r="AD962">
        <v>-4.0852999999999799E-2</v>
      </c>
      <c r="AE962">
        <v>-25.108099999999901</v>
      </c>
      <c r="AF962">
        <v>21.635832263838399</v>
      </c>
      <c r="AG962">
        <v>-4.0852999999999799E-2</v>
      </c>
      <c r="AH962">
        <v>57.590496677993997</v>
      </c>
      <c r="AI962">
        <v>90.0380475341493</v>
      </c>
      <c r="AJ962">
        <v>69.409600295396402</v>
      </c>
      <c r="AK962">
        <v>61.5205348996138</v>
      </c>
      <c r="AL962">
        <v>90.324852195618803</v>
      </c>
      <c r="AM962">
        <v>81.081951469540499</v>
      </c>
      <c r="AN962">
        <v>0.99999999657966698</v>
      </c>
    </row>
    <row r="963" spans="1:40" x14ac:dyDescent="0.25">
      <c r="A963" t="str">
        <f>"20190312161242731"</f>
        <v>20190312161242731</v>
      </c>
      <c r="B963" t="str">
        <f>"1552378362726419"</f>
        <v>1552378362726419</v>
      </c>
      <c r="C963" t="s">
        <v>40</v>
      </c>
      <c r="D963">
        <v>5.4137950000000004</v>
      </c>
      <c r="E963">
        <v>0.5760284</v>
      </c>
      <c r="F963" t="s">
        <v>45</v>
      </c>
      <c r="G963">
        <v>-161.79300000000001</v>
      </c>
      <c r="H963">
        <v>1.0289729999999999</v>
      </c>
      <c r="I963">
        <v>342.64389999999997</v>
      </c>
      <c r="J963">
        <v>-218.13050000000001</v>
      </c>
      <c r="K963">
        <v>1.108508</v>
      </c>
      <c r="L963">
        <v>367.74169999999998</v>
      </c>
      <c r="M963">
        <v>0.99798759999999997</v>
      </c>
      <c r="N963">
        <v>0</v>
      </c>
      <c r="O963">
        <v>-6.2413509999999998E-2</v>
      </c>
      <c r="P963">
        <v>0.97635110000000003</v>
      </c>
      <c r="Q963">
        <v>-1.6433619999999999E-2</v>
      </c>
      <c r="R963">
        <v>-0.2155656</v>
      </c>
      <c r="S963">
        <v>2.7983250000000002</v>
      </c>
      <c r="T963">
        <v>-3.9417740000000003E-3</v>
      </c>
      <c r="U963">
        <v>-1.2439579999999999</v>
      </c>
      <c r="V963">
        <v>0.15418419999999999</v>
      </c>
      <c r="W963">
        <v>-5.9073340000000002E-3</v>
      </c>
      <c r="X963">
        <v>0.98802449999999997</v>
      </c>
      <c r="Y963">
        <v>0.34838059999999998</v>
      </c>
      <c r="Z963">
        <v>-1.506694E-4</v>
      </c>
      <c r="AA963">
        <v>0.93735310000000005</v>
      </c>
      <c r="AB963">
        <v>23</v>
      </c>
      <c r="AC963">
        <v>56.337499999999999</v>
      </c>
      <c r="AD963">
        <v>-7.9535000000000106E-2</v>
      </c>
      <c r="AE963">
        <v>-25.097799999999999</v>
      </c>
      <c r="AF963">
        <v>21.532385350559501</v>
      </c>
      <c r="AG963">
        <v>-7.9535000000000106E-2</v>
      </c>
      <c r="AH963">
        <v>57.794093129005098</v>
      </c>
      <c r="AI963">
        <v>90.073887639659006</v>
      </c>
      <c r="AJ963">
        <v>69.566080861378097</v>
      </c>
      <c r="AK963">
        <v>61.675012325133203</v>
      </c>
      <c r="AL963">
        <v>90.338467261968205</v>
      </c>
      <c r="AM963">
        <v>81.130358729258106</v>
      </c>
      <c r="AN963">
        <v>1.0000000383624299</v>
      </c>
    </row>
    <row r="964" spans="1:40" x14ac:dyDescent="0.25">
      <c r="A964" t="str">
        <f>"20190312161242748"</f>
        <v>20190312161242748</v>
      </c>
      <c r="B964" t="str">
        <f>"1552378362737154"</f>
        <v>1552378362737154</v>
      </c>
      <c r="C964" t="s">
        <v>40</v>
      </c>
      <c r="D964">
        <v>5.3763449999999997</v>
      </c>
      <c r="E964">
        <v>0.57604319999999998</v>
      </c>
      <c r="F964" t="s">
        <v>45</v>
      </c>
      <c r="G964">
        <v>-161.559</v>
      </c>
      <c r="H964">
        <v>0.89788279999999998</v>
      </c>
      <c r="I964">
        <v>342.64389999999997</v>
      </c>
      <c r="J964">
        <v>-217.94730000000001</v>
      </c>
      <c r="K964">
        <v>1.108463</v>
      </c>
      <c r="L964">
        <v>367.72809999999998</v>
      </c>
      <c r="M964">
        <v>0.99787000000000003</v>
      </c>
      <c r="N964">
        <v>0</v>
      </c>
      <c r="O964">
        <v>-6.4268370000000005E-2</v>
      </c>
      <c r="P964">
        <v>0.97627260000000005</v>
      </c>
      <c r="Q964">
        <v>-1.683486E-2</v>
      </c>
      <c r="R964">
        <v>-0.21589</v>
      </c>
      <c r="S964">
        <v>2.7983699999999998</v>
      </c>
      <c r="T964">
        <v>-1.041853E-2</v>
      </c>
      <c r="U964">
        <v>-1.2414860000000001</v>
      </c>
      <c r="V964">
        <v>0.15267449999999999</v>
      </c>
      <c r="W964">
        <v>-6.337306E-3</v>
      </c>
      <c r="X964">
        <v>0.98825620000000003</v>
      </c>
      <c r="Y964">
        <v>0.34593849999999998</v>
      </c>
      <c r="Z964">
        <v>-3.8741090000000001E-4</v>
      </c>
      <c r="AA964">
        <v>0.93825709999999996</v>
      </c>
      <c r="AB964">
        <v>23</v>
      </c>
      <c r="AC964">
        <v>56.388300000000001</v>
      </c>
      <c r="AD964">
        <v>-0.210580199999999</v>
      </c>
      <c r="AE964">
        <v>-25.084199999999999</v>
      </c>
      <c r="AF964">
        <v>21.407875762914902</v>
      </c>
      <c r="AG964">
        <v>-0.210580199999999</v>
      </c>
      <c r="AH964">
        <v>57.883258679493103</v>
      </c>
      <c r="AI964">
        <v>90.195499736549294</v>
      </c>
      <c r="AJ964">
        <v>69.703301607864404</v>
      </c>
      <c r="AK964">
        <v>61.715582506026301</v>
      </c>
      <c r="AL964">
        <v>90.363103321176396</v>
      </c>
      <c r="AM964">
        <v>81.217872471240895</v>
      </c>
      <c r="AN964">
        <v>0.99999999061801303</v>
      </c>
    </row>
    <row r="965" spans="1:40" x14ac:dyDescent="0.25">
      <c r="A965" t="str">
        <f>"20190312161242761"</f>
        <v>20190312161242761</v>
      </c>
      <c r="B965" t="str">
        <f>"1552378362756675"</f>
        <v>1552378362756675</v>
      </c>
      <c r="C965" t="s">
        <v>40</v>
      </c>
      <c r="D965">
        <v>5.3374739999999896</v>
      </c>
      <c r="E965">
        <v>0.57618449999999999</v>
      </c>
      <c r="F965" t="s">
        <v>45</v>
      </c>
      <c r="G965">
        <v>-161.44499999999999</v>
      </c>
      <c r="H965">
        <v>0.85585419999999901</v>
      </c>
      <c r="I965">
        <v>342.64389999999997</v>
      </c>
      <c r="J965">
        <v>-217.81809999999999</v>
      </c>
      <c r="K965">
        <v>1.1084339999999999</v>
      </c>
      <c r="L965">
        <v>367.71839999999997</v>
      </c>
      <c r="M965">
        <v>0.99778290000000003</v>
      </c>
      <c r="N965">
        <v>0</v>
      </c>
      <c r="O965">
        <v>-6.5610630000000003E-2</v>
      </c>
      <c r="P965">
        <v>0.97602449999999996</v>
      </c>
      <c r="Q965">
        <v>-1.733144E-2</v>
      </c>
      <c r="R965">
        <v>-0.2169701</v>
      </c>
      <c r="S965">
        <v>2.798035</v>
      </c>
      <c r="T965">
        <v>-1.250911E-2</v>
      </c>
      <c r="U965">
        <v>-1.2421879999999901</v>
      </c>
      <c r="V965">
        <v>0.15243699999999999</v>
      </c>
      <c r="W965">
        <v>-6.8560799999999996E-3</v>
      </c>
      <c r="X965">
        <v>0.98828939999999998</v>
      </c>
      <c r="Y965">
        <v>0.34491379999999999</v>
      </c>
      <c r="Z965">
        <v>-4.5730590000000001E-4</v>
      </c>
      <c r="AA965">
        <v>0.93863419999999997</v>
      </c>
      <c r="AB965">
        <v>23</v>
      </c>
      <c r="AC965">
        <v>56.373100000000001</v>
      </c>
      <c r="AD965">
        <v>-0.25257979999999902</v>
      </c>
      <c r="AE965">
        <v>-25.0745</v>
      </c>
      <c r="AF965">
        <v>21.3212030185976</v>
      </c>
      <c r="AG965">
        <v>-0.25257979999999902</v>
      </c>
      <c r="AH965">
        <v>57.895903704808603</v>
      </c>
      <c r="AI965">
        <v>90.23456014912</v>
      </c>
      <c r="AJ965">
        <v>69.782867108333406</v>
      </c>
      <c r="AK965">
        <v>61.697594446721297</v>
      </c>
      <c r="AL965">
        <v>90.392827528923902</v>
      </c>
      <c r="AM965">
        <v>81.231611431849203</v>
      </c>
      <c r="AN965">
        <v>0.99999999147716301</v>
      </c>
    </row>
    <row r="966" spans="1:40" x14ac:dyDescent="0.25">
      <c r="A966" t="str">
        <f>"20190312161242774"</f>
        <v>20190312161242774</v>
      </c>
      <c r="B966" t="str">
        <f>"1552378362766435"</f>
        <v>1552378362766435</v>
      </c>
      <c r="C966" t="s">
        <v>40</v>
      </c>
      <c r="D966">
        <v>5.3490409999999997</v>
      </c>
      <c r="E966">
        <v>0.57632059999999996</v>
      </c>
      <c r="F966" t="s">
        <v>45</v>
      </c>
      <c r="G966">
        <v>-161.56139999999999</v>
      </c>
      <c r="H966">
        <v>0.79460299999999995</v>
      </c>
      <c r="I966">
        <v>342.64389999999997</v>
      </c>
      <c r="J966">
        <v>-217.6902</v>
      </c>
      <c r="K966">
        <v>1.1084039999999999</v>
      </c>
      <c r="L966">
        <v>367.70850000000002</v>
      </c>
      <c r="M966">
        <v>0.99769359999999996</v>
      </c>
      <c r="N966">
        <v>0</v>
      </c>
      <c r="O966">
        <v>-6.6956589999999996E-2</v>
      </c>
      <c r="P966">
        <v>0.97581419999999996</v>
      </c>
      <c r="Q966">
        <v>-1.773972E-2</v>
      </c>
      <c r="R966">
        <v>-0.2178813</v>
      </c>
      <c r="S966">
        <v>2.796341</v>
      </c>
      <c r="T966">
        <v>-1.559925E-2</v>
      </c>
      <c r="U966">
        <v>-1.2463679999999999</v>
      </c>
      <c r="V966">
        <v>0.15202489999999999</v>
      </c>
      <c r="W966">
        <v>-7.2844629999999997E-3</v>
      </c>
      <c r="X966">
        <v>0.9883499</v>
      </c>
      <c r="Y966">
        <v>0.34502860000000002</v>
      </c>
      <c r="Z966">
        <v>-5.636266E-4</v>
      </c>
      <c r="AA966">
        <v>0.93859199999999998</v>
      </c>
      <c r="AB966">
        <v>23</v>
      </c>
      <c r="AC966">
        <v>56.128799999999998</v>
      </c>
      <c r="AD966">
        <v>-0.313801</v>
      </c>
      <c r="AE966">
        <v>-25.064599999999999</v>
      </c>
      <c r="AF966">
        <v>21.249364882746701</v>
      </c>
      <c r="AG966">
        <v>-0.313801</v>
      </c>
      <c r="AH966">
        <v>57.679666436646301</v>
      </c>
      <c r="AI966">
        <v>90.292492444381907</v>
      </c>
      <c r="AJ966">
        <v>69.776048911129493</v>
      </c>
      <c r="AK966">
        <v>61.470138272420499</v>
      </c>
      <c r="AL966">
        <v>90.417372644109804</v>
      </c>
      <c r="AM966">
        <v>81.2554761165581</v>
      </c>
      <c r="AN966">
        <v>1.0000000792256001</v>
      </c>
    </row>
    <row r="967" spans="1:40" x14ac:dyDescent="0.25">
      <c r="A967" t="str">
        <f>"20190312161242786"</f>
        <v>20190312161242786</v>
      </c>
      <c r="B967" t="str">
        <f>"1552378362777170"</f>
        <v>1552378362777170</v>
      </c>
      <c r="C967" t="s">
        <v>40</v>
      </c>
      <c r="D967">
        <v>5.334219</v>
      </c>
      <c r="E967">
        <v>0.57652009999999998</v>
      </c>
      <c r="F967" t="s">
        <v>45</v>
      </c>
      <c r="G967">
        <v>-161.6549</v>
      </c>
      <c r="H967">
        <v>0.73975290000000005</v>
      </c>
      <c r="I967">
        <v>342.64389999999997</v>
      </c>
      <c r="J967">
        <v>-217.55520000000001</v>
      </c>
      <c r="K967">
        <v>1.1083730000000001</v>
      </c>
      <c r="L967">
        <v>367.6979</v>
      </c>
      <c r="M967">
        <v>0.99759600000000004</v>
      </c>
      <c r="N967">
        <v>0</v>
      </c>
      <c r="O967">
        <v>-6.8396750000000006E-2</v>
      </c>
      <c r="P967">
        <v>0.97541940000000005</v>
      </c>
      <c r="Q967">
        <v>-1.831025E-2</v>
      </c>
      <c r="R967">
        <v>-0.21959429999999999</v>
      </c>
      <c r="S967">
        <v>2.7948909999999998</v>
      </c>
      <c r="T967">
        <v>-1.838708E-2</v>
      </c>
      <c r="U967">
        <v>-1.2501530000000001</v>
      </c>
      <c r="V967">
        <v>0.15233169999999999</v>
      </c>
      <c r="W967">
        <v>-7.8791290000000003E-3</v>
      </c>
      <c r="X967">
        <v>0.98829800000000001</v>
      </c>
      <c r="Y967">
        <v>0.34491290000000002</v>
      </c>
      <c r="Z967">
        <v>-6.5517180000000002E-4</v>
      </c>
      <c r="AA967">
        <v>0.93863450000000004</v>
      </c>
      <c r="AB967">
        <v>23</v>
      </c>
      <c r="AC967">
        <v>55.900300000000001</v>
      </c>
      <c r="AD967">
        <v>-0.36862009999999901</v>
      </c>
      <c r="AE967">
        <v>-25.053999999999998</v>
      </c>
      <c r="AF967">
        <v>21.1709185356818</v>
      </c>
      <c r="AG967">
        <v>-0.36862009999999901</v>
      </c>
      <c r="AH967">
        <v>57.4810135405545</v>
      </c>
      <c r="AI967">
        <v>90.344785576549697</v>
      </c>
      <c r="AJ967">
        <v>69.780667311648301</v>
      </c>
      <c r="AK967">
        <v>61.256922793036303</v>
      </c>
      <c r="AL967">
        <v>90.451445517086</v>
      </c>
      <c r="AM967">
        <v>81.237649466382805</v>
      </c>
      <c r="AN967">
        <v>0.999999982151344</v>
      </c>
    </row>
    <row r="968" spans="1:40" x14ac:dyDescent="0.25">
      <c r="A968" t="str">
        <f>"20190312161242799"</f>
        <v>20190312161242799</v>
      </c>
      <c r="B968" t="str">
        <f>"1552378362796692"</f>
        <v>1552378362796692</v>
      </c>
      <c r="C968" t="s">
        <v>40</v>
      </c>
      <c r="D968">
        <v>5.3781489999999996</v>
      </c>
      <c r="E968">
        <v>0.57651219999999903</v>
      </c>
      <c r="F968" t="s">
        <v>45</v>
      </c>
      <c r="G968">
        <v>-161.87629999999999</v>
      </c>
      <c r="H968">
        <v>0.66670980000000002</v>
      </c>
      <c r="I968">
        <v>342.64389999999997</v>
      </c>
      <c r="J968">
        <v>-217.42830000000001</v>
      </c>
      <c r="K968">
        <v>1.1083430000000001</v>
      </c>
      <c r="L968">
        <v>367.68759999999997</v>
      </c>
      <c r="M968">
        <v>0.99749969999999999</v>
      </c>
      <c r="N968">
        <v>0</v>
      </c>
      <c r="O968">
        <v>-6.9788080000000002E-2</v>
      </c>
      <c r="P968">
        <v>0.97512129999999997</v>
      </c>
      <c r="Q968">
        <v>-1.8751139999999999E-2</v>
      </c>
      <c r="R968">
        <v>-0.22087770000000001</v>
      </c>
      <c r="S968">
        <v>2.7923279999999999</v>
      </c>
      <c r="T968">
        <v>-2.214932E-2</v>
      </c>
      <c r="U968">
        <v>-1.25647</v>
      </c>
      <c r="V968">
        <v>0.1522519</v>
      </c>
      <c r="W968">
        <v>-8.3403739999999994E-3</v>
      </c>
      <c r="X968">
        <v>0.98830649999999998</v>
      </c>
      <c r="Y968">
        <v>0.34568989999999999</v>
      </c>
      <c r="Z968">
        <v>-7.8205549999999999E-4</v>
      </c>
      <c r="AA968">
        <v>0.93834850000000003</v>
      </c>
      <c r="AB968">
        <v>23</v>
      </c>
      <c r="AC968">
        <v>55.552</v>
      </c>
      <c r="AD968">
        <v>-0.4416332</v>
      </c>
      <c r="AE968">
        <v>-25.043700000000001</v>
      </c>
      <c r="AF968">
        <v>21.104415579411501</v>
      </c>
      <c r="AG968">
        <v>-0.4416332</v>
      </c>
      <c r="AH968">
        <v>57.161396131537998</v>
      </c>
      <c r="AI968">
        <v>90.415264401829504</v>
      </c>
      <c r="AJ968">
        <v>69.735476326629495</v>
      </c>
      <c r="AK968">
        <v>60.934527195494397</v>
      </c>
      <c r="AL968">
        <v>90.477873784303299</v>
      </c>
      <c r="AM968">
        <v>81.2422426559081</v>
      </c>
      <c r="AN968">
        <v>0.99999997041715905</v>
      </c>
    </row>
    <row r="969" spans="1:40" x14ac:dyDescent="0.25">
      <c r="A969" t="str">
        <f>"20190312161242813"</f>
        <v>20190312161242813</v>
      </c>
      <c r="B969" t="str">
        <f>"1552378362806451"</f>
        <v>1552378362806451</v>
      </c>
      <c r="C969" t="s">
        <v>40</v>
      </c>
      <c r="D969">
        <v>5.3366709999999999</v>
      </c>
      <c r="E969">
        <v>0.57663790000000004</v>
      </c>
      <c r="F969" t="s">
        <v>45</v>
      </c>
      <c r="G969">
        <v>-161.95599999999999</v>
      </c>
      <c r="H969">
        <v>0.61867700000000003</v>
      </c>
      <c r="I969">
        <v>342.64389999999997</v>
      </c>
      <c r="J969">
        <v>-217.29730000000001</v>
      </c>
      <c r="K969">
        <v>1.108311</v>
      </c>
      <c r="L969">
        <v>367.67689999999999</v>
      </c>
      <c r="M969">
        <v>0.99739699999999998</v>
      </c>
      <c r="N969">
        <v>0</v>
      </c>
      <c r="O969">
        <v>-7.1244050000000003E-2</v>
      </c>
      <c r="P969">
        <v>0.97471960000000002</v>
      </c>
      <c r="Q969">
        <v>-1.8711370000000001E-2</v>
      </c>
      <c r="R969">
        <v>-0.2226467</v>
      </c>
      <c r="S969">
        <v>2.79068</v>
      </c>
      <c r="T969">
        <v>-2.463365E-2</v>
      </c>
      <c r="U969">
        <v>-1.2598879999999999</v>
      </c>
      <c r="V969">
        <v>0.15260219999999999</v>
      </c>
      <c r="W969">
        <v>-8.3240180000000007E-3</v>
      </c>
      <c r="X969">
        <v>0.98825260000000004</v>
      </c>
      <c r="Y969">
        <v>0.34548109999999999</v>
      </c>
      <c r="Z969">
        <v>-8.5701460000000001E-4</v>
      </c>
      <c r="AA969">
        <v>0.93842539999999997</v>
      </c>
      <c r="AB969">
        <v>23</v>
      </c>
      <c r="AC969">
        <v>55.341299999999897</v>
      </c>
      <c r="AD969">
        <v>-0.48963400000000001</v>
      </c>
      <c r="AE969">
        <v>-25.033000000000001</v>
      </c>
      <c r="AF969">
        <v>21.025033015351099</v>
      </c>
      <c r="AG969">
        <v>-0.48963400000000001</v>
      </c>
      <c r="AH969">
        <v>56.980515311978202</v>
      </c>
      <c r="AI969">
        <v>90.461891961444195</v>
      </c>
      <c r="AJ969">
        <v>69.746626970633599</v>
      </c>
      <c r="AK969">
        <v>60.737722051202702</v>
      </c>
      <c r="AL969">
        <v>90.476936626435005</v>
      </c>
      <c r="AM969">
        <v>81.221935038735396</v>
      </c>
      <c r="AN969">
        <v>0.99999996106363098</v>
      </c>
    </row>
    <row r="970" spans="1:40" x14ac:dyDescent="0.25">
      <c r="A970" t="str">
        <f>"20190312161242824"</f>
        <v>20190312161242824</v>
      </c>
      <c r="B970" t="str">
        <f>"1552378362817186"</f>
        <v>1552378362817186</v>
      </c>
      <c r="C970" t="s">
        <v>40</v>
      </c>
      <c r="D970">
        <v>5.307372</v>
      </c>
      <c r="E970">
        <v>0.5767101</v>
      </c>
      <c r="F970" t="s">
        <v>45</v>
      </c>
      <c r="G970">
        <v>-162.1636</v>
      </c>
      <c r="H970">
        <v>0.60485279999999997</v>
      </c>
      <c r="I970">
        <v>342.64389999999997</v>
      </c>
      <c r="J970">
        <v>-217.16239999999999</v>
      </c>
      <c r="K970">
        <v>1.108274</v>
      </c>
      <c r="L970">
        <v>367.66559999999998</v>
      </c>
      <c r="M970">
        <v>0.99728669999999997</v>
      </c>
      <c r="N970">
        <v>0</v>
      </c>
      <c r="O970">
        <v>-7.2773060000000001E-2</v>
      </c>
      <c r="P970">
        <v>0.97430499999999998</v>
      </c>
      <c r="Q970">
        <v>-1.8624559999999998E-2</v>
      </c>
      <c r="R970">
        <v>-0.2244622</v>
      </c>
      <c r="S970">
        <v>2.7881469999999999</v>
      </c>
      <c r="T970">
        <v>-2.5459889999999999E-2</v>
      </c>
      <c r="U970">
        <v>-1.26593</v>
      </c>
      <c r="V970">
        <v>0.15292739999999999</v>
      </c>
      <c r="W970">
        <v>-8.2611590000000006E-3</v>
      </c>
      <c r="X970">
        <v>0.9882029</v>
      </c>
      <c r="Y970">
        <v>0.346049</v>
      </c>
      <c r="Z970">
        <v>-8.7541759999999996E-4</v>
      </c>
      <c r="AA970">
        <v>0.93821600000000005</v>
      </c>
      <c r="AB970">
        <v>23</v>
      </c>
      <c r="AC970">
        <v>54.998799999999903</v>
      </c>
      <c r="AD970">
        <v>-0.50342119999999901</v>
      </c>
      <c r="AE970">
        <v>-25.021699999999999</v>
      </c>
      <c r="AF970">
        <v>20.951215287884001</v>
      </c>
      <c r="AG970">
        <v>-0.50342119999999901</v>
      </c>
      <c r="AH970">
        <v>56.670038267616903</v>
      </c>
      <c r="AI970">
        <v>90.477387539926696</v>
      </c>
      <c r="AJ970">
        <v>69.710377971088604</v>
      </c>
      <c r="AK970">
        <v>60.421023594416603</v>
      </c>
      <c r="AL970">
        <v>90.473334926728498</v>
      </c>
      <c r="AM970">
        <v>81.203085488389803</v>
      </c>
      <c r="AN970">
        <v>1.0000000039935899</v>
      </c>
    </row>
    <row r="971" spans="1:40" x14ac:dyDescent="0.25">
      <c r="A971" t="str">
        <f>"20190312161242837"</f>
        <v>20190312161242837</v>
      </c>
      <c r="B971" t="str">
        <f>"1552378362826947"</f>
        <v>1552378362826947</v>
      </c>
      <c r="C971" t="s">
        <v>40</v>
      </c>
      <c r="D971">
        <v>5.3197739999999998</v>
      </c>
      <c r="E971">
        <v>0.57681680000000002</v>
      </c>
      <c r="F971" t="s">
        <v>45</v>
      </c>
      <c r="G971">
        <v>-162.34100000000001</v>
      </c>
      <c r="H971">
        <v>0.60085710000000003</v>
      </c>
      <c r="I971">
        <v>342.64389999999997</v>
      </c>
      <c r="J971">
        <v>-217.03460000000001</v>
      </c>
      <c r="K971">
        <v>1.1082399999999999</v>
      </c>
      <c r="L971">
        <v>367.65460000000002</v>
      </c>
      <c r="M971">
        <v>0.99717750000000005</v>
      </c>
      <c r="N971">
        <v>0</v>
      </c>
      <c r="O971">
        <v>-7.4254260000000002E-2</v>
      </c>
      <c r="P971">
        <v>0.97390129999999997</v>
      </c>
      <c r="Q971">
        <v>-1.8180470000000001E-2</v>
      </c>
      <c r="R971">
        <v>-0.22624359999999999</v>
      </c>
      <c r="S971">
        <v>2.7857059999999998</v>
      </c>
      <c r="T971">
        <v>-2.578366E-2</v>
      </c>
      <c r="U971">
        <v>-1.2714540000000001</v>
      </c>
      <c r="V971">
        <v>0.1532674</v>
      </c>
      <c r="W971">
        <v>-7.8392369999999902E-3</v>
      </c>
      <c r="X971">
        <v>0.98815359999999997</v>
      </c>
      <c r="Y971">
        <v>0.34650540000000002</v>
      </c>
      <c r="Z971">
        <v>-8.760021E-4</v>
      </c>
      <c r="AA971">
        <v>0.93804759999999998</v>
      </c>
      <c r="AB971">
        <v>23</v>
      </c>
      <c r="AC971">
        <v>54.693600000000004</v>
      </c>
      <c r="AD971">
        <v>-0.50738289999999897</v>
      </c>
      <c r="AE971">
        <v>-25.0107</v>
      </c>
      <c r="AF971">
        <v>20.878676150992401</v>
      </c>
      <c r="AG971">
        <v>-0.50738289999999897</v>
      </c>
      <c r="AH971">
        <v>56.395842557605697</v>
      </c>
      <c r="AI971">
        <v>90.483402968059707</v>
      </c>
      <c r="AJ971">
        <v>69.684612013207499</v>
      </c>
      <c r="AK971">
        <v>60.1387363768768</v>
      </c>
      <c r="AL971">
        <v>90.449159820638101</v>
      </c>
      <c r="AM971">
        <v>81.183401488331</v>
      </c>
      <c r="AN971">
        <v>0.99999994336622899</v>
      </c>
    </row>
    <row r="972" spans="1:40" x14ac:dyDescent="0.25">
      <c r="A972" t="str">
        <f>"20190312161242851"</f>
        <v>20190312161242851</v>
      </c>
      <c r="B972" t="str">
        <f>"1552378362846467"</f>
        <v>1552378362846467</v>
      </c>
      <c r="C972" t="s">
        <v>40</v>
      </c>
      <c r="D972">
        <v>5.3163900000000002</v>
      </c>
      <c r="E972">
        <v>0.57702779999999998</v>
      </c>
      <c r="F972" t="s">
        <v>45</v>
      </c>
      <c r="G972">
        <v>-162.55080000000001</v>
      </c>
      <c r="H972">
        <v>0.62100710000000003</v>
      </c>
      <c r="I972">
        <v>342.64389999999997</v>
      </c>
      <c r="J972">
        <v>-216.89760000000001</v>
      </c>
      <c r="K972">
        <v>1.108204</v>
      </c>
      <c r="L972">
        <v>367.64269999999999</v>
      </c>
      <c r="M972">
        <v>0.99705690000000002</v>
      </c>
      <c r="N972">
        <v>0</v>
      </c>
      <c r="O972">
        <v>-7.5861029999999996E-2</v>
      </c>
      <c r="P972">
        <v>0.97347309999999998</v>
      </c>
      <c r="Q972">
        <v>-1.8417940000000001E-2</v>
      </c>
      <c r="R972">
        <v>-0.22806029999999999</v>
      </c>
      <c r="S972">
        <v>2.7831269999999999</v>
      </c>
      <c r="T972">
        <v>-2.4888400000000001E-2</v>
      </c>
      <c r="U972">
        <v>-1.2775879999999999</v>
      </c>
      <c r="V972">
        <v>0.1535174</v>
      </c>
      <c r="W972">
        <v>-8.1001630000000005E-3</v>
      </c>
      <c r="X972">
        <v>0.98811269999999995</v>
      </c>
      <c r="Y972">
        <v>0.3470318</v>
      </c>
      <c r="Z972">
        <v>-8.3464089999999997E-4</v>
      </c>
      <c r="AA972">
        <v>0.93785300000000005</v>
      </c>
      <c r="AB972">
        <v>23</v>
      </c>
      <c r="AC972">
        <v>54.346800000000002</v>
      </c>
      <c r="AD972">
        <v>-0.48719689999999999</v>
      </c>
      <c r="AE972">
        <v>-24.998799999999999</v>
      </c>
      <c r="AF972">
        <v>20.8023177464155</v>
      </c>
      <c r="AG972">
        <v>-0.48719689999999999</v>
      </c>
      <c r="AH972">
        <v>56.083006103865898</v>
      </c>
      <c r="AI972">
        <v>90.466653953975893</v>
      </c>
      <c r="AJ972">
        <v>69.649167206688105</v>
      </c>
      <c r="AK972">
        <v>59.818704082322498</v>
      </c>
      <c r="AL972">
        <v>90.4641102488836</v>
      </c>
      <c r="AM972">
        <v>81.168887140456206</v>
      </c>
      <c r="AN972">
        <v>0.99999995632233696</v>
      </c>
    </row>
    <row r="973" spans="1:40" x14ac:dyDescent="0.25">
      <c r="A973" t="str">
        <f>"20190312161242864"</f>
        <v>20190312161242864</v>
      </c>
      <c r="B973" t="str">
        <f>"1552378362856227"</f>
        <v>1552378362856227</v>
      </c>
      <c r="C973" t="s">
        <v>40</v>
      </c>
      <c r="D973">
        <v>5.3158949999999896</v>
      </c>
      <c r="E973">
        <v>0.57708970000000004</v>
      </c>
      <c r="F973" t="s">
        <v>45</v>
      </c>
      <c r="G973">
        <v>-162.6275</v>
      </c>
      <c r="H973">
        <v>0.59206210000000004</v>
      </c>
      <c r="I973">
        <v>342.57240000000002</v>
      </c>
      <c r="J973">
        <v>-216.76830000000001</v>
      </c>
      <c r="K973">
        <v>1.108168</v>
      </c>
      <c r="L973">
        <v>367.63119999999998</v>
      </c>
      <c r="M973">
        <v>0.99693790000000004</v>
      </c>
      <c r="N973">
        <v>0</v>
      </c>
      <c r="O973">
        <v>-7.7408749999999998E-2</v>
      </c>
      <c r="P973">
        <v>0.9730065</v>
      </c>
      <c r="Q973">
        <v>-1.846455E-2</v>
      </c>
      <c r="R973">
        <v>-0.2300381</v>
      </c>
      <c r="S973">
        <v>2.7803499999999999</v>
      </c>
      <c r="T973">
        <v>-2.6442529999999999E-2</v>
      </c>
      <c r="U973">
        <v>-1.2843929999999999</v>
      </c>
      <c r="V973">
        <v>0.15399060000000001</v>
      </c>
      <c r="W973">
        <v>-8.1715490000000002E-3</v>
      </c>
      <c r="X973">
        <v>0.98803850000000004</v>
      </c>
      <c r="Y973">
        <v>0.3478234</v>
      </c>
      <c r="Z973">
        <v>-8.7686640000000004E-4</v>
      </c>
      <c r="AA973">
        <v>0.9375597</v>
      </c>
      <c r="AB973">
        <v>23</v>
      </c>
      <c r="AC973">
        <v>54.140799999999999</v>
      </c>
      <c r="AD973">
        <v>-0.51610590000000001</v>
      </c>
      <c r="AE973">
        <v>-25.058799999999898</v>
      </c>
      <c r="AF973">
        <v>20.790815573521702</v>
      </c>
      <c r="AG973">
        <v>-0.51610590000000001</v>
      </c>
      <c r="AH973">
        <v>55.914032219698399</v>
      </c>
      <c r="AI973">
        <v>90.495688422275805</v>
      </c>
      <c r="AJ973">
        <v>69.603084720959103</v>
      </c>
      <c r="AK973">
        <v>59.656545127736699</v>
      </c>
      <c r="AL973">
        <v>90.468200490666703</v>
      </c>
      <c r="AM973">
        <v>81.141442595175903</v>
      </c>
      <c r="AN973">
        <v>0.99999997829183396</v>
      </c>
    </row>
    <row r="974" spans="1:40" x14ac:dyDescent="0.25">
      <c r="A974" t="str">
        <f>"20190312161242884"</f>
        <v>20190312161242884</v>
      </c>
      <c r="B974" t="str">
        <f>"1552378362876724"</f>
        <v>1552378362876724</v>
      </c>
      <c r="C974" t="s">
        <v>40</v>
      </c>
      <c r="D974">
        <v>5.3565259999999997</v>
      </c>
      <c r="E974">
        <v>0.57740480000000005</v>
      </c>
      <c r="F974" t="s">
        <v>45</v>
      </c>
      <c r="G974">
        <v>-162.62739999999999</v>
      </c>
      <c r="H974">
        <v>0.56758149999999996</v>
      </c>
      <c r="I974">
        <v>342.47809999999998</v>
      </c>
      <c r="J974">
        <v>-216.55860000000001</v>
      </c>
      <c r="K974">
        <v>1.1081160000000001</v>
      </c>
      <c r="L974">
        <v>367.61200000000002</v>
      </c>
      <c r="M974">
        <v>0.99673619999999996</v>
      </c>
      <c r="N974">
        <v>0</v>
      </c>
      <c r="O974">
        <v>-7.9968070000000002E-2</v>
      </c>
      <c r="P974">
        <v>0.97219180000000005</v>
      </c>
      <c r="Q974">
        <v>-1.886115E-2</v>
      </c>
      <c r="R974">
        <v>-0.2334253</v>
      </c>
      <c r="S974">
        <v>2.7776179999999999</v>
      </c>
      <c r="T974">
        <v>-2.773368E-2</v>
      </c>
      <c r="U974">
        <v>-1.2904359999999999</v>
      </c>
      <c r="V974">
        <v>0.15489259999999999</v>
      </c>
      <c r="W974">
        <v>-8.6099619999999901E-3</v>
      </c>
      <c r="X974">
        <v>0.98789380000000004</v>
      </c>
      <c r="Y974">
        <v>0.34744520000000001</v>
      </c>
      <c r="Z974">
        <v>-8.9427959999999998E-4</v>
      </c>
      <c r="AA974">
        <v>0.93769990000000003</v>
      </c>
      <c r="AB974">
        <v>23</v>
      </c>
      <c r="AC974">
        <v>53.931199999999997</v>
      </c>
      <c r="AD974">
        <v>-0.54053449999999903</v>
      </c>
      <c r="AE974">
        <v>-25.133899999999901</v>
      </c>
      <c r="AF974">
        <v>20.738648228570302</v>
      </c>
      <c r="AG974">
        <v>-0.54053449999999903</v>
      </c>
      <c r="AH974">
        <v>55.763890193761803</v>
      </c>
      <c r="AI974">
        <v>90.520535904896207</v>
      </c>
      <c r="AJ974">
        <v>69.5997803335637</v>
      </c>
      <c r="AK974">
        <v>59.497858427308103</v>
      </c>
      <c r="AL974">
        <v>90.493320577356101</v>
      </c>
      <c r="AM974">
        <v>81.0890995962109</v>
      </c>
      <c r="AN974">
        <v>1.00000000452942</v>
      </c>
    </row>
    <row r="975" spans="1:40" x14ac:dyDescent="0.25">
      <c r="A975" t="str">
        <f>"20190312161242906"</f>
        <v>20190312161242906</v>
      </c>
      <c r="B975" t="str">
        <f>"1552378362896243"</f>
        <v>1552378362896243</v>
      </c>
      <c r="C975" t="s">
        <v>40</v>
      </c>
      <c r="D975">
        <v>5.2727750000000002</v>
      </c>
      <c r="E975">
        <v>0.60303289999999998</v>
      </c>
      <c r="F975" t="s">
        <v>45</v>
      </c>
      <c r="G975">
        <v>-162.62739999999999</v>
      </c>
      <c r="H975">
        <v>0.51049630000000001</v>
      </c>
      <c r="I975">
        <v>342.27659999999997</v>
      </c>
      <c r="J975">
        <v>-216.3295</v>
      </c>
      <c r="K975">
        <v>1.1080669999999999</v>
      </c>
      <c r="L975">
        <v>367.59039999999999</v>
      </c>
      <c r="M975">
        <v>0.99650240000000001</v>
      </c>
      <c r="N975">
        <v>0</v>
      </c>
      <c r="O975">
        <v>-8.2832409999999995E-2</v>
      </c>
      <c r="P975">
        <v>0.97129180000000004</v>
      </c>
      <c r="Q975">
        <v>-1.9151979999999999E-2</v>
      </c>
      <c r="R975">
        <v>-0.23711969999999999</v>
      </c>
      <c r="S975">
        <v>2.7725369999999998</v>
      </c>
      <c r="T975">
        <v>-3.0722619999999999E-2</v>
      </c>
      <c r="U975">
        <v>-1.30246</v>
      </c>
      <c r="V975">
        <v>0.1558069</v>
      </c>
      <c r="W975">
        <v>-8.9441520000000004E-3</v>
      </c>
      <c r="X975">
        <v>0.98774700000000004</v>
      </c>
      <c r="Y975">
        <v>0.34874090000000002</v>
      </c>
      <c r="Z975">
        <v>-9.6847749999999999E-4</v>
      </c>
      <c r="AA975">
        <v>0.93721869999999996</v>
      </c>
      <c r="AB975">
        <v>23</v>
      </c>
      <c r="AC975">
        <v>53.702100000000002</v>
      </c>
      <c r="AD975">
        <v>-0.59757069999999901</v>
      </c>
      <c r="AE975">
        <v>-25.313800000000001</v>
      </c>
      <c r="AF975">
        <v>20.776148243436101</v>
      </c>
      <c r="AG975">
        <v>-0.59757069999999901</v>
      </c>
      <c r="AH975">
        <v>55.608826691907502</v>
      </c>
      <c r="AI975">
        <v>90.576739808382797</v>
      </c>
      <c r="AJ975">
        <v>69.513687423303907</v>
      </c>
      <c r="AK975">
        <v>59.366211203220097</v>
      </c>
      <c r="AL975">
        <v>90.512469013301796</v>
      </c>
      <c r="AM975">
        <v>81.036041351621293</v>
      </c>
      <c r="AN975">
        <v>0.99999996197580399</v>
      </c>
    </row>
    <row r="976" spans="1:40" x14ac:dyDescent="0.25">
      <c r="A976" t="str">
        <f>"20190312161242929"</f>
        <v>20190312161242929</v>
      </c>
      <c r="B976" t="str">
        <f>"1552378362916739"</f>
        <v>1552378362916739</v>
      </c>
      <c r="C976" t="s">
        <v>40</v>
      </c>
      <c r="D976">
        <v>5.7668109999999997</v>
      </c>
      <c r="E976">
        <v>0.60441990000000001</v>
      </c>
      <c r="F976" t="s">
        <v>45</v>
      </c>
      <c r="G976">
        <v>-168.98220000000001</v>
      </c>
      <c r="H976">
        <v>0.660213099999999</v>
      </c>
      <c r="I976">
        <v>341.2629</v>
      </c>
      <c r="J976">
        <v>-216.10290000000001</v>
      </c>
      <c r="K976">
        <v>1.1080219999999901</v>
      </c>
      <c r="L976">
        <v>367.56830000000002</v>
      </c>
      <c r="M976">
        <v>0.99625710000000001</v>
      </c>
      <c r="N976">
        <v>0</v>
      </c>
      <c r="O976">
        <v>-8.5734199999999997E-2</v>
      </c>
      <c r="P976">
        <v>0.97053829999999996</v>
      </c>
      <c r="Q976">
        <v>-1.8634189999999998E-2</v>
      </c>
      <c r="R976">
        <v>-0.24022589999999999</v>
      </c>
      <c r="S976">
        <v>2.719055</v>
      </c>
      <c r="T976">
        <v>-2.5718930000000001E-2</v>
      </c>
      <c r="U976">
        <v>-1.5119320000000001</v>
      </c>
      <c r="V976">
        <v>0.15609089999999901</v>
      </c>
      <c r="W976">
        <v>-8.4602810000000001E-3</v>
      </c>
      <c r="X976">
        <v>0.98770650000000004</v>
      </c>
      <c r="Y976">
        <v>0.40923910000000002</v>
      </c>
      <c r="Z976">
        <v>-1.0536759999999999E-3</v>
      </c>
      <c r="AA976">
        <v>0.91242659999999998</v>
      </c>
      <c r="AB976">
        <v>23</v>
      </c>
      <c r="AC976">
        <v>47.120699999999999</v>
      </c>
      <c r="AD976">
        <v>-0.44780890000000001</v>
      </c>
      <c r="AE976">
        <v>-26.305399999999999</v>
      </c>
      <c r="AF976">
        <v>22.166905749497399</v>
      </c>
      <c r="AG976">
        <v>-0.44780890000000001</v>
      </c>
      <c r="AH976">
        <v>49.199204291747897</v>
      </c>
      <c r="AI976">
        <v>90.475460742422698</v>
      </c>
      <c r="AJ976">
        <v>65.745856375808501</v>
      </c>
      <c r="AK976">
        <v>53.964191333319903</v>
      </c>
      <c r="AL976">
        <v>90.484744159301499</v>
      </c>
      <c r="AM976">
        <v>81.019605938600094</v>
      </c>
      <c r="AN976">
        <v>1.0000000377798199</v>
      </c>
    </row>
    <row r="977" spans="1:40" x14ac:dyDescent="0.25">
      <c r="A977" t="str">
        <f>"20190312161242943"</f>
        <v>20190312161242943</v>
      </c>
      <c r="B977" t="str">
        <f>"1552378362936259"</f>
        <v>1552378362936259</v>
      </c>
      <c r="C977" t="s">
        <v>40</v>
      </c>
      <c r="D977">
        <v>5.4909319999999999</v>
      </c>
      <c r="E977">
        <v>0.60270729999999995</v>
      </c>
      <c r="F977" t="s">
        <v>45</v>
      </c>
      <c r="G977">
        <v>-168.9821</v>
      </c>
      <c r="H977">
        <v>0.20782819999999999</v>
      </c>
      <c r="I977">
        <v>340.97989999999999</v>
      </c>
      <c r="J977">
        <v>-215.95359999999999</v>
      </c>
      <c r="K977">
        <v>1.107996</v>
      </c>
      <c r="L977">
        <v>367.55329999999998</v>
      </c>
      <c r="M977">
        <v>0.99608719999999995</v>
      </c>
      <c r="N977">
        <v>0</v>
      </c>
      <c r="O977">
        <v>-8.7687470000000003E-2</v>
      </c>
      <c r="P977">
        <v>0.97007299999999996</v>
      </c>
      <c r="Q977">
        <v>-1.8543190000000001E-2</v>
      </c>
      <c r="R977">
        <v>-0.24210499999999999</v>
      </c>
      <c r="S977">
        <v>2.711411</v>
      </c>
      <c r="T977">
        <v>-5.1798219999999999E-2</v>
      </c>
      <c r="U977">
        <v>-1.529938</v>
      </c>
      <c r="V977">
        <v>0.1560667</v>
      </c>
      <c r="W977">
        <v>-8.3879049999999993E-3</v>
      </c>
      <c r="X977">
        <v>0.98771089999999995</v>
      </c>
      <c r="Y977">
        <v>0.41311340000000002</v>
      </c>
      <c r="Z977">
        <v>-2.1243120000000002E-3</v>
      </c>
      <c r="AA977">
        <v>0.91067710000000002</v>
      </c>
      <c r="AB977">
        <v>23</v>
      </c>
      <c r="AC977">
        <v>46.971499999999899</v>
      </c>
      <c r="AD977">
        <v>-0.90016779999999996</v>
      </c>
      <c r="AE977">
        <v>-26.5733999999999</v>
      </c>
      <c r="AF977">
        <v>22.345749147813201</v>
      </c>
      <c r="AG977">
        <v>-0.90016779999999996</v>
      </c>
      <c r="AH977">
        <v>49.1071783629314</v>
      </c>
      <c r="AI977">
        <v>90.955863961226697</v>
      </c>
      <c r="AJ977">
        <v>65.532548093373293</v>
      </c>
      <c r="AK977">
        <v>53.959779223176199</v>
      </c>
      <c r="AL977">
        <v>90.480597192622895</v>
      </c>
      <c r="AM977">
        <v>81.021014901494993</v>
      </c>
      <c r="AN977">
        <v>0.99999999688899399</v>
      </c>
    </row>
    <row r="978" spans="1:40" x14ac:dyDescent="0.25">
      <c r="A978" t="str">
        <f>"20190312161242955"</f>
        <v>20190312161242955</v>
      </c>
      <c r="B978" t="str">
        <f>"1552378362946995"</f>
        <v>1552378362946995</v>
      </c>
      <c r="C978" t="s">
        <v>40</v>
      </c>
      <c r="D978">
        <v>5.5862189999999998</v>
      </c>
      <c r="E978">
        <v>0.60241359999999999</v>
      </c>
      <c r="F978" t="s">
        <v>53</v>
      </c>
      <c r="G978">
        <v>-187.369</v>
      </c>
      <c r="H978" s="1">
        <v>-1.509878E-6</v>
      </c>
      <c r="I978">
        <v>351.53460000000001</v>
      </c>
      <c r="J978">
        <v>-215.82069999999999</v>
      </c>
      <c r="K978">
        <v>1.10797099999999</v>
      </c>
      <c r="L978">
        <v>367.53960000000001</v>
      </c>
      <c r="M978">
        <v>0.99593140000000002</v>
      </c>
      <c r="N978">
        <v>0</v>
      </c>
      <c r="O978">
        <v>-8.9439790000000005E-2</v>
      </c>
      <c r="P978">
        <v>0.96964249999999996</v>
      </c>
      <c r="Q978">
        <v>-1.8848429999999999E-2</v>
      </c>
      <c r="R978">
        <v>-0.2438003</v>
      </c>
      <c r="S978">
        <v>2.711319</v>
      </c>
      <c r="T978">
        <v>-0.1050965</v>
      </c>
      <c r="U978">
        <v>-1.519409</v>
      </c>
      <c r="V978">
        <v>0.1560539</v>
      </c>
      <c r="W978">
        <v>-8.7086839999999995E-3</v>
      </c>
      <c r="X978">
        <v>0.98771010000000004</v>
      </c>
      <c r="Y978">
        <v>0.40869739999999999</v>
      </c>
      <c r="Z978">
        <v>-4.170885E-3</v>
      </c>
      <c r="AA978">
        <v>0.91266040000000004</v>
      </c>
      <c r="AB978">
        <v>23</v>
      </c>
      <c r="AC978">
        <v>28.451699999999899</v>
      </c>
      <c r="AD978">
        <v>-1.10797250987799</v>
      </c>
      <c r="AE978">
        <v>-16.0049999999999</v>
      </c>
      <c r="AF978">
        <v>13.3805656521331</v>
      </c>
      <c r="AG978">
        <v>-1.10797250987799</v>
      </c>
      <c r="AH978">
        <v>29.734975206266899</v>
      </c>
      <c r="AI978">
        <v>91.946145811705307</v>
      </c>
      <c r="AJ978">
        <v>65.772532202787801</v>
      </c>
      <c r="AK978">
        <v>32.625693720915699</v>
      </c>
      <c r="AL978">
        <v>90.498977169937305</v>
      </c>
      <c r="AM978">
        <v>81.021732173717695</v>
      </c>
      <c r="AN978">
        <v>0.99999995126211405</v>
      </c>
    </row>
    <row r="979" spans="1:40" x14ac:dyDescent="0.25">
      <c r="A979" t="str">
        <f>"20190312161242969"</f>
        <v>20190312161242969</v>
      </c>
      <c r="B979" t="str">
        <f>"1552378362956755"</f>
        <v>1552378362956755</v>
      </c>
      <c r="C979" t="s">
        <v>40</v>
      </c>
      <c r="D979">
        <v>5.6110419999999896</v>
      </c>
      <c r="E979">
        <v>0.60210769999999902</v>
      </c>
      <c r="F979" t="s">
        <v>53</v>
      </c>
      <c r="G979">
        <v>-194.29640000000001</v>
      </c>
      <c r="H979" s="1">
        <v>-4.3103510000000004E-6</v>
      </c>
      <c r="I979">
        <v>355.4581</v>
      </c>
      <c r="J979">
        <v>-215.6891</v>
      </c>
      <c r="K979">
        <v>1.1079490000000001</v>
      </c>
      <c r="L979">
        <v>367.52600000000001</v>
      </c>
      <c r="M979">
        <v>0.99577309999999997</v>
      </c>
      <c r="N979">
        <v>0</v>
      </c>
      <c r="O979">
        <v>-9.1187560000000001E-2</v>
      </c>
      <c r="P979">
        <v>0.9692115</v>
      </c>
      <c r="Q979">
        <v>-1.9106749999999999E-2</v>
      </c>
      <c r="R979">
        <v>-0.24548800000000001</v>
      </c>
      <c r="S979">
        <v>2.708923</v>
      </c>
      <c r="T979">
        <v>-0.13944279999999901</v>
      </c>
      <c r="U979">
        <v>-1.520508</v>
      </c>
      <c r="V979">
        <v>0.15603909999999999</v>
      </c>
      <c r="W979">
        <v>-8.9817850000000008E-3</v>
      </c>
      <c r="X979">
        <v>0.98771010000000004</v>
      </c>
      <c r="Y979">
        <v>0.40758670000000002</v>
      </c>
      <c r="Z979">
        <v>-5.4272979999999997E-3</v>
      </c>
      <c r="AA979">
        <v>0.91315040000000003</v>
      </c>
      <c r="AB979">
        <v>23</v>
      </c>
      <c r="AC979">
        <v>21.392699999999898</v>
      </c>
      <c r="AD979">
        <v>-1.107953310351</v>
      </c>
      <c r="AE979">
        <v>-12.0679</v>
      </c>
      <c r="AF979">
        <v>10.046307667032501</v>
      </c>
      <c r="AG979">
        <v>-1.107953310351</v>
      </c>
      <c r="AH979">
        <v>22.358575047204699</v>
      </c>
      <c r="AI979">
        <v>92.588041710404497</v>
      </c>
      <c r="AJ979">
        <v>65.8043374005983</v>
      </c>
      <c r="AK979">
        <v>24.536946354835599</v>
      </c>
      <c r="AL979">
        <v>90.514625262951597</v>
      </c>
      <c r="AM979">
        <v>81.0225697952377</v>
      </c>
      <c r="AN979">
        <v>1.0000000574162999</v>
      </c>
    </row>
    <row r="980" spans="1:40" x14ac:dyDescent="0.25">
      <c r="A980" t="str">
        <f>"20190312161242987"</f>
        <v>20190312161242987</v>
      </c>
      <c r="B980" t="str">
        <f>"1552378362976274"</f>
        <v>1552378362976274</v>
      </c>
      <c r="C980" t="s">
        <v>40</v>
      </c>
      <c r="D980">
        <v>5.8793139999999999</v>
      </c>
      <c r="E980">
        <v>0.59944209999999998</v>
      </c>
      <c r="F980" t="s">
        <v>53</v>
      </c>
      <c r="G980">
        <v>-197.33019999999999</v>
      </c>
      <c r="H980" s="1">
        <v>-5.6305200000000003E-6</v>
      </c>
      <c r="I980">
        <v>357.2056</v>
      </c>
      <c r="J980">
        <v>-215.51060000000001</v>
      </c>
      <c r="K980">
        <v>1.107917</v>
      </c>
      <c r="L980">
        <v>367.50689999999997</v>
      </c>
      <c r="M980">
        <v>0.99555009999999999</v>
      </c>
      <c r="N980">
        <v>0</v>
      </c>
      <c r="O980">
        <v>-9.3591900000000006E-2</v>
      </c>
      <c r="P980">
        <v>0.96868659999999995</v>
      </c>
      <c r="Q980">
        <v>-1.9643290000000001E-2</v>
      </c>
      <c r="R980">
        <v>-0.24750849999999999</v>
      </c>
      <c r="S980">
        <v>2.70668</v>
      </c>
      <c r="T980">
        <v>-0.16334760000000001</v>
      </c>
      <c r="U980">
        <v>-1.5215449999999999</v>
      </c>
      <c r="V980">
        <v>0.155711299999999</v>
      </c>
      <c r="W980">
        <v>-9.5396579999999995E-3</v>
      </c>
      <c r="X980">
        <v>0.98775659999999998</v>
      </c>
      <c r="Y980">
        <v>0.40585840000000001</v>
      </c>
      <c r="Z980">
        <v>-6.1789330000000002E-3</v>
      </c>
      <c r="AA980">
        <v>0.91391509999999998</v>
      </c>
      <c r="AB980">
        <v>23</v>
      </c>
      <c r="AC980">
        <v>18.180399999999999</v>
      </c>
      <c r="AD980">
        <v>-1.1079226305200001</v>
      </c>
      <c r="AE980">
        <v>-10.3012999999999</v>
      </c>
      <c r="AF980">
        <v>8.5304569056618202</v>
      </c>
      <c r="AG980">
        <v>-1.1079226305200001</v>
      </c>
      <c r="AH980">
        <v>19.011321869669601</v>
      </c>
      <c r="AI980">
        <v>93.043539030933999</v>
      </c>
      <c r="AJ980">
        <v>65.834033565474499</v>
      </c>
      <c r="AK980">
        <v>20.866876786111298</v>
      </c>
      <c r="AL980">
        <v>90.546590400635907</v>
      </c>
      <c r="AM980">
        <v>81.041537882433005</v>
      </c>
      <c r="AN980">
        <v>1.0000000574329999</v>
      </c>
    </row>
    <row r="981" spans="1:40" x14ac:dyDescent="0.25">
      <c r="A981" t="str">
        <f>"20190312161243004"</f>
        <v>20190312161243004</v>
      </c>
      <c r="B981" t="str">
        <f>"1552378362996771"</f>
        <v>1552378362996771</v>
      </c>
      <c r="C981" t="s">
        <v>40</v>
      </c>
      <c r="D981">
        <v>5.7372079999999999</v>
      </c>
      <c r="E981">
        <v>0.59717259999999905</v>
      </c>
      <c r="F981" t="s">
        <v>53</v>
      </c>
      <c r="G981">
        <v>-196.52500000000001</v>
      </c>
      <c r="H981" s="1">
        <v>-5.4175049999999997E-6</v>
      </c>
      <c r="I981">
        <v>356.94499999999999</v>
      </c>
      <c r="J981">
        <v>-215.32429999999999</v>
      </c>
      <c r="K981">
        <v>1.1078840000000001</v>
      </c>
      <c r="L981">
        <v>367.48649999999998</v>
      </c>
      <c r="M981">
        <v>0.99530810000000003</v>
      </c>
      <c r="N981">
        <v>0</v>
      </c>
      <c r="O981">
        <v>-9.6133079999999996E-2</v>
      </c>
      <c r="P981">
        <v>0.96813649999999996</v>
      </c>
      <c r="Q981">
        <v>-1.9728780000000001E-2</v>
      </c>
      <c r="R981">
        <v>-0.24964549999999999</v>
      </c>
      <c r="S981">
        <v>2.7087249999999998</v>
      </c>
      <c r="T981">
        <v>-0.15806999999999999</v>
      </c>
      <c r="U981">
        <v>-1.5068969999999999</v>
      </c>
      <c r="V981">
        <v>0.15536829999999999</v>
      </c>
      <c r="W981">
        <v>-9.6494019999999996E-3</v>
      </c>
      <c r="X981">
        <v>0.98780950000000001</v>
      </c>
      <c r="Y981">
        <v>0.3994935</v>
      </c>
      <c r="Z981">
        <v>-5.6735319999999898E-3</v>
      </c>
      <c r="AA981">
        <v>0.91671849999999999</v>
      </c>
      <c r="AB981">
        <v>23</v>
      </c>
      <c r="AC981">
        <v>18.799299999999899</v>
      </c>
      <c r="AD981">
        <v>-1.107889417505</v>
      </c>
      <c r="AE981">
        <v>-10.5414999999999</v>
      </c>
      <c r="AF981">
        <v>8.6624395405983794</v>
      </c>
      <c r="AG981">
        <v>-1.107889417505</v>
      </c>
      <c r="AH981">
        <v>19.673685503052699</v>
      </c>
      <c r="AI981">
        <v>92.950331719271006</v>
      </c>
      <c r="AJ981">
        <v>66.2358238365224</v>
      </c>
      <c r="AK981">
        <v>21.524850267283298</v>
      </c>
      <c r="AL981">
        <v>90.552878581782693</v>
      </c>
      <c r="AM981">
        <v>81.061423504237794</v>
      </c>
      <c r="AN981">
        <v>1.00000001394704</v>
      </c>
    </row>
    <row r="982" spans="1:40" x14ac:dyDescent="0.25">
      <c r="A982" t="str">
        <f>"20190312161243018"</f>
        <v>20190312161243018</v>
      </c>
      <c r="B982" t="str">
        <f>"1552378363006531"</f>
        <v>1552378363006531</v>
      </c>
      <c r="C982" t="s">
        <v>40</v>
      </c>
      <c r="D982">
        <v>5.6410780000000003</v>
      </c>
      <c r="E982">
        <v>0.59761509999999995</v>
      </c>
      <c r="F982" t="s">
        <v>53</v>
      </c>
      <c r="G982">
        <v>-195.1481</v>
      </c>
      <c r="H982" s="1">
        <v>-4.9147569999999998E-6</v>
      </c>
      <c r="I982">
        <v>356.35019999999997</v>
      </c>
      <c r="J982">
        <v>-215.1876</v>
      </c>
      <c r="K982">
        <v>1.107856</v>
      </c>
      <c r="L982">
        <v>367.47129999999999</v>
      </c>
      <c r="M982">
        <v>0.99512400000000001</v>
      </c>
      <c r="N982">
        <v>0</v>
      </c>
      <c r="O982">
        <v>-9.802189E-2</v>
      </c>
      <c r="P982">
        <v>0.96791210000000005</v>
      </c>
      <c r="Q982">
        <v>-1.9774429999999999E-2</v>
      </c>
      <c r="R982">
        <v>-0.2505098</v>
      </c>
      <c r="S982">
        <v>2.7099760000000002</v>
      </c>
      <c r="T982">
        <v>-0.14880660000000001</v>
      </c>
      <c r="U982">
        <v>-1.495789</v>
      </c>
      <c r="V982">
        <v>0.15437509999999999</v>
      </c>
      <c r="W982">
        <v>-9.7081609999999999E-3</v>
      </c>
      <c r="X982">
        <v>0.98796459999999997</v>
      </c>
      <c r="Y982">
        <v>0.39474490000000001</v>
      </c>
      <c r="Z982">
        <v>-5.1271629999999997E-3</v>
      </c>
      <c r="AA982">
        <v>0.9187765</v>
      </c>
      <c r="AB982">
        <v>23</v>
      </c>
      <c r="AC982">
        <v>20.0395</v>
      </c>
      <c r="AD982">
        <v>-1.107860914757</v>
      </c>
      <c r="AE982">
        <v>-11.1211</v>
      </c>
      <c r="AF982">
        <v>9.0818884539793299</v>
      </c>
      <c r="AG982">
        <v>-1.107860914757</v>
      </c>
      <c r="AH982">
        <v>20.9841271673234</v>
      </c>
      <c r="AI982">
        <v>92.773924549887795</v>
      </c>
      <c r="AJ982">
        <v>66.597135109190006</v>
      </c>
      <c r="AK982">
        <v>22.891955938088199</v>
      </c>
      <c r="AL982">
        <v>90.556245398042805</v>
      </c>
      <c r="AM982">
        <v>81.119022055473096</v>
      </c>
      <c r="AN982">
        <v>0.99999998537158497</v>
      </c>
    </row>
    <row r="983" spans="1:40" x14ac:dyDescent="0.25">
      <c r="A983" t="str">
        <f>"20190312161243040"</f>
        <v>20190312161243040</v>
      </c>
      <c r="B983" t="str">
        <f>"1552378363027026"</f>
        <v>1552378363027026</v>
      </c>
      <c r="C983" t="s">
        <v>40</v>
      </c>
      <c r="D983">
        <v>5.6561430000000001</v>
      </c>
      <c r="E983">
        <v>0.5982478</v>
      </c>
      <c r="F983" t="s">
        <v>53</v>
      </c>
      <c r="G983">
        <v>-196.5136</v>
      </c>
      <c r="H983" s="1">
        <v>-5.4733660000000003E-6</v>
      </c>
      <c r="I983">
        <v>357.11720000000003</v>
      </c>
      <c r="J983">
        <v>-214.95330000000001</v>
      </c>
      <c r="K983">
        <v>1.10781</v>
      </c>
      <c r="L983">
        <v>367.44450000000001</v>
      </c>
      <c r="M983">
        <v>0.99479589999999996</v>
      </c>
      <c r="N983">
        <v>0</v>
      </c>
      <c r="O983">
        <v>-0.10129920000000001</v>
      </c>
      <c r="P983">
        <v>0.96718559999999998</v>
      </c>
      <c r="Q983">
        <v>-1.9671620000000001E-2</v>
      </c>
      <c r="R983">
        <v>-0.25330859999999999</v>
      </c>
      <c r="S983">
        <v>2.7076259999999999</v>
      </c>
      <c r="T983">
        <v>-0.16063369999999999</v>
      </c>
      <c r="U983">
        <v>-1.501282</v>
      </c>
      <c r="V983">
        <v>0.1539779</v>
      </c>
      <c r="W983">
        <v>-9.6352550000000006E-3</v>
      </c>
      <c r="X983">
        <v>0.98802730000000005</v>
      </c>
      <c r="Y983">
        <v>0.39343299999999998</v>
      </c>
      <c r="Z983">
        <v>-5.3212930000000004E-3</v>
      </c>
      <c r="AA983">
        <v>0.91933790000000004</v>
      </c>
      <c r="AB983">
        <v>23</v>
      </c>
      <c r="AC983">
        <v>18.439699999999998</v>
      </c>
      <c r="AD983">
        <v>-1.1078154733659999</v>
      </c>
      <c r="AE983">
        <v>-10.3272999999999</v>
      </c>
      <c r="AF983">
        <v>8.3830986755208396</v>
      </c>
      <c r="AG983">
        <v>-1.1078154733659999</v>
      </c>
      <c r="AH983">
        <v>19.3379131904939</v>
      </c>
      <c r="AI983">
        <v>93.008749696138096</v>
      </c>
      <c r="AJ983">
        <v>66.562985441085303</v>
      </c>
      <c r="AK983">
        <v>21.105887450889799</v>
      </c>
      <c r="AL983">
        <v>90.552067994663901</v>
      </c>
      <c r="AM983">
        <v>81.142062779500407</v>
      </c>
      <c r="AN983">
        <v>0.99999998868630702</v>
      </c>
    </row>
    <row r="984" spans="1:40" x14ac:dyDescent="0.25">
      <c r="A984" t="str">
        <f>"20190312161243055"</f>
        <v>20190312161243055</v>
      </c>
      <c r="B984" t="str">
        <f>"1552378363046547"</f>
        <v>1552378363046547</v>
      </c>
      <c r="C984" t="s">
        <v>40</v>
      </c>
      <c r="D984">
        <v>5.7472649999999996</v>
      </c>
      <c r="E984">
        <v>0.59831699999999999</v>
      </c>
      <c r="F984" t="s">
        <v>53</v>
      </c>
      <c r="G984">
        <v>-198.45400000000001</v>
      </c>
      <c r="H984" s="1">
        <v>-6.1400819999999998E-6</v>
      </c>
      <c r="I984">
        <v>358.20350000000002</v>
      </c>
      <c r="J984">
        <v>-214.8015</v>
      </c>
      <c r="K984">
        <v>1.1077840000000001</v>
      </c>
      <c r="L984">
        <v>367.42660000000001</v>
      </c>
      <c r="M984">
        <v>0.99457410000000002</v>
      </c>
      <c r="N984">
        <v>0</v>
      </c>
      <c r="O984">
        <v>-0.1034547</v>
      </c>
      <c r="P984">
        <v>0.96678070000000005</v>
      </c>
      <c r="Q984">
        <v>-2.0171459999999999E-2</v>
      </c>
      <c r="R984">
        <v>-0.2548107</v>
      </c>
      <c r="S984">
        <v>2.7017820000000001</v>
      </c>
      <c r="T984">
        <v>-0.18140600000000001</v>
      </c>
      <c r="U984">
        <v>-1.5132139999999901</v>
      </c>
      <c r="V984">
        <v>0.15336959999999999</v>
      </c>
      <c r="W984">
        <v>-1.0150869999999999E-2</v>
      </c>
      <c r="X984">
        <v>0.98811669999999996</v>
      </c>
      <c r="Y984">
        <v>0.39527329999999999</v>
      </c>
      <c r="Z984">
        <v>-5.9389610000000004E-3</v>
      </c>
      <c r="AA984">
        <v>0.91854440000000004</v>
      </c>
      <c r="AB984">
        <v>23</v>
      </c>
      <c r="AC984">
        <v>16.347499999999901</v>
      </c>
      <c r="AD984">
        <v>-1.1077901400820001</v>
      </c>
      <c r="AE984">
        <v>-9.2230999999999792</v>
      </c>
      <c r="AF984">
        <v>7.4563049293753698</v>
      </c>
      <c r="AG984">
        <v>-1.1077901400820001</v>
      </c>
      <c r="AH984">
        <v>17.1542476833934</v>
      </c>
      <c r="AI984">
        <v>93.389401787750799</v>
      </c>
      <c r="AJ984">
        <v>66.5072313684677</v>
      </c>
      <c r="AK984">
        <v>18.737446351557502</v>
      </c>
      <c r="AL984">
        <v>90.581612030718404</v>
      </c>
      <c r="AM984">
        <v>81.177290684362603</v>
      </c>
      <c r="AN984">
        <v>0.99999994359240096</v>
      </c>
    </row>
    <row r="985" spans="1:40" x14ac:dyDescent="0.25">
      <c r="A985" t="str">
        <f>"20190312161243069"</f>
        <v>20190312161243069</v>
      </c>
      <c r="B985" t="str">
        <f>"1552378363067043"</f>
        <v>1552378363067043</v>
      </c>
      <c r="C985" t="s">
        <v>40</v>
      </c>
      <c r="D985">
        <v>5.908582</v>
      </c>
      <c r="E985">
        <v>0.59739659999999895</v>
      </c>
      <c r="F985" t="s">
        <v>53</v>
      </c>
      <c r="G985">
        <v>-198.99979999999999</v>
      </c>
      <c r="H985" s="1">
        <v>-6.3389779999999996E-6</v>
      </c>
      <c r="I985">
        <v>358.54300000000001</v>
      </c>
      <c r="J985">
        <v>-214.6499</v>
      </c>
      <c r="K985">
        <v>1.107753</v>
      </c>
      <c r="L985">
        <v>367.4085</v>
      </c>
      <c r="M985">
        <v>0.9943457</v>
      </c>
      <c r="N985">
        <v>0</v>
      </c>
      <c r="O985">
        <v>-0.10562829999999999</v>
      </c>
      <c r="P985">
        <v>0.96628610000000004</v>
      </c>
      <c r="Q985">
        <v>-2.0651050000000001E-2</v>
      </c>
      <c r="R985">
        <v>-0.25664229999999999</v>
      </c>
      <c r="S985">
        <v>2.699173</v>
      </c>
      <c r="T985">
        <v>-0.18922720000000001</v>
      </c>
      <c r="U985">
        <v>-1.5174559999999999</v>
      </c>
      <c r="V985">
        <v>0.1530802</v>
      </c>
      <c r="W985">
        <v>-1.0647490000000001E-2</v>
      </c>
      <c r="X985">
        <v>0.98815640000000005</v>
      </c>
      <c r="Y985">
        <v>0.39470339999999998</v>
      </c>
      <c r="Z985">
        <v>-6.0397559999999899E-3</v>
      </c>
      <c r="AA985">
        <v>0.91878870000000001</v>
      </c>
      <c r="AB985">
        <v>23</v>
      </c>
      <c r="AC985">
        <v>15.6501</v>
      </c>
      <c r="AD985">
        <v>-1.1077593389780001</v>
      </c>
      <c r="AE985">
        <v>-8.8654999999999902</v>
      </c>
      <c r="AF985">
        <v>7.1356398995841301</v>
      </c>
      <c r="AG985">
        <v>-1.1077593389780001</v>
      </c>
      <c r="AH985">
        <v>16.436696605932301</v>
      </c>
      <c r="AI985">
        <v>93.537589842954205</v>
      </c>
      <c r="AJ985">
        <v>66.532956961632607</v>
      </c>
      <c r="AK985">
        <v>17.952979776212501</v>
      </c>
      <c r="AL985">
        <v>90.610067770713201</v>
      </c>
      <c r="AM985">
        <v>81.1940257143157</v>
      </c>
      <c r="AN985">
        <v>0.99999999376814996</v>
      </c>
    </row>
    <row r="986" spans="1:40" x14ac:dyDescent="0.25">
      <c r="A986" t="str">
        <f>"20190312161243087"</f>
        <v>20190312161243087</v>
      </c>
      <c r="B986" t="str">
        <f>"1552378363076803"</f>
        <v>1552378363076803</v>
      </c>
      <c r="C986" t="s">
        <v>40</v>
      </c>
      <c r="D986">
        <v>5.7617940000000001</v>
      </c>
      <c r="E986">
        <v>0.59677089999999999</v>
      </c>
      <c r="F986" t="s">
        <v>53</v>
      </c>
      <c r="G986">
        <v>-199.44880000000001</v>
      </c>
      <c r="H986" s="1">
        <v>-6.5191620000000004E-6</v>
      </c>
      <c r="I986">
        <v>358.87180000000001</v>
      </c>
      <c r="J986">
        <v>-214.47470000000001</v>
      </c>
      <c r="K986">
        <v>1.1077159999999999</v>
      </c>
      <c r="L986">
        <v>367.38709999999998</v>
      </c>
      <c r="M986">
        <v>0.99407190000000001</v>
      </c>
      <c r="N986">
        <v>0</v>
      </c>
      <c r="O986">
        <v>-0.10817690000000001</v>
      </c>
      <c r="P986">
        <v>0.96563339999999998</v>
      </c>
      <c r="Q986">
        <v>-2.1054090000000001E-2</v>
      </c>
      <c r="R986">
        <v>-0.25905410000000001</v>
      </c>
      <c r="S986">
        <v>2.6980590000000002</v>
      </c>
      <c r="T986">
        <v>-0.1966174</v>
      </c>
      <c r="U986">
        <v>-1.515198</v>
      </c>
      <c r="V986">
        <v>0.1530125</v>
      </c>
      <c r="W986">
        <v>-1.1071299999999999E-2</v>
      </c>
      <c r="X986">
        <v>0.98816219999999999</v>
      </c>
      <c r="Y986">
        <v>0.39189220000000002</v>
      </c>
      <c r="Z986">
        <v>-6.0134910000000001E-3</v>
      </c>
      <c r="AA986">
        <v>0.91999149999999996</v>
      </c>
      <c r="AB986">
        <v>23</v>
      </c>
      <c r="AC986">
        <v>15.0259</v>
      </c>
      <c r="AD986">
        <v>-1.1077225191619999</v>
      </c>
      <c r="AE986">
        <v>-8.5152999999999608</v>
      </c>
      <c r="AF986">
        <v>6.81175043490164</v>
      </c>
      <c r="AG986">
        <v>-1.1077225191619999</v>
      </c>
      <c r="AH986">
        <v>15.7939552625123</v>
      </c>
      <c r="AI986">
        <v>93.684845177424407</v>
      </c>
      <c r="AJ986">
        <v>66.670021549653796</v>
      </c>
      <c r="AK986">
        <v>17.2358932463938</v>
      </c>
      <c r="AL986">
        <v>90.634351744769404</v>
      </c>
      <c r="AM986">
        <v>81.197910027483999</v>
      </c>
      <c r="AN986">
        <v>0.99999996617438902</v>
      </c>
    </row>
    <row r="987" spans="1:40" x14ac:dyDescent="0.25">
      <c r="A987" t="str">
        <f>"20190312161243109"</f>
        <v>20190312161243109</v>
      </c>
      <c r="B987" t="str">
        <f>"1552378363096324"</f>
        <v>1552378363096324</v>
      </c>
      <c r="C987" t="s">
        <v>40</v>
      </c>
      <c r="D987">
        <v>5.7556529999999997</v>
      </c>
      <c r="E987">
        <v>0.59614750000000005</v>
      </c>
      <c r="F987" t="s">
        <v>53</v>
      </c>
      <c r="G987">
        <v>-198.9862</v>
      </c>
      <c r="H987" s="1">
        <v>-6.3788440000000002E-6</v>
      </c>
      <c r="I987">
        <v>358.66849999999999</v>
      </c>
      <c r="J987">
        <v>-214.25069999999999</v>
      </c>
      <c r="K987">
        <v>1.1076699999999999</v>
      </c>
      <c r="L987">
        <v>367.35890000000001</v>
      </c>
      <c r="M987">
        <v>0.99370720000000001</v>
      </c>
      <c r="N987">
        <v>0</v>
      </c>
      <c r="O987">
        <v>-0.11147799999999999</v>
      </c>
      <c r="P987">
        <v>0.96470840000000002</v>
      </c>
      <c r="Q987">
        <v>-2.1968660000000001E-2</v>
      </c>
      <c r="R987">
        <v>-0.262403</v>
      </c>
      <c r="S987">
        <v>2.6955260000000001</v>
      </c>
      <c r="T987">
        <v>-0.1927816</v>
      </c>
      <c r="U987">
        <v>-1.517334</v>
      </c>
      <c r="V987">
        <v>0.15315519999999999</v>
      </c>
      <c r="W987">
        <v>-1.201264E-2</v>
      </c>
      <c r="X987">
        <v>0.98812909999999998</v>
      </c>
      <c r="Y987">
        <v>0.3897909</v>
      </c>
      <c r="Z987">
        <v>-5.6148179999999997E-3</v>
      </c>
      <c r="AA987">
        <v>0.92088630000000005</v>
      </c>
      <c r="AB987">
        <v>23</v>
      </c>
      <c r="AC987">
        <v>15.2644999999999</v>
      </c>
      <c r="AD987">
        <v>-1.1076763788440001</v>
      </c>
      <c r="AE987">
        <v>-8.6904000000000092</v>
      </c>
      <c r="AF987">
        <v>6.9070009415987403</v>
      </c>
      <c r="AG987">
        <v>-1.1076763788440001</v>
      </c>
      <c r="AH987">
        <v>16.074265679415799</v>
      </c>
      <c r="AI987">
        <v>93.622702021616405</v>
      </c>
      <c r="AJ987">
        <v>66.747137302765495</v>
      </c>
      <c r="AK987">
        <v>17.530420020636701</v>
      </c>
      <c r="AL987">
        <v>90.688290148925006</v>
      </c>
      <c r="AM987">
        <v>81.189539402611999</v>
      </c>
      <c r="AN987">
        <v>0.99999996853680895</v>
      </c>
    </row>
    <row r="988" spans="1:40" x14ac:dyDescent="0.25">
      <c r="A988" t="str">
        <f>"20190312161243130"</f>
        <v>20190312161243130</v>
      </c>
      <c r="B988" t="str">
        <f>"1552378363116819"</f>
        <v>1552378363116819</v>
      </c>
      <c r="C988" t="s">
        <v>40</v>
      </c>
      <c r="D988">
        <v>5.8031079999999999</v>
      </c>
      <c r="E988">
        <v>0.59559609999999996</v>
      </c>
      <c r="F988" t="s">
        <v>53</v>
      </c>
      <c r="G988">
        <v>-198.5907</v>
      </c>
      <c r="H988" s="1">
        <v>-6.2612789999999997E-6</v>
      </c>
      <c r="I988">
        <v>358.5018</v>
      </c>
      <c r="J988">
        <v>-214.0264</v>
      </c>
      <c r="K988">
        <v>1.1076269999999999</v>
      </c>
      <c r="L988">
        <v>367.32990000000001</v>
      </c>
      <c r="M988">
        <v>0.99332330000000002</v>
      </c>
      <c r="N988">
        <v>0</v>
      </c>
      <c r="O988">
        <v>-0.11484949999999999</v>
      </c>
      <c r="P988">
        <v>0.96375540000000004</v>
      </c>
      <c r="Q988">
        <v>-2.1836339999999999E-2</v>
      </c>
      <c r="R988">
        <v>-0.2658932</v>
      </c>
      <c r="S988">
        <v>2.691376</v>
      </c>
      <c r="T988">
        <v>-0.1903687</v>
      </c>
      <c r="U988">
        <v>-1.5222169999999999</v>
      </c>
      <c r="V988">
        <v>0.15337779999999901</v>
      </c>
      <c r="W988">
        <v>-1.191153E-2</v>
      </c>
      <c r="X988">
        <v>0.98809579999999997</v>
      </c>
      <c r="Y988">
        <v>0.38856099999999999</v>
      </c>
      <c r="Z988">
        <v>-5.2921519999999996E-3</v>
      </c>
      <c r="AA988">
        <v>0.9214078</v>
      </c>
      <c r="AB988">
        <v>23</v>
      </c>
      <c r="AC988">
        <v>15.435699999999899</v>
      </c>
      <c r="AD988">
        <v>-1.1076332612790001</v>
      </c>
      <c r="AE988">
        <v>-8.8280999999999992</v>
      </c>
      <c r="AF988">
        <v>6.96974642683106</v>
      </c>
      <c r="AG988">
        <v>-1.1076332612790001</v>
      </c>
      <c r="AH988">
        <v>16.284327530178199</v>
      </c>
      <c r="AI988">
        <v>93.578137473673394</v>
      </c>
      <c r="AJ988">
        <v>66.828913933456207</v>
      </c>
      <c r="AK988">
        <v>17.747775629806</v>
      </c>
      <c r="AL988">
        <v>90.682496555568804</v>
      </c>
      <c r="AM988">
        <v>81.176642705335396</v>
      </c>
      <c r="AN988">
        <v>0.99999997202871005</v>
      </c>
    </row>
    <row r="989" spans="1:40" x14ac:dyDescent="0.25">
      <c r="A989" t="str">
        <f>"20190312161243145"</f>
        <v>20190312161243145</v>
      </c>
      <c r="B989" t="str">
        <f>"1552378363136339"</f>
        <v>1552378363136339</v>
      </c>
      <c r="C989" t="s">
        <v>40</v>
      </c>
      <c r="D989">
        <v>5.6966809999999999</v>
      </c>
      <c r="E989">
        <v>0.5958059</v>
      </c>
      <c r="F989" t="s">
        <v>53</v>
      </c>
      <c r="G989">
        <v>-197.5145</v>
      </c>
      <c r="H989" s="1">
        <v>-5.9053860000000003E-6</v>
      </c>
      <c r="I989">
        <v>357.94069999999999</v>
      </c>
      <c r="J989">
        <v>-213.8672</v>
      </c>
      <c r="K989">
        <v>1.107594</v>
      </c>
      <c r="L989">
        <v>367.30880000000002</v>
      </c>
      <c r="M989">
        <v>0.99303920000000001</v>
      </c>
      <c r="N989">
        <v>0</v>
      </c>
      <c r="O989">
        <v>-0.117281</v>
      </c>
      <c r="P989">
        <v>0.96304420000000002</v>
      </c>
      <c r="Q989">
        <v>-2.1532800000000001E-2</v>
      </c>
      <c r="R989">
        <v>-0.26848159999999999</v>
      </c>
      <c r="S989">
        <v>2.6871800000000001</v>
      </c>
      <c r="T989">
        <v>-0.1802589</v>
      </c>
      <c r="U989">
        <v>-1.5280149999999999</v>
      </c>
      <c r="V989">
        <v>0.15361340000000001</v>
      </c>
      <c r="W989">
        <v>-1.163314E-2</v>
      </c>
      <c r="X989">
        <v>0.98806260000000001</v>
      </c>
      <c r="Y989">
        <v>0.3884822</v>
      </c>
      <c r="Z989">
        <v>-4.8652160000000003E-3</v>
      </c>
      <c r="AA989">
        <v>0.92144329999999997</v>
      </c>
      <c r="AB989">
        <v>23</v>
      </c>
      <c r="AC989">
        <v>16.352699999999999</v>
      </c>
      <c r="AD989">
        <v>-1.1075999053859999</v>
      </c>
      <c r="AE989">
        <v>-9.3681000000000196</v>
      </c>
      <c r="AF989">
        <v>7.3600445707689097</v>
      </c>
      <c r="AG989">
        <v>-1.1075999053859999</v>
      </c>
      <c r="AH989">
        <v>17.278915979558001</v>
      </c>
      <c r="AI989">
        <v>93.375055216908706</v>
      </c>
      <c r="AJ989">
        <v>66.9281667525769</v>
      </c>
      <c r="AK989">
        <v>18.813770782667198</v>
      </c>
      <c r="AL989">
        <v>90.666544822937993</v>
      </c>
      <c r="AM989">
        <v>81.163010865571593</v>
      </c>
      <c r="AN989">
        <v>1.00000005406228</v>
      </c>
    </row>
    <row r="990" spans="1:40" x14ac:dyDescent="0.25">
      <c r="A990" t="str">
        <f>"20190312161243160"</f>
        <v>20190312161243160</v>
      </c>
      <c r="B990" t="str">
        <f>"1552378363147075"</f>
        <v>1552378363147075</v>
      </c>
      <c r="C990" t="s">
        <v>40</v>
      </c>
      <c r="D990">
        <v>5.8307379999999904</v>
      </c>
      <c r="E990">
        <v>0.59586439999999996</v>
      </c>
      <c r="F990" t="s">
        <v>53</v>
      </c>
      <c r="G990">
        <v>-197.5616</v>
      </c>
      <c r="H990" s="1">
        <v>-5.9215239999999998E-6</v>
      </c>
      <c r="I990">
        <v>357.96699999999998</v>
      </c>
      <c r="J990">
        <v>-213.71369999999999</v>
      </c>
      <c r="K990">
        <v>1.1075619999999999</v>
      </c>
      <c r="L990">
        <v>367.28800000000001</v>
      </c>
      <c r="M990">
        <v>0.99275639999999998</v>
      </c>
      <c r="N990">
        <v>0</v>
      </c>
      <c r="O990">
        <v>-0.11965240000000001</v>
      </c>
      <c r="P990">
        <v>0.96238360000000001</v>
      </c>
      <c r="Q990">
        <v>-2.128087E-2</v>
      </c>
      <c r="R990">
        <v>-0.27085969999999998</v>
      </c>
      <c r="S990">
        <v>2.6825869999999998</v>
      </c>
      <c r="T990">
        <v>-0.18222070000000001</v>
      </c>
      <c r="U990">
        <v>-1.53689599999999</v>
      </c>
      <c r="V990">
        <v>0.15369430000000001</v>
      </c>
      <c r="W990">
        <v>-1.140329E-2</v>
      </c>
      <c r="X990">
        <v>0.98805270000000001</v>
      </c>
      <c r="Y990">
        <v>0.38925179999999998</v>
      </c>
      <c r="Z990">
        <v>-4.7998119999999997E-3</v>
      </c>
      <c r="AA990">
        <v>0.92111889999999996</v>
      </c>
      <c r="AB990">
        <v>23</v>
      </c>
      <c r="AC990">
        <v>16.152099999999901</v>
      </c>
      <c r="AD990">
        <v>-1.107567921524</v>
      </c>
      <c r="AE990">
        <v>-9.3210000000000193</v>
      </c>
      <c r="AF990">
        <v>7.2955431285472203</v>
      </c>
      <c r="AG990">
        <v>-1.107567921524</v>
      </c>
      <c r="AH990">
        <v>17.091106830953301</v>
      </c>
      <c r="AI990">
        <v>93.410843860449006</v>
      </c>
      <c r="AJ990">
        <v>66.884208254218294</v>
      </c>
      <c r="AK990">
        <v>18.616057287952799</v>
      </c>
      <c r="AL990">
        <v>90.653374514132196</v>
      </c>
      <c r="AM990">
        <v>81.158343216922106</v>
      </c>
      <c r="AN990">
        <v>1.0000000554263</v>
      </c>
    </row>
    <row r="991" spans="1:40" x14ac:dyDescent="0.25">
      <c r="A991" t="str">
        <f>"20190312161243176"</f>
        <v>20190312161243176</v>
      </c>
      <c r="B991" t="str">
        <f>"1552378363166595"</f>
        <v>1552378363166595</v>
      </c>
      <c r="C991" t="s">
        <v>40</v>
      </c>
      <c r="D991">
        <v>5.8329430000000002</v>
      </c>
      <c r="E991">
        <v>0.59520109999999904</v>
      </c>
      <c r="F991" t="s">
        <v>53</v>
      </c>
      <c r="G991">
        <v>-197.3219</v>
      </c>
      <c r="H991" s="1">
        <v>-5.8418269999999901E-6</v>
      </c>
      <c r="I991">
        <v>357.8408</v>
      </c>
      <c r="J991">
        <v>-213.54640000000001</v>
      </c>
      <c r="K991">
        <v>1.1075349999999999</v>
      </c>
      <c r="L991">
        <v>367.26490000000001</v>
      </c>
      <c r="M991">
        <v>0.9924383</v>
      </c>
      <c r="N991">
        <v>0</v>
      </c>
      <c r="O991">
        <v>-0.12226389999999999</v>
      </c>
      <c r="P991">
        <v>0.96165480000000003</v>
      </c>
      <c r="Q991">
        <v>-2.1441080000000001E-2</v>
      </c>
      <c r="R991">
        <v>-0.27342420000000001</v>
      </c>
      <c r="S991">
        <v>2.678741</v>
      </c>
      <c r="T991">
        <v>-0.1809974</v>
      </c>
      <c r="U991">
        <v>-1.5438540000000001</v>
      </c>
      <c r="V991">
        <v>0.153727</v>
      </c>
      <c r="W991">
        <v>-1.1586000000000001E-2</v>
      </c>
      <c r="X991">
        <v>0.98804550000000002</v>
      </c>
      <c r="Y991">
        <v>0.38920739999999998</v>
      </c>
      <c r="Z991">
        <v>-4.6094309999999998E-3</v>
      </c>
      <c r="AA991">
        <v>0.92113860000000003</v>
      </c>
      <c r="AB991">
        <v>23</v>
      </c>
      <c r="AC991">
        <v>16.224499999999999</v>
      </c>
      <c r="AD991">
        <v>-1.1075408418270001</v>
      </c>
      <c r="AE991">
        <v>-9.4241000000000099</v>
      </c>
      <c r="AF991">
        <v>7.3440122105808996</v>
      </c>
      <c r="AG991">
        <v>-1.1075408418270001</v>
      </c>
      <c r="AH991">
        <v>17.195145100956601</v>
      </c>
      <c r="AI991">
        <v>93.389883994700597</v>
      </c>
      <c r="AJ991">
        <v>66.872768548270102</v>
      </c>
      <c r="AK991">
        <v>18.730567986807799</v>
      </c>
      <c r="AL991">
        <v>90.663843708749795</v>
      </c>
      <c r="AM991">
        <v>81.156428372826298</v>
      </c>
      <c r="AN991">
        <v>1.00000006799762</v>
      </c>
    </row>
    <row r="992" spans="1:40" x14ac:dyDescent="0.25">
      <c r="A992" t="str">
        <f>"20190312161243191"</f>
        <v>20190312161243191</v>
      </c>
      <c r="B992" t="str">
        <f>"1552378363187091"</f>
        <v>1552378363187091</v>
      </c>
      <c r="C992" t="s">
        <v>40</v>
      </c>
      <c r="D992">
        <v>5.8238750000000001</v>
      </c>
      <c r="E992">
        <v>0.59467550000000002</v>
      </c>
      <c r="F992" t="s">
        <v>53</v>
      </c>
      <c r="G992">
        <v>-196.93790000000001</v>
      </c>
      <c r="H992" s="1">
        <v>-5.7243609999999998E-6</v>
      </c>
      <c r="I992">
        <v>357.66899999999998</v>
      </c>
      <c r="J992">
        <v>-213.39189999999999</v>
      </c>
      <c r="K992">
        <v>1.1075060000000001</v>
      </c>
      <c r="L992">
        <v>367.2432</v>
      </c>
      <c r="M992">
        <v>0.99213560000000001</v>
      </c>
      <c r="N992">
        <v>0</v>
      </c>
      <c r="O992">
        <v>-0.1246975</v>
      </c>
      <c r="P992">
        <v>0.96095229999999998</v>
      </c>
      <c r="Q992">
        <v>-2.126202E-2</v>
      </c>
      <c r="R992">
        <v>-0.27589649999999999</v>
      </c>
      <c r="S992">
        <v>2.6760410000000001</v>
      </c>
      <c r="T992">
        <v>-0.17845249999999999</v>
      </c>
      <c r="U992">
        <v>-1.546143</v>
      </c>
      <c r="V992">
        <v>0.153844799999999</v>
      </c>
      <c r="W992">
        <v>-1.1427110000000001E-2</v>
      </c>
      <c r="X992">
        <v>0.98802889999999999</v>
      </c>
      <c r="Y992">
        <v>0.38795950000000001</v>
      </c>
      <c r="Z992">
        <v>-4.3621579999999997E-3</v>
      </c>
      <c r="AA992">
        <v>0.92166610000000004</v>
      </c>
      <c r="AB992">
        <v>23</v>
      </c>
      <c r="AC992">
        <v>16.453999999999901</v>
      </c>
      <c r="AD992">
        <v>-1.107511724361</v>
      </c>
      <c r="AE992">
        <v>-9.5741999999999603</v>
      </c>
      <c r="AF992">
        <v>7.4224473765222196</v>
      </c>
      <c r="AG992">
        <v>-1.107511724361</v>
      </c>
      <c r="AH992">
        <v>17.460410381720301</v>
      </c>
      <c r="AI992">
        <v>93.340812374737396</v>
      </c>
      <c r="AJ992">
        <v>66.969580336138804</v>
      </c>
      <c r="AK992">
        <v>19.004874058381098</v>
      </c>
      <c r="AL992">
        <v>90.654739454679302</v>
      </c>
      <c r="AM992">
        <v>81.149612502602196</v>
      </c>
      <c r="AN992">
        <v>0.99999995428260002</v>
      </c>
    </row>
    <row r="993" spans="1:40" x14ac:dyDescent="0.25">
      <c r="A993" t="str">
        <f>"20190312161243205"</f>
        <v>20190312161243205</v>
      </c>
      <c r="B993" t="str">
        <f>"1552378363196851"</f>
        <v>1552378363196851</v>
      </c>
      <c r="C993" t="s">
        <v>40</v>
      </c>
      <c r="D993">
        <v>5.7808840000000004</v>
      </c>
      <c r="E993">
        <v>0.59431800000000001</v>
      </c>
      <c r="F993" t="s">
        <v>53</v>
      </c>
      <c r="G993">
        <v>-196.4907</v>
      </c>
      <c r="H993" s="1">
        <v>-5.5807730000000003E-6</v>
      </c>
      <c r="I993">
        <v>357.44869999999997</v>
      </c>
      <c r="J993">
        <v>-213.24170000000001</v>
      </c>
      <c r="K993">
        <v>1.1074809999999999</v>
      </c>
      <c r="L993">
        <v>367.2217</v>
      </c>
      <c r="M993">
        <v>0.99183189999999999</v>
      </c>
      <c r="N993">
        <v>0</v>
      </c>
      <c r="O993">
        <v>-0.12709029999999999</v>
      </c>
      <c r="P993">
        <v>0.96022399999999997</v>
      </c>
      <c r="Q993">
        <v>-2.1379570000000001E-2</v>
      </c>
      <c r="R993">
        <v>-0.27841159999999998</v>
      </c>
      <c r="S993">
        <v>2.6732640000000001</v>
      </c>
      <c r="T993">
        <v>-0.17517530000000001</v>
      </c>
      <c r="U993">
        <v>-1.549194</v>
      </c>
      <c r="V993">
        <v>0.1540472</v>
      </c>
      <c r="W993">
        <v>-1.1563749999999999E-2</v>
      </c>
      <c r="X993">
        <v>0.98799579999999998</v>
      </c>
      <c r="Y993">
        <v>0.38695980000000002</v>
      </c>
      <c r="Z993">
        <v>-4.1126189999999996E-3</v>
      </c>
      <c r="AA993">
        <v>0.9220874</v>
      </c>
      <c r="AB993">
        <v>23</v>
      </c>
      <c r="AC993">
        <v>16.751000000000001</v>
      </c>
      <c r="AD993">
        <v>-1.1074865807730001</v>
      </c>
      <c r="AE993">
        <v>-9.7730000000000192</v>
      </c>
      <c r="AF993">
        <v>7.5401389347723402</v>
      </c>
      <c r="AG993">
        <v>-1.1074865807730001</v>
      </c>
      <c r="AH993">
        <v>17.799233953363501</v>
      </c>
      <c r="AI993">
        <v>93.279023761691704</v>
      </c>
      <c r="AJ993">
        <v>67.041437792942702</v>
      </c>
      <c r="AK993">
        <v>19.3621525406869</v>
      </c>
      <c r="AL993">
        <v>90.662568850323396</v>
      </c>
      <c r="AM993">
        <v>81.137861342743406</v>
      </c>
      <c r="AN993">
        <v>0.99999998047977101</v>
      </c>
    </row>
    <row r="994" spans="1:40" x14ac:dyDescent="0.25">
      <c r="A994" t="str">
        <f>"20190312161243219"</f>
        <v>20190312161243219</v>
      </c>
      <c r="B994" t="str">
        <f>"1552378363206610"</f>
        <v>1552378363206610</v>
      </c>
      <c r="C994" t="s">
        <v>40</v>
      </c>
      <c r="D994">
        <v>5.4603570000000001</v>
      </c>
      <c r="E994">
        <v>0.59499749999999996</v>
      </c>
      <c r="F994" t="s">
        <v>53</v>
      </c>
      <c r="G994">
        <v>-196.2576</v>
      </c>
      <c r="H994" s="1">
        <v>-5.5077949999999997E-6</v>
      </c>
      <c r="I994">
        <v>357.33949999999999</v>
      </c>
      <c r="J994">
        <v>-213.10419999999999</v>
      </c>
      <c r="K994">
        <v>1.1074619999999999</v>
      </c>
      <c r="L994">
        <v>367.20170000000002</v>
      </c>
      <c r="M994">
        <v>0.99154620000000004</v>
      </c>
      <c r="N994">
        <v>0</v>
      </c>
      <c r="O994">
        <v>-0.12930269999999999</v>
      </c>
      <c r="P994">
        <v>0.95938429999999997</v>
      </c>
      <c r="Q994">
        <v>-2.1703050000000002E-2</v>
      </c>
      <c r="R994">
        <v>-0.28126689999999999</v>
      </c>
      <c r="S994">
        <v>2.6699830000000002</v>
      </c>
      <c r="T994">
        <v>-0.1741016</v>
      </c>
      <c r="U994">
        <v>-1.553528</v>
      </c>
      <c r="V994">
        <v>0.15478059999999999</v>
      </c>
      <c r="W994">
        <v>-1.19078E-2</v>
      </c>
      <c r="X994">
        <v>0.98787709999999995</v>
      </c>
      <c r="Y994">
        <v>0.38652199999999998</v>
      </c>
      <c r="Z994">
        <v>-3.9466750000000002E-3</v>
      </c>
      <c r="AA994">
        <v>0.92227170000000003</v>
      </c>
      <c r="AB994">
        <v>23</v>
      </c>
      <c r="AC994">
        <v>16.846599999999899</v>
      </c>
      <c r="AD994">
        <v>-1.107467507795</v>
      </c>
      <c r="AE994">
        <v>-9.8622000000000298</v>
      </c>
      <c r="AF994">
        <v>7.5765751713507496</v>
      </c>
      <c r="AG994">
        <v>-1.107467507795</v>
      </c>
      <c r="AH994">
        <v>17.922757943088801</v>
      </c>
      <c r="AI994">
        <v>93.257451711154999</v>
      </c>
      <c r="AJ994">
        <v>67.084523269964095</v>
      </c>
      <c r="AK994">
        <v>19.489900664049099</v>
      </c>
      <c r="AL994">
        <v>90.682282809924004</v>
      </c>
      <c r="AM994">
        <v>81.095291497633298</v>
      </c>
      <c r="AN994">
        <v>0.99999999727080402</v>
      </c>
    </row>
    <row r="995" spans="1:40" x14ac:dyDescent="0.25">
      <c r="A995" t="str">
        <f>"20190312161243233"</f>
        <v>20190312161243233</v>
      </c>
      <c r="B995" t="str">
        <f>"1552378363226131"</f>
        <v>1552378363226131</v>
      </c>
      <c r="C995" t="s">
        <v>40</v>
      </c>
      <c r="D995">
        <v>5.5579280000000004</v>
      </c>
      <c r="E995">
        <v>0.59641189999999999</v>
      </c>
      <c r="F995" t="s">
        <v>53</v>
      </c>
      <c r="G995">
        <v>-195.9289</v>
      </c>
      <c r="H995" s="1">
        <v>-5.37628E-6</v>
      </c>
      <c r="I995">
        <v>357.1</v>
      </c>
      <c r="J995">
        <v>-212.952</v>
      </c>
      <c r="K995">
        <v>1.107437</v>
      </c>
      <c r="L995">
        <v>367.17910000000001</v>
      </c>
      <c r="M995">
        <v>0.99122140000000003</v>
      </c>
      <c r="N995">
        <v>0</v>
      </c>
      <c r="O995">
        <v>-0.1317691</v>
      </c>
      <c r="P995">
        <v>0.95847930000000003</v>
      </c>
      <c r="Q995">
        <v>-2.165044E-2</v>
      </c>
      <c r="R995">
        <v>-0.28433940000000002</v>
      </c>
      <c r="S995">
        <v>2.6637879999999998</v>
      </c>
      <c r="T995">
        <v>-0.17176150000000001</v>
      </c>
      <c r="U995">
        <v>-1.566711</v>
      </c>
      <c r="V995">
        <v>0.1554874</v>
      </c>
      <c r="W995">
        <v>-1.1876690000000001E-2</v>
      </c>
      <c r="X995">
        <v>0.98776649999999999</v>
      </c>
      <c r="Y995">
        <v>0.38856869999999999</v>
      </c>
      <c r="Z995">
        <v>-3.8150419999999998E-3</v>
      </c>
      <c r="AA995">
        <v>0.92141189999999995</v>
      </c>
      <c r="AB995">
        <v>23</v>
      </c>
      <c r="AC995">
        <v>17.023099999999999</v>
      </c>
      <c r="AD995">
        <v>-1.1074423762799901</v>
      </c>
      <c r="AE995">
        <v>-10.079099999999899</v>
      </c>
      <c r="AF995">
        <v>7.7237509617072799</v>
      </c>
      <c r="AG995">
        <v>-1.1074423762799901</v>
      </c>
      <c r="AH995">
        <v>18.145977126258899</v>
      </c>
      <c r="AI995">
        <v>93.214035060190795</v>
      </c>
      <c r="AJ995">
        <v>66.943195934401004</v>
      </c>
      <c r="AK995">
        <v>19.752449048205801</v>
      </c>
      <c r="AL995">
        <v>90.680500194704294</v>
      </c>
      <c r="AM995">
        <v>81.054299146324496</v>
      </c>
      <c r="AN995">
        <v>1.00000002292318</v>
      </c>
    </row>
    <row r="996" spans="1:40" x14ac:dyDescent="0.25">
      <c r="A996" t="str">
        <f>"20190312161243247"</f>
        <v>20190312161243247</v>
      </c>
      <c r="B996" t="str">
        <f>"1552378363236870"</f>
        <v>1552378363236870</v>
      </c>
      <c r="C996" t="s">
        <v>40</v>
      </c>
      <c r="D996">
        <v>5.7017110000000004</v>
      </c>
      <c r="E996">
        <v>0.59743889999999999</v>
      </c>
      <c r="F996" t="s">
        <v>53</v>
      </c>
      <c r="G996">
        <v>-194.59549999999999</v>
      </c>
      <c r="H996" s="1">
        <v>-4.7281199999999901E-6</v>
      </c>
      <c r="I996">
        <v>356.21260000000001</v>
      </c>
      <c r="J996">
        <v>-212.80430000000001</v>
      </c>
      <c r="K996">
        <v>1.1074139999999999</v>
      </c>
      <c r="L996">
        <v>367.15690000000001</v>
      </c>
      <c r="M996">
        <v>0.99089769999999999</v>
      </c>
      <c r="N996">
        <v>0</v>
      </c>
      <c r="O996">
        <v>-0.13418239999999901</v>
      </c>
      <c r="P996">
        <v>0.95750800000000003</v>
      </c>
      <c r="Q996">
        <v>-2.1904719999999999E-2</v>
      </c>
      <c r="R996">
        <v>-0.28757379999999999</v>
      </c>
      <c r="S996">
        <v>2.6556700000000002</v>
      </c>
      <c r="T996">
        <v>-0.16021560000000001</v>
      </c>
      <c r="U996">
        <v>-1.5865479999999901</v>
      </c>
      <c r="V996">
        <v>0.1564152</v>
      </c>
      <c r="W996">
        <v>-1.2153479999999999E-2</v>
      </c>
      <c r="X996">
        <v>0.98761659999999996</v>
      </c>
      <c r="Y996">
        <v>0.39268829999999999</v>
      </c>
      <c r="Z996">
        <v>-3.5465340000000001E-3</v>
      </c>
      <c r="AA996">
        <v>0.91966479999999995</v>
      </c>
      <c r="AB996">
        <v>23</v>
      </c>
      <c r="AC996">
        <v>18.2088</v>
      </c>
      <c r="AD996">
        <v>-1.1074187281200001</v>
      </c>
      <c r="AE996">
        <v>-10.944299999999901</v>
      </c>
      <c r="AF996">
        <v>8.3791043208376603</v>
      </c>
      <c r="AG996">
        <v>-1.1074187281200001</v>
      </c>
      <c r="AH996">
        <v>19.4598540351043</v>
      </c>
      <c r="AI996">
        <v>92.992036828160195</v>
      </c>
      <c r="AJ996">
        <v>66.704055598905697</v>
      </c>
      <c r="AK996">
        <v>21.216071373523398</v>
      </c>
      <c r="AL996">
        <v>90.696360264288401</v>
      </c>
      <c r="AM996">
        <v>81.000447235420097</v>
      </c>
      <c r="AN996">
        <v>0.99999998523135503</v>
      </c>
    </row>
    <row r="997" spans="1:40" x14ac:dyDescent="0.25">
      <c r="A997" t="str">
        <f>"20190312161243263"</f>
        <v>20190312161243263</v>
      </c>
      <c r="B997" t="str">
        <f>"1552378363256387"</f>
        <v>1552378363256387</v>
      </c>
      <c r="C997" t="s">
        <v>40</v>
      </c>
      <c r="D997">
        <v>5.4938640000000003</v>
      </c>
      <c r="E997">
        <v>0.62581619999999905</v>
      </c>
      <c r="F997" t="s">
        <v>53</v>
      </c>
      <c r="G997">
        <v>-193.50139999999999</v>
      </c>
      <c r="H997" s="1">
        <v>-4.1376830000000004E-6</v>
      </c>
      <c r="I997">
        <v>355.4658</v>
      </c>
      <c r="J997">
        <v>-212.65100000000001</v>
      </c>
      <c r="K997">
        <v>1.1073900000000001</v>
      </c>
      <c r="L997">
        <v>367.13319999999999</v>
      </c>
      <c r="M997">
        <v>0.99055130000000002</v>
      </c>
      <c r="N997">
        <v>0</v>
      </c>
      <c r="O997">
        <v>-0.13671649999999999</v>
      </c>
      <c r="P997">
        <v>0.95666059999999997</v>
      </c>
      <c r="Q997">
        <v>-2.183065E-2</v>
      </c>
      <c r="R997">
        <v>-0.29038649999999999</v>
      </c>
      <c r="S997">
        <v>2.6479949999999999</v>
      </c>
      <c r="T997">
        <v>-0.15191689999999999</v>
      </c>
      <c r="U997">
        <v>-1.60379</v>
      </c>
      <c r="V997">
        <v>0.15679100000000001</v>
      </c>
      <c r="W997">
        <v>-1.209727E-2</v>
      </c>
      <c r="X997">
        <v>0.98755769999999998</v>
      </c>
      <c r="Y997">
        <v>0.3959338</v>
      </c>
      <c r="Z997">
        <v>-3.322181E-3</v>
      </c>
      <c r="AA997">
        <v>0.91827300000000001</v>
      </c>
      <c r="AB997">
        <v>23</v>
      </c>
      <c r="AC997">
        <v>19.1495999999999</v>
      </c>
      <c r="AD997">
        <v>-1.1073941376830001</v>
      </c>
      <c r="AE997">
        <v>-11.667399999999899</v>
      </c>
      <c r="AF997">
        <v>8.9178646745224608</v>
      </c>
      <c r="AG997">
        <v>-1.1073941376830001</v>
      </c>
      <c r="AH997">
        <v>20.5149553311206</v>
      </c>
      <c r="AI997">
        <v>92.834101502393494</v>
      </c>
      <c r="AJ997">
        <v>66.5053831612436</v>
      </c>
      <c r="AK997">
        <v>22.396830676842299</v>
      </c>
      <c r="AL997">
        <v>90.693139431004894</v>
      </c>
      <c r="AM997">
        <v>80.978651054333596</v>
      </c>
      <c r="AN997">
        <v>0.99999998622587105</v>
      </c>
    </row>
    <row r="998" spans="1:40" x14ac:dyDescent="0.25">
      <c r="A998" t="str">
        <f>"20190312161243276"</f>
        <v>20190312161243276</v>
      </c>
      <c r="B998" t="str">
        <f>"1552378363266147"</f>
        <v>1552378363266147</v>
      </c>
      <c r="C998" t="s">
        <v>40</v>
      </c>
      <c r="D998">
        <v>5.4346050000000004</v>
      </c>
      <c r="E998">
        <v>0.6225927</v>
      </c>
      <c r="F998" t="s">
        <v>45</v>
      </c>
      <c r="G998">
        <v>-168.4008</v>
      </c>
      <c r="H998">
        <v>2.1098729999999999</v>
      </c>
      <c r="I998">
        <v>335.6112</v>
      </c>
      <c r="J998">
        <v>-212.5001</v>
      </c>
      <c r="K998">
        <v>1.1073630000000001</v>
      </c>
      <c r="L998">
        <v>367.1096</v>
      </c>
      <c r="M998">
        <v>0.99020079999999999</v>
      </c>
      <c r="N998">
        <v>0</v>
      </c>
      <c r="O998">
        <v>-0.13923260000000001</v>
      </c>
      <c r="P998">
        <v>0.95561960000000001</v>
      </c>
      <c r="Q998">
        <v>-2.1565440000000002E-2</v>
      </c>
      <c r="R998">
        <v>-0.2938134</v>
      </c>
      <c r="S998">
        <v>2.5794980000000001</v>
      </c>
      <c r="T998">
        <v>5.8438539999999997E-2</v>
      </c>
      <c r="U998">
        <v>-1.8375239999999999</v>
      </c>
      <c r="V998">
        <v>0.15782109999999999</v>
      </c>
      <c r="W998">
        <v>-1.185459E-2</v>
      </c>
      <c r="X998">
        <v>0.98739650000000001</v>
      </c>
      <c r="Y998">
        <v>0.46108399999999999</v>
      </c>
      <c r="Z998">
        <v>1.894522E-3</v>
      </c>
      <c r="AA998">
        <v>0.88735450000000005</v>
      </c>
      <c r="AB998">
        <v>23</v>
      </c>
      <c r="AC998">
        <v>44.099299999999999</v>
      </c>
      <c r="AD998">
        <v>1.00251</v>
      </c>
      <c r="AE998">
        <v>-31.4984</v>
      </c>
      <c r="AF998">
        <v>25.0425722032988</v>
      </c>
      <c r="AG998">
        <v>1.00251</v>
      </c>
      <c r="AH998">
        <v>48.039130083738101</v>
      </c>
      <c r="AI998">
        <v>88.939853263494498</v>
      </c>
      <c r="AJ998">
        <v>62.467181059467499</v>
      </c>
      <c r="AK998">
        <v>54.183885686242903</v>
      </c>
      <c r="AL998">
        <v>90.679233925483004</v>
      </c>
      <c r="AM998">
        <v>80.918908302380004</v>
      </c>
      <c r="AN998">
        <v>0.99999993956076205</v>
      </c>
    </row>
    <row r="999" spans="1:40" x14ac:dyDescent="0.25">
      <c r="A999" t="str">
        <f>"20190312161243292"</f>
        <v>20190312161243292</v>
      </c>
      <c r="B999" t="str">
        <f>"1552378363286643"</f>
        <v>1552378363286643</v>
      </c>
      <c r="C999" t="s">
        <v>40</v>
      </c>
      <c r="D999">
        <v>5.5352069999999998</v>
      </c>
      <c r="E999">
        <v>0.62037350000000002</v>
      </c>
      <c r="F999" t="s">
        <v>45</v>
      </c>
      <c r="G999">
        <v>-168.40099999999899</v>
      </c>
      <c r="H999">
        <v>2.8027700000000002</v>
      </c>
      <c r="I999">
        <v>335.94389999999999</v>
      </c>
      <c r="J999">
        <v>-212.3415</v>
      </c>
      <c r="K999">
        <v>1.107335</v>
      </c>
      <c r="L999">
        <v>367.08429999999998</v>
      </c>
      <c r="M999">
        <v>0.98982210000000004</v>
      </c>
      <c r="N999">
        <v>0</v>
      </c>
      <c r="O999">
        <v>-0.14190059999999999</v>
      </c>
      <c r="P999">
        <v>0.95469269999999995</v>
      </c>
      <c r="Q999">
        <v>-2.1492150000000002E-2</v>
      </c>
      <c r="R999">
        <v>-0.29681750000000001</v>
      </c>
      <c r="S999">
        <v>2.5807799999999999</v>
      </c>
      <c r="T999">
        <v>9.921932E-2</v>
      </c>
      <c r="U999">
        <v>-1.8238829999999999</v>
      </c>
      <c r="V999">
        <v>0.15826489999999999</v>
      </c>
      <c r="W999">
        <v>-1.179998E-2</v>
      </c>
      <c r="X999">
        <v>0.98732620000000004</v>
      </c>
      <c r="Y999">
        <v>0.45525719999999997</v>
      </c>
      <c r="Z999">
        <v>3.0286169999999999E-3</v>
      </c>
      <c r="AA999">
        <v>0.8903548</v>
      </c>
      <c r="AB999">
        <v>23</v>
      </c>
      <c r="AC999">
        <v>43.9405</v>
      </c>
      <c r="AD999">
        <v>1.695435</v>
      </c>
      <c r="AE999">
        <v>-31.1404</v>
      </c>
      <c r="AF999">
        <v>24.565359119442601</v>
      </c>
      <c r="AG999">
        <v>1.695435</v>
      </c>
      <c r="AH999">
        <v>47.867470363568799</v>
      </c>
      <c r="AI999">
        <v>88.195094633904802</v>
      </c>
      <c r="AJ999">
        <v>62.833320134681202</v>
      </c>
      <c r="AK999">
        <v>53.829602334714899</v>
      </c>
      <c r="AL999">
        <v>90.676104728401498</v>
      </c>
      <c r="AM999">
        <v>80.893161625552395</v>
      </c>
      <c r="AN999">
        <v>1.0000000216532201</v>
      </c>
    </row>
    <row r="1000" spans="1:40" x14ac:dyDescent="0.25">
      <c r="A1000" t="str">
        <f>"20190312161243308"</f>
        <v>20190312161243308</v>
      </c>
      <c r="B1000" t="str">
        <f>"1552378363296404"</f>
        <v>1552378363296404</v>
      </c>
      <c r="C1000" t="s">
        <v>40</v>
      </c>
      <c r="D1000">
        <v>5.4618589999999996</v>
      </c>
      <c r="E1000">
        <v>0.61935790000000002</v>
      </c>
      <c r="F1000" t="s">
        <v>45</v>
      </c>
      <c r="G1000">
        <v>-168.40119999999999</v>
      </c>
      <c r="H1000">
        <v>3.3594590000000002</v>
      </c>
      <c r="I1000">
        <v>336.15589999999997</v>
      </c>
      <c r="J1000">
        <v>-212.1857</v>
      </c>
      <c r="K1000">
        <v>1.107305</v>
      </c>
      <c r="L1000">
        <v>367.0591</v>
      </c>
      <c r="M1000">
        <v>0.98943910000000002</v>
      </c>
      <c r="N1000">
        <v>0</v>
      </c>
      <c r="O1000">
        <v>-0.14454739999999999</v>
      </c>
      <c r="P1000">
        <v>0.95383059999999997</v>
      </c>
      <c r="Q1000">
        <v>-2.1529670000000001E-2</v>
      </c>
      <c r="R1000">
        <v>-0.29957299999999998</v>
      </c>
      <c r="S1000">
        <v>2.5806269999999998</v>
      </c>
      <c r="T1000">
        <v>0.13226830000000001</v>
      </c>
      <c r="U1000">
        <v>-1.8164370000000001</v>
      </c>
      <c r="V1000">
        <v>0.15847429999999901</v>
      </c>
      <c r="W1000">
        <v>-1.185391E-2</v>
      </c>
      <c r="X1000">
        <v>0.9872919</v>
      </c>
      <c r="Y1000">
        <v>0.45106859999999999</v>
      </c>
      <c r="Z1000">
        <v>3.824629E-3</v>
      </c>
      <c r="AA1000">
        <v>0.89248109999999903</v>
      </c>
      <c r="AB1000">
        <v>23</v>
      </c>
      <c r="AC1000">
        <v>43.784500000000001</v>
      </c>
      <c r="AD1000">
        <v>2.252154</v>
      </c>
      <c r="AE1000">
        <v>-30.903199999999998</v>
      </c>
      <c r="AF1000">
        <v>24.206559586931899</v>
      </c>
      <c r="AG1000">
        <v>2.252154</v>
      </c>
      <c r="AH1000">
        <v>47.707600002481797</v>
      </c>
      <c r="AI1000">
        <v>87.589364141194196</v>
      </c>
      <c r="AJ1000">
        <v>63.097027007359799</v>
      </c>
      <c r="AK1000">
        <v>53.544792675592703</v>
      </c>
      <c r="AL1000">
        <v>90.679194949513501</v>
      </c>
      <c r="AM1000">
        <v>80.881003215858399</v>
      </c>
      <c r="AN1000">
        <v>0.999999957374193</v>
      </c>
    </row>
    <row r="1001" spans="1:40" x14ac:dyDescent="0.25">
      <c r="A1001" t="str">
        <f>"20190312161243322"</f>
        <v>20190312161243322</v>
      </c>
      <c r="B1001" t="str">
        <f>"1552378363316899"</f>
        <v>1552378363316899</v>
      </c>
      <c r="C1001" t="s">
        <v>40</v>
      </c>
      <c r="D1001">
        <v>5.45167</v>
      </c>
      <c r="E1001">
        <v>0.63612539999999995</v>
      </c>
      <c r="F1001" t="s">
        <v>45</v>
      </c>
      <c r="G1001">
        <v>-168.40119999999999</v>
      </c>
      <c r="H1001">
        <v>3.568022</v>
      </c>
      <c r="I1001">
        <v>336.20299999999997</v>
      </c>
      <c r="J1001">
        <v>-212.03049999999999</v>
      </c>
      <c r="K1001">
        <v>1.1072630000000001</v>
      </c>
      <c r="L1001">
        <v>367.03339999999997</v>
      </c>
      <c r="M1001">
        <v>0.98904530000000002</v>
      </c>
      <c r="N1001">
        <v>0</v>
      </c>
      <c r="O1001">
        <v>-0.14721779999999901</v>
      </c>
      <c r="P1001">
        <v>0.95288090000000003</v>
      </c>
      <c r="Q1001">
        <v>-2.1211549999999999E-2</v>
      </c>
      <c r="R1001">
        <v>-0.3026027</v>
      </c>
      <c r="S1001">
        <v>2.577896</v>
      </c>
      <c r="T1001">
        <v>0.14487990000000001</v>
      </c>
      <c r="U1001">
        <v>-1.816711</v>
      </c>
      <c r="V1001">
        <v>0.158946799999999</v>
      </c>
      <c r="W1001">
        <v>-1.155374E-2</v>
      </c>
      <c r="X1001">
        <v>0.98721959999999997</v>
      </c>
      <c r="Y1001">
        <v>0.44911889999999999</v>
      </c>
      <c r="Z1001">
        <v>4.012407E-3</v>
      </c>
      <c r="AA1001">
        <v>0.89346299999999901</v>
      </c>
      <c r="AB1001">
        <v>23</v>
      </c>
      <c r="AC1001">
        <v>43.629300000000001</v>
      </c>
      <c r="AD1001">
        <v>2.4607589999999999</v>
      </c>
      <c r="AE1001">
        <v>-30.830399999999901</v>
      </c>
      <c r="AF1001">
        <v>24.0200896701269</v>
      </c>
      <c r="AG1001">
        <v>2.4607589999999999</v>
      </c>
      <c r="AH1001">
        <v>47.591936700106601</v>
      </c>
      <c r="AI1001">
        <v>87.357136169983605</v>
      </c>
      <c r="AJ1001">
        <v>63.219500529348203</v>
      </c>
      <c r="AK1001">
        <v>53.366773197224198</v>
      </c>
      <c r="AL1001">
        <v>90.661995230993696</v>
      </c>
      <c r="AM1001">
        <v>80.853614766644398</v>
      </c>
      <c r="AN1001">
        <v>1.0000000563811899</v>
      </c>
    </row>
    <row r="1002" spans="1:40" x14ac:dyDescent="0.25">
      <c r="A1002" t="str">
        <f>"20190312161243336"</f>
        <v>20190312161243336</v>
      </c>
      <c r="B1002" t="str">
        <f>"1552378363326661"</f>
        <v>1552378363326661</v>
      </c>
      <c r="C1002" t="s">
        <v>40</v>
      </c>
      <c r="D1002">
        <v>5.4845680000000003</v>
      </c>
      <c r="E1002">
        <v>0.63615480000000002</v>
      </c>
      <c r="F1002" t="s">
        <v>45</v>
      </c>
      <c r="G1002">
        <v>-168.4006</v>
      </c>
      <c r="H1002">
        <v>1.717047</v>
      </c>
      <c r="I1002">
        <v>333.464</v>
      </c>
      <c r="J1002">
        <v>-211.88249999999999</v>
      </c>
      <c r="K1002">
        <v>1.1072299999999999</v>
      </c>
      <c r="L1002">
        <v>367.00850000000003</v>
      </c>
      <c r="M1002">
        <v>0.9886585</v>
      </c>
      <c r="N1002">
        <v>0</v>
      </c>
      <c r="O1002">
        <v>-0.1497925</v>
      </c>
      <c r="P1002">
        <v>0.95208340000000002</v>
      </c>
      <c r="Q1002">
        <v>-2.1294179999999999E-2</v>
      </c>
      <c r="R1002">
        <v>-0.30509609999999998</v>
      </c>
      <c r="S1002">
        <v>2.5307770000000001</v>
      </c>
      <c r="T1002">
        <v>3.5371180000000002E-2</v>
      </c>
      <c r="U1002">
        <v>-1.9472050000000001</v>
      </c>
      <c r="V1002">
        <v>0.15895960000000001</v>
      </c>
      <c r="W1002">
        <v>-1.1650799999999999E-2</v>
      </c>
      <c r="X1002">
        <v>0.98721639999999999</v>
      </c>
      <c r="Y1002">
        <v>0.48417329999999997</v>
      </c>
      <c r="Z1002">
        <v>1.168763E-3</v>
      </c>
      <c r="AA1002">
        <v>0.87497130000000001</v>
      </c>
      <c r="AB1002">
        <v>23</v>
      </c>
      <c r="AC1002">
        <v>43.481900000000003</v>
      </c>
      <c r="AD1002">
        <v>0.60981700000000005</v>
      </c>
      <c r="AE1002">
        <v>-33.544499999999999</v>
      </c>
      <c r="AF1002">
        <v>26.6490601590856</v>
      </c>
      <c r="AG1002">
        <v>0.60981700000000005</v>
      </c>
      <c r="AH1002">
        <v>48.010343515649602</v>
      </c>
      <c r="AI1002">
        <v>89.363719331287001</v>
      </c>
      <c r="AJ1002">
        <v>60.966696781517101</v>
      </c>
      <c r="AK1002">
        <v>54.913908699224201</v>
      </c>
      <c r="AL1002">
        <v>90.667556732297498</v>
      </c>
      <c r="AM1002">
        <v>80.852861509980698</v>
      </c>
      <c r="AN1002">
        <v>1.0000000580008701</v>
      </c>
    </row>
    <row r="1003" spans="1:40" x14ac:dyDescent="0.25">
      <c r="A1003" t="str">
        <f>"20190312161243352"</f>
        <v>20190312161243352</v>
      </c>
      <c r="B1003" t="str">
        <f>"1552378363346182"</f>
        <v>1552378363346182</v>
      </c>
      <c r="C1003" t="s">
        <v>40</v>
      </c>
      <c r="D1003">
        <v>5.35921</v>
      </c>
      <c r="E1003">
        <v>0.63457369999999902</v>
      </c>
      <c r="F1003" t="s">
        <v>45</v>
      </c>
      <c r="G1003">
        <v>-168.4007</v>
      </c>
      <c r="H1003">
        <v>1.8293520000000001</v>
      </c>
      <c r="I1003">
        <v>333.35919999999999</v>
      </c>
      <c r="J1003">
        <v>-211.72309999999999</v>
      </c>
      <c r="K1003">
        <v>1.107192</v>
      </c>
      <c r="L1003">
        <v>366.98129999999998</v>
      </c>
      <c r="M1003">
        <v>0.98822949999999998</v>
      </c>
      <c r="N1003">
        <v>0</v>
      </c>
      <c r="O1003">
        <v>-0.15259809999999999</v>
      </c>
      <c r="P1003">
        <v>0.95120450000000001</v>
      </c>
      <c r="Q1003">
        <v>-2.1305589999999999E-2</v>
      </c>
      <c r="R1003">
        <v>-0.30782520000000002</v>
      </c>
      <c r="S1003">
        <v>2.52562</v>
      </c>
      <c r="T1003">
        <v>4.1944380000000003E-2</v>
      </c>
      <c r="U1003">
        <v>-1.9544980000000001</v>
      </c>
      <c r="V1003">
        <v>0.158987299999999</v>
      </c>
      <c r="W1003">
        <v>-1.1678559999999999E-2</v>
      </c>
      <c r="X1003">
        <v>0.98721159999999997</v>
      </c>
      <c r="Y1003">
        <v>0.48412739999999999</v>
      </c>
      <c r="Z1003">
        <v>1.347114E-3</v>
      </c>
      <c r="AA1003">
        <v>0.87499649999999995</v>
      </c>
      <c r="AB1003">
        <v>23</v>
      </c>
      <c r="AC1003">
        <v>43.322399999999902</v>
      </c>
      <c r="AD1003">
        <v>0.72216000000000002</v>
      </c>
      <c r="AE1003">
        <v>-33.622099999999897</v>
      </c>
      <c r="AF1003">
        <v>26.612367579833901</v>
      </c>
      <c r="AG1003">
        <v>0.72216000000000002</v>
      </c>
      <c r="AH1003">
        <v>47.937616577086999</v>
      </c>
      <c r="AI1003">
        <v>89.245395105963397</v>
      </c>
      <c r="AJ1003">
        <v>60.9633382128156</v>
      </c>
      <c r="AK1003">
        <v>54.833882831344397</v>
      </c>
      <c r="AL1003">
        <v>90.669147378792204</v>
      </c>
      <c r="AM1003">
        <v>80.851250769626503</v>
      </c>
      <c r="AN1003">
        <v>1.0000000467497601</v>
      </c>
    </row>
    <row r="1004" spans="1:40" x14ac:dyDescent="0.25">
      <c r="A1004" t="str">
        <f>"20190312161243365"</f>
        <v>20190312161243365</v>
      </c>
      <c r="B1004" t="str">
        <f>"1552378363356915"</f>
        <v>1552378363356915</v>
      </c>
      <c r="C1004" t="s">
        <v>40</v>
      </c>
      <c r="D1004">
        <v>5.5159070000000003</v>
      </c>
      <c r="E1004">
        <v>0.63541759999999903</v>
      </c>
      <c r="F1004" t="s">
        <v>45</v>
      </c>
      <c r="G1004">
        <v>-168.4007</v>
      </c>
      <c r="H1004">
        <v>2.10331</v>
      </c>
      <c r="I1004">
        <v>333.5043</v>
      </c>
      <c r="J1004">
        <v>-211.57810000000001</v>
      </c>
      <c r="K1004">
        <v>1.107154</v>
      </c>
      <c r="L1004">
        <v>366.95609999999999</v>
      </c>
      <c r="M1004">
        <v>0.98782630000000005</v>
      </c>
      <c r="N1004">
        <v>0</v>
      </c>
      <c r="O1004">
        <v>-0.1551864</v>
      </c>
      <c r="P1004">
        <v>0.95039799999999997</v>
      </c>
      <c r="Q1004">
        <v>-2.1521749999999999E-2</v>
      </c>
      <c r="R1004">
        <v>-0.31029200000000001</v>
      </c>
      <c r="S1004">
        <v>2.5240170000000002</v>
      </c>
      <c r="T1004">
        <v>5.8035490000000002E-2</v>
      </c>
      <c r="U1004">
        <v>-1.9504090000000001</v>
      </c>
      <c r="V1004">
        <v>0.1589605</v>
      </c>
      <c r="W1004">
        <v>-1.190949E-2</v>
      </c>
      <c r="X1004">
        <v>0.98721309999999995</v>
      </c>
      <c r="Y1004">
        <v>0.4811896</v>
      </c>
      <c r="Z1004">
        <v>1.7849210000000001E-3</v>
      </c>
      <c r="AA1004">
        <v>0.87661469999999897</v>
      </c>
      <c r="AB1004">
        <v>23</v>
      </c>
      <c r="AC1004">
        <v>43.177399999999999</v>
      </c>
      <c r="AD1004">
        <v>0.99615599999999904</v>
      </c>
      <c r="AE1004">
        <v>-33.451799999999899</v>
      </c>
      <c r="AF1004">
        <v>26.336795374298401</v>
      </c>
      <c r="AG1004">
        <v>0.99615599999999904</v>
      </c>
      <c r="AH1004">
        <v>47.829910512583801</v>
      </c>
      <c r="AI1004">
        <v>88.954805793453303</v>
      </c>
      <c r="AJ1004">
        <v>61.161305866936701</v>
      </c>
      <c r="AK1004">
        <v>54.610616705964603</v>
      </c>
      <c r="AL1004">
        <v>90.682379651168304</v>
      </c>
      <c r="AM1004">
        <v>80.8527805362897</v>
      </c>
      <c r="AN1004">
        <v>0.99999999066195899</v>
      </c>
    </row>
    <row r="1005" spans="1:40" x14ac:dyDescent="0.25">
      <c r="A1005" t="str">
        <f>"20190312161243380"</f>
        <v>20190312161243380</v>
      </c>
      <c r="B1005" t="str">
        <f>"1552378363376437"</f>
        <v>1552378363376437</v>
      </c>
      <c r="C1005" t="s">
        <v>40</v>
      </c>
      <c r="D1005">
        <v>5.6457129999999998</v>
      </c>
      <c r="E1005">
        <v>0.63404879999999997</v>
      </c>
      <c r="F1005" t="s">
        <v>45</v>
      </c>
      <c r="G1005">
        <v>-168.4007</v>
      </c>
      <c r="H1005">
        <v>2.0012050000000001</v>
      </c>
      <c r="I1005">
        <v>333.27699999999999</v>
      </c>
      <c r="J1005">
        <v>-211.4341</v>
      </c>
      <c r="K1005">
        <v>1.1071139999999999</v>
      </c>
      <c r="L1005">
        <v>366.93049999999999</v>
      </c>
      <c r="M1005">
        <v>0.98741299999999999</v>
      </c>
      <c r="N1005">
        <v>0</v>
      </c>
      <c r="O1005">
        <v>-0.1577944</v>
      </c>
      <c r="P1005">
        <v>0.94948730000000003</v>
      </c>
      <c r="Q1005">
        <v>-2.1830160000000001E-2</v>
      </c>
      <c r="R1005">
        <v>-0.31304559999999998</v>
      </c>
      <c r="S1005">
        <v>2.5168300000000001</v>
      </c>
      <c r="T1005">
        <v>5.2114960000000002E-2</v>
      </c>
      <c r="U1005">
        <v>-1.963165</v>
      </c>
      <c r="V1005">
        <v>0.1592132</v>
      </c>
      <c r="W1005">
        <v>-1.223487E-2</v>
      </c>
      <c r="X1005">
        <v>0.98716839999999995</v>
      </c>
      <c r="Y1005">
        <v>0.48286319999999999</v>
      </c>
      <c r="Z1005">
        <v>1.573879E-3</v>
      </c>
      <c r="AA1005">
        <v>0.87569439999999998</v>
      </c>
      <c r="AB1005">
        <v>23</v>
      </c>
      <c r="AC1005">
        <v>43.0334</v>
      </c>
      <c r="AD1005">
        <v>0.89409099999999997</v>
      </c>
      <c r="AE1005">
        <v>-33.653500000000001</v>
      </c>
      <c r="AF1005">
        <v>26.433933532294802</v>
      </c>
      <c r="AG1005">
        <v>0.89409099999999997</v>
      </c>
      <c r="AH1005">
        <v>47.7920556215171</v>
      </c>
      <c r="AI1005">
        <v>89.0621118193461</v>
      </c>
      <c r="AJ1005">
        <v>61.052883161910898</v>
      </c>
      <c r="AK1005">
        <v>54.6226401891766</v>
      </c>
      <c r="AL1005">
        <v>90.701023909487901</v>
      </c>
      <c r="AM1005">
        <v>80.838077769101005</v>
      </c>
      <c r="AN1005">
        <v>0.99999999252835803</v>
      </c>
    </row>
    <row r="1006" spans="1:40" x14ac:dyDescent="0.25">
      <c r="A1006" t="str">
        <f>"20190312161243397"</f>
        <v>20190312161243397</v>
      </c>
      <c r="B1006" t="str">
        <f>"1552378363386195"</f>
        <v>1552378363386195</v>
      </c>
      <c r="C1006" t="s">
        <v>40</v>
      </c>
      <c r="D1006">
        <v>5.5448659999999999</v>
      </c>
      <c r="E1006">
        <v>0.63404879999999997</v>
      </c>
      <c r="F1006" t="s">
        <v>45</v>
      </c>
      <c r="G1006">
        <v>-168.4007</v>
      </c>
      <c r="H1006">
        <v>2.0862959999999999</v>
      </c>
      <c r="I1006">
        <v>333.38400000000001</v>
      </c>
      <c r="J1006">
        <v>-211.24100000000001</v>
      </c>
      <c r="K1006">
        <v>1.1070599999999999</v>
      </c>
      <c r="L1006">
        <v>366.8956</v>
      </c>
      <c r="M1006">
        <v>0.98683949999999998</v>
      </c>
      <c r="N1006">
        <v>0</v>
      </c>
      <c r="O1006">
        <v>-0.1613435</v>
      </c>
      <c r="P1006">
        <v>0.94832179999999999</v>
      </c>
      <c r="Q1006">
        <v>-2.239791E-2</v>
      </c>
      <c r="R1006">
        <v>-0.316519299999999</v>
      </c>
      <c r="S1006">
        <v>2.5146329999999999</v>
      </c>
      <c r="T1006">
        <v>5.7218310000000001E-2</v>
      </c>
      <c r="U1006">
        <v>-1.9602660000000001</v>
      </c>
      <c r="V1006">
        <v>0.15927439999999901</v>
      </c>
      <c r="W1006">
        <v>-1.2823630000000001E-2</v>
      </c>
      <c r="X1006">
        <v>0.98715109999999995</v>
      </c>
      <c r="Y1006">
        <v>0.47944680000000001</v>
      </c>
      <c r="Z1006">
        <v>1.62676799999999E-3</v>
      </c>
      <c r="AA1006">
        <v>0.87756939999999894</v>
      </c>
      <c r="AB1006">
        <v>23</v>
      </c>
      <c r="AC1006">
        <v>42.8402999999999</v>
      </c>
      <c r="AD1006">
        <v>0.979236</v>
      </c>
      <c r="AE1006">
        <v>-33.511599999999902</v>
      </c>
      <c r="AF1006">
        <v>26.151608244501201</v>
      </c>
      <c r="AG1006">
        <v>0.979236</v>
      </c>
      <c r="AH1006">
        <v>47.6706948830874</v>
      </c>
      <c r="AI1006">
        <v>88.968233721423204</v>
      </c>
      <c r="AJ1006">
        <v>61.251321615563903</v>
      </c>
      <c r="AK1006">
        <v>54.381620677890602</v>
      </c>
      <c r="AL1006">
        <v>90.734759988704496</v>
      </c>
      <c r="AM1006">
        <v>80.834457878126798</v>
      </c>
      <c r="AN1006">
        <v>1.0000000371064699</v>
      </c>
    </row>
    <row r="1007" spans="1:40" x14ac:dyDescent="0.25">
      <c r="A1007" t="str">
        <f>"20190312161243412"</f>
        <v>20190312161243412</v>
      </c>
      <c r="B1007" t="str">
        <f>"1552378363406691"</f>
        <v>1552378363406691</v>
      </c>
      <c r="C1007" t="s">
        <v>40</v>
      </c>
      <c r="D1007">
        <v>5.656644</v>
      </c>
      <c r="E1007">
        <v>0.61847479999999999</v>
      </c>
      <c r="F1007" t="s">
        <v>45</v>
      </c>
      <c r="G1007">
        <v>-168.4007</v>
      </c>
      <c r="H1007">
        <v>2.0533250000000001</v>
      </c>
      <c r="I1007">
        <v>333.24970000000002</v>
      </c>
      <c r="J1007">
        <v>-211.0925</v>
      </c>
      <c r="K1007">
        <v>1.107016</v>
      </c>
      <c r="L1007">
        <v>366.86829999999998</v>
      </c>
      <c r="M1007">
        <v>0.98638199999999998</v>
      </c>
      <c r="N1007">
        <v>0</v>
      </c>
      <c r="O1007">
        <v>-0.16411629999999899</v>
      </c>
      <c r="P1007">
        <v>0.94727189999999994</v>
      </c>
      <c r="Q1007">
        <v>-2.2697430000000001E-2</v>
      </c>
      <c r="R1007">
        <v>-0.31962669999999999</v>
      </c>
      <c r="S1007">
        <v>2.5074920000000001</v>
      </c>
      <c r="T1007">
        <v>5.5386299999999999E-2</v>
      </c>
      <c r="U1007">
        <v>-1.96933</v>
      </c>
      <c r="V1007">
        <v>0.15973409999999999</v>
      </c>
      <c r="W1007">
        <v>-1.314333E-2</v>
      </c>
      <c r="X1007">
        <v>0.98707259999999997</v>
      </c>
      <c r="Y1007">
        <v>0.48015980000000003</v>
      </c>
      <c r="Z1007">
        <v>1.531929E-3</v>
      </c>
      <c r="AA1007">
        <v>0.87717969999999901</v>
      </c>
      <c r="AB1007">
        <v>23</v>
      </c>
      <c r="AC1007">
        <v>42.691800000000001</v>
      </c>
      <c r="AD1007">
        <v>0.94630899999999996</v>
      </c>
      <c r="AE1007">
        <v>-33.618599999999901</v>
      </c>
      <c r="AF1007">
        <v>26.147953902067599</v>
      </c>
      <c r="AG1007">
        <v>0.94630899999999996</v>
      </c>
      <c r="AH1007">
        <v>47.6161146346398</v>
      </c>
      <c r="AI1007">
        <v>89.002009635449298</v>
      </c>
      <c r="AJ1007">
        <v>61.227012967470898</v>
      </c>
      <c r="AK1007">
        <v>54.3314399485905</v>
      </c>
      <c r="AL1007">
        <v>90.753079002962494</v>
      </c>
      <c r="AM1007">
        <v>80.807736557884894</v>
      </c>
      <c r="AN1007">
        <v>1.00000002374852</v>
      </c>
    </row>
    <row r="1008" spans="1:40" x14ac:dyDescent="0.25">
      <c r="A1008" t="str">
        <f>"20190312161243424"</f>
        <v>20190312161243424</v>
      </c>
      <c r="B1008" t="str">
        <f>"1552378363416451"</f>
        <v>1552378363416451</v>
      </c>
      <c r="C1008" t="s">
        <v>40</v>
      </c>
      <c r="D1008">
        <v>5.9517049999999996</v>
      </c>
      <c r="E1008">
        <v>0.61847479999999999</v>
      </c>
      <c r="F1008" t="s">
        <v>45</v>
      </c>
      <c r="G1008">
        <v>-168.4015</v>
      </c>
      <c r="H1008">
        <v>4.2417210000000001</v>
      </c>
      <c r="I1008">
        <v>335.5444</v>
      </c>
      <c r="J1008">
        <v>-210.9616</v>
      </c>
      <c r="K1008">
        <v>1.106968</v>
      </c>
      <c r="L1008">
        <v>366.84379999999999</v>
      </c>
      <c r="M1008">
        <v>0.98596609999999996</v>
      </c>
      <c r="N1008">
        <v>0</v>
      </c>
      <c r="O1008">
        <v>-0.16659669999999999</v>
      </c>
      <c r="P1008">
        <v>0.94645679999999999</v>
      </c>
      <c r="Q1008">
        <v>-2.263687E-2</v>
      </c>
      <c r="R1008">
        <v>-0.32203609999999999</v>
      </c>
      <c r="S1008">
        <v>2.5421140000000002</v>
      </c>
      <c r="T1008">
        <v>0.1866622</v>
      </c>
      <c r="U1008">
        <v>-1.8652340000000001</v>
      </c>
      <c r="V1008">
        <v>0.15976219999999999</v>
      </c>
      <c r="W1008">
        <v>-1.309749E-2</v>
      </c>
      <c r="X1008">
        <v>0.98706870000000002</v>
      </c>
      <c r="Y1008">
        <v>0.44849719999999998</v>
      </c>
      <c r="Z1008">
        <v>3.9580199999999996E-3</v>
      </c>
      <c r="AA1008">
        <v>0.89377549999999995</v>
      </c>
      <c r="AB1008">
        <v>23</v>
      </c>
      <c r="AC1008">
        <v>42.560099999999998</v>
      </c>
      <c r="AD1008">
        <v>3.1347529999999999</v>
      </c>
      <c r="AE1008">
        <v>-31.299399999999899</v>
      </c>
      <c r="AF1008">
        <v>23.687758059491198</v>
      </c>
      <c r="AG1008">
        <v>3.1347529999999999</v>
      </c>
      <c r="AH1008">
        <v>47.014408713441703</v>
      </c>
      <c r="AI1008">
        <v>86.5923200562723</v>
      </c>
      <c r="AJ1008">
        <v>63.259188822219599</v>
      </c>
      <c r="AK1008">
        <v>52.737948243466498</v>
      </c>
      <c r="AL1008">
        <v>90.750452309948599</v>
      </c>
      <c r="AM1008">
        <v>80.806111386964304</v>
      </c>
      <c r="AN1008">
        <v>1.00000006165641</v>
      </c>
    </row>
    <row r="1009" spans="1:40" x14ac:dyDescent="0.25">
      <c r="A1009" t="str">
        <f>"20190312161243437"</f>
        <v>20190312161243437</v>
      </c>
      <c r="B1009" t="str">
        <f>"1552378363426213"</f>
        <v>1552378363426213</v>
      </c>
      <c r="C1009" t="s">
        <v>40</v>
      </c>
      <c r="D1009">
        <v>5.990049</v>
      </c>
      <c r="E1009">
        <v>0.60214840000000003</v>
      </c>
      <c r="F1009" t="s">
        <v>45</v>
      </c>
      <c r="G1009">
        <v>-168.4015</v>
      </c>
      <c r="H1009">
        <v>4.2391129999999997</v>
      </c>
      <c r="I1009">
        <v>335.44819999999999</v>
      </c>
      <c r="J1009">
        <v>-210.8312</v>
      </c>
      <c r="K1009">
        <v>1.1069249999999999</v>
      </c>
      <c r="L1009">
        <v>366.81900000000002</v>
      </c>
      <c r="M1009">
        <v>0.98553840000000004</v>
      </c>
      <c r="N1009">
        <v>0</v>
      </c>
      <c r="O1009">
        <v>-0.16910849999999999</v>
      </c>
      <c r="P1009">
        <v>0.94556560000000001</v>
      </c>
      <c r="Q1009">
        <v>-2.2322140000000001E-2</v>
      </c>
      <c r="R1009">
        <v>-0.3246656</v>
      </c>
      <c r="S1009">
        <v>2.5373079999999999</v>
      </c>
      <c r="T1009">
        <v>0.18672920000000001</v>
      </c>
      <c r="U1009">
        <v>-1.871704</v>
      </c>
      <c r="V1009">
        <v>0.1599902</v>
      </c>
      <c r="W1009">
        <v>-1.279897E-2</v>
      </c>
      <c r="X1009">
        <v>0.98703560000000001</v>
      </c>
      <c r="Y1009">
        <v>0.44850869999999998</v>
      </c>
      <c r="Z1009">
        <v>3.805241E-3</v>
      </c>
      <c r="AA1009">
        <v>0.89377039999999996</v>
      </c>
      <c r="AB1009">
        <v>23</v>
      </c>
      <c r="AC1009">
        <v>42.429699999999997</v>
      </c>
      <c r="AD1009">
        <v>3.1321880000000002</v>
      </c>
      <c r="AE1009">
        <v>-31.370799999999999</v>
      </c>
      <c r="AF1009">
        <v>23.659923172356699</v>
      </c>
      <c r="AG1009">
        <v>3.1321880000000002</v>
      </c>
      <c r="AH1009">
        <v>46.958455917022299</v>
      </c>
      <c r="AI1009">
        <v>86.591064682439793</v>
      </c>
      <c r="AJ1009">
        <v>63.258842015349302</v>
      </c>
      <c r="AK1009">
        <v>52.675413128898199</v>
      </c>
      <c r="AL1009">
        <v>90.733347003172099</v>
      </c>
      <c r="AM1009">
        <v>80.792911676080706</v>
      </c>
      <c r="AN1009">
        <v>0.99999997669823004</v>
      </c>
    </row>
    <row r="1010" spans="1:40" x14ac:dyDescent="0.25">
      <c r="A1010" t="str">
        <f>"20190312161243454"</f>
        <v>20190312161243454</v>
      </c>
      <c r="B1010" t="str">
        <f>"1552378363446707"</f>
        <v>1552378363446707</v>
      </c>
      <c r="C1010" t="s">
        <v>40</v>
      </c>
      <c r="D1010">
        <v>5.4092140000000004</v>
      </c>
      <c r="E1010">
        <v>0.60147240000000002</v>
      </c>
      <c r="F1010" t="s">
        <v>53</v>
      </c>
      <c r="G1010">
        <v>-204.9127</v>
      </c>
      <c r="H1010" s="1">
        <v>-4.4140919999999996E-6</v>
      </c>
      <c r="I1010">
        <v>362.8372</v>
      </c>
      <c r="J1010">
        <v>-210.6576</v>
      </c>
      <c r="K1010">
        <v>1.106867</v>
      </c>
      <c r="L1010">
        <v>366.78539999999998</v>
      </c>
      <c r="M1010">
        <v>0.98495069999999996</v>
      </c>
      <c r="N1010">
        <v>0</v>
      </c>
      <c r="O1010">
        <v>-0.17249829999999999</v>
      </c>
      <c r="P1010">
        <v>0.94432050000000001</v>
      </c>
      <c r="Q1010">
        <v>-2.1837240000000001E-2</v>
      </c>
      <c r="R1010">
        <v>-0.32830169999999997</v>
      </c>
      <c r="S1010">
        <v>2.5681150000000001</v>
      </c>
      <c r="T1010">
        <v>-0.48031079999999998</v>
      </c>
      <c r="U1010">
        <v>-1.727722</v>
      </c>
      <c r="V1010">
        <v>0.160391899999999</v>
      </c>
      <c r="W1010">
        <v>-1.23368E-2</v>
      </c>
      <c r="X1010">
        <v>0.98697630000000003</v>
      </c>
      <c r="Y1010">
        <v>0.40398440000000002</v>
      </c>
      <c r="Z1010">
        <v>-5.4493359999999999E-3</v>
      </c>
      <c r="AA1010">
        <v>0.91474960000000005</v>
      </c>
      <c r="AB1010">
        <v>24</v>
      </c>
      <c r="AC1010">
        <v>5.7449000000000003</v>
      </c>
      <c r="AD1010">
        <v>-1.106871414092</v>
      </c>
      <c r="AE1010">
        <v>-3.9481999999999799</v>
      </c>
      <c r="AF1010">
        <v>2.8266955472466</v>
      </c>
      <c r="AG1010">
        <v>-1.106871414092</v>
      </c>
      <c r="AH1010">
        <v>6.1839529250116803</v>
      </c>
      <c r="AI1010">
        <v>99.2460851653925</v>
      </c>
      <c r="AJ1010">
        <v>65.434778054118397</v>
      </c>
      <c r="AK1010">
        <v>6.8888784154547498</v>
      </c>
      <c r="AL1010">
        <v>90.706864512712698</v>
      </c>
      <c r="AM1010">
        <v>80.769647079923502</v>
      </c>
      <c r="AN1010">
        <v>0.99999998749077001</v>
      </c>
    </row>
    <row r="1011" spans="1:40" x14ac:dyDescent="0.25">
      <c r="A1011" t="str">
        <f>"20190312161243467"</f>
        <v>20190312161243467</v>
      </c>
      <c r="B1011" t="str">
        <f>"1552378363456468"</f>
        <v>1552378363456468</v>
      </c>
      <c r="C1011" t="s">
        <v>40</v>
      </c>
      <c r="D1011">
        <v>5.4594649999999998</v>
      </c>
      <c r="E1011">
        <v>0.60147240000000002</v>
      </c>
      <c r="F1011" t="s">
        <v>53</v>
      </c>
      <c r="G1011">
        <v>-204.5651</v>
      </c>
      <c r="H1011" s="1">
        <v>-4.2770029999999997E-6</v>
      </c>
      <c r="I1011">
        <v>362.66649999999998</v>
      </c>
      <c r="J1011">
        <v>-210.5153</v>
      </c>
      <c r="K1011">
        <v>1.106819</v>
      </c>
      <c r="L1011">
        <v>366.75740000000002</v>
      </c>
      <c r="M1011">
        <v>0.98445249999999995</v>
      </c>
      <c r="N1011">
        <v>0</v>
      </c>
      <c r="O1011">
        <v>-0.1753188</v>
      </c>
      <c r="P1011">
        <v>0.94338149999999998</v>
      </c>
      <c r="Q1011">
        <v>-2.1561E-2</v>
      </c>
      <c r="R1011">
        <v>-0.33100760000000001</v>
      </c>
      <c r="S1011">
        <v>2.563599</v>
      </c>
      <c r="T1011">
        <v>-0.46574880000000002</v>
      </c>
      <c r="U1011">
        <v>-1.7331240000000001</v>
      </c>
      <c r="V1011">
        <v>0.16039419999999999</v>
      </c>
      <c r="W1011">
        <v>-1.2076760000000001E-2</v>
      </c>
      <c r="X1011">
        <v>0.9869791</v>
      </c>
      <c r="Y1011">
        <v>0.40362999999999999</v>
      </c>
      <c r="Z1011">
        <v>-4.8191550000000003E-3</v>
      </c>
      <c r="AA1011">
        <v>0.91490959999999999</v>
      </c>
      <c r="AB1011">
        <v>24</v>
      </c>
      <c r="AC1011">
        <v>5.9501999999999899</v>
      </c>
      <c r="AD1011">
        <v>-1.106823277003</v>
      </c>
      <c r="AE1011">
        <v>-4.0909000000000297</v>
      </c>
      <c r="AF1011">
        <v>2.91578136349418</v>
      </c>
      <c r="AG1011">
        <v>-1.106823277003</v>
      </c>
      <c r="AH1011">
        <v>6.4243418470419602</v>
      </c>
      <c r="AI1011">
        <v>98.9160868468975</v>
      </c>
      <c r="AJ1011">
        <v>65.588383638216698</v>
      </c>
      <c r="AK1011">
        <v>7.1413588968676098</v>
      </c>
      <c r="AL1011">
        <v>90.691964236756903</v>
      </c>
      <c r="AM1011">
        <v>80.769542731721501</v>
      </c>
      <c r="AN1011">
        <v>0.99999994568127204</v>
      </c>
    </row>
    <row r="1012" spans="1:40" x14ac:dyDescent="0.25">
      <c r="A1012" t="str">
        <f>"20190312161243481"</f>
        <v>20190312161243481</v>
      </c>
      <c r="B1012" t="str">
        <f>"1552378363476964"</f>
        <v>1552378363476964</v>
      </c>
      <c r="C1012" t="s">
        <v>40</v>
      </c>
      <c r="D1012">
        <v>5.9728820000000002</v>
      </c>
      <c r="E1012">
        <v>0.61917199999999994</v>
      </c>
      <c r="F1012" t="s">
        <v>53</v>
      </c>
      <c r="G1012">
        <v>-204.4212</v>
      </c>
      <c r="H1012" s="1">
        <v>-4.2169999999999996E-6</v>
      </c>
      <c r="I1012">
        <v>362.61059999999998</v>
      </c>
      <c r="J1012">
        <v>-210.37690000000001</v>
      </c>
      <c r="K1012">
        <v>1.10677</v>
      </c>
      <c r="L1012">
        <v>366.7296</v>
      </c>
      <c r="M1012">
        <v>0.98394950000000003</v>
      </c>
      <c r="N1012">
        <v>0</v>
      </c>
      <c r="O1012">
        <v>-0.17811920000000001</v>
      </c>
      <c r="P1012">
        <v>0.94237020000000005</v>
      </c>
      <c r="Q1012">
        <v>-2.130574E-2</v>
      </c>
      <c r="R1012">
        <v>-0.3338932</v>
      </c>
      <c r="S1012">
        <v>2.5585629999999999</v>
      </c>
      <c r="T1012">
        <v>-0.464694</v>
      </c>
      <c r="U1012">
        <v>-1.7409969999999999</v>
      </c>
      <c r="V1012">
        <v>0.16060550000000001</v>
      </c>
      <c r="W1012">
        <v>-1.1838639999999999E-2</v>
      </c>
      <c r="X1012">
        <v>0.98694769999999998</v>
      </c>
      <c r="Y1012">
        <v>0.40382960000000001</v>
      </c>
      <c r="Z1012">
        <v>-4.3905039999999999E-3</v>
      </c>
      <c r="AA1012">
        <v>0.91482370000000002</v>
      </c>
      <c r="AB1012">
        <v>24</v>
      </c>
      <c r="AC1012">
        <v>5.9557000000000002</v>
      </c>
      <c r="AD1012">
        <v>-1.1067742169999999</v>
      </c>
      <c r="AE1012">
        <v>-4.1190000000000202</v>
      </c>
      <c r="AF1012">
        <v>2.9239335495536398</v>
      </c>
      <c r="AG1012">
        <v>-1.1067742169999999</v>
      </c>
      <c r="AH1012">
        <v>6.4436392258949402</v>
      </c>
      <c r="AI1012">
        <v>98.889734044816905</v>
      </c>
      <c r="AJ1012">
        <v>65.592853415536098</v>
      </c>
      <c r="AK1012">
        <v>7.1620404245657001</v>
      </c>
      <c r="AL1012">
        <v>90.678319938175406</v>
      </c>
      <c r="AM1012">
        <v>80.757303458395597</v>
      </c>
      <c r="AN1012">
        <v>1.0000000212812901</v>
      </c>
    </row>
    <row r="1013" spans="1:40" x14ac:dyDescent="0.25">
      <c r="A1013" t="str">
        <f>"20190312161243496"</f>
        <v>20190312161243496</v>
      </c>
      <c r="B1013" t="str">
        <f>"1552378363486724"</f>
        <v>1552378363486724</v>
      </c>
      <c r="C1013" t="s">
        <v>40</v>
      </c>
      <c r="D1013">
        <v>5.9388730000000001</v>
      </c>
      <c r="E1013">
        <v>0.61371180000000003</v>
      </c>
      <c r="F1013" t="s">
        <v>45</v>
      </c>
      <c r="G1013">
        <v>-168.40010000000001</v>
      </c>
      <c r="H1013">
        <v>4.555592E-2</v>
      </c>
      <c r="I1013">
        <v>334.9794</v>
      </c>
      <c r="J1013">
        <v>-210.22229999999999</v>
      </c>
      <c r="K1013">
        <v>1.106717</v>
      </c>
      <c r="L1013">
        <v>366.69810000000001</v>
      </c>
      <c r="M1013">
        <v>0.98337050000000004</v>
      </c>
      <c r="N1013">
        <v>0</v>
      </c>
      <c r="O1013">
        <v>-0.1812897</v>
      </c>
      <c r="P1013">
        <v>0.94121589999999999</v>
      </c>
      <c r="Q1013">
        <v>-2.136192E-2</v>
      </c>
      <c r="R1013">
        <v>-0.337130599999999</v>
      </c>
      <c r="S1013">
        <v>2.5095209999999999</v>
      </c>
      <c r="T1013">
        <v>-6.3442709999999999E-2</v>
      </c>
      <c r="U1013">
        <v>-1.8981319999999999</v>
      </c>
      <c r="V1013">
        <v>0.16081509999999999</v>
      </c>
      <c r="W1013">
        <v>-1.191439E-2</v>
      </c>
      <c r="X1013">
        <v>0.98691260000000003</v>
      </c>
      <c r="Y1013">
        <v>0.44860090000000002</v>
      </c>
      <c r="Z1013">
        <v>-1.0415369999999999E-3</v>
      </c>
      <c r="AA1013">
        <v>0.89373159999999896</v>
      </c>
      <c r="AB1013">
        <v>24</v>
      </c>
      <c r="AC1013">
        <v>41.822199999999903</v>
      </c>
      <c r="AD1013">
        <v>-1.06116108</v>
      </c>
      <c r="AE1013">
        <v>-31.718699999999998</v>
      </c>
      <c r="AF1013">
        <v>23.601029255491401</v>
      </c>
      <c r="AG1013">
        <v>-1.06116108</v>
      </c>
      <c r="AH1013">
        <v>46.860569937624</v>
      </c>
      <c r="AI1013">
        <v>91.158638137435204</v>
      </c>
      <c r="AJ1013">
        <v>63.268178988236102</v>
      </c>
      <c r="AK1013">
        <v>52.479021138310301</v>
      </c>
      <c r="AL1013">
        <v>90.682660438232105</v>
      </c>
      <c r="AM1013">
        <v>80.745126301933695</v>
      </c>
      <c r="AN1013">
        <v>0.99999996455791995</v>
      </c>
    </row>
    <row r="1014" spans="1:40" x14ac:dyDescent="0.25">
      <c r="A1014" t="str">
        <f>"20190312161243512"</f>
        <v>20190312161243512</v>
      </c>
      <c r="B1014" t="str">
        <f>"1552378363506244"</f>
        <v>1552378363506244</v>
      </c>
      <c r="C1014" t="s">
        <v>40</v>
      </c>
      <c r="D1014">
        <v>5.8066449999999996</v>
      </c>
      <c r="E1014">
        <v>0.60676529999999995</v>
      </c>
      <c r="F1014" t="s">
        <v>53</v>
      </c>
      <c r="G1014">
        <v>-187.98699999999999</v>
      </c>
      <c r="H1014" s="1">
        <v>-7.5025099999999996E-7</v>
      </c>
      <c r="I1014">
        <v>350.23930000000001</v>
      </c>
      <c r="J1014">
        <v>-210.05760000000001</v>
      </c>
      <c r="K1014">
        <v>1.1066560000000001</v>
      </c>
      <c r="L1014">
        <v>366.66390000000001</v>
      </c>
      <c r="M1014">
        <v>0.98273089999999996</v>
      </c>
      <c r="N1014">
        <v>0</v>
      </c>
      <c r="O1014">
        <v>-0.18472420000000001</v>
      </c>
      <c r="P1014">
        <v>0.93965989999999999</v>
      </c>
      <c r="Q1014">
        <v>-2.0889379999999999E-2</v>
      </c>
      <c r="R1014">
        <v>-0.34147159999999999</v>
      </c>
      <c r="S1014">
        <v>2.5171510000000001</v>
      </c>
      <c r="T1014">
        <v>-0.12528619999999999</v>
      </c>
      <c r="U1014">
        <v>-1.8632200000000001</v>
      </c>
      <c r="V1014">
        <v>0.16192239999999999</v>
      </c>
      <c r="W1014">
        <v>-1.147165E-2</v>
      </c>
      <c r="X1014">
        <v>0.98673679999999997</v>
      </c>
      <c r="Y1014">
        <v>0.43603320000000001</v>
      </c>
      <c r="Z1014">
        <v>-1.63220799999999E-3</v>
      </c>
      <c r="AA1014">
        <v>0.89992909999999904</v>
      </c>
      <c r="AB1014">
        <v>24</v>
      </c>
      <c r="AC1014">
        <v>22.070599999999999</v>
      </c>
      <c r="AD1014">
        <v>-1.1066567502510001</v>
      </c>
      <c r="AE1014">
        <v>-16.424599999999899</v>
      </c>
      <c r="AF1014">
        <v>12.045203423354099</v>
      </c>
      <c r="AG1014">
        <v>-1.1066567502510001</v>
      </c>
      <c r="AH1014">
        <v>24.684985270659499</v>
      </c>
      <c r="AI1014">
        <v>92.307223675741199</v>
      </c>
      <c r="AJ1014">
        <v>63.989628844321899</v>
      </c>
      <c r="AK1014">
        <v>27.489272680184499</v>
      </c>
      <c r="AL1014">
        <v>90.657291554312707</v>
      </c>
      <c r="AM1014">
        <v>80.680884368125604</v>
      </c>
      <c r="AN1014">
        <v>0.99999998742486096</v>
      </c>
    </row>
    <row r="1015" spans="1:40" x14ac:dyDescent="0.25">
      <c r="A1015" t="str">
        <f>"20190312161243526"</f>
        <v>20190312161243526</v>
      </c>
      <c r="B1015" t="str">
        <f>"1552378363516980"</f>
        <v>1552378363516980</v>
      </c>
      <c r="C1015" t="s">
        <v>40</v>
      </c>
      <c r="D1015">
        <v>5.8145509999999998</v>
      </c>
      <c r="E1015">
        <v>0.60476339999999995</v>
      </c>
      <c r="F1015" t="s">
        <v>42</v>
      </c>
      <c r="G1015">
        <v>-185.7637</v>
      </c>
      <c r="H1015" s="1">
        <v>-4.8296299999999999E-6</v>
      </c>
      <c r="I1015">
        <v>349.13909999999998</v>
      </c>
      <c r="J1015">
        <v>-209.89670000000001</v>
      </c>
      <c r="K1015">
        <v>1.1065929999999999</v>
      </c>
      <c r="L1015">
        <v>366.62990000000002</v>
      </c>
      <c r="M1015">
        <v>0.98208220000000002</v>
      </c>
      <c r="N1015">
        <v>0</v>
      </c>
      <c r="O1015">
        <v>-0.18814239999999999</v>
      </c>
      <c r="P1015">
        <v>0.93832059999999995</v>
      </c>
      <c r="Q1015">
        <v>-2.081208E-2</v>
      </c>
      <c r="R1015">
        <v>-0.345139799999999</v>
      </c>
      <c r="S1015">
        <v>2.5275270000000001</v>
      </c>
      <c r="T1015">
        <v>-0.1151365</v>
      </c>
      <c r="U1015">
        <v>-1.8232729999999999</v>
      </c>
      <c r="V1015">
        <v>0.16234219999999999</v>
      </c>
      <c r="W1015">
        <v>-1.141759E-2</v>
      </c>
      <c r="X1015">
        <v>0.98666849999999995</v>
      </c>
      <c r="Y1015">
        <v>0.42183579999999998</v>
      </c>
      <c r="Z1015">
        <v>-1.0760920000000001E-3</v>
      </c>
      <c r="AA1015">
        <v>0.90667160000000002</v>
      </c>
      <c r="AB1015">
        <v>24</v>
      </c>
      <c r="AC1015">
        <v>24.132999999999999</v>
      </c>
      <c r="AD1015">
        <v>-1.1065978296300001</v>
      </c>
      <c r="AE1015">
        <v>-17.4908</v>
      </c>
      <c r="AF1015">
        <v>12.620305031099999</v>
      </c>
      <c r="AG1015">
        <v>-1.1065978296300001</v>
      </c>
      <c r="AH1015">
        <v>26.955771402501501</v>
      </c>
      <c r="AI1015">
        <v>92.129235064914795</v>
      </c>
      <c r="AJ1015">
        <v>64.911681364101298</v>
      </c>
      <c r="AK1015">
        <v>29.784396413868599</v>
      </c>
      <c r="AL1015">
        <v>90.654193907118298</v>
      </c>
      <c r="AM1015">
        <v>80.656513773225498</v>
      </c>
      <c r="AN1015">
        <v>1.00000004007724</v>
      </c>
    </row>
    <row r="1016" spans="1:40" x14ac:dyDescent="0.25">
      <c r="A1016" t="str">
        <f>"20190312161243541"</f>
        <v>20190312161243541</v>
      </c>
      <c r="B1016" t="str">
        <f>"1552378363536499"</f>
        <v>1552378363536499</v>
      </c>
      <c r="C1016" t="s">
        <v>40</v>
      </c>
      <c r="D1016">
        <v>5.8293220000000003</v>
      </c>
      <c r="E1016">
        <v>0.60237589999999996</v>
      </c>
      <c r="F1016" t="s">
        <v>42</v>
      </c>
      <c r="G1016">
        <v>-181.53399999999999</v>
      </c>
      <c r="H1016" s="1">
        <v>-4.4864860000000002E-6</v>
      </c>
      <c r="I1016">
        <v>346.21249999999998</v>
      </c>
      <c r="J1016">
        <v>-209.74969999999999</v>
      </c>
      <c r="K1016">
        <v>1.106538</v>
      </c>
      <c r="L1016">
        <v>366.59809999999999</v>
      </c>
      <c r="M1016">
        <v>0.98146639999999996</v>
      </c>
      <c r="N1016">
        <v>0</v>
      </c>
      <c r="O1016">
        <v>-0.19132859999999999</v>
      </c>
      <c r="P1016">
        <v>0.93701619999999997</v>
      </c>
      <c r="Q1016">
        <v>-2.0915949999999999E-2</v>
      </c>
      <c r="R1016">
        <v>-0.34865940000000001</v>
      </c>
      <c r="S1016">
        <v>2.5260929999999999</v>
      </c>
      <c r="T1016">
        <v>-9.8557950000000005E-2</v>
      </c>
      <c r="U1016">
        <v>-1.818451</v>
      </c>
      <c r="V1016">
        <v>0.1628416</v>
      </c>
      <c r="W1016">
        <v>-1.1543100000000001E-2</v>
      </c>
      <c r="X1016">
        <v>0.98658469999999998</v>
      </c>
      <c r="Y1016">
        <v>0.41803980000000002</v>
      </c>
      <c r="Z1016">
        <v>-7.4908319999999996E-4</v>
      </c>
      <c r="AA1016">
        <v>0.90842840000000002</v>
      </c>
      <c r="AB1016">
        <v>24</v>
      </c>
      <c r="AC1016">
        <v>28.215699999999899</v>
      </c>
      <c r="AD1016">
        <v>-1.1065424864860001</v>
      </c>
      <c r="AE1016">
        <v>-20.3856</v>
      </c>
      <c r="AF1016">
        <v>14.595417463793501</v>
      </c>
      <c r="AG1016">
        <v>-1.1065424864860001</v>
      </c>
      <c r="AH1016">
        <v>31.563064447039402</v>
      </c>
      <c r="AI1016">
        <v>91.822575703859101</v>
      </c>
      <c r="AJ1016">
        <v>65.183197050627996</v>
      </c>
      <c r="AK1016">
        <v>34.791919816313197</v>
      </c>
      <c r="AL1016">
        <v>90.661385600529201</v>
      </c>
      <c r="AM1016">
        <v>80.627498429993807</v>
      </c>
      <c r="AN1016">
        <v>1.00000000006113</v>
      </c>
    </row>
    <row r="1017" spans="1:40" x14ac:dyDescent="0.25">
      <c r="A1017" t="str">
        <f>"20190312161243556"</f>
        <v>20190312161243556</v>
      </c>
      <c r="B1017" t="str">
        <f>"1552378363546259"</f>
        <v>1552378363546259</v>
      </c>
      <c r="C1017" t="s">
        <v>40</v>
      </c>
      <c r="D1017">
        <v>5.9285699999999997</v>
      </c>
      <c r="E1017">
        <v>0.60237589999999996</v>
      </c>
      <c r="F1017" t="s">
        <v>42</v>
      </c>
      <c r="G1017">
        <v>-176.56819999999999</v>
      </c>
      <c r="H1017">
        <v>7.9986440000000006E-2</v>
      </c>
      <c r="I1017">
        <v>342.81049999999999</v>
      </c>
      <c r="J1017">
        <v>-209.59030000000001</v>
      </c>
      <c r="K1017">
        <v>1.1064769999999999</v>
      </c>
      <c r="L1017">
        <v>366.56310000000002</v>
      </c>
      <c r="M1017">
        <v>0.98077720000000002</v>
      </c>
      <c r="N1017">
        <v>0</v>
      </c>
      <c r="O1017">
        <v>-0.19483020000000001</v>
      </c>
      <c r="P1017">
        <v>0.93532150000000003</v>
      </c>
      <c r="Q1017">
        <v>-2.0582989999999999E-2</v>
      </c>
      <c r="R1017">
        <v>-0.35320030000000002</v>
      </c>
      <c r="S1017">
        <v>2.526062</v>
      </c>
      <c r="T1017">
        <v>-7.8149910000000003E-2</v>
      </c>
      <c r="U1017">
        <v>-1.810913</v>
      </c>
      <c r="V1017">
        <v>0.1641051</v>
      </c>
      <c r="W1017">
        <v>-1.12411E-2</v>
      </c>
      <c r="X1017">
        <v>0.9863788</v>
      </c>
      <c r="Y1017">
        <v>0.41305239999999999</v>
      </c>
      <c r="Z1017">
        <v>-4.322315E-4</v>
      </c>
      <c r="AA1017">
        <v>0.91070720000000005</v>
      </c>
      <c r="AB1017">
        <v>24</v>
      </c>
      <c r="AC1017">
        <v>33.022100000000002</v>
      </c>
      <c r="AD1017">
        <v>-1.0264905599999901</v>
      </c>
      <c r="AE1017">
        <v>-23.752600000000001</v>
      </c>
      <c r="AF1017">
        <v>16.8525632797706</v>
      </c>
      <c r="AG1017">
        <v>-1.0264905599999901</v>
      </c>
      <c r="AH1017">
        <v>36.993659613358901</v>
      </c>
      <c r="AI1017">
        <v>91.446469755783895</v>
      </c>
      <c r="AJ1017">
        <v>65.508232206894405</v>
      </c>
      <c r="AK1017">
        <v>40.6643999532454</v>
      </c>
      <c r="AL1017">
        <v>90.644081157558901</v>
      </c>
      <c r="AM1017">
        <v>80.554145772200698</v>
      </c>
      <c r="AN1017">
        <v>0.99999999163233</v>
      </c>
    </row>
    <row r="1018" spans="1:40" x14ac:dyDescent="0.25">
      <c r="A1018" t="str">
        <f>"20190312161243571"</f>
        <v>20190312161243571</v>
      </c>
      <c r="B1018" t="str">
        <f>"1552378363566287"</f>
        <v>1552378363566287</v>
      </c>
      <c r="C1018" t="s">
        <v>40</v>
      </c>
      <c r="D1018">
        <v>5.9043910000000004</v>
      </c>
      <c r="E1018">
        <v>0.59647209999999995</v>
      </c>
      <c r="F1018" t="s">
        <v>42</v>
      </c>
      <c r="G1018">
        <v>-176.19479999999999</v>
      </c>
      <c r="H1018">
        <v>7.9986329999999994E-2</v>
      </c>
      <c r="I1018">
        <v>342.375</v>
      </c>
      <c r="J1018">
        <v>-209.43559999999999</v>
      </c>
      <c r="K1018">
        <v>1.1064149999999999</v>
      </c>
      <c r="L1018">
        <v>366.52859999999998</v>
      </c>
      <c r="M1018">
        <v>0.98008470000000003</v>
      </c>
      <c r="N1018">
        <v>0</v>
      </c>
      <c r="O1018">
        <v>-0.19828409999999999</v>
      </c>
      <c r="P1018">
        <v>0.9337818</v>
      </c>
      <c r="Q1018">
        <v>-2.0612269999999999E-2</v>
      </c>
      <c r="R1018">
        <v>-0.35724899999999998</v>
      </c>
      <c r="S1018">
        <v>2.517242</v>
      </c>
      <c r="T1018">
        <v>-7.7373269999999994E-2</v>
      </c>
      <c r="U1018">
        <v>-1.8232120000000001</v>
      </c>
      <c r="V1018">
        <v>0.16490160000000001</v>
      </c>
      <c r="W1018">
        <v>-1.129688E-2</v>
      </c>
      <c r="X1018">
        <v>0.98624529999999999</v>
      </c>
      <c r="Y1018">
        <v>0.41427999999999998</v>
      </c>
      <c r="Z1018">
        <v>-3.5545230000000002E-4</v>
      </c>
      <c r="AA1018">
        <v>0.9101494</v>
      </c>
      <c r="AB1018">
        <v>24</v>
      </c>
      <c r="AC1018">
        <v>33.2408</v>
      </c>
      <c r="AD1018">
        <v>-1.02642867</v>
      </c>
      <c r="AE1018">
        <v>-24.153599999999901</v>
      </c>
      <c r="AF1018">
        <v>17.071801359525999</v>
      </c>
      <c r="AG1018">
        <v>-1.02642867</v>
      </c>
      <c r="AH1018">
        <v>37.3469628615142</v>
      </c>
      <c r="AI1018">
        <v>91.431861549249504</v>
      </c>
      <c r="AJ1018">
        <v>65.434219411168598</v>
      </c>
      <c r="AK1018">
        <v>41.076703768109702</v>
      </c>
      <c r="AL1018">
        <v>90.647277330219495</v>
      </c>
      <c r="AM1018">
        <v>80.507870181222103</v>
      </c>
      <c r="AN1018">
        <v>0.99999997447619104</v>
      </c>
    </row>
    <row r="1019" spans="1:40" x14ac:dyDescent="0.25">
      <c r="A1019" t="str">
        <f>"20190312161243583"</f>
        <v>20190312161243583</v>
      </c>
      <c r="B1019" t="str">
        <f>"1552378363577023"</f>
        <v>1552378363577023</v>
      </c>
      <c r="C1019" t="s">
        <v>40</v>
      </c>
      <c r="D1019">
        <v>5.9185309999999998</v>
      </c>
      <c r="E1019">
        <v>0.59392369999999906</v>
      </c>
      <c r="F1019" t="s">
        <v>53</v>
      </c>
      <c r="G1019">
        <v>-198.8563</v>
      </c>
      <c r="H1019" s="1">
        <v>-6.4892310000000003E-6</v>
      </c>
      <c r="I1019">
        <v>359.05880000000002</v>
      </c>
      <c r="J1019">
        <v>-209.2961</v>
      </c>
      <c r="K1019">
        <v>1.1063559999999999</v>
      </c>
      <c r="L1019">
        <v>366.49680000000001</v>
      </c>
      <c r="M1019">
        <v>0.979437</v>
      </c>
      <c r="N1019">
        <v>0</v>
      </c>
      <c r="O1019">
        <v>-0.20145879999999999</v>
      </c>
      <c r="P1019">
        <v>0.9324114</v>
      </c>
      <c r="Q1019">
        <v>-2.0327310000000001E-2</v>
      </c>
      <c r="R1019">
        <v>-0.36082619999999999</v>
      </c>
      <c r="S1019">
        <v>2.5248569999999999</v>
      </c>
      <c r="T1019">
        <v>-0.26405719999999999</v>
      </c>
      <c r="U1019">
        <v>-1.782715</v>
      </c>
      <c r="V1019">
        <v>0.16548650000000001</v>
      </c>
      <c r="W1019">
        <v>-1.1034510000000001E-2</v>
      </c>
      <c r="X1019">
        <v>0.98615030000000004</v>
      </c>
      <c r="Y1019">
        <v>0.39966950000000001</v>
      </c>
      <c r="Z1019">
        <v>-2.3688E-4</v>
      </c>
      <c r="AA1019">
        <v>0.91665929999999995</v>
      </c>
      <c r="AB1019">
        <v>24</v>
      </c>
      <c r="AC1019">
        <v>10.4397999999999</v>
      </c>
      <c r="AD1019">
        <v>-1.106362489231</v>
      </c>
      <c r="AE1019">
        <v>-7.4379999999999802</v>
      </c>
      <c r="AF1019">
        <v>5.1438486550781297</v>
      </c>
      <c r="AG1019">
        <v>-1.106362489231</v>
      </c>
      <c r="AH1019">
        <v>11.637572729974</v>
      </c>
      <c r="AI1019">
        <v>94.969538244991099</v>
      </c>
      <c r="AJ1019">
        <v>66.1544003728159</v>
      </c>
      <c r="AK1019">
        <v>12.7716998081446</v>
      </c>
      <c r="AL1019">
        <v>90.632243696632997</v>
      </c>
      <c r="AM1019">
        <v>80.473917018480407</v>
      </c>
      <c r="AN1019">
        <v>0.99999997814163899</v>
      </c>
    </row>
    <row r="1020" spans="1:40" x14ac:dyDescent="0.25">
      <c r="A1020" t="str">
        <f>"20190312161243599"</f>
        <v>20190312161243599</v>
      </c>
      <c r="B1020" t="str">
        <f>"1552378363596542"</f>
        <v>1552378363596542</v>
      </c>
      <c r="C1020" t="s">
        <v>40</v>
      </c>
      <c r="D1020">
        <v>5.9052870000000004</v>
      </c>
      <c r="E1020">
        <v>0.59504099999999904</v>
      </c>
      <c r="F1020" t="s">
        <v>53</v>
      </c>
      <c r="G1020">
        <v>-197.66149999999999</v>
      </c>
      <c r="H1020" s="1">
        <v>-6.0563209999999999E-6</v>
      </c>
      <c r="I1020">
        <v>358.32310000000001</v>
      </c>
      <c r="J1020">
        <v>-209.14189999999999</v>
      </c>
      <c r="K1020">
        <v>1.106284</v>
      </c>
      <c r="L1020">
        <v>366.46100000000001</v>
      </c>
      <c r="M1020">
        <v>0.97869669999999998</v>
      </c>
      <c r="N1020">
        <v>0</v>
      </c>
      <c r="O1020">
        <v>-0.2050247</v>
      </c>
      <c r="P1020">
        <v>0.93057460000000003</v>
      </c>
      <c r="Q1020">
        <v>-2.0974039999999999E-2</v>
      </c>
      <c r="R1020">
        <v>-0.36550189999999999</v>
      </c>
      <c r="S1020">
        <v>2.525604</v>
      </c>
      <c r="T1020">
        <v>-0.24016580000000001</v>
      </c>
      <c r="U1020">
        <v>-1.7743230000000001</v>
      </c>
      <c r="V1020">
        <v>0.16683970000000001</v>
      </c>
      <c r="W1020">
        <v>-1.1713589999999999E-2</v>
      </c>
      <c r="X1020">
        <v>0.98591450000000003</v>
      </c>
      <c r="Y1020">
        <v>0.39430749999999998</v>
      </c>
      <c r="Z1020">
        <v>3.0492250000000001E-4</v>
      </c>
      <c r="AA1020">
        <v>0.91897850000000003</v>
      </c>
      <c r="AB1020">
        <v>24</v>
      </c>
      <c r="AC1020">
        <v>11.480399999999999</v>
      </c>
      <c r="AD1020">
        <v>-1.1062900563210001</v>
      </c>
      <c r="AE1020">
        <v>-8.1379000000000001</v>
      </c>
      <c r="AF1020">
        <v>5.5766344253793703</v>
      </c>
      <c r="AG1020">
        <v>-1.1062900563210001</v>
      </c>
      <c r="AH1020">
        <v>12.825790437639199</v>
      </c>
      <c r="AI1020">
        <v>94.522766192066896</v>
      </c>
      <c r="AJ1020">
        <v>66.500668646601</v>
      </c>
      <c r="AK1020">
        <v>14.029384503722101</v>
      </c>
      <c r="AL1020">
        <v>90.6711545866482</v>
      </c>
      <c r="AM1020">
        <v>80.395212180119699</v>
      </c>
      <c r="AN1020">
        <v>1.00000004749851</v>
      </c>
    </row>
    <row r="1021" spans="1:40" x14ac:dyDescent="0.25">
      <c r="A1021" t="str">
        <f>"20190312161243613"</f>
        <v>20190312161243613</v>
      </c>
      <c r="B1021" t="str">
        <f>"1552378363606303"</f>
        <v>1552378363606303</v>
      </c>
      <c r="C1021" t="s">
        <v>40</v>
      </c>
      <c r="D1021">
        <v>5.9033769999999999</v>
      </c>
      <c r="E1021">
        <v>0.59527640000000004</v>
      </c>
      <c r="F1021" t="s">
        <v>53</v>
      </c>
      <c r="G1021">
        <v>-198.1164</v>
      </c>
      <c r="H1021" s="1">
        <v>-6.215599E-6</v>
      </c>
      <c r="I1021">
        <v>358.58659999999998</v>
      </c>
      <c r="J1021">
        <v>-209.00659999999999</v>
      </c>
      <c r="K1021">
        <v>1.106223</v>
      </c>
      <c r="L1021">
        <v>366.42919999999998</v>
      </c>
      <c r="M1021">
        <v>0.97802710000000004</v>
      </c>
      <c r="N1021">
        <v>0</v>
      </c>
      <c r="O1021">
        <v>-0.20819509999999999</v>
      </c>
      <c r="P1021">
        <v>0.92914620000000003</v>
      </c>
      <c r="Q1021">
        <v>-2.0995119999999999E-2</v>
      </c>
      <c r="R1021">
        <v>-0.369116</v>
      </c>
      <c r="S1021">
        <v>2.5131380000000001</v>
      </c>
      <c r="T1021">
        <v>-0.25216480000000002</v>
      </c>
      <c r="U1021">
        <v>-1.794861</v>
      </c>
      <c r="V1021">
        <v>0.16747519999999999</v>
      </c>
      <c r="W1021">
        <v>-1.1757760000000001E-2</v>
      </c>
      <c r="X1021">
        <v>0.98580619999999997</v>
      </c>
      <c r="Y1021">
        <v>0.39839859999999999</v>
      </c>
      <c r="Z1021">
        <v>4.0438209999999999E-4</v>
      </c>
      <c r="AA1021">
        <v>0.91721229999999998</v>
      </c>
      <c r="AB1021">
        <v>24</v>
      </c>
      <c r="AC1021">
        <v>10.890199999999901</v>
      </c>
      <c r="AD1021">
        <v>-1.1062292155989999</v>
      </c>
      <c r="AE1021">
        <v>-7.8426</v>
      </c>
      <c r="AF1021">
        <v>5.3668412711004301</v>
      </c>
      <c r="AG1021">
        <v>-1.1062292155989999</v>
      </c>
      <c r="AH1021">
        <v>12.201519585596101</v>
      </c>
      <c r="AI1021">
        <v>94.744105324332097</v>
      </c>
      <c r="AJ1021">
        <v>66.257694942706095</v>
      </c>
      <c r="AK1021">
        <v>13.375492832203101</v>
      </c>
      <c r="AL1021">
        <v>90.673685530057099</v>
      </c>
      <c r="AM1021">
        <v>80.358273236128397</v>
      </c>
      <c r="AN1021">
        <v>1.00000002574684</v>
      </c>
    </row>
    <row r="1022" spans="1:40" x14ac:dyDescent="0.25">
      <c r="A1022" t="str">
        <f>"20190312161243626"</f>
        <v>20190312161243626</v>
      </c>
      <c r="B1022" t="str">
        <f>"1552378363617039"</f>
        <v>1552378363617039</v>
      </c>
      <c r="C1022" t="s">
        <v>40</v>
      </c>
      <c r="D1022">
        <v>6.0327039999999998</v>
      </c>
      <c r="E1022">
        <v>0.59402440000000001</v>
      </c>
      <c r="F1022" t="s">
        <v>53</v>
      </c>
      <c r="G1022">
        <v>-198.28870000000001</v>
      </c>
      <c r="H1022" s="1">
        <v>-6.2817380000000001E-6</v>
      </c>
      <c r="I1022">
        <v>358.7038</v>
      </c>
      <c r="J1022">
        <v>-208.85380000000001</v>
      </c>
      <c r="K1022">
        <v>1.106158</v>
      </c>
      <c r="L1022">
        <v>366.39260000000002</v>
      </c>
      <c r="M1022">
        <v>0.97724509999999998</v>
      </c>
      <c r="N1022">
        <v>0</v>
      </c>
      <c r="O1022">
        <v>-0.21183479999999999</v>
      </c>
      <c r="P1022">
        <v>0.92744990000000005</v>
      </c>
      <c r="Q1022">
        <v>-2.1297779999999999E-2</v>
      </c>
      <c r="R1022">
        <v>-0.37334089999999998</v>
      </c>
      <c r="S1022">
        <v>2.5054780000000001</v>
      </c>
      <c r="T1022">
        <v>-0.25859919999999997</v>
      </c>
      <c r="U1022">
        <v>-1.805939</v>
      </c>
      <c r="V1022">
        <v>0.168288299999999</v>
      </c>
      <c r="W1022">
        <v>-1.208858E-2</v>
      </c>
      <c r="X1022">
        <v>0.98566370000000003</v>
      </c>
      <c r="Y1022">
        <v>0.39896160000000003</v>
      </c>
      <c r="Z1022">
        <v>7.0632249999999996E-4</v>
      </c>
      <c r="AA1022">
        <v>0.91696739999999999</v>
      </c>
      <c r="AB1022">
        <v>24</v>
      </c>
      <c r="AC1022">
        <v>10.565099999999999</v>
      </c>
      <c r="AD1022">
        <v>-1.106164281738</v>
      </c>
      <c r="AE1022">
        <v>-7.6888000000000103</v>
      </c>
      <c r="AF1022">
        <v>5.2385556003784499</v>
      </c>
      <c r="AG1022">
        <v>-1.106164281738</v>
      </c>
      <c r="AH1022">
        <v>11.8690933706772</v>
      </c>
      <c r="AI1022">
        <v>94.873355656897104</v>
      </c>
      <c r="AJ1022">
        <v>66.185204146700201</v>
      </c>
      <c r="AK1022">
        <v>13.020808025552901</v>
      </c>
      <c r="AL1022">
        <v>90.692641479465195</v>
      </c>
      <c r="AM1022">
        <v>80.3109731816688</v>
      </c>
      <c r="AN1022">
        <v>1.00000000759049</v>
      </c>
    </row>
    <row r="1023" spans="1:40" x14ac:dyDescent="0.25">
      <c r="A1023" t="str">
        <f>"20190312161243643"</f>
        <v>20190312161243643</v>
      </c>
      <c r="B1023" t="str">
        <f>"1552378363636559"</f>
        <v>1552378363636559</v>
      </c>
      <c r="C1023" t="s">
        <v>40</v>
      </c>
      <c r="D1023">
        <v>6.0190570000000001</v>
      </c>
      <c r="E1023">
        <v>0.59393390000000001</v>
      </c>
      <c r="F1023" t="s">
        <v>53</v>
      </c>
      <c r="G1023">
        <v>-197.29580000000001</v>
      </c>
      <c r="H1023" s="1">
        <v>-5.9012859999999998E-6</v>
      </c>
      <c r="I1023">
        <v>358.03050000000002</v>
      </c>
      <c r="J1023">
        <v>-208.68209999999999</v>
      </c>
      <c r="K1023">
        <v>1.1060749999999999</v>
      </c>
      <c r="L1023">
        <v>366.35059999999999</v>
      </c>
      <c r="M1023">
        <v>0.97632940000000001</v>
      </c>
      <c r="N1023">
        <v>0</v>
      </c>
      <c r="O1023">
        <v>-0.2160154</v>
      </c>
      <c r="P1023">
        <v>0.9252901</v>
      </c>
      <c r="Q1023">
        <v>-2.1946799999999999E-2</v>
      </c>
      <c r="R1023">
        <v>-0.37862499999999999</v>
      </c>
      <c r="S1023">
        <v>2.500839</v>
      </c>
      <c r="T1023">
        <v>-0.23934510000000001</v>
      </c>
      <c r="U1023">
        <v>-1.809326</v>
      </c>
      <c r="V1023">
        <v>0.16968659999999999</v>
      </c>
      <c r="W1023">
        <v>-1.2775170000000001E-2</v>
      </c>
      <c r="X1023">
        <v>0.98541529999999999</v>
      </c>
      <c r="Y1023">
        <v>0.39676810000000001</v>
      </c>
      <c r="Z1023">
        <v>1.0869950000000001E-3</v>
      </c>
      <c r="AA1023">
        <v>0.91791829999999996</v>
      </c>
      <c r="AB1023">
        <v>24</v>
      </c>
      <c r="AC1023">
        <v>11.386299999999901</v>
      </c>
      <c r="AD1023">
        <v>-1.106080901286</v>
      </c>
      <c r="AE1023">
        <v>-8.3200999999999592</v>
      </c>
      <c r="AF1023">
        <v>5.6292471207242096</v>
      </c>
      <c r="AG1023">
        <v>-1.106080901286</v>
      </c>
      <c r="AH1023">
        <v>12.8358495382034</v>
      </c>
      <c r="AI1023">
        <v>94.512188072682093</v>
      </c>
      <c r="AJ1023">
        <v>66.319826956880704</v>
      </c>
      <c r="AK1023">
        <v>14.0595473424207</v>
      </c>
      <c r="AL1023">
        <v>90.731983212830002</v>
      </c>
      <c r="AM1023">
        <v>80.229597334637106</v>
      </c>
      <c r="AN1023">
        <v>1.0000000303310801</v>
      </c>
    </row>
    <row r="1024" spans="1:40" x14ac:dyDescent="0.25">
      <c r="A1024" t="str">
        <f>"20190312161243656"</f>
        <v>20190312161243656</v>
      </c>
      <c r="B1024" t="str">
        <f>"1552378363646318"</f>
        <v>1552378363646318</v>
      </c>
      <c r="C1024" t="s">
        <v>40</v>
      </c>
      <c r="D1024">
        <v>5.9450849999999997</v>
      </c>
      <c r="E1024">
        <v>0.59339779999999998</v>
      </c>
      <c r="F1024" t="s">
        <v>53</v>
      </c>
      <c r="G1024">
        <v>-196.8965</v>
      </c>
      <c r="H1024" s="1">
        <v>-5.7368849999999999E-6</v>
      </c>
      <c r="I1024">
        <v>357.72570000000002</v>
      </c>
      <c r="J1024">
        <v>-208.54900000000001</v>
      </c>
      <c r="K1024">
        <v>1.1060160000000001</v>
      </c>
      <c r="L1024">
        <v>366.31740000000002</v>
      </c>
      <c r="M1024">
        <v>0.97559430000000003</v>
      </c>
      <c r="N1024">
        <v>0</v>
      </c>
      <c r="O1024">
        <v>-0.21931149999999999</v>
      </c>
      <c r="P1024">
        <v>0.92373559999999999</v>
      </c>
      <c r="Q1024">
        <v>-2.226473E-2</v>
      </c>
      <c r="R1024">
        <v>-0.38238339999999998</v>
      </c>
      <c r="S1024">
        <v>2.4908139999999999</v>
      </c>
      <c r="T1024">
        <v>-0.23376420000000001</v>
      </c>
      <c r="U1024">
        <v>-1.8228150000000001</v>
      </c>
      <c r="V1024">
        <v>0.17036129999999999</v>
      </c>
      <c r="W1024">
        <v>-1.3118629999999999E-2</v>
      </c>
      <c r="X1024">
        <v>0.98529429999999996</v>
      </c>
      <c r="Y1024">
        <v>0.39869250000000001</v>
      </c>
      <c r="Z1024">
        <v>1.2418660000000001E-3</v>
      </c>
      <c r="AA1024">
        <v>0.9170838</v>
      </c>
      <c r="AB1024">
        <v>24</v>
      </c>
      <c r="AC1024">
        <v>11.6525</v>
      </c>
      <c r="AD1024">
        <v>-1.1060217368849901</v>
      </c>
      <c r="AE1024">
        <v>-8.5916999999999994</v>
      </c>
      <c r="AF1024">
        <v>5.7930207527744297</v>
      </c>
      <c r="AG1024">
        <v>-1.1060217368849901</v>
      </c>
      <c r="AH1024">
        <v>13.176253661267101</v>
      </c>
      <c r="AI1024">
        <v>94.394074053960495</v>
      </c>
      <c r="AJ1024">
        <v>66.267013998494306</v>
      </c>
      <c r="AK1024">
        <v>14.4359285835928</v>
      </c>
      <c r="AL1024">
        <v>90.751663719906205</v>
      </c>
      <c r="AM1024">
        <v>80.190320690160107</v>
      </c>
      <c r="AN1024">
        <v>0.99999996430162696</v>
      </c>
    </row>
    <row r="1025" spans="1:40" x14ac:dyDescent="0.25">
      <c r="A1025" t="str">
        <f>"20190312161243669"</f>
        <v>20190312161243669</v>
      </c>
      <c r="B1025" t="str">
        <f>"1552378363666815"</f>
        <v>1552378363666815</v>
      </c>
      <c r="C1025" t="s">
        <v>40</v>
      </c>
      <c r="D1025">
        <v>5.9385859999999999</v>
      </c>
      <c r="E1025">
        <v>0.59236659999999997</v>
      </c>
      <c r="F1025" t="s">
        <v>53</v>
      </c>
      <c r="G1025">
        <v>-196.09450000000001</v>
      </c>
      <c r="H1025" s="1">
        <v>-5.4180789999999999E-6</v>
      </c>
      <c r="I1025">
        <v>357.14760000000001</v>
      </c>
      <c r="J1025">
        <v>-208.41290000000001</v>
      </c>
      <c r="K1025">
        <v>1.1059479999999999</v>
      </c>
      <c r="L1025">
        <v>366.28309999999999</v>
      </c>
      <c r="M1025">
        <v>0.9748213</v>
      </c>
      <c r="N1025">
        <v>0</v>
      </c>
      <c r="O1025">
        <v>-0.22272239999999999</v>
      </c>
      <c r="P1025">
        <v>0.92205159999999997</v>
      </c>
      <c r="Q1025">
        <v>-2.2682170000000001E-2</v>
      </c>
      <c r="R1025">
        <v>-0.38640269999999999</v>
      </c>
      <c r="S1025">
        <v>2.485001</v>
      </c>
      <c r="T1025">
        <v>-0.22067929999999999</v>
      </c>
      <c r="U1025">
        <v>-1.82962</v>
      </c>
      <c r="V1025">
        <v>0.17120189999999999</v>
      </c>
      <c r="W1025">
        <v>-1.356475E-2</v>
      </c>
      <c r="X1025">
        <v>0.98514259999999998</v>
      </c>
      <c r="Y1025">
        <v>0.39820139999999998</v>
      </c>
      <c r="Z1025">
        <v>1.4473400000000001E-3</v>
      </c>
      <c r="AA1025">
        <v>0.91729689999999997</v>
      </c>
      <c r="AB1025">
        <v>24</v>
      </c>
      <c r="AC1025">
        <v>12.318399999999899</v>
      </c>
      <c r="AD1025">
        <v>-1.1059534180789901</v>
      </c>
      <c r="AE1025">
        <v>-9.1354999999999809</v>
      </c>
      <c r="AF1025">
        <v>6.1303801146540904</v>
      </c>
      <c r="AG1025">
        <v>-1.1059534180789901</v>
      </c>
      <c r="AH1025">
        <v>13.9710938502314</v>
      </c>
      <c r="AI1025">
        <v>94.1460466700278</v>
      </c>
      <c r="AJ1025">
        <v>66.308601207356205</v>
      </c>
      <c r="AK1025">
        <v>15.296932917584501</v>
      </c>
      <c r="AL1025">
        <v>90.777226747928395</v>
      </c>
      <c r="AM1025">
        <v>80.141376663528902</v>
      </c>
      <c r="AN1025">
        <v>1.00000001767046</v>
      </c>
    </row>
    <row r="1026" spans="1:40" x14ac:dyDescent="0.25">
      <c r="A1026" t="str">
        <f>"20190312161243683"</f>
        <v>20190312161243683</v>
      </c>
      <c r="B1026" t="str">
        <f>"1552378363676575"</f>
        <v>1552378363676575</v>
      </c>
      <c r="C1026" t="s">
        <v>40</v>
      </c>
      <c r="D1026">
        <v>5.9516589999999896</v>
      </c>
      <c r="E1026">
        <v>0.59189559999999997</v>
      </c>
      <c r="F1026" t="s">
        <v>53</v>
      </c>
      <c r="G1026">
        <v>-194.95419999999999</v>
      </c>
      <c r="H1026" s="1">
        <v>-4.8635969999999996E-6</v>
      </c>
      <c r="I1026">
        <v>356.33260000000001</v>
      </c>
      <c r="J1026">
        <v>-208.2671</v>
      </c>
      <c r="K1026">
        <v>1.1058730000000001</v>
      </c>
      <c r="L1026">
        <v>366.24549999999999</v>
      </c>
      <c r="M1026">
        <v>0.97395980000000004</v>
      </c>
      <c r="N1026">
        <v>0</v>
      </c>
      <c r="O1026">
        <v>-0.22645850000000001</v>
      </c>
      <c r="P1026">
        <v>0.9203228</v>
      </c>
      <c r="Q1026">
        <v>-2.3043600000000001E-2</v>
      </c>
      <c r="R1026">
        <v>-0.39048080000000002</v>
      </c>
      <c r="S1026">
        <v>2.4801790000000001</v>
      </c>
      <c r="T1026">
        <v>-0.20380619999999999</v>
      </c>
      <c r="U1026">
        <v>-1.8336790000000001</v>
      </c>
      <c r="V1026">
        <v>0.17178199999999999</v>
      </c>
      <c r="W1026">
        <v>-1.395394E-2</v>
      </c>
      <c r="X1026">
        <v>0.98503609999999997</v>
      </c>
      <c r="Y1026">
        <v>0.39658139999999997</v>
      </c>
      <c r="Z1026">
        <v>1.655169E-3</v>
      </c>
      <c r="AA1026">
        <v>0.91799810000000004</v>
      </c>
      <c r="AB1026">
        <v>24</v>
      </c>
      <c r="AC1026">
        <v>13.312900000000001</v>
      </c>
      <c r="AD1026">
        <v>-1.1058778635969999</v>
      </c>
      <c r="AE1026">
        <v>-9.9128999999999792</v>
      </c>
      <c r="AF1026">
        <v>6.6109945349297803</v>
      </c>
      <c r="AG1026">
        <v>-1.1058778635969999</v>
      </c>
      <c r="AH1026">
        <v>15.1447648744321</v>
      </c>
      <c r="AI1026">
        <v>93.828656363381</v>
      </c>
      <c r="AJ1026">
        <v>66.417762660505701</v>
      </c>
      <c r="AK1026">
        <v>16.561766744278799</v>
      </c>
      <c r="AL1026">
        <v>90.7995278628145</v>
      </c>
      <c r="AM1026">
        <v>80.107582124808303</v>
      </c>
      <c r="AN1026">
        <v>0.99999994313436502</v>
      </c>
    </row>
    <row r="1027" spans="1:40" x14ac:dyDescent="0.25">
      <c r="A1027" t="str">
        <f>"20190312161243696"</f>
        <v>20190312161243696</v>
      </c>
      <c r="B1027" t="str">
        <f>"1552378363686335"</f>
        <v>1552378363686335</v>
      </c>
      <c r="C1027" t="s">
        <v>40</v>
      </c>
      <c r="D1027">
        <v>5.9983300000000002</v>
      </c>
      <c r="E1027">
        <v>0.59141460000000001</v>
      </c>
      <c r="F1027" t="s">
        <v>53</v>
      </c>
      <c r="G1027">
        <v>-194.36099999999999</v>
      </c>
      <c r="H1027" s="1">
        <v>-4.5277459999999999E-6</v>
      </c>
      <c r="I1027">
        <v>355.89400000000001</v>
      </c>
      <c r="J1027">
        <v>-208.13419999999999</v>
      </c>
      <c r="K1027">
        <v>1.1058049999999999</v>
      </c>
      <c r="L1027">
        <v>366.21069999999997</v>
      </c>
      <c r="M1027">
        <v>0.97314990000000001</v>
      </c>
      <c r="N1027">
        <v>0</v>
      </c>
      <c r="O1027">
        <v>-0.22991400000000001</v>
      </c>
      <c r="P1027">
        <v>0.91869069999999997</v>
      </c>
      <c r="Q1027">
        <v>-2.3483130000000001E-2</v>
      </c>
      <c r="R1027">
        <v>-0.3942793</v>
      </c>
      <c r="S1027">
        <v>2.4735719999999999</v>
      </c>
      <c r="T1027">
        <v>-0.19670889999999999</v>
      </c>
      <c r="U1027">
        <v>-1.841278</v>
      </c>
      <c r="V1027">
        <v>0.1723509</v>
      </c>
      <c r="W1027">
        <v>-1.441889E-2</v>
      </c>
      <c r="X1027">
        <v>0.98493010000000003</v>
      </c>
      <c r="Y1027">
        <v>0.39634330000000001</v>
      </c>
      <c r="Z1027">
        <v>1.837322E-3</v>
      </c>
      <c r="AA1027">
        <v>0.91810049999999999</v>
      </c>
      <c r="AB1027">
        <v>24</v>
      </c>
      <c r="AC1027">
        <v>13.773199999999999</v>
      </c>
      <c r="AD1027">
        <v>-1.1058095277459901</v>
      </c>
      <c r="AE1027">
        <v>-10.3166999999999</v>
      </c>
      <c r="AF1027">
        <v>6.8451870094985399</v>
      </c>
      <c r="AG1027">
        <v>-1.1058095277459901</v>
      </c>
      <c r="AH1027">
        <v>15.711403102125299</v>
      </c>
      <c r="AI1027">
        <v>93.691865126276497</v>
      </c>
      <c r="AJ1027">
        <v>66.458074638669999</v>
      </c>
      <c r="AK1027">
        <v>17.173455894028301</v>
      </c>
      <c r="AL1027">
        <v>90.826170155236895</v>
      </c>
      <c r="AM1027">
        <v>80.074424341985903</v>
      </c>
      <c r="AN1027">
        <v>1.00000001950282</v>
      </c>
    </row>
    <row r="1028" spans="1:40" x14ac:dyDescent="0.25">
      <c r="A1028" t="str">
        <f>"20190312161243711"</f>
        <v>20190312161243711</v>
      </c>
      <c r="B1028" t="str">
        <f>"1552378363706831"</f>
        <v>1552378363706831</v>
      </c>
      <c r="C1028" t="s">
        <v>40</v>
      </c>
      <c r="D1028">
        <v>6.0023710000000001</v>
      </c>
      <c r="E1028">
        <v>0.59064289999999997</v>
      </c>
      <c r="F1028" t="s">
        <v>53</v>
      </c>
      <c r="G1028">
        <v>-193.91290000000001</v>
      </c>
      <c r="H1028" s="1">
        <v>-4.2704270000000003E-6</v>
      </c>
      <c r="I1028">
        <v>355.55489999999998</v>
      </c>
      <c r="J1028">
        <v>-207.98249999999999</v>
      </c>
      <c r="K1028">
        <v>1.1057250000000001</v>
      </c>
      <c r="L1028">
        <v>366.17039999999997</v>
      </c>
      <c r="M1028">
        <v>0.97219840000000002</v>
      </c>
      <c r="N1028">
        <v>0</v>
      </c>
      <c r="O1028">
        <v>-0.23390369999999999</v>
      </c>
      <c r="P1028">
        <v>0.91644809999999999</v>
      </c>
      <c r="Q1028">
        <v>-2.3960539999999999E-2</v>
      </c>
      <c r="R1028">
        <v>-0.39943580000000001</v>
      </c>
      <c r="S1028">
        <v>2.4672239999999999</v>
      </c>
      <c r="T1028">
        <v>-0.1918453</v>
      </c>
      <c r="U1028">
        <v>-1.8486629999999999</v>
      </c>
      <c r="V1028">
        <v>0.173841</v>
      </c>
      <c r="W1028">
        <v>-1.493513E-2</v>
      </c>
      <c r="X1028">
        <v>0.98466050000000005</v>
      </c>
      <c r="Y1028">
        <v>0.39549519999999999</v>
      </c>
      <c r="Z1028">
        <v>2.081739E-3</v>
      </c>
      <c r="AA1028">
        <v>0.91846570000000005</v>
      </c>
      <c r="AB1028">
        <v>24</v>
      </c>
      <c r="AC1028">
        <v>14.0695999999999</v>
      </c>
      <c r="AD1028">
        <v>-1.1057292704269901</v>
      </c>
      <c r="AE1028">
        <v>-10.6154999999999</v>
      </c>
      <c r="AF1028">
        <v>7.00230017698805</v>
      </c>
      <c r="AG1028">
        <v>-1.1057292704269901</v>
      </c>
      <c r="AH1028">
        <v>16.099048515546801</v>
      </c>
      <c r="AI1028">
        <v>93.603907949110507</v>
      </c>
      <c r="AJ1028">
        <v>66.493311836416396</v>
      </c>
      <c r="AK1028">
        <v>17.590742113226899</v>
      </c>
      <c r="AL1028">
        <v>90.855751709115907</v>
      </c>
      <c r="AM1028">
        <v>79.987653494258197</v>
      </c>
      <c r="AN1028">
        <v>1.00000002582468</v>
      </c>
    </row>
    <row r="1029" spans="1:40" x14ac:dyDescent="0.25">
      <c r="A1029" t="str">
        <f>"20190312161243727"</f>
        <v>20190312161243727</v>
      </c>
      <c r="B1029" t="str">
        <f>"1552378363716592"</f>
        <v>1552378363716592</v>
      </c>
      <c r="C1029" t="s">
        <v>40</v>
      </c>
      <c r="D1029">
        <v>6.364166</v>
      </c>
      <c r="E1029">
        <v>0.59066249999999998</v>
      </c>
      <c r="F1029" t="s">
        <v>53</v>
      </c>
      <c r="G1029">
        <v>-193.5291</v>
      </c>
      <c r="H1029" s="1">
        <v>-4.0477099999999899E-6</v>
      </c>
      <c r="I1029">
        <v>355.2595</v>
      </c>
      <c r="J1029">
        <v>-207.81389999999999</v>
      </c>
      <c r="K1029">
        <v>1.1056360000000001</v>
      </c>
      <c r="L1029">
        <v>366.12470000000002</v>
      </c>
      <c r="M1029">
        <v>0.97109829999999997</v>
      </c>
      <c r="N1029">
        <v>0</v>
      </c>
      <c r="O1029">
        <v>-0.2384299</v>
      </c>
      <c r="P1029">
        <v>0.91423889999999997</v>
      </c>
      <c r="Q1029">
        <v>-2.4280360000000001E-2</v>
      </c>
      <c r="R1029">
        <v>-0.40444839999999999</v>
      </c>
      <c r="S1029">
        <v>2.459381</v>
      </c>
      <c r="T1029">
        <v>-0.1881497</v>
      </c>
      <c r="U1029">
        <v>-1.856598</v>
      </c>
      <c r="V1029">
        <v>0.17464150000000001</v>
      </c>
      <c r="W1029">
        <v>-1.528854E-2</v>
      </c>
      <c r="X1029">
        <v>0.98451339999999998</v>
      </c>
      <c r="Y1029">
        <v>0.3945322</v>
      </c>
      <c r="Z1029">
        <v>2.3650239999999999E-3</v>
      </c>
      <c r="AA1029">
        <v>0.91887909999999995</v>
      </c>
      <c r="AB1029">
        <v>24</v>
      </c>
      <c r="AC1029">
        <v>14.284799999999899</v>
      </c>
      <c r="AD1029">
        <v>-1.1056400477099999</v>
      </c>
      <c r="AE1029">
        <v>-10.8652</v>
      </c>
      <c r="AF1029">
        <v>7.1186637677918299</v>
      </c>
      <c r="AG1029">
        <v>-1.1056400477099999</v>
      </c>
      <c r="AH1029">
        <v>16.4012705680816</v>
      </c>
      <c r="AI1029">
        <v>93.538571706871807</v>
      </c>
      <c r="AJ1029">
        <v>66.537650388077097</v>
      </c>
      <c r="AK1029">
        <v>17.9136676870313</v>
      </c>
      <c r="AL1029">
        <v>90.876002933093801</v>
      </c>
      <c r="AM1029">
        <v>79.9410159495242</v>
      </c>
      <c r="AN1029">
        <v>1.0000000138785701</v>
      </c>
    </row>
    <row r="1030" spans="1:40" x14ac:dyDescent="0.25">
      <c r="A1030" t="str">
        <f>"20190312161243742"</f>
        <v>20190312161243742</v>
      </c>
      <c r="B1030" t="str">
        <f>"1552378363737086"</f>
        <v>1552378363737086</v>
      </c>
      <c r="C1030" t="s">
        <v>40</v>
      </c>
      <c r="D1030">
        <v>5.3379969999999997</v>
      </c>
      <c r="E1030">
        <v>0.62644679999999997</v>
      </c>
      <c r="F1030" t="s">
        <v>53</v>
      </c>
      <c r="G1030">
        <v>-193.05500000000001</v>
      </c>
      <c r="H1030" s="1">
        <v>-3.7533180000000002E-6</v>
      </c>
      <c r="I1030">
        <v>354.85320000000002</v>
      </c>
      <c r="J1030">
        <v>-207.65170000000001</v>
      </c>
      <c r="K1030">
        <v>1.1055539999999999</v>
      </c>
      <c r="L1030">
        <v>366.0797</v>
      </c>
      <c r="M1030">
        <v>0.96999579999999996</v>
      </c>
      <c r="N1030">
        <v>0</v>
      </c>
      <c r="O1030">
        <v>-0.24287549999999999</v>
      </c>
      <c r="P1030">
        <v>0.91218860000000002</v>
      </c>
      <c r="Q1030">
        <v>-2.444381E-2</v>
      </c>
      <c r="R1030">
        <v>-0.4090414</v>
      </c>
      <c r="S1030">
        <v>2.4491269999999998</v>
      </c>
      <c r="T1030">
        <v>-0.183472</v>
      </c>
      <c r="U1030">
        <v>-1.870422</v>
      </c>
      <c r="V1030">
        <v>0.17508009999999999</v>
      </c>
      <c r="W1030">
        <v>-1.547896E-2</v>
      </c>
      <c r="X1030">
        <v>0.98443250000000004</v>
      </c>
      <c r="Y1030">
        <v>0.39547490000000002</v>
      </c>
      <c r="Z1030">
        <v>2.5532580000000001E-3</v>
      </c>
      <c r="AA1030">
        <v>0.91847319999999999</v>
      </c>
      <c r="AB1030">
        <v>24</v>
      </c>
      <c r="AC1030">
        <v>14.596699999999901</v>
      </c>
      <c r="AD1030">
        <v>-1.1055577533179901</v>
      </c>
      <c r="AE1030">
        <v>-11.2264999999999</v>
      </c>
      <c r="AF1030">
        <v>7.3185371998156503</v>
      </c>
      <c r="AG1030">
        <v>-1.1055577533179901</v>
      </c>
      <c r="AH1030">
        <v>16.825742299615499</v>
      </c>
      <c r="AI1030">
        <v>93.448095749565795</v>
      </c>
      <c r="AJ1030">
        <v>66.492851663071093</v>
      </c>
      <c r="AK1030">
        <v>18.381753143377701</v>
      </c>
      <c r="AL1030">
        <v>90.886914504752596</v>
      </c>
      <c r="AM1030">
        <v>79.915459645474101</v>
      </c>
      <c r="AN1030">
        <v>0.99999999333747003</v>
      </c>
    </row>
    <row r="1031" spans="1:40" x14ac:dyDescent="0.25">
      <c r="A1031" t="str">
        <f>"20190312161243757"</f>
        <v>20190312161243757</v>
      </c>
      <c r="B1031" t="str">
        <f>"1552378363746847"</f>
        <v>1552378363746847</v>
      </c>
      <c r="C1031" t="s">
        <v>40</v>
      </c>
      <c r="D1031">
        <v>5.8431230000000003</v>
      </c>
      <c r="E1031">
        <v>0.62644679999999997</v>
      </c>
      <c r="F1031" t="s">
        <v>45</v>
      </c>
      <c r="G1031">
        <v>-168.4015</v>
      </c>
      <c r="H1031">
        <v>4.5693199999999896</v>
      </c>
      <c r="I1031">
        <v>329.64080000000001</v>
      </c>
      <c r="J1031">
        <v>-207.49889999999999</v>
      </c>
      <c r="K1031">
        <v>1.105477</v>
      </c>
      <c r="L1031">
        <v>366.03660000000002</v>
      </c>
      <c r="M1031">
        <v>0.96892049999999996</v>
      </c>
      <c r="N1031">
        <v>0</v>
      </c>
      <c r="O1031">
        <v>-0.24712980000000001</v>
      </c>
      <c r="P1031">
        <v>0.90993959999999996</v>
      </c>
      <c r="Q1031">
        <v>-2.4647450000000001E-2</v>
      </c>
      <c r="R1031">
        <v>-0.41400740000000003</v>
      </c>
      <c r="S1031">
        <v>2.3259889999999999</v>
      </c>
      <c r="T1031">
        <v>0.20526539999999999</v>
      </c>
      <c r="U1031">
        <v>-2.1593930000000001</v>
      </c>
      <c r="V1031">
        <v>0.17612230000000001</v>
      </c>
      <c r="W1031">
        <v>-1.5716359999999999E-2</v>
      </c>
      <c r="X1031">
        <v>0.98424279999999997</v>
      </c>
      <c r="Y1031">
        <v>0.47767929999999997</v>
      </c>
      <c r="Z1031" s="1">
        <v>-4.8451130000000003E-5</v>
      </c>
      <c r="AA1031">
        <v>0.87853429999999999</v>
      </c>
      <c r="AB1031">
        <v>24</v>
      </c>
      <c r="AC1031">
        <v>39.097399999999901</v>
      </c>
      <c r="AD1031">
        <v>3.4638429999999998</v>
      </c>
      <c r="AE1031">
        <v>-36.395800000000001</v>
      </c>
      <c r="AF1031">
        <v>25.496823100603201</v>
      </c>
      <c r="AG1031">
        <v>3.4638429999999998</v>
      </c>
      <c r="AH1031">
        <v>46.6832631230346</v>
      </c>
      <c r="AI1031">
        <v>86.274198196831506</v>
      </c>
      <c r="AJ1031">
        <v>61.3581220391643</v>
      </c>
      <c r="AK1031">
        <v>53.304908332784798</v>
      </c>
      <c r="AL1031">
        <v>90.900518190796603</v>
      </c>
      <c r="AM1031">
        <v>79.854757847391994</v>
      </c>
      <c r="AN1031">
        <v>0.99999997894038894</v>
      </c>
    </row>
    <row r="1032" spans="1:40" x14ac:dyDescent="0.25">
      <c r="A1032" t="str">
        <f>"20190312161243772"</f>
        <v>20190312161243772</v>
      </c>
      <c r="B1032" t="str">
        <f>"1552378363766367"</f>
        <v>1552378363766367</v>
      </c>
      <c r="C1032" t="s">
        <v>40</v>
      </c>
      <c r="D1032">
        <v>5.8287959999999996</v>
      </c>
      <c r="E1032">
        <v>0.6161181</v>
      </c>
      <c r="F1032" t="s">
        <v>45</v>
      </c>
      <c r="G1032">
        <v>-168.4015</v>
      </c>
      <c r="H1032">
        <v>4.5801730000000003</v>
      </c>
      <c r="I1032">
        <v>329.34379999999999</v>
      </c>
      <c r="J1032">
        <v>-207.34630000000001</v>
      </c>
      <c r="K1032">
        <v>1.105402</v>
      </c>
      <c r="L1032">
        <v>365.99279999999999</v>
      </c>
      <c r="M1032">
        <v>0.96780909999999998</v>
      </c>
      <c r="N1032">
        <v>0</v>
      </c>
      <c r="O1032">
        <v>-0.25144699999999998</v>
      </c>
      <c r="P1032">
        <v>0.90790249999999995</v>
      </c>
      <c r="Q1032">
        <v>-2.4997129999999999E-2</v>
      </c>
      <c r="R1032">
        <v>-0.41843580000000002</v>
      </c>
      <c r="S1032">
        <v>2.31427</v>
      </c>
      <c r="T1032">
        <v>0.205676</v>
      </c>
      <c r="U1032">
        <v>-2.1719360000000001</v>
      </c>
      <c r="V1032">
        <v>0.17652519999999999</v>
      </c>
      <c r="W1032">
        <v>-1.6092559999999999E-2</v>
      </c>
      <c r="X1032">
        <v>0.9841645</v>
      </c>
      <c r="Y1032">
        <v>0.47851900000000003</v>
      </c>
      <c r="Z1032">
        <v>-3.1446289999999998E-4</v>
      </c>
      <c r="AA1032">
        <v>0.87807710000000005</v>
      </c>
      <c r="AB1032">
        <v>24</v>
      </c>
      <c r="AC1032">
        <v>38.944800000000001</v>
      </c>
      <c r="AD1032">
        <v>3.4747710000000001</v>
      </c>
      <c r="AE1032">
        <v>-36.649000000000001</v>
      </c>
      <c r="AF1032">
        <v>25.570267174800499</v>
      </c>
      <c r="AG1032">
        <v>3.4747710000000001</v>
      </c>
      <c r="AH1032">
        <v>46.712012245107303</v>
      </c>
      <c r="AI1032">
        <v>86.266708335309602</v>
      </c>
      <c r="AJ1032">
        <v>61.303598030503501</v>
      </c>
      <c r="AK1032">
        <v>53.365950613477999</v>
      </c>
      <c r="AL1032">
        <v>90.922075626304505</v>
      </c>
      <c r="AM1032">
        <v>79.831241042061393</v>
      </c>
      <c r="AN1032">
        <v>0.99999993989131997</v>
      </c>
    </row>
    <row r="1033" spans="1:40" x14ac:dyDescent="0.25">
      <c r="A1033" t="str">
        <f>"20190312161243788"</f>
        <v>20190312161243788</v>
      </c>
      <c r="B1033" t="str">
        <f>"1552378363777102"</f>
        <v>1552378363777102</v>
      </c>
      <c r="C1033" t="s">
        <v>40</v>
      </c>
      <c r="D1033">
        <v>5.8143390000000004</v>
      </c>
      <c r="E1033">
        <v>0.6161181</v>
      </c>
      <c r="F1033" t="s">
        <v>45</v>
      </c>
      <c r="G1033">
        <v>-168.40010000000001</v>
      </c>
      <c r="H1033">
        <v>0.12187729999999999</v>
      </c>
      <c r="I1033">
        <v>331.02769999999998</v>
      </c>
      <c r="J1033">
        <v>-207.1728</v>
      </c>
      <c r="K1033">
        <v>1.1053120000000001</v>
      </c>
      <c r="L1033">
        <v>365.94209999999998</v>
      </c>
      <c r="M1033">
        <v>0.96649700000000005</v>
      </c>
      <c r="N1033">
        <v>0</v>
      </c>
      <c r="O1033">
        <v>-0.2564437</v>
      </c>
      <c r="P1033">
        <v>0.90516200000000002</v>
      </c>
      <c r="Q1033">
        <v>-2.5227960000000001E-2</v>
      </c>
      <c r="R1033">
        <v>-0.42431799999999997</v>
      </c>
      <c r="S1033">
        <v>2.33609</v>
      </c>
      <c r="T1033">
        <v>-5.8993820000000002E-2</v>
      </c>
      <c r="U1033">
        <v>-2.0972900000000001</v>
      </c>
      <c r="V1033">
        <v>0.1778217</v>
      </c>
      <c r="W1033">
        <v>-1.6364630000000002E-2</v>
      </c>
      <c r="X1033">
        <v>0.98392670000000004</v>
      </c>
      <c r="Y1033">
        <v>0.45483849999999998</v>
      </c>
      <c r="Z1033">
        <v>4.4950980000000001E-4</v>
      </c>
      <c r="AA1033">
        <v>0.89057389999999903</v>
      </c>
      <c r="AB1033">
        <v>24</v>
      </c>
      <c r="AC1033">
        <v>38.772699999999901</v>
      </c>
      <c r="AD1033">
        <v>-0.98343469999999999</v>
      </c>
      <c r="AE1033">
        <v>-34.914400000000001</v>
      </c>
      <c r="AF1033">
        <v>23.794625220293</v>
      </c>
      <c r="AG1033">
        <v>-0.98343469999999999</v>
      </c>
      <c r="AH1033">
        <v>46.413577172401901</v>
      </c>
      <c r="AI1033">
        <v>91.080189554363201</v>
      </c>
      <c r="AJ1033">
        <v>62.8573651604585</v>
      </c>
      <c r="AK1033">
        <v>52.166766040477199</v>
      </c>
      <c r="AL1033">
        <v>90.937666035662104</v>
      </c>
      <c r="AM1033">
        <v>79.755708326702702</v>
      </c>
      <c r="AN1033">
        <v>1.0000000545394001</v>
      </c>
    </row>
    <row r="1034" spans="1:40" x14ac:dyDescent="0.25">
      <c r="A1034" t="str">
        <f>"20190312161243812"</f>
        <v>20190312161243812</v>
      </c>
      <c r="B1034" t="str">
        <f>"1552378363806382"</f>
        <v>1552378363806382</v>
      </c>
      <c r="C1034" t="s">
        <v>40</v>
      </c>
      <c r="D1034">
        <v>4.1892250000000004</v>
      </c>
      <c r="E1034">
        <v>0.61813879999999999</v>
      </c>
      <c r="F1034" t="s">
        <v>45</v>
      </c>
      <c r="G1034">
        <v>-168.40010000000001</v>
      </c>
      <c r="H1034">
        <v>0.1152888</v>
      </c>
      <c r="I1034">
        <v>330.66629999999998</v>
      </c>
      <c r="J1034">
        <v>-206.93610000000001</v>
      </c>
      <c r="K1034">
        <v>1.1051899999999999</v>
      </c>
      <c r="L1034">
        <v>365.87090000000001</v>
      </c>
      <c r="M1034">
        <v>0.96461699999999995</v>
      </c>
      <c r="N1034">
        <v>0</v>
      </c>
      <c r="O1034">
        <v>-0.2634262</v>
      </c>
      <c r="P1034">
        <v>0.90115769999999995</v>
      </c>
      <c r="Q1034">
        <v>-2.6232459999999999E-2</v>
      </c>
      <c r="R1034">
        <v>-0.43269730000000001</v>
      </c>
      <c r="S1034">
        <v>2.322235</v>
      </c>
      <c r="T1034">
        <v>-5.9295649999999998E-2</v>
      </c>
      <c r="U1034">
        <v>-2.1127929999999999</v>
      </c>
      <c r="V1034">
        <v>0.1798256</v>
      </c>
      <c r="W1034">
        <v>-1.7428780000000001E-2</v>
      </c>
      <c r="X1034">
        <v>0.98354410000000003</v>
      </c>
      <c r="Y1034">
        <v>0.45429700000000001</v>
      </c>
      <c r="Z1034">
        <v>5.9806509999999998E-4</v>
      </c>
      <c r="AA1034">
        <v>0.89085009999999998</v>
      </c>
      <c r="AB1034">
        <v>24</v>
      </c>
      <c r="AC1034">
        <v>38.536000000000001</v>
      </c>
      <c r="AD1034">
        <v>-0.98990120000000004</v>
      </c>
      <c r="AE1034">
        <v>-35.204599999999999</v>
      </c>
      <c r="AF1034">
        <v>23.800439764620101</v>
      </c>
      <c r="AG1034">
        <v>-0.98990120000000004</v>
      </c>
      <c r="AH1034">
        <v>46.432396796255397</v>
      </c>
      <c r="AI1034">
        <v>91.086886391696694</v>
      </c>
      <c r="AJ1034">
        <v>62.861111282838102</v>
      </c>
      <c r="AK1034">
        <v>52.186284688795197</v>
      </c>
      <c r="AL1034">
        <v>90.998646096219204</v>
      </c>
      <c r="AM1034">
        <v>79.638807193224693</v>
      </c>
      <c r="AN1034">
        <v>1.0000000027162199</v>
      </c>
    </row>
    <row r="1035" spans="1:40" x14ac:dyDescent="0.25">
      <c r="A1035" t="str">
        <f>"20190312161243824"</f>
        <v>20190312161243824</v>
      </c>
      <c r="B1035" t="str">
        <f>"1552378363817118"</f>
        <v>1552378363817118</v>
      </c>
      <c r="C1035" t="s">
        <v>40</v>
      </c>
      <c r="D1035">
        <v>6.0169610000000002</v>
      </c>
      <c r="E1035">
        <v>0.61830260000000004</v>
      </c>
      <c r="F1035" t="s">
        <v>45</v>
      </c>
      <c r="G1035">
        <v>-168.40039999999999</v>
      </c>
      <c r="H1035">
        <v>1.076298</v>
      </c>
      <c r="I1035">
        <v>329.77179999999998</v>
      </c>
      <c r="J1035">
        <v>-206.79650000000001</v>
      </c>
      <c r="K1035">
        <v>1.1051120000000001</v>
      </c>
      <c r="L1035">
        <v>365.8279</v>
      </c>
      <c r="M1035">
        <v>0.96346270000000001</v>
      </c>
      <c r="N1035">
        <v>0</v>
      </c>
      <c r="O1035">
        <v>-0.26761649999999998</v>
      </c>
      <c r="P1035">
        <v>0.89877320000000005</v>
      </c>
      <c r="Q1035">
        <v>-2.6287729999999999E-2</v>
      </c>
      <c r="R1035">
        <v>-0.43762509999999999</v>
      </c>
      <c r="S1035">
        <v>2.2961580000000001</v>
      </c>
      <c r="T1035">
        <v>-1.721144E-3</v>
      </c>
      <c r="U1035">
        <v>-2.15097</v>
      </c>
      <c r="V1035">
        <v>0.18093229999999999</v>
      </c>
      <c r="W1035">
        <v>-1.7517890000000001E-2</v>
      </c>
      <c r="X1035">
        <v>0.98333950000000003</v>
      </c>
      <c r="Y1035">
        <v>0.4633989</v>
      </c>
      <c r="Z1035" s="1">
        <v>1.6909079999999999E-5</v>
      </c>
      <c r="AA1035">
        <v>0.88614979999999999</v>
      </c>
      <c r="AB1035">
        <v>24</v>
      </c>
      <c r="AC1035">
        <v>38.396099999999997</v>
      </c>
      <c r="AD1035">
        <v>-2.88140000000001E-2</v>
      </c>
      <c r="AE1035">
        <v>-36.056100000000001</v>
      </c>
      <c r="AF1035">
        <v>24.464750826777799</v>
      </c>
      <c r="AG1035">
        <v>-2.88140000000001E-2</v>
      </c>
      <c r="AH1035">
        <v>46.645226432200197</v>
      </c>
      <c r="AI1035">
        <v>90.031343633282205</v>
      </c>
      <c r="AJ1035">
        <v>62.323635587401398</v>
      </c>
      <c r="AK1035">
        <v>52.671643340360603</v>
      </c>
      <c r="AL1035">
        <v>91.003752532590596</v>
      </c>
      <c r="AM1035">
        <v>79.574313659298099</v>
      </c>
      <c r="AN1035">
        <v>0.99999997295679499</v>
      </c>
    </row>
    <row r="1036" spans="1:40" x14ac:dyDescent="0.25">
      <c r="A1036" t="str">
        <f>"20190312161243838"</f>
        <v>20190312161243838</v>
      </c>
      <c r="B1036" t="str">
        <f>"1552378363826878"</f>
        <v>1552378363826878</v>
      </c>
      <c r="C1036" t="s">
        <v>40</v>
      </c>
      <c r="D1036">
        <v>5.661054</v>
      </c>
      <c r="E1036">
        <v>0.62014259999999999</v>
      </c>
      <c r="F1036" t="s">
        <v>45</v>
      </c>
      <c r="G1036">
        <v>-168.40039999999999</v>
      </c>
      <c r="H1036">
        <v>1.200494</v>
      </c>
      <c r="I1036">
        <v>329.41860000000003</v>
      </c>
      <c r="J1036">
        <v>-206.65940000000001</v>
      </c>
      <c r="K1036">
        <v>1.1050420000000001</v>
      </c>
      <c r="L1036">
        <v>365.78500000000003</v>
      </c>
      <c r="M1036">
        <v>0.96229260000000005</v>
      </c>
      <c r="N1036">
        <v>0</v>
      </c>
      <c r="O1036">
        <v>-0.2717929</v>
      </c>
      <c r="P1036">
        <v>0.89656100000000005</v>
      </c>
      <c r="Q1036">
        <v>-2.6037250000000001E-2</v>
      </c>
      <c r="R1036">
        <v>-0.44215450000000001</v>
      </c>
      <c r="S1036">
        <v>2.28363</v>
      </c>
      <c r="T1036">
        <v>5.6732889999999998E-3</v>
      </c>
      <c r="U1036">
        <v>-2.1654659999999999</v>
      </c>
      <c r="V1036">
        <v>0.1816267</v>
      </c>
      <c r="W1036">
        <v>-1.7294750000000001E-2</v>
      </c>
      <c r="X1036">
        <v>0.98321550000000002</v>
      </c>
      <c r="Y1036">
        <v>0.46494479999999999</v>
      </c>
      <c r="Z1036" s="1">
        <v>-6.2163249999999998E-5</v>
      </c>
      <c r="AA1036">
        <v>0.88533969999999995</v>
      </c>
      <c r="AB1036">
        <v>24</v>
      </c>
      <c r="AC1036">
        <v>38.259</v>
      </c>
      <c r="AD1036">
        <v>9.5451999999999801E-2</v>
      </c>
      <c r="AE1036">
        <v>-36.366399999999999</v>
      </c>
      <c r="AF1036">
        <v>24.598007870735898</v>
      </c>
      <c r="AG1036">
        <v>9.5451999999999801E-2</v>
      </c>
      <c r="AH1036">
        <v>46.703168165253899</v>
      </c>
      <c r="AI1036">
        <v>89.896391040115901</v>
      </c>
      <c r="AJ1036">
        <v>62.224752664568399</v>
      </c>
      <c r="AK1036">
        <v>52.785007520744699</v>
      </c>
      <c r="AL1036">
        <v>90.990965545338</v>
      </c>
      <c r="AM1036">
        <v>79.533892612343294</v>
      </c>
      <c r="AN1036">
        <v>1.0000000429853499</v>
      </c>
    </row>
    <row r="1037" spans="1:40" x14ac:dyDescent="0.25">
      <c r="A1037" t="str">
        <f>"20190312161243853"</f>
        <v>20190312161243853</v>
      </c>
      <c r="B1037" t="str">
        <f>"1552378363846398"</f>
        <v>1552378363846398</v>
      </c>
      <c r="C1037" t="s">
        <v>40</v>
      </c>
      <c r="D1037">
        <v>5.9265290000000004</v>
      </c>
      <c r="E1037">
        <v>0.62097480000000005</v>
      </c>
      <c r="F1037" t="s">
        <v>45</v>
      </c>
      <c r="G1037">
        <v>-168.4006</v>
      </c>
      <c r="H1037">
        <v>1.77607</v>
      </c>
      <c r="I1037">
        <v>328.79820000000001</v>
      </c>
      <c r="J1037">
        <v>-206.51429999999999</v>
      </c>
      <c r="K1037">
        <v>1.104968</v>
      </c>
      <c r="L1037">
        <v>365.73899999999998</v>
      </c>
      <c r="M1037">
        <v>0.96101899999999996</v>
      </c>
      <c r="N1037">
        <v>0</v>
      </c>
      <c r="O1037">
        <v>-0.2762618</v>
      </c>
      <c r="P1037">
        <v>0.89413449999999906</v>
      </c>
      <c r="Q1037">
        <v>-2.5346710000000001E-2</v>
      </c>
      <c r="R1037">
        <v>-0.4470809</v>
      </c>
      <c r="S1037">
        <v>2.2666170000000001</v>
      </c>
      <c r="T1037">
        <v>3.9754989999999997E-2</v>
      </c>
      <c r="U1037">
        <v>-2.1912539999999998</v>
      </c>
      <c r="V1037">
        <v>0.18246680000000001</v>
      </c>
      <c r="W1037">
        <v>-1.6636089999999999E-2</v>
      </c>
      <c r="X1037">
        <v>0.98307129999999998</v>
      </c>
      <c r="Y1037">
        <v>0.46935250000000001</v>
      </c>
      <c r="Z1037">
        <v>-4.6307219999999999E-4</v>
      </c>
      <c r="AA1037">
        <v>0.88301070000000004</v>
      </c>
      <c r="AB1037">
        <v>24</v>
      </c>
      <c r="AC1037">
        <v>38.113700000000001</v>
      </c>
      <c r="AD1037">
        <v>0.67110199999999998</v>
      </c>
      <c r="AE1037">
        <v>-36.940800000000003</v>
      </c>
      <c r="AF1037">
        <v>24.9689818388978</v>
      </c>
      <c r="AG1037">
        <v>0.67110199999999998</v>
      </c>
      <c r="AH1037">
        <v>46.8286903342388</v>
      </c>
      <c r="AI1037">
        <v>89.275492847564493</v>
      </c>
      <c r="AJ1037">
        <v>61.9335333098606</v>
      </c>
      <c r="AK1037">
        <v>53.073785152235402</v>
      </c>
      <c r="AL1037">
        <v>90.9532216818846</v>
      </c>
      <c r="AM1037">
        <v>79.485051662070305</v>
      </c>
      <c r="AN1037">
        <v>1.0000000367382</v>
      </c>
    </row>
    <row r="1038" spans="1:40" x14ac:dyDescent="0.25">
      <c r="A1038" t="str">
        <f>"20190312161243866"</f>
        <v>20190312161243866</v>
      </c>
      <c r="B1038" t="str">
        <f>"1552378363857134"</f>
        <v>1552378363857134</v>
      </c>
      <c r="C1038" t="s">
        <v>40</v>
      </c>
      <c r="D1038">
        <v>5.77278</v>
      </c>
      <c r="E1038">
        <v>0.62327359999999998</v>
      </c>
      <c r="F1038" t="s">
        <v>45</v>
      </c>
      <c r="G1038">
        <v>-168.4007</v>
      </c>
      <c r="H1038">
        <v>2.0479850000000002</v>
      </c>
      <c r="I1038">
        <v>328.32499999999999</v>
      </c>
      <c r="J1038">
        <v>-206.3629</v>
      </c>
      <c r="K1038">
        <v>1.104887</v>
      </c>
      <c r="L1038">
        <v>365.69</v>
      </c>
      <c r="M1038">
        <v>0.95964240000000001</v>
      </c>
      <c r="N1038">
        <v>0</v>
      </c>
      <c r="O1038">
        <v>-0.2810067</v>
      </c>
      <c r="P1038">
        <v>0.89144400000000001</v>
      </c>
      <c r="Q1038">
        <v>-2.495955E-2</v>
      </c>
      <c r="R1038">
        <v>-0.45244289999999998</v>
      </c>
      <c r="S1038">
        <v>2.2516020000000001</v>
      </c>
      <c r="T1038">
        <v>5.5710080000000002E-2</v>
      </c>
      <c r="U1038">
        <v>-2.2102659999999998</v>
      </c>
      <c r="V1038">
        <v>0.18351219999999999</v>
      </c>
      <c r="W1038">
        <v>-1.6289069999999999E-2</v>
      </c>
      <c r="X1038">
        <v>0.98288249999999999</v>
      </c>
      <c r="Y1038">
        <v>0.47172029999999898</v>
      </c>
      <c r="Z1038">
        <v>-7.1406219999999997E-4</v>
      </c>
      <c r="AA1038">
        <v>0.88174799999999998</v>
      </c>
      <c r="AB1038">
        <v>24</v>
      </c>
      <c r="AC1038">
        <v>37.962200000000003</v>
      </c>
      <c r="AD1038">
        <v>0.94309799999999899</v>
      </c>
      <c r="AE1038">
        <v>-37.365000000000002</v>
      </c>
      <c r="AF1038">
        <v>25.183044195176802</v>
      </c>
      <c r="AG1038">
        <v>0.94309799999999899</v>
      </c>
      <c r="AH1038">
        <v>46.9180999971625</v>
      </c>
      <c r="AI1038">
        <v>88.9853419621233</v>
      </c>
      <c r="AJ1038">
        <v>61.775553780636699</v>
      </c>
      <c r="AK1038">
        <v>53.257706072619897</v>
      </c>
      <c r="AL1038">
        <v>90.9333362078292</v>
      </c>
      <c r="AM1038">
        <v>79.424178301806805</v>
      </c>
      <c r="AN1038">
        <v>1.0000000350782701</v>
      </c>
    </row>
    <row r="1039" spans="1:40" x14ac:dyDescent="0.25">
      <c r="A1039" t="str">
        <f>"20190312161243881"</f>
        <v>20190312161243881</v>
      </c>
      <c r="B1039" t="str">
        <f>"1552378363876654"</f>
        <v>1552378363876654</v>
      </c>
      <c r="C1039" t="s">
        <v>40</v>
      </c>
      <c r="D1039">
        <v>5.8345989999999999</v>
      </c>
      <c r="E1039">
        <v>0.62467099999999998</v>
      </c>
      <c r="F1039" t="s">
        <v>45</v>
      </c>
      <c r="G1039">
        <v>-168.4006</v>
      </c>
      <c r="H1039">
        <v>1.850349</v>
      </c>
      <c r="I1039">
        <v>327.56659999999999</v>
      </c>
      <c r="J1039">
        <v>-206.21969999999999</v>
      </c>
      <c r="K1039">
        <v>1.1048020000000001</v>
      </c>
      <c r="L1039">
        <v>365.64260000000002</v>
      </c>
      <c r="M1039">
        <v>0.95828769999999996</v>
      </c>
      <c r="N1039">
        <v>0</v>
      </c>
      <c r="O1039">
        <v>-0.28559179999999901</v>
      </c>
      <c r="P1039">
        <v>0.88907769999999997</v>
      </c>
      <c r="Q1039">
        <v>-2.494882E-2</v>
      </c>
      <c r="R1039">
        <v>-0.45707629999999999</v>
      </c>
      <c r="S1039">
        <v>2.2299500000000001</v>
      </c>
      <c r="T1039">
        <v>4.3789630000000003E-2</v>
      </c>
      <c r="U1039">
        <v>-2.2394099999999999</v>
      </c>
      <c r="V1039">
        <v>0.18392449999999999</v>
      </c>
      <c r="W1039">
        <v>-1.631198E-2</v>
      </c>
      <c r="X1039">
        <v>0.98280500000000004</v>
      </c>
      <c r="Y1039">
        <v>0.47753980000000001</v>
      </c>
      <c r="Z1039">
        <v>-5.8191600000000003E-4</v>
      </c>
      <c r="AA1039">
        <v>0.87861</v>
      </c>
      <c r="AB1039">
        <v>24</v>
      </c>
      <c r="AC1039">
        <v>37.819099999999899</v>
      </c>
      <c r="AD1039">
        <v>0.74554699999999996</v>
      </c>
      <c r="AE1039">
        <v>-38.076000000000001</v>
      </c>
      <c r="AF1039">
        <v>25.683547954693498</v>
      </c>
      <c r="AG1039">
        <v>0.74554699999999996</v>
      </c>
      <c r="AH1039">
        <v>47.109554300079097</v>
      </c>
      <c r="AI1039">
        <v>89.203928102192194</v>
      </c>
      <c r="AJ1039">
        <v>61.401326491213098</v>
      </c>
      <c r="AK1039">
        <v>53.661071385338097</v>
      </c>
      <c r="AL1039">
        <v>90.934649075131304</v>
      </c>
      <c r="AM1039">
        <v>79.400138359888302</v>
      </c>
      <c r="AN1039">
        <v>0.99999998520838496</v>
      </c>
    </row>
    <row r="1040" spans="1:40" x14ac:dyDescent="0.25">
      <c r="A1040" t="str">
        <f>"20190312161243895"</f>
        <v>20190312161243895</v>
      </c>
      <c r="B1040" t="str">
        <f>"1552378363886415"</f>
        <v>1552378363886415</v>
      </c>
      <c r="C1040" t="s">
        <v>40</v>
      </c>
      <c r="D1040">
        <v>5.8380429999999999</v>
      </c>
      <c r="E1040">
        <v>0.62508260000000004</v>
      </c>
      <c r="F1040" t="s">
        <v>45</v>
      </c>
      <c r="G1040">
        <v>-168.4008</v>
      </c>
      <c r="H1040">
        <v>2.4288479999999999</v>
      </c>
      <c r="I1040">
        <v>326.99099999999999</v>
      </c>
      <c r="J1040">
        <v>-206.07320000000001</v>
      </c>
      <c r="K1040">
        <v>1.1047070000000001</v>
      </c>
      <c r="L1040">
        <v>365.59350000000001</v>
      </c>
      <c r="M1040">
        <v>0.95685799999999999</v>
      </c>
      <c r="N1040">
        <v>0</v>
      </c>
      <c r="O1040">
        <v>-0.29034589999999999</v>
      </c>
      <c r="P1040">
        <v>0.88659069999999995</v>
      </c>
      <c r="Q1040">
        <v>-2.518989E-2</v>
      </c>
      <c r="R1040">
        <v>-0.46186909999999998</v>
      </c>
      <c r="S1040">
        <v>2.21347</v>
      </c>
      <c r="T1040">
        <v>7.7494380000000002E-2</v>
      </c>
      <c r="U1040">
        <v>-2.2622070000000001</v>
      </c>
      <c r="V1040">
        <v>0.18434610000000001</v>
      </c>
      <c r="W1040">
        <v>-1.6589409999999999E-2</v>
      </c>
      <c r="X1040">
        <v>0.98272139999999997</v>
      </c>
      <c r="Y1040">
        <v>0.48084389999999999</v>
      </c>
      <c r="Z1040">
        <v>-1.1065269999999999E-3</v>
      </c>
      <c r="AA1040">
        <v>0.87680550000000002</v>
      </c>
      <c r="AB1040">
        <v>24</v>
      </c>
      <c r="AC1040">
        <v>37.672400000000003</v>
      </c>
      <c r="AD1040">
        <v>1.324141</v>
      </c>
      <c r="AE1040">
        <v>-38.602499999999999</v>
      </c>
      <c r="AF1040">
        <v>25.9850104291151</v>
      </c>
      <c r="AG1040">
        <v>1.324141</v>
      </c>
      <c r="AH1040">
        <v>47.229635078998697</v>
      </c>
      <c r="AI1040">
        <v>88.592876370526497</v>
      </c>
      <c r="AJ1040">
        <v>61.181093447832097</v>
      </c>
      <c r="AK1040">
        <v>53.922282463602102</v>
      </c>
      <c r="AL1040">
        <v>90.950546760275898</v>
      </c>
      <c r="AM1040">
        <v>79.375510168919106</v>
      </c>
      <c r="AN1040">
        <v>1.00000002156365</v>
      </c>
    </row>
    <row r="1041" spans="1:40" x14ac:dyDescent="0.25">
      <c r="A1041" t="str">
        <f>"20190312161243908"</f>
        <v>20190312161243908</v>
      </c>
      <c r="B1041" t="str">
        <f>"1552378363897151"</f>
        <v>1552378363897151</v>
      </c>
      <c r="C1041" t="s">
        <v>40</v>
      </c>
      <c r="D1041">
        <v>6.0192030000000001</v>
      </c>
      <c r="E1041">
        <v>0.62434979999999995</v>
      </c>
      <c r="F1041" t="s">
        <v>45</v>
      </c>
      <c r="G1041">
        <v>-168.40090000000001</v>
      </c>
      <c r="H1041">
        <v>2.6462530000000002</v>
      </c>
      <c r="I1041">
        <v>326.58580000000001</v>
      </c>
      <c r="J1041">
        <v>-205.93379999999999</v>
      </c>
      <c r="K1041">
        <v>1.1046149999999999</v>
      </c>
      <c r="L1041">
        <v>365.54610000000002</v>
      </c>
      <c r="M1041">
        <v>0.95545709999999995</v>
      </c>
      <c r="N1041">
        <v>0</v>
      </c>
      <c r="O1041">
        <v>-0.29492259999999998</v>
      </c>
      <c r="P1041">
        <v>0.88419490000000001</v>
      </c>
      <c r="Q1041">
        <v>-2.5329259999999999E-2</v>
      </c>
      <c r="R1041">
        <v>-0.4664315</v>
      </c>
      <c r="S1041">
        <v>2.199738</v>
      </c>
      <c r="T1041">
        <v>9.0013380000000004E-2</v>
      </c>
      <c r="U1041">
        <v>-2.2777099999999999</v>
      </c>
      <c r="V1041">
        <v>0.1847019</v>
      </c>
      <c r="W1041">
        <v>-1.6764270000000001E-2</v>
      </c>
      <c r="X1041">
        <v>0.98265159999999996</v>
      </c>
      <c r="Y1041">
        <v>0.48234840000000001</v>
      </c>
      <c r="Z1041">
        <v>-1.40002799999999E-3</v>
      </c>
      <c r="AA1041">
        <v>0.87597839999999905</v>
      </c>
      <c r="AB1041">
        <v>24</v>
      </c>
      <c r="AC1041">
        <v>37.532899999999898</v>
      </c>
      <c r="AD1041">
        <v>1.5416379999999901</v>
      </c>
      <c r="AE1041">
        <v>-38.960299999999997</v>
      </c>
      <c r="AF1041">
        <v>26.135971081952601</v>
      </c>
      <c r="AG1041">
        <v>1.5416379999999901</v>
      </c>
      <c r="AH1041">
        <v>47.315822538205801</v>
      </c>
      <c r="AI1041">
        <v>88.366359712215996</v>
      </c>
      <c r="AJ1041">
        <v>61.084935686099598</v>
      </c>
      <c r="AK1041">
        <v>54.076359849630201</v>
      </c>
      <c r="AL1041">
        <v>90.960566914469695</v>
      </c>
      <c r="AM1041">
        <v>79.3547335455183</v>
      </c>
      <c r="AN1041">
        <v>0.99999999979740095</v>
      </c>
    </row>
    <row r="1042" spans="1:40" x14ac:dyDescent="0.25">
      <c r="A1042" t="str">
        <f>"20190312161243923"</f>
        <v>20190312161243923</v>
      </c>
      <c r="B1042" t="str">
        <f>"1552378363916671"</f>
        <v>1552378363916671</v>
      </c>
      <c r="C1042" t="s">
        <v>40</v>
      </c>
      <c r="D1042">
        <v>6.1115469999999998</v>
      </c>
      <c r="E1042">
        <v>0.62303129999999995</v>
      </c>
      <c r="F1042" t="s">
        <v>45</v>
      </c>
      <c r="G1042">
        <v>-168.40090000000001</v>
      </c>
      <c r="H1042">
        <v>2.6180850000000002</v>
      </c>
      <c r="I1042">
        <v>326.42469999999997</v>
      </c>
      <c r="J1042">
        <v>-205.78360000000001</v>
      </c>
      <c r="K1042">
        <v>1.1045199999999999</v>
      </c>
      <c r="L1042">
        <v>365.49360000000001</v>
      </c>
      <c r="M1042">
        <v>0.9538835</v>
      </c>
      <c r="N1042">
        <v>0</v>
      </c>
      <c r="O1042">
        <v>-0.29997279999999998</v>
      </c>
      <c r="P1042">
        <v>0.88136080000000006</v>
      </c>
      <c r="Q1042">
        <v>-2.5993079999999998E-2</v>
      </c>
      <c r="R1042">
        <v>-0.4717288</v>
      </c>
      <c r="S1042">
        <v>2.1908259999999999</v>
      </c>
      <c r="T1042">
        <v>8.8342790000000004E-2</v>
      </c>
      <c r="U1042">
        <v>-2.2835390000000002</v>
      </c>
      <c r="V1042">
        <v>0.18539349999999999</v>
      </c>
      <c r="W1042">
        <v>-1.747054E-2</v>
      </c>
      <c r="X1042">
        <v>0.98250910000000002</v>
      </c>
      <c r="Y1042">
        <v>0.48061389999999998</v>
      </c>
      <c r="Z1042">
        <v>-1.5552509999999999E-3</v>
      </c>
      <c r="AA1042">
        <v>0.87693099999999902</v>
      </c>
      <c r="AB1042">
        <v>24</v>
      </c>
      <c r="AC1042">
        <v>37.3827</v>
      </c>
      <c r="AD1042">
        <v>1.5135649999999901</v>
      </c>
      <c r="AE1042">
        <v>-39.068899999999999</v>
      </c>
      <c r="AF1042">
        <v>26.034584432516102</v>
      </c>
      <c r="AG1042">
        <v>1.5135649999999901</v>
      </c>
      <c r="AH1042">
        <v>47.344157412585801</v>
      </c>
      <c r="AI1042">
        <v>88.395376681142295</v>
      </c>
      <c r="AJ1042">
        <v>61.193575364063399</v>
      </c>
      <c r="AK1042">
        <v>54.051454251395903</v>
      </c>
      <c r="AL1042">
        <v>91.001039084386804</v>
      </c>
      <c r="AM1042">
        <v>79.314275341006194</v>
      </c>
      <c r="AN1042">
        <v>1.0000000505964699</v>
      </c>
    </row>
    <row r="1043" spans="1:40" x14ac:dyDescent="0.25">
      <c r="A1043" t="str">
        <f>"20190312161243937"</f>
        <v>20190312161243937</v>
      </c>
      <c r="B1043" t="str">
        <f>"1552378363926431"</f>
        <v>1552378363926431</v>
      </c>
      <c r="C1043" t="s">
        <v>40</v>
      </c>
      <c r="D1043">
        <v>6.1103579999999997</v>
      </c>
      <c r="E1043">
        <v>0.62245289999999998</v>
      </c>
      <c r="F1043" t="s">
        <v>45</v>
      </c>
      <c r="G1043">
        <v>-168.4008</v>
      </c>
      <c r="H1043">
        <v>2.565801</v>
      </c>
      <c r="I1043">
        <v>326.30500000000001</v>
      </c>
      <c r="J1043">
        <v>-205.6421</v>
      </c>
      <c r="K1043">
        <v>1.1044290000000001</v>
      </c>
      <c r="L1043">
        <v>365.4434</v>
      </c>
      <c r="M1043">
        <v>0.95235440000000005</v>
      </c>
      <c r="N1043">
        <v>0</v>
      </c>
      <c r="O1043">
        <v>-0.30479209999999901</v>
      </c>
      <c r="P1043">
        <v>0.87882579999999999</v>
      </c>
      <c r="Q1043">
        <v>-2.643817E-2</v>
      </c>
      <c r="R1043">
        <v>-0.47641030000000001</v>
      </c>
      <c r="S1043">
        <v>2.1820369999999998</v>
      </c>
      <c r="T1043">
        <v>8.5295679999999999E-2</v>
      </c>
      <c r="U1043">
        <v>-2.287445</v>
      </c>
      <c r="V1043">
        <v>0.18564629999999999</v>
      </c>
      <c r="W1043">
        <v>-1.7948990000000001E-2</v>
      </c>
      <c r="X1043">
        <v>0.98245269999999996</v>
      </c>
      <c r="Y1043">
        <v>0.47869489999999998</v>
      </c>
      <c r="Z1043">
        <v>-1.673679E-3</v>
      </c>
      <c r="AA1043">
        <v>0.87797969999999903</v>
      </c>
      <c r="AB1043">
        <v>24</v>
      </c>
      <c r="AC1043">
        <v>37.241300000000003</v>
      </c>
      <c r="AD1043">
        <v>1.4613719999999999</v>
      </c>
      <c r="AE1043">
        <v>-39.138399999999898</v>
      </c>
      <c r="AF1043">
        <v>25.905411399825301</v>
      </c>
      <c r="AG1043">
        <v>1.4613719999999999</v>
      </c>
      <c r="AH1043">
        <v>47.364247143375401</v>
      </c>
      <c r="AI1043">
        <v>88.4494058083108</v>
      </c>
      <c r="AJ1043">
        <v>61.323977380146303</v>
      </c>
      <c r="AK1043">
        <v>54.005535414208502</v>
      </c>
      <c r="AL1043">
        <v>91.028456589231595</v>
      </c>
      <c r="AM1043">
        <v>79.299440564101403</v>
      </c>
      <c r="AN1043">
        <v>1.0000000113415</v>
      </c>
    </row>
    <row r="1044" spans="1:40" x14ac:dyDescent="0.25">
      <c r="A1044" t="str">
        <f>"20190312161243952"</f>
        <v>20190312161243952</v>
      </c>
      <c r="B1044" t="str">
        <f>"1552378363946927"</f>
        <v>1552378363946927</v>
      </c>
      <c r="C1044" t="s">
        <v>40</v>
      </c>
      <c r="D1044">
        <v>6.0917019999999997</v>
      </c>
      <c r="E1044">
        <v>0.62141519999999995</v>
      </c>
      <c r="F1044" t="s">
        <v>45</v>
      </c>
      <c r="G1044">
        <v>-168.4008</v>
      </c>
      <c r="H1044">
        <v>2.5510929999999998</v>
      </c>
      <c r="I1044">
        <v>326.1087</v>
      </c>
      <c r="J1044">
        <v>-205.4889</v>
      </c>
      <c r="K1044">
        <v>1.1043289999999999</v>
      </c>
      <c r="L1044">
        <v>365.38830000000002</v>
      </c>
      <c r="M1044">
        <v>0.95064729999999997</v>
      </c>
      <c r="N1044">
        <v>0</v>
      </c>
      <c r="O1044">
        <v>-0.31007479999999998</v>
      </c>
      <c r="P1044">
        <v>0.87622119999999903</v>
      </c>
      <c r="Q1044">
        <v>-2.6506800000000001E-2</v>
      </c>
      <c r="R1044">
        <v>-0.48117959999999899</v>
      </c>
      <c r="S1044">
        <v>2.1723479999999999</v>
      </c>
      <c r="T1044">
        <v>8.4386939999999994E-2</v>
      </c>
      <c r="U1044">
        <v>-2.2944640000000001</v>
      </c>
      <c r="V1044">
        <v>0.18552730000000001</v>
      </c>
      <c r="W1044">
        <v>-1.804716E-2</v>
      </c>
      <c r="X1044">
        <v>0.98247340000000005</v>
      </c>
      <c r="Y1044">
        <v>0.47711740000000002</v>
      </c>
      <c r="Z1044">
        <v>-1.8336450000000001E-3</v>
      </c>
      <c r="AA1044">
        <v>0.8788376</v>
      </c>
      <c r="AB1044">
        <v>24</v>
      </c>
      <c r="AC1044">
        <v>37.088099999999997</v>
      </c>
      <c r="AD1044">
        <v>1.4467639999999899</v>
      </c>
      <c r="AE1044">
        <v>-39.279600000000002</v>
      </c>
      <c r="AF1044">
        <v>25.824032772380502</v>
      </c>
      <c r="AG1044">
        <v>1.4467639999999899</v>
      </c>
      <c r="AH1044">
        <v>47.406241322737699</v>
      </c>
      <c r="AI1044">
        <v>88.4648377160173</v>
      </c>
      <c r="AJ1044">
        <v>61.421142828738901</v>
      </c>
      <c r="AK1044">
        <v>54.003013907099003</v>
      </c>
      <c r="AL1044">
        <v>91.034082207399507</v>
      </c>
      <c r="AM1044">
        <v>79.306361543278399</v>
      </c>
      <c r="AN1044">
        <v>1.00000003036845</v>
      </c>
    </row>
    <row r="1045" spans="1:40" x14ac:dyDescent="0.25">
      <c r="A1045" t="str">
        <f>"20190312161243967"</f>
        <v>20190312161243967</v>
      </c>
      <c r="B1045" t="str">
        <f>"1552378363956686"</f>
        <v>1552378363956686</v>
      </c>
      <c r="C1045" t="s">
        <v>40</v>
      </c>
      <c r="D1045">
        <v>6.0001740000000003</v>
      </c>
      <c r="E1045">
        <v>0.62073829999999997</v>
      </c>
      <c r="F1045" t="s">
        <v>45</v>
      </c>
      <c r="G1045">
        <v>-168.4008</v>
      </c>
      <c r="H1045">
        <v>2.5262060000000002</v>
      </c>
      <c r="I1045">
        <v>325.97640000000001</v>
      </c>
      <c r="J1045">
        <v>-205.33529999999999</v>
      </c>
      <c r="K1045">
        <v>1.104228</v>
      </c>
      <c r="L1045">
        <v>365.33179999999999</v>
      </c>
      <c r="M1045">
        <v>0.94887120000000003</v>
      </c>
      <c r="N1045">
        <v>0</v>
      </c>
      <c r="O1045">
        <v>-0.31546790000000002</v>
      </c>
      <c r="P1045">
        <v>0.87359299999999995</v>
      </c>
      <c r="Q1045">
        <v>-2.671072E-2</v>
      </c>
      <c r="R1045">
        <v>-0.48592400000000002</v>
      </c>
      <c r="S1045">
        <v>2.1636660000000001</v>
      </c>
      <c r="T1045">
        <v>8.2950590000000005E-2</v>
      </c>
      <c r="U1045">
        <v>-2.2992249999999999</v>
      </c>
      <c r="V1045">
        <v>0.1852712</v>
      </c>
      <c r="W1045">
        <v>-1.827836E-2</v>
      </c>
      <c r="X1045">
        <v>0.98251739999999999</v>
      </c>
      <c r="Y1045">
        <v>0.47479589999999999</v>
      </c>
      <c r="Z1045">
        <v>-1.9924090000000001E-3</v>
      </c>
      <c r="AA1045">
        <v>0.88009369999999998</v>
      </c>
      <c r="AB1045">
        <v>24</v>
      </c>
      <c r="AC1045">
        <v>36.9344999999999</v>
      </c>
      <c r="AD1045">
        <v>1.421978</v>
      </c>
      <c r="AE1045">
        <v>-39.355399999999896</v>
      </c>
      <c r="AF1045">
        <v>25.675320265037399</v>
      </c>
      <c r="AG1045">
        <v>1.421978</v>
      </c>
      <c r="AH1045">
        <v>47.431454675274203</v>
      </c>
      <c r="AI1045">
        <v>88.489761043244201</v>
      </c>
      <c r="AJ1045">
        <v>61.572687117151503</v>
      </c>
      <c r="AK1045">
        <v>53.953563225771397</v>
      </c>
      <c r="AL1045">
        <v>91.047331230928293</v>
      </c>
      <c r="AM1045">
        <v>79.321250445584795</v>
      </c>
      <c r="AN1045">
        <v>0.99999997864824397</v>
      </c>
    </row>
    <row r="1046" spans="1:40" x14ac:dyDescent="0.25">
      <c r="A1046" t="str">
        <f>"20190312161243981"</f>
        <v>20190312161243981</v>
      </c>
      <c r="B1046" t="str">
        <f>"1552378363976714"</f>
        <v>1552378363976714</v>
      </c>
      <c r="C1046" t="s">
        <v>40</v>
      </c>
      <c r="D1046">
        <v>6.0695230000000002</v>
      </c>
      <c r="E1046">
        <v>0.61933240000000001</v>
      </c>
      <c r="F1046" t="s">
        <v>45</v>
      </c>
      <c r="G1046">
        <v>-168.4008</v>
      </c>
      <c r="H1046">
        <v>2.5286309999999999</v>
      </c>
      <c r="I1046">
        <v>325.78280000000001</v>
      </c>
      <c r="J1046">
        <v>-205.1908</v>
      </c>
      <c r="K1046">
        <v>1.104139</v>
      </c>
      <c r="L1046">
        <v>365.27760000000001</v>
      </c>
      <c r="M1046">
        <v>0.94713630000000004</v>
      </c>
      <c r="N1046">
        <v>0</v>
      </c>
      <c r="O1046">
        <v>-0.3206387</v>
      </c>
      <c r="P1046">
        <v>0.87104389999999998</v>
      </c>
      <c r="Q1046">
        <v>-2.6814000000000001E-2</v>
      </c>
      <c r="R1046">
        <v>-0.4904733</v>
      </c>
      <c r="S1046">
        <v>2.1538089999999999</v>
      </c>
      <c r="T1046">
        <v>8.3063479999999995E-2</v>
      </c>
      <c r="U1046">
        <v>-2.3062740000000002</v>
      </c>
      <c r="V1046">
        <v>0.185032</v>
      </c>
      <c r="W1046">
        <v>-1.840497E-2</v>
      </c>
      <c r="X1046">
        <v>0.98256019999999999</v>
      </c>
      <c r="Y1046">
        <v>0.47334619999999999</v>
      </c>
      <c r="Z1046">
        <v>-2.165578E-3</v>
      </c>
      <c r="AA1046">
        <v>0.88087389999999999</v>
      </c>
      <c r="AB1046">
        <v>24</v>
      </c>
      <c r="AC1046">
        <v>36.7899999999999</v>
      </c>
      <c r="AD1046">
        <v>1.4244920000000001</v>
      </c>
      <c r="AE1046">
        <v>-39.494799999999998</v>
      </c>
      <c r="AF1046">
        <v>25.594417727118099</v>
      </c>
      <c r="AG1046">
        <v>1.4244920000000001</v>
      </c>
      <c r="AH1046">
        <v>47.478574003822203</v>
      </c>
      <c r="AI1046">
        <v>88.487176512403295</v>
      </c>
      <c r="AJ1046">
        <v>61.672091275954202</v>
      </c>
      <c r="AK1046">
        <v>53.956634306493797</v>
      </c>
      <c r="AL1046">
        <v>91.054586578884695</v>
      </c>
      <c r="AM1046">
        <v>79.335175011453003</v>
      </c>
      <c r="AN1046">
        <v>1.0000000652843599</v>
      </c>
    </row>
    <row r="1047" spans="1:40" x14ac:dyDescent="0.25">
      <c r="A1047" t="str">
        <f>"20190312161243996"</f>
        <v>20190312161243996</v>
      </c>
      <c r="B1047" t="str">
        <f>"1552378363986475"</f>
        <v>1552378363986475</v>
      </c>
      <c r="C1047" t="s">
        <v>40</v>
      </c>
      <c r="D1047">
        <v>6.1198160000000001</v>
      </c>
      <c r="E1047">
        <v>0.61886640000000004</v>
      </c>
      <c r="F1047" t="s">
        <v>45</v>
      </c>
      <c r="G1047">
        <v>-168.4008</v>
      </c>
      <c r="H1047">
        <v>2.4967790000000001</v>
      </c>
      <c r="I1047">
        <v>325.74119999999999</v>
      </c>
      <c r="J1047">
        <v>-205.0438</v>
      </c>
      <c r="K1047">
        <v>1.1040559999999999</v>
      </c>
      <c r="L1047">
        <v>365.22149999999999</v>
      </c>
      <c r="M1047">
        <v>0.9453163</v>
      </c>
      <c r="N1047">
        <v>0</v>
      </c>
      <c r="O1047">
        <v>-0.3259647</v>
      </c>
      <c r="P1047">
        <v>0.86826119999999996</v>
      </c>
      <c r="Q1047">
        <v>-2.6827030000000002E-2</v>
      </c>
      <c r="R1047">
        <v>-0.49538149999999997</v>
      </c>
      <c r="S1047">
        <v>2.1472929999999999</v>
      </c>
      <c r="T1047">
        <v>8.1283569999999999E-2</v>
      </c>
      <c r="U1047">
        <v>-2.3075869999999998</v>
      </c>
      <c r="V1047">
        <v>0.18504329999999999</v>
      </c>
      <c r="W1047">
        <v>-1.8446730000000001E-2</v>
      </c>
      <c r="X1047">
        <v>0.98255720000000002</v>
      </c>
      <c r="Y1047">
        <v>0.46997030000000001</v>
      </c>
      <c r="Z1047">
        <v>-2.3202510000000002E-3</v>
      </c>
      <c r="AA1047">
        <v>0.8826792</v>
      </c>
      <c r="AB1047">
        <v>24</v>
      </c>
      <c r="AC1047">
        <v>36.643000000000001</v>
      </c>
      <c r="AD1047">
        <v>1.3927229999999999</v>
      </c>
      <c r="AE1047">
        <v>-39.4803</v>
      </c>
      <c r="AF1047">
        <v>25.361666449081799</v>
      </c>
      <c r="AG1047">
        <v>1.3927229999999999</v>
      </c>
      <c r="AH1047">
        <v>47.479616089885702</v>
      </c>
      <c r="AI1047">
        <v>88.517902846367605</v>
      </c>
      <c r="AJ1047">
        <v>61.890692751198998</v>
      </c>
      <c r="AK1047">
        <v>53.846705994630298</v>
      </c>
      <c r="AL1047">
        <v>91.056979749025999</v>
      </c>
      <c r="AM1047">
        <v>79.334506828923594</v>
      </c>
      <c r="AN1047">
        <v>0.99999997799721096</v>
      </c>
    </row>
    <row r="1048" spans="1:40" x14ac:dyDescent="0.25">
      <c r="A1048" t="str">
        <f>"20190312161244008"</f>
        <v>20190312161244008</v>
      </c>
      <c r="B1048" t="str">
        <f>"1552378363996234"</f>
        <v>1552378363996234</v>
      </c>
      <c r="C1048" t="s">
        <v>40</v>
      </c>
      <c r="D1048">
        <v>6.1043760000000002</v>
      </c>
      <c r="E1048">
        <v>0.6184615</v>
      </c>
      <c r="F1048" t="s">
        <v>45</v>
      </c>
      <c r="G1048">
        <v>-168.4008</v>
      </c>
      <c r="H1048">
        <v>2.4616150000000001</v>
      </c>
      <c r="I1048">
        <v>325.48360000000002</v>
      </c>
      <c r="J1048">
        <v>-204.90819999999999</v>
      </c>
      <c r="K1048">
        <v>1.10397099999999</v>
      </c>
      <c r="L1048">
        <v>365.16899999999998</v>
      </c>
      <c r="M1048">
        <v>0.94358750000000002</v>
      </c>
      <c r="N1048">
        <v>0</v>
      </c>
      <c r="O1048">
        <v>-0.33093539999999999</v>
      </c>
      <c r="P1048">
        <v>0.86576090000000006</v>
      </c>
      <c r="Q1048">
        <v>-2.6794599999999998E-2</v>
      </c>
      <c r="R1048">
        <v>-0.49974020000000002</v>
      </c>
      <c r="S1048">
        <v>2.136002</v>
      </c>
      <c r="T1048">
        <v>7.9135419999999998E-2</v>
      </c>
      <c r="U1048">
        <v>-2.3164060000000002</v>
      </c>
      <c r="V1048">
        <v>0.18480820000000001</v>
      </c>
      <c r="W1048">
        <v>-1.843819E-2</v>
      </c>
      <c r="X1048">
        <v>0.98260159999999996</v>
      </c>
      <c r="Y1048">
        <v>0.46932740000000001</v>
      </c>
      <c r="Z1048">
        <v>-2.4046419999999998E-3</v>
      </c>
      <c r="AA1048">
        <v>0.8830209</v>
      </c>
      <c r="AB1048">
        <v>24</v>
      </c>
      <c r="AC1048">
        <v>36.507399999999897</v>
      </c>
      <c r="AD1048">
        <v>1.3576440000000001</v>
      </c>
      <c r="AE1048">
        <v>-39.685400000000001</v>
      </c>
      <c r="AF1048">
        <v>25.350564428920499</v>
      </c>
      <c r="AG1048">
        <v>1.3576440000000001</v>
      </c>
      <c r="AH1048">
        <v>47.554045241470398</v>
      </c>
      <c r="AI1048">
        <v>88.556836596396295</v>
      </c>
      <c r="AJ1048">
        <v>61.938388855809698</v>
      </c>
      <c r="AK1048">
        <v>53.906229073488397</v>
      </c>
      <c r="AL1048">
        <v>91.056490367238794</v>
      </c>
      <c r="AM1048">
        <v>79.348217509875795</v>
      </c>
      <c r="AN1048">
        <v>0.99999997098013704</v>
      </c>
    </row>
    <row r="1049" spans="1:40" x14ac:dyDescent="0.25">
      <c r="A1049" t="str">
        <f>"20190312161244023"</f>
        <v>20190312161244023</v>
      </c>
      <c r="B1049" t="str">
        <f>"1552378364016731"</f>
        <v>1552378364016731</v>
      </c>
      <c r="C1049" t="s">
        <v>40</v>
      </c>
      <c r="D1049">
        <v>4.5263960000000001</v>
      </c>
      <c r="E1049">
        <v>0.61848619999999899</v>
      </c>
      <c r="F1049" t="s">
        <v>45</v>
      </c>
      <c r="G1049">
        <v>-168.4008</v>
      </c>
      <c r="H1049">
        <v>2.440817</v>
      </c>
      <c r="I1049">
        <v>325.26089999999999</v>
      </c>
      <c r="J1049">
        <v>-204.75280000000001</v>
      </c>
      <c r="K1049">
        <v>1.1038809999999999</v>
      </c>
      <c r="L1049">
        <v>365.10750000000002</v>
      </c>
      <c r="M1049">
        <v>0.94152999999999998</v>
      </c>
      <c r="N1049">
        <v>0</v>
      </c>
      <c r="O1049">
        <v>-0.33674470000000001</v>
      </c>
      <c r="P1049">
        <v>0.86265930000000002</v>
      </c>
      <c r="Q1049">
        <v>-2.669243E-2</v>
      </c>
      <c r="R1049">
        <v>-0.50508109999999995</v>
      </c>
      <c r="S1049">
        <v>2.1260530000000002</v>
      </c>
      <c r="T1049">
        <v>7.7853199999999997E-2</v>
      </c>
      <c r="U1049">
        <v>-2.3240970000000001</v>
      </c>
      <c r="V1049">
        <v>0.18482080000000001</v>
      </c>
      <c r="W1049">
        <v>-1.8369030000000001E-2</v>
      </c>
      <c r="X1049">
        <v>0.98260060000000005</v>
      </c>
      <c r="Y1049">
        <v>0.46739920000000001</v>
      </c>
      <c r="Z1049">
        <v>-2.5496970000000001E-3</v>
      </c>
      <c r="AA1049">
        <v>0.88404269999999996</v>
      </c>
      <c r="AB1049">
        <v>24</v>
      </c>
      <c r="AC1049">
        <v>36.351999999999997</v>
      </c>
      <c r="AD1049">
        <v>1.3369359999999999</v>
      </c>
      <c r="AE1049">
        <v>-39.846600000000002</v>
      </c>
      <c r="AF1049">
        <v>25.261476129195</v>
      </c>
      <c r="AG1049">
        <v>1.3369359999999999</v>
      </c>
      <c r="AH1049">
        <v>47.618334235712098</v>
      </c>
      <c r="AI1049">
        <v>88.579233439454896</v>
      </c>
      <c r="AJ1049">
        <v>62.0540965943581</v>
      </c>
      <c r="AK1049">
        <v>53.920639179056302</v>
      </c>
      <c r="AL1049">
        <v>91.052527042668103</v>
      </c>
      <c r="AM1049">
        <v>79.347497310779502</v>
      </c>
      <c r="AN1049">
        <v>1.0000000442480601</v>
      </c>
    </row>
    <row r="1050" spans="1:40" x14ac:dyDescent="0.25">
      <c r="A1050" t="str">
        <f>"20190312161244037"</f>
        <v>20190312161244037</v>
      </c>
      <c r="B1050" t="str">
        <f>"1552378364026491"</f>
        <v>1552378364026491</v>
      </c>
      <c r="C1050" t="s">
        <v>40</v>
      </c>
      <c r="D1050">
        <v>5.8967419999999997</v>
      </c>
      <c r="E1050">
        <v>0.61880429999999997</v>
      </c>
      <c r="F1050" t="s">
        <v>45</v>
      </c>
      <c r="G1050">
        <v>-168.4008</v>
      </c>
      <c r="H1050">
        <v>2.5730620000000002</v>
      </c>
      <c r="I1050">
        <v>324.8689</v>
      </c>
      <c r="J1050">
        <v>-204.6233</v>
      </c>
      <c r="K1050">
        <v>1.1038059999999901</v>
      </c>
      <c r="L1050">
        <v>365.05520000000001</v>
      </c>
      <c r="M1050">
        <v>0.93976309999999996</v>
      </c>
      <c r="N1050">
        <v>0</v>
      </c>
      <c r="O1050">
        <v>-0.341644</v>
      </c>
      <c r="P1050">
        <v>0.85998649999999999</v>
      </c>
      <c r="Q1050">
        <v>-2.6692179999999999E-2</v>
      </c>
      <c r="R1050">
        <v>-0.50961829999999997</v>
      </c>
      <c r="S1050">
        <v>2.111694</v>
      </c>
      <c r="T1050">
        <v>8.5345509999999999E-2</v>
      </c>
      <c r="U1050">
        <v>-2.3374630000000001</v>
      </c>
      <c r="V1050">
        <v>0.18487590000000001</v>
      </c>
      <c r="W1050">
        <v>-1.8396300000000001E-2</v>
      </c>
      <c r="X1050">
        <v>0.98258970000000001</v>
      </c>
      <c r="Y1050">
        <v>0.46829300000000001</v>
      </c>
      <c r="Z1050">
        <v>-2.9257039999999999E-3</v>
      </c>
      <c r="AA1050">
        <v>0.88356849999999998</v>
      </c>
      <c r="AB1050">
        <v>24</v>
      </c>
      <c r="AC1050">
        <v>36.222499999999997</v>
      </c>
      <c r="AD1050">
        <v>1.4692559999999999</v>
      </c>
      <c r="AE1050">
        <v>-40.186300000000003</v>
      </c>
      <c r="AF1050">
        <v>25.3732720530266</v>
      </c>
      <c r="AG1050">
        <v>1.4692559999999999</v>
      </c>
      <c r="AH1050">
        <v>47.737748422347103</v>
      </c>
      <c r="AI1050">
        <v>88.443240854027493</v>
      </c>
      <c r="AJ1050">
        <v>62.008739116211999</v>
      </c>
      <c r="AK1050">
        <v>54.081921862168898</v>
      </c>
      <c r="AL1050">
        <v>91.054089787708094</v>
      </c>
      <c r="AM1050">
        <v>79.344278730740697</v>
      </c>
      <c r="AN1050">
        <v>1.0000000204002899</v>
      </c>
    </row>
    <row r="1051" spans="1:40" x14ac:dyDescent="0.25">
      <c r="A1051" t="str">
        <f>"20190312161244051"</f>
        <v>20190312161244051</v>
      </c>
      <c r="B1051" t="str">
        <f>"1552378364046987"</f>
        <v>1552378364046987</v>
      </c>
      <c r="C1051" t="s">
        <v>40</v>
      </c>
      <c r="D1051">
        <v>5.4920249999999999</v>
      </c>
      <c r="E1051">
        <v>0.6510745</v>
      </c>
      <c r="F1051" t="s">
        <v>45</v>
      </c>
      <c r="G1051">
        <v>-168.40090000000001</v>
      </c>
      <c r="H1051">
        <v>2.6637909999999998</v>
      </c>
      <c r="I1051">
        <v>324.47129999999999</v>
      </c>
      <c r="J1051">
        <v>-204.4796</v>
      </c>
      <c r="K1051">
        <v>1.103721</v>
      </c>
      <c r="L1051">
        <v>364.99650000000003</v>
      </c>
      <c r="M1051">
        <v>0.93775160000000002</v>
      </c>
      <c r="N1051">
        <v>0</v>
      </c>
      <c r="O1051">
        <v>-0.34712700000000002</v>
      </c>
      <c r="P1051">
        <v>0.85701039999999995</v>
      </c>
      <c r="Q1051">
        <v>-2.6464069999999999E-2</v>
      </c>
      <c r="R1051">
        <v>-0.51461899999999905</v>
      </c>
      <c r="S1051">
        <v>2.09816</v>
      </c>
      <c r="T1051">
        <v>9.0361479999999994E-2</v>
      </c>
      <c r="U1051">
        <v>-2.3508</v>
      </c>
      <c r="V1051">
        <v>0.18485779999999999</v>
      </c>
      <c r="W1051">
        <v>-1.8196850000000001E-2</v>
      </c>
      <c r="X1051">
        <v>0.98259680000000005</v>
      </c>
      <c r="Y1051">
        <v>0.46845170000000003</v>
      </c>
      <c r="Z1051">
        <v>-3.2657039999999999E-3</v>
      </c>
      <c r="AA1051">
        <v>0.88348309999999997</v>
      </c>
      <c r="AB1051">
        <v>24</v>
      </c>
      <c r="AC1051">
        <v>36.078699999999998</v>
      </c>
      <c r="AD1051">
        <v>1.5600699999999901</v>
      </c>
      <c r="AE1051">
        <v>-40.525199999999998</v>
      </c>
      <c r="AF1051">
        <v>25.459222530558201</v>
      </c>
      <c r="AG1051">
        <v>1.5600699999999901</v>
      </c>
      <c r="AH1051">
        <v>47.8636689946837</v>
      </c>
      <c r="AI1051">
        <v>88.351687720995201</v>
      </c>
      <c r="AJ1051">
        <v>61.990987391421903</v>
      </c>
      <c r="AK1051">
        <v>54.235934949975999</v>
      </c>
      <c r="AL1051">
        <v>91.042660251172094</v>
      </c>
      <c r="AM1051">
        <v>79.345373302869007</v>
      </c>
      <c r="AN1051">
        <v>1.0000000014704999</v>
      </c>
    </row>
    <row r="1052" spans="1:40" x14ac:dyDescent="0.25">
      <c r="A1052" t="str">
        <f>"20190312161244064"</f>
        <v>20190312161244064</v>
      </c>
      <c r="B1052" t="str">
        <f>"1552378364056748"</f>
        <v>1552378364056748</v>
      </c>
      <c r="C1052" t="s">
        <v>40</v>
      </c>
      <c r="D1052">
        <v>5.0846049999999998</v>
      </c>
      <c r="E1052">
        <v>0.65646519999999897</v>
      </c>
      <c r="F1052" t="s">
        <v>43</v>
      </c>
      <c r="G1052">
        <v>-204.01929999999999</v>
      </c>
      <c r="H1052">
        <v>1.1979489999999999</v>
      </c>
      <c r="I1052">
        <v>364.38490000000002</v>
      </c>
      <c r="J1052">
        <v>-204.3389</v>
      </c>
      <c r="K1052">
        <v>1.1036440000000001</v>
      </c>
      <c r="L1052">
        <v>364.93779999999998</v>
      </c>
      <c r="M1052">
        <v>0.93571629999999995</v>
      </c>
      <c r="N1052">
        <v>0</v>
      </c>
      <c r="O1052">
        <v>-0.35257640000000001</v>
      </c>
      <c r="P1052">
        <v>0.85380679999999998</v>
      </c>
      <c r="Q1052">
        <v>-2.665646E-2</v>
      </c>
      <c r="R1052">
        <v>-0.51990760000000003</v>
      </c>
      <c r="S1052">
        <v>1.953751</v>
      </c>
      <c r="T1052">
        <v>0.4000322</v>
      </c>
      <c r="U1052">
        <v>-2.5964360000000002</v>
      </c>
      <c r="V1052">
        <v>0.18521190000000001</v>
      </c>
      <c r="W1052">
        <v>-1.8422589999999999E-2</v>
      </c>
      <c r="X1052">
        <v>0.98252589999999995</v>
      </c>
      <c r="Y1052">
        <v>0.53439190000000003</v>
      </c>
      <c r="Z1052">
        <v>-1.000703E-2</v>
      </c>
      <c r="AA1052">
        <v>0.84517759999999997</v>
      </c>
      <c r="AB1052">
        <v>24</v>
      </c>
      <c r="AC1052">
        <v>0.31960000000000799</v>
      </c>
      <c r="AD1052">
        <v>9.4304999999999806E-2</v>
      </c>
      <c r="AE1052">
        <v>-0.55289999999996498</v>
      </c>
      <c r="AF1052">
        <v>0.39606283311948698</v>
      </c>
      <c r="AG1052">
        <v>9.4304999999999806E-2</v>
      </c>
      <c r="AH1052">
        <v>0.48348243175797401</v>
      </c>
      <c r="AI1052">
        <v>81.419438852286603</v>
      </c>
      <c r="AJ1052">
        <v>50.6760895405234</v>
      </c>
      <c r="AK1052">
        <v>0.63207156447845203</v>
      </c>
      <c r="AL1052">
        <v>91.055596379073293</v>
      </c>
      <c r="AM1052">
        <v>79.324680070437495</v>
      </c>
      <c r="AN1052">
        <v>0.999999991947364</v>
      </c>
    </row>
    <row r="1053" spans="1:40" x14ac:dyDescent="0.25">
      <c r="A1053" t="str">
        <f>"20190312161244080"</f>
        <v>20190312161244080</v>
      </c>
      <c r="B1053" t="str">
        <f>"1552378364076774"</f>
        <v>1552378364076774</v>
      </c>
      <c r="C1053" t="s">
        <v>40</v>
      </c>
      <c r="D1053">
        <v>5.897621</v>
      </c>
      <c r="E1053">
        <v>0.65781460000000003</v>
      </c>
      <c r="F1053" t="s">
        <v>43</v>
      </c>
      <c r="G1053">
        <v>-203.9742</v>
      </c>
      <c r="H1053">
        <v>1.18211</v>
      </c>
      <c r="I1053">
        <v>364.43439999999998</v>
      </c>
      <c r="J1053">
        <v>-204.18459999999999</v>
      </c>
      <c r="K1053">
        <v>1.103558</v>
      </c>
      <c r="L1053">
        <v>364.87220000000002</v>
      </c>
      <c r="M1053">
        <v>0.93341220000000003</v>
      </c>
      <c r="N1053">
        <v>0</v>
      </c>
      <c r="O1053">
        <v>-0.35863139999999999</v>
      </c>
      <c r="P1053">
        <v>0.85002540000000004</v>
      </c>
      <c r="Q1053">
        <v>-2.6145000000000002E-2</v>
      </c>
      <c r="R1053">
        <v>-0.52609309999999998</v>
      </c>
      <c r="S1053">
        <v>1.9156949999999999</v>
      </c>
      <c r="T1053">
        <v>0.41227659999999999</v>
      </c>
      <c r="U1053">
        <v>-2.6453859999999998</v>
      </c>
      <c r="V1053">
        <v>0.185978</v>
      </c>
      <c r="W1053">
        <v>-1.7952019999999999E-2</v>
      </c>
      <c r="X1053">
        <v>0.98238990000000004</v>
      </c>
      <c r="Y1053">
        <v>0.54425939999999995</v>
      </c>
      <c r="Z1053">
        <v>-1.0357069999999999E-2</v>
      </c>
      <c r="AA1053">
        <v>0.83885299999999996</v>
      </c>
      <c r="AB1053">
        <v>24</v>
      </c>
      <c r="AC1053">
        <v>0.21039999999999201</v>
      </c>
      <c r="AD1053">
        <v>7.85519999999999E-2</v>
      </c>
      <c r="AE1053">
        <v>-0.43780000000003799</v>
      </c>
      <c r="AF1053">
        <v>0.32472032119615202</v>
      </c>
      <c r="AG1053">
        <v>7.85519999999999E-2</v>
      </c>
      <c r="AH1053">
        <v>0.344413493416729</v>
      </c>
      <c r="AI1053">
        <v>80.577762361933395</v>
      </c>
      <c r="AJ1053">
        <v>46.685776476248897</v>
      </c>
      <c r="AK1053">
        <v>0.47982742538255102</v>
      </c>
      <c r="AL1053">
        <v>91.028630231419001</v>
      </c>
      <c r="AM1053">
        <v>79.280094819105798</v>
      </c>
      <c r="AN1053">
        <v>1.00000000356404</v>
      </c>
    </row>
    <row r="1054" spans="1:40" x14ac:dyDescent="0.25">
      <c r="A1054" t="str">
        <f>"20190312161244094"</f>
        <v>20190312161244094</v>
      </c>
      <c r="B1054" t="str">
        <f>"1552378364086535"</f>
        <v>1552378364086535</v>
      </c>
      <c r="C1054" t="s">
        <v>40</v>
      </c>
      <c r="D1054">
        <v>4.4683140000000003</v>
      </c>
      <c r="E1054">
        <v>0.6576128</v>
      </c>
      <c r="F1054" t="s">
        <v>43</v>
      </c>
      <c r="G1054">
        <v>-203.80590000000001</v>
      </c>
      <c r="H1054">
        <v>1.19019599999999</v>
      </c>
      <c r="I1054">
        <v>364.3374</v>
      </c>
      <c r="J1054">
        <v>-204.0453</v>
      </c>
      <c r="K1054">
        <v>1.1034820000000001</v>
      </c>
      <c r="L1054">
        <v>364.81200000000001</v>
      </c>
      <c r="M1054">
        <v>0.93127260000000001</v>
      </c>
      <c r="N1054">
        <v>0</v>
      </c>
      <c r="O1054">
        <v>-0.36415039999999999</v>
      </c>
      <c r="P1054">
        <v>0.84680639999999996</v>
      </c>
      <c r="Q1054">
        <v>-2.6114599999999901E-2</v>
      </c>
      <c r="R1054">
        <v>-0.5312595</v>
      </c>
      <c r="S1054">
        <v>1.8908229999999999</v>
      </c>
      <c r="T1054">
        <v>0.43236059999999998</v>
      </c>
      <c r="U1054">
        <v>-2.668793</v>
      </c>
      <c r="V1054">
        <v>0.18614220000000001</v>
      </c>
      <c r="W1054">
        <v>-1.7949050000000001E-2</v>
      </c>
      <c r="X1054">
        <v>0.98235890000000003</v>
      </c>
      <c r="Y1054">
        <v>0.54784900000000003</v>
      </c>
      <c r="Z1054">
        <v>-1.136621E-2</v>
      </c>
      <c r="AA1054">
        <v>0.83650000000000002</v>
      </c>
      <c r="AB1054">
        <v>24</v>
      </c>
      <c r="AC1054">
        <v>0.23939999999998901</v>
      </c>
      <c r="AD1054">
        <v>8.6713999999999694E-2</v>
      </c>
      <c r="AE1054">
        <v>-0.474599999999952</v>
      </c>
      <c r="AF1054">
        <v>0.34562894340172101</v>
      </c>
      <c r="AG1054">
        <v>8.6713999999999694E-2</v>
      </c>
      <c r="AH1054">
        <v>0.38553755773750897</v>
      </c>
      <c r="AI1054">
        <v>80.492793695754997</v>
      </c>
      <c r="AJ1054">
        <v>48.124224738789103</v>
      </c>
      <c r="AK1054">
        <v>0.52499323113654806</v>
      </c>
      <c r="AL1054">
        <v>91.028459990121604</v>
      </c>
      <c r="AM1054">
        <v>79.270519113906801</v>
      </c>
      <c r="AN1054">
        <v>1.00000004771297</v>
      </c>
    </row>
    <row r="1055" spans="1:40" x14ac:dyDescent="0.25">
      <c r="A1055" t="str">
        <f>"20190312161244114"</f>
        <v>20190312161244114</v>
      </c>
      <c r="B1055" t="str">
        <f>"1552378364107030"</f>
        <v>1552378364107030</v>
      </c>
      <c r="C1055" t="s">
        <v>40</v>
      </c>
      <c r="D1055">
        <v>4.9740589999999996</v>
      </c>
      <c r="E1055">
        <v>0.65838409999999903</v>
      </c>
      <c r="F1055" t="s">
        <v>43</v>
      </c>
      <c r="G1055">
        <v>-203.62350000000001</v>
      </c>
      <c r="H1055">
        <v>1.200391</v>
      </c>
      <c r="I1055">
        <v>364.20940000000002</v>
      </c>
      <c r="J1055">
        <v>-203.84399999999999</v>
      </c>
      <c r="K1055">
        <v>1.1033710000000001</v>
      </c>
      <c r="L1055">
        <v>364.72309999999999</v>
      </c>
      <c r="M1055">
        <v>0.92806639999999996</v>
      </c>
      <c r="N1055">
        <v>0</v>
      </c>
      <c r="O1055">
        <v>-0.3722453</v>
      </c>
      <c r="P1055">
        <v>0.84189619999999998</v>
      </c>
      <c r="Q1055">
        <v>-2.593459E-2</v>
      </c>
      <c r="R1055">
        <v>-0.53901589999999999</v>
      </c>
      <c r="S1055">
        <v>1.8754580000000001</v>
      </c>
      <c r="T1055">
        <v>0.43075930000000001</v>
      </c>
      <c r="U1055">
        <v>-2.6787109999999998</v>
      </c>
      <c r="V1055">
        <v>0.18660840000000001</v>
      </c>
      <c r="W1055">
        <v>-1.7811359999999998E-2</v>
      </c>
      <c r="X1055">
        <v>0.9822729</v>
      </c>
      <c r="Y1055">
        <v>0.54532890000000001</v>
      </c>
      <c r="Z1055">
        <v>-1.271301E-2</v>
      </c>
      <c r="AA1055">
        <v>0.83812580000000003</v>
      </c>
      <c r="AB1055">
        <v>24</v>
      </c>
      <c r="AC1055">
        <v>0.22050000000001499</v>
      </c>
      <c r="AD1055">
        <v>9.7020000000000106E-2</v>
      </c>
      <c r="AE1055">
        <v>-0.51369999999997096</v>
      </c>
      <c r="AF1055">
        <v>0.38315181970786899</v>
      </c>
      <c r="AG1055">
        <v>9.7020000000000106E-2</v>
      </c>
      <c r="AH1055">
        <v>0.38431042799165099</v>
      </c>
      <c r="AI1055">
        <v>79.863751927586804</v>
      </c>
      <c r="AJ1055">
        <v>45.086497172385599</v>
      </c>
      <c r="AK1055">
        <v>0.55128277898786004</v>
      </c>
      <c r="AL1055">
        <v>91.020569727258305</v>
      </c>
      <c r="AM1055">
        <v>79.243353149109794</v>
      </c>
      <c r="AN1055">
        <v>0.99999999478500901</v>
      </c>
    </row>
    <row r="1056" spans="1:40" x14ac:dyDescent="0.25">
      <c r="A1056" t="str">
        <f>"20190312161244128"</f>
        <v>20190312161244128</v>
      </c>
      <c r="B1056" t="str">
        <f>"1552378364116790"</f>
        <v>1552378364116790</v>
      </c>
      <c r="C1056" t="s">
        <v>40</v>
      </c>
      <c r="D1056">
        <v>5.2416650000000002</v>
      </c>
      <c r="E1056">
        <v>0.65752769999999905</v>
      </c>
      <c r="F1056" t="s">
        <v>43</v>
      </c>
      <c r="G1056">
        <v>-203.4281</v>
      </c>
      <c r="H1056">
        <v>1.2018070000000001</v>
      </c>
      <c r="I1056">
        <v>364.11489999999998</v>
      </c>
      <c r="J1056">
        <v>-203.6995</v>
      </c>
      <c r="K1056">
        <v>1.1032919999999999</v>
      </c>
      <c r="L1056">
        <v>364.65809999999999</v>
      </c>
      <c r="M1056">
        <v>0.92568980000000001</v>
      </c>
      <c r="N1056">
        <v>0</v>
      </c>
      <c r="O1056">
        <v>-0.37811729999999999</v>
      </c>
      <c r="P1056">
        <v>0.83786499999999997</v>
      </c>
      <c r="Q1056">
        <v>-2.6129329999999999E-2</v>
      </c>
      <c r="R1056">
        <v>-0.54525230000000002</v>
      </c>
      <c r="S1056">
        <v>1.847504</v>
      </c>
      <c r="T1056">
        <v>0.437085</v>
      </c>
      <c r="U1056">
        <v>-2.701111</v>
      </c>
      <c r="V1056">
        <v>0.1876747</v>
      </c>
      <c r="W1056">
        <v>-1.8048930000000001E-2</v>
      </c>
      <c r="X1056">
        <v>0.98206539999999998</v>
      </c>
      <c r="Y1056">
        <v>0.54913880000000004</v>
      </c>
      <c r="Z1056">
        <v>-1.3457520000000001E-2</v>
      </c>
      <c r="AA1056">
        <v>0.8356228</v>
      </c>
      <c r="AB1056">
        <v>24</v>
      </c>
      <c r="AC1056">
        <v>0.27139999999999898</v>
      </c>
      <c r="AD1056">
        <v>9.8515000000000102E-2</v>
      </c>
      <c r="AE1056">
        <v>-0.54320000000001301</v>
      </c>
      <c r="AF1056">
        <v>0.38997429051008298</v>
      </c>
      <c r="AG1056">
        <v>9.8515000000000102E-2</v>
      </c>
      <c r="AH1056">
        <v>0.44494287098970398</v>
      </c>
      <c r="AI1056">
        <v>80.5465303142403</v>
      </c>
      <c r="AJ1056">
        <v>48.766755697845099</v>
      </c>
      <c r="AK1056">
        <v>0.59979939223744005</v>
      </c>
      <c r="AL1056">
        <v>91.034183665355101</v>
      </c>
      <c r="AM1056">
        <v>79.181103097731096</v>
      </c>
      <c r="AN1056">
        <v>1.00000000338569</v>
      </c>
    </row>
    <row r="1057" spans="1:40" x14ac:dyDescent="0.25">
      <c r="A1057" t="str">
        <f>"20190312161244143"</f>
        <v>20190312161244143</v>
      </c>
      <c r="B1057" t="str">
        <f>"1552378364136310"</f>
        <v>1552378364136310</v>
      </c>
      <c r="C1057" t="s">
        <v>40</v>
      </c>
      <c r="D1057">
        <v>5.2637239999999998</v>
      </c>
      <c r="E1057">
        <v>0.65727840000000004</v>
      </c>
      <c r="F1057" t="s">
        <v>43</v>
      </c>
      <c r="G1057">
        <v>-203.36840000000001</v>
      </c>
      <c r="H1057">
        <v>1.181719</v>
      </c>
      <c r="I1057">
        <v>364.16809999999998</v>
      </c>
      <c r="J1057">
        <v>-203.5609</v>
      </c>
      <c r="K1057">
        <v>1.1032189999999999</v>
      </c>
      <c r="L1057">
        <v>364.5942</v>
      </c>
      <c r="M1057">
        <v>0.92333240000000005</v>
      </c>
      <c r="N1057">
        <v>0</v>
      </c>
      <c r="O1057">
        <v>-0.38383689999999998</v>
      </c>
      <c r="P1057">
        <v>0.83402209999999999</v>
      </c>
      <c r="Q1057">
        <v>-2.61032E-2</v>
      </c>
      <c r="R1057">
        <v>-0.55111299999999996</v>
      </c>
      <c r="S1057">
        <v>1.8312839999999999</v>
      </c>
      <c r="T1057">
        <v>0.43350319999999998</v>
      </c>
      <c r="U1057">
        <v>-2.7087400000000001</v>
      </c>
      <c r="V1057">
        <v>0.18848110000000001</v>
      </c>
      <c r="W1057">
        <v>-1.805783E-2</v>
      </c>
      <c r="X1057">
        <v>0.98191079999999997</v>
      </c>
      <c r="Y1057">
        <v>0.54855959999999904</v>
      </c>
      <c r="Z1057">
        <v>-1.4253190000000001E-2</v>
      </c>
      <c r="AA1057">
        <v>0.83599000000000001</v>
      </c>
      <c r="AB1057">
        <v>24</v>
      </c>
      <c r="AC1057">
        <v>0.19249999999999501</v>
      </c>
      <c r="AD1057">
        <v>7.85E-2</v>
      </c>
      <c r="AE1057">
        <v>-0.42610000000001902</v>
      </c>
      <c r="AF1057">
        <v>0.31080283480225801</v>
      </c>
      <c r="AG1057">
        <v>7.85E-2</v>
      </c>
      <c r="AH1057">
        <v>0.33195893385943098</v>
      </c>
      <c r="AI1057">
        <v>80.205934225415703</v>
      </c>
      <c r="AJ1057">
        <v>46.885173945535797</v>
      </c>
      <c r="AK1057">
        <v>0.461473060849937</v>
      </c>
      <c r="AL1057">
        <v>91.034693669183298</v>
      </c>
      <c r="AM1057">
        <v>79.134050670268707</v>
      </c>
      <c r="AN1057">
        <v>1.00000001471907</v>
      </c>
    </row>
    <row r="1058" spans="1:40" x14ac:dyDescent="0.25">
      <c r="A1058" t="str">
        <f>"20190312161244158"</f>
        <v>20190312161244158</v>
      </c>
      <c r="B1058" t="str">
        <f>"1552378364147047"</f>
        <v>1552378364147047</v>
      </c>
      <c r="C1058" t="s">
        <v>40</v>
      </c>
      <c r="D1058">
        <v>5.0116529999999999</v>
      </c>
      <c r="E1058">
        <v>0.65689370000000002</v>
      </c>
      <c r="F1058" t="s">
        <v>43</v>
      </c>
      <c r="G1058">
        <v>-203.21190000000001</v>
      </c>
      <c r="H1058">
        <v>1.186601</v>
      </c>
      <c r="I1058">
        <v>364.07040000000001</v>
      </c>
      <c r="J1058">
        <v>-203.39830000000001</v>
      </c>
      <c r="K1058">
        <v>1.1031299999999999</v>
      </c>
      <c r="L1058">
        <v>364.51799999999997</v>
      </c>
      <c r="M1058">
        <v>0.92049040000000004</v>
      </c>
      <c r="N1058">
        <v>0</v>
      </c>
      <c r="O1058">
        <v>-0.39060289999999998</v>
      </c>
      <c r="P1058">
        <v>0.82930269999999995</v>
      </c>
      <c r="Q1058">
        <v>-2.620983E-2</v>
      </c>
      <c r="R1058">
        <v>-0.55818469999999998</v>
      </c>
      <c r="S1058">
        <v>1.813126</v>
      </c>
      <c r="T1058">
        <v>0.43305399999999999</v>
      </c>
      <c r="U1058">
        <v>-2.720154</v>
      </c>
      <c r="V1058">
        <v>0.18961939999999999</v>
      </c>
      <c r="W1058">
        <v>-1.820956E-2</v>
      </c>
      <c r="X1058">
        <v>0.98168880000000003</v>
      </c>
      <c r="Y1058">
        <v>0.54796199999999995</v>
      </c>
      <c r="Z1058">
        <v>-1.52923E-2</v>
      </c>
      <c r="AA1058">
        <v>0.83636339999999998</v>
      </c>
      <c r="AB1058">
        <v>24</v>
      </c>
      <c r="AC1058">
        <v>0.18639999999999099</v>
      </c>
      <c r="AD1058">
        <v>8.3471000000000004E-2</v>
      </c>
      <c r="AE1058">
        <v>-0.44760000000002198</v>
      </c>
      <c r="AF1058">
        <v>0.32946037855265797</v>
      </c>
      <c r="AG1058">
        <v>8.3471000000000004E-2</v>
      </c>
      <c r="AH1058">
        <v>0.33646343162817199</v>
      </c>
      <c r="AI1058">
        <v>79.948359149847604</v>
      </c>
      <c r="AJ1058">
        <v>45.602517267292598</v>
      </c>
      <c r="AK1058">
        <v>0.47824595105454598</v>
      </c>
      <c r="AL1058">
        <v>91.043388600148106</v>
      </c>
      <c r="AM1058">
        <v>79.067591374108005</v>
      </c>
      <c r="AN1058">
        <v>1.00000000248859</v>
      </c>
    </row>
    <row r="1059" spans="1:40" x14ac:dyDescent="0.25">
      <c r="A1059" t="str">
        <f>"20190312161244173"</f>
        <v>20190312161244173</v>
      </c>
      <c r="B1059" t="str">
        <f>"1552378364166566"</f>
        <v>1552378364166566</v>
      </c>
      <c r="C1059" t="s">
        <v>40</v>
      </c>
      <c r="D1059">
        <v>5.5226449999999998</v>
      </c>
      <c r="E1059">
        <v>0.65573870000000001</v>
      </c>
      <c r="F1059" t="s">
        <v>43</v>
      </c>
      <c r="G1059">
        <v>-203.0265</v>
      </c>
      <c r="H1059">
        <v>1.192815</v>
      </c>
      <c r="I1059">
        <v>363.95080000000002</v>
      </c>
      <c r="J1059">
        <v>-203.2544</v>
      </c>
      <c r="K1059">
        <v>1.1030549999999999</v>
      </c>
      <c r="L1059">
        <v>364.4495</v>
      </c>
      <c r="M1059">
        <v>0.91789969999999999</v>
      </c>
      <c r="N1059">
        <v>0</v>
      </c>
      <c r="O1059">
        <v>-0.39665270000000002</v>
      </c>
      <c r="P1059">
        <v>0.82537229999999995</v>
      </c>
      <c r="Q1059">
        <v>-2.5879159999999998E-2</v>
      </c>
      <c r="R1059">
        <v>-0.56399569999999999</v>
      </c>
      <c r="S1059">
        <v>1.791763</v>
      </c>
      <c r="T1059">
        <v>0.43208269999999999</v>
      </c>
      <c r="U1059">
        <v>-2.7327880000000002</v>
      </c>
      <c r="V1059">
        <v>0.19005140000000001</v>
      </c>
      <c r="W1059">
        <v>-1.790812E-2</v>
      </c>
      <c r="X1059">
        <v>0.98161080000000001</v>
      </c>
      <c r="Y1059">
        <v>0.54884080000000002</v>
      </c>
      <c r="Z1059">
        <v>-1.6092519999999999E-2</v>
      </c>
      <c r="AA1059">
        <v>0.83577190000000001</v>
      </c>
      <c r="AB1059">
        <v>24</v>
      </c>
      <c r="AC1059">
        <v>0.22790000000000499</v>
      </c>
      <c r="AD1059">
        <v>8.9760000000000006E-2</v>
      </c>
      <c r="AE1059">
        <v>-0.49869999999998499</v>
      </c>
      <c r="AF1059">
        <v>0.35779418783640499</v>
      </c>
      <c r="AG1059">
        <v>8.9760000000000006E-2</v>
      </c>
      <c r="AH1059">
        <v>0.39640264537029601</v>
      </c>
      <c r="AI1059">
        <v>80.458285507795793</v>
      </c>
      <c r="AJ1059">
        <v>47.930498093157397</v>
      </c>
      <c r="AK1059">
        <v>0.54148739201026796</v>
      </c>
      <c r="AL1059">
        <v>91.026114546935901</v>
      </c>
      <c r="AM1059">
        <v>79.042437204907202</v>
      </c>
      <c r="AN1059">
        <v>0.99999999904026704</v>
      </c>
    </row>
    <row r="1060" spans="1:40" x14ac:dyDescent="0.25">
      <c r="A1060" t="str">
        <f>"20190312161244186"</f>
        <v>20190312161244186</v>
      </c>
      <c r="B1060" t="str">
        <f>"1552378364176835"</f>
        <v>1552378364176835</v>
      </c>
      <c r="C1060" t="s">
        <v>40</v>
      </c>
      <c r="D1060">
        <v>5.7644279999999997</v>
      </c>
      <c r="E1060">
        <v>0.65543450000000003</v>
      </c>
      <c r="F1060" t="s">
        <v>43</v>
      </c>
      <c r="G1060">
        <v>-202.84610000000001</v>
      </c>
      <c r="H1060">
        <v>1.2020569999999999</v>
      </c>
      <c r="I1060">
        <v>363.82089999999999</v>
      </c>
      <c r="J1060">
        <v>-203.1181</v>
      </c>
      <c r="K1060">
        <v>1.1029850000000001</v>
      </c>
      <c r="L1060">
        <v>364.38339999999999</v>
      </c>
      <c r="M1060">
        <v>0.915377</v>
      </c>
      <c r="N1060">
        <v>0</v>
      </c>
      <c r="O1060">
        <v>-0.40243960000000001</v>
      </c>
      <c r="P1060">
        <v>0.821712</v>
      </c>
      <c r="Q1060">
        <v>-2.5844229999999999E-2</v>
      </c>
      <c r="R1060">
        <v>-0.56931669999999901</v>
      </c>
      <c r="S1060">
        <v>1.7776029999999901</v>
      </c>
      <c r="T1060">
        <v>0.43114609999999898</v>
      </c>
      <c r="U1060">
        <v>-2.7375180000000001</v>
      </c>
      <c r="V1060">
        <v>0.190194</v>
      </c>
      <c r="W1060">
        <v>-1.7895419999999999E-2</v>
      </c>
      <c r="X1060">
        <v>0.98158339999999999</v>
      </c>
      <c r="Y1060">
        <v>0.54731569999999996</v>
      </c>
      <c r="Z1060">
        <v>-1.7055399999999998E-2</v>
      </c>
      <c r="AA1060">
        <v>0.83675239999999995</v>
      </c>
      <c r="AB1060">
        <v>24</v>
      </c>
      <c r="AC1060">
        <v>0.27199999999999103</v>
      </c>
      <c r="AD1060">
        <v>9.9071999999999799E-2</v>
      </c>
      <c r="AE1060">
        <v>-0.5625</v>
      </c>
      <c r="AF1060">
        <v>0.39551762840920901</v>
      </c>
      <c r="AG1060">
        <v>9.9071999999999799E-2</v>
      </c>
      <c r="AH1060">
        <v>0.46372600040001499</v>
      </c>
      <c r="AI1060">
        <v>80.767352411097093</v>
      </c>
      <c r="AJ1060">
        <v>49.538728911715097</v>
      </c>
      <c r="AK1060">
        <v>0.61748786143003698</v>
      </c>
      <c r="AL1060">
        <v>91.025386785822207</v>
      </c>
      <c r="AM1060">
        <v>79.034116044092698</v>
      </c>
      <c r="AN1060">
        <v>0.99999998742426799</v>
      </c>
    </row>
    <row r="1061" spans="1:40" x14ac:dyDescent="0.25">
      <c r="A1061" t="str">
        <f>"20190312161244204"</f>
        <v>20190312161244204</v>
      </c>
      <c r="B1061" t="str">
        <f>"1552378364196354"</f>
        <v>1552378364196354</v>
      </c>
      <c r="C1061" t="s">
        <v>40</v>
      </c>
      <c r="D1061">
        <v>5.7932169999999896</v>
      </c>
      <c r="E1061">
        <v>0.65510290000000004</v>
      </c>
      <c r="F1061" t="s">
        <v>43</v>
      </c>
      <c r="G1061">
        <v>-202.79499999999999</v>
      </c>
      <c r="H1061">
        <v>1.1817869999999999</v>
      </c>
      <c r="I1061">
        <v>363.87990000000002</v>
      </c>
      <c r="J1061">
        <v>-202.95179999999999</v>
      </c>
      <c r="K1061">
        <v>1.1029</v>
      </c>
      <c r="L1061">
        <v>364.30099999999999</v>
      </c>
      <c r="M1061">
        <v>0.91220349999999994</v>
      </c>
      <c r="N1061">
        <v>0</v>
      </c>
      <c r="O1061">
        <v>-0.40958139999999998</v>
      </c>
      <c r="P1061">
        <v>0.81715230000000005</v>
      </c>
      <c r="Q1061">
        <v>-2.6044419999999999E-2</v>
      </c>
      <c r="R1061">
        <v>-0.57583280000000003</v>
      </c>
      <c r="S1061">
        <v>1.76152</v>
      </c>
      <c r="T1061">
        <v>0.4299017</v>
      </c>
      <c r="U1061">
        <v>-2.7465519999999999</v>
      </c>
      <c r="V1061">
        <v>0.19032379999999999</v>
      </c>
      <c r="W1061">
        <v>-1.8119969999999999E-2</v>
      </c>
      <c r="X1061">
        <v>0.98155420000000004</v>
      </c>
      <c r="Y1061">
        <v>0.54556519999999897</v>
      </c>
      <c r="Z1061">
        <v>-1.8208499999999999E-2</v>
      </c>
      <c r="AA1061">
        <v>0.83787049999999996</v>
      </c>
      <c r="AB1061">
        <v>24</v>
      </c>
      <c r="AC1061">
        <v>0.15680000000000399</v>
      </c>
      <c r="AD1061">
        <v>7.8887000000000096E-2</v>
      </c>
      <c r="AE1061">
        <v>-0.421099999999967</v>
      </c>
      <c r="AF1061">
        <v>0.31036126725678997</v>
      </c>
      <c r="AG1061">
        <v>7.8887000000000096E-2</v>
      </c>
      <c r="AH1061">
        <v>0.306094208078318</v>
      </c>
      <c r="AI1061">
        <v>79.742162590516699</v>
      </c>
      <c r="AJ1061">
        <v>44.603409188357297</v>
      </c>
      <c r="AK1061">
        <v>0.44299090193968299</v>
      </c>
      <c r="AL1061">
        <v>91.038254559450195</v>
      </c>
      <c r="AM1061">
        <v>79.026495343529504</v>
      </c>
      <c r="AN1061">
        <v>1.00000006484843</v>
      </c>
    </row>
    <row r="1062" spans="1:40" x14ac:dyDescent="0.25">
      <c r="A1062" t="str">
        <f>"20190312161244215"</f>
        <v>20190312161244215</v>
      </c>
      <c r="B1062" t="str">
        <f>"1552378364206114"</f>
        <v>1552378364206114</v>
      </c>
      <c r="C1062" t="s">
        <v>40</v>
      </c>
      <c r="D1062">
        <v>5.8212609999999998</v>
      </c>
      <c r="E1062">
        <v>0.6774772</v>
      </c>
      <c r="F1062" t="s">
        <v>43</v>
      </c>
      <c r="G1062">
        <v>-202.62440000000001</v>
      </c>
      <c r="H1062">
        <v>1.1832689999999999</v>
      </c>
      <c r="I1062">
        <v>363.78179999999998</v>
      </c>
      <c r="J1062">
        <v>-202.82910000000001</v>
      </c>
      <c r="K1062">
        <v>1.102838</v>
      </c>
      <c r="L1062">
        <v>364.23910000000001</v>
      </c>
      <c r="M1062">
        <v>0.90979560000000004</v>
      </c>
      <c r="N1062">
        <v>0</v>
      </c>
      <c r="O1062">
        <v>-0.41490270000000001</v>
      </c>
      <c r="P1062">
        <v>0.81368600000000002</v>
      </c>
      <c r="Q1062">
        <v>-2.6482430000000001E-2</v>
      </c>
      <c r="R1062">
        <v>-0.58070140000000003</v>
      </c>
      <c r="S1062">
        <v>1.741333</v>
      </c>
      <c r="T1062">
        <v>0.42695610000000001</v>
      </c>
      <c r="U1062">
        <v>-2.758057</v>
      </c>
      <c r="V1062">
        <v>0.19044659999999999</v>
      </c>
      <c r="W1062">
        <v>-1.8576240000000001E-2</v>
      </c>
      <c r="X1062">
        <v>0.9815218</v>
      </c>
      <c r="Y1062">
        <v>0.54667379999999999</v>
      </c>
      <c r="Z1062">
        <v>-1.8791769999999999E-2</v>
      </c>
      <c r="AA1062">
        <v>0.83713479999999996</v>
      </c>
      <c r="AB1062">
        <v>24</v>
      </c>
      <c r="AC1062">
        <v>0.20470000000000199</v>
      </c>
      <c r="AD1062">
        <v>8.04310000000001E-2</v>
      </c>
      <c r="AE1062">
        <v>-0.45730000000003201</v>
      </c>
      <c r="AF1062">
        <v>0.32282071676563201</v>
      </c>
      <c r="AG1062">
        <v>8.04310000000001E-2</v>
      </c>
      <c r="AH1062">
        <v>0.366547911551867</v>
      </c>
      <c r="AI1062">
        <v>80.6490110831474</v>
      </c>
      <c r="AJ1062">
        <v>48.629453951120503</v>
      </c>
      <c r="AK1062">
        <v>0.49501488098552299</v>
      </c>
      <c r="AL1062">
        <v>91.064401358978998</v>
      </c>
      <c r="AM1062">
        <v>79.019233446530606</v>
      </c>
      <c r="AN1062">
        <v>1.0000000140096601</v>
      </c>
    </row>
    <row r="1063" spans="1:40" x14ac:dyDescent="0.25">
      <c r="A1063" t="str">
        <f>"20190312161244228"</f>
        <v>20190312161244228</v>
      </c>
      <c r="B1063" t="str">
        <f>"1552378364216851"</f>
        <v>1552378364216851</v>
      </c>
      <c r="C1063" t="s">
        <v>40</v>
      </c>
      <c r="D1063">
        <v>5.4330410000000002</v>
      </c>
      <c r="E1063">
        <v>0.6774772</v>
      </c>
      <c r="F1063" t="s">
        <v>42</v>
      </c>
      <c r="G1063">
        <v>-194.32939999999999</v>
      </c>
      <c r="H1063" s="1">
        <v>-4.87568E-6</v>
      </c>
      <c r="I1063">
        <v>349.0575</v>
      </c>
      <c r="J1063">
        <v>-202.7028</v>
      </c>
      <c r="K1063">
        <v>1.1027720000000001</v>
      </c>
      <c r="L1063">
        <v>364.1748</v>
      </c>
      <c r="M1063">
        <v>0.9072675</v>
      </c>
      <c r="N1063">
        <v>0</v>
      </c>
      <c r="O1063">
        <v>-0.42040169999999999</v>
      </c>
      <c r="P1063">
        <v>0.81011699999999998</v>
      </c>
      <c r="Q1063">
        <v>-2.678266E-2</v>
      </c>
      <c r="R1063">
        <v>-0.58565639999999997</v>
      </c>
      <c r="S1063">
        <v>1.6178440000000001</v>
      </c>
      <c r="T1063">
        <v>-0.20991599999999999</v>
      </c>
      <c r="U1063">
        <v>-2.8896790000000001</v>
      </c>
      <c r="V1063">
        <v>0.1904923</v>
      </c>
      <c r="W1063">
        <v>-1.8893790000000001E-2</v>
      </c>
      <c r="X1063">
        <v>0.98150689999999996</v>
      </c>
      <c r="Y1063">
        <v>0.58597440000000001</v>
      </c>
      <c r="Z1063">
        <v>8.0251539999999996E-3</v>
      </c>
      <c r="AA1063">
        <v>0.81028979999999995</v>
      </c>
      <c r="AB1063">
        <v>24</v>
      </c>
      <c r="AC1063">
        <v>8.3734000000000002</v>
      </c>
      <c r="AD1063">
        <v>-1.1027768756799901</v>
      </c>
      <c r="AE1063">
        <v>-15.1173</v>
      </c>
      <c r="AF1063">
        <v>10.154546159041301</v>
      </c>
      <c r="AG1063">
        <v>-1.1027768756799901</v>
      </c>
      <c r="AH1063">
        <v>13.8965579065335</v>
      </c>
      <c r="AI1063">
        <v>93.6660902332776</v>
      </c>
      <c r="AJ1063">
        <v>53.843509934430301</v>
      </c>
      <c r="AK1063">
        <v>17.246601003771001</v>
      </c>
      <c r="AL1063">
        <v>91.082598795918997</v>
      </c>
      <c r="AM1063">
        <v>79.016499868022905</v>
      </c>
      <c r="AN1063">
        <v>1.0000000432037299</v>
      </c>
    </row>
    <row r="1064" spans="1:40" x14ac:dyDescent="0.25">
      <c r="A1064" t="str">
        <f>"20190312161244241"</f>
        <v>20190312161244241</v>
      </c>
      <c r="B1064" t="str">
        <f>"1552378364236371"</f>
        <v>1552378364236371</v>
      </c>
      <c r="C1064" t="s">
        <v>40</v>
      </c>
      <c r="D1064">
        <v>5.8644080000000001</v>
      </c>
      <c r="E1064">
        <v>0.64384359999999996</v>
      </c>
      <c r="F1064" t="s">
        <v>42</v>
      </c>
      <c r="G1064">
        <v>-194.33420000000001</v>
      </c>
      <c r="H1064" s="1">
        <v>-4.8605460000000003E-6</v>
      </c>
      <c r="I1064">
        <v>349.01060000000001</v>
      </c>
      <c r="J1064">
        <v>-202.5797</v>
      </c>
      <c r="K1064">
        <v>1.1027100000000001</v>
      </c>
      <c r="L1064">
        <v>364.1105</v>
      </c>
      <c r="M1064">
        <v>0.90472819999999998</v>
      </c>
      <c r="N1064">
        <v>0</v>
      </c>
      <c r="O1064">
        <v>-0.42583860000000001</v>
      </c>
      <c r="P1064">
        <v>0.80652440000000003</v>
      </c>
      <c r="Q1064">
        <v>-2.712943E-2</v>
      </c>
      <c r="R1064">
        <v>-0.59057850000000001</v>
      </c>
      <c r="S1064">
        <v>1.6001129999999999</v>
      </c>
      <c r="T1064">
        <v>-0.21085599999999999</v>
      </c>
      <c r="U1064">
        <v>-2.8994749999999998</v>
      </c>
      <c r="V1064">
        <v>0.1905751</v>
      </c>
      <c r="W1064">
        <v>-1.9257010000000001E-2</v>
      </c>
      <c r="X1064">
        <v>0.98148369999999996</v>
      </c>
      <c r="Y1064">
        <v>0.58607359999999997</v>
      </c>
      <c r="Z1064">
        <v>8.455288E-3</v>
      </c>
      <c r="AA1064">
        <v>0.81021369999999904</v>
      </c>
      <c r="AB1064">
        <v>24</v>
      </c>
      <c r="AC1064">
        <v>8.2454999999999892</v>
      </c>
      <c r="AD1064">
        <v>-1.102714860546</v>
      </c>
      <c r="AE1064">
        <v>-15.0998999999999</v>
      </c>
      <c r="AF1064">
        <v>10.109175149292801</v>
      </c>
      <c r="AG1064">
        <v>-1.102714860546</v>
      </c>
      <c r="AH1064">
        <v>13.8341162491263</v>
      </c>
      <c r="AI1064">
        <v>93.682353093897802</v>
      </c>
      <c r="AJ1064">
        <v>53.842817135415103</v>
      </c>
      <c r="AK1064">
        <v>17.169571184426498</v>
      </c>
      <c r="AL1064">
        <v>91.103413628217098</v>
      </c>
      <c r="AM1064">
        <v>79.011588509060104</v>
      </c>
      <c r="AN1064">
        <v>0.99999997726991896</v>
      </c>
    </row>
    <row r="1065" spans="1:40" x14ac:dyDescent="0.25">
      <c r="A1065" t="str">
        <f>"20190312161244253"</f>
        <v>20190312161244253</v>
      </c>
      <c r="B1065" t="str">
        <f>"1552378364246130"</f>
        <v>1552378364246130</v>
      </c>
      <c r="C1065" t="s">
        <v>40</v>
      </c>
      <c r="D1065">
        <v>5.647303</v>
      </c>
      <c r="E1065">
        <v>0.64361979999999996</v>
      </c>
      <c r="F1065" t="s">
        <v>58</v>
      </c>
      <c r="G1065">
        <v>-161.45359999999999</v>
      </c>
      <c r="H1065">
        <v>9.1117589999999993</v>
      </c>
      <c r="I1065">
        <v>300.11509999999998</v>
      </c>
      <c r="J1065">
        <v>-202.46340000000001</v>
      </c>
      <c r="K1065">
        <v>1.102654</v>
      </c>
      <c r="L1065">
        <v>364.04930000000002</v>
      </c>
      <c r="M1065">
        <v>0.90228489999999995</v>
      </c>
      <c r="N1065">
        <v>0</v>
      </c>
      <c r="O1065">
        <v>-0.43099100000000001</v>
      </c>
      <c r="P1065">
        <v>0.80302910000000005</v>
      </c>
      <c r="Q1065">
        <v>-2.74574E-2</v>
      </c>
      <c r="R1065">
        <v>-0.59530689999999997</v>
      </c>
      <c r="S1065">
        <v>1.7439420000000001</v>
      </c>
      <c r="T1065">
        <v>0.33962510000000001</v>
      </c>
      <c r="U1065">
        <v>-2.7137150000000001</v>
      </c>
      <c r="V1065">
        <v>0.19074169999999999</v>
      </c>
      <c r="W1065">
        <v>-1.960193E-2</v>
      </c>
      <c r="X1065">
        <v>0.98144450000000005</v>
      </c>
      <c r="Y1065">
        <v>0.52550379999999997</v>
      </c>
      <c r="Z1065">
        <v>-1.834904E-2</v>
      </c>
      <c r="AA1065">
        <v>0.85059340000000005</v>
      </c>
      <c r="AB1065">
        <v>24</v>
      </c>
      <c r="AC1065">
        <v>41.009799999999998</v>
      </c>
      <c r="AD1065">
        <v>8.0091049999999999</v>
      </c>
      <c r="AE1065">
        <v>-63.934199999999997</v>
      </c>
      <c r="AF1065">
        <v>39.574581814770397</v>
      </c>
      <c r="AG1065">
        <v>8.0091049999999999</v>
      </c>
      <c r="AH1065">
        <v>63.851819603994201</v>
      </c>
      <c r="AI1065">
        <v>83.914359025888402</v>
      </c>
      <c r="AJ1065">
        <v>58.209868317457399</v>
      </c>
      <c r="AK1065">
        <v>75.5469930272277</v>
      </c>
      <c r="AL1065">
        <v>91.123179829385904</v>
      </c>
      <c r="AM1065">
        <v>79.001788047888695</v>
      </c>
      <c r="AN1065">
        <v>0.99999996917943201</v>
      </c>
    </row>
    <row r="1066" spans="1:40" x14ac:dyDescent="0.25">
      <c r="A1066" t="str">
        <f>"20190312161244265"</f>
        <v>20190312161244265</v>
      </c>
      <c r="B1066" t="str">
        <f>"1552378364256866"</f>
        <v>1552378364256866</v>
      </c>
      <c r="C1066" t="s">
        <v>40</v>
      </c>
      <c r="D1066">
        <v>5.90069</v>
      </c>
      <c r="E1066">
        <v>0.64394419999999897</v>
      </c>
      <c r="F1066" t="s">
        <v>43</v>
      </c>
      <c r="G1066">
        <v>-202.04859999999999</v>
      </c>
      <c r="H1066">
        <v>1.182769</v>
      </c>
      <c r="I1066">
        <v>363.39609999999999</v>
      </c>
      <c r="J1066">
        <v>-202.3365</v>
      </c>
      <c r="K1066">
        <v>1.102592</v>
      </c>
      <c r="L1066">
        <v>363.98140000000001</v>
      </c>
      <c r="M1066">
        <v>0.89955629999999998</v>
      </c>
      <c r="N1066">
        <v>0</v>
      </c>
      <c r="O1066">
        <v>-0.43665700000000002</v>
      </c>
      <c r="P1066">
        <v>0.799257199999999</v>
      </c>
      <c r="Q1066">
        <v>-2.7680360000000001E-2</v>
      </c>
      <c r="R1066">
        <v>-0.60035169999999904</v>
      </c>
      <c r="S1066">
        <v>1.729004</v>
      </c>
      <c r="T1066">
        <v>0.33392309999999997</v>
      </c>
      <c r="U1066">
        <v>-2.7225039999999998</v>
      </c>
      <c r="V1066">
        <v>0.1907459</v>
      </c>
      <c r="W1066">
        <v>-1.9838890000000001E-2</v>
      </c>
      <c r="X1066">
        <v>0.9814389</v>
      </c>
      <c r="Y1066">
        <v>0.52476690000000004</v>
      </c>
      <c r="Z1066">
        <v>-1.875431E-2</v>
      </c>
      <c r="AA1066">
        <v>0.8510394</v>
      </c>
      <c r="AB1066">
        <v>24</v>
      </c>
      <c r="AC1066">
        <v>0.28790000000000698</v>
      </c>
      <c r="AD1066">
        <v>8.0176999999999901E-2</v>
      </c>
      <c r="AE1066">
        <v>-0.58530000000001703</v>
      </c>
      <c r="AF1066">
        <v>0.39485670591129801</v>
      </c>
      <c r="AG1066">
        <v>8.0176999999999901E-2</v>
      </c>
      <c r="AH1066">
        <v>0.50693155127046596</v>
      </c>
      <c r="AI1066">
        <v>82.887607576370996</v>
      </c>
      <c r="AJ1066">
        <v>52.084432044605201</v>
      </c>
      <c r="AK1066">
        <v>0.64754904617766396</v>
      </c>
      <c r="AL1066">
        <v>91.136759303506906</v>
      </c>
      <c r="AM1066">
        <v>79.001490554441304</v>
      </c>
      <c r="AN1066">
        <v>0.99999994717822405</v>
      </c>
    </row>
    <row r="1067" spans="1:40" x14ac:dyDescent="0.25">
      <c r="A1067" t="str">
        <f>"20190312161244281"</f>
        <v>20190312161244281</v>
      </c>
      <c r="B1067" t="str">
        <f>"1552378364276879"</f>
        <v>1552378364276879</v>
      </c>
      <c r="C1067" t="s">
        <v>40</v>
      </c>
      <c r="D1067">
        <v>5.6164550000000002</v>
      </c>
      <c r="E1067">
        <v>0.6430901</v>
      </c>
      <c r="F1067" t="s">
        <v>58</v>
      </c>
      <c r="G1067">
        <v>-162.40450000000001</v>
      </c>
      <c r="H1067">
        <v>8.8351380000000006</v>
      </c>
      <c r="I1067">
        <v>300.11509999999998</v>
      </c>
      <c r="J1067">
        <v>-202.1885</v>
      </c>
      <c r="K1067">
        <v>1.102525</v>
      </c>
      <c r="L1067">
        <v>363.9006</v>
      </c>
      <c r="M1067">
        <v>0.89628359999999996</v>
      </c>
      <c r="N1067">
        <v>0</v>
      </c>
      <c r="O1067">
        <v>-0.44333539999999999</v>
      </c>
      <c r="P1067">
        <v>0.79532159999999996</v>
      </c>
      <c r="Q1067">
        <v>-2.733822E-2</v>
      </c>
      <c r="R1067">
        <v>-0.60557119999999998</v>
      </c>
      <c r="S1067">
        <v>1.710297</v>
      </c>
      <c r="T1067">
        <v>0.33118989999999998</v>
      </c>
      <c r="U1067">
        <v>-2.7354129999999999</v>
      </c>
      <c r="V1067">
        <v>0.18986929999999999</v>
      </c>
      <c r="W1067">
        <v>-1.9494460000000002E-2</v>
      </c>
      <c r="X1067">
        <v>0.98161580000000004</v>
      </c>
      <c r="Y1067">
        <v>0.52446479999999995</v>
      </c>
      <c r="Z1067">
        <v>-1.9391990000000001E-2</v>
      </c>
      <c r="AA1067">
        <v>0.85121119999999995</v>
      </c>
      <c r="AB1067">
        <v>24</v>
      </c>
      <c r="AC1067">
        <v>39.783999999999899</v>
      </c>
      <c r="AD1067">
        <v>7.7326129999999997</v>
      </c>
      <c r="AE1067">
        <v>-63.785499999999999</v>
      </c>
      <c r="AF1067">
        <v>39.120888123890502</v>
      </c>
      <c r="AG1067">
        <v>7.7326129999999997</v>
      </c>
      <c r="AH1067">
        <v>63.270827781212901</v>
      </c>
      <c r="AI1067">
        <v>84.0654686516189</v>
      </c>
      <c r="AJ1067">
        <v>58.2711474895126</v>
      </c>
      <c r="AK1067">
        <v>74.789269548041702</v>
      </c>
      <c r="AL1067">
        <v>91.117021060682006</v>
      </c>
      <c r="AM1067">
        <v>79.052736956176503</v>
      </c>
      <c r="AN1067">
        <v>0.99999998193141004</v>
      </c>
    </row>
    <row r="1068" spans="1:40" x14ac:dyDescent="0.25">
      <c r="A1068" t="str">
        <f>"20190312161244920"</f>
        <v>20190312161244920</v>
      </c>
      <c r="B1068" t="str">
        <f>"1552378364917173"</f>
        <v>1552378364917173</v>
      </c>
      <c r="C1068" t="s">
        <v>40</v>
      </c>
      <c r="D1068">
        <v>6.061178</v>
      </c>
      <c r="E1068">
        <v>0.59036239999999995</v>
      </c>
      <c r="F1068" t="s">
        <v>58</v>
      </c>
      <c r="G1068">
        <v>-162.7003</v>
      </c>
      <c r="H1068">
        <v>8.7216190000000005</v>
      </c>
      <c r="I1068">
        <v>300.11509999999998</v>
      </c>
      <c r="J1068">
        <v>-196.61600000000001</v>
      </c>
      <c r="K1068">
        <v>1.1005799999999999</v>
      </c>
      <c r="L1068">
        <v>359.39030000000002</v>
      </c>
      <c r="M1068">
        <v>0.68553160000000002</v>
      </c>
      <c r="N1068">
        <v>0</v>
      </c>
      <c r="O1068">
        <v>-0.72794619999999999</v>
      </c>
      <c r="P1068">
        <v>0.53101899999999902</v>
      </c>
      <c r="Q1068">
        <v>-2.897773E-2</v>
      </c>
      <c r="R1068">
        <v>-0.84686430000000001</v>
      </c>
      <c r="S1068">
        <v>1.696625</v>
      </c>
      <c r="T1068">
        <v>0.32736019999999999</v>
      </c>
      <c r="U1068">
        <v>-2.74057</v>
      </c>
      <c r="V1068">
        <v>0.1935827</v>
      </c>
      <c r="W1068">
        <v>-2.1611149999999999E-2</v>
      </c>
      <c r="X1068">
        <v>0.98084590000000005</v>
      </c>
      <c r="Y1068">
        <v>0.20127690000000001</v>
      </c>
      <c r="Z1068">
        <v>-6.6589040000000002E-2</v>
      </c>
      <c r="AA1068">
        <v>0.97726840000000004</v>
      </c>
      <c r="AB1068">
        <v>25</v>
      </c>
      <c r="AC1068">
        <v>33.915699999999902</v>
      </c>
      <c r="AD1068">
        <v>7.6210389999999997</v>
      </c>
      <c r="AE1068">
        <v>-59.275199999999998</v>
      </c>
      <c r="AF1068">
        <v>15.7511851079823</v>
      </c>
      <c r="AG1068">
        <v>7.6210389999999997</v>
      </c>
      <c r="AH1068">
        <v>65.587332174909605</v>
      </c>
      <c r="AI1068">
        <v>83.553812783760094</v>
      </c>
      <c r="AJ1068">
        <v>76.495820826345394</v>
      </c>
      <c r="AK1068">
        <v>67.881353916722702</v>
      </c>
      <c r="AL1068">
        <v>91.238324100173401</v>
      </c>
      <c r="AM1068">
        <v>78.835418182373601</v>
      </c>
      <c r="AN1068">
        <v>0.99999999154521102</v>
      </c>
    </row>
    <row r="1069" spans="1:40" x14ac:dyDescent="0.25">
      <c r="A1069" t="str">
        <f>"20190312161244945"</f>
        <v>20190312161244945</v>
      </c>
      <c r="B1069" t="str">
        <f>"1552378364936693"</f>
        <v>1552378364936693</v>
      </c>
      <c r="C1069" t="s">
        <v>40</v>
      </c>
      <c r="D1069">
        <v>6.009735</v>
      </c>
      <c r="E1069">
        <v>0.598221</v>
      </c>
      <c r="F1069" t="s">
        <v>58</v>
      </c>
      <c r="G1069">
        <v>-167.53530000000001</v>
      </c>
      <c r="H1069">
        <v>5.9717120000000001</v>
      </c>
      <c r="I1069">
        <v>272.61509999999998</v>
      </c>
      <c r="J1069">
        <v>-196.43049999999999</v>
      </c>
      <c r="K1069">
        <v>1.100538</v>
      </c>
      <c r="L1069">
        <v>359.16890000000001</v>
      </c>
      <c r="M1069">
        <v>0.67433379999999998</v>
      </c>
      <c r="N1069">
        <v>0</v>
      </c>
      <c r="O1069">
        <v>-0.73833099999999996</v>
      </c>
      <c r="P1069">
        <v>0.51729349999999996</v>
      </c>
      <c r="Q1069">
        <v>-2.8131650000000001E-2</v>
      </c>
      <c r="R1069">
        <v>-0.85534569999999999</v>
      </c>
      <c r="S1069">
        <v>0.98257450000000002</v>
      </c>
      <c r="T1069">
        <v>0.1645875</v>
      </c>
      <c r="U1069">
        <v>-2.9319459999999999</v>
      </c>
      <c r="V1069">
        <v>0.19445499999999999</v>
      </c>
      <c r="W1069">
        <v>-2.0792970000000001E-2</v>
      </c>
      <c r="X1069">
        <v>0.98069099999999998</v>
      </c>
      <c r="Y1069">
        <v>0.40496539999999998</v>
      </c>
      <c r="Z1069">
        <v>-3.1672319999999997E-2</v>
      </c>
      <c r="AA1069">
        <v>0.91378329999999997</v>
      </c>
      <c r="AB1069">
        <v>25</v>
      </c>
      <c r="AC1069">
        <v>28.8951999999999</v>
      </c>
      <c r="AD1069">
        <v>4.8711739999999999</v>
      </c>
      <c r="AE1069">
        <v>-86.553799999999995</v>
      </c>
      <c r="AF1069">
        <v>36.9293078915059</v>
      </c>
      <c r="AG1069">
        <v>4.8711739999999999</v>
      </c>
      <c r="AH1069">
        <v>83.159271969732103</v>
      </c>
      <c r="AI1069">
        <v>86.935591193792106</v>
      </c>
      <c r="AJ1069">
        <v>66.054985655703305</v>
      </c>
      <c r="AK1069">
        <v>91.120615845261796</v>
      </c>
      <c r="AL1069">
        <v>91.191435327876704</v>
      </c>
      <c r="AM1069">
        <v>78.7846554732605</v>
      </c>
      <c r="AN1069">
        <v>0.999999966053709</v>
      </c>
    </row>
    <row r="1070" spans="1:40" x14ac:dyDescent="0.25">
      <c r="A1070" t="str">
        <f>"20190312161244965"</f>
        <v>20190312161244965</v>
      </c>
      <c r="B1070" t="str">
        <f>"1552378364957189"</f>
        <v>1552378364957189</v>
      </c>
      <c r="C1070" t="s">
        <v>40</v>
      </c>
      <c r="D1070">
        <v>5.8936679999999999</v>
      </c>
      <c r="E1070">
        <v>0.60282530000000001</v>
      </c>
      <c r="F1070" t="s">
        <v>59</v>
      </c>
      <c r="G1070">
        <v>-157.25</v>
      </c>
      <c r="H1070">
        <v>1.8443309999999999</v>
      </c>
      <c r="I1070">
        <v>226.96199999999999</v>
      </c>
      <c r="J1070">
        <v>-196.28360000000001</v>
      </c>
      <c r="K1070">
        <v>1.1005069999999999</v>
      </c>
      <c r="L1070">
        <v>358.98840000000001</v>
      </c>
      <c r="M1070">
        <v>0.66517479999999995</v>
      </c>
      <c r="N1070">
        <v>0</v>
      </c>
      <c r="O1070">
        <v>-0.74659279999999995</v>
      </c>
      <c r="P1070">
        <v>0.50664290000000001</v>
      </c>
      <c r="Q1070">
        <v>-2.7547849999999999E-2</v>
      </c>
      <c r="R1070">
        <v>-0.86171589999999998</v>
      </c>
      <c r="S1070">
        <v>0.88159179999999904</v>
      </c>
      <c r="T1070">
        <v>1.6737220000000001E-2</v>
      </c>
      <c r="U1070">
        <v>-2.9747620000000001</v>
      </c>
      <c r="V1070">
        <v>0.19454750000000001</v>
      </c>
      <c r="W1070">
        <v>-2.0216149999999999E-2</v>
      </c>
      <c r="X1070">
        <v>0.98068480000000002</v>
      </c>
      <c r="Y1070">
        <v>0.425651</v>
      </c>
      <c r="Z1070">
        <v>-3.225875E-3</v>
      </c>
      <c r="AA1070">
        <v>0.90488170000000001</v>
      </c>
      <c r="AB1070">
        <v>25</v>
      </c>
      <c r="AC1070">
        <v>39.0336</v>
      </c>
      <c r="AD1070">
        <v>0.74382400000000004</v>
      </c>
      <c r="AE1070">
        <v>-132.0264</v>
      </c>
      <c r="AF1070">
        <v>58.680873751170303</v>
      </c>
      <c r="AG1070">
        <v>0.74382400000000004</v>
      </c>
      <c r="AH1070">
        <v>124.53931420190401</v>
      </c>
      <c r="AI1070">
        <v>89.690440563515196</v>
      </c>
      <c r="AJ1070">
        <v>64.770958726023906</v>
      </c>
      <c r="AK1070">
        <v>137.67366850717801</v>
      </c>
      <c r="AL1070">
        <v>91.158378928056393</v>
      </c>
      <c r="AM1070">
        <v>78.779386656081101</v>
      </c>
      <c r="AN1070">
        <v>1.00000004971405</v>
      </c>
    </row>
    <row r="1071" spans="1:40" x14ac:dyDescent="0.25">
      <c r="A1071" t="str">
        <f>"20190312161244994"</f>
        <v>20190312161244994</v>
      </c>
      <c r="B1071" t="str">
        <f>"1552378364986470"</f>
        <v>1552378364986470</v>
      </c>
      <c r="C1071" t="s">
        <v>40</v>
      </c>
      <c r="D1071">
        <v>6.16465</v>
      </c>
      <c r="E1071">
        <v>0.60161849999999994</v>
      </c>
      <c r="F1071" t="s">
        <v>42</v>
      </c>
      <c r="G1071">
        <v>-186.6628</v>
      </c>
      <c r="H1071" s="1">
        <v>-2.243959E-6</v>
      </c>
      <c r="I1071">
        <v>323.48360000000002</v>
      </c>
      <c r="J1071">
        <v>-196.09139999999999</v>
      </c>
      <c r="K1071">
        <v>1.100457</v>
      </c>
      <c r="L1071">
        <v>358.74489999999997</v>
      </c>
      <c r="M1071">
        <v>0.6527752</v>
      </c>
      <c r="N1071">
        <v>0</v>
      </c>
      <c r="O1071">
        <v>-0.75745799999999996</v>
      </c>
      <c r="P1071">
        <v>0.49218210000000001</v>
      </c>
      <c r="Q1071">
        <v>-2.7157110000000002E-2</v>
      </c>
      <c r="R1071">
        <v>-0.87006879999999998</v>
      </c>
      <c r="S1071">
        <v>0.81301880000000004</v>
      </c>
      <c r="T1071">
        <v>-9.2999460000000006E-2</v>
      </c>
      <c r="U1071">
        <v>-3.0003660000000001</v>
      </c>
      <c r="V1071">
        <v>0.19477059999999999</v>
      </c>
      <c r="W1071">
        <v>-1.9837810000000001E-2</v>
      </c>
      <c r="X1071">
        <v>0.98064819999999997</v>
      </c>
      <c r="Y1071">
        <v>0.43201709999999899</v>
      </c>
      <c r="Z1071">
        <v>1.8219470000000001E-2</v>
      </c>
      <c r="AA1071">
        <v>0.90168139999999997</v>
      </c>
      <c r="AB1071">
        <v>25</v>
      </c>
      <c r="AC1071">
        <v>9.4285999999999799</v>
      </c>
      <c r="AD1071">
        <v>-1.100459243959</v>
      </c>
      <c r="AE1071">
        <v>-35.261299999999899</v>
      </c>
      <c r="AF1071">
        <v>15.8626413085526</v>
      </c>
      <c r="AG1071">
        <v>-1.100459243959</v>
      </c>
      <c r="AH1071">
        <v>32.836194415107101</v>
      </c>
      <c r="AI1071">
        <v>91.728483653443007</v>
      </c>
      <c r="AJ1071">
        <v>64.215553418008895</v>
      </c>
      <c r="AK1071">
        <v>36.483558810759199</v>
      </c>
      <c r="AL1071">
        <v>91.136697341887796</v>
      </c>
      <c r="AM1071">
        <v>78.766437703398594</v>
      </c>
      <c r="AN1071">
        <v>1.0000000087465899</v>
      </c>
    </row>
    <row r="1072" spans="1:40" x14ac:dyDescent="0.25">
      <c r="A1072" t="str">
        <f>"20190312161245009"</f>
        <v>20190312161245009</v>
      </c>
      <c r="B1072" t="str">
        <f>"1552378365006966"</f>
        <v>1552378365006966</v>
      </c>
      <c r="C1072" t="s">
        <v>40</v>
      </c>
      <c r="D1072">
        <v>6.0428179999999996</v>
      </c>
      <c r="E1072">
        <v>0.60057299999999902</v>
      </c>
      <c r="F1072" t="s">
        <v>42</v>
      </c>
      <c r="G1072">
        <v>-191.48740000000001</v>
      </c>
      <c r="H1072" s="1">
        <v>-9.1565539999999997E-7</v>
      </c>
      <c r="I1072">
        <v>340.80099999999999</v>
      </c>
      <c r="J1072">
        <v>-195.976</v>
      </c>
      <c r="K1072">
        <v>1.100428</v>
      </c>
      <c r="L1072">
        <v>358.59500000000003</v>
      </c>
      <c r="M1072">
        <v>0.64511589999999996</v>
      </c>
      <c r="N1072">
        <v>0</v>
      </c>
      <c r="O1072">
        <v>-0.76399169999999905</v>
      </c>
      <c r="P1072">
        <v>0.4838055</v>
      </c>
      <c r="Q1072">
        <v>-2.6769149999999999E-2</v>
      </c>
      <c r="R1072">
        <v>-0.87476640000000006</v>
      </c>
      <c r="S1072">
        <v>0.77124019999999904</v>
      </c>
      <c r="T1072">
        <v>-0.18434610000000001</v>
      </c>
      <c r="U1072">
        <v>-3.0059200000000001</v>
      </c>
      <c r="V1072">
        <v>0.19432840000000001</v>
      </c>
      <c r="W1072">
        <v>-1.9443129999999999E-2</v>
      </c>
      <c r="X1072">
        <v>0.98074380000000005</v>
      </c>
      <c r="Y1072">
        <v>0.43518390000000001</v>
      </c>
      <c r="Z1072">
        <v>3.6557529999999998E-2</v>
      </c>
      <c r="AA1072">
        <v>0.89959909999999998</v>
      </c>
      <c r="AB1072">
        <v>25</v>
      </c>
      <c r="AC1072">
        <v>4.4885999999999902</v>
      </c>
      <c r="AD1072">
        <v>-1.1004289156553999</v>
      </c>
      <c r="AE1072">
        <v>-17.794</v>
      </c>
      <c r="AF1072">
        <v>8.0216677768302596</v>
      </c>
      <c r="AG1072">
        <v>-1.1004289156553999</v>
      </c>
      <c r="AH1072">
        <v>16.432222148217299</v>
      </c>
      <c r="AI1072">
        <v>93.443901385270095</v>
      </c>
      <c r="AJ1072">
        <v>63.979898869826997</v>
      </c>
      <c r="AK1072">
        <v>18.318734193404499</v>
      </c>
      <c r="AL1072">
        <v>91.114079510892097</v>
      </c>
      <c r="AM1072">
        <v>78.792360449323198</v>
      </c>
      <c r="AN1072">
        <v>0.99999998179459804</v>
      </c>
    </row>
    <row r="1073" spans="1:40" x14ac:dyDescent="0.25">
      <c r="A1073" t="str">
        <f>"20190312161245023"</f>
        <v>20190312161245023</v>
      </c>
      <c r="B1073" t="str">
        <f>"1552378365016726"</f>
        <v>1552378365016726</v>
      </c>
      <c r="C1073" t="s">
        <v>40</v>
      </c>
      <c r="D1073">
        <v>6.0935139999999999</v>
      </c>
      <c r="E1073">
        <v>0.60044010000000003</v>
      </c>
      <c r="F1073" t="s">
        <v>42</v>
      </c>
      <c r="G1073">
        <v>-192.27080000000001</v>
      </c>
      <c r="H1073" s="1">
        <v>-2.3805540000000001E-6</v>
      </c>
      <c r="I1073">
        <v>343.72980000000001</v>
      </c>
      <c r="J1073">
        <v>-195.8758</v>
      </c>
      <c r="K1073">
        <v>1.100401</v>
      </c>
      <c r="L1073">
        <v>358.46170000000001</v>
      </c>
      <c r="M1073">
        <v>0.63829569999999902</v>
      </c>
      <c r="N1073">
        <v>0</v>
      </c>
      <c r="O1073">
        <v>-0.76969889999999996</v>
      </c>
      <c r="P1073">
        <v>0.4761552</v>
      </c>
      <c r="Q1073">
        <v>-2.6880480000000002E-2</v>
      </c>
      <c r="R1073">
        <v>-0.87895069999999997</v>
      </c>
      <c r="S1073">
        <v>0.74977109999999902</v>
      </c>
      <c r="T1073">
        <v>-0.22267819999999999</v>
      </c>
      <c r="U1073">
        <v>-3.008057</v>
      </c>
      <c r="V1073">
        <v>0.1941571</v>
      </c>
      <c r="W1073">
        <v>-1.9553609999999999E-2</v>
      </c>
      <c r="X1073">
        <v>0.98077550000000002</v>
      </c>
      <c r="Y1073">
        <v>0.43343680000000001</v>
      </c>
      <c r="Z1073">
        <v>4.4742280000000002E-2</v>
      </c>
      <c r="AA1073">
        <v>0.9000726</v>
      </c>
      <c r="AB1073">
        <v>25</v>
      </c>
      <c r="AC1073">
        <v>3.60499999999998</v>
      </c>
      <c r="AD1073">
        <v>-1.1004033805540001</v>
      </c>
      <c r="AE1073">
        <v>-14.7318999999999</v>
      </c>
      <c r="AF1073">
        <v>6.5943017856862101</v>
      </c>
      <c r="AG1073">
        <v>-1.1004033805540001</v>
      </c>
      <c r="AH1073">
        <v>13.569720002243301</v>
      </c>
      <c r="AI1073">
        <v>94.171564657420106</v>
      </c>
      <c r="AJ1073">
        <v>64.082236459601404</v>
      </c>
      <c r="AK1073">
        <v>15.1272272601399</v>
      </c>
      <c r="AL1073">
        <v>91.120410785452904</v>
      </c>
      <c r="AM1073">
        <v>78.802342971245395</v>
      </c>
      <c r="AN1073">
        <v>0.99999995227234495</v>
      </c>
    </row>
    <row r="1074" spans="1:40" x14ac:dyDescent="0.25">
      <c r="A1074" t="str">
        <f>"20190312161245046"</f>
        <v>20190312161245046</v>
      </c>
      <c r="B1074" t="str">
        <f>"1552378365036245"</f>
        <v>1552378365036245</v>
      </c>
      <c r="C1074" t="s">
        <v>40</v>
      </c>
      <c r="D1074">
        <v>5.9301959999999996</v>
      </c>
      <c r="E1074">
        <v>0.600303699999999</v>
      </c>
      <c r="F1074" t="s">
        <v>42</v>
      </c>
      <c r="G1074">
        <v>-192.53020000000001</v>
      </c>
      <c r="H1074" s="1">
        <v>-2.7990479999999999E-6</v>
      </c>
      <c r="I1074">
        <v>344.54450000000003</v>
      </c>
      <c r="J1074">
        <v>-195.72489999999999</v>
      </c>
      <c r="K1074">
        <v>1.1003620000000001</v>
      </c>
      <c r="L1074">
        <v>358.2568</v>
      </c>
      <c r="M1074">
        <v>0.62777510000000003</v>
      </c>
      <c r="N1074">
        <v>0</v>
      </c>
      <c r="O1074">
        <v>-0.77830299999999997</v>
      </c>
      <c r="P1074">
        <v>0.46462530000000002</v>
      </c>
      <c r="Q1074">
        <v>-2.7146099999999999E-2</v>
      </c>
      <c r="R1074">
        <v>-0.88509119999999997</v>
      </c>
      <c r="S1074">
        <v>0.72442629999999997</v>
      </c>
      <c r="T1074">
        <v>-0.2382649</v>
      </c>
      <c r="U1074">
        <v>-3.0134280000000002</v>
      </c>
      <c r="V1074">
        <v>0.19363459999999999</v>
      </c>
      <c r="W1074">
        <v>-1.9811390000000002E-2</v>
      </c>
      <c r="X1074">
        <v>0.98087360000000001</v>
      </c>
      <c r="Y1074">
        <v>0.42874489999999998</v>
      </c>
      <c r="Z1074">
        <v>4.8846260000000002E-2</v>
      </c>
      <c r="AA1074">
        <v>0.90210409999999996</v>
      </c>
      <c r="AB1074">
        <v>25</v>
      </c>
      <c r="AC1074">
        <v>3.1946999999999801</v>
      </c>
      <c r="AD1074">
        <v>-1.1003647990479899</v>
      </c>
      <c r="AE1074">
        <v>-13.7122999999999</v>
      </c>
      <c r="AF1074">
        <v>6.0850658560886304</v>
      </c>
      <c r="AG1074">
        <v>-1.1003647990479899</v>
      </c>
      <c r="AH1074">
        <v>12.6018115698829</v>
      </c>
      <c r="AI1074">
        <v>94.495965423240705</v>
      </c>
      <c r="AJ1074">
        <v>64.225389892794098</v>
      </c>
      <c r="AK1074">
        <v>14.037253435296901</v>
      </c>
      <c r="AL1074">
        <v>91.1351833743377</v>
      </c>
      <c r="AM1074">
        <v>78.832807600653894</v>
      </c>
      <c r="AN1074">
        <v>0.99999993433392298</v>
      </c>
    </row>
    <row r="1075" spans="1:40" x14ac:dyDescent="0.25">
      <c r="A1075" t="str">
        <f>"20190312161245058"</f>
        <v>20190312161245058</v>
      </c>
      <c r="B1075" t="str">
        <f>"1552378365046982"</f>
        <v>1552378365046982</v>
      </c>
      <c r="C1075" t="s">
        <v>40</v>
      </c>
      <c r="D1075">
        <v>5.9538089999999997</v>
      </c>
      <c r="E1075">
        <v>0.60059629999999997</v>
      </c>
      <c r="F1075" t="s">
        <v>42</v>
      </c>
      <c r="G1075">
        <v>-192.7407</v>
      </c>
      <c r="H1075" s="1">
        <v>-3.0982470000000001E-6</v>
      </c>
      <c r="I1075">
        <v>345.1114</v>
      </c>
      <c r="J1075">
        <v>-195.6387</v>
      </c>
      <c r="K1075">
        <v>1.10033799999999</v>
      </c>
      <c r="L1075">
        <v>358.13650000000001</v>
      </c>
      <c r="M1075">
        <v>0.62159059999999999</v>
      </c>
      <c r="N1075">
        <v>0</v>
      </c>
      <c r="O1075">
        <v>-0.78325119999999904</v>
      </c>
      <c r="P1075">
        <v>0.45754309999999998</v>
      </c>
      <c r="Q1075">
        <v>-2.7288610000000001E-2</v>
      </c>
      <c r="R1075">
        <v>-0.88876860000000002</v>
      </c>
      <c r="S1075">
        <v>0.68597410000000003</v>
      </c>
      <c r="T1075">
        <v>-0.25293510000000002</v>
      </c>
      <c r="U1075">
        <v>-3.0216669999999999</v>
      </c>
      <c r="V1075">
        <v>0.19369069999999999</v>
      </c>
      <c r="W1075">
        <v>-1.9958710000000001E-2</v>
      </c>
      <c r="X1075">
        <v>0.98085960000000005</v>
      </c>
      <c r="Y1075">
        <v>0.43306030000000001</v>
      </c>
      <c r="Z1075">
        <v>5.2237970000000002E-2</v>
      </c>
      <c r="AA1075">
        <v>0.89985000000000004</v>
      </c>
      <c r="AB1075">
        <v>25</v>
      </c>
      <c r="AC1075">
        <v>2.8979999999999899</v>
      </c>
      <c r="AD1075">
        <v>-1.1003410982470001</v>
      </c>
      <c r="AE1075">
        <v>-13.0251</v>
      </c>
      <c r="AF1075">
        <v>5.78747862251908</v>
      </c>
      <c r="AG1075">
        <v>-1.1003410982470001</v>
      </c>
      <c r="AH1075">
        <v>11.9230743261054</v>
      </c>
      <c r="AI1075">
        <v>94.745973671237806</v>
      </c>
      <c r="AJ1075">
        <v>64.107992386204998</v>
      </c>
      <c r="AK1075">
        <v>13.299073679186799</v>
      </c>
      <c r="AL1075">
        <v>91.143625787751603</v>
      </c>
      <c r="AM1075">
        <v>78.829498154191</v>
      </c>
      <c r="AN1075">
        <v>0.99999999614175705</v>
      </c>
    </row>
    <row r="1076" spans="1:40" x14ac:dyDescent="0.25">
      <c r="A1076" t="str">
        <f>"20190312161245078"</f>
        <v>20190312161245078</v>
      </c>
      <c r="B1076" t="str">
        <f>"1552378365066502"</f>
        <v>1552378365066502</v>
      </c>
      <c r="C1076" t="s">
        <v>40</v>
      </c>
      <c r="D1076">
        <v>5.9183770000000004</v>
      </c>
      <c r="E1076">
        <v>0.60002449999999996</v>
      </c>
      <c r="F1076" t="s">
        <v>42</v>
      </c>
      <c r="G1076">
        <v>-192.8289</v>
      </c>
      <c r="H1076" s="1">
        <v>-3.1788680000000001E-6</v>
      </c>
      <c r="I1076">
        <v>345.24459999999999</v>
      </c>
      <c r="J1076">
        <v>-195.5119</v>
      </c>
      <c r="K1076">
        <v>1.100301</v>
      </c>
      <c r="L1076">
        <v>357.95639999999997</v>
      </c>
      <c r="M1076">
        <v>0.61229659999999997</v>
      </c>
      <c r="N1076">
        <v>0</v>
      </c>
      <c r="O1076">
        <v>-0.79053769999999901</v>
      </c>
      <c r="P1076">
        <v>0.4471888</v>
      </c>
      <c r="Q1076">
        <v>-2.7770329999999999E-2</v>
      </c>
      <c r="R1076">
        <v>-0.89400829999999998</v>
      </c>
      <c r="S1076">
        <v>0.65992740000000005</v>
      </c>
      <c r="T1076">
        <v>-0.25842949999999998</v>
      </c>
      <c r="U1076">
        <v>-3.0278320000000001</v>
      </c>
      <c r="V1076">
        <v>0.19347790000000001</v>
      </c>
      <c r="W1076">
        <v>-2.0440989999999999E-2</v>
      </c>
      <c r="X1076">
        <v>0.98089159999999997</v>
      </c>
      <c r="Y1076">
        <v>0.4302069</v>
      </c>
      <c r="Z1076">
        <v>5.4225530000000001E-2</v>
      </c>
      <c r="AA1076">
        <v>0.90110020000000002</v>
      </c>
      <c r="AB1076">
        <v>25</v>
      </c>
      <c r="AC1076">
        <v>2.6829999999999901</v>
      </c>
      <c r="AD1076">
        <v>-1.1003041788679999</v>
      </c>
      <c r="AE1076">
        <v>-12.711799999999901</v>
      </c>
      <c r="AF1076">
        <v>5.6224559999199597</v>
      </c>
      <c r="AG1076">
        <v>-1.1003041788679999</v>
      </c>
      <c r="AH1076">
        <v>11.609513452052299</v>
      </c>
      <c r="AI1076">
        <v>94.875488237685801</v>
      </c>
      <c r="AJ1076">
        <v>64.159218507021507</v>
      </c>
      <c r="AK1076">
        <v>12.9461763988621</v>
      </c>
      <c r="AL1076">
        <v>91.171264111750801</v>
      </c>
      <c r="AM1076">
        <v>78.841817479458498</v>
      </c>
      <c r="AN1076">
        <v>0.99999993140557197</v>
      </c>
    </row>
    <row r="1077" spans="1:40" x14ac:dyDescent="0.25">
      <c r="A1077" t="str">
        <f>"20190312161245093"</f>
        <v>20190312161245093</v>
      </c>
      <c r="B1077" t="str">
        <f>"1552378365086998"</f>
        <v>1552378365086998</v>
      </c>
      <c r="C1077" t="s">
        <v>40</v>
      </c>
      <c r="D1077">
        <v>5.9487819999999996</v>
      </c>
      <c r="E1077">
        <v>0.59987400000000002</v>
      </c>
      <c r="F1077" t="s">
        <v>42</v>
      </c>
      <c r="G1077">
        <v>-192.8305</v>
      </c>
      <c r="H1077" s="1">
        <v>-3.082036E-6</v>
      </c>
      <c r="I1077">
        <v>345.0179</v>
      </c>
      <c r="J1077">
        <v>-195.41079999999999</v>
      </c>
      <c r="K1077">
        <v>1.1002689999999999</v>
      </c>
      <c r="L1077">
        <v>357.80970000000002</v>
      </c>
      <c r="M1077">
        <v>0.60469830000000002</v>
      </c>
      <c r="N1077">
        <v>0</v>
      </c>
      <c r="O1077">
        <v>-0.79636470000000004</v>
      </c>
      <c r="P1077">
        <v>0.43877480000000002</v>
      </c>
      <c r="Q1077">
        <v>-2.7801389999999999E-2</v>
      </c>
      <c r="R1077">
        <v>-0.8981671</v>
      </c>
      <c r="S1077">
        <v>0.62860109999999902</v>
      </c>
      <c r="T1077">
        <v>-0.25795129999999999</v>
      </c>
      <c r="U1077">
        <v>-3.033264</v>
      </c>
      <c r="V1077">
        <v>0.19329260000000001</v>
      </c>
      <c r="W1077">
        <v>-2.047233E-2</v>
      </c>
      <c r="X1077">
        <v>0.98092749999999995</v>
      </c>
      <c r="Y1077">
        <v>0.43080750000000001</v>
      </c>
      <c r="Z1077">
        <v>5.47546E-2</v>
      </c>
      <c r="AA1077">
        <v>0.90078119999999995</v>
      </c>
      <c r="AB1077">
        <v>25</v>
      </c>
      <c r="AC1077">
        <v>2.58029999999999</v>
      </c>
      <c r="AD1077">
        <v>-1.1002720820359999</v>
      </c>
      <c r="AE1077">
        <v>-12.7918</v>
      </c>
      <c r="AF1077">
        <v>5.6406268220350597</v>
      </c>
      <c r="AG1077">
        <v>-1.1002720820359999</v>
      </c>
      <c r="AH1077">
        <v>11.665153379864</v>
      </c>
      <c r="AI1077">
        <v>94.853628397227595</v>
      </c>
      <c r="AJ1077">
        <v>64.194142420957704</v>
      </c>
      <c r="AK1077">
        <v>13.0039637409416</v>
      </c>
      <c r="AL1077">
        <v>91.173060112241004</v>
      </c>
      <c r="AM1077">
        <v>78.852634011313398</v>
      </c>
      <c r="AN1077">
        <v>0.999999952883318</v>
      </c>
    </row>
    <row r="1078" spans="1:40" x14ac:dyDescent="0.25">
      <c r="A1078" t="str">
        <f>"20190312161245334"</f>
        <v>20190312161245334</v>
      </c>
      <c r="B1078" t="str">
        <f>"1552378365327094"</f>
        <v>1552378365327094</v>
      </c>
      <c r="C1078" t="s">
        <v>40</v>
      </c>
      <c r="D1078">
        <v>7.9896039999999902</v>
      </c>
      <c r="E1078">
        <v>0.59910949999999996</v>
      </c>
      <c r="F1078" t="s">
        <v>42</v>
      </c>
      <c r="G1078">
        <v>-192.8578</v>
      </c>
      <c r="H1078" s="1">
        <v>-3.0417250000000001E-6</v>
      </c>
      <c r="I1078">
        <v>344.90699999999998</v>
      </c>
      <c r="J1078">
        <v>-194.01689999999999</v>
      </c>
      <c r="K1078">
        <v>1.09988</v>
      </c>
      <c r="L1078">
        <v>355.3836</v>
      </c>
      <c r="M1078">
        <v>0.4767554</v>
      </c>
      <c r="N1078">
        <v>0</v>
      </c>
      <c r="O1078">
        <v>-0.87895290000000004</v>
      </c>
      <c r="P1078">
        <v>0.30529980000000001</v>
      </c>
      <c r="Q1078">
        <v>-2.8438519999999998E-2</v>
      </c>
      <c r="R1078">
        <v>-0.95183169999999995</v>
      </c>
      <c r="S1078">
        <v>0.60121150000000001</v>
      </c>
      <c r="T1078">
        <v>-0.25910339999999998</v>
      </c>
      <c r="U1078">
        <v>-3.0384519999999999</v>
      </c>
      <c r="V1078">
        <v>0.18501600000000001</v>
      </c>
      <c r="W1078">
        <v>-2.0942720000000001E-2</v>
      </c>
      <c r="X1078">
        <v>0.98251239999999995</v>
      </c>
      <c r="Y1078">
        <v>0.29755930000000003</v>
      </c>
      <c r="Z1078">
        <v>6.7246539999999994E-2</v>
      </c>
      <c r="AA1078">
        <v>0.95233210000000001</v>
      </c>
      <c r="AB1078">
        <v>25</v>
      </c>
      <c r="AC1078">
        <v>1.15909999999999</v>
      </c>
      <c r="AD1078">
        <v>-1.0998830417250001</v>
      </c>
      <c r="AE1078">
        <v>-10.476599999999999</v>
      </c>
      <c r="AF1078">
        <v>3.9334424338738501</v>
      </c>
      <c r="AG1078">
        <v>-1.0998830417250001</v>
      </c>
      <c r="AH1078">
        <v>9.6566120598769292</v>
      </c>
      <c r="AI1078">
        <v>96.021533373284896</v>
      </c>
      <c r="AJ1078">
        <v>67.837383526062496</v>
      </c>
      <c r="AK1078">
        <v>10.484839939695499</v>
      </c>
      <c r="AL1078">
        <v>91.200017118817698</v>
      </c>
      <c r="AM1078">
        <v>79.335569155216703</v>
      </c>
      <c r="AN1078">
        <v>1.0000000669653699</v>
      </c>
    </row>
    <row r="1079" spans="1:40" x14ac:dyDescent="0.25">
      <c r="A1079" t="str">
        <f>"20190312161245358"</f>
        <v>20190312161245358</v>
      </c>
      <c r="B1079" t="str">
        <f>"1552378365346616"</f>
        <v>1552378365346616</v>
      </c>
      <c r="C1079" t="s">
        <v>40</v>
      </c>
      <c r="D1079">
        <v>7.6735539999999904</v>
      </c>
      <c r="E1079">
        <v>0.59840479999999996</v>
      </c>
      <c r="F1079" t="s">
        <v>42</v>
      </c>
      <c r="G1079">
        <v>-193.32259999999999</v>
      </c>
      <c r="H1079" s="1">
        <v>-2.0613660000000002E-6</v>
      </c>
      <c r="I1079">
        <v>342.33350000000002</v>
      </c>
      <c r="J1079">
        <v>-193.90360000000001</v>
      </c>
      <c r="K1079">
        <v>1.099861</v>
      </c>
      <c r="L1079">
        <v>355.14139999999998</v>
      </c>
      <c r="M1079">
        <v>0.4638351</v>
      </c>
      <c r="N1079">
        <v>0</v>
      </c>
      <c r="O1079">
        <v>-0.88583919999999905</v>
      </c>
      <c r="P1079">
        <v>0.29311369999999998</v>
      </c>
      <c r="Q1079">
        <v>-2.8434870000000001E-2</v>
      </c>
      <c r="R1079">
        <v>-0.95565529999999999</v>
      </c>
      <c r="S1079">
        <v>0.1644745</v>
      </c>
      <c r="T1079">
        <v>-0.26053969999999999</v>
      </c>
      <c r="U1079">
        <v>-3.0913089999999999</v>
      </c>
      <c r="V1079">
        <v>0.18318380000000001</v>
      </c>
      <c r="W1079">
        <v>-2.0891710000000001E-2</v>
      </c>
      <c r="X1079">
        <v>0.98285670000000003</v>
      </c>
      <c r="Y1079">
        <v>0.4161958</v>
      </c>
      <c r="Z1079">
        <v>6.5833580000000003E-2</v>
      </c>
      <c r="AA1079">
        <v>0.90688869999999999</v>
      </c>
      <c r="AB1079">
        <v>25</v>
      </c>
      <c r="AC1079">
        <v>0.58100000000001695</v>
      </c>
      <c r="AD1079">
        <v>-1.0998630613660001</v>
      </c>
      <c r="AE1079">
        <v>-12.807899999999901</v>
      </c>
      <c r="AF1079">
        <v>5.38683430037654</v>
      </c>
      <c r="AG1079">
        <v>-1.0998630613660001</v>
      </c>
      <c r="AH1079">
        <v>11.5312154424005</v>
      </c>
      <c r="AI1079">
        <v>94.939052928844205</v>
      </c>
      <c r="AJ1079">
        <v>64.960260014539102</v>
      </c>
      <c r="AK1079">
        <v>12.7748429388594</v>
      </c>
      <c r="AL1079">
        <v>91.197093865455599</v>
      </c>
      <c r="AM1079">
        <v>79.442407276308401</v>
      </c>
      <c r="AN1079">
        <v>1.00000003043202</v>
      </c>
    </row>
    <row r="1080" spans="1:40" x14ac:dyDescent="0.25">
      <c r="A1080" t="str">
        <f>"20190312161245381"</f>
        <v>20190312161245381</v>
      </c>
      <c r="B1080" t="str">
        <f>"1552378365376870"</f>
        <v>1552378365376870</v>
      </c>
      <c r="C1080" t="s">
        <v>40</v>
      </c>
      <c r="D1080">
        <v>5.4332240000000001</v>
      </c>
      <c r="E1080">
        <v>0.56369429999999998</v>
      </c>
      <c r="F1080" t="s">
        <v>42</v>
      </c>
      <c r="G1080">
        <v>-193.31180000000001</v>
      </c>
      <c r="H1080" s="1">
        <v>-1.5227109999999999E-6</v>
      </c>
      <c r="I1080">
        <v>341.08449999999999</v>
      </c>
      <c r="J1080">
        <v>-193.79329999999999</v>
      </c>
      <c r="K1080">
        <v>1.099845</v>
      </c>
      <c r="L1080">
        <v>354.8965</v>
      </c>
      <c r="M1080">
        <v>0.45076100000000002</v>
      </c>
      <c r="N1080">
        <v>0</v>
      </c>
      <c r="O1080">
        <v>-0.89256270000000004</v>
      </c>
      <c r="P1080">
        <v>0.28092270000000003</v>
      </c>
      <c r="Q1080">
        <v>-2.8058759999999999E-2</v>
      </c>
      <c r="R1080">
        <v>-0.95932039999999996</v>
      </c>
      <c r="S1080">
        <v>0.130172699999999</v>
      </c>
      <c r="T1080">
        <v>-0.24193300000000001</v>
      </c>
      <c r="U1080">
        <v>-3.092041</v>
      </c>
      <c r="V1080">
        <v>0.18126100000000001</v>
      </c>
      <c r="W1080">
        <v>-2.0464960000000001E-2</v>
      </c>
      <c r="X1080">
        <v>0.98322209999999999</v>
      </c>
      <c r="Y1080">
        <v>0.41287449999999998</v>
      </c>
      <c r="Z1080">
        <v>6.1989679999999998E-2</v>
      </c>
      <c r="AA1080">
        <v>0.90867589999999998</v>
      </c>
      <c r="AB1080">
        <v>25</v>
      </c>
      <c r="AC1080">
        <v>0.481499999999982</v>
      </c>
      <c r="AD1080">
        <v>-1.0998465227109999</v>
      </c>
      <c r="AE1080">
        <v>-13.811999999999999</v>
      </c>
      <c r="AF1080">
        <v>5.7600863549115902</v>
      </c>
      <c r="AG1080">
        <v>-1.0998465227109999</v>
      </c>
      <c r="AH1080">
        <v>12.4670789383922</v>
      </c>
      <c r="AI1080">
        <v>94.578785626376998</v>
      </c>
      <c r="AJ1080">
        <v>65.201942296100398</v>
      </c>
      <c r="AK1080">
        <v>13.7773841655686</v>
      </c>
      <c r="AL1080">
        <v>91.172637661850999</v>
      </c>
      <c r="AM1080">
        <v>79.554570096061198</v>
      </c>
      <c r="AN1080">
        <v>1.0000000313185999</v>
      </c>
    </row>
    <row r="1081" spans="1:40" x14ac:dyDescent="0.25">
      <c r="A1081" t="str">
        <f>"20190312161245405"</f>
        <v>20190312161245405</v>
      </c>
      <c r="B1081" t="str">
        <f>"1552378365396390"</f>
        <v>1552378365396390</v>
      </c>
      <c r="C1081" t="s">
        <v>40</v>
      </c>
      <c r="D1081">
        <v>5.4799610000000003</v>
      </c>
      <c r="E1081">
        <v>0.55781979999999998</v>
      </c>
      <c r="F1081" t="s">
        <v>60</v>
      </c>
      <c r="G1081">
        <v>-165.2175</v>
      </c>
      <c r="H1081">
        <v>18.55012</v>
      </c>
      <c r="I1081">
        <v>109.40940000000001</v>
      </c>
      <c r="J1081">
        <v>-193.68459999999999</v>
      </c>
      <c r="K1081">
        <v>1.099831</v>
      </c>
      <c r="L1081">
        <v>354.6454</v>
      </c>
      <c r="M1081">
        <v>0.43736370000000002</v>
      </c>
      <c r="N1081">
        <v>0</v>
      </c>
      <c r="O1081">
        <v>-0.89920319999999898</v>
      </c>
      <c r="P1081">
        <v>0.26745239999999998</v>
      </c>
      <c r="Q1081">
        <v>-2.86164E-2</v>
      </c>
      <c r="R1081">
        <v>-0.96314630000000001</v>
      </c>
      <c r="S1081">
        <v>0.35273739999999998</v>
      </c>
      <c r="T1081">
        <v>0.21540490000000001</v>
      </c>
      <c r="U1081">
        <v>-3.0302730000000002</v>
      </c>
      <c r="V1081">
        <v>0.1803158</v>
      </c>
      <c r="W1081">
        <v>-2.0996500000000001E-2</v>
      </c>
      <c r="X1081">
        <v>0.9833847</v>
      </c>
      <c r="Y1081">
        <v>0.33066960000000001</v>
      </c>
      <c r="Z1081">
        <v>-5.8106459999999999E-2</v>
      </c>
      <c r="AA1081">
        <v>0.94195609999999996</v>
      </c>
      <c r="AB1081">
        <v>25</v>
      </c>
      <c r="AC1081">
        <v>28.467099999999899</v>
      </c>
      <c r="AD1081">
        <v>17.450288999999898</v>
      </c>
      <c r="AE1081">
        <v>-245.23599999999999</v>
      </c>
      <c r="AF1081">
        <v>81.2596287047716</v>
      </c>
      <c r="AG1081">
        <v>17.450288999999898</v>
      </c>
      <c r="AH1081">
        <v>231.826342085844</v>
      </c>
      <c r="AI1081">
        <v>85.936782927735194</v>
      </c>
      <c r="AJ1081">
        <v>70.683446694042303</v>
      </c>
      <c r="AK1081">
        <v>246.27442564814501</v>
      </c>
      <c r="AL1081">
        <v>91.203099178371502</v>
      </c>
      <c r="AM1081">
        <v>79.609529751346301</v>
      </c>
      <c r="AN1081">
        <v>1.0000000544679799</v>
      </c>
    </row>
    <row r="1082" spans="1:40" x14ac:dyDescent="0.25">
      <c r="A1082" t="str">
        <f>"20190312161245423"</f>
        <v>20190312161245423</v>
      </c>
      <c r="B1082" t="str">
        <f>"1552378365416887"</f>
        <v>1552378365416887</v>
      </c>
      <c r="C1082" t="s">
        <v>40</v>
      </c>
      <c r="D1082">
        <v>5.3985130000000003</v>
      </c>
      <c r="E1082">
        <v>0.55763560000000001</v>
      </c>
      <c r="F1082" t="s">
        <v>60</v>
      </c>
      <c r="G1082">
        <v>-164.88130000000001</v>
      </c>
      <c r="H1082">
        <v>18.169360000000001</v>
      </c>
      <c r="I1082">
        <v>109.74590000000001</v>
      </c>
      <c r="J1082">
        <v>-193.59790000000001</v>
      </c>
      <c r="K1082">
        <v>1.099818</v>
      </c>
      <c r="L1082">
        <v>354.43740000000003</v>
      </c>
      <c r="M1082">
        <v>0.42629060000000002</v>
      </c>
      <c r="N1082">
        <v>0</v>
      </c>
      <c r="O1082">
        <v>-0.90450529999999996</v>
      </c>
      <c r="P1082">
        <v>0.2563975</v>
      </c>
      <c r="Q1082">
        <v>-3.0122739999999999E-2</v>
      </c>
      <c r="R1082">
        <v>-0.96610209999999996</v>
      </c>
      <c r="S1082">
        <v>0.35546879999999997</v>
      </c>
      <c r="T1082">
        <v>0.21065970000000001</v>
      </c>
      <c r="U1082">
        <v>-3.0223689999999999</v>
      </c>
      <c r="V1082">
        <v>0.17945659999999999</v>
      </c>
      <c r="W1082">
        <v>-2.2478060000000001E-2</v>
      </c>
      <c r="X1082">
        <v>0.98350910000000002</v>
      </c>
      <c r="Y1082">
        <v>0.31792930000000003</v>
      </c>
      <c r="Z1082">
        <v>-5.7671890000000003E-2</v>
      </c>
      <c r="AA1082">
        <v>0.9463587</v>
      </c>
      <c r="AB1082">
        <v>25</v>
      </c>
      <c r="AC1082">
        <v>28.7166</v>
      </c>
      <c r="AD1082">
        <v>17.069541999999998</v>
      </c>
      <c r="AE1082">
        <v>-244.69149999999999</v>
      </c>
      <c r="AF1082">
        <v>77.966846066983194</v>
      </c>
      <c r="AG1082">
        <v>17.069541999999998</v>
      </c>
      <c r="AH1082">
        <v>232.46757822992899</v>
      </c>
      <c r="AI1082">
        <v>86.017691759465194</v>
      </c>
      <c r="AJ1082">
        <v>71.459163008241504</v>
      </c>
      <c r="AK1082">
        <v>245.78725206529899</v>
      </c>
      <c r="AL1082">
        <v>91.2880063946143</v>
      </c>
      <c r="AM1082">
        <v>79.659249077826601</v>
      </c>
      <c r="AN1082">
        <v>1.00000004212386</v>
      </c>
    </row>
    <row r="1083" spans="1:40" x14ac:dyDescent="0.25">
      <c r="A1083" t="str">
        <f>"20190312161245447"</f>
        <v>20190312161245447</v>
      </c>
      <c r="B1083" t="str">
        <f>"1552378365436406"</f>
        <v>1552378365436406</v>
      </c>
      <c r="C1083" t="s">
        <v>40</v>
      </c>
      <c r="D1083">
        <v>5.3827280000000002</v>
      </c>
      <c r="E1083">
        <v>0.55706650000000002</v>
      </c>
      <c r="F1083" t="s">
        <v>60</v>
      </c>
      <c r="G1083">
        <v>-167.3947</v>
      </c>
      <c r="H1083">
        <v>13.646750000000001</v>
      </c>
      <c r="I1083">
        <v>109.0287</v>
      </c>
      <c r="J1083">
        <v>-193.49780000000001</v>
      </c>
      <c r="K1083">
        <v>1.0998300000000001</v>
      </c>
      <c r="L1083">
        <v>354.18830000000003</v>
      </c>
      <c r="M1083">
        <v>0.4130549</v>
      </c>
      <c r="N1083">
        <v>0</v>
      </c>
      <c r="O1083">
        <v>-0.91062549999999998</v>
      </c>
      <c r="P1083">
        <v>0.24327689999999999</v>
      </c>
      <c r="Q1083">
        <v>-3.1055429999999998E-2</v>
      </c>
      <c r="R1083">
        <v>-0.96945959999999998</v>
      </c>
      <c r="S1083">
        <v>0.32292179999999998</v>
      </c>
      <c r="T1083">
        <v>0.15462519999999999</v>
      </c>
      <c r="U1083">
        <v>-3.0243530000000001</v>
      </c>
      <c r="V1083">
        <v>0.1784142</v>
      </c>
      <c r="W1083">
        <v>-2.3377100000000001E-2</v>
      </c>
      <c r="X1083">
        <v>0.98367769999999999</v>
      </c>
      <c r="Y1083">
        <v>0.31415470000000001</v>
      </c>
      <c r="Z1083">
        <v>-4.2861129999999997E-2</v>
      </c>
      <c r="AA1083">
        <v>0.94840380000000002</v>
      </c>
      <c r="AB1083">
        <v>25</v>
      </c>
      <c r="AC1083">
        <v>26.103100000000001</v>
      </c>
      <c r="AD1083">
        <v>12.54692</v>
      </c>
      <c r="AE1083">
        <v>-245.15960000000001</v>
      </c>
      <c r="AF1083">
        <v>77.299718672326904</v>
      </c>
      <c r="AG1083">
        <v>12.54692</v>
      </c>
      <c r="AH1083">
        <v>233.443190780892</v>
      </c>
      <c r="AI1083">
        <v>87.0791459949005</v>
      </c>
      <c r="AJ1083">
        <v>71.678815614910803</v>
      </c>
      <c r="AK1083">
        <v>246.22833921031801</v>
      </c>
      <c r="AL1083">
        <v>91.339531237471903</v>
      </c>
      <c r="AM1083">
        <v>79.719754669603702</v>
      </c>
      <c r="AN1083">
        <v>0.999999966521669</v>
      </c>
    </row>
    <row r="1084" spans="1:40" x14ac:dyDescent="0.25">
      <c r="A1084" t="str">
        <f>"20190312161245470"</f>
        <v>20190312161245470</v>
      </c>
      <c r="B1084" t="str">
        <f>"1552378365466662"</f>
        <v>1552378365466662</v>
      </c>
      <c r="C1084" t="s">
        <v>40</v>
      </c>
      <c r="D1084">
        <v>5.2453940000000001</v>
      </c>
      <c r="E1084">
        <v>0.55357100000000004</v>
      </c>
      <c r="F1084" t="s">
        <v>60</v>
      </c>
      <c r="G1084">
        <v>-168.8622</v>
      </c>
      <c r="H1084">
        <v>12.12016</v>
      </c>
      <c r="I1084">
        <v>94.250330000000005</v>
      </c>
      <c r="J1084">
        <v>-193.40129999999999</v>
      </c>
      <c r="K1084">
        <v>1.0998669999999999</v>
      </c>
      <c r="L1084">
        <v>353.9375</v>
      </c>
      <c r="M1084">
        <v>0.39980120000000002</v>
      </c>
      <c r="N1084">
        <v>0</v>
      </c>
      <c r="O1084">
        <v>-0.91652210000000001</v>
      </c>
      <c r="P1084">
        <v>0.23095779999999999</v>
      </c>
      <c r="Q1084">
        <v>-3.0611679999999999E-2</v>
      </c>
      <c r="R1084">
        <v>-0.97248250000000003</v>
      </c>
      <c r="S1084">
        <v>0.28684999999999999</v>
      </c>
      <c r="T1084">
        <v>0.1283176</v>
      </c>
      <c r="U1084">
        <v>-3.0266419999999998</v>
      </c>
      <c r="V1084">
        <v>0.1766432</v>
      </c>
      <c r="W1084">
        <v>-2.2875969999999999E-2</v>
      </c>
      <c r="X1084">
        <v>0.98400909999999997</v>
      </c>
      <c r="Y1084">
        <v>0.3116217</v>
      </c>
      <c r="Z1084">
        <v>-3.5959579999999998E-2</v>
      </c>
      <c r="AA1084">
        <v>0.94952559999999997</v>
      </c>
      <c r="AB1084">
        <v>26</v>
      </c>
      <c r="AC1084">
        <v>24.539099999999902</v>
      </c>
      <c r="AD1084">
        <v>11.020292999999899</v>
      </c>
      <c r="AE1084">
        <v>-259.68716999999998</v>
      </c>
      <c r="AF1084">
        <v>81.193636361658307</v>
      </c>
      <c r="AG1084">
        <v>11.020292999999899</v>
      </c>
      <c r="AH1084">
        <v>247.39632611131799</v>
      </c>
      <c r="AI1084">
        <v>87.576459403003895</v>
      </c>
      <c r="AJ1084">
        <v>71.830548315511194</v>
      </c>
      <c r="AK1084">
        <v>260.61234739899101</v>
      </c>
      <c r="AL1084">
        <v>91.310810851404199</v>
      </c>
      <c r="AM1084">
        <v>79.823012244549105</v>
      </c>
      <c r="AN1084">
        <v>1.00000001949624</v>
      </c>
    </row>
    <row r="1085" spans="1:40" x14ac:dyDescent="0.25">
      <c r="A1085" t="str">
        <f>"20190312161245492"</f>
        <v>20190312161245492</v>
      </c>
      <c r="B1085" t="str">
        <f>"1552378365487158"</f>
        <v>1552378365487158</v>
      </c>
      <c r="C1085" t="s">
        <v>40</v>
      </c>
      <c r="D1085">
        <v>5.3723650000000003</v>
      </c>
      <c r="E1085">
        <v>0.55197479999999999</v>
      </c>
      <c r="F1085" t="s">
        <v>60</v>
      </c>
      <c r="G1085">
        <v>-169.6747</v>
      </c>
      <c r="H1085">
        <v>11.9003</v>
      </c>
      <c r="I1085">
        <v>93.993639999999999</v>
      </c>
      <c r="J1085">
        <v>-193.31039999999999</v>
      </c>
      <c r="K1085">
        <v>1.0999300000000001</v>
      </c>
      <c r="L1085">
        <v>353.6909</v>
      </c>
      <c r="M1085">
        <v>0.38686930000000003</v>
      </c>
      <c r="N1085">
        <v>0</v>
      </c>
      <c r="O1085">
        <v>-0.92205519999999996</v>
      </c>
      <c r="P1085">
        <v>0.21903139999999999</v>
      </c>
      <c r="Q1085">
        <v>-3.1389399999999998E-2</v>
      </c>
      <c r="R1085">
        <v>-0.97521310000000005</v>
      </c>
      <c r="S1085">
        <v>0.27595520000000001</v>
      </c>
      <c r="T1085">
        <v>0.12561620000000001</v>
      </c>
      <c r="U1085">
        <v>-3.0233150000000002</v>
      </c>
      <c r="V1085">
        <v>0.1748276</v>
      </c>
      <c r="W1085">
        <v>-2.3592229999999999E-2</v>
      </c>
      <c r="X1085">
        <v>0.98431630000000003</v>
      </c>
      <c r="Y1085">
        <v>0.30153160000000001</v>
      </c>
      <c r="Z1085">
        <v>-3.5654779999999997E-2</v>
      </c>
      <c r="AA1085">
        <v>0.95278929999999995</v>
      </c>
      <c r="AB1085">
        <v>26</v>
      </c>
      <c r="AC1085">
        <v>23.6356999999999</v>
      </c>
      <c r="AD1085">
        <v>10.800369999999999</v>
      </c>
      <c r="AE1085">
        <v>-259.69726000000003</v>
      </c>
      <c r="AF1085">
        <v>78.546497944818597</v>
      </c>
      <c r="AG1085">
        <v>10.800369999999999</v>
      </c>
      <c r="AH1085">
        <v>248.19158680078101</v>
      </c>
      <c r="AI1085">
        <v>87.624265173021698</v>
      </c>
      <c r="AJ1085">
        <v>72.438708860466704</v>
      </c>
      <c r="AK1085">
        <v>260.54800726588201</v>
      </c>
      <c r="AL1085">
        <v>91.351860727827898</v>
      </c>
      <c r="AM1085">
        <v>79.9285411779193</v>
      </c>
      <c r="AN1085">
        <v>0.99999993074190896</v>
      </c>
    </row>
    <row r="1086" spans="1:40" x14ac:dyDescent="0.25">
      <c r="A1086" t="str">
        <f>"20190312161245513"</f>
        <v>20190312161245513</v>
      </c>
      <c r="B1086" t="str">
        <f>"1552378365506678"</f>
        <v>1552378365506678</v>
      </c>
      <c r="C1086" t="s">
        <v>40</v>
      </c>
      <c r="D1086">
        <v>5.4060889999999997</v>
      </c>
      <c r="E1086">
        <v>0.55052219999999996</v>
      </c>
      <c r="F1086" t="s">
        <v>60</v>
      </c>
      <c r="G1086">
        <v>-169.6754</v>
      </c>
      <c r="H1086">
        <v>12.292490000000001</v>
      </c>
      <c r="I1086">
        <v>69.642809999999997</v>
      </c>
      <c r="J1086">
        <v>-193.22540000000001</v>
      </c>
      <c r="K1086">
        <v>1.0999890000000001</v>
      </c>
      <c r="L1086">
        <v>353.45030000000003</v>
      </c>
      <c r="M1086">
        <v>0.374336</v>
      </c>
      <c r="N1086">
        <v>0</v>
      </c>
      <c r="O1086">
        <v>-0.92721439999999999</v>
      </c>
      <c r="P1086">
        <v>0.20725199999999999</v>
      </c>
      <c r="Q1086">
        <v>-3.2242840000000002E-2</v>
      </c>
      <c r="R1086">
        <v>-0.97775619999999996</v>
      </c>
      <c r="S1086">
        <v>0.2515869</v>
      </c>
      <c r="T1086">
        <v>0.11914089999999999</v>
      </c>
      <c r="U1086">
        <v>-3.02359</v>
      </c>
      <c r="V1086">
        <v>0.17333289999999901</v>
      </c>
      <c r="W1086">
        <v>-2.4392859999999999E-2</v>
      </c>
      <c r="X1086">
        <v>0.98456109999999997</v>
      </c>
      <c r="Y1086">
        <v>0.29622789999999999</v>
      </c>
      <c r="Z1086">
        <v>-3.416015E-2</v>
      </c>
      <c r="AA1086">
        <v>0.95450619999999997</v>
      </c>
      <c r="AB1086">
        <v>26</v>
      </c>
      <c r="AC1086">
        <v>23.55</v>
      </c>
      <c r="AD1086">
        <v>11.192501</v>
      </c>
      <c r="AE1086">
        <v>-283.80748999999997</v>
      </c>
      <c r="AF1086">
        <v>84.279443073674599</v>
      </c>
      <c r="AG1086">
        <v>11.192501</v>
      </c>
      <c r="AH1086">
        <v>271.56639060187399</v>
      </c>
      <c r="AI1086">
        <v>87.745853994931494</v>
      </c>
      <c r="AJ1086">
        <v>72.758498569797993</v>
      </c>
      <c r="AK1086">
        <v>284.56387878290701</v>
      </c>
      <c r="AL1086">
        <v>91.397746658238006</v>
      </c>
      <c r="AM1086">
        <v>80.0153401847043</v>
      </c>
      <c r="AN1086">
        <v>0.99999993273729704</v>
      </c>
    </row>
    <row r="1087" spans="1:40" x14ac:dyDescent="0.25">
      <c r="A1087" t="str">
        <f>"20190312161245535"</f>
        <v>20190312161245535</v>
      </c>
      <c r="B1087" t="str">
        <f>"1552378365527174"</f>
        <v>1552378365527174</v>
      </c>
      <c r="C1087" t="s">
        <v>40</v>
      </c>
      <c r="D1087">
        <v>5.1486749999999999</v>
      </c>
      <c r="E1087">
        <v>0.54851190000000005</v>
      </c>
      <c r="F1087" t="s">
        <v>61</v>
      </c>
      <c r="G1087">
        <v>-169.08580000000001</v>
      </c>
      <c r="H1087">
        <v>11.7684</v>
      </c>
      <c r="I1087">
        <v>31.305240000000001</v>
      </c>
      <c r="J1087">
        <v>-193.14099999999999</v>
      </c>
      <c r="K1087">
        <v>1.1000650000000001</v>
      </c>
      <c r="L1087">
        <v>353.20139999999998</v>
      </c>
      <c r="M1087">
        <v>0.36148449999999999</v>
      </c>
      <c r="N1087">
        <v>0</v>
      </c>
      <c r="O1087">
        <v>-0.93230029999999997</v>
      </c>
      <c r="P1087">
        <v>0.1954118</v>
      </c>
      <c r="Q1087">
        <v>-3.3065259999999999E-2</v>
      </c>
      <c r="R1087">
        <v>-0.98016409999999998</v>
      </c>
      <c r="S1087">
        <v>0.2265625</v>
      </c>
      <c r="T1087">
        <v>0.1001285</v>
      </c>
      <c r="U1087">
        <v>-3.0234990000000002</v>
      </c>
      <c r="V1087">
        <v>0.1716078</v>
      </c>
      <c r="W1087">
        <v>-2.5154409999999999E-2</v>
      </c>
      <c r="X1087">
        <v>0.9848441</v>
      </c>
      <c r="Y1087">
        <v>0.29085870000000003</v>
      </c>
      <c r="Z1087">
        <v>-2.9000990000000001E-2</v>
      </c>
      <c r="AA1087">
        <v>0.95632640000000002</v>
      </c>
      <c r="AB1087">
        <v>26</v>
      </c>
      <c r="AC1087">
        <v>24.0551999999999</v>
      </c>
      <c r="AD1087">
        <v>10.668335000000001</v>
      </c>
      <c r="AE1087">
        <v>-321.89615999999899</v>
      </c>
      <c r="AF1087">
        <v>93.8381185793463</v>
      </c>
      <c r="AG1087">
        <v>10.668335000000001</v>
      </c>
      <c r="AH1087">
        <v>308.48491639227302</v>
      </c>
      <c r="AI1087">
        <v>88.104996943028297</v>
      </c>
      <c r="AJ1087">
        <v>73.080747850086794</v>
      </c>
      <c r="AK1087">
        <v>322.617962165363</v>
      </c>
      <c r="AL1087">
        <v>91.441393646583904</v>
      </c>
      <c r="AM1087">
        <v>80.115527246645001</v>
      </c>
      <c r="AN1087">
        <v>0.99999994133404702</v>
      </c>
    </row>
    <row r="1088" spans="1:40" x14ac:dyDescent="0.25">
      <c r="A1088" t="str">
        <f>"20190312161245561"</f>
        <v>20190312161245561</v>
      </c>
      <c r="B1088" t="str">
        <f>"1552378365556454"</f>
        <v>1552378365556454</v>
      </c>
      <c r="C1088" t="s">
        <v>40</v>
      </c>
      <c r="D1088">
        <v>5.4416830000000003</v>
      </c>
      <c r="E1088">
        <v>0.54557900000000004</v>
      </c>
      <c r="F1088" t="s">
        <v>58</v>
      </c>
      <c r="G1088">
        <v>-167.99860000000001</v>
      </c>
      <c r="H1088">
        <v>10.224780000000001</v>
      </c>
      <c r="I1088">
        <v>-15.417479999999999</v>
      </c>
      <c r="J1088">
        <v>-193.05170000000001</v>
      </c>
      <c r="K1088">
        <v>1.1001590000000001</v>
      </c>
      <c r="L1088">
        <v>352.92529999999999</v>
      </c>
      <c r="M1088">
        <v>0.34739769999999998</v>
      </c>
      <c r="N1088">
        <v>0</v>
      </c>
      <c r="O1088">
        <v>-0.93764049999999999</v>
      </c>
      <c r="P1088">
        <v>0.18243100000000001</v>
      </c>
      <c r="Q1088">
        <v>-3.3513260000000003E-2</v>
      </c>
      <c r="R1088">
        <v>-0.98264770000000001</v>
      </c>
      <c r="S1088">
        <v>0.20613100000000001</v>
      </c>
      <c r="T1088">
        <v>7.4809070000000005E-2</v>
      </c>
      <c r="U1088">
        <v>-3.022125</v>
      </c>
      <c r="V1088">
        <v>0.16978689999999999</v>
      </c>
      <c r="W1088">
        <v>-2.5535169999999999E-2</v>
      </c>
      <c r="X1088">
        <v>0.98514990000000002</v>
      </c>
      <c r="Y1088">
        <v>0.28282239999999997</v>
      </c>
      <c r="Z1088">
        <v>-2.191301E-2</v>
      </c>
      <c r="AA1088">
        <v>0.95892200000000005</v>
      </c>
      <c r="AB1088">
        <v>26</v>
      </c>
      <c r="AC1088">
        <v>25.053100000000001</v>
      </c>
      <c r="AD1088">
        <v>9.1246209999999994</v>
      </c>
      <c r="AE1088">
        <v>-368.34278</v>
      </c>
      <c r="AF1088">
        <v>104.414435606127</v>
      </c>
      <c r="AG1088">
        <v>9.1246209999999994</v>
      </c>
      <c r="AH1088">
        <v>353.88602976773598</v>
      </c>
      <c r="AI1088">
        <v>88.583359163244594</v>
      </c>
      <c r="AJ1088">
        <v>73.561251377546995</v>
      </c>
      <c r="AK1088">
        <v>369.081231080789</v>
      </c>
      <c r="AL1088">
        <v>91.463216541310501</v>
      </c>
      <c r="AM1088">
        <v>80.221350715784396</v>
      </c>
      <c r="AN1088">
        <v>0.999999980894274</v>
      </c>
    </row>
    <row r="1089" spans="1:40" x14ac:dyDescent="0.25">
      <c r="A1089" t="str">
        <f>"20190312161245582"</f>
        <v>20190312161245582</v>
      </c>
      <c r="B1089" t="str">
        <f>"1552378365576951"</f>
        <v>1552378365576951</v>
      </c>
      <c r="C1089" t="s">
        <v>40</v>
      </c>
      <c r="D1089">
        <v>5.5628089999999997</v>
      </c>
      <c r="E1089">
        <v>0.54409770000000002</v>
      </c>
      <c r="F1089" t="s">
        <v>59</v>
      </c>
      <c r="G1089">
        <v>-168.6009</v>
      </c>
      <c r="H1089">
        <v>7.9593009999999902</v>
      </c>
      <c r="I1089">
        <v>-36.881070000000001</v>
      </c>
      <c r="J1089">
        <v>-192.977</v>
      </c>
      <c r="K1089">
        <v>1.1002609999999999</v>
      </c>
      <c r="L1089">
        <v>352.68349999999998</v>
      </c>
      <c r="M1089">
        <v>0.33523520000000001</v>
      </c>
      <c r="N1089">
        <v>0</v>
      </c>
      <c r="O1089">
        <v>-0.9420577</v>
      </c>
      <c r="P1089">
        <v>0.17120869999999999</v>
      </c>
      <c r="Q1089">
        <v>-3.4529160000000003E-2</v>
      </c>
      <c r="R1089">
        <v>-0.98462950000000005</v>
      </c>
      <c r="S1089">
        <v>0.1894073</v>
      </c>
      <c r="T1089">
        <v>5.3133960000000001E-2</v>
      </c>
      <c r="U1089">
        <v>-3.0196230000000002</v>
      </c>
      <c r="V1089">
        <v>0.1682496</v>
      </c>
      <c r="W1089">
        <v>-2.649249E-2</v>
      </c>
      <c r="X1089">
        <v>0.98538829999999999</v>
      </c>
      <c r="Y1089">
        <v>0.27562959999999997</v>
      </c>
      <c r="Z1089">
        <v>-1.571556E-2</v>
      </c>
      <c r="AA1089">
        <v>0.96113539999999997</v>
      </c>
      <c r="AB1089">
        <v>26</v>
      </c>
      <c r="AC1089">
        <v>24.376100000000001</v>
      </c>
      <c r="AD1089">
        <v>6.8590399999999896</v>
      </c>
      <c r="AE1089">
        <v>-389.56457</v>
      </c>
      <c r="AF1089">
        <v>107.606620780857</v>
      </c>
      <c r="AG1089">
        <v>6.8590399999999896</v>
      </c>
      <c r="AH1089">
        <v>375.07534485805297</v>
      </c>
      <c r="AI1089">
        <v>88.992958579578996</v>
      </c>
      <c r="AJ1089">
        <v>73.992166882664094</v>
      </c>
      <c r="AK1089">
        <v>390.26624961170302</v>
      </c>
      <c r="AL1089">
        <v>91.518085569492996</v>
      </c>
      <c r="AM1089">
        <v>80.310503075975205</v>
      </c>
      <c r="AN1089">
        <v>0.99999994085172295</v>
      </c>
    </row>
    <row r="1090" spans="1:40" x14ac:dyDescent="0.25">
      <c r="A1090" t="str">
        <f>"20190312161245607"</f>
        <v>20190312161245607</v>
      </c>
      <c r="B1090" t="str">
        <f>"1552378365596470"</f>
        <v>1552378365596470</v>
      </c>
      <c r="C1090" t="s">
        <v>40</v>
      </c>
      <c r="D1090">
        <v>5.3676839999999997</v>
      </c>
      <c r="E1090">
        <v>0.54476179999999996</v>
      </c>
      <c r="F1090" t="s">
        <v>44</v>
      </c>
      <c r="G1090">
        <v>0</v>
      </c>
      <c r="H1090">
        <v>0</v>
      </c>
      <c r="I1090">
        <v>0</v>
      </c>
      <c r="J1090">
        <v>-192.8947</v>
      </c>
      <c r="K1090">
        <v>1.1003959999999999</v>
      </c>
      <c r="L1090">
        <v>352.40530000000001</v>
      </c>
      <c r="M1090">
        <v>0.3214533</v>
      </c>
      <c r="N1090">
        <v>0</v>
      </c>
      <c r="O1090">
        <v>-0.94684950000000001</v>
      </c>
      <c r="P1090">
        <v>0.15826670000000001</v>
      </c>
      <c r="Q1090">
        <v>-3.5655729999999997E-2</v>
      </c>
      <c r="R1090">
        <v>-0.98675250000000003</v>
      </c>
      <c r="S1090">
        <v>0.1669312</v>
      </c>
      <c r="T1090">
        <v>4.104447E-2</v>
      </c>
      <c r="U1090">
        <v>-3.0192869999999998</v>
      </c>
      <c r="V1090">
        <v>0.1667797</v>
      </c>
      <c r="W1090">
        <v>-2.7556089999999998E-2</v>
      </c>
      <c r="X1090">
        <v>0.98560910000000002</v>
      </c>
      <c r="Y1090">
        <v>0.26871640000000002</v>
      </c>
      <c r="Z1090">
        <v>-1.225451E-2</v>
      </c>
      <c r="AA1090">
        <v>0.96314140000000004</v>
      </c>
      <c r="AB1090">
        <v>26</v>
      </c>
      <c r="AC1090">
        <v>0.1669312</v>
      </c>
      <c r="AD1090">
        <v>4.104447E-2</v>
      </c>
      <c r="AE1090">
        <v>-3.0192869999999998</v>
      </c>
      <c r="AF1090">
        <v>0.81240979647830602</v>
      </c>
      <c r="AG1090">
        <v>4.104447E-2</v>
      </c>
      <c r="AH1090">
        <v>2.9121438787162299</v>
      </c>
      <c r="AI1090">
        <v>89.222208035372603</v>
      </c>
      <c r="AJ1090">
        <v>74.412327807828106</v>
      </c>
      <c r="AK1090">
        <v>3.0236197340730402</v>
      </c>
      <c r="AL1090">
        <v>91.579047455914093</v>
      </c>
      <c r="AM1090">
        <v>80.395682332303707</v>
      </c>
      <c r="AN1090">
        <v>1.0000000522154899</v>
      </c>
    </row>
    <row r="1091" spans="1:40" x14ac:dyDescent="0.25">
      <c r="A1091" t="str">
        <f>"20190312161245628"</f>
        <v>20190312161245628</v>
      </c>
      <c r="B1091" t="str">
        <f>"1552378365616967"</f>
        <v>1552378365616967</v>
      </c>
      <c r="C1091" t="s">
        <v>40</v>
      </c>
      <c r="D1091">
        <v>5.4147480000000003</v>
      </c>
      <c r="E1091">
        <v>0.54559499999999905</v>
      </c>
      <c r="F1091" t="s">
        <v>62</v>
      </c>
      <c r="G1091">
        <v>-175.41560000000001</v>
      </c>
      <c r="H1091">
        <v>5.7072710000000004</v>
      </c>
      <c r="I1091">
        <v>-80.065609999999893</v>
      </c>
      <c r="J1091">
        <v>-192.82810000000001</v>
      </c>
      <c r="K1091">
        <v>1.1005339999999999</v>
      </c>
      <c r="L1091">
        <v>352.16879999999998</v>
      </c>
      <c r="M1091">
        <v>0.3099672</v>
      </c>
      <c r="N1091">
        <v>0</v>
      </c>
      <c r="O1091">
        <v>-0.95067199999999996</v>
      </c>
      <c r="P1091">
        <v>0.14813560000000001</v>
      </c>
      <c r="Q1091">
        <v>-3.6346980000000001E-2</v>
      </c>
      <c r="R1091">
        <v>-0.98829900000000004</v>
      </c>
      <c r="S1091">
        <v>0.1221313</v>
      </c>
      <c r="T1091">
        <v>3.2189490000000001E-2</v>
      </c>
      <c r="U1091">
        <v>-3.0217900000000002</v>
      </c>
      <c r="V1091">
        <v>0.1649457</v>
      </c>
      <c r="W1091">
        <v>-2.8176710000000001E-2</v>
      </c>
      <c r="X1091">
        <v>0.98590009999999995</v>
      </c>
      <c r="Y1091">
        <v>0.27134350000000002</v>
      </c>
      <c r="Z1091">
        <v>-9.662726E-3</v>
      </c>
      <c r="AA1091">
        <v>0.96243409999999996</v>
      </c>
      <c r="AB1091">
        <v>26</v>
      </c>
      <c r="AC1091">
        <v>17.412499999999898</v>
      </c>
      <c r="AD1091">
        <v>4.6067369999999901</v>
      </c>
      <c r="AE1091">
        <v>-432.23441000000003</v>
      </c>
      <c r="AF1091">
        <v>117.41999891284399</v>
      </c>
      <c r="AG1091">
        <v>4.6067369999999901</v>
      </c>
      <c r="AH1091">
        <v>416.29303064930798</v>
      </c>
      <c r="AI1091">
        <v>89.389792660822494</v>
      </c>
      <c r="AJ1091">
        <v>74.248314345527902</v>
      </c>
      <c r="AK1091">
        <v>432.56047616219598</v>
      </c>
      <c r="AL1091">
        <v>91.614620245447696</v>
      </c>
      <c r="AM1091">
        <v>80.502114032441497</v>
      </c>
      <c r="AN1091">
        <v>1.0000000090574599</v>
      </c>
    </row>
    <row r="1092" spans="1:40" x14ac:dyDescent="0.25">
      <c r="A1092" t="str">
        <f>"20190312161245650"</f>
        <v>20190312161245650</v>
      </c>
      <c r="B1092" t="str">
        <f>"1552378365636487"</f>
        <v>1552378365636487</v>
      </c>
      <c r="C1092" t="s">
        <v>40</v>
      </c>
      <c r="D1092">
        <v>5.3990039999999997</v>
      </c>
      <c r="E1092">
        <v>0.54637519999999995</v>
      </c>
      <c r="F1092" t="s">
        <v>62</v>
      </c>
      <c r="G1092">
        <v>-180.65610000000001</v>
      </c>
      <c r="H1092">
        <v>4.9154960000000001</v>
      </c>
      <c r="I1092">
        <v>-81.816789999999997</v>
      </c>
      <c r="J1092">
        <v>-192.76230000000001</v>
      </c>
      <c r="K1092">
        <v>1.100703</v>
      </c>
      <c r="L1092">
        <v>351.92419999999998</v>
      </c>
      <c r="M1092">
        <v>0.29833320000000002</v>
      </c>
      <c r="N1092">
        <v>0</v>
      </c>
      <c r="O1092">
        <v>-0.95438750000000006</v>
      </c>
      <c r="P1092">
        <v>0.13836660000000001</v>
      </c>
      <c r="Q1092">
        <v>-3.6638789999999997E-2</v>
      </c>
      <c r="R1092">
        <v>-0.98970340000000001</v>
      </c>
      <c r="S1092">
        <v>8.4808350000000005E-2</v>
      </c>
      <c r="T1092">
        <v>2.6580570000000001E-2</v>
      </c>
      <c r="U1092">
        <v>-3.0237729999999998</v>
      </c>
      <c r="V1092">
        <v>0.16264479999999901</v>
      </c>
      <c r="W1092">
        <v>-2.8382930000000001E-2</v>
      </c>
      <c r="X1092">
        <v>0.98627640000000005</v>
      </c>
      <c r="Y1092">
        <v>0.27147850000000001</v>
      </c>
      <c r="Z1092">
        <v>-8.0238949999999996E-3</v>
      </c>
      <c r="AA1092">
        <v>0.96241100000000002</v>
      </c>
      <c r="AB1092">
        <v>26</v>
      </c>
      <c r="AC1092">
        <v>12.106199999999999</v>
      </c>
      <c r="AD1092">
        <v>3.8147929999999999</v>
      </c>
      <c r="AE1092">
        <v>-433.74099000000001</v>
      </c>
      <c r="AF1092">
        <v>117.84457916677501</v>
      </c>
      <c r="AG1092">
        <v>3.8147929999999999</v>
      </c>
      <c r="AH1092">
        <v>417.56599445894199</v>
      </c>
      <c r="AI1092">
        <v>89.496248420832899</v>
      </c>
      <c r="AJ1092">
        <v>74.239986106333703</v>
      </c>
      <c r="AK1092">
        <v>433.89314031580699</v>
      </c>
      <c r="AL1092">
        <v>91.626440475415905</v>
      </c>
      <c r="AM1092">
        <v>80.635750363829999</v>
      </c>
      <c r="AN1092">
        <v>1.00000002943969</v>
      </c>
    </row>
    <row r="1093" spans="1:40" x14ac:dyDescent="0.25">
      <c r="A1093" t="str">
        <f>"20190312161245674"</f>
        <v>20190312161245674</v>
      </c>
      <c r="B1093" t="str">
        <f>"1552378365666743"</f>
        <v>1552378365666743</v>
      </c>
      <c r="C1093" t="s">
        <v>40</v>
      </c>
      <c r="D1093">
        <v>5.3079549999999998</v>
      </c>
      <c r="E1093">
        <v>0.54703829999999998</v>
      </c>
      <c r="F1093" t="s">
        <v>62</v>
      </c>
      <c r="G1093">
        <v>-185.75479999999999</v>
      </c>
      <c r="H1093">
        <v>3.6632129999999998</v>
      </c>
      <c r="I1093">
        <v>-81.816379999999995</v>
      </c>
      <c r="J1093">
        <v>-192.6902</v>
      </c>
      <c r="K1093">
        <v>1.1009119999999999</v>
      </c>
      <c r="L1093">
        <v>351.64249999999998</v>
      </c>
      <c r="M1093">
        <v>0.28525309999999998</v>
      </c>
      <c r="N1093">
        <v>0</v>
      </c>
      <c r="O1093">
        <v>-0.95837870000000003</v>
      </c>
      <c r="P1093">
        <v>0.12897129999999901</v>
      </c>
      <c r="Q1093">
        <v>-3.7763730000000002E-2</v>
      </c>
      <c r="R1093">
        <v>-0.99092910000000001</v>
      </c>
      <c r="S1093">
        <v>4.8873899999999998E-2</v>
      </c>
      <c r="T1093">
        <v>1.7872209999999999E-2</v>
      </c>
      <c r="U1093">
        <v>-3.0251160000000001</v>
      </c>
      <c r="V1093">
        <v>0.15849160000000001</v>
      </c>
      <c r="W1093">
        <v>-2.9376820000000001E-2</v>
      </c>
      <c r="X1093">
        <v>0.9869232</v>
      </c>
      <c r="Y1093">
        <v>0.26975339999999998</v>
      </c>
      <c r="Z1093">
        <v>-5.4300340000000002E-3</v>
      </c>
      <c r="AA1093">
        <v>0.9629141</v>
      </c>
      <c r="AB1093">
        <v>26</v>
      </c>
      <c r="AC1093">
        <v>6.9354000000000102</v>
      </c>
      <c r="AD1093">
        <v>2.5623010000000002</v>
      </c>
      <c r="AE1093">
        <v>-433.458879999999</v>
      </c>
      <c r="AF1093">
        <v>117.002907738492</v>
      </c>
      <c r="AG1093">
        <v>2.5623010000000002</v>
      </c>
      <c r="AH1093">
        <v>417.41093651216698</v>
      </c>
      <c r="AI1093">
        <v>89.661343508702899</v>
      </c>
      <c r="AJ1093">
        <v>74.341481957032897</v>
      </c>
      <c r="AK1093">
        <v>433.50678855773498</v>
      </c>
      <c r="AL1093">
        <v>91.683410001035895</v>
      </c>
      <c r="AM1093">
        <v>80.876674660696196</v>
      </c>
      <c r="AN1093">
        <v>0.99999999376105597</v>
      </c>
    </row>
    <row r="1094" spans="1:40" x14ac:dyDescent="0.25">
      <c r="A1094" t="str">
        <f>"20190312161245696"</f>
        <v>20190312161245696</v>
      </c>
      <c r="B1094" t="str">
        <f>"1552378365686262"</f>
        <v>1552378365686262</v>
      </c>
      <c r="C1094" t="s">
        <v>40</v>
      </c>
      <c r="D1094">
        <v>5.3159839999999896</v>
      </c>
      <c r="E1094">
        <v>0.54709259999999904</v>
      </c>
      <c r="F1094" t="s">
        <v>62</v>
      </c>
      <c r="G1094">
        <v>-190.5282</v>
      </c>
      <c r="H1094">
        <v>1.4327939999999999</v>
      </c>
      <c r="I1094">
        <v>-81.815640000000002</v>
      </c>
      <c r="J1094">
        <v>-192.62780000000001</v>
      </c>
      <c r="K1094">
        <v>1.1010899999999999</v>
      </c>
      <c r="L1094">
        <v>351.38639999999998</v>
      </c>
      <c r="M1094">
        <v>0.27359830000000002</v>
      </c>
      <c r="N1094">
        <v>0</v>
      </c>
      <c r="O1094">
        <v>-0.9617713</v>
      </c>
      <c r="P1094">
        <v>0.1188096</v>
      </c>
      <c r="Q1094">
        <v>-3.830215E-2</v>
      </c>
      <c r="R1094">
        <v>-0.99217840000000002</v>
      </c>
      <c r="S1094">
        <v>1.5090940000000001E-2</v>
      </c>
      <c r="T1094">
        <v>2.3165939999999999E-3</v>
      </c>
      <c r="U1094">
        <v>-3.0255740000000002</v>
      </c>
      <c r="V1094">
        <v>0.15662079999999901</v>
      </c>
      <c r="W1094">
        <v>-2.9846979999999999E-2</v>
      </c>
      <c r="X1094">
        <v>0.98720770000000002</v>
      </c>
      <c r="Y1094">
        <v>0.26881670000000002</v>
      </c>
      <c r="Z1094">
        <v>-7.0775639999999995E-4</v>
      </c>
      <c r="AA1094">
        <v>0.96319109999999997</v>
      </c>
      <c r="AB1094">
        <v>26</v>
      </c>
      <c r="AC1094">
        <v>2.0996000000000001</v>
      </c>
      <c r="AD1094">
        <v>0.331704</v>
      </c>
      <c r="AE1094">
        <v>-433.20204000000001</v>
      </c>
      <c r="AF1094">
        <v>116.51209082022601</v>
      </c>
      <c r="AG1094">
        <v>0.331704</v>
      </c>
      <c r="AH1094">
        <v>417.244686506763</v>
      </c>
      <c r="AI1094">
        <v>89.9561289613073</v>
      </c>
      <c r="AJ1094">
        <v>74.398053375129706</v>
      </c>
      <c r="AK1094">
        <v>433.20700104334799</v>
      </c>
      <c r="AL1094">
        <v>91.710360026909697</v>
      </c>
      <c r="AM1094">
        <v>80.985140616137599</v>
      </c>
      <c r="AN1094">
        <v>0.99999998007352497</v>
      </c>
    </row>
    <row r="1095" spans="1:40" x14ac:dyDescent="0.25">
      <c r="A1095" t="str">
        <f>"20190312161245718"</f>
        <v>20190312161245718</v>
      </c>
      <c r="B1095" t="str">
        <f>"1552378365706758"</f>
        <v>1552378365706758</v>
      </c>
      <c r="C1095" t="s">
        <v>40</v>
      </c>
      <c r="D1095">
        <v>5.3942399999999999</v>
      </c>
      <c r="E1095">
        <v>0.54690640000000001</v>
      </c>
      <c r="F1095" t="s">
        <v>42</v>
      </c>
      <c r="G1095">
        <v>-194.2937</v>
      </c>
      <c r="H1095" s="1">
        <v>-2.7301910000000001E-6</v>
      </c>
      <c r="I1095">
        <v>43.290199999999999</v>
      </c>
      <c r="J1095">
        <v>-192.57220000000001</v>
      </c>
      <c r="K1095">
        <v>1.1012470000000001</v>
      </c>
      <c r="L1095">
        <v>351.14760000000001</v>
      </c>
      <c r="M1095">
        <v>0.26296180000000002</v>
      </c>
      <c r="N1095">
        <v>0</v>
      </c>
      <c r="O1095">
        <v>-0.96473430000000004</v>
      </c>
      <c r="P1095">
        <v>0.109644699999999</v>
      </c>
      <c r="Q1095">
        <v>-3.8331150000000001E-2</v>
      </c>
      <c r="R1095">
        <v>-0.99323170000000005</v>
      </c>
      <c r="S1095">
        <v>-1.6357420000000001E-2</v>
      </c>
      <c r="T1095">
        <v>-1.081145E-2</v>
      </c>
      <c r="U1095">
        <v>-3.0251459999999999</v>
      </c>
      <c r="V1095">
        <v>0.15484439999999999</v>
      </c>
      <c r="W1095">
        <v>-2.981427E-2</v>
      </c>
      <c r="X1095">
        <v>0.9874889</v>
      </c>
      <c r="Y1095">
        <v>0.26819290000000001</v>
      </c>
      <c r="Z1095">
        <v>3.319612E-3</v>
      </c>
      <c r="AA1095">
        <v>0.96335950000000004</v>
      </c>
      <c r="AB1095">
        <v>26</v>
      </c>
      <c r="AC1095">
        <v>-1.72149999999999</v>
      </c>
      <c r="AD1095">
        <v>-1.10124973019099</v>
      </c>
      <c r="AE1095">
        <v>-307.85739999999998</v>
      </c>
      <c r="AF1095">
        <v>82.620204003431297</v>
      </c>
      <c r="AG1095">
        <v>-1.10124973019099</v>
      </c>
      <c r="AH1095">
        <v>296.56469569397001</v>
      </c>
      <c r="AI1095">
        <v>90.204953700917997</v>
      </c>
      <c r="AJ1095">
        <v>74.432650740981202</v>
      </c>
      <c r="AK1095">
        <v>307.86024360510402</v>
      </c>
      <c r="AL1095">
        <v>91.708485007864098</v>
      </c>
      <c r="AM1095">
        <v>81.0882340398813</v>
      </c>
      <c r="AN1095">
        <v>1.0000000032651</v>
      </c>
    </row>
    <row r="1096" spans="1:40" x14ac:dyDescent="0.25">
      <c r="A1096" t="str">
        <f>"20190312161245743"</f>
        <v>20190312161245743</v>
      </c>
      <c r="B1096" t="str">
        <f>"1552378365737014"</f>
        <v>1552378365737014</v>
      </c>
      <c r="C1096" t="s">
        <v>40</v>
      </c>
      <c r="D1096">
        <v>5.3764580000000004</v>
      </c>
      <c r="E1096">
        <v>0.5466626</v>
      </c>
      <c r="F1096" t="s">
        <v>42</v>
      </c>
      <c r="G1096">
        <v>-196.23390000000001</v>
      </c>
      <c r="H1096" s="1">
        <v>-2.6192880000000002E-6</v>
      </c>
      <c r="I1096">
        <v>91.828320000000005</v>
      </c>
      <c r="J1096">
        <v>-192.50630000000001</v>
      </c>
      <c r="K1096">
        <v>1.1014550000000001</v>
      </c>
      <c r="L1096">
        <v>350.84969999999998</v>
      </c>
      <c r="M1096">
        <v>0.2500349</v>
      </c>
      <c r="N1096">
        <v>0</v>
      </c>
      <c r="O1096">
        <v>-0.96816550000000001</v>
      </c>
      <c r="P1096">
        <v>9.7794320000000004E-2</v>
      </c>
      <c r="Q1096">
        <v>-3.8798810000000003E-2</v>
      </c>
      <c r="R1096">
        <v>-0.99444999999999995</v>
      </c>
      <c r="S1096">
        <v>-4.270935E-2</v>
      </c>
      <c r="T1096">
        <v>-1.2844799999999899E-2</v>
      </c>
      <c r="U1096">
        <v>-3.0246580000000001</v>
      </c>
      <c r="V1096">
        <v>0.153411299999999</v>
      </c>
      <c r="W1096">
        <v>-3.022306E-2</v>
      </c>
      <c r="X1096">
        <v>0.98770009999999997</v>
      </c>
      <c r="Y1096">
        <v>0.26369749999999997</v>
      </c>
      <c r="Z1096">
        <v>3.9688249999999996E-3</v>
      </c>
      <c r="AA1096">
        <v>0.96459729999999999</v>
      </c>
      <c r="AB1096">
        <v>26</v>
      </c>
      <c r="AC1096">
        <v>-3.72759999999999</v>
      </c>
      <c r="AD1096">
        <v>-1.1014576192879999</v>
      </c>
      <c r="AE1096">
        <v>-259.021379999999</v>
      </c>
      <c r="AF1096">
        <v>68.3768045042751</v>
      </c>
      <c r="AG1096">
        <v>-1.1014576192879999</v>
      </c>
      <c r="AH1096">
        <v>249.85627178975</v>
      </c>
      <c r="AI1096">
        <v>90.243621199972907</v>
      </c>
      <c r="AJ1096">
        <v>74.694908931935302</v>
      </c>
      <c r="AK1096">
        <v>259.04585917511997</v>
      </c>
      <c r="AL1096">
        <v>91.7319175606074</v>
      </c>
      <c r="AM1096">
        <v>81.171265935674597</v>
      </c>
      <c r="AN1096">
        <v>0.99999997393173101</v>
      </c>
    </row>
    <row r="1097" spans="1:40" x14ac:dyDescent="0.25">
      <c r="A1097" t="str">
        <f>"20190312161245761"</f>
        <v>20190312161245761</v>
      </c>
      <c r="B1097" t="str">
        <f>"1552378365757016"</f>
        <v>1552378365757016</v>
      </c>
      <c r="C1097" t="s">
        <v>40</v>
      </c>
      <c r="D1097">
        <v>5.3555699999999904</v>
      </c>
      <c r="E1097">
        <v>0.54638880000000001</v>
      </c>
      <c r="F1097" t="s">
        <v>42</v>
      </c>
      <c r="G1097">
        <v>-196.9846</v>
      </c>
      <c r="H1097" s="1">
        <v>-3.9282169999999998E-6</v>
      </c>
      <c r="I1097">
        <v>174.88929999999999</v>
      </c>
      <c r="J1097">
        <v>-192.4616</v>
      </c>
      <c r="K1097">
        <v>1.1016170000000001</v>
      </c>
      <c r="L1097">
        <v>350.63659999999999</v>
      </c>
      <c r="M1097">
        <v>0.24104639999999999</v>
      </c>
      <c r="N1097">
        <v>0</v>
      </c>
      <c r="O1097">
        <v>-0.9704431</v>
      </c>
      <c r="P1097">
        <v>8.9403129999999997E-2</v>
      </c>
      <c r="Q1097">
        <v>-3.9365810000000001E-2</v>
      </c>
      <c r="R1097">
        <v>-0.99521720000000002</v>
      </c>
      <c r="S1097">
        <v>-7.6950069999999995E-2</v>
      </c>
      <c r="T1097">
        <v>-1.892638E-2</v>
      </c>
      <c r="U1097">
        <v>-3.0235289999999999</v>
      </c>
      <c r="V1097">
        <v>0.1525782</v>
      </c>
      <c r="W1097">
        <v>-3.0751230000000001E-2</v>
      </c>
      <c r="X1097">
        <v>0.98781289999999999</v>
      </c>
      <c r="Y1097">
        <v>0.26567619999999997</v>
      </c>
      <c r="Z1097">
        <v>5.8689659999999998E-3</v>
      </c>
      <c r="AA1097">
        <v>0.96404449999999997</v>
      </c>
      <c r="AB1097">
        <v>26</v>
      </c>
      <c r="AC1097">
        <v>-4.5229999999999899</v>
      </c>
      <c r="AD1097">
        <v>-1.101620928217</v>
      </c>
      <c r="AE1097">
        <v>-175.7473</v>
      </c>
      <c r="AF1097">
        <v>46.753931083560801</v>
      </c>
      <c r="AG1097">
        <v>-1.101620928217</v>
      </c>
      <c r="AH1097">
        <v>169.46744206521601</v>
      </c>
      <c r="AI1097">
        <v>90.359032480996504</v>
      </c>
      <c r="AJ1097">
        <v>74.576490246756606</v>
      </c>
      <c r="AK1097">
        <v>175.80204083162201</v>
      </c>
      <c r="AL1097">
        <v>91.7621934388997</v>
      </c>
      <c r="AM1097">
        <v>81.219448221147601</v>
      </c>
      <c r="AN1097">
        <v>1.0000000353340801</v>
      </c>
    </row>
    <row r="1098" spans="1:40" x14ac:dyDescent="0.25">
      <c r="A1098" t="str">
        <f>"20190312161245787"</f>
        <v>20190312161245787</v>
      </c>
      <c r="B1098" t="str">
        <f>"1552378365776537"</f>
        <v>1552378365776537</v>
      </c>
      <c r="C1098" t="s">
        <v>40</v>
      </c>
      <c r="D1098">
        <v>5.3220599999999996</v>
      </c>
      <c r="E1098">
        <v>0.54580850000000003</v>
      </c>
      <c r="F1098" t="s">
        <v>63</v>
      </c>
      <c r="G1098">
        <v>-196.56020000000001</v>
      </c>
      <c r="H1098" s="1">
        <v>4.2859920000000002E-7</v>
      </c>
      <c r="I1098">
        <v>227.18270000000001</v>
      </c>
      <c r="J1098">
        <v>-192.4068</v>
      </c>
      <c r="K1098">
        <v>1.1018460000000001</v>
      </c>
      <c r="L1098">
        <v>350.36360000000002</v>
      </c>
      <c r="M1098">
        <v>0.22983770000000001</v>
      </c>
      <c r="N1098">
        <v>0</v>
      </c>
      <c r="O1098">
        <v>-0.97315940000000001</v>
      </c>
      <c r="P1098">
        <v>7.8506119999999999E-2</v>
      </c>
      <c r="Q1098">
        <v>-3.9635980000000001E-2</v>
      </c>
      <c r="R1098">
        <v>-0.9961255</v>
      </c>
      <c r="S1098">
        <v>-0.10034179999999999</v>
      </c>
      <c r="T1098">
        <v>-2.696979E-2</v>
      </c>
      <c r="U1098">
        <v>-3.0224000000000002</v>
      </c>
      <c r="V1098">
        <v>0.15200459999999999</v>
      </c>
      <c r="W1098">
        <v>-3.0976799999999999E-2</v>
      </c>
      <c r="X1098">
        <v>0.98789419999999994</v>
      </c>
      <c r="Y1098">
        <v>0.26201799999999997</v>
      </c>
      <c r="Z1098">
        <v>8.4059400000000006E-3</v>
      </c>
      <c r="AA1098">
        <v>0.96502639999999995</v>
      </c>
      <c r="AB1098">
        <v>26</v>
      </c>
      <c r="AC1098">
        <v>-4.1534000000000004</v>
      </c>
      <c r="AD1098">
        <v>-1.1018455714008</v>
      </c>
      <c r="AE1098">
        <v>-123.18089999999999</v>
      </c>
      <c r="AF1098">
        <v>32.353140075437601</v>
      </c>
      <c r="AG1098">
        <v>-1.1018455714008</v>
      </c>
      <c r="AH1098">
        <v>118.91859126040499</v>
      </c>
      <c r="AI1098">
        <v>90.5122434255087</v>
      </c>
      <c r="AJ1098">
        <v>74.780405952703504</v>
      </c>
      <c r="AK1098">
        <v>123.245977961812</v>
      </c>
      <c r="AL1098">
        <v>91.7751239493779</v>
      </c>
      <c r="AM1098">
        <v>81.252654919485806</v>
      </c>
      <c r="AN1098">
        <v>0.99999995547651899</v>
      </c>
    </row>
    <row r="1099" spans="1:40" x14ac:dyDescent="0.25">
      <c r="A1099" t="str">
        <f>"20190312161245806"</f>
        <v>20190312161245806</v>
      </c>
      <c r="B1099" t="str">
        <f>"1552378365797033"</f>
        <v>1552378365797033</v>
      </c>
      <c r="C1099" t="s">
        <v>40</v>
      </c>
      <c r="D1099">
        <v>5.3247720000000003</v>
      </c>
      <c r="E1099">
        <v>0.54510859999999906</v>
      </c>
      <c r="F1099" t="s">
        <v>42</v>
      </c>
      <c r="G1099">
        <v>-196.7884</v>
      </c>
      <c r="H1099" s="1">
        <v>-5.1918050000000003E-6</v>
      </c>
      <c r="I1099">
        <v>247.67019999999999</v>
      </c>
      <c r="J1099">
        <v>-192.3595</v>
      </c>
      <c r="K1099">
        <v>1.1020760000000001</v>
      </c>
      <c r="L1099">
        <v>350.11509999999998</v>
      </c>
      <c r="M1099">
        <v>0.2199507</v>
      </c>
      <c r="N1099">
        <v>0</v>
      </c>
      <c r="O1099">
        <v>-0.97544209999999998</v>
      </c>
      <c r="P1099">
        <v>6.8864399999999895E-2</v>
      </c>
      <c r="Q1099">
        <v>-3.992383E-2</v>
      </c>
      <c r="R1099">
        <v>-0.99682720000000002</v>
      </c>
      <c r="S1099">
        <v>-0.12887570000000001</v>
      </c>
      <c r="T1099">
        <v>-3.2408600000000003E-2</v>
      </c>
      <c r="U1099">
        <v>-3.020508</v>
      </c>
      <c r="V1099">
        <v>0.15154690000000001</v>
      </c>
      <c r="W1099">
        <v>-3.1220669999999999E-2</v>
      </c>
      <c r="X1099">
        <v>0.98795690000000003</v>
      </c>
      <c r="Y1099">
        <v>0.2613472</v>
      </c>
      <c r="Z1099">
        <v>1.0143060000000001E-2</v>
      </c>
      <c r="AA1099">
        <v>0.96519160000000004</v>
      </c>
      <c r="AB1099">
        <v>26</v>
      </c>
      <c r="AC1099">
        <v>-4.4288999999999898</v>
      </c>
      <c r="AD1099">
        <v>-1.102081191805</v>
      </c>
      <c r="AE1099">
        <v>-102.4449</v>
      </c>
      <c r="AF1099">
        <v>26.851665922305699</v>
      </c>
      <c r="AG1099">
        <v>-1.102081191805</v>
      </c>
      <c r="AH1099">
        <v>98.950148980940398</v>
      </c>
      <c r="AI1099">
        <v>90.615848443527099</v>
      </c>
      <c r="AJ1099">
        <v>74.817523551966502</v>
      </c>
      <c r="AK1099">
        <v>102.534669888319</v>
      </c>
      <c r="AL1099">
        <v>91.789103327434304</v>
      </c>
      <c r="AM1099">
        <v>81.279133410426894</v>
      </c>
      <c r="AN1099">
        <v>1.00000001469623</v>
      </c>
    </row>
    <row r="1100" spans="1:40" x14ac:dyDescent="0.25">
      <c r="A1100" t="str">
        <f>"20190312161245851"</f>
        <v>20190312161245851</v>
      </c>
      <c r="B1100" t="str">
        <f>"1552378365846809"</f>
        <v>1552378365846809</v>
      </c>
      <c r="C1100" t="s">
        <v>40</v>
      </c>
      <c r="D1100">
        <v>5.3901879999999904</v>
      </c>
      <c r="E1100">
        <v>0.54388369999999997</v>
      </c>
      <c r="F1100" t="s">
        <v>42</v>
      </c>
      <c r="G1100">
        <v>-196.5291</v>
      </c>
      <c r="H1100" s="1">
        <v>-4.7890539999999996E-6</v>
      </c>
      <c r="I1100">
        <v>267.65640000000002</v>
      </c>
      <c r="J1100">
        <v>-192.2687</v>
      </c>
      <c r="K1100">
        <v>1.1025469999999999</v>
      </c>
      <c r="L1100">
        <v>349.60149999999999</v>
      </c>
      <c r="M1100">
        <v>0.20049520000000001</v>
      </c>
      <c r="N1100">
        <v>0</v>
      </c>
      <c r="O1100">
        <v>-0.97962729999999998</v>
      </c>
      <c r="P1100">
        <v>5.1443269999999999E-2</v>
      </c>
      <c r="Q1100">
        <v>-4.028764E-2</v>
      </c>
      <c r="R1100">
        <v>-0.99786339999999996</v>
      </c>
      <c r="S1100">
        <v>-0.15263370000000001</v>
      </c>
      <c r="T1100">
        <v>-4.0342929999999999E-2</v>
      </c>
      <c r="U1100">
        <v>-3.018494</v>
      </c>
      <c r="V1100">
        <v>0.14916699999999999</v>
      </c>
      <c r="W1100">
        <v>-3.1463640000000001E-2</v>
      </c>
      <c r="X1100">
        <v>0.9883113</v>
      </c>
      <c r="Y1100">
        <v>0.24972420000000001</v>
      </c>
      <c r="Z1100">
        <v>1.273643E-2</v>
      </c>
      <c r="AA1100">
        <v>0.96823320000000002</v>
      </c>
      <c r="AB1100">
        <v>26</v>
      </c>
      <c r="AC1100">
        <v>-4.2603999999999997</v>
      </c>
      <c r="AD1100">
        <v>-1.102551789054</v>
      </c>
      <c r="AE1100">
        <v>-81.945099999999897</v>
      </c>
      <c r="AF1100">
        <v>20.600844265801499</v>
      </c>
      <c r="AG1100">
        <v>-1.102551789054</v>
      </c>
      <c r="AH1100">
        <v>79.412373438063398</v>
      </c>
      <c r="AI1100">
        <v>90.769953912535101</v>
      </c>
      <c r="AJ1100">
        <v>75.457127569464006</v>
      </c>
      <c r="AK1100">
        <v>82.048372683300599</v>
      </c>
      <c r="AL1100">
        <v>91.803031369770395</v>
      </c>
      <c r="AM1100">
        <v>81.417062341036498</v>
      </c>
      <c r="AN1100">
        <v>0.99999999011936902</v>
      </c>
    </row>
    <row r="1101" spans="1:40" x14ac:dyDescent="0.25">
      <c r="A1101" t="str">
        <f>"20190312161245873"</f>
        <v>20190312161245873</v>
      </c>
      <c r="B1101" t="str">
        <f>"1552378365866329"</f>
        <v>1552378365866329</v>
      </c>
      <c r="C1101" t="s">
        <v>40</v>
      </c>
      <c r="D1101">
        <v>5.4788329999999998</v>
      </c>
      <c r="E1101">
        <v>0.51568950000000002</v>
      </c>
      <c r="F1101" t="s">
        <v>63</v>
      </c>
      <c r="G1101">
        <v>-197.0033</v>
      </c>
      <c r="H1101" s="1">
        <v>3.9589850000000003E-6</v>
      </c>
      <c r="I1101">
        <v>276.59699999999998</v>
      </c>
      <c r="J1101">
        <v>-192.22739999999999</v>
      </c>
      <c r="K1101">
        <v>1.102733</v>
      </c>
      <c r="L1101">
        <v>349.34870000000001</v>
      </c>
      <c r="M1101">
        <v>0.19132779999999999</v>
      </c>
      <c r="N1101">
        <v>0</v>
      </c>
      <c r="O1101">
        <v>-0.98145939999999998</v>
      </c>
      <c r="P1101">
        <v>4.297807E-2</v>
      </c>
      <c r="Q1101">
        <v>-4.0524299999999999E-2</v>
      </c>
      <c r="R1101">
        <v>-0.99825399999999997</v>
      </c>
      <c r="S1101">
        <v>-0.19551089999999999</v>
      </c>
      <c r="T1101">
        <v>-4.5528890000000002E-2</v>
      </c>
      <c r="U1101">
        <v>-3.0146790000000001</v>
      </c>
      <c r="V1101">
        <v>0.1483178</v>
      </c>
      <c r="W1101">
        <v>-3.1660290000000001E-2</v>
      </c>
      <c r="X1101">
        <v>0.9884328</v>
      </c>
      <c r="Y1101">
        <v>0.2544534</v>
      </c>
      <c r="Z1101">
        <v>1.4417650000000001E-2</v>
      </c>
      <c r="AA1101">
        <v>0.96697750000000005</v>
      </c>
      <c r="AB1101">
        <v>26</v>
      </c>
      <c r="AC1101">
        <v>-4.7759</v>
      </c>
      <c r="AD1101">
        <v>-1.1027290410149999</v>
      </c>
      <c r="AE1101">
        <v>-72.7517</v>
      </c>
      <c r="AF1101">
        <v>18.603738800053499</v>
      </c>
      <c r="AG1101">
        <v>-1.1027290410149999</v>
      </c>
      <c r="AH1101">
        <v>70.477576490401901</v>
      </c>
      <c r="AI1101">
        <v>90.866723813532701</v>
      </c>
      <c r="AJ1101">
        <v>75.213101850021403</v>
      </c>
      <c r="AK1101">
        <v>72.899958138801196</v>
      </c>
      <c r="AL1101">
        <v>91.814304234096696</v>
      </c>
      <c r="AM1101">
        <v>81.466236606966206</v>
      </c>
      <c r="AN1101">
        <v>0.99999997193778101</v>
      </c>
    </row>
    <row r="1102" spans="1:40" x14ac:dyDescent="0.25">
      <c r="A1102" t="str">
        <f>"20190312161245917"</f>
        <v>20190312161245917</v>
      </c>
      <c r="B1102" t="str">
        <f>"1552378365906345"</f>
        <v>1552378365906345</v>
      </c>
      <c r="C1102" t="s">
        <v>40</v>
      </c>
      <c r="D1102">
        <v>5.4171050000000003</v>
      </c>
      <c r="E1102">
        <v>0.51524110000000001</v>
      </c>
      <c r="F1102" t="s">
        <v>42</v>
      </c>
      <c r="G1102">
        <v>-192.18790000000001</v>
      </c>
      <c r="H1102" s="1">
        <v>-4.2378060000000001E-6</v>
      </c>
      <c r="I1102">
        <v>317.32510000000002</v>
      </c>
      <c r="J1102">
        <v>-192.14940000000001</v>
      </c>
      <c r="K1102">
        <v>1.103038</v>
      </c>
      <c r="L1102">
        <v>348.82960000000003</v>
      </c>
      <c r="M1102">
        <v>0.1731915</v>
      </c>
      <c r="N1102">
        <v>0</v>
      </c>
      <c r="O1102">
        <v>-0.98482250000000005</v>
      </c>
      <c r="P1102">
        <v>2.661057E-2</v>
      </c>
      <c r="Q1102">
        <v>-4.0697280000000002E-2</v>
      </c>
      <c r="R1102">
        <v>-0.99881739999999997</v>
      </c>
      <c r="S1102">
        <v>3.7078860000000001E-3</v>
      </c>
      <c r="T1102">
        <v>-0.103335999999999</v>
      </c>
      <c r="U1102">
        <v>-3.0008849999999998</v>
      </c>
      <c r="V1102">
        <v>0.1463034</v>
      </c>
      <c r="W1102">
        <v>-3.1771279999999999E-2</v>
      </c>
      <c r="X1102">
        <v>0.98872939999999998</v>
      </c>
      <c r="Y1102">
        <v>0.17198559999999999</v>
      </c>
      <c r="Z1102">
        <v>3.3378329999999998E-2</v>
      </c>
      <c r="AA1102">
        <v>0.98453380000000001</v>
      </c>
      <c r="AB1102">
        <v>26</v>
      </c>
      <c r="AC1102">
        <v>-3.8499999999999E-2</v>
      </c>
      <c r="AD1102">
        <v>-1.1030422378060001</v>
      </c>
      <c r="AE1102">
        <v>-31.5045</v>
      </c>
      <c r="AF1102">
        <v>5.4878553407777497</v>
      </c>
      <c r="AG1102">
        <v>-1.1030422378060001</v>
      </c>
      <c r="AH1102">
        <v>30.9836974729348</v>
      </c>
      <c r="AI1102">
        <v>92.007687493347007</v>
      </c>
      <c r="AJ1102">
        <v>79.955898448966494</v>
      </c>
      <c r="AK1102">
        <v>31.485278584030901</v>
      </c>
      <c r="AL1102">
        <v>91.820666710347894</v>
      </c>
      <c r="AM1102">
        <v>81.582956175953001</v>
      </c>
      <c r="AN1102">
        <v>0.99999996275437797</v>
      </c>
    </row>
    <row r="1103" spans="1:40" x14ac:dyDescent="0.25">
      <c r="A1103" t="str">
        <f>"20190312161245939"</f>
        <v>20190312161245939</v>
      </c>
      <c r="B1103" t="str">
        <f>"1552378365926842"</f>
        <v>1552378365926842</v>
      </c>
      <c r="C1103" t="s">
        <v>40</v>
      </c>
      <c r="D1103">
        <v>5.430161</v>
      </c>
      <c r="E1103">
        <v>0.51189079999999998</v>
      </c>
      <c r="F1103" t="s">
        <v>43</v>
      </c>
      <c r="G1103">
        <v>-192.16139999999999</v>
      </c>
      <c r="H1103">
        <v>1.023987</v>
      </c>
      <c r="I1103">
        <v>347.952</v>
      </c>
      <c r="J1103">
        <v>-192.11279999999999</v>
      </c>
      <c r="K1103">
        <v>1.1032090000000001</v>
      </c>
      <c r="L1103">
        <v>348.56319999999999</v>
      </c>
      <c r="M1103">
        <v>0.1642972</v>
      </c>
      <c r="N1103">
        <v>0</v>
      </c>
      <c r="O1103">
        <v>-0.98634560000000004</v>
      </c>
      <c r="P1103">
        <v>1.8268639999999999E-2</v>
      </c>
      <c r="Q1103">
        <v>-4.0627959999999998E-2</v>
      </c>
      <c r="R1103">
        <v>-0.99900730000000004</v>
      </c>
      <c r="S1103">
        <v>-4.0557860000000001E-2</v>
      </c>
      <c r="T1103">
        <v>-0.26955129999999999</v>
      </c>
      <c r="U1103">
        <v>-2.993652</v>
      </c>
      <c r="V1103">
        <v>0.14565139999999999</v>
      </c>
      <c r="W1103">
        <v>-3.1673809999999997E-2</v>
      </c>
      <c r="X1103">
        <v>0.98882879999999995</v>
      </c>
      <c r="Y1103">
        <v>0.1775977</v>
      </c>
      <c r="Z1103">
        <v>8.7134760000000006E-2</v>
      </c>
      <c r="AA1103">
        <v>0.98023800000000005</v>
      </c>
      <c r="AB1103">
        <v>26</v>
      </c>
      <c r="AC1103">
        <v>-4.8599999999993301E-2</v>
      </c>
      <c r="AD1103">
        <v>-7.9222000000000098E-2</v>
      </c>
      <c r="AE1103">
        <v>-0.61119999999999597</v>
      </c>
      <c r="AF1103">
        <v>0.145928122112509</v>
      </c>
      <c r="AG1103">
        <v>-7.9222000000000098E-2</v>
      </c>
      <c r="AH1103">
        <v>0.585138974197977</v>
      </c>
      <c r="AI1103">
        <v>97.483890252554303</v>
      </c>
      <c r="AJ1103">
        <v>75.996626883664106</v>
      </c>
      <c r="AK1103">
        <v>0.60824235402736004</v>
      </c>
      <c r="AL1103">
        <v>91.815079250501299</v>
      </c>
      <c r="AM1103">
        <v>81.620763268389794</v>
      </c>
      <c r="AN1103">
        <v>0.999999978135657</v>
      </c>
    </row>
    <row r="1104" spans="1:40" x14ac:dyDescent="0.25">
      <c r="A1104" t="str">
        <f>"20190312161245961"</f>
        <v>20190312161245961</v>
      </c>
      <c r="B1104" t="str">
        <f>"1552378365957096"</f>
        <v>1552378365957096</v>
      </c>
      <c r="C1104" t="s">
        <v>40</v>
      </c>
      <c r="D1104">
        <v>5.3615620000000002</v>
      </c>
      <c r="E1104">
        <v>0.51527259999999997</v>
      </c>
      <c r="F1104" t="s">
        <v>42</v>
      </c>
      <c r="G1104">
        <v>-192.31489999999999</v>
      </c>
      <c r="H1104" s="1">
        <v>-2.1472040000000001E-6</v>
      </c>
      <c r="I1104">
        <v>333.15859999999998</v>
      </c>
      <c r="J1104">
        <v>-192.07769999999999</v>
      </c>
      <c r="K1104">
        <v>1.103399</v>
      </c>
      <c r="L1104">
        <v>348.29239999999999</v>
      </c>
      <c r="M1104">
        <v>0.1555327</v>
      </c>
      <c r="N1104">
        <v>0</v>
      </c>
      <c r="O1104">
        <v>-0.98776629999999999</v>
      </c>
      <c r="P1104">
        <v>9.8461499999999997E-3</v>
      </c>
      <c r="Q1104">
        <v>-4.1585810000000001E-2</v>
      </c>
      <c r="R1104">
        <v>-0.99908669999999999</v>
      </c>
      <c r="S1104">
        <v>-3.9291380000000001E-2</v>
      </c>
      <c r="T1104">
        <v>-0.21448639999999999</v>
      </c>
      <c r="U1104">
        <v>-2.9949650000000001</v>
      </c>
      <c r="V1104">
        <v>0.1452011</v>
      </c>
      <c r="W1104">
        <v>-3.2600810000000001E-2</v>
      </c>
      <c r="X1104">
        <v>0.98886490000000005</v>
      </c>
      <c r="Y1104">
        <v>0.16845250000000001</v>
      </c>
      <c r="Z1104">
        <v>6.9615819999999995E-2</v>
      </c>
      <c r="AA1104">
        <v>0.98324840000000002</v>
      </c>
      <c r="AB1104">
        <v>26</v>
      </c>
      <c r="AC1104">
        <v>-0.23720000000000099</v>
      </c>
      <c r="AD1104">
        <v>-1.103401147204</v>
      </c>
      <c r="AE1104">
        <v>-15.133800000000001</v>
      </c>
      <c r="AF1104">
        <v>2.57458104281337</v>
      </c>
      <c r="AG1104">
        <v>-1.103401147204</v>
      </c>
      <c r="AH1104">
        <v>14.833879637761999</v>
      </c>
      <c r="AI1104">
        <v>94.191610700580895</v>
      </c>
      <c r="AJ1104">
        <v>80.153779938518596</v>
      </c>
      <c r="AK1104">
        <v>15.096024203255499</v>
      </c>
      <c r="AL1104">
        <v>91.8682198842627</v>
      </c>
      <c r="AM1104">
        <v>81.646603295046404</v>
      </c>
      <c r="AN1104">
        <v>0.999999981352937</v>
      </c>
    </row>
    <row r="1105" spans="1:40" x14ac:dyDescent="0.25">
      <c r="A1105" t="str">
        <f>"20190312161245987"</f>
        <v>20190312161245987</v>
      </c>
      <c r="B1105" t="str">
        <f>"1552378365976617"</f>
        <v>1552378365976617</v>
      </c>
      <c r="C1105" t="s">
        <v>40</v>
      </c>
      <c r="D1105">
        <v>5.401465</v>
      </c>
      <c r="E1105">
        <v>0.51878469999999999</v>
      </c>
      <c r="F1105" t="s">
        <v>42</v>
      </c>
      <c r="G1105">
        <v>-192.5838</v>
      </c>
      <c r="H1105" s="1">
        <v>-1.615062E-6</v>
      </c>
      <c r="I1105">
        <v>331.75139999999999</v>
      </c>
      <c r="J1105">
        <v>-192.04259999999999</v>
      </c>
      <c r="K1105">
        <v>1.103629</v>
      </c>
      <c r="L1105">
        <v>348.00439999999998</v>
      </c>
      <c r="M1105">
        <v>0.14650659999999999</v>
      </c>
      <c r="N1105">
        <v>0</v>
      </c>
      <c r="O1105">
        <v>-0.98914579999999996</v>
      </c>
      <c r="P1105">
        <v>9.4864090000000003E-4</v>
      </c>
      <c r="Q1105">
        <v>-4.2093459999999999E-2</v>
      </c>
      <c r="R1105">
        <v>-0.99911329999999998</v>
      </c>
      <c r="S1105">
        <v>-9.1644290000000003E-2</v>
      </c>
      <c r="T1105">
        <v>-0.19980439999999999</v>
      </c>
      <c r="U1105">
        <v>-2.9952700000000001</v>
      </c>
      <c r="V1105">
        <v>0.14498449999999999</v>
      </c>
      <c r="W1105">
        <v>-3.3070639999999998E-2</v>
      </c>
      <c r="X1105">
        <v>0.98888109999999996</v>
      </c>
      <c r="Y1105">
        <v>0.1766316</v>
      </c>
      <c r="Z1105">
        <v>6.4942749999999994E-2</v>
      </c>
      <c r="AA1105">
        <v>0.98213229999999996</v>
      </c>
      <c r="AB1105">
        <v>26</v>
      </c>
      <c r="AC1105">
        <v>-0.54120000000000301</v>
      </c>
      <c r="AD1105">
        <v>-1.1036306150620001</v>
      </c>
      <c r="AE1105">
        <v>-16.252999999999901</v>
      </c>
      <c r="AF1105">
        <v>2.9033099385302399</v>
      </c>
      <c r="AG1105">
        <v>-1.1036306150620001</v>
      </c>
      <c r="AH1105">
        <v>15.9249622726411</v>
      </c>
      <c r="AI1105">
        <v>93.900284620580294</v>
      </c>
      <c r="AJ1105">
        <v>79.667773823881106</v>
      </c>
      <c r="AK1105">
        <v>16.2250310483128</v>
      </c>
      <c r="AL1105">
        <v>91.895153647192004</v>
      </c>
      <c r="AM1105">
        <v>81.659023538101593</v>
      </c>
      <c r="AN1105">
        <v>1.00000000120373</v>
      </c>
    </row>
    <row r="1106" spans="1:40" x14ac:dyDescent="0.25">
      <c r="A1106" t="str">
        <f>"20190312161246007"</f>
        <v>20190312161246007</v>
      </c>
      <c r="B1106" t="str">
        <f>"1552378365997114"</f>
        <v>1552378365997114</v>
      </c>
      <c r="C1106" t="s">
        <v>40</v>
      </c>
      <c r="D1106">
        <v>5.3966810000000001</v>
      </c>
      <c r="E1106">
        <v>0.51992749999999999</v>
      </c>
      <c r="F1106" t="s">
        <v>42</v>
      </c>
      <c r="G1106">
        <v>-192.9546</v>
      </c>
      <c r="H1106" s="1">
        <v>-4.7331380000000003E-6</v>
      </c>
      <c r="I1106">
        <v>329.3553</v>
      </c>
      <c r="J1106">
        <v>-192.01400000000001</v>
      </c>
      <c r="K1106">
        <v>1.103836</v>
      </c>
      <c r="L1106">
        <v>347.75529999999998</v>
      </c>
      <c r="M1106">
        <v>0.13897809999999999</v>
      </c>
      <c r="N1106">
        <v>0</v>
      </c>
      <c r="O1106">
        <v>-0.99023209999999995</v>
      </c>
      <c r="P1106">
        <v>-6.7328680000000004E-3</v>
      </c>
      <c r="Q1106">
        <v>-4.1481009999999999E-2</v>
      </c>
      <c r="R1106">
        <v>-0.99911649999999996</v>
      </c>
      <c r="S1106">
        <v>-0.14648439999999999</v>
      </c>
      <c r="T1106">
        <v>-0.1772599</v>
      </c>
      <c r="U1106">
        <v>-2.9953310000000002</v>
      </c>
      <c r="V1106">
        <v>0.145093</v>
      </c>
      <c r="W1106">
        <v>-3.2424679999999997E-2</v>
      </c>
      <c r="X1106">
        <v>0.98888659999999995</v>
      </c>
      <c r="Y1106">
        <v>0.18710850000000001</v>
      </c>
      <c r="Z1106">
        <v>5.76587E-2</v>
      </c>
      <c r="AA1106">
        <v>0.98064569999999995</v>
      </c>
      <c r="AB1106">
        <v>26</v>
      </c>
      <c r="AC1106">
        <v>-0.940599999999989</v>
      </c>
      <c r="AD1106">
        <v>-1.103840733138</v>
      </c>
      <c r="AE1106">
        <v>-18.399999999999899</v>
      </c>
      <c r="AF1106">
        <v>3.4763496033149801</v>
      </c>
      <c r="AG1106">
        <v>-1.103840733138</v>
      </c>
      <c r="AH1106">
        <v>18.0259771407129</v>
      </c>
      <c r="AI1106">
        <v>93.440947876570206</v>
      </c>
      <c r="AJ1106">
        <v>79.084389837490406</v>
      </c>
      <c r="AK1106">
        <v>18.391283881396301</v>
      </c>
      <c r="AL1106">
        <v>91.858122962844504</v>
      </c>
      <c r="AM1106">
        <v>81.652915205055294</v>
      </c>
      <c r="AN1106">
        <v>1.0000000230908299</v>
      </c>
    </row>
    <row r="1107" spans="1:40" x14ac:dyDescent="0.25">
      <c r="A1107" t="str">
        <f>"20190312161246031"</f>
        <v>20190312161246031</v>
      </c>
      <c r="B1107" t="str">
        <f>"1552378366026395"</f>
        <v>1552378366026395</v>
      </c>
      <c r="C1107" t="s">
        <v>40</v>
      </c>
      <c r="D1107">
        <v>5.3132729999999997</v>
      </c>
      <c r="E1107">
        <v>0.52072689999999999</v>
      </c>
      <c r="F1107" t="s">
        <v>42</v>
      </c>
      <c r="G1107">
        <v>-193.20009999999999</v>
      </c>
      <c r="H1107" s="1">
        <v>-4.2697419999999999E-6</v>
      </c>
      <c r="I1107">
        <v>327.86559999999997</v>
      </c>
      <c r="J1107">
        <v>-191.98490000000001</v>
      </c>
      <c r="K1107">
        <v>1.104066</v>
      </c>
      <c r="L1107">
        <v>347.4837</v>
      </c>
      <c r="M1107">
        <v>0.13109199999999999</v>
      </c>
      <c r="N1107">
        <v>0</v>
      </c>
      <c r="O1107">
        <v>-0.99130720000000005</v>
      </c>
      <c r="P1107">
        <v>-1.439694E-2</v>
      </c>
      <c r="Q1107">
        <v>-4.1096010000000002E-2</v>
      </c>
      <c r="R1107">
        <v>-0.99905149999999998</v>
      </c>
      <c r="S1107">
        <v>-0.1785736</v>
      </c>
      <c r="T1107">
        <v>-0.16618869999999999</v>
      </c>
      <c r="U1107">
        <v>-2.994507</v>
      </c>
      <c r="V1107">
        <v>0.1448323</v>
      </c>
      <c r="W1107">
        <v>-3.1996829999999997E-2</v>
      </c>
      <c r="X1107">
        <v>0.98893869999999895</v>
      </c>
      <c r="Y1107">
        <v>0.18979199999999999</v>
      </c>
      <c r="Z1107">
        <v>5.4142929999999999E-2</v>
      </c>
      <c r="AA1107">
        <v>0.98033029999999999</v>
      </c>
      <c r="AB1107">
        <v>26</v>
      </c>
      <c r="AC1107">
        <v>-1.2151999999999801</v>
      </c>
      <c r="AD1107">
        <v>-1.104070269742</v>
      </c>
      <c r="AE1107">
        <v>-19.618099999999998</v>
      </c>
      <c r="AF1107">
        <v>3.7647700616631501</v>
      </c>
      <c r="AG1107">
        <v>-1.104070269742</v>
      </c>
      <c r="AH1107">
        <v>19.228796436026599</v>
      </c>
      <c r="AI1107">
        <v>93.225075699275706</v>
      </c>
      <c r="AJ1107">
        <v>78.922295198484093</v>
      </c>
      <c r="AK1107">
        <v>19.624960564441299</v>
      </c>
      <c r="AL1107">
        <v>91.833596330167794</v>
      </c>
      <c r="AM1107">
        <v>81.668135124503607</v>
      </c>
      <c r="AN1107">
        <v>0.99999997230551396</v>
      </c>
    </row>
    <row r="1108" spans="1:40" x14ac:dyDescent="0.25">
      <c r="A1108" t="str">
        <f>"20190312161246054"</f>
        <v>20190312161246054</v>
      </c>
      <c r="B1108" t="str">
        <f>"1552378366046891"</f>
        <v>1552378366046891</v>
      </c>
      <c r="C1108" t="s">
        <v>40</v>
      </c>
      <c r="D1108">
        <v>5.3821219999999999</v>
      </c>
      <c r="E1108">
        <v>0.52102150000000003</v>
      </c>
      <c r="F1108" t="s">
        <v>42</v>
      </c>
      <c r="G1108">
        <v>-193.42959999999999</v>
      </c>
      <c r="H1108" s="1">
        <v>-3.9155360000000002E-6</v>
      </c>
      <c r="I1108">
        <v>326.70510000000002</v>
      </c>
      <c r="J1108">
        <v>-191.9579</v>
      </c>
      <c r="K1108">
        <v>1.104277</v>
      </c>
      <c r="L1108">
        <v>347.21530000000001</v>
      </c>
      <c r="M1108">
        <v>0.123612899999999</v>
      </c>
      <c r="N1108">
        <v>0</v>
      </c>
      <c r="O1108">
        <v>-0.99226829999999999</v>
      </c>
      <c r="P1108">
        <v>-2.161513E-2</v>
      </c>
      <c r="Q1108">
        <v>-4.0809400000000003E-2</v>
      </c>
      <c r="R1108">
        <v>-0.99893370000000004</v>
      </c>
      <c r="S1108">
        <v>-0.20811460000000001</v>
      </c>
      <c r="T1108">
        <v>-0.1590501</v>
      </c>
      <c r="U1108">
        <v>-2.9933169999999998</v>
      </c>
      <c r="V1108">
        <v>0.14454110000000001</v>
      </c>
      <c r="W1108">
        <v>-3.1671089999999999E-2</v>
      </c>
      <c r="X1108">
        <v>0.98899179999999998</v>
      </c>
      <c r="Y1108">
        <v>0.19205410000000001</v>
      </c>
      <c r="Z1108">
        <v>5.1892649999999999E-2</v>
      </c>
      <c r="AA1108">
        <v>0.98001139999999998</v>
      </c>
      <c r="AB1108">
        <v>26</v>
      </c>
      <c r="AC1108">
        <v>-1.47169999999999</v>
      </c>
      <c r="AD1108">
        <v>-1.1042809155360001</v>
      </c>
      <c r="AE1108">
        <v>-20.510200000000001</v>
      </c>
      <c r="AF1108">
        <v>3.9844024047401301</v>
      </c>
      <c r="AG1108">
        <v>-1.1042809155360001</v>
      </c>
      <c r="AH1108">
        <v>20.1129406033652</v>
      </c>
      <c r="AI1108">
        <v>93.082821983537002</v>
      </c>
      <c r="AJ1108">
        <v>78.794701512066993</v>
      </c>
      <c r="AK1108">
        <v>20.533515981872402</v>
      </c>
      <c r="AL1108">
        <v>91.814923317106107</v>
      </c>
      <c r="AM1108">
        <v>81.685092928032304</v>
      </c>
      <c r="AN1108">
        <v>0.99999998399911805</v>
      </c>
    </row>
    <row r="1109" spans="1:40" x14ac:dyDescent="0.25">
      <c r="A1109" t="str">
        <f>"20190312161246076"</f>
        <v>20190312161246076</v>
      </c>
      <c r="B1109" t="str">
        <f>"1552378366066409"</f>
        <v>1552378366066409</v>
      </c>
      <c r="C1109" t="s">
        <v>40</v>
      </c>
      <c r="D1109">
        <v>5.2824049999999998</v>
      </c>
      <c r="E1109">
        <v>0.52083459999999904</v>
      </c>
      <c r="F1109" t="s">
        <v>42</v>
      </c>
      <c r="G1109">
        <v>-193.7045</v>
      </c>
      <c r="H1109" s="1">
        <v>-3.18336E-6</v>
      </c>
      <c r="I1109">
        <v>324.71199999999999</v>
      </c>
      <c r="J1109">
        <v>-191.93270000000001</v>
      </c>
      <c r="K1109">
        <v>1.1044620000000001</v>
      </c>
      <c r="L1109">
        <v>346.94819999999999</v>
      </c>
      <c r="M1109">
        <v>0.116415</v>
      </c>
      <c r="N1109">
        <v>0</v>
      </c>
      <c r="O1109">
        <v>-0.99313870000000004</v>
      </c>
      <c r="P1109">
        <v>-2.8274219999999999E-2</v>
      </c>
      <c r="Q1109">
        <v>-4.0626519999999999E-2</v>
      </c>
      <c r="R1109">
        <v>-0.99877450000000001</v>
      </c>
      <c r="S1109">
        <v>-0.2322388</v>
      </c>
      <c r="T1109">
        <v>-0.1468322</v>
      </c>
      <c r="U1109">
        <v>-2.9921880000000001</v>
      </c>
      <c r="V1109">
        <v>0.14397969999999999</v>
      </c>
      <c r="W1109">
        <v>-3.145423E-2</v>
      </c>
      <c r="X1109">
        <v>0.98908059999999998</v>
      </c>
      <c r="Y1109">
        <v>0.19283819999999999</v>
      </c>
      <c r="Z1109">
        <v>4.7980309999999998E-2</v>
      </c>
      <c r="AA1109">
        <v>0.98005679999999995</v>
      </c>
      <c r="AB1109">
        <v>26</v>
      </c>
      <c r="AC1109">
        <v>-1.7717999999999801</v>
      </c>
      <c r="AD1109">
        <v>-1.1044651833600001</v>
      </c>
      <c r="AE1109">
        <v>-22.2362</v>
      </c>
      <c r="AF1109">
        <v>4.3379035390749596</v>
      </c>
      <c r="AG1109">
        <v>-1.1044651833600001</v>
      </c>
      <c r="AH1109">
        <v>21.825208224325799</v>
      </c>
      <c r="AI1109">
        <v>92.841494977511005</v>
      </c>
      <c r="AJ1109">
        <v>78.758587009819294</v>
      </c>
      <c r="AK1109">
        <v>22.279518946574001</v>
      </c>
      <c r="AL1109">
        <v>91.802491971439593</v>
      </c>
      <c r="AM1109">
        <v>81.717672555421203</v>
      </c>
      <c r="AN1109">
        <v>0.99999997794667095</v>
      </c>
    </row>
    <row r="1110" spans="1:40" x14ac:dyDescent="0.25">
      <c r="A1110" t="str">
        <f>"20190312161246097"</f>
        <v>20190312161246097</v>
      </c>
      <c r="B1110" t="str">
        <f>"1552378366086437"</f>
        <v>1552378366086437</v>
      </c>
      <c r="C1110" t="s">
        <v>40</v>
      </c>
      <c r="D1110">
        <v>5.3483000000000001</v>
      </c>
      <c r="E1110">
        <v>0.52048039999999995</v>
      </c>
      <c r="F1110" t="s">
        <v>42</v>
      </c>
      <c r="G1110">
        <v>-193.81139999999999</v>
      </c>
      <c r="H1110" s="1">
        <v>-3.1337609999999999E-6</v>
      </c>
      <c r="I1110">
        <v>324.5301</v>
      </c>
      <c r="J1110">
        <v>-191.911</v>
      </c>
      <c r="K1110">
        <v>1.1046069999999999</v>
      </c>
      <c r="L1110">
        <v>346.7029</v>
      </c>
      <c r="M1110">
        <v>0.1100159</v>
      </c>
      <c r="N1110">
        <v>0</v>
      </c>
      <c r="O1110">
        <v>-0.99386839999999999</v>
      </c>
      <c r="P1110">
        <v>-3.4075349999999997E-2</v>
      </c>
      <c r="Q1110">
        <v>-3.9882029999999999E-2</v>
      </c>
      <c r="R1110">
        <v>-0.99862329999999999</v>
      </c>
      <c r="S1110">
        <v>-0.2506256</v>
      </c>
      <c r="T1110">
        <v>-0.147337</v>
      </c>
      <c r="U1110">
        <v>-2.9906009999999998</v>
      </c>
      <c r="V1110">
        <v>0.14337730000000001</v>
      </c>
      <c r="W1110">
        <v>-3.0681750000000001E-2</v>
      </c>
      <c r="X1110">
        <v>0.98919239999999997</v>
      </c>
      <c r="Y1110">
        <v>0.19254399999999999</v>
      </c>
      <c r="Z1110">
        <v>4.8213579999999999E-2</v>
      </c>
      <c r="AA1110">
        <v>0.98010319999999995</v>
      </c>
      <c r="AB1110">
        <v>26</v>
      </c>
      <c r="AC1110">
        <v>-1.9004000000000101</v>
      </c>
      <c r="AD1110">
        <v>-1.1046101337609999</v>
      </c>
      <c r="AE1110">
        <v>-22.172799999999899</v>
      </c>
      <c r="AF1110">
        <v>4.3177344620172198</v>
      </c>
      <c r="AG1110">
        <v>-1.1046101337609999</v>
      </c>
      <c r="AH1110">
        <v>21.775454324854199</v>
      </c>
      <c r="AI1110">
        <v>92.848606295413603</v>
      </c>
      <c r="AJ1110">
        <v>78.784610666991199</v>
      </c>
      <c r="AK1110">
        <v>22.226862250122299</v>
      </c>
      <c r="AL1110">
        <v>91.758210689850898</v>
      </c>
      <c r="AM1110">
        <v>81.752766817804101</v>
      </c>
      <c r="AN1110">
        <v>1.0000000120780499</v>
      </c>
    </row>
    <row r="1111" spans="1:40" x14ac:dyDescent="0.25">
      <c r="A1111" t="str">
        <f>"20190312161246119"</f>
        <v>20190312161246119</v>
      </c>
      <c r="B1111" t="str">
        <f>"1552378366106932"</f>
        <v>1552378366106932</v>
      </c>
      <c r="C1111" t="s">
        <v>40</v>
      </c>
      <c r="D1111">
        <v>5.5481780000000001</v>
      </c>
      <c r="E1111">
        <v>0.52016649999999998</v>
      </c>
      <c r="F1111" t="s">
        <v>42</v>
      </c>
      <c r="G1111">
        <v>-193.9641</v>
      </c>
      <c r="H1111" s="1">
        <v>-2.755358E-6</v>
      </c>
      <c r="I1111">
        <v>323.55329999999998</v>
      </c>
      <c r="J1111">
        <v>-191.88839999999999</v>
      </c>
      <c r="K1111">
        <v>1.10476</v>
      </c>
      <c r="L1111">
        <v>346.42759999999998</v>
      </c>
      <c r="M1111">
        <v>0.1030802</v>
      </c>
      <c r="N1111">
        <v>0</v>
      </c>
      <c r="O1111">
        <v>-0.99461200000000005</v>
      </c>
      <c r="P1111">
        <v>-4.0266349999999999E-2</v>
      </c>
      <c r="Q1111">
        <v>-3.9579860000000001E-2</v>
      </c>
      <c r="R1111">
        <v>-0.99840519999999999</v>
      </c>
      <c r="S1111">
        <v>-0.26512150000000001</v>
      </c>
      <c r="T1111">
        <v>-0.14264170000000001</v>
      </c>
      <c r="U1111">
        <v>-2.9893800000000001</v>
      </c>
      <c r="V1111">
        <v>0.142626</v>
      </c>
      <c r="W1111">
        <v>-3.0348360000000001E-2</v>
      </c>
      <c r="X1111">
        <v>0.9893113</v>
      </c>
      <c r="Y1111">
        <v>0.19045570000000001</v>
      </c>
      <c r="Z1111">
        <v>4.6752710000000003E-2</v>
      </c>
      <c r="AA1111">
        <v>0.98058190000000001</v>
      </c>
      <c r="AB1111">
        <v>26</v>
      </c>
      <c r="AC1111">
        <v>-2.0757000000000101</v>
      </c>
      <c r="AD1111">
        <v>-1.1047627553579999</v>
      </c>
      <c r="AE1111">
        <v>-22.874300000000002</v>
      </c>
      <c r="AF1111">
        <v>4.4124636016865102</v>
      </c>
      <c r="AG1111">
        <v>-1.1047627553579999</v>
      </c>
      <c r="AH1111">
        <v>22.486434566297401</v>
      </c>
      <c r="AI1111">
        <v>92.760136454726904</v>
      </c>
      <c r="AJ1111">
        <v>78.898035840242599</v>
      </c>
      <c r="AK1111">
        <v>22.941884737009001</v>
      </c>
      <c r="AL1111">
        <v>91.739099930338398</v>
      </c>
      <c r="AM1111">
        <v>81.7963652642147</v>
      </c>
      <c r="AN1111">
        <v>1.0000000235691799</v>
      </c>
    </row>
    <row r="1112" spans="1:40" x14ac:dyDescent="0.25">
      <c r="A1112" t="str">
        <f>"20190312161246144"</f>
        <v>20190312161246144</v>
      </c>
      <c r="B1112" t="str">
        <f>"1552378366137187"</f>
        <v>1552378366137187</v>
      </c>
      <c r="C1112" t="s">
        <v>40</v>
      </c>
      <c r="D1112">
        <v>5.414021</v>
      </c>
      <c r="E1112">
        <v>0.51879330000000001</v>
      </c>
      <c r="F1112" t="s">
        <v>42</v>
      </c>
      <c r="G1112">
        <v>-194.15960000000001</v>
      </c>
      <c r="H1112" s="1">
        <v>-2.266492E-6</v>
      </c>
      <c r="I1112">
        <v>322.29239999999999</v>
      </c>
      <c r="J1112">
        <v>-191.86750000000001</v>
      </c>
      <c r="K1112">
        <v>1.104911</v>
      </c>
      <c r="L1112">
        <v>346.15429999999998</v>
      </c>
      <c r="M1112">
        <v>9.6442420000000001E-2</v>
      </c>
      <c r="N1112">
        <v>0</v>
      </c>
      <c r="O1112">
        <v>-0.99527770000000004</v>
      </c>
      <c r="P1112">
        <v>-4.6273750000000002E-2</v>
      </c>
      <c r="Q1112">
        <v>-3.9527430000000002E-2</v>
      </c>
      <c r="R1112">
        <v>-0.99814650000000005</v>
      </c>
      <c r="S1112">
        <v>-0.28118900000000002</v>
      </c>
      <c r="T1112">
        <v>-0.13677420000000001</v>
      </c>
      <c r="U1112">
        <v>-2.9880369999999998</v>
      </c>
      <c r="V1112">
        <v>0.14199149999999999</v>
      </c>
      <c r="W1112">
        <v>-3.0264220000000001E-2</v>
      </c>
      <c r="X1112">
        <v>0.98940510000000004</v>
      </c>
      <c r="Y1112">
        <v>0.1891824</v>
      </c>
      <c r="Z1112">
        <v>4.4893969999999998E-2</v>
      </c>
      <c r="AA1112">
        <v>0.98091510000000004</v>
      </c>
      <c r="AB1112">
        <v>26</v>
      </c>
      <c r="AC1112">
        <v>-2.2921</v>
      </c>
      <c r="AD1112">
        <v>-1.1049132664920001</v>
      </c>
      <c r="AE1112">
        <v>-23.861899999999899</v>
      </c>
      <c r="AF1112">
        <v>4.5731373869079999</v>
      </c>
      <c r="AG1112">
        <v>-1.1049132664920001</v>
      </c>
      <c r="AH1112">
        <v>23.479704019000799</v>
      </c>
      <c r="AI1112">
        <v>92.644627378461905</v>
      </c>
      <c r="AJ1112">
        <v>78.978497568136305</v>
      </c>
      <c r="AK1112">
        <v>23.9464176800182</v>
      </c>
      <c r="AL1112">
        <v>91.734276922847599</v>
      </c>
      <c r="AM1112">
        <v>81.833131149524505</v>
      </c>
      <c r="AN1112">
        <v>0.99999998049523398</v>
      </c>
    </row>
    <row r="1113" spans="1:40" x14ac:dyDescent="0.25">
      <c r="A1113" t="str">
        <f>"20190312161246162"</f>
        <v>20190312161246162</v>
      </c>
      <c r="B1113" t="str">
        <f>"1552378366156708"</f>
        <v>1552378366156708</v>
      </c>
      <c r="C1113" t="s">
        <v>40</v>
      </c>
      <c r="D1113">
        <v>5.4024839999999896</v>
      </c>
      <c r="E1113">
        <v>0.51784909999999995</v>
      </c>
      <c r="F1113" t="s">
        <v>42</v>
      </c>
      <c r="G1113">
        <v>-194.42009999999999</v>
      </c>
      <c r="H1113" s="1">
        <v>-1.230396E-6</v>
      </c>
      <c r="I1113">
        <v>319.71570000000003</v>
      </c>
      <c r="J1113">
        <v>-191.85069999999999</v>
      </c>
      <c r="K1113">
        <v>1.105067</v>
      </c>
      <c r="L1113">
        <v>345.9171</v>
      </c>
      <c r="M1113">
        <v>9.0892879999999995E-2</v>
      </c>
      <c r="N1113">
        <v>0</v>
      </c>
      <c r="O1113">
        <v>-0.99580040000000003</v>
      </c>
      <c r="P1113">
        <v>-5.0887000000000002E-2</v>
      </c>
      <c r="Q1113">
        <v>-3.9672449999999998E-2</v>
      </c>
      <c r="R1113">
        <v>-0.99791640000000004</v>
      </c>
      <c r="S1113">
        <v>-0.28840640000000001</v>
      </c>
      <c r="T1113">
        <v>-0.12484049999999999</v>
      </c>
      <c r="U1113">
        <v>-2.9872130000000001</v>
      </c>
      <c r="V1113">
        <v>0.141058399999999</v>
      </c>
      <c r="W1113">
        <v>-3.0372429999999999E-2</v>
      </c>
      <c r="X1113">
        <v>0.98953530000000001</v>
      </c>
      <c r="Y1113">
        <v>0.18609800000000001</v>
      </c>
      <c r="Z1113">
        <v>4.1035559999999999E-2</v>
      </c>
      <c r="AA1113">
        <v>0.98167389999999999</v>
      </c>
      <c r="AB1113">
        <v>26</v>
      </c>
      <c r="AC1113">
        <v>-2.5693999999999999</v>
      </c>
      <c r="AD1113">
        <v>-1.105068230396</v>
      </c>
      <c r="AE1113">
        <v>-26.2013999999999</v>
      </c>
      <c r="AF1113">
        <v>4.9317377470765704</v>
      </c>
      <c r="AG1113">
        <v>-1.105068230396</v>
      </c>
      <c r="AH1113">
        <v>25.813896045340801</v>
      </c>
      <c r="AI1113">
        <v>92.407785288905202</v>
      </c>
      <c r="AJ1113">
        <v>79.1839948551482</v>
      </c>
      <c r="AK1113">
        <v>26.3040004949709</v>
      </c>
      <c r="AL1113">
        <v>91.740479658763704</v>
      </c>
      <c r="AM1113">
        <v>81.887136302377201</v>
      </c>
      <c r="AN1113">
        <v>1.00000003333037</v>
      </c>
    </row>
    <row r="1114" spans="1:40" x14ac:dyDescent="0.25">
      <c r="A1114" t="str">
        <f>"20190312161246186"</f>
        <v>20190312161246186</v>
      </c>
      <c r="B1114" t="str">
        <f>"1552378366176227"</f>
        <v>1552378366176227</v>
      </c>
      <c r="C1114" t="s">
        <v>40</v>
      </c>
      <c r="D1114">
        <v>5.5496559999999997</v>
      </c>
      <c r="E1114">
        <v>0.51699119999999998</v>
      </c>
      <c r="F1114" t="s">
        <v>42</v>
      </c>
      <c r="G1114">
        <v>-194.5898</v>
      </c>
      <c r="H1114" s="1">
        <v>-4.9965369999999999E-6</v>
      </c>
      <c r="I1114">
        <v>318.1773</v>
      </c>
      <c r="J1114">
        <v>-191.83189999999999</v>
      </c>
      <c r="K1114">
        <v>1.105262</v>
      </c>
      <c r="L1114">
        <v>345.63249999999999</v>
      </c>
      <c r="M1114">
        <v>8.4480230000000003E-2</v>
      </c>
      <c r="N1114">
        <v>0</v>
      </c>
      <c r="O1114">
        <v>-0.99636519999999995</v>
      </c>
      <c r="P1114">
        <v>-5.6817369999999999E-2</v>
      </c>
      <c r="Q1114">
        <v>-3.9955530000000003E-2</v>
      </c>
      <c r="R1114">
        <v>-0.9975851</v>
      </c>
      <c r="S1114">
        <v>-0.29489140000000003</v>
      </c>
      <c r="T1114">
        <v>-0.11897249999999999</v>
      </c>
      <c r="U1114">
        <v>-2.9864809999999999</v>
      </c>
      <c r="V1114">
        <v>0.1405797</v>
      </c>
      <c r="W1114">
        <v>-3.0617809999999999E-2</v>
      </c>
      <c r="X1114">
        <v>0.98959580000000003</v>
      </c>
      <c r="Y1114">
        <v>0.18191309999999999</v>
      </c>
      <c r="Z1114">
        <v>3.9164520000000001E-2</v>
      </c>
      <c r="AA1114">
        <v>0.98253429999999997</v>
      </c>
      <c r="AB1114">
        <v>26</v>
      </c>
      <c r="AC1114">
        <v>-2.7578999999999998</v>
      </c>
      <c r="AD1114">
        <v>-1.1052669965369999</v>
      </c>
      <c r="AE1114">
        <v>-27.455199999999898</v>
      </c>
      <c r="AF1114">
        <v>5.0594822775481996</v>
      </c>
      <c r="AG1114">
        <v>-1.1052669965369999</v>
      </c>
      <c r="AH1114">
        <v>27.080588910813798</v>
      </c>
      <c r="AI1114">
        <v>92.297462844256302</v>
      </c>
      <c r="AJ1114">
        <v>79.417401236419707</v>
      </c>
      <c r="AK1114">
        <v>27.5713306136456</v>
      </c>
      <c r="AL1114">
        <v>91.754545541102502</v>
      </c>
      <c r="AM1114">
        <v>81.914791454901007</v>
      </c>
      <c r="AN1114">
        <v>0.99999997485946202</v>
      </c>
    </row>
    <row r="1115" spans="1:40" x14ac:dyDescent="0.25">
      <c r="A1115" t="str">
        <f>"20190312161246254"</f>
        <v>20190312161246254</v>
      </c>
      <c r="B1115" t="str">
        <f>"1552378366247007"</f>
        <v>1552378366247007</v>
      </c>
      <c r="C1115" t="s">
        <v>40</v>
      </c>
      <c r="D1115">
        <v>5.4477010000000003</v>
      </c>
      <c r="E1115">
        <v>0.51510559999999905</v>
      </c>
      <c r="F1115" t="s">
        <v>42</v>
      </c>
      <c r="G1115">
        <v>-194.7731</v>
      </c>
      <c r="H1115" s="1">
        <v>-4.5464290000000004E-6</v>
      </c>
      <c r="I1115">
        <v>316.9205</v>
      </c>
      <c r="J1115">
        <v>-191.78649999999999</v>
      </c>
      <c r="K1115">
        <v>1.1058140000000001</v>
      </c>
      <c r="L1115">
        <v>344.8211</v>
      </c>
      <c r="M1115">
        <v>6.7845649999999993E-2</v>
      </c>
      <c r="N1115">
        <v>0</v>
      </c>
      <c r="O1115">
        <v>-0.99763710000000005</v>
      </c>
      <c r="P1115">
        <v>-7.1633769999999999E-2</v>
      </c>
      <c r="Q1115">
        <v>-3.9626250000000002E-2</v>
      </c>
      <c r="R1115">
        <v>-0.99664370000000002</v>
      </c>
      <c r="S1115">
        <v>-0.3058014</v>
      </c>
      <c r="T1115">
        <v>-0.1149174</v>
      </c>
      <c r="U1115">
        <v>-2.9852599999999998</v>
      </c>
      <c r="V1115">
        <v>0.13881830000000001</v>
      </c>
      <c r="W1115">
        <v>-3.0186629999999999E-2</v>
      </c>
      <c r="X1115">
        <v>0.98985769999999995</v>
      </c>
      <c r="Y1115">
        <v>0.16909150000000001</v>
      </c>
      <c r="Z1115">
        <v>3.7957200000000003E-2</v>
      </c>
      <c r="AA1115">
        <v>0.9848692</v>
      </c>
      <c r="AB1115">
        <v>27</v>
      </c>
      <c r="AC1115">
        <v>-2.9866000000000001</v>
      </c>
      <c r="AD1115">
        <v>-1.10581854642899</v>
      </c>
      <c r="AE1115">
        <v>-27.900600000000001</v>
      </c>
      <c r="AF1115">
        <v>4.8652067858143804</v>
      </c>
      <c r="AG1115">
        <v>-1.10581854642899</v>
      </c>
      <c r="AH1115">
        <v>27.5908143994466</v>
      </c>
      <c r="AI1115">
        <v>92.260307470623502</v>
      </c>
      <c r="AJ1115">
        <v>79.999593599075098</v>
      </c>
      <c r="AK1115">
        <v>28.038297219179899</v>
      </c>
      <c r="AL1115">
        <v>91.7298292607029</v>
      </c>
      <c r="AM1115">
        <v>82.016866154199207</v>
      </c>
      <c r="AN1115">
        <v>1.0000000096474599</v>
      </c>
    </row>
    <row r="1116" spans="1:40" x14ac:dyDescent="0.25">
      <c r="A1116" t="str">
        <f>"20190312161246275"</f>
        <v>20190312161246275</v>
      </c>
      <c r="B1116" t="str">
        <f>"1552378366266526"</f>
        <v>1552378366266526</v>
      </c>
      <c r="C1116" t="s">
        <v>40</v>
      </c>
      <c r="D1116">
        <v>5.3760219999999999</v>
      </c>
      <c r="E1116">
        <v>0.51397369999999998</v>
      </c>
      <c r="F1116" t="s">
        <v>42</v>
      </c>
      <c r="G1116">
        <v>-195.131</v>
      </c>
      <c r="H1116" s="1">
        <v>-3.895499E-6</v>
      </c>
      <c r="I1116">
        <v>315.06009999999998</v>
      </c>
      <c r="J1116">
        <v>-191.7749</v>
      </c>
      <c r="K1116">
        <v>1.105958</v>
      </c>
      <c r="L1116">
        <v>344.57510000000002</v>
      </c>
      <c r="M1116">
        <v>6.3225610000000002E-2</v>
      </c>
      <c r="N1116">
        <v>0</v>
      </c>
      <c r="O1116">
        <v>-0.99794099999999997</v>
      </c>
      <c r="P1116">
        <v>-7.5403059999999994E-2</v>
      </c>
      <c r="Q1116">
        <v>-3.9607339999999998E-2</v>
      </c>
      <c r="R1116">
        <v>-0.99636639999999999</v>
      </c>
      <c r="S1116">
        <v>-0.33506770000000002</v>
      </c>
      <c r="T1116">
        <v>-0.11078730000000001</v>
      </c>
      <c r="U1116">
        <v>-2.9816280000000002</v>
      </c>
      <c r="V1116">
        <v>0.13798949999999999</v>
      </c>
      <c r="W1116">
        <v>-3.0142200000000001E-2</v>
      </c>
      <c r="X1116">
        <v>0.98997489999999999</v>
      </c>
      <c r="Y1116">
        <v>0.17420939999999999</v>
      </c>
      <c r="Z1116">
        <v>3.6620430000000002E-2</v>
      </c>
      <c r="AA1116">
        <v>0.9840274</v>
      </c>
      <c r="AB1116">
        <v>27</v>
      </c>
      <c r="AC1116">
        <v>-3.3560999999999601</v>
      </c>
      <c r="AD1116">
        <v>-1.105961895499</v>
      </c>
      <c r="AE1116">
        <v>-29.515000000000001</v>
      </c>
      <c r="AF1116">
        <v>5.2083772403005</v>
      </c>
      <c r="AG1116">
        <v>-1.105961895499</v>
      </c>
      <c r="AH1116">
        <v>29.203256879951802</v>
      </c>
      <c r="AI1116">
        <v>92.135162175999398</v>
      </c>
      <c r="AJ1116">
        <v>79.887668603523196</v>
      </c>
      <c r="AK1116">
        <v>29.684685573339401</v>
      </c>
      <c r="AL1116">
        <v>91.727282504169096</v>
      </c>
      <c r="AM1116">
        <v>82.064847109113202</v>
      </c>
      <c r="AN1116">
        <v>0.999999978480549</v>
      </c>
    </row>
    <row r="1117" spans="1:40" x14ac:dyDescent="0.25">
      <c r="A1117" t="str">
        <f>"20190312161246298"</f>
        <v>20190312161246298</v>
      </c>
      <c r="B1117" t="str">
        <f>"1552378366286555"</f>
        <v>1552378366286555</v>
      </c>
      <c r="C1117" t="s">
        <v>40</v>
      </c>
      <c r="D1117">
        <v>5.4034380000000004</v>
      </c>
      <c r="E1117">
        <v>0.51300509999999999</v>
      </c>
      <c r="F1117" t="s">
        <v>42</v>
      </c>
      <c r="G1117">
        <v>-195.3142</v>
      </c>
      <c r="H1117" s="1">
        <v>-3.1790829999999999E-6</v>
      </c>
      <c r="I1117">
        <v>313.32569999999998</v>
      </c>
      <c r="J1117">
        <v>-191.76310000000001</v>
      </c>
      <c r="K1117">
        <v>1.1061080000000001</v>
      </c>
      <c r="L1117">
        <v>344.3014</v>
      </c>
      <c r="M1117">
        <v>5.8319589999999998E-2</v>
      </c>
      <c r="N1117">
        <v>0</v>
      </c>
      <c r="O1117">
        <v>-0.99824009999999996</v>
      </c>
      <c r="P1117">
        <v>-7.9179230000000003E-2</v>
      </c>
      <c r="Q1117">
        <v>-3.8761110000000001E-2</v>
      </c>
      <c r="R1117">
        <v>-0.99610659999999895</v>
      </c>
      <c r="S1117">
        <v>-0.33764650000000002</v>
      </c>
      <c r="T1117">
        <v>-0.10550900000000001</v>
      </c>
      <c r="U1117">
        <v>-2.981201</v>
      </c>
      <c r="V1117">
        <v>0.13689579999999901</v>
      </c>
      <c r="W1117">
        <v>-2.9272200000000002E-2</v>
      </c>
      <c r="X1117">
        <v>0.99015280000000006</v>
      </c>
      <c r="Y1117">
        <v>0.17023099999999999</v>
      </c>
      <c r="Z1117">
        <v>3.4909309999999999E-2</v>
      </c>
      <c r="AA1117">
        <v>0.98478560000000004</v>
      </c>
      <c r="AB1117">
        <v>27</v>
      </c>
      <c r="AC1117">
        <v>-3.5510999999999902</v>
      </c>
      <c r="AD1117">
        <v>-1.1061111790830001</v>
      </c>
      <c r="AE1117">
        <v>-30.9757</v>
      </c>
      <c r="AF1117">
        <v>5.3449226124808904</v>
      </c>
      <c r="AG1117">
        <v>-1.1061111790830001</v>
      </c>
      <c r="AH1117">
        <v>30.677251375187399</v>
      </c>
      <c r="AI1117">
        <v>92.034364076055297</v>
      </c>
      <c r="AJ1117">
        <v>80.116521367361997</v>
      </c>
      <c r="AK1117">
        <v>31.1590345102402</v>
      </c>
      <c r="AL1117">
        <v>91.677413220128699</v>
      </c>
      <c r="AM1117">
        <v>82.128345870865004</v>
      </c>
      <c r="AN1117">
        <v>0.99999994454915797</v>
      </c>
    </row>
    <row r="1118" spans="1:40" x14ac:dyDescent="0.25">
      <c r="A1118" t="str">
        <f>"20190312161246321"</f>
        <v>20190312161246321</v>
      </c>
      <c r="B1118" t="str">
        <f>"1552378366316810"</f>
        <v>1552378366316810</v>
      </c>
      <c r="C1118" t="s">
        <v>40</v>
      </c>
      <c r="D1118">
        <v>5.4853909999999999</v>
      </c>
      <c r="E1118">
        <v>0.51162479999999999</v>
      </c>
      <c r="F1118" t="s">
        <v>42</v>
      </c>
      <c r="G1118">
        <v>-195.4923</v>
      </c>
      <c r="H1118" s="1">
        <v>-2.4650079999999999E-6</v>
      </c>
      <c r="I1118">
        <v>311.71480000000003</v>
      </c>
      <c r="J1118">
        <v>-191.75200000000001</v>
      </c>
      <c r="K1118">
        <v>1.1062620000000001</v>
      </c>
      <c r="L1118">
        <v>344.01729999999998</v>
      </c>
      <c r="M1118">
        <v>5.3468540000000002E-2</v>
      </c>
      <c r="N1118">
        <v>0</v>
      </c>
      <c r="O1118">
        <v>-0.99851190000000001</v>
      </c>
      <c r="P1118">
        <v>-8.3560770000000006E-2</v>
      </c>
      <c r="Q1118">
        <v>-3.9283020000000002E-2</v>
      </c>
      <c r="R1118">
        <v>-0.9957279</v>
      </c>
      <c r="S1118">
        <v>-0.34111019999999997</v>
      </c>
      <c r="T1118">
        <v>-0.101175399999999</v>
      </c>
      <c r="U1118">
        <v>-2.9806819999999998</v>
      </c>
      <c r="V1118">
        <v>0.13644609999999999</v>
      </c>
      <c r="W1118">
        <v>-2.9779150000000001E-2</v>
      </c>
      <c r="X1118">
        <v>0.99019979999999996</v>
      </c>
      <c r="Y1118">
        <v>0.1665963</v>
      </c>
      <c r="Z1118">
        <v>3.3505029999999998E-2</v>
      </c>
      <c r="AA1118">
        <v>0.98545579999999999</v>
      </c>
      <c r="AB1118">
        <v>27</v>
      </c>
      <c r="AC1118">
        <v>-3.7402999999999902</v>
      </c>
      <c r="AD1118">
        <v>-1.106264465008</v>
      </c>
      <c r="AE1118">
        <v>-32.302499999999903</v>
      </c>
      <c r="AF1118">
        <v>5.4559015917259899</v>
      </c>
      <c r="AG1118">
        <v>-1.106264465008</v>
      </c>
      <c r="AH1118">
        <v>32.019229981663301</v>
      </c>
      <c r="AI1118">
        <v>91.950688576504007</v>
      </c>
      <c r="AJ1118">
        <v>80.329986235672706</v>
      </c>
      <c r="AK1118">
        <v>32.499565718079701</v>
      </c>
      <c r="AL1118">
        <v>91.706471908955294</v>
      </c>
      <c r="AM1118">
        <v>82.154249293702307</v>
      </c>
      <c r="AN1118">
        <v>0.99999998994998596</v>
      </c>
    </row>
    <row r="1119" spans="1:40" x14ac:dyDescent="0.25">
      <c r="A1119" t="str">
        <f>"20190312161246343"</f>
        <v>20190312161246343</v>
      </c>
      <c r="B1119" t="str">
        <f>"1552378366336331"</f>
        <v>1552378366336331</v>
      </c>
      <c r="C1119" t="s">
        <v>40</v>
      </c>
      <c r="D1119">
        <v>5.4908299999999999</v>
      </c>
      <c r="E1119">
        <v>0.51094099999999998</v>
      </c>
      <c r="F1119" t="s">
        <v>42</v>
      </c>
      <c r="G1119">
        <v>-195.4435</v>
      </c>
      <c r="H1119" s="1">
        <v>-2.57735E-6</v>
      </c>
      <c r="I1119">
        <v>311.97989999999999</v>
      </c>
      <c r="J1119">
        <v>-191.74279999999999</v>
      </c>
      <c r="K1119">
        <v>1.1064149999999999</v>
      </c>
      <c r="L1119">
        <v>343.75529999999998</v>
      </c>
      <c r="M1119">
        <v>4.9205060000000002E-2</v>
      </c>
      <c r="N1119">
        <v>0</v>
      </c>
      <c r="O1119">
        <v>-0.9987317</v>
      </c>
      <c r="P1119">
        <v>-8.7778759999999997E-2</v>
      </c>
      <c r="Q1119">
        <v>-3.9776840000000001E-2</v>
      </c>
      <c r="R1119">
        <v>-0.99534579999999995</v>
      </c>
      <c r="S1119">
        <v>-0.34336850000000002</v>
      </c>
      <c r="T1119">
        <v>-0.10290000000000001</v>
      </c>
      <c r="U1119">
        <v>-2.9799799999999999</v>
      </c>
      <c r="V1119">
        <v>0.1364194</v>
      </c>
      <c r="W1119">
        <v>-3.0259319999999999E-2</v>
      </c>
      <c r="X1119">
        <v>0.99018899999999999</v>
      </c>
      <c r="Y1119">
        <v>0.1631466</v>
      </c>
      <c r="Z1119">
        <v>3.4103210000000002E-2</v>
      </c>
      <c r="AA1119">
        <v>0.98601220000000001</v>
      </c>
      <c r="AB1119">
        <v>27</v>
      </c>
      <c r="AC1119">
        <v>-3.7007000000000101</v>
      </c>
      <c r="AD1119">
        <v>-1.10641757735</v>
      </c>
      <c r="AE1119">
        <v>-31.775399999999902</v>
      </c>
      <c r="AF1119">
        <v>5.2535320070561404</v>
      </c>
      <c r="AG1119">
        <v>-1.10641757735</v>
      </c>
      <c r="AH1119">
        <v>31.517101602547001</v>
      </c>
      <c r="AI1119">
        <v>91.983219571565797</v>
      </c>
      <c r="AJ1119">
        <v>80.536471938975197</v>
      </c>
      <c r="AK1119">
        <v>31.971103387745298</v>
      </c>
      <c r="AL1119">
        <v>91.733995894088295</v>
      </c>
      <c r="AM1119">
        <v>82.155680956760804</v>
      </c>
      <c r="AN1119">
        <v>1.0000000674320999</v>
      </c>
    </row>
    <row r="1120" spans="1:40" x14ac:dyDescent="0.25">
      <c r="A1120" t="str">
        <f>"20190312161246364"</f>
        <v>20190312161246364</v>
      </c>
      <c r="B1120" t="str">
        <f>"1552378366356827"</f>
        <v>1552378366356827</v>
      </c>
      <c r="C1120" t="s">
        <v>40</v>
      </c>
      <c r="D1120">
        <v>5.468445</v>
      </c>
      <c r="E1120">
        <v>0.51049460000000002</v>
      </c>
      <c r="F1120" t="s">
        <v>42</v>
      </c>
      <c r="G1120">
        <v>-195.34469999999999</v>
      </c>
      <c r="H1120" s="1">
        <v>-3.1004419999999999E-6</v>
      </c>
      <c r="I1120">
        <v>313.1422</v>
      </c>
      <c r="J1120">
        <v>-191.7345</v>
      </c>
      <c r="K1120">
        <v>1.106562</v>
      </c>
      <c r="L1120">
        <v>343.49549999999999</v>
      </c>
      <c r="M1120">
        <v>4.5173820000000003E-2</v>
      </c>
      <c r="N1120">
        <v>0</v>
      </c>
      <c r="O1120">
        <v>-0.99892230000000004</v>
      </c>
      <c r="P1120">
        <v>-9.1436509999999999E-2</v>
      </c>
      <c r="Q1120">
        <v>-3.9522729999999999E-2</v>
      </c>
      <c r="R1120">
        <v>-0.99502659999999998</v>
      </c>
      <c r="S1120">
        <v>-0.35047909999999999</v>
      </c>
      <c r="T1120">
        <v>-0.1076579</v>
      </c>
      <c r="U1120">
        <v>-2.9787599999999999</v>
      </c>
      <c r="V1120">
        <v>0.13607569999999999</v>
      </c>
      <c r="W1120">
        <v>-2.9984429999999999E-2</v>
      </c>
      <c r="X1120">
        <v>0.99024460000000003</v>
      </c>
      <c r="Y1120">
        <v>0.16152620000000001</v>
      </c>
      <c r="Z1120">
        <v>3.5702770000000002E-2</v>
      </c>
      <c r="AA1120">
        <v>0.98622240000000005</v>
      </c>
      <c r="AB1120">
        <v>27</v>
      </c>
      <c r="AC1120">
        <v>-3.6101999999999901</v>
      </c>
      <c r="AD1120">
        <v>-1.1065651004420001</v>
      </c>
      <c r="AE1120">
        <v>-30.353299999999901</v>
      </c>
      <c r="AF1120">
        <v>4.9712515643477904</v>
      </c>
      <c r="AG1120">
        <v>-1.1065651004420001</v>
      </c>
      <c r="AH1120">
        <v>30.119741962525101</v>
      </c>
      <c r="AI1120">
        <v>92.075974419204599</v>
      </c>
      <c r="AJ1120">
        <v>80.627848001424596</v>
      </c>
      <c r="AK1120">
        <v>30.547286038642401</v>
      </c>
      <c r="AL1120">
        <v>91.718238798302195</v>
      </c>
      <c r="AM1120">
        <v>82.175632998474001</v>
      </c>
      <c r="AN1120">
        <v>1.00000001500103</v>
      </c>
    </row>
    <row r="1121" spans="1:40" x14ac:dyDescent="0.25">
      <c r="A1121" t="str">
        <f>"20190312161246386"</f>
        <v>20190312161246386</v>
      </c>
      <c r="B1121" t="str">
        <f>"1552378366376347"</f>
        <v>1552378366376347</v>
      </c>
      <c r="C1121" t="s">
        <v>40</v>
      </c>
      <c r="D1121">
        <v>5.4852619999999996</v>
      </c>
      <c r="E1121">
        <v>0.51006809999999903</v>
      </c>
      <c r="F1121" t="s">
        <v>42</v>
      </c>
      <c r="G1121">
        <v>-195.43889999999999</v>
      </c>
      <c r="H1121" s="1">
        <v>-2.9039159999999999E-6</v>
      </c>
      <c r="I1121">
        <v>312.67340000000002</v>
      </c>
      <c r="J1121">
        <v>-191.7269</v>
      </c>
      <c r="K1121">
        <v>1.1067100000000001</v>
      </c>
      <c r="L1121">
        <v>343.23129999999998</v>
      </c>
      <c r="M1121">
        <v>4.127815E-2</v>
      </c>
      <c r="N1121">
        <v>0</v>
      </c>
      <c r="O1121">
        <v>-0.99909130000000002</v>
      </c>
      <c r="P1121">
        <v>-9.5044939999999994E-2</v>
      </c>
      <c r="Q1121">
        <v>-3.8842979999999999E-2</v>
      </c>
      <c r="R1121">
        <v>-0.99471520000000002</v>
      </c>
      <c r="S1121">
        <v>-0.35791020000000001</v>
      </c>
      <c r="T1121">
        <v>-0.1069118</v>
      </c>
      <c r="U1121">
        <v>-2.9779049999999998</v>
      </c>
      <c r="V1121">
        <v>0.13582279999999999</v>
      </c>
      <c r="W1121">
        <v>-2.9281970000000001E-2</v>
      </c>
      <c r="X1121">
        <v>0.99030039999999997</v>
      </c>
      <c r="Y1121">
        <v>0.16013820000000001</v>
      </c>
      <c r="Z1121">
        <v>3.5473629999999999E-2</v>
      </c>
      <c r="AA1121">
        <v>0.98645700000000003</v>
      </c>
      <c r="AB1121">
        <v>27</v>
      </c>
      <c r="AC1121">
        <v>-3.7119999999999802</v>
      </c>
      <c r="AD1121">
        <v>-1.106712903916</v>
      </c>
      <c r="AE1121">
        <v>-30.557899999999901</v>
      </c>
      <c r="AF1121">
        <v>4.9638642914201396</v>
      </c>
      <c r="AG1121">
        <v>-1.106712903916</v>
      </c>
      <c r="AH1121">
        <v>30.339402798687502</v>
      </c>
      <c r="AI1121">
        <v>92.061706248273495</v>
      </c>
      <c r="AJ1121">
        <v>80.708098902041698</v>
      </c>
      <c r="AK1121">
        <v>30.7627067134272</v>
      </c>
      <c r="AL1121">
        <v>91.677973021864702</v>
      </c>
      <c r="AM1121">
        <v>82.190429786718994</v>
      </c>
      <c r="AN1121">
        <v>1.00000007450353</v>
      </c>
    </row>
    <row r="1122" spans="1:40" x14ac:dyDescent="0.25">
      <c r="A1122" t="str">
        <f>"20190312161246412"</f>
        <v>20190312161246412</v>
      </c>
      <c r="B1122" t="str">
        <f>"1552378366407109"</f>
        <v>1552378366407109</v>
      </c>
      <c r="C1122" t="s">
        <v>40</v>
      </c>
      <c r="D1122">
        <v>5.5301970000000003</v>
      </c>
      <c r="E1122">
        <v>0.49169200000000002</v>
      </c>
      <c r="F1122" t="s">
        <v>42</v>
      </c>
      <c r="G1122">
        <v>-195.61099999999999</v>
      </c>
      <c r="H1122" s="1">
        <v>-2.4325200000000001E-6</v>
      </c>
      <c r="I1122">
        <v>311.57929999999999</v>
      </c>
      <c r="J1122">
        <v>-191.71899999999999</v>
      </c>
      <c r="K1122">
        <v>1.1068739999999999</v>
      </c>
      <c r="L1122">
        <v>342.92219999999998</v>
      </c>
      <c r="M1122">
        <v>3.6979970000000001E-2</v>
      </c>
      <c r="N1122">
        <v>0</v>
      </c>
      <c r="O1122">
        <v>-0.99925989999999998</v>
      </c>
      <c r="P1122">
        <v>-9.9193649999999994E-2</v>
      </c>
      <c r="Q1122">
        <v>-3.8987239999999999E-2</v>
      </c>
      <c r="R1122">
        <v>-0.99430410000000002</v>
      </c>
      <c r="S1122">
        <v>-0.36531069999999999</v>
      </c>
      <c r="T1122">
        <v>-0.1040894</v>
      </c>
      <c r="U1122">
        <v>-2.9769589999999999</v>
      </c>
      <c r="V1122">
        <v>0.13570450000000001</v>
      </c>
      <c r="W1122">
        <v>-2.9401960000000001E-2</v>
      </c>
      <c r="X1122">
        <v>0.990313</v>
      </c>
      <c r="Y1122">
        <v>0.158349499999999</v>
      </c>
      <c r="Z1122">
        <v>3.4557850000000001E-2</v>
      </c>
      <c r="AA1122">
        <v>0.98677820000000005</v>
      </c>
      <c r="AB1122">
        <v>27</v>
      </c>
      <c r="AC1122">
        <v>-3.8919999999999599</v>
      </c>
      <c r="AD1122">
        <v>-1.10687643252</v>
      </c>
      <c r="AE1122">
        <v>-31.342899999999901</v>
      </c>
      <c r="AF1122">
        <v>5.0422691011231802</v>
      </c>
      <c r="AG1122">
        <v>-1.10687643252</v>
      </c>
      <c r="AH1122">
        <v>31.139279420115301</v>
      </c>
      <c r="AI1122">
        <v>92.009623980110902</v>
      </c>
      <c r="AJ1122">
        <v>80.802140158041993</v>
      </c>
      <c r="AK1122">
        <v>31.564289567944201</v>
      </c>
      <c r="AL1122">
        <v>91.684851008220093</v>
      </c>
      <c r="AM1122">
        <v>82.197246054710305</v>
      </c>
      <c r="AN1122">
        <v>1.0000000122705399</v>
      </c>
    </row>
    <row r="1123" spans="1:40" x14ac:dyDescent="0.25">
      <c r="A1123" t="str">
        <f>"20190312161246434"</f>
        <v>20190312161246434</v>
      </c>
      <c r="B1123" t="str">
        <f>"1552378366426629"</f>
        <v>1552378366426629</v>
      </c>
      <c r="C1123" t="s">
        <v>40</v>
      </c>
      <c r="D1123">
        <v>5.4807730000000001</v>
      </c>
      <c r="E1123">
        <v>0.49220069999999999</v>
      </c>
      <c r="F1123" t="s">
        <v>42</v>
      </c>
      <c r="G1123">
        <v>-193.68279999999999</v>
      </c>
      <c r="H1123" s="1">
        <v>-4.5919110000000001E-6</v>
      </c>
      <c r="I1123">
        <v>317.54259999999999</v>
      </c>
      <c r="J1123">
        <v>-191.71340000000001</v>
      </c>
      <c r="K1123">
        <v>1.106992</v>
      </c>
      <c r="L1123">
        <v>342.66879999999998</v>
      </c>
      <c r="M1123">
        <v>3.3635110000000003E-2</v>
      </c>
      <c r="N1123">
        <v>0</v>
      </c>
      <c r="O1123">
        <v>-0.99937830000000005</v>
      </c>
      <c r="P1123">
        <v>-0.102849499999999</v>
      </c>
      <c r="Q1123">
        <v>-3.9878459999999998E-2</v>
      </c>
      <c r="R1123">
        <v>-0.99389760000000005</v>
      </c>
      <c r="S1123">
        <v>-0.2312775</v>
      </c>
      <c r="T1123">
        <v>-0.1303607</v>
      </c>
      <c r="U1123">
        <v>-2.9890439999999998</v>
      </c>
      <c r="V1123">
        <v>0.1360333</v>
      </c>
      <c r="W1123">
        <v>-3.027906E-2</v>
      </c>
      <c r="X1123">
        <v>0.9902415</v>
      </c>
      <c r="Y1123">
        <v>0.110565</v>
      </c>
      <c r="Z1123">
        <v>4.3336199999999998E-2</v>
      </c>
      <c r="AA1123">
        <v>0.99292360000000002</v>
      </c>
      <c r="AB1123">
        <v>27</v>
      </c>
      <c r="AC1123">
        <v>-1.9693999999999701</v>
      </c>
      <c r="AD1123">
        <v>-1.1069965919110001</v>
      </c>
      <c r="AE1123">
        <v>-25.126199999999901</v>
      </c>
      <c r="AF1123">
        <v>2.8080379617666802</v>
      </c>
      <c r="AG1123">
        <v>-1.1069965919110001</v>
      </c>
      <c r="AH1123">
        <v>24.997511413948502</v>
      </c>
      <c r="AI1123">
        <v>92.519817327423695</v>
      </c>
      <c r="AJ1123">
        <v>83.590679202504504</v>
      </c>
      <c r="AK1123">
        <v>25.179080514183099</v>
      </c>
      <c r="AL1123">
        <v>91.7351274540638</v>
      </c>
      <c r="AM1123">
        <v>82.178016635029095</v>
      </c>
      <c r="AN1123">
        <v>1.00000005425281</v>
      </c>
    </row>
    <row r="1124" spans="1:40" x14ac:dyDescent="0.25">
      <c r="A1124" t="str">
        <f>"20190312161246454"</f>
        <v>20190312161246454</v>
      </c>
      <c r="B1124" t="str">
        <f>"1552378366447125"</f>
        <v>1552378366447125</v>
      </c>
      <c r="C1124" t="s">
        <v>40</v>
      </c>
      <c r="D1124">
        <v>5.6238289999999997</v>
      </c>
      <c r="E1124">
        <v>0.4913322</v>
      </c>
      <c r="F1124" t="s">
        <v>42</v>
      </c>
      <c r="G1124">
        <v>-193.50630000000001</v>
      </c>
      <c r="H1124" s="1">
        <v>-1.4988970000000001E-6</v>
      </c>
      <c r="I1124">
        <v>320.90839999999997</v>
      </c>
      <c r="J1124">
        <v>-191.70840000000001</v>
      </c>
      <c r="K1124">
        <v>1.1070899999999999</v>
      </c>
      <c r="L1124">
        <v>342.41210000000001</v>
      </c>
      <c r="M1124">
        <v>3.0384560000000001E-2</v>
      </c>
      <c r="N1124">
        <v>0</v>
      </c>
      <c r="O1124">
        <v>-0.99948269999999995</v>
      </c>
      <c r="P1124">
        <v>-0.1060416</v>
      </c>
      <c r="Q1124">
        <v>-4.0653189999999999E-2</v>
      </c>
      <c r="R1124">
        <v>-0.99353049999999998</v>
      </c>
      <c r="S1124">
        <v>-0.2460938</v>
      </c>
      <c r="T1124">
        <v>-0.1519469</v>
      </c>
      <c r="U1124">
        <v>-2.986847</v>
      </c>
      <c r="V1124">
        <v>0.13599530000000001</v>
      </c>
      <c r="W1124">
        <v>-3.1041240000000001E-2</v>
      </c>
      <c r="X1124">
        <v>0.99022310000000002</v>
      </c>
      <c r="Y1124">
        <v>0.1122549</v>
      </c>
      <c r="Z1124">
        <v>5.0525130000000001E-2</v>
      </c>
      <c r="AA1124">
        <v>0.99239409999999895</v>
      </c>
      <c r="AB1124">
        <v>27</v>
      </c>
      <c r="AC1124">
        <v>-1.7978999999999901</v>
      </c>
      <c r="AD1124">
        <v>-1.107091498897</v>
      </c>
      <c r="AE1124">
        <v>-21.503699999999998</v>
      </c>
      <c r="AF1124">
        <v>2.4440533667422599</v>
      </c>
      <c r="AG1124">
        <v>-1.107091498897</v>
      </c>
      <c r="AH1124">
        <v>21.382855342807201</v>
      </c>
      <c r="AI1124">
        <v>92.944688112827606</v>
      </c>
      <c r="AJ1124">
        <v>83.479408803382697</v>
      </c>
      <c r="AK1124">
        <v>21.5505348206914</v>
      </c>
      <c r="AL1124">
        <v>91.778817726259106</v>
      </c>
      <c r="AM1124">
        <v>82.1800311098051</v>
      </c>
      <c r="AN1124">
        <v>1.00000003398821</v>
      </c>
    </row>
    <row r="1125" spans="1:40" x14ac:dyDescent="0.25">
      <c r="A1125" t="str">
        <f>"20190312161246477"</f>
        <v>20190312161246477</v>
      </c>
      <c r="B1125" t="str">
        <f>"1552378366466646"</f>
        <v>1552378366466646</v>
      </c>
      <c r="C1125" t="s">
        <v>40</v>
      </c>
      <c r="D1125">
        <v>5.601038</v>
      </c>
      <c r="E1125">
        <v>0.490481</v>
      </c>
      <c r="F1125" t="s">
        <v>42</v>
      </c>
      <c r="G1125">
        <v>-193.42099999999999</v>
      </c>
      <c r="H1125" s="1">
        <v>-1.875106E-6</v>
      </c>
      <c r="I1125">
        <v>321.8383</v>
      </c>
      <c r="J1125">
        <v>-191.7039</v>
      </c>
      <c r="K1125">
        <v>1.1071799999999901</v>
      </c>
      <c r="L1125">
        <v>342.14330000000001</v>
      </c>
      <c r="M1125">
        <v>2.712519E-2</v>
      </c>
      <c r="N1125">
        <v>0</v>
      </c>
      <c r="O1125">
        <v>-0.99957660000000004</v>
      </c>
      <c r="P1125">
        <v>-0.1092737</v>
      </c>
      <c r="Q1125">
        <v>-4.130996E-2</v>
      </c>
      <c r="R1125">
        <v>-0.99315299999999995</v>
      </c>
      <c r="S1125">
        <v>-0.24859619999999999</v>
      </c>
      <c r="T1125">
        <v>-0.1607027</v>
      </c>
      <c r="U1125">
        <v>-2.98645</v>
      </c>
      <c r="V1125">
        <v>0.13599049999999999</v>
      </c>
      <c r="W1125">
        <v>-3.1688840000000003E-2</v>
      </c>
      <c r="X1125">
        <v>0.99020319999999995</v>
      </c>
      <c r="Y1125">
        <v>0.1098384</v>
      </c>
      <c r="Z1125">
        <v>5.3448450000000002E-2</v>
      </c>
      <c r="AA1125">
        <v>0.99251129999999999</v>
      </c>
      <c r="AB1125">
        <v>27</v>
      </c>
      <c r="AC1125">
        <v>-1.7170999999999801</v>
      </c>
      <c r="AD1125">
        <v>-1.1071818751060001</v>
      </c>
      <c r="AE1125">
        <v>-20.305</v>
      </c>
      <c r="AF1125">
        <v>2.2606020062494601</v>
      </c>
      <c r="AG1125">
        <v>-1.1071818751060001</v>
      </c>
      <c r="AH1125">
        <v>20.191340883111302</v>
      </c>
      <c r="AI1125">
        <v>93.119192053538498</v>
      </c>
      <c r="AJ1125">
        <v>83.611825638780203</v>
      </c>
      <c r="AK1125">
        <v>20.347639170017398</v>
      </c>
      <c r="AL1125">
        <v>91.815940820701798</v>
      </c>
      <c r="AM1125">
        <v>82.1801484962579</v>
      </c>
      <c r="AN1125">
        <v>0.99999998798051704</v>
      </c>
    </row>
    <row r="1126" spans="1:40" x14ac:dyDescent="0.25">
      <c r="A1126" t="str">
        <f>"20190312161246520"</f>
        <v>20190312161246520</v>
      </c>
      <c r="B1126" t="str">
        <f>"1552378366516927"</f>
        <v>1552378366516927</v>
      </c>
      <c r="C1126" t="s">
        <v>40</v>
      </c>
      <c r="D1126">
        <v>5.8033760000000001</v>
      </c>
      <c r="E1126">
        <v>0.48887550000000002</v>
      </c>
      <c r="F1126" t="s">
        <v>42</v>
      </c>
      <c r="G1126">
        <v>-193.3809</v>
      </c>
      <c r="H1126" s="1">
        <v>-2.0398989999999999E-6</v>
      </c>
      <c r="I1126">
        <v>322.2473</v>
      </c>
      <c r="J1126">
        <v>-191.69710000000001</v>
      </c>
      <c r="K1126">
        <v>1.107362</v>
      </c>
      <c r="L1126">
        <v>341.61340000000001</v>
      </c>
      <c r="M1126">
        <v>2.1120799999999999E-2</v>
      </c>
      <c r="N1126">
        <v>0</v>
      </c>
      <c r="O1126">
        <v>-0.99972229999999995</v>
      </c>
      <c r="P1126">
        <v>-0.1150689</v>
      </c>
      <c r="Q1126">
        <v>-4.2939819999999997E-2</v>
      </c>
      <c r="R1126">
        <v>-0.99242940000000002</v>
      </c>
      <c r="S1126">
        <v>-0.25169370000000002</v>
      </c>
      <c r="T1126">
        <v>-0.1661705</v>
      </c>
      <c r="U1126">
        <v>-2.986084</v>
      </c>
      <c r="V1126">
        <v>0.13582669999999999</v>
      </c>
      <c r="W1126">
        <v>-3.3306990000000002E-2</v>
      </c>
      <c r="X1126">
        <v>0.99017259999999996</v>
      </c>
      <c r="Y1126">
        <v>0.104891</v>
      </c>
      <c r="Z1126">
        <v>5.5292719999999997E-2</v>
      </c>
      <c r="AA1126">
        <v>0.99294539999999998</v>
      </c>
      <c r="AB1126">
        <v>27</v>
      </c>
      <c r="AC1126">
        <v>-1.68379999999999</v>
      </c>
      <c r="AD1126">
        <v>-1.1073640398989999</v>
      </c>
      <c r="AE1126">
        <v>-19.366099999999999</v>
      </c>
      <c r="AF1126">
        <v>2.0857059339762598</v>
      </c>
      <c r="AG1126">
        <v>-1.1073640398989999</v>
      </c>
      <c r="AH1126">
        <v>19.263702100763901</v>
      </c>
      <c r="AI1126">
        <v>93.270923552318195</v>
      </c>
      <c r="AJ1126">
        <v>83.820583274107406</v>
      </c>
      <c r="AK1126">
        <v>19.407901560623699</v>
      </c>
      <c r="AL1126">
        <v>91.908702946683803</v>
      </c>
      <c r="AM1126">
        <v>82.1892127549077</v>
      </c>
      <c r="AN1126">
        <v>1.00000001290325</v>
      </c>
    </row>
    <row r="1127" spans="1:40" x14ac:dyDescent="0.25">
      <c r="A1127" t="str">
        <f>"20190312161246543"</f>
        <v>20190312161246543</v>
      </c>
      <c r="B1127" t="str">
        <f>"1552378366536447"</f>
        <v>1552378366536447</v>
      </c>
      <c r="C1127" t="s">
        <v>40</v>
      </c>
      <c r="D1127">
        <v>5.692901</v>
      </c>
      <c r="E1127">
        <v>0.4879037</v>
      </c>
      <c r="F1127" t="s">
        <v>42</v>
      </c>
      <c r="G1127">
        <v>-193.35679999999999</v>
      </c>
      <c r="H1127" s="1">
        <v>-2.0422850000000001E-6</v>
      </c>
      <c r="I1127">
        <v>322.26769999999999</v>
      </c>
      <c r="J1127">
        <v>-191.69450000000001</v>
      </c>
      <c r="K1127">
        <v>1.1074679999999999</v>
      </c>
      <c r="L1127">
        <v>341.34070000000003</v>
      </c>
      <c r="M1127">
        <v>1.8240949999999999E-2</v>
      </c>
      <c r="N1127">
        <v>0</v>
      </c>
      <c r="O1127">
        <v>-0.99977899999999997</v>
      </c>
      <c r="P1127">
        <v>-0.11717660000000001</v>
      </c>
      <c r="Q1127">
        <v>-4.373399E-2</v>
      </c>
      <c r="R1127">
        <v>-0.99214789999999997</v>
      </c>
      <c r="S1127">
        <v>-0.25616460000000002</v>
      </c>
      <c r="T1127">
        <v>-0.17090900000000001</v>
      </c>
      <c r="U1127">
        <v>-2.985779</v>
      </c>
      <c r="V1127">
        <v>0.13508149999999999</v>
      </c>
      <c r="W1127">
        <v>-3.4086379999999999E-2</v>
      </c>
      <c r="X1127">
        <v>0.99024800000000002</v>
      </c>
      <c r="Y1127">
        <v>0.10350330000000001</v>
      </c>
      <c r="Z1127">
        <v>5.6875589999999997E-2</v>
      </c>
      <c r="AA1127">
        <v>0.99300160000000004</v>
      </c>
      <c r="AB1127">
        <v>27</v>
      </c>
      <c r="AC1127">
        <v>-1.6622999999999799</v>
      </c>
      <c r="AD1127">
        <v>-1.1074700422849999</v>
      </c>
      <c r="AE1127">
        <v>-19.073</v>
      </c>
      <c r="AF1127">
        <v>2.0032489552572699</v>
      </c>
      <c r="AG1127">
        <v>-1.1074700422849999</v>
      </c>
      <c r="AH1127">
        <v>18.976006990812799</v>
      </c>
      <c r="AI1127">
        <v>93.321668156111897</v>
      </c>
      <c r="AJ1127">
        <v>83.973750146415398</v>
      </c>
      <c r="AK1127">
        <v>19.113564230322801</v>
      </c>
      <c r="AL1127">
        <v>91.953384109647999</v>
      </c>
      <c r="AM1127">
        <v>82.232125492373697</v>
      </c>
      <c r="AN1127">
        <v>0.999999997223877</v>
      </c>
    </row>
    <row r="1128" spans="1:40" x14ac:dyDescent="0.25">
      <c r="A1128" t="str">
        <f>"20190312161246566"</f>
        <v>20190312161246566</v>
      </c>
      <c r="B1128" t="str">
        <f>"1552378366556944"</f>
        <v>1552378366556944</v>
      </c>
      <c r="C1128" t="s">
        <v>40</v>
      </c>
      <c r="D1128">
        <v>5.6999459999999997</v>
      </c>
      <c r="E1128">
        <v>0.48710569999999997</v>
      </c>
      <c r="F1128" t="s">
        <v>42</v>
      </c>
      <c r="G1128">
        <v>-193.3476</v>
      </c>
      <c r="H1128" s="1">
        <v>-1.9153140000000001E-6</v>
      </c>
      <c r="I1128">
        <v>321.97750000000002</v>
      </c>
      <c r="J1128">
        <v>-191.6926</v>
      </c>
      <c r="K1128">
        <v>1.107575</v>
      </c>
      <c r="L1128">
        <v>341.0598</v>
      </c>
      <c r="M1128">
        <v>1.542016E-2</v>
      </c>
      <c r="N1128">
        <v>0</v>
      </c>
      <c r="O1128">
        <v>-0.99982680000000002</v>
      </c>
      <c r="P1128">
        <v>-0.1193449</v>
      </c>
      <c r="Q1128">
        <v>-4.3912659999999999E-2</v>
      </c>
      <c r="R1128">
        <v>-0.99188149999999997</v>
      </c>
      <c r="S1128">
        <v>-0.25492860000000001</v>
      </c>
      <c r="T1128">
        <v>-0.17078759999999901</v>
      </c>
      <c r="U1128">
        <v>-2.986084</v>
      </c>
      <c r="V1128">
        <v>0.13446060000000001</v>
      </c>
      <c r="W1128">
        <v>-3.4247029999999998E-2</v>
      </c>
      <c r="X1128">
        <v>0.99032690000000001</v>
      </c>
      <c r="Y1128">
        <v>0.1002801</v>
      </c>
      <c r="Z1128">
        <v>5.6843999999999999E-2</v>
      </c>
      <c r="AA1128">
        <v>0.9933341</v>
      </c>
      <c r="AB1128">
        <v>27</v>
      </c>
      <c r="AC1128">
        <v>-1.655</v>
      </c>
      <c r="AD1128">
        <v>-1.107576915314</v>
      </c>
      <c r="AE1128">
        <v>-19.082299999999901</v>
      </c>
      <c r="AF1128">
        <v>1.9425758414274901</v>
      </c>
      <c r="AG1128">
        <v>-1.107576915314</v>
      </c>
      <c r="AH1128">
        <v>18.991008268519501</v>
      </c>
      <c r="AI1128">
        <v>93.3204862763302</v>
      </c>
      <c r="AJ1128">
        <v>84.159571258192898</v>
      </c>
      <c r="AK1128">
        <v>19.122204961196498</v>
      </c>
      <c r="AL1128">
        <v>91.962594165396993</v>
      </c>
      <c r="AM1128">
        <v>82.268006059877607</v>
      </c>
      <c r="AN1128">
        <v>0.99999994043989304</v>
      </c>
    </row>
    <row r="1129" spans="1:40" x14ac:dyDescent="0.25">
      <c r="A1129" t="str">
        <f>"20190312161246614"</f>
        <v>20190312161246614</v>
      </c>
      <c r="B1129" t="str">
        <f>"1552378366606720"</f>
        <v>1552378366606720</v>
      </c>
      <c r="C1129" t="s">
        <v>40</v>
      </c>
      <c r="D1129">
        <v>5.7299790000000002</v>
      </c>
      <c r="E1129">
        <v>0.47899999999999998</v>
      </c>
      <c r="F1129" t="s">
        <v>42</v>
      </c>
      <c r="G1129">
        <v>-193.32300000000001</v>
      </c>
      <c r="H1129" s="1">
        <v>-1.903612E-6</v>
      </c>
      <c r="I1129">
        <v>321.96550000000002</v>
      </c>
      <c r="J1129">
        <v>-191.69049999999999</v>
      </c>
      <c r="K1129">
        <v>1.107783</v>
      </c>
      <c r="L1129">
        <v>340.49169999999998</v>
      </c>
      <c r="M1129">
        <v>1.019078E-2</v>
      </c>
      <c r="N1129">
        <v>0</v>
      </c>
      <c r="O1129">
        <v>-0.99989439999999996</v>
      </c>
      <c r="P1129">
        <v>-0.123708</v>
      </c>
      <c r="Q1129">
        <v>-4.4183790000000001E-2</v>
      </c>
      <c r="R1129">
        <v>-0.99133490000000002</v>
      </c>
      <c r="S1129">
        <v>-0.25498959999999998</v>
      </c>
      <c r="T1129">
        <v>-0.17321429999999999</v>
      </c>
      <c r="U1129">
        <v>-2.9861759999999999</v>
      </c>
      <c r="V1129">
        <v>0.13365479999999999</v>
      </c>
      <c r="W1129">
        <v>-3.4484859999999999E-2</v>
      </c>
      <c r="X1129">
        <v>0.99042779999999997</v>
      </c>
      <c r="Y1129">
        <v>9.508875E-2</v>
      </c>
      <c r="Z1129">
        <v>5.766777E-2</v>
      </c>
      <c r="AA1129">
        <v>0.99379709999999999</v>
      </c>
      <c r="AB1129">
        <v>27</v>
      </c>
      <c r="AC1129">
        <v>-1.6324999999999901</v>
      </c>
      <c r="AD1129">
        <v>-1.107784903612</v>
      </c>
      <c r="AE1129">
        <v>-18.5261999999999</v>
      </c>
      <c r="AF1129">
        <v>1.8147829997809899</v>
      </c>
      <c r="AG1129">
        <v>-1.107784903612</v>
      </c>
      <c r="AH1129">
        <v>18.4431648881901</v>
      </c>
      <c r="AI1129">
        <v>93.4208480398501</v>
      </c>
      <c r="AJ1129">
        <v>84.380261910877607</v>
      </c>
      <c r="AK1129">
        <v>18.565315936496599</v>
      </c>
      <c r="AL1129">
        <v>91.976228719824405</v>
      </c>
      <c r="AM1129">
        <v>82.314560727926093</v>
      </c>
      <c r="AN1129">
        <v>1.00000001907254</v>
      </c>
    </row>
    <row r="1130" spans="1:40" x14ac:dyDescent="0.25">
      <c r="A1130" t="str">
        <f>"20190312161246636"</f>
        <v>20190312161246636</v>
      </c>
      <c r="B1130" t="str">
        <f>"1552378366626240"</f>
        <v>1552378366626240</v>
      </c>
      <c r="C1130" t="s">
        <v>40</v>
      </c>
      <c r="D1130">
        <v>5.6672739999999999</v>
      </c>
      <c r="E1130">
        <v>0.48019119999999998</v>
      </c>
      <c r="F1130" t="s">
        <v>43</v>
      </c>
      <c r="G1130">
        <v>-191.7526</v>
      </c>
      <c r="H1130">
        <v>1.040611</v>
      </c>
      <c r="I1130">
        <v>339.5772</v>
      </c>
      <c r="J1130">
        <v>-191.69030000000001</v>
      </c>
      <c r="K1130">
        <v>1.1078520000000001</v>
      </c>
      <c r="L1130">
        <v>340.21789999999999</v>
      </c>
      <c r="M1130">
        <v>7.8468289999999996E-3</v>
      </c>
      <c r="N1130">
        <v>0</v>
      </c>
      <c r="O1130">
        <v>-0.99991529999999995</v>
      </c>
      <c r="P1130">
        <v>-0.1254692</v>
      </c>
      <c r="Q1130">
        <v>-4.4495809999999997E-2</v>
      </c>
      <c r="R1130">
        <v>-0.99109899999999995</v>
      </c>
      <c r="S1130">
        <v>-0.2028809</v>
      </c>
      <c r="T1130">
        <v>-0.2198495</v>
      </c>
      <c r="U1130">
        <v>-2.9910890000000001</v>
      </c>
      <c r="V1130">
        <v>0.13309789999999999</v>
      </c>
      <c r="W1130">
        <v>-3.4785320000000002E-2</v>
      </c>
      <c r="X1130">
        <v>0.99049229999999999</v>
      </c>
      <c r="Y1130">
        <v>7.5318969999999999E-2</v>
      </c>
      <c r="Z1130">
        <v>7.3112679999999999E-2</v>
      </c>
      <c r="AA1130">
        <v>0.99447549999999996</v>
      </c>
      <c r="AB1130">
        <v>27</v>
      </c>
      <c r="AC1130">
        <v>-6.2299999999993298E-2</v>
      </c>
      <c r="AD1130">
        <v>-6.7241000000000106E-2</v>
      </c>
      <c r="AE1130">
        <v>-0.64069999999998095</v>
      </c>
      <c r="AF1130">
        <v>6.6599140707389606E-2</v>
      </c>
      <c r="AG1130">
        <v>-6.7241000000000106E-2</v>
      </c>
      <c r="AH1130">
        <v>0.633281537748005</v>
      </c>
      <c r="AI1130">
        <v>96.027886981616206</v>
      </c>
      <c r="AJ1130">
        <v>83.996548643310007</v>
      </c>
      <c r="AK1130">
        <v>0.64031422260983795</v>
      </c>
      <c r="AL1130">
        <v>91.993454116685697</v>
      </c>
      <c r="AM1130">
        <v>82.346695798932004</v>
      </c>
      <c r="AN1130">
        <v>1.0000000329156</v>
      </c>
    </row>
    <row r="1131" spans="1:40" x14ac:dyDescent="0.25">
      <c r="A1131" t="str">
        <f>"20190312161246676"</f>
        <v>20190312161246676</v>
      </c>
      <c r="B1131" t="str">
        <f>"1552378366666256"</f>
        <v>1552378366666256</v>
      </c>
      <c r="C1131" t="s">
        <v>40</v>
      </c>
      <c r="D1131">
        <v>5.7856129999999997</v>
      </c>
      <c r="E1131">
        <v>0.47967090000000001</v>
      </c>
      <c r="F1131" t="s">
        <v>43</v>
      </c>
      <c r="G1131">
        <v>-191.75489999999999</v>
      </c>
      <c r="H1131">
        <v>1.041385</v>
      </c>
      <c r="I1131">
        <v>339.33330000000001</v>
      </c>
      <c r="J1131">
        <v>-191.69149999999999</v>
      </c>
      <c r="K1131">
        <v>1.1079399999999999</v>
      </c>
      <c r="L1131">
        <v>339.70760000000001</v>
      </c>
      <c r="M1131">
        <v>3.7147650000000001E-3</v>
      </c>
      <c r="N1131">
        <v>0</v>
      </c>
      <c r="O1131">
        <v>-0.99993969999999999</v>
      </c>
      <c r="P1131">
        <v>-0.1291214</v>
      </c>
      <c r="Q1131">
        <v>-4.3780340000000001E-2</v>
      </c>
      <c r="R1131">
        <v>-0.99066200000000004</v>
      </c>
      <c r="S1131">
        <v>-0.2175598</v>
      </c>
      <c r="T1131">
        <v>-0.2247016</v>
      </c>
      <c r="U1131">
        <v>-2.9892880000000002</v>
      </c>
      <c r="V1131">
        <v>0.13266710000000001</v>
      </c>
      <c r="W1131">
        <v>-3.4066819999999998E-2</v>
      </c>
      <c r="X1131">
        <v>0.99057499999999998</v>
      </c>
      <c r="Y1131">
        <v>7.6089399999999904E-2</v>
      </c>
      <c r="Z1131">
        <v>7.4749750000000004E-2</v>
      </c>
      <c r="AA1131">
        <v>0.99429520000000005</v>
      </c>
      <c r="AB1131">
        <v>27</v>
      </c>
      <c r="AC1131">
        <v>-6.34000000000014E-2</v>
      </c>
      <c r="AD1131">
        <v>-6.6554999999999906E-2</v>
      </c>
      <c r="AE1131">
        <v>-0.37430000000000502</v>
      </c>
      <c r="AF1131">
        <v>6.2858112513320394E-2</v>
      </c>
      <c r="AG1131">
        <v>-6.6554999999999906E-2</v>
      </c>
      <c r="AH1131">
        <v>0.36290782019738099</v>
      </c>
      <c r="AI1131">
        <v>100.242989749191</v>
      </c>
      <c r="AJ1131">
        <v>80.173472971879207</v>
      </c>
      <c r="AK1131">
        <v>0.37427636352587401</v>
      </c>
      <c r="AL1131">
        <v>91.952262807796401</v>
      </c>
      <c r="AM1131">
        <v>82.371804569640602</v>
      </c>
      <c r="AN1131">
        <v>0.99999996913615996</v>
      </c>
    </row>
    <row r="1132" spans="1:40" x14ac:dyDescent="0.25">
      <c r="A1132" t="str">
        <f>"20190312161246721"</f>
        <v>20190312161246721</v>
      </c>
      <c r="B1132" t="str">
        <f>"1552378366716539"</f>
        <v>1552378366716539</v>
      </c>
      <c r="C1132" t="s">
        <v>40</v>
      </c>
      <c r="D1132">
        <v>5.8357559999999999</v>
      </c>
      <c r="E1132">
        <v>0.47884310000000002</v>
      </c>
      <c r="F1132" t="s">
        <v>43</v>
      </c>
      <c r="G1132">
        <v>-191.75659999999999</v>
      </c>
      <c r="H1132">
        <v>1.0451919999999999</v>
      </c>
      <c r="I1132">
        <v>338.84359999999998</v>
      </c>
      <c r="J1132">
        <v>-191.69460000000001</v>
      </c>
      <c r="K1132">
        <v>1.1080589999999999</v>
      </c>
      <c r="L1132">
        <v>339.16759999999999</v>
      </c>
      <c r="M1132">
        <v>-3.2022879999999999E-4</v>
      </c>
      <c r="N1132">
        <v>0</v>
      </c>
      <c r="O1132">
        <v>-0.99994689999999997</v>
      </c>
      <c r="P1132">
        <v>-0.133073</v>
      </c>
      <c r="Q1132">
        <v>-4.4699910000000002E-2</v>
      </c>
      <c r="R1132">
        <v>-0.99009800000000003</v>
      </c>
      <c r="S1132">
        <v>-0.2246399</v>
      </c>
      <c r="T1132">
        <v>-0.2172742</v>
      </c>
      <c r="U1132">
        <v>-2.9894099999999999</v>
      </c>
      <c r="V1132">
        <v>0.13262829999999901</v>
      </c>
      <c r="W1132">
        <v>-3.4987709999999998E-2</v>
      </c>
      <c r="X1132">
        <v>0.99054810000000004</v>
      </c>
      <c r="Y1132">
        <v>7.441855E-2</v>
      </c>
      <c r="Z1132">
        <v>7.2288190000000002E-2</v>
      </c>
      <c r="AA1132">
        <v>0.99460360000000003</v>
      </c>
      <c r="AB1132">
        <v>27</v>
      </c>
      <c r="AC1132">
        <v>-6.1999999999983402E-2</v>
      </c>
      <c r="AD1132">
        <v>-6.2866999999999895E-2</v>
      </c>
      <c r="AE1132">
        <v>-0.324000000000012</v>
      </c>
      <c r="AF1132">
        <v>5.9726998014115698E-2</v>
      </c>
      <c r="AG1132">
        <v>-6.2866999999999895E-2</v>
      </c>
      <c r="AH1132">
        <v>0.31266411559340102</v>
      </c>
      <c r="AI1132">
        <v>101.17200677282401</v>
      </c>
      <c r="AJ1132">
        <v>79.185302340441496</v>
      </c>
      <c r="AK1132">
        <v>0.32446636676330798</v>
      </c>
      <c r="AL1132">
        <v>92.0050573941718</v>
      </c>
      <c r="AM1132">
        <v>82.3738046042142</v>
      </c>
      <c r="AN1132">
        <v>0.99999997211277103</v>
      </c>
    </row>
    <row r="1133" spans="1:40" x14ac:dyDescent="0.25">
      <c r="A1133" t="str">
        <f>"20190312161246743"</f>
        <v>20190312161246743</v>
      </c>
      <c r="B1133" t="str">
        <f>"1552378366737035"</f>
        <v>1552378366737035</v>
      </c>
      <c r="C1133" t="s">
        <v>40</v>
      </c>
      <c r="D1133">
        <v>5.8519209999999999</v>
      </c>
      <c r="E1133">
        <v>0.47860079999999999</v>
      </c>
      <c r="F1133" t="s">
        <v>43</v>
      </c>
      <c r="G1133">
        <v>-191.7576</v>
      </c>
      <c r="H1133">
        <v>1.0491010000000001</v>
      </c>
      <c r="I1133">
        <v>338.35149999999999</v>
      </c>
      <c r="J1133">
        <v>-191.6968</v>
      </c>
      <c r="K1133">
        <v>1.108117</v>
      </c>
      <c r="L1133">
        <v>338.89819999999997</v>
      </c>
      <c r="M1133">
        <v>-2.2292560000000002E-3</v>
      </c>
      <c r="N1133">
        <v>0</v>
      </c>
      <c r="O1133">
        <v>-0.99994490000000003</v>
      </c>
      <c r="P1133">
        <v>-0.13442119999999999</v>
      </c>
      <c r="Q1133">
        <v>-4.4117219999999999E-2</v>
      </c>
      <c r="R1133">
        <v>-0.98994230000000005</v>
      </c>
      <c r="S1133">
        <v>-0.23010249999999999</v>
      </c>
      <c r="T1133">
        <v>-0.2161402</v>
      </c>
      <c r="U1133">
        <v>-2.9892880000000002</v>
      </c>
      <c r="V1133">
        <v>0.1320934</v>
      </c>
      <c r="W1133">
        <v>-3.4399390000000002E-2</v>
      </c>
      <c r="X1133">
        <v>0.99064019999999997</v>
      </c>
      <c r="Y1133">
        <v>7.4326980000000001E-2</v>
      </c>
      <c r="Z1133">
        <v>7.191082E-2</v>
      </c>
      <c r="AA1133">
        <v>0.99463780000000002</v>
      </c>
      <c r="AB1133">
        <v>27</v>
      </c>
      <c r="AC1133">
        <v>-6.0800000000000402E-2</v>
      </c>
      <c r="AD1133">
        <v>-5.9015999999999902E-2</v>
      </c>
      <c r="AE1133">
        <v>-0.54669999999998697</v>
      </c>
      <c r="AF1133">
        <v>5.8903033609385702E-2</v>
      </c>
      <c r="AG1133">
        <v>-5.9015999999999902E-2</v>
      </c>
      <c r="AH1133">
        <v>0.54061135595589704</v>
      </c>
      <c r="AI1133">
        <v>96.193672928092695</v>
      </c>
      <c r="AJ1133">
        <v>83.781790722956003</v>
      </c>
      <c r="AK1133">
        <v>0.54700374204649005</v>
      </c>
      <c r="AL1133">
        <v>91.971328789720104</v>
      </c>
      <c r="AM1133">
        <v>82.404899743875703</v>
      </c>
      <c r="AN1133">
        <v>0.99999999510598503</v>
      </c>
    </row>
    <row r="1134" spans="1:40" x14ac:dyDescent="0.25">
      <c r="A1134" t="str">
        <f>"20190312161246768"</f>
        <v>20190312161246768</v>
      </c>
      <c r="B1134" t="str">
        <f>"1552378366756555"</f>
        <v>1552378366756555</v>
      </c>
      <c r="C1134" t="s">
        <v>40</v>
      </c>
      <c r="D1134">
        <v>5.85182</v>
      </c>
      <c r="E1134">
        <v>0.47840250000000001</v>
      </c>
      <c r="F1134" t="s">
        <v>43</v>
      </c>
      <c r="G1134">
        <v>-191.7585</v>
      </c>
      <c r="H1134">
        <v>1.0513319999999999</v>
      </c>
      <c r="I1134">
        <v>338.10469999999998</v>
      </c>
      <c r="J1134">
        <v>-191.69970000000001</v>
      </c>
      <c r="K1134">
        <v>1.1081799999999999</v>
      </c>
      <c r="L1134">
        <v>338.59910000000002</v>
      </c>
      <c r="M1134">
        <v>-4.2757020000000001E-3</v>
      </c>
      <c r="N1134">
        <v>0</v>
      </c>
      <c r="O1134">
        <v>-0.99993840000000001</v>
      </c>
      <c r="P1134">
        <v>-0.13628129999999999</v>
      </c>
      <c r="Q1134">
        <v>-4.4514030000000003E-2</v>
      </c>
      <c r="R1134">
        <v>-0.98966989999999999</v>
      </c>
      <c r="S1134">
        <v>-0.2322235</v>
      </c>
      <c r="T1134">
        <v>-0.21406169999999999</v>
      </c>
      <c r="U1134">
        <v>-2.9894099999999999</v>
      </c>
      <c r="V1134">
        <v>0.131931299999999</v>
      </c>
      <c r="W1134">
        <v>-3.4792900000000002E-2</v>
      </c>
      <c r="X1134">
        <v>0.99064810000000003</v>
      </c>
      <c r="Y1134">
        <v>7.2988250000000005E-2</v>
      </c>
      <c r="Z1134">
        <v>7.1220850000000002E-2</v>
      </c>
      <c r="AA1134">
        <v>0.99478659999999997</v>
      </c>
      <c r="AB1134">
        <v>27</v>
      </c>
      <c r="AC1134">
        <v>-5.8799999999990797E-2</v>
      </c>
      <c r="AD1134">
        <v>-5.6848000000000003E-2</v>
      </c>
      <c r="AE1134">
        <v>-0.49440000000004097</v>
      </c>
      <c r="AF1134">
        <v>5.5955953763338798E-2</v>
      </c>
      <c r="AG1134">
        <v>-5.6848000000000003E-2</v>
      </c>
      <c r="AH1134">
        <v>0.48828124360126601</v>
      </c>
      <c r="AI1134">
        <v>96.5979489549986</v>
      </c>
      <c r="AJ1134">
        <v>83.462548508764201</v>
      </c>
      <c r="AK1134">
        <v>0.49475381425347698</v>
      </c>
      <c r="AL1134">
        <v>91.993888675736301</v>
      </c>
      <c r="AM1134">
        <v>82.4141713467736</v>
      </c>
      <c r="AN1134">
        <v>1.0000000359218499</v>
      </c>
    </row>
    <row r="1135" spans="1:40" x14ac:dyDescent="0.25">
      <c r="A1135" t="str">
        <f>"20190312161246790"</f>
        <v>20190312161246790</v>
      </c>
      <c r="B1135" t="str">
        <f>"1552378366777050"</f>
        <v>1552378366777050</v>
      </c>
      <c r="C1135" t="s">
        <v>40</v>
      </c>
      <c r="D1135">
        <v>5.8521640000000001</v>
      </c>
      <c r="E1135">
        <v>0.47823300000000002</v>
      </c>
      <c r="F1135" t="s">
        <v>43</v>
      </c>
      <c r="G1135">
        <v>-191.75909999999999</v>
      </c>
      <c r="H1135">
        <v>1.0550520000000001</v>
      </c>
      <c r="I1135">
        <v>337.85019999999997</v>
      </c>
      <c r="J1135">
        <v>-191.7028</v>
      </c>
      <c r="K1135">
        <v>1.1082270000000001</v>
      </c>
      <c r="L1135">
        <v>338.33510000000001</v>
      </c>
      <c r="M1135">
        <v>-6.0120769999999898E-3</v>
      </c>
      <c r="N1135">
        <v>0</v>
      </c>
      <c r="O1135">
        <v>-0.99992919999999996</v>
      </c>
      <c r="P1135">
        <v>-0.1381849</v>
      </c>
      <c r="Q1135">
        <v>-4.439891E-2</v>
      </c>
      <c r="R1135">
        <v>-0.98941080000000003</v>
      </c>
      <c r="S1135">
        <v>-0.2362976</v>
      </c>
      <c r="T1135">
        <v>-0.2122734</v>
      </c>
      <c r="U1135">
        <v>-2.9891969999999999</v>
      </c>
      <c r="V1135">
        <v>0.13212070000000001</v>
      </c>
      <c r="W1135">
        <v>-3.4677609999999998E-2</v>
      </c>
      <c r="X1135">
        <v>0.99062689999999998</v>
      </c>
      <c r="Y1135">
        <v>7.2612769999999993E-2</v>
      </c>
      <c r="Z1135">
        <v>7.0630120000000005E-2</v>
      </c>
      <c r="AA1135">
        <v>0.99485619999999997</v>
      </c>
      <c r="AB1135">
        <v>27</v>
      </c>
      <c r="AC1135">
        <v>-5.6299999999993099E-2</v>
      </c>
      <c r="AD1135">
        <v>-5.3174999999999903E-2</v>
      </c>
      <c r="AE1135">
        <v>-0.48490000000003802</v>
      </c>
      <c r="AF1135">
        <v>5.2757564540473E-2</v>
      </c>
      <c r="AG1135">
        <v>-5.3174999999999903E-2</v>
      </c>
      <c r="AH1135">
        <v>0.47953963658585103</v>
      </c>
      <c r="AI1135">
        <v>96.289897123809297</v>
      </c>
      <c r="AJ1135">
        <v>83.721732949669601</v>
      </c>
      <c r="AK1135">
        <v>0.48535472007402197</v>
      </c>
      <c r="AL1135">
        <v>91.987279057800095</v>
      </c>
      <c r="AM1135">
        <v>82.403247578951195</v>
      </c>
      <c r="AN1135">
        <v>1.0000000355037</v>
      </c>
    </row>
    <row r="1136" spans="1:40" x14ac:dyDescent="0.25">
      <c r="A1136" t="str">
        <f>"20190312161246813"</f>
        <v>20190312161246813</v>
      </c>
      <c r="B1136" t="str">
        <f>"1552378366806331"</f>
        <v>1552378366806331</v>
      </c>
      <c r="C1136" t="s">
        <v>40</v>
      </c>
      <c r="D1136">
        <v>5.8530879999999996</v>
      </c>
      <c r="E1136">
        <v>0.47802220000000001</v>
      </c>
      <c r="F1136" t="s">
        <v>43</v>
      </c>
      <c r="G1136">
        <v>-191.78020000000001</v>
      </c>
      <c r="H1136">
        <v>1.041134</v>
      </c>
      <c r="I1136">
        <v>337.37599999999998</v>
      </c>
      <c r="J1136">
        <v>-191.70660000000001</v>
      </c>
      <c r="K1136">
        <v>1.1082559999999999</v>
      </c>
      <c r="L1136">
        <v>338.04320000000001</v>
      </c>
      <c r="M1136">
        <v>-7.8680529999999999E-3</v>
      </c>
      <c r="N1136">
        <v>0</v>
      </c>
      <c r="O1136">
        <v>-0.99991669999999999</v>
      </c>
      <c r="P1136">
        <v>-0.13968549999999999</v>
      </c>
      <c r="Q1136">
        <v>-4.3696649999999997E-2</v>
      </c>
      <c r="R1136">
        <v>-0.98923159999999999</v>
      </c>
      <c r="S1136">
        <v>-0.2406769</v>
      </c>
      <c r="T1136">
        <v>-0.20929429999999999</v>
      </c>
      <c r="U1136">
        <v>-2.9891359999999998</v>
      </c>
      <c r="V1136">
        <v>0.13178979999999901</v>
      </c>
      <c r="W1136">
        <v>-3.3973700000000003E-2</v>
      </c>
      <c r="X1136">
        <v>0.9906954</v>
      </c>
      <c r="Y1136">
        <v>7.2217080000000003E-2</v>
      </c>
      <c r="Z1136">
        <v>6.9640789999999994E-2</v>
      </c>
      <c r="AA1136">
        <v>0.99495469999999997</v>
      </c>
      <c r="AB1136">
        <v>27</v>
      </c>
      <c r="AC1136">
        <v>-7.3599999999999E-2</v>
      </c>
      <c r="AD1136">
        <v>-6.7121999999999904E-2</v>
      </c>
      <c r="AE1136">
        <v>-0.66720000000003599</v>
      </c>
      <c r="AF1136">
        <v>6.7671224405131306E-2</v>
      </c>
      <c r="AG1136">
        <v>-6.7121999999999904E-2</v>
      </c>
      <c r="AH1136">
        <v>0.661147525106622</v>
      </c>
      <c r="AI1136">
        <v>95.767079298405804</v>
      </c>
      <c r="AJ1136">
        <v>84.155888142133605</v>
      </c>
      <c r="AK1136">
        <v>0.66798264008213604</v>
      </c>
      <c r="AL1136">
        <v>91.946924138704702</v>
      </c>
      <c r="AM1136">
        <v>82.422570356127693</v>
      </c>
      <c r="AN1136">
        <v>1.0000000696284399</v>
      </c>
    </row>
    <row r="1137" spans="1:40" x14ac:dyDescent="0.25">
      <c r="A1137" t="str">
        <f>"20190312161246836"</f>
        <v>20190312161246836</v>
      </c>
      <c r="B1137" t="str">
        <f>"1552378366826829"</f>
        <v>1552378366826829</v>
      </c>
      <c r="C1137" t="s">
        <v>40</v>
      </c>
      <c r="D1137">
        <v>5.876131</v>
      </c>
      <c r="E1137">
        <v>0.47768070000000001</v>
      </c>
      <c r="F1137" t="s">
        <v>43</v>
      </c>
      <c r="G1137">
        <v>-191.78129999999999</v>
      </c>
      <c r="H1137">
        <v>1.045067</v>
      </c>
      <c r="I1137">
        <v>337.12830000000002</v>
      </c>
      <c r="J1137">
        <v>-191.71080000000001</v>
      </c>
      <c r="K1137">
        <v>1.1082860000000001</v>
      </c>
      <c r="L1137">
        <v>337.76209999999998</v>
      </c>
      <c r="M1137">
        <v>-9.6134870000000004E-3</v>
      </c>
      <c r="N1137">
        <v>0</v>
      </c>
      <c r="O1137">
        <v>-0.9999017</v>
      </c>
      <c r="P1137">
        <v>-0.1412283</v>
      </c>
      <c r="Q1137">
        <v>-4.3240180000000003E-2</v>
      </c>
      <c r="R1137">
        <v>-0.98903260000000004</v>
      </c>
      <c r="S1137">
        <v>-0.2436371</v>
      </c>
      <c r="T1137">
        <v>-0.2065331</v>
      </c>
      <c r="U1137">
        <v>-2.9891049999999999</v>
      </c>
      <c r="V1137">
        <v>0.13160920000000001</v>
      </c>
      <c r="W1137">
        <v>-3.3517770000000002E-2</v>
      </c>
      <c r="X1137">
        <v>0.99073489999999997</v>
      </c>
      <c r="Y1137">
        <v>7.1460940000000001E-2</v>
      </c>
      <c r="Z1137">
        <v>6.8724660000000007E-2</v>
      </c>
      <c r="AA1137">
        <v>0.99507299999999999</v>
      </c>
      <c r="AB1137">
        <v>27</v>
      </c>
      <c r="AC1137">
        <v>-7.04999999999813E-2</v>
      </c>
      <c r="AD1137">
        <v>-6.3219000000000095E-2</v>
      </c>
      <c r="AE1137">
        <v>-0.63379999999995096</v>
      </c>
      <c r="AF1137">
        <v>6.3776621254895596E-2</v>
      </c>
      <c r="AG1137">
        <v>-6.3219000000000095E-2</v>
      </c>
      <c r="AH1137">
        <v>0.62827402964103896</v>
      </c>
      <c r="AI1137">
        <v>95.716766771042998</v>
      </c>
      <c r="AJ1137">
        <v>84.203712359435002</v>
      </c>
      <c r="AK1137">
        <v>0.63465924376871696</v>
      </c>
      <c r="AL1137">
        <v>91.920786460617194</v>
      </c>
      <c r="AM1137">
        <v>82.433131984785206</v>
      </c>
      <c r="AN1137">
        <v>1.00000003225421</v>
      </c>
    </row>
    <row r="1138" spans="1:40" x14ac:dyDescent="0.25">
      <c r="A1138" t="str">
        <f>"20190312161246857"</f>
        <v>20190312161246857</v>
      </c>
      <c r="B1138" t="str">
        <f>"1552378366846346"</f>
        <v>1552378366846346</v>
      </c>
      <c r="C1138" t="s">
        <v>40</v>
      </c>
      <c r="D1138">
        <v>5.8834439999999999</v>
      </c>
      <c r="E1138">
        <v>0.47730400000000001</v>
      </c>
      <c r="F1138" t="s">
        <v>43</v>
      </c>
      <c r="G1138">
        <v>-191.78360000000001</v>
      </c>
      <c r="H1138">
        <v>1.0485660000000001</v>
      </c>
      <c r="I1138">
        <v>336.87920000000003</v>
      </c>
      <c r="J1138">
        <v>-191.715</v>
      </c>
      <c r="K1138">
        <v>1.1082970000000001</v>
      </c>
      <c r="L1138">
        <v>337.50450000000001</v>
      </c>
      <c r="M1138">
        <v>-1.118364E-2</v>
      </c>
      <c r="N1138">
        <v>0</v>
      </c>
      <c r="O1138">
        <v>-0.99988529999999998</v>
      </c>
      <c r="P1138">
        <v>-0.1426636</v>
      </c>
      <c r="Q1138">
        <v>-4.4018910000000001E-2</v>
      </c>
      <c r="R1138">
        <v>-0.98879220000000001</v>
      </c>
      <c r="S1138">
        <v>-0.2458496</v>
      </c>
      <c r="T1138">
        <v>-0.20242489999999999</v>
      </c>
      <c r="U1138">
        <v>-2.9893190000000001</v>
      </c>
      <c r="V1138">
        <v>0.13149089999999999</v>
      </c>
      <c r="W1138">
        <v>-3.4297920000000003E-2</v>
      </c>
      <c r="X1138">
        <v>0.99072380000000004</v>
      </c>
      <c r="Y1138">
        <v>7.0628099999999999E-2</v>
      </c>
      <c r="Z1138">
        <v>6.7357479999999997E-2</v>
      </c>
      <c r="AA1138">
        <v>0.9952259</v>
      </c>
      <c r="AB1138">
        <v>27</v>
      </c>
      <c r="AC1138">
        <v>-6.8600000000003505E-2</v>
      </c>
      <c r="AD1138">
        <v>-5.9730999999999902E-2</v>
      </c>
      <c r="AE1138">
        <v>-0.62529999999998098</v>
      </c>
      <c r="AF1138">
        <v>6.1051755452738103E-2</v>
      </c>
      <c r="AG1138">
        <v>-5.9730999999999902E-2</v>
      </c>
      <c r="AH1138">
        <v>0.62043412684436905</v>
      </c>
      <c r="AI1138">
        <v>95.472813096983401</v>
      </c>
      <c r="AJ1138">
        <v>84.380091878489594</v>
      </c>
      <c r="AK1138">
        <v>0.62628556981459804</v>
      </c>
      <c r="AL1138">
        <v>91.965511690150507</v>
      </c>
      <c r="AM1138">
        <v>82.439771209278902</v>
      </c>
      <c r="AN1138">
        <v>0.99999992599278498</v>
      </c>
    </row>
    <row r="1139" spans="1:40" x14ac:dyDescent="0.25">
      <c r="A1139" t="str">
        <f>"20190312161246878"</f>
        <v>20190312161246878</v>
      </c>
      <c r="B1139" t="str">
        <f>"1552378366866844"</f>
        <v>1552378366866844</v>
      </c>
      <c r="C1139" t="s">
        <v>40</v>
      </c>
      <c r="D1139">
        <v>5.8894719999999996</v>
      </c>
      <c r="E1139">
        <v>0.47710750000000002</v>
      </c>
      <c r="F1139" t="s">
        <v>43</v>
      </c>
      <c r="G1139">
        <v>-191.78710000000001</v>
      </c>
      <c r="H1139">
        <v>1.0491569999999999</v>
      </c>
      <c r="I1139">
        <v>336.63229999999999</v>
      </c>
      <c r="J1139">
        <v>-191.71969999999999</v>
      </c>
      <c r="K1139">
        <v>1.1083130000000001</v>
      </c>
      <c r="L1139">
        <v>337.23989999999998</v>
      </c>
      <c r="M1139">
        <v>-1.277179E-2</v>
      </c>
      <c r="N1139">
        <v>0</v>
      </c>
      <c r="O1139">
        <v>-0.99986640000000004</v>
      </c>
      <c r="P1139">
        <v>-0.14536789999999999</v>
      </c>
      <c r="Q1139">
        <v>-4.5031740000000001E-2</v>
      </c>
      <c r="R1139">
        <v>-0.98835229999999996</v>
      </c>
      <c r="S1139">
        <v>-0.24716189999999999</v>
      </c>
      <c r="T1139">
        <v>-0.20274030000000001</v>
      </c>
      <c r="U1139">
        <v>-2.9892880000000002</v>
      </c>
      <c r="V1139">
        <v>0.13262570000000001</v>
      </c>
      <c r="W1139">
        <v>-3.5317729999999999E-2</v>
      </c>
      <c r="X1139">
        <v>0.99053670000000005</v>
      </c>
      <c r="Y1139">
        <v>6.9477880000000006E-2</v>
      </c>
      <c r="Z1139">
        <v>6.7462250000000001E-2</v>
      </c>
      <c r="AA1139">
        <v>0.99529979999999996</v>
      </c>
      <c r="AB1139">
        <v>27</v>
      </c>
      <c r="AC1139">
        <v>-6.7400000000020499E-2</v>
      </c>
      <c r="AD1139">
        <v>-5.9155999999999903E-2</v>
      </c>
      <c r="AE1139">
        <v>-0.60759999999999004</v>
      </c>
      <c r="AF1139">
        <v>5.9080740336918097E-2</v>
      </c>
      <c r="AG1139">
        <v>-5.9155999999999903E-2</v>
      </c>
      <c r="AH1139">
        <v>0.602767129123707</v>
      </c>
      <c r="AI1139">
        <v>95.578536754049495</v>
      </c>
      <c r="AJ1139">
        <v>84.401985939891304</v>
      </c>
      <c r="AK1139">
        <v>0.60853773766858099</v>
      </c>
      <c r="AL1139">
        <v>92.023977914400106</v>
      </c>
      <c r="AM1139">
        <v>82.373865611518497</v>
      </c>
      <c r="AN1139">
        <v>0.99999993619986405</v>
      </c>
    </row>
    <row r="1140" spans="1:40" x14ac:dyDescent="0.25">
      <c r="A1140" t="str">
        <f>"20190312161246900"</f>
        <v>20190312161246900</v>
      </c>
      <c r="B1140" t="str">
        <f>"1552378366897099"</f>
        <v>1552378366897099</v>
      </c>
      <c r="C1140" t="s">
        <v>40</v>
      </c>
      <c r="D1140">
        <v>5.8435779999999999</v>
      </c>
      <c r="E1140">
        <v>0.47700320000000002</v>
      </c>
      <c r="F1140" t="s">
        <v>43</v>
      </c>
      <c r="G1140">
        <v>-191.79239999999999</v>
      </c>
      <c r="H1140">
        <v>1.049641</v>
      </c>
      <c r="I1140">
        <v>336.3852</v>
      </c>
      <c r="J1140">
        <v>-191.72479999999999</v>
      </c>
      <c r="K1140">
        <v>1.108331</v>
      </c>
      <c r="L1140">
        <v>336.9753</v>
      </c>
      <c r="M1140">
        <v>-1.434122E-2</v>
      </c>
      <c r="N1140">
        <v>0</v>
      </c>
      <c r="O1140">
        <v>-0.99984499999999998</v>
      </c>
      <c r="P1140">
        <v>-0.1472436</v>
      </c>
      <c r="Q1140">
        <v>-4.4528600000000002E-2</v>
      </c>
      <c r="R1140">
        <v>-0.98809740000000001</v>
      </c>
      <c r="S1140">
        <v>-0.2536774</v>
      </c>
      <c r="T1140">
        <v>-0.20536160000000001</v>
      </c>
      <c r="U1140">
        <v>-2.9886780000000002</v>
      </c>
      <c r="V1140">
        <v>0.13295319999999999</v>
      </c>
      <c r="W1140">
        <v>-3.4817099999999997E-2</v>
      </c>
      <c r="X1140">
        <v>0.99051060000000002</v>
      </c>
      <c r="Y1140">
        <v>7.0078390000000004E-2</v>
      </c>
      <c r="Z1140">
        <v>6.8334489999999998E-2</v>
      </c>
      <c r="AA1140">
        <v>0.99519820000000003</v>
      </c>
      <c r="AB1140">
        <v>28</v>
      </c>
      <c r="AC1140">
        <v>-6.7599999999998703E-2</v>
      </c>
      <c r="AD1140">
        <v>-5.8689999999999902E-2</v>
      </c>
      <c r="AE1140">
        <v>-0.59010000000000595</v>
      </c>
      <c r="AF1140">
        <v>5.8558107785504798E-2</v>
      </c>
      <c r="AG1140">
        <v>-5.8689999999999902E-2</v>
      </c>
      <c r="AH1140">
        <v>0.58529418408475697</v>
      </c>
      <c r="AI1140">
        <v>95.697898922654701</v>
      </c>
      <c r="AJ1140">
        <v>84.286626214215403</v>
      </c>
      <c r="AK1140">
        <v>0.59113691308432104</v>
      </c>
      <c r="AL1140">
        <v>91.995276113355999</v>
      </c>
      <c r="AM1140">
        <v>82.355057354095393</v>
      </c>
      <c r="AN1140">
        <v>1.0000000162775</v>
      </c>
    </row>
    <row r="1141" spans="1:40" x14ac:dyDescent="0.25">
      <c r="A1141" t="str">
        <f>"20190312161246923"</f>
        <v>20190312161246923</v>
      </c>
      <c r="B1141" t="str">
        <f>"1552378366916620"</f>
        <v>1552378366916620</v>
      </c>
      <c r="C1141" t="s">
        <v>40</v>
      </c>
      <c r="D1141">
        <v>5.9204379999999999</v>
      </c>
      <c r="E1141">
        <v>0.47665489999999999</v>
      </c>
      <c r="F1141" t="s">
        <v>43</v>
      </c>
      <c r="G1141">
        <v>-191.79740000000001</v>
      </c>
      <c r="H1141">
        <v>1.050915</v>
      </c>
      <c r="I1141">
        <v>336.13720000000001</v>
      </c>
      <c r="J1141">
        <v>-191.73079999999999</v>
      </c>
      <c r="K1141">
        <v>1.108341</v>
      </c>
      <c r="L1141">
        <v>336.68619999999999</v>
      </c>
      <c r="M1141">
        <v>-1.604071E-2</v>
      </c>
      <c r="N1141">
        <v>0</v>
      </c>
      <c r="O1141">
        <v>-0.99981940000000002</v>
      </c>
      <c r="P1141">
        <v>-0.14926909999999999</v>
      </c>
      <c r="Q1141">
        <v>-4.4383890000000002E-2</v>
      </c>
      <c r="R1141">
        <v>-0.98780020000000002</v>
      </c>
      <c r="S1141">
        <v>-0.25856020000000002</v>
      </c>
      <c r="T1141">
        <v>-0.20487710000000001</v>
      </c>
      <c r="U1141">
        <v>-2.9883419999999998</v>
      </c>
      <c r="V1141">
        <v>0.13330159999999999</v>
      </c>
      <c r="W1141">
        <v>-3.4675070000000002E-2</v>
      </c>
      <c r="X1141">
        <v>0.99046869999999998</v>
      </c>
      <c r="Y1141">
        <v>7.0007440000000004E-2</v>
      </c>
      <c r="Z1141">
        <v>6.8174429999999994E-2</v>
      </c>
      <c r="AA1141">
        <v>0.99521420000000005</v>
      </c>
      <c r="AB1141">
        <v>28</v>
      </c>
      <c r="AC1141">
        <v>-6.6600000000022405E-2</v>
      </c>
      <c r="AD1141">
        <v>-5.7425999999999901E-2</v>
      </c>
      <c r="AE1141">
        <v>-0.54899999999997795</v>
      </c>
      <c r="AF1141">
        <v>5.7168195370891697E-2</v>
      </c>
      <c r="AG1141">
        <v>-5.7425999999999901E-2</v>
      </c>
      <c r="AH1141">
        <v>0.54413052576852505</v>
      </c>
      <c r="AI1141">
        <v>95.991796611137303</v>
      </c>
      <c r="AJ1141">
        <v>84.002314937295793</v>
      </c>
      <c r="AK1141">
        <v>0.55013087271220895</v>
      </c>
      <c r="AL1141">
        <v>91.987133586340207</v>
      </c>
      <c r="AM1141">
        <v>82.334941463964697</v>
      </c>
      <c r="AN1141">
        <v>0.99999996136087599</v>
      </c>
    </row>
    <row r="1142" spans="1:40" x14ac:dyDescent="0.25">
      <c r="A1142" t="str">
        <f>"20190312161246944"</f>
        <v>20190312161246944</v>
      </c>
      <c r="B1142" t="str">
        <f>"1552378366937115"</f>
        <v>1552378366937115</v>
      </c>
      <c r="C1142" t="s">
        <v>40</v>
      </c>
      <c r="D1142">
        <v>5.9364100000000004</v>
      </c>
      <c r="E1142">
        <v>0.47667480000000001</v>
      </c>
      <c r="F1142" t="s">
        <v>43</v>
      </c>
      <c r="G1142">
        <v>-191.80090000000001</v>
      </c>
      <c r="H1142">
        <v>1.0534829999999999</v>
      </c>
      <c r="I1142">
        <v>335.8877</v>
      </c>
      <c r="J1142">
        <v>-191.73660000000001</v>
      </c>
      <c r="K1142">
        <v>1.108344</v>
      </c>
      <c r="L1142">
        <v>336.42509999999999</v>
      </c>
      <c r="M1142">
        <v>-1.756547E-2</v>
      </c>
      <c r="N1142">
        <v>0</v>
      </c>
      <c r="O1142">
        <v>-0.99979379999999995</v>
      </c>
      <c r="P1142">
        <v>-0.15065979999999901</v>
      </c>
      <c r="Q1142">
        <v>-4.4565979999999998E-2</v>
      </c>
      <c r="R1142">
        <v>-0.98758100000000004</v>
      </c>
      <c r="S1142">
        <v>-0.2619476</v>
      </c>
      <c r="T1142">
        <v>-0.2054135</v>
      </c>
      <c r="U1142">
        <v>-2.9882200000000001</v>
      </c>
      <c r="V1142">
        <v>0.1331859</v>
      </c>
      <c r="W1142">
        <v>-3.485779E-2</v>
      </c>
      <c r="X1142">
        <v>0.99047790000000002</v>
      </c>
      <c r="Y1142">
        <v>6.9608249999999997E-2</v>
      </c>
      <c r="Z1142">
        <v>6.8349820000000006E-2</v>
      </c>
      <c r="AA1142">
        <v>0.99523010000000001</v>
      </c>
      <c r="AB1142">
        <v>28</v>
      </c>
      <c r="AC1142">
        <v>-6.4300000000002897E-2</v>
      </c>
      <c r="AD1142">
        <v>-5.4861E-2</v>
      </c>
      <c r="AE1142">
        <v>-0.537399999999991</v>
      </c>
      <c r="AF1142">
        <v>5.4292083333279798E-2</v>
      </c>
      <c r="AG1142">
        <v>-5.4861E-2</v>
      </c>
      <c r="AH1142">
        <v>0.53297061482532604</v>
      </c>
      <c r="AI1142">
        <v>95.846960266813895</v>
      </c>
      <c r="AJ1142">
        <v>84.183518106203707</v>
      </c>
      <c r="AK1142">
        <v>0.53853044101606196</v>
      </c>
      <c r="AL1142">
        <v>91.997608907277595</v>
      </c>
      <c r="AM1142">
        <v>82.341585698781003</v>
      </c>
      <c r="AN1142">
        <v>1.00000000993545</v>
      </c>
    </row>
    <row r="1143" spans="1:40" x14ac:dyDescent="0.25">
      <c r="A1143" t="str">
        <f>"20190312161246968"</f>
        <v>20190312161246968</v>
      </c>
      <c r="B1143" t="str">
        <f>"1552378366956635"</f>
        <v>1552378366956635</v>
      </c>
      <c r="C1143" t="s">
        <v>40</v>
      </c>
      <c r="D1143">
        <v>6.2277120000000004</v>
      </c>
      <c r="E1143">
        <v>0.49009819999999998</v>
      </c>
      <c r="F1143" t="s">
        <v>43</v>
      </c>
      <c r="G1143">
        <v>-191.80670000000001</v>
      </c>
      <c r="H1143">
        <v>1.0540350000000001</v>
      </c>
      <c r="I1143">
        <v>335.63979999999998</v>
      </c>
      <c r="J1143">
        <v>-191.74369999999999</v>
      </c>
      <c r="K1143">
        <v>1.108341</v>
      </c>
      <c r="L1143">
        <v>336.12909999999999</v>
      </c>
      <c r="M1143">
        <v>-1.9285920000000002E-2</v>
      </c>
      <c r="N1143">
        <v>0</v>
      </c>
      <c r="O1143">
        <v>-0.99976209999999999</v>
      </c>
      <c r="P1143">
        <v>-0.1524963</v>
      </c>
      <c r="Q1143">
        <v>-4.4863229999999997E-2</v>
      </c>
      <c r="R1143">
        <v>-0.98728550000000004</v>
      </c>
      <c r="S1143">
        <v>-0.26631159999999998</v>
      </c>
      <c r="T1143">
        <v>-0.2066113</v>
      </c>
      <c r="U1143">
        <v>-2.9877009999999999</v>
      </c>
      <c r="V1143">
        <v>0.13332330000000001</v>
      </c>
      <c r="W1143">
        <v>-3.5152860000000001E-2</v>
      </c>
      <c r="X1143">
        <v>0.99044900000000002</v>
      </c>
      <c r="Y1143">
        <v>6.9346630000000006E-2</v>
      </c>
      <c r="Z1143">
        <v>6.8751320000000005E-2</v>
      </c>
      <c r="AA1143">
        <v>0.99522069999999996</v>
      </c>
      <c r="AB1143">
        <v>28</v>
      </c>
      <c r="AC1143">
        <v>-6.3000000000016598E-2</v>
      </c>
      <c r="AD1143">
        <v>-5.4305999999999903E-2</v>
      </c>
      <c r="AE1143">
        <v>-0.489300000000014</v>
      </c>
      <c r="AF1143">
        <v>5.2910065778586701E-2</v>
      </c>
      <c r="AG1143">
        <v>-5.4305999999999903E-2</v>
      </c>
      <c r="AH1143">
        <v>0.48455261017687901</v>
      </c>
      <c r="AI1143">
        <v>96.357236863766502</v>
      </c>
      <c r="AJ1143">
        <v>83.768353885147405</v>
      </c>
      <c r="AK1143">
        <v>0.49044861986340699</v>
      </c>
      <c r="AL1143">
        <v>92.014525512768799</v>
      </c>
      <c r="AM1143">
        <v>82.333557848187397</v>
      </c>
      <c r="AN1143">
        <v>1.0000000237450299</v>
      </c>
    </row>
    <row r="1144" spans="1:40" x14ac:dyDescent="0.25">
      <c r="A1144" t="str">
        <f>"20190312161246991"</f>
        <v>20190312161246991</v>
      </c>
      <c r="B1144" t="str">
        <f>"1552378366986892"</f>
        <v>1552378366986892</v>
      </c>
      <c r="C1144" t="s">
        <v>40</v>
      </c>
      <c r="D1144">
        <v>6.0778829999999999</v>
      </c>
      <c r="E1144">
        <v>0.50541919999999996</v>
      </c>
      <c r="F1144" t="s">
        <v>43</v>
      </c>
      <c r="G1144">
        <v>-191.82990000000001</v>
      </c>
      <c r="H1144">
        <v>0.96727370000000001</v>
      </c>
      <c r="I1144">
        <v>335.43830000000003</v>
      </c>
      <c r="J1144">
        <v>-191.7509</v>
      </c>
      <c r="K1144">
        <v>1.1083480000000001</v>
      </c>
      <c r="L1144">
        <v>335.8492</v>
      </c>
      <c r="M1144">
        <v>-2.0908449999999999E-2</v>
      </c>
      <c r="N1144">
        <v>0</v>
      </c>
      <c r="O1144">
        <v>-0.99972939999999999</v>
      </c>
      <c r="P1144">
        <v>-0.15450939999999999</v>
      </c>
      <c r="Q1144">
        <v>-4.5069959999999999E-2</v>
      </c>
      <c r="R1144">
        <v>-0.98696320000000004</v>
      </c>
      <c r="S1144">
        <v>-0.36790469999999997</v>
      </c>
      <c r="T1144">
        <v>-0.60332969999999997</v>
      </c>
      <c r="U1144">
        <v>-2.954437</v>
      </c>
      <c r="V1144">
        <v>0.1337352</v>
      </c>
      <c r="W1144">
        <v>-3.5341459999999998E-2</v>
      </c>
      <c r="X1144">
        <v>0.99038669999999995</v>
      </c>
      <c r="Y1144">
        <v>0.10033010000000001</v>
      </c>
      <c r="Z1144">
        <v>0.1987777</v>
      </c>
      <c r="AA1144">
        <v>0.97489550000000003</v>
      </c>
      <c r="AB1144">
        <v>28</v>
      </c>
      <c r="AC1144">
        <v>-7.9000000000007703E-2</v>
      </c>
      <c r="AD1144">
        <v>-0.14107430000000001</v>
      </c>
      <c r="AE1144">
        <v>-0.41089999999996901</v>
      </c>
      <c r="AF1144">
        <v>6.3206129275560102E-2</v>
      </c>
      <c r="AG1144">
        <v>-0.14107430000000001</v>
      </c>
      <c r="AH1144">
        <v>0.37036166317483699</v>
      </c>
      <c r="AI1144">
        <v>110.580196113342</v>
      </c>
      <c r="AJ1144">
        <v>80.315174401998902</v>
      </c>
      <c r="AK1144">
        <v>0.40132871121827302</v>
      </c>
      <c r="AL1144">
        <v>92.025338326150404</v>
      </c>
      <c r="AM1144">
        <v>82.309677551278796</v>
      </c>
      <c r="AN1144">
        <v>0.99999996902542998</v>
      </c>
    </row>
    <row r="1145" spans="1:40" x14ac:dyDescent="0.25">
      <c r="A1145" t="str">
        <f>"20190312161247036"</f>
        <v>20190312161247036</v>
      </c>
      <c r="B1145" t="str">
        <f>"1552378367026907"</f>
        <v>1552378367026907</v>
      </c>
      <c r="C1145" t="s">
        <v>40</v>
      </c>
      <c r="D1145">
        <v>6.4130520000000004</v>
      </c>
      <c r="E1145">
        <v>0.50816039999999996</v>
      </c>
      <c r="F1145" t="s">
        <v>43</v>
      </c>
      <c r="G1145">
        <v>-191.8973</v>
      </c>
      <c r="H1145">
        <v>0.88954200000000005</v>
      </c>
      <c r="I1145">
        <v>334.9778</v>
      </c>
      <c r="J1145">
        <v>-191.76669999999999</v>
      </c>
      <c r="K1145">
        <v>1.1083670000000001</v>
      </c>
      <c r="L1145">
        <v>335.28820000000002</v>
      </c>
      <c r="M1145">
        <v>-2.4155920000000001E-2</v>
      </c>
      <c r="N1145">
        <v>0</v>
      </c>
      <c r="O1145">
        <v>-0.99965499999999996</v>
      </c>
      <c r="P1145">
        <v>-0.1588849</v>
      </c>
      <c r="Q1145">
        <v>-4.6031130000000003E-2</v>
      </c>
      <c r="R1145">
        <v>-0.98622379999999998</v>
      </c>
      <c r="S1145">
        <v>-0.491394</v>
      </c>
      <c r="T1145">
        <v>-0.7354908</v>
      </c>
      <c r="U1145">
        <v>-2.929138</v>
      </c>
      <c r="V1145">
        <v>0.13490739999999901</v>
      </c>
      <c r="W1145">
        <v>-3.6216129999999999E-2</v>
      </c>
      <c r="X1145">
        <v>0.99019610000000002</v>
      </c>
      <c r="Y1145">
        <v>0.13671349999999999</v>
      </c>
      <c r="Z1145">
        <v>0.24071039999999999</v>
      </c>
      <c r="AA1145">
        <v>0.96092029999999995</v>
      </c>
      <c r="AB1145">
        <v>28</v>
      </c>
      <c r="AC1145">
        <v>-0.13060000000001501</v>
      </c>
      <c r="AD1145">
        <v>-0.21882499999999999</v>
      </c>
      <c r="AE1145">
        <v>-0.310400000000015</v>
      </c>
      <c r="AF1145">
        <v>8.6527690746500199E-2</v>
      </c>
      <c r="AG1145">
        <v>-0.21882499999999999</v>
      </c>
      <c r="AH1145">
        <v>0.22040124111277401</v>
      </c>
      <c r="AI1145">
        <v>132.74345041619</v>
      </c>
      <c r="AJ1145">
        <v>68.565441800792897</v>
      </c>
      <c r="AK1145">
        <v>0.32240987729127202</v>
      </c>
      <c r="AL1145">
        <v>92.075485343419601</v>
      </c>
      <c r="AM1145">
        <v>82.241613458866794</v>
      </c>
      <c r="AN1145">
        <v>0.99999996555107196</v>
      </c>
    </row>
    <row r="1146" spans="1:40" x14ac:dyDescent="0.25">
      <c r="A1146" t="str">
        <f>"20190312161247058"</f>
        <v>20190312161247058</v>
      </c>
      <c r="B1146" t="str">
        <f>"1552378367046428"</f>
        <v>1552378367046428</v>
      </c>
      <c r="C1146" t="s">
        <v>40</v>
      </c>
      <c r="D1146">
        <v>6.0933029999999997</v>
      </c>
      <c r="E1146">
        <v>0.50772359999999905</v>
      </c>
      <c r="F1146" t="s">
        <v>43</v>
      </c>
      <c r="G1146">
        <v>-191.91200000000001</v>
      </c>
      <c r="H1146">
        <v>0.89505349999999995</v>
      </c>
      <c r="I1146">
        <v>334.47919999999999</v>
      </c>
      <c r="J1146">
        <v>-191.77500000000001</v>
      </c>
      <c r="K1146">
        <v>1.1083780000000001</v>
      </c>
      <c r="L1146">
        <v>335.01400000000001</v>
      </c>
      <c r="M1146">
        <v>-2.5742660000000001E-2</v>
      </c>
      <c r="N1146">
        <v>0</v>
      </c>
      <c r="O1146">
        <v>-0.99961469999999997</v>
      </c>
      <c r="P1146">
        <v>-0.16105649999999999</v>
      </c>
      <c r="Q1146">
        <v>-4.5510960000000003E-2</v>
      </c>
      <c r="R1146">
        <v>-0.98589550000000004</v>
      </c>
      <c r="S1146">
        <v>-0.52442929999999999</v>
      </c>
      <c r="T1146">
        <v>-0.77026030000000001</v>
      </c>
      <c r="U1146">
        <v>-2.921478</v>
      </c>
      <c r="V1146">
        <v>0.1355169</v>
      </c>
      <c r="W1146">
        <v>-3.5627249999999999E-2</v>
      </c>
      <c r="X1146">
        <v>0.99013430000000002</v>
      </c>
      <c r="Y1146">
        <v>0.14560629999999999</v>
      </c>
      <c r="Z1146">
        <v>0.25158700000000001</v>
      </c>
      <c r="AA1146">
        <v>0.95681910000000003</v>
      </c>
      <c r="AB1146">
        <v>28</v>
      </c>
      <c r="AC1146">
        <v>-0.13700000000000001</v>
      </c>
      <c r="AD1146">
        <v>-0.2133245</v>
      </c>
      <c r="AE1146">
        <v>-0.53480000000001804</v>
      </c>
      <c r="AF1146">
        <v>0.107182965512996</v>
      </c>
      <c r="AG1146">
        <v>-0.2133245</v>
      </c>
      <c r="AH1146">
        <v>0.46823634121248903</v>
      </c>
      <c r="AI1146">
        <v>113.946235708819</v>
      </c>
      <c r="AJ1146">
        <v>77.106682304036696</v>
      </c>
      <c r="AK1146">
        <v>0.52558615052954805</v>
      </c>
      <c r="AL1146">
        <v>92.041723078436902</v>
      </c>
      <c r="AM1146">
        <v>82.206511059715297</v>
      </c>
      <c r="AN1146">
        <v>1.0000000315823301</v>
      </c>
    </row>
    <row r="1147" spans="1:40" x14ac:dyDescent="0.25">
      <c r="A1147" t="str">
        <f>"20190312161247081"</f>
        <v>20190312161247081</v>
      </c>
      <c r="B1147" t="str">
        <f>"1552378367066923"</f>
        <v>1552378367066923</v>
      </c>
      <c r="C1147" t="s">
        <v>40</v>
      </c>
      <c r="D1147">
        <v>6.2397729999999996</v>
      </c>
      <c r="E1147">
        <v>0.506996</v>
      </c>
      <c r="F1147" t="s">
        <v>43</v>
      </c>
      <c r="G1147">
        <v>-191.9179</v>
      </c>
      <c r="H1147">
        <v>0.90553209999999995</v>
      </c>
      <c r="I1147">
        <v>334.22649999999999</v>
      </c>
      <c r="J1147">
        <v>-191.78440000000001</v>
      </c>
      <c r="K1147">
        <v>1.108409</v>
      </c>
      <c r="L1147">
        <v>334.72379999999998</v>
      </c>
      <c r="M1147">
        <v>-2.741095E-2</v>
      </c>
      <c r="N1147">
        <v>0</v>
      </c>
      <c r="O1147">
        <v>-0.99956889999999998</v>
      </c>
      <c r="P1147">
        <v>-0.16289029999999999</v>
      </c>
      <c r="Q1147">
        <v>-4.5682460000000001E-2</v>
      </c>
      <c r="R1147">
        <v>-0.98558650000000003</v>
      </c>
      <c r="S1147">
        <v>-0.52946470000000001</v>
      </c>
      <c r="T1147">
        <v>-0.75249840000000001</v>
      </c>
      <c r="U1147">
        <v>-2.9216920000000002</v>
      </c>
      <c r="V1147">
        <v>0.135706299999999</v>
      </c>
      <c r="W1147">
        <v>-3.5655480000000003E-2</v>
      </c>
      <c r="X1147">
        <v>0.99010730000000002</v>
      </c>
      <c r="Y1147">
        <v>0.145793899999999</v>
      </c>
      <c r="Z1147">
        <v>0.24607380000000001</v>
      </c>
      <c r="AA1147">
        <v>0.9582233</v>
      </c>
      <c r="AB1147">
        <v>28</v>
      </c>
      <c r="AC1147">
        <v>-0.13349999999999701</v>
      </c>
      <c r="AD1147">
        <v>-0.2028769</v>
      </c>
      <c r="AE1147">
        <v>-0.49729999999999502</v>
      </c>
      <c r="AF1147">
        <v>0.103716530087561</v>
      </c>
      <c r="AG1147">
        <v>-0.2028769</v>
      </c>
      <c r="AH1147">
        <v>0.43347888625351899</v>
      </c>
      <c r="AI1147">
        <v>114.47373318856501</v>
      </c>
      <c r="AJ1147">
        <v>76.544066638536904</v>
      </c>
      <c r="AK1147">
        <v>0.48971430446190301</v>
      </c>
      <c r="AL1147">
        <v>92.043341652962795</v>
      </c>
      <c r="AM1147">
        <v>82.1955427241367</v>
      </c>
      <c r="AN1147">
        <v>0.99999998931350498</v>
      </c>
    </row>
    <row r="1148" spans="1:40" x14ac:dyDescent="0.25">
      <c r="A1148" t="str">
        <f>"20190312161247102"</f>
        <v>20190312161247102</v>
      </c>
      <c r="B1148" t="str">
        <f>"1552378367096203"</f>
        <v>1552378367096203</v>
      </c>
      <c r="C1148" t="s">
        <v>40</v>
      </c>
      <c r="D1148">
        <v>6.1882890000000002</v>
      </c>
      <c r="E1148">
        <v>0.50610049999999995</v>
      </c>
      <c r="F1148" t="s">
        <v>43</v>
      </c>
      <c r="G1148">
        <v>-191.92070000000001</v>
      </c>
      <c r="H1148">
        <v>0.92001909999999998</v>
      </c>
      <c r="I1148">
        <v>333.97199999999998</v>
      </c>
      <c r="J1148">
        <v>-191.7927</v>
      </c>
      <c r="K1148">
        <v>1.1084670000000001</v>
      </c>
      <c r="L1148">
        <v>334.47579999999999</v>
      </c>
      <c r="M1148">
        <v>-2.881119E-2</v>
      </c>
      <c r="N1148">
        <v>0</v>
      </c>
      <c r="O1148">
        <v>-0.99952680000000005</v>
      </c>
      <c r="P1148">
        <v>-0.164967899999999</v>
      </c>
      <c r="Q1148">
        <v>-4.7019970000000001E-2</v>
      </c>
      <c r="R1148">
        <v>-0.98517739999999998</v>
      </c>
      <c r="S1148">
        <v>-0.52911379999999997</v>
      </c>
      <c r="T1148">
        <v>-0.73233409999999999</v>
      </c>
      <c r="U1148">
        <v>-2.9225159999999999</v>
      </c>
      <c r="V1148">
        <v>0.1364059</v>
      </c>
      <c r="W1148">
        <v>-3.6768250000000002E-2</v>
      </c>
      <c r="X1148">
        <v>0.98997040000000003</v>
      </c>
      <c r="Y1148">
        <v>0.14452899999999999</v>
      </c>
      <c r="Z1148">
        <v>0.23981669999999999</v>
      </c>
      <c r="AA1148">
        <v>0.95999959999999995</v>
      </c>
      <c r="AB1148">
        <v>28</v>
      </c>
      <c r="AC1148">
        <v>-0.12800000000001399</v>
      </c>
      <c r="AD1148">
        <v>-0.1884479</v>
      </c>
      <c r="AE1148">
        <v>-0.50380000000001202</v>
      </c>
      <c r="AF1148">
        <v>0.100254348642104</v>
      </c>
      <c r="AG1148">
        <v>-0.1884479</v>
      </c>
      <c r="AH1148">
        <v>0.44835134898658702</v>
      </c>
      <c r="AI1148">
        <v>112.30262923196</v>
      </c>
      <c r="AJ1148">
        <v>77.395624747946499</v>
      </c>
      <c r="AK1148">
        <v>0.49657071759635102</v>
      </c>
      <c r="AL1148">
        <v>92.107140642986593</v>
      </c>
      <c r="AM1148">
        <v>82.154737157443606</v>
      </c>
      <c r="AN1148">
        <v>0.99999993331951398</v>
      </c>
    </row>
    <row r="1149" spans="1:40" x14ac:dyDescent="0.25">
      <c r="A1149" t="str">
        <f>"20190312161247124"</f>
        <v>20190312161247124</v>
      </c>
      <c r="B1149" t="str">
        <f>"1552378367116699"</f>
        <v>1552378367116699</v>
      </c>
      <c r="C1149" t="s">
        <v>40</v>
      </c>
      <c r="D1149">
        <v>6.1773429999999996</v>
      </c>
      <c r="E1149">
        <v>0.50562879999999999</v>
      </c>
      <c r="F1149" t="s">
        <v>43</v>
      </c>
      <c r="G1149">
        <v>-191.92869999999999</v>
      </c>
      <c r="H1149">
        <v>0.92325639999999998</v>
      </c>
      <c r="I1149">
        <v>333.72280000000001</v>
      </c>
      <c r="J1149">
        <v>-191.8023</v>
      </c>
      <c r="K1149">
        <v>1.108562</v>
      </c>
      <c r="L1149">
        <v>334.20280000000002</v>
      </c>
      <c r="M1149">
        <v>-3.0325830000000002E-2</v>
      </c>
      <c r="N1149">
        <v>0</v>
      </c>
      <c r="O1149">
        <v>-0.99947889999999995</v>
      </c>
      <c r="P1149">
        <v>-0.1669486</v>
      </c>
      <c r="Q1149">
        <v>-4.7400690000000002E-2</v>
      </c>
      <c r="R1149">
        <v>-0.98482599999999998</v>
      </c>
      <c r="S1149">
        <v>-0.5266113</v>
      </c>
      <c r="T1149">
        <v>-0.71881819999999996</v>
      </c>
      <c r="U1149">
        <v>-2.9226380000000001</v>
      </c>
      <c r="V1149">
        <v>0.13689860000000001</v>
      </c>
      <c r="W1149">
        <v>-3.6834480000000003E-2</v>
      </c>
      <c r="X1149">
        <v>0.9899</v>
      </c>
      <c r="Y1149">
        <v>0.1424069</v>
      </c>
      <c r="Z1149">
        <v>0.23566989999999999</v>
      </c>
      <c r="AA1149">
        <v>0.96134280000000005</v>
      </c>
      <c r="AB1149">
        <v>28</v>
      </c>
      <c r="AC1149">
        <v>-0.12639999999998899</v>
      </c>
      <c r="AD1149">
        <v>-0.18530559999999999</v>
      </c>
      <c r="AE1149">
        <v>-0.48000000000001802</v>
      </c>
      <c r="AF1149">
        <v>9.8110645843069305E-2</v>
      </c>
      <c r="AG1149">
        <v>-0.18530559999999999</v>
      </c>
      <c r="AH1149">
        <v>0.42445524790038702</v>
      </c>
      <c r="AI1149">
        <v>113.042845189151</v>
      </c>
      <c r="AJ1149">
        <v>76.984951496007</v>
      </c>
      <c r="AK1149">
        <v>0.47341960425111601</v>
      </c>
      <c r="AL1149">
        <v>92.110937757694998</v>
      </c>
      <c r="AM1149">
        <v>82.126201799341501</v>
      </c>
      <c r="AN1149">
        <v>1.00000000779941</v>
      </c>
    </row>
    <row r="1150" spans="1:40" x14ac:dyDescent="0.25">
      <c r="A1150" t="str">
        <f>"20190312161247145"</f>
        <v>20190312161247145</v>
      </c>
      <c r="B1150" t="str">
        <f>"1552378367136219"</f>
        <v>1552378367136219</v>
      </c>
      <c r="C1150" t="s">
        <v>40</v>
      </c>
      <c r="D1150">
        <v>6.1453239999999996</v>
      </c>
      <c r="E1150">
        <v>0.50515849999999995</v>
      </c>
      <c r="F1150" t="s">
        <v>43</v>
      </c>
      <c r="G1150">
        <v>-191.93469999999999</v>
      </c>
      <c r="H1150">
        <v>0.93129499999999998</v>
      </c>
      <c r="I1150">
        <v>333.4717</v>
      </c>
      <c r="J1150">
        <v>-191.8126</v>
      </c>
      <c r="K1150">
        <v>1.10866</v>
      </c>
      <c r="L1150">
        <v>333.9196</v>
      </c>
      <c r="M1150">
        <v>-3.186174E-2</v>
      </c>
      <c r="N1150">
        <v>0</v>
      </c>
      <c r="O1150">
        <v>-0.99942739999999997</v>
      </c>
      <c r="P1150">
        <v>-0.1684947</v>
      </c>
      <c r="Q1150">
        <v>-4.6978939999999997E-2</v>
      </c>
      <c r="R1150">
        <v>-0.98458250000000003</v>
      </c>
      <c r="S1150">
        <v>-0.52861020000000003</v>
      </c>
      <c r="T1150">
        <v>-0.70853199999999905</v>
      </c>
      <c r="U1150">
        <v>-2.922485</v>
      </c>
      <c r="V1150">
        <v>0.13693629999999901</v>
      </c>
      <c r="W1150">
        <v>-3.6079939999999998E-2</v>
      </c>
      <c r="X1150">
        <v>0.98992259999999999</v>
      </c>
      <c r="Y1150">
        <v>0.14166899999999999</v>
      </c>
      <c r="Z1150">
        <v>0.23247719999999999</v>
      </c>
      <c r="AA1150">
        <v>0.9622288</v>
      </c>
      <c r="AB1150">
        <v>28</v>
      </c>
      <c r="AC1150">
        <v>-0.122099999999989</v>
      </c>
      <c r="AD1150">
        <v>-0.177364999999999</v>
      </c>
      <c r="AE1150">
        <v>-0.44790000000000402</v>
      </c>
      <c r="AF1150">
        <v>9.4039866315283299E-2</v>
      </c>
      <c r="AG1150">
        <v>-0.177364999999999</v>
      </c>
      <c r="AH1150">
        <v>0.39404689503795998</v>
      </c>
      <c r="AI1150">
        <v>113.644584064382</v>
      </c>
      <c r="AJ1150">
        <v>76.577346648047097</v>
      </c>
      <c r="AK1150">
        <v>0.44223839178733998</v>
      </c>
      <c r="AL1150">
        <v>92.067676987990694</v>
      </c>
      <c r="AM1150">
        <v>82.124238222814</v>
      </c>
      <c r="AN1150">
        <v>1.0000000331594201</v>
      </c>
    </row>
    <row r="1151" spans="1:40" x14ac:dyDescent="0.25">
      <c r="A1151" t="str">
        <f>"20190312161247171"</f>
        <v>20190312161247171</v>
      </c>
      <c r="B1151" t="str">
        <f>"1552378367156715"</f>
        <v>1552378367156715</v>
      </c>
      <c r="C1151" t="s">
        <v>40</v>
      </c>
      <c r="D1151">
        <v>6.5793039999999996</v>
      </c>
      <c r="E1151">
        <v>0.50599729999999998</v>
      </c>
      <c r="F1151" t="s">
        <v>43</v>
      </c>
      <c r="G1151">
        <v>-191.93960000000001</v>
      </c>
      <c r="H1151">
        <v>0.94151890000000005</v>
      </c>
      <c r="I1151">
        <v>333.21980000000002</v>
      </c>
      <c r="J1151">
        <v>-191.8229</v>
      </c>
      <c r="K1151">
        <v>1.1087389999999999</v>
      </c>
      <c r="L1151">
        <v>333.6472</v>
      </c>
      <c r="M1151">
        <v>-3.3280919999999999E-2</v>
      </c>
      <c r="N1151">
        <v>0</v>
      </c>
      <c r="O1151">
        <v>-0.99937799999999999</v>
      </c>
      <c r="P1151">
        <v>-0.17001810000000001</v>
      </c>
      <c r="Q1151">
        <v>-4.6923739999999999E-2</v>
      </c>
      <c r="R1151">
        <v>-0.98432339999999996</v>
      </c>
      <c r="S1151">
        <v>-0.53027340000000001</v>
      </c>
      <c r="T1151">
        <v>-0.69800319999999905</v>
      </c>
      <c r="U1151">
        <v>-2.922882</v>
      </c>
      <c r="V1151">
        <v>0.13706689999999999</v>
      </c>
      <c r="W1151">
        <v>-3.5726059999999997E-2</v>
      </c>
      <c r="X1151">
        <v>0.9899173</v>
      </c>
      <c r="Y1151">
        <v>0.1409116</v>
      </c>
      <c r="Z1151">
        <v>0.22916429999999999</v>
      </c>
      <c r="AA1151">
        <v>0.9631343</v>
      </c>
      <c r="AB1151">
        <v>28</v>
      </c>
      <c r="AC1151">
        <v>-0.11670000000000801</v>
      </c>
      <c r="AD1151">
        <v>-0.16722009999999901</v>
      </c>
      <c r="AE1151">
        <v>-0.42739999999997702</v>
      </c>
      <c r="AF1151">
        <v>8.9640341627720901E-2</v>
      </c>
      <c r="AG1151">
        <v>-0.16722009999999901</v>
      </c>
      <c r="AH1151">
        <v>0.37729899312529003</v>
      </c>
      <c r="AI1151">
        <v>113.325722785465</v>
      </c>
      <c r="AJ1151">
        <v>76.635205989483694</v>
      </c>
      <c r="AK1151">
        <v>0.42231798790070701</v>
      </c>
      <c r="AL1151">
        <v>92.047388199339395</v>
      </c>
      <c r="AM1151">
        <v>82.116779603792907</v>
      </c>
      <c r="AN1151">
        <v>0.99999997363901105</v>
      </c>
    </row>
    <row r="1152" spans="1:40" x14ac:dyDescent="0.25">
      <c r="A1152" t="str">
        <f>"20190312161247191"</f>
        <v>20190312161247191</v>
      </c>
      <c r="B1152" t="str">
        <f>"1552378367186971"</f>
        <v>1552378367186971</v>
      </c>
      <c r="C1152" t="s">
        <v>40</v>
      </c>
      <c r="D1152">
        <v>6.0143529999999998</v>
      </c>
      <c r="E1152">
        <v>0.50513799999999998</v>
      </c>
      <c r="F1152" t="s">
        <v>43</v>
      </c>
      <c r="G1152">
        <v>-191.98990000000001</v>
      </c>
      <c r="H1152">
        <v>0.89540489999999995</v>
      </c>
      <c r="I1152">
        <v>332.74689999999998</v>
      </c>
      <c r="J1152">
        <v>-191.834</v>
      </c>
      <c r="K1152">
        <v>1.108814</v>
      </c>
      <c r="L1152">
        <v>333.36259999999999</v>
      </c>
      <c r="M1152">
        <v>-3.4673460000000003E-2</v>
      </c>
      <c r="N1152">
        <v>0</v>
      </c>
      <c r="O1152">
        <v>-0.99932739999999998</v>
      </c>
      <c r="P1152">
        <v>-0.17108499999999999</v>
      </c>
      <c r="Q1152">
        <v>-4.6284690000000003E-2</v>
      </c>
      <c r="R1152">
        <v>-0.98416899999999996</v>
      </c>
      <c r="S1152">
        <v>-0.54200740000000003</v>
      </c>
      <c r="T1152">
        <v>-0.69225530000000002</v>
      </c>
      <c r="U1152">
        <v>-2.921173</v>
      </c>
      <c r="V1152">
        <v>0.13676629999999901</v>
      </c>
      <c r="W1152">
        <v>-3.4791490000000001E-2</v>
      </c>
      <c r="X1152">
        <v>0.98999219999999999</v>
      </c>
      <c r="Y1152">
        <v>0.1434512</v>
      </c>
      <c r="Z1152">
        <v>0.2273655</v>
      </c>
      <c r="AA1152">
        <v>0.96318570000000003</v>
      </c>
      <c r="AB1152">
        <v>28</v>
      </c>
      <c r="AC1152">
        <v>-0.15590000000000201</v>
      </c>
      <c r="AD1152">
        <v>-0.21340909999999899</v>
      </c>
      <c r="AE1152">
        <v>-0.61570000000000302</v>
      </c>
      <c r="AF1152">
        <v>0.12081597900226899</v>
      </c>
      <c r="AG1152">
        <v>-0.21340909999999899</v>
      </c>
      <c r="AH1152">
        <v>0.55776342739083296</v>
      </c>
      <c r="AI1152">
        <v>110.502972880144</v>
      </c>
      <c r="AJ1152">
        <v>77.778092064186893</v>
      </c>
      <c r="AK1152">
        <v>0.609294662441627</v>
      </c>
      <c r="AL1152">
        <v>91.993807886813102</v>
      </c>
      <c r="AM1152">
        <v>82.1344392344444</v>
      </c>
      <c r="AN1152">
        <v>1.0000000123264701</v>
      </c>
    </row>
    <row r="1153" spans="1:40" x14ac:dyDescent="0.25">
      <c r="A1153" t="str">
        <f>"20190312161247216"</f>
        <v>20190312161247216</v>
      </c>
      <c r="B1153" t="str">
        <f>"1552378367206492"</f>
        <v>1552378367206492</v>
      </c>
      <c r="C1153" t="s">
        <v>40</v>
      </c>
      <c r="D1153">
        <v>6.1293220000000002</v>
      </c>
      <c r="E1153">
        <v>0.50482170000000004</v>
      </c>
      <c r="F1153" t="s">
        <v>43</v>
      </c>
      <c r="G1153">
        <v>-191.99369999999999</v>
      </c>
      <c r="H1153">
        <v>0.90653779999999995</v>
      </c>
      <c r="I1153">
        <v>332.49619999999999</v>
      </c>
      <c r="J1153">
        <v>-191.8459</v>
      </c>
      <c r="K1153">
        <v>1.1088929999999999</v>
      </c>
      <c r="L1153">
        <v>333.06699999999898</v>
      </c>
      <c r="M1153">
        <v>-3.6043390000000002E-2</v>
      </c>
      <c r="N1153">
        <v>0</v>
      </c>
      <c r="O1153">
        <v>-0.99927540000000004</v>
      </c>
      <c r="P1153">
        <v>-0.17157359999999999</v>
      </c>
      <c r="Q1153">
        <v>-4.6643110000000002E-2</v>
      </c>
      <c r="R1153">
        <v>-0.98406680000000002</v>
      </c>
      <c r="S1153">
        <v>-0.53840639999999995</v>
      </c>
      <c r="T1153">
        <v>-0.68231750000000002</v>
      </c>
      <c r="U1153">
        <v>-2.9225460000000001</v>
      </c>
      <c r="V1153">
        <v>0.13590579999999999</v>
      </c>
      <c r="W1153">
        <v>-3.4861639999999999E-2</v>
      </c>
      <c r="X1153">
        <v>0.99010819999999999</v>
      </c>
      <c r="Y1153">
        <v>0.14099800000000001</v>
      </c>
      <c r="Z1153">
        <v>0.22421759999999999</v>
      </c>
      <c r="AA1153">
        <v>0.96428530000000001</v>
      </c>
      <c r="AB1153">
        <v>28</v>
      </c>
      <c r="AC1153">
        <v>-0.147799999999989</v>
      </c>
      <c r="AD1153">
        <v>-0.20235520000000001</v>
      </c>
      <c r="AE1153">
        <v>-0.570799999999962</v>
      </c>
      <c r="AF1153">
        <v>0.113733176841365</v>
      </c>
      <c r="AG1153">
        <v>-0.20235520000000001</v>
      </c>
      <c r="AH1153">
        <v>0.51508873048469495</v>
      </c>
      <c r="AI1153">
        <v>110.987559511908</v>
      </c>
      <c r="AJ1153">
        <v>77.548700143302995</v>
      </c>
      <c r="AK1153">
        <v>0.56497722321683397</v>
      </c>
      <c r="AL1153">
        <v>91.997829681889797</v>
      </c>
      <c r="AM1153">
        <v>82.184218212156296</v>
      </c>
      <c r="AN1153">
        <v>0.99999998406218404</v>
      </c>
    </row>
    <row r="1154" spans="1:40" x14ac:dyDescent="0.25">
      <c r="A1154" t="str">
        <f>"20190312161247238"</f>
        <v>20190312161247238</v>
      </c>
      <c r="B1154" t="str">
        <f>"1552378367226988"</f>
        <v>1552378367226988</v>
      </c>
      <c r="C1154" t="s">
        <v>40</v>
      </c>
      <c r="D1154">
        <v>6.6712069999999999</v>
      </c>
      <c r="E1154">
        <v>0.50453570000000003</v>
      </c>
      <c r="F1154" t="s">
        <v>43</v>
      </c>
      <c r="G1154">
        <v>-191.99700000000001</v>
      </c>
      <c r="H1154">
        <v>0.91832139999999995</v>
      </c>
      <c r="I1154">
        <v>332.24549999999999</v>
      </c>
      <c r="J1154">
        <v>-191.8571</v>
      </c>
      <c r="K1154">
        <v>1.108967</v>
      </c>
      <c r="L1154">
        <v>332.7946</v>
      </c>
      <c r="M1154">
        <v>-3.7234169999999997E-2</v>
      </c>
      <c r="N1154">
        <v>0</v>
      </c>
      <c r="O1154">
        <v>-0.99922909999999998</v>
      </c>
      <c r="P1154">
        <v>-0.17157919999999999</v>
      </c>
      <c r="Q1154">
        <v>-4.6851179999999999E-2</v>
      </c>
      <c r="R1154">
        <v>-0.98405600000000004</v>
      </c>
      <c r="S1154">
        <v>-0.53701779999999999</v>
      </c>
      <c r="T1154">
        <v>-0.67795229999999995</v>
      </c>
      <c r="U1154">
        <v>-2.9228519999999998</v>
      </c>
      <c r="V1154">
        <v>0.13473689999999999</v>
      </c>
      <c r="W1154">
        <v>-3.4824290000000001E-2</v>
      </c>
      <c r="X1154">
        <v>0.99026930000000002</v>
      </c>
      <c r="Y1154">
        <v>0.13941400000000001</v>
      </c>
      <c r="Z1154">
        <v>0.22285350000000001</v>
      </c>
      <c r="AA1154">
        <v>0.96483169999999996</v>
      </c>
      <c r="AB1154">
        <v>27</v>
      </c>
      <c r="AC1154">
        <v>-0.13990000000001099</v>
      </c>
      <c r="AD1154">
        <v>-0.1906456</v>
      </c>
      <c r="AE1154">
        <v>-0.54910000000000903</v>
      </c>
      <c r="AF1154">
        <v>0.107219174899193</v>
      </c>
      <c r="AG1154">
        <v>-0.1906456</v>
      </c>
      <c r="AH1154">
        <v>0.497601444542348</v>
      </c>
      <c r="AI1154">
        <v>110.53259854467299</v>
      </c>
      <c r="AJ1154">
        <v>77.840273980266801</v>
      </c>
      <c r="AK1154">
        <v>0.54355210778365604</v>
      </c>
      <c r="AL1154">
        <v>91.995688302643501</v>
      </c>
      <c r="AM1154">
        <v>82.251865363988699</v>
      </c>
      <c r="AN1154">
        <v>1.0000000249590499</v>
      </c>
    </row>
    <row r="1155" spans="1:40" x14ac:dyDescent="0.25">
      <c r="A1155" t="str">
        <f>"20190312161247260"</f>
        <v>20190312161247260</v>
      </c>
      <c r="B1155" t="str">
        <f>"1552378367257244"</f>
        <v>1552378367257244</v>
      </c>
      <c r="C1155" t="s">
        <v>40</v>
      </c>
      <c r="D1155">
        <v>6.174347</v>
      </c>
      <c r="E1155">
        <v>0.491429</v>
      </c>
      <c r="F1155" t="s">
        <v>43</v>
      </c>
      <c r="G1155">
        <v>-192.0033</v>
      </c>
      <c r="H1155">
        <v>0.92557690000000004</v>
      </c>
      <c r="I1155">
        <v>331.9966</v>
      </c>
      <c r="J1155">
        <v>-191.86850000000001</v>
      </c>
      <c r="K1155">
        <v>1.109043</v>
      </c>
      <c r="L1155">
        <v>332.5222</v>
      </c>
      <c r="M1155">
        <v>-3.834125E-2</v>
      </c>
      <c r="N1155">
        <v>0</v>
      </c>
      <c r="O1155">
        <v>-0.99918470000000004</v>
      </c>
      <c r="P1155">
        <v>-0.1716017</v>
      </c>
      <c r="Q1155">
        <v>-4.6444119999999998E-2</v>
      </c>
      <c r="R1155">
        <v>-0.98407109999999998</v>
      </c>
      <c r="S1155">
        <v>-0.53518679999999996</v>
      </c>
      <c r="T1155">
        <v>-0.67187600000000003</v>
      </c>
      <c r="U1155">
        <v>-2.92334</v>
      </c>
      <c r="V1155">
        <v>0.1336685</v>
      </c>
      <c r="W1155">
        <v>-3.4192859999999999E-2</v>
      </c>
      <c r="X1155">
        <v>0.99043610000000004</v>
      </c>
      <c r="Y1155">
        <v>0.13778199999999999</v>
      </c>
      <c r="Z1155">
        <v>0.2209441</v>
      </c>
      <c r="AA1155">
        <v>0.9655049</v>
      </c>
      <c r="AB1155">
        <v>27</v>
      </c>
      <c r="AC1155">
        <v>-0.13479999999998399</v>
      </c>
      <c r="AD1155">
        <v>-0.18346609999999999</v>
      </c>
      <c r="AE1155">
        <v>-0.52559999999999696</v>
      </c>
      <c r="AF1155">
        <v>0.10279520295674099</v>
      </c>
      <c r="AG1155">
        <v>-0.18346609999999999</v>
      </c>
      <c r="AH1155">
        <v>0.47596802523856002</v>
      </c>
      <c r="AI1155">
        <v>110.645006971157</v>
      </c>
      <c r="AJ1155">
        <v>77.812964372928604</v>
      </c>
      <c r="AK1155">
        <v>0.52035778523014597</v>
      </c>
      <c r="AL1155">
        <v>91.959488431247493</v>
      </c>
      <c r="AM1155">
        <v>82.313846006931598</v>
      </c>
      <c r="AN1155">
        <v>1.0000000438752099</v>
      </c>
    </row>
    <row r="1156" spans="1:40" x14ac:dyDescent="0.25">
      <c r="A1156" t="str">
        <f>"20190312161247282"</f>
        <v>20190312161247282</v>
      </c>
      <c r="B1156" t="str">
        <f>"1552378367276764"</f>
        <v>1552378367276764</v>
      </c>
      <c r="C1156" t="s">
        <v>40</v>
      </c>
      <c r="D1156">
        <v>6.0280969999999998</v>
      </c>
      <c r="E1156">
        <v>0.49679269999999998</v>
      </c>
      <c r="F1156" t="s">
        <v>64</v>
      </c>
      <c r="G1156">
        <v>-226.18450000000001</v>
      </c>
      <c r="H1156">
        <v>1.352865</v>
      </c>
      <c r="I1156">
        <v>106.77460000000001</v>
      </c>
      <c r="J1156">
        <v>-191.8802</v>
      </c>
      <c r="K1156">
        <v>1.1091260000000001</v>
      </c>
      <c r="L1156">
        <v>332.2491</v>
      </c>
      <c r="M1156">
        <v>-3.9355290000000001E-2</v>
      </c>
      <c r="N1156">
        <v>0</v>
      </c>
      <c r="O1156">
        <v>-0.99914309999999995</v>
      </c>
      <c r="P1156">
        <v>-0.1716916</v>
      </c>
      <c r="Q1156">
        <v>-4.6515540000000001E-2</v>
      </c>
      <c r="R1156">
        <v>-0.98405229999999999</v>
      </c>
      <c r="S1156">
        <v>-0.45146180000000002</v>
      </c>
      <c r="T1156">
        <v>3.207803E-3</v>
      </c>
      <c r="U1156">
        <v>-2.9699399999999998</v>
      </c>
      <c r="V1156">
        <v>0.13276070000000001</v>
      </c>
      <c r="W1156">
        <v>-3.4059390000000002E-2</v>
      </c>
      <c r="X1156">
        <v>0.99056270000000002</v>
      </c>
      <c r="Y1156">
        <v>0.11125599999999999</v>
      </c>
      <c r="Z1156">
        <v>-1.0693409999999999E-3</v>
      </c>
      <c r="AA1156">
        <v>0.99379119999999999</v>
      </c>
      <c r="AB1156">
        <v>27</v>
      </c>
      <c r="AC1156">
        <v>-34.304299999999998</v>
      </c>
      <c r="AD1156">
        <v>0.24373899999999901</v>
      </c>
      <c r="AE1156">
        <v>-225.47450000000001</v>
      </c>
      <c r="AF1156">
        <v>25.403347340364199</v>
      </c>
      <c r="AG1156">
        <v>0.24373899999999901</v>
      </c>
      <c r="AH1156">
        <v>226.64969948236799</v>
      </c>
      <c r="AI1156">
        <v>89.938767575934406</v>
      </c>
      <c r="AJ1156">
        <v>83.604865746097801</v>
      </c>
      <c r="AK1156">
        <v>228.06901530072699</v>
      </c>
      <c r="AL1156">
        <v>91.951836882368198</v>
      </c>
      <c r="AM1156">
        <v>82.366392454235694</v>
      </c>
      <c r="AN1156">
        <v>0.99999995407147502</v>
      </c>
    </row>
    <row r="1157" spans="1:40" x14ac:dyDescent="0.25">
      <c r="A1157" t="str">
        <f>"20190312161247303"</f>
        <v>20190312161247303</v>
      </c>
      <c r="B1157" t="str">
        <f>"1552378367297260"</f>
        <v>1552378367297260</v>
      </c>
      <c r="C1157" t="s">
        <v>40</v>
      </c>
      <c r="D1157">
        <v>5.8399869999999998</v>
      </c>
      <c r="E1157">
        <v>0.49848989999999999</v>
      </c>
      <c r="F1157" t="s">
        <v>64</v>
      </c>
      <c r="G1157">
        <v>-227.4308</v>
      </c>
      <c r="H1157">
        <v>5.0416530000000002</v>
      </c>
      <c r="I1157">
        <v>119.3841</v>
      </c>
      <c r="J1157">
        <v>-191.8914</v>
      </c>
      <c r="K1157">
        <v>1.1092249999999999</v>
      </c>
      <c r="L1157">
        <v>331.9907</v>
      </c>
      <c r="M1157">
        <v>-4.0216540000000002E-2</v>
      </c>
      <c r="N1157">
        <v>0</v>
      </c>
      <c r="O1157">
        <v>-0.99910670000000001</v>
      </c>
      <c r="P1157">
        <v>-0.1718507</v>
      </c>
      <c r="Q1157">
        <v>-4.6425399999999999E-2</v>
      </c>
      <c r="R1157">
        <v>-0.98402860000000003</v>
      </c>
      <c r="S1157">
        <v>-0.49514770000000002</v>
      </c>
      <c r="T1157">
        <v>5.4772260000000003E-2</v>
      </c>
      <c r="U1157">
        <v>-2.9647830000000002</v>
      </c>
      <c r="V1157">
        <v>0.1320742</v>
      </c>
      <c r="W1157">
        <v>-3.3792210000000003E-2</v>
      </c>
      <c r="X1157">
        <v>0.99066359999999998</v>
      </c>
      <c r="Y1157">
        <v>0.1248971</v>
      </c>
      <c r="Z1157">
        <v>-1.825009E-2</v>
      </c>
      <c r="AA1157">
        <v>0.99200180000000004</v>
      </c>
      <c r="AB1157">
        <v>27</v>
      </c>
      <c r="AC1157">
        <v>-35.539400000000001</v>
      </c>
      <c r="AD1157">
        <v>3.9324279999999998</v>
      </c>
      <c r="AE1157">
        <v>-212.60659999999999</v>
      </c>
      <c r="AF1157">
        <v>26.950651841668801</v>
      </c>
      <c r="AG1157">
        <v>3.9324279999999998</v>
      </c>
      <c r="AH1157">
        <v>213.792808892728</v>
      </c>
      <c r="AI1157">
        <v>88.954513211817897</v>
      </c>
      <c r="AJ1157">
        <v>82.815210682226905</v>
      </c>
      <c r="AK1157">
        <v>215.52068754277099</v>
      </c>
      <c r="AL1157">
        <v>91.936519809035303</v>
      </c>
      <c r="AM1157">
        <v>82.406168101447903</v>
      </c>
      <c r="AN1157">
        <v>0.99999993806363996</v>
      </c>
    </row>
    <row r="1158" spans="1:40" x14ac:dyDescent="0.25">
      <c r="A1158" t="str">
        <f>"20190312161247324"</f>
        <v>20190312161247324</v>
      </c>
      <c r="B1158" t="str">
        <f>"1552378367316780"</f>
        <v>1552378367316780</v>
      </c>
      <c r="C1158" t="s">
        <v>40</v>
      </c>
      <c r="D1158">
        <v>6.0094430000000001</v>
      </c>
      <c r="E1158">
        <v>0.49958849999999999</v>
      </c>
      <c r="F1158" t="s">
        <v>64</v>
      </c>
      <c r="G1158">
        <v>-228.39250000000001</v>
      </c>
      <c r="H1158">
        <v>3.5451779999999999</v>
      </c>
      <c r="I1158">
        <v>119.3841</v>
      </c>
      <c r="J1158">
        <v>-191.90280000000001</v>
      </c>
      <c r="K1158">
        <v>1.109326</v>
      </c>
      <c r="L1158">
        <v>331.73239999999998</v>
      </c>
      <c r="M1158">
        <v>-4.0971300000000002E-2</v>
      </c>
      <c r="N1158">
        <v>0</v>
      </c>
      <c r="O1158">
        <v>-0.99907420000000002</v>
      </c>
      <c r="P1158">
        <v>-0.17229059999999999</v>
      </c>
      <c r="Q1158">
        <v>-4.6304039999999998E-2</v>
      </c>
      <c r="R1158">
        <v>-0.98395730000000003</v>
      </c>
      <c r="S1158">
        <v>-0.508438099999999</v>
      </c>
      <c r="T1158">
        <v>3.3931490000000002E-2</v>
      </c>
      <c r="U1158">
        <v>-2.961487</v>
      </c>
      <c r="V1158">
        <v>0.13177630000000001</v>
      </c>
      <c r="W1158">
        <v>-3.3510709999999999E-2</v>
      </c>
      <c r="X1158">
        <v>0.99071290000000001</v>
      </c>
      <c r="Y1158">
        <v>0.12867089999999901</v>
      </c>
      <c r="Z1158">
        <v>-1.1312060000000001E-2</v>
      </c>
      <c r="AA1158">
        <v>0.99162280000000003</v>
      </c>
      <c r="AB1158">
        <v>27</v>
      </c>
      <c r="AC1158">
        <v>-36.489699999999999</v>
      </c>
      <c r="AD1158">
        <v>2.4358520000000001</v>
      </c>
      <c r="AE1158">
        <v>-212.34829999999999</v>
      </c>
      <c r="AF1158">
        <v>27.7545732382621</v>
      </c>
      <c r="AG1158">
        <v>2.4358520000000001</v>
      </c>
      <c r="AH1158">
        <v>213.63781947038601</v>
      </c>
      <c r="AI1158">
        <v>89.352197635375404</v>
      </c>
      <c r="AJ1158">
        <v>82.597925676014199</v>
      </c>
      <c r="AK1158">
        <v>215.44690208648899</v>
      </c>
      <c r="AL1158">
        <v>91.920381776313405</v>
      </c>
      <c r="AM1158">
        <v>82.423469818647604</v>
      </c>
      <c r="AN1158">
        <v>1.0000000055764</v>
      </c>
    </row>
    <row r="1159" spans="1:40" x14ac:dyDescent="0.25">
      <c r="A1159" t="str">
        <f>"20190312161247369"</f>
        <v>20190312161247369</v>
      </c>
      <c r="B1159" t="str">
        <f>"1552378367356795"</f>
        <v>1552378367356795</v>
      </c>
      <c r="C1159" t="s">
        <v>40</v>
      </c>
      <c r="D1159">
        <v>5.9986449999999998</v>
      </c>
      <c r="E1159">
        <v>0.50190990000000002</v>
      </c>
      <c r="F1159" t="s">
        <v>64</v>
      </c>
      <c r="G1159">
        <v>-229.0403</v>
      </c>
      <c r="H1159">
        <v>1.1880569999999999</v>
      </c>
      <c r="I1159">
        <v>119.3841</v>
      </c>
      <c r="J1159">
        <v>-191.92689999999999</v>
      </c>
      <c r="K1159">
        <v>1.10954</v>
      </c>
      <c r="L1159">
        <v>331.1857</v>
      </c>
      <c r="M1159">
        <v>-4.2178800000000002E-2</v>
      </c>
      <c r="N1159">
        <v>0</v>
      </c>
      <c r="O1159">
        <v>-0.99902100000000005</v>
      </c>
      <c r="P1159">
        <v>-0.1743236</v>
      </c>
      <c r="Q1159">
        <v>-4.5565330000000001E-2</v>
      </c>
      <c r="R1159">
        <v>-0.98363389999999995</v>
      </c>
      <c r="S1159">
        <v>-0.51739499999999905</v>
      </c>
      <c r="T1159">
        <v>1.096964E-3</v>
      </c>
      <c r="U1159">
        <v>-2.958405</v>
      </c>
      <c r="V1159">
        <v>0.1326416</v>
      </c>
      <c r="W1159">
        <v>-3.2482999999999998E-2</v>
      </c>
      <c r="X1159">
        <v>0.99063159999999895</v>
      </c>
      <c r="Y1159">
        <v>0.13056989999999999</v>
      </c>
      <c r="Z1159">
        <v>-3.6593699999999999E-4</v>
      </c>
      <c r="AA1159">
        <v>0.99143899999999996</v>
      </c>
      <c r="AB1159">
        <v>27</v>
      </c>
      <c r="AC1159">
        <v>-37.113399999999999</v>
      </c>
      <c r="AD1159">
        <v>7.8516999999999906E-2</v>
      </c>
      <c r="AE1159">
        <v>-211.80160000000001</v>
      </c>
      <c r="AF1159">
        <v>28.146029875766001</v>
      </c>
      <c r="AG1159">
        <v>7.8516999999999906E-2</v>
      </c>
      <c r="AH1159">
        <v>213.17858920284701</v>
      </c>
      <c r="AI1159">
        <v>89.979078634277698</v>
      </c>
      <c r="AJ1159">
        <v>82.4787241985468</v>
      </c>
      <c r="AK1159">
        <v>215.02864008592701</v>
      </c>
      <c r="AL1159">
        <v>91.861466344012499</v>
      </c>
      <c r="AM1159">
        <v>82.373684155730103</v>
      </c>
      <c r="AN1159">
        <v>0.99999995312905798</v>
      </c>
    </row>
    <row r="1160" spans="1:40" x14ac:dyDescent="0.25">
      <c r="A1160" t="str">
        <f>"20190312161247416"</f>
        <v>20190312161247416</v>
      </c>
      <c r="B1160" t="str">
        <f>"1552378367406572"</f>
        <v>1552378367406572</v>
      </c>
      <c r="C1160" t="s">
        <v>40</v>
      </c>
      <c r="D1160">
        <v>5.8265320000000003</v>
      </c>
      <c r="E1160">
        <v>0.50309129999999902</v>
      </c>
      <c r="F1160" t="s">
        <v>41</v>
      </c>
      <c r="G1160">
        <v>-210.18610000000001</v>
      </c>
      <c r="H1160">
        <v>-0.05</v>
      </c>
      <c r="I1160">
        <v>231.5127</v>
      </c>
      <c r="J1160">
        <v>-191.95179999999999</v>
      </c>
      <c r="K1160">
        <v>1.109761</v>
      </c>
      <c r="L1160">
        <v>330.62189999999998</v>
      </c>
      <c r="M1160">
        <v>-4.2842900000000003E-2</v>
      </c>
      <c r="N1160">
        <v>0</v>
      </c>
      <c r="O1160">
        <v>-0.99899020000000005</v>
      </c>
      <c r="P1160">
        <v>-0.17612249999999999</v>
      </c>
      <c r="Q1160">
        <v>-4.5249079999999997E-2</v>
      </c>
      <c r="R1160">
        <v>-0.98332770000000003</v>
      </c>
      <c r="S1160">
        <v>-0.54086299999999998</v>
      </c>
      <c r="T1160">
        <v>-3.4347179999999998E-2</v>
      </c>
      <c r="U1160">
        <v>-2.9524539999999999</v>
      </c>
      <c r="V1160">
        <v>0.13380999999999901</v>
      </c>
      <c r="W1160">
        <v>-3.1930880000000002E-2</v>
      </c>
      <c r="X1160">
        <v>0.9904925</v>
      </c>
      <c r="Y1160">
        <v>0.13786970000000001</v>
      </c>
      <c r="Z1160">
        <v>1.146572E-2</v>
      </c>
      <c r="AA1160">
        <v>0.99038400000000004</v>
      </c>
      <c r="AB1160">
        <v>27</v>
      </c>
      <c r="AC1160">
        <v>-18.234300000000001</v>
      </c>
      <c r="AD1160">
        <v>-1.159761</v>
      </c>
      <c r="AE1160">
        <v>-99.109200000000001</v>
      </c>
      <c r="AF1160">
        <v>13.9691901119569</v>
      </c>
      <c r="AG1160">
        <v>-1.159761</v>
      </c>
      <c r="AH1160">
        <v>99.786248511260496</v>
      </c>
      <c r="AI1160">
        <v>90.659457595065405</v>
      </c>
      <c r="AJ1160">
        <v>82.030887811343305</v>
      </c>
      <c r="AK1160">
        <v>100.76596007537501</v>
      </c>
      <c r="AL1160">
        <v>91.829815608781502</v>
      </c>
      <c r="AM1160">
        <v>82.306239816060796</v>
      </c>
      <c r="AN1160">
        <v>1.00000004487691</v>
      </c>
    </row>
    <row r="1161" spans="1:40" x14ac:dyDescent="0.25">
      <c r="A1161" t="str">
        <f>"20190312161247438"</f>
        <v>20190312161247438</v>
      </c>
      <c r="B1161" t="str">
        <f>"1552378367427067"</f>
        <v>1552378367427067</v>
      </c>
      <c r="C1161" t="s">
        <v>40</v>
      </c>
      <c r="D1161">
        <v>5.8411030000000004</v>
      </c>
      <c r="E1161">
        <v>0.50333649999999996</v>
      </c>
      <c r="F1161" t="s">
        <v>63</v>
      </c>
      <c r="G1161">
        <v>-201.91890000000001</v>
      </c>
      <c r="H1161">
        <v>8.0001290000000003E-2</v>
      </c>
      <c r="I1161">
        <v>277.65010000000001</v>
      </c>
      <c r="J1161">
        <v>-191.96369999999999</v>
      </c>
      <c r="K1161">
        <v>1.1098539999999999</v>
      </c>
      <c r="L1161">
        <v>330.35039999999998</v>
      </c>
      <c r="M1161">
        <v>-4.2992629999999997E-2</v>
      </c>
      <c r="N1161">
        <v>0</v>
      </c>
      <c r="O1161">
        <v>-0.99898299999999995</v>
      </c>
      <c r="P1161">
        <v>-0.17622090000000001</v>
      </c>
      <c r="Q1161">
        <v>-4.5180980000000003E-2</v>
      </c>
      <c r="R1161">
        <v>-0.98331310000000005</v>
      </c>
      <c r="S1161">
        <v>-0.55485530000000005</v>
      </c>
      <c r="T1161">
        <v>-5.732512E-2</v>
      </c>
      <c r="U1161">
        <v>-2.9488530000000002</v>
      </c>
      <c r="V1161">
        <v>0.1337671</v>
      </c>
      <c r="W1161">
        <v>-3.1768850000000001E-2</v>
      </c>
      <c r="X1161">
        <v>0.99050349999999998</v>
      </c>
      <c r="Y1161">
        <v>0.1424549</v>
      </c>
      <c r="Z1161">
        <v>1.9142220000000001E-2</v>
      </c>
      <c r="AA1161">
        <v>0.98961619999999995</v>
      </c>
      <c r="AB1161">
        <v>27</v>
      </c>
      <c r="AC1161">
        <v>-9.9552000000000191</v>
      </c>
      <c r="AD1161">
        <v>-1.0298527099999999</v>
      </c>
      <c r="AE1161">
        <v>-52.700299999999899</v>
      </c>
      <c r="AF1161">
        <v>7.6772292145377596</v>
      </c>
      <c r="AG1161">
        <v>-1.0298527099999999</v>
      </c>
      <c r="AH1161">
        <v>53.060039183194299</v>
      </c>
      <c r="AI1161">
        <v>91.100468758934895</v>
      </c>
      <c r="AJ1161">
        <v>81.767038940134896</v>
      </c>
      <c r="AK1161">
        <v>53.622459875867001</v>
      </c>
      <c r="AL1161">
        <v>91.820527270255198</v>
      </c>
      <c r="AM1161">
        <v>82.308761327562095</v>
      </c>
      <c r="AN1161">
        <v>1.00000004019249</v>
      </c>
    </row>
    <row r="1162" spans="1:40" x14ac:dyDescent="0.25">
      <c r="A1162" t="str">
        <f>"20190312161247462"</f>
        <v>20190312161247462</v>
      </c>
      <c r="B1162" t="str">
        <f>"1552378367457323"</f>
        <v>1552378367457323</v>
      </c>
      <c r="C1162" t="s">
        <v>40</v>
      </c>
      <c r="D1162">
        <v>5.725384</v>
      </c>
      <c r="E1162">
        <v>0.50353499999999995</v>
      </c>
      <c r="F1162" t="s">
        <v>63</v>
      </c>
      <c r="G1162">
        <v>-201.47229999999999</v>
      </c>
      <c r="H1162" s="1">
        <v>3.271265E-6</v>
      </c>
      <c r="I1162">
        <v>280.02519999999998</v>
      </c>
      <c r="J1162">
        <v>-191.9761</v>
      </c>
      <c r="K1162">
        <v>1.109934</v>
      </c>
      <c r="L1162">
        <v>330.0652</v>
      </c>
      <c r="M1162">
        <v>-4.3044310000000002E-2</v>
      </c>
      <c r="N1162">
        <v>0</v>
      </c>
      <c r="O1162">
        <v>-0.99898019999999998</v>
      </c>
      <c r="P1162">
        <v>-0.1761616</v>
      </c>
      <c r="Q1162">
        <v>-4.5359429999999999E-2</v>
      </c>
      <c r="R1162">
        <v>-0.98331590000000002</v>
      </c>
      <c r="S1162">
        <v>-0.55702209999999996</v>
      </c>
      <c r="T1162">
        <v>-6.5015909999999996E-2</v>
      </c>
      <c r="U1162">
        <v>-2.9480900000000001</v>
      </c>
      <c r="V1162">
        <v>0.13366239999999999</v>
      </c>
      <c r="W1162">
        <v>-3.1861229999999997E-2</v>
      </c>
      <c r="X1162">
        <v>0.99051460000000002</v>
      </c>
      <c r="Y1162">
        <v>0.14314279999999999</v>
      </c>
      <c r="Z1162">
        <v>2.1712100000000002E-2</v>
      </c>
      <c r="AA1162">
        <v>0.98946389999999995</v>
      </c>
      <c r="AB1162">
        <v>27</v>
      </c>
      <c r="AC1162">
        <v>-9.4961999999999804</v>
      </c>
      <c r="AD1162">
        <v>-1.109930728735</v>
      </c>
      <c r="AE1162">
        <v>-50.04</v>
      </c>
      <c r="AF1162">
        <v>7.32977877300711</v>
      </c>
      <c r="AG1162">
        <v>-1.109930728735</v>
      </c>
      <c r="AH1162">
        <v>50.378483692292498</v>
      </c>
      <c r="AI1162">
        <v>91.248981188732401</v>
      </c>
      <c r="AJ1162">
        <v>81.721880449101306</v>
      </c>
      <c r="AK1162">
        <v>50.921009634711602</v>
      </c>
      <c r="AL1162">
        <v>91.825823055890993</v>
      </c>
      <c r="AM1162">
        <v>82.314794407650695</v>
      </c>
      <c r="AN1162">
        <v>0.99999997398201601</v>
      </c>
    </row>
    <row r="1163" spans="1:40" x14ac:dyDescent="0.25">
      <c r="A1163" t="str">
        <f>"20190312161247483"</f>
        <v>20190312161247483</v>
      </c>
      <c r="B1163" t="str">
        <f>"1552378367476844"</f>
        <v>1552378367476844</v>
      </c>
      <c r="C1163" t="s">
        <v>40</v>
      </c>
      <c r="D1163">
        <v>5.8407439999999999</v>
      </c>
      <c r="E1163">
        <v>0.50369470000000005</v>
      </c>
      <c r="F1163" t="s">
        <v>63</v>
      </c>
      <c r="G1163">
        <v>-200.4761</v>
      </c>
      <c r="H1163" s="1">
        <v>2.3805159999999999E-6</v>
      </c>
      <c r="I1163">
        <v>285.16079999999999</v>
      </c>
      <c r="J1163">
        <v>-191.9872</v>
      </c>
      <c r="K1163">
        <v>1.110004</v>
      </c>
      <c r="L1163">
        <v>329.81009999999998</v>
      </c>
      <c r="M1163">
        <v>-4.3000789999999997E-2</v>
      </c>
      <c r="N1163">
        <v>0</v>
      </c>
      <c r="O1163">
        <v>-0.99898120000000001</v>
      </c>
      <c r="P1163">
        <v>-0.1754252</v>
      </c>
      <c r="Q1163">
        <v>-4.5721240000000003E-2</v>
      </c>
      <c r="R1163">
        <v>-0.98343049999999999</v>
      </c>
      <c r="S1163">
        <v>-0.55795289999999997</v>
      </c>
      <c r="T1163">
        <v>-7.2857859999999997E-2</v>
      </c>
      <c r="U1163">
        <v>-2.9476010000000001</v>
      </c>
      <c r="V1163">
        <v>0.13297020000000001</v>
      </c>
      <c r="W1163">
        <v>-3.2153899999999999E-2</v>
      </c>
      <c r="X1163">
        <v>0.99059830000000004</v>
      </c>
      <c r="Y1163">
        <v>0.1435062</v>
      </c>
      <c r="Z1163">
        <v>2.4332110000000001E-2</v>
      </c>
      <c r="AA1163">
        <v>0.98935030000000002</v>
      </c>
      <c r="AB1163">
        <v>27</v>
      </c>
      <c r="AC1163">
        <v>-8.4888999999999992</v>
      </c>
      <c r="AD1163">
        <v>-1.1100016194839999</v>
      </c>
      <c r="AE1163">
        <v>-44.649299999999897</v>
      </c>
      <c r="AF1163">
        <v>6.5570003056294901</v>
      </c>
      <c r="AG1163">
        <v>-1.1100016194839999</v>
      </c>
      <c r="AH1163">
        <v>44.946247413191699</v>
      </c>
      <c r="AI1163">
        <v>91.399888423900293</v>
      </c>
      <c r="AJ1163">
        <v>81.699935194390406</v>
      </c>
      <c r="AK1163">
        <v>45.435575413228001</v>
      </c>
      <c r="AL1163">
        <v>91.842600416398298</v>
      </c>
      <c r="AM1163">
        <v>82.354760303718393</v>
      </c>
      <c r="AN1163">
        <v>0.99999996966806903</v>
      </c>
    </row>
    <row r="1164" spans="1:40" x14ac:dyDescent="0.25">
      <c r="A1164" t="str">
        <f>"20190312161247503"</f>
        <v>20190312161247503</v>
      </c>
      <c r="B1164" t="str">
        <f>"1552378367496364"</f>
        <v>1552378367496364</v>
      </c>
      <c r="C1164" t="s">
        <v>40</v>
      </c>
      <c r="D1164">
        <v>5.840776</v>
      </c>
      <c r="E1164">
        <v>0.50391929999999996</v>
      </c>
      <c r="F1164" t="s">
        <v>63</v>
      </c>
      <c r="G1164">
        <v>-199.7559</v>
      </c>
      <c r="H1164" s="1">
        <v>1.8763079999999999E-6</v>
      </c>
      <c r="I1164">
        <v>288.70870000000002</v>
      </c>
      <c r="J1164">
        <v>-191.9975</v>
      </c>
      <c r="K1164">
        <v>1.1100680000000001</v>
      </c>
      <c r="L1164">
        <v>329.56709999999998</v>
      </c>
      <c r="M1164">
        <v>-4.2879929999999997E-2</v>
      </c>
      <c r="N1164">
        <v>0</v>
      </c>
      <c r="O1164">
        <v>-0.99898600000000004</v>
      </c>
      <c r="P1164">
        <v>-0.174705</v>
      </c>
      <c r="Q1164">
        <v>-4.620266E-2</v>
      </c>
      <c r="R1164">
        <v>-0.98353670000000004</v>
      </c>
      <c r="S1164">
        <v>-0.55711359999999999</v>
      </c>
      <c r="T1164">
        <v>-7.960093E-2</v>
      </c>
      <c r="U1164">
        <v>-2.947479</v>
      </c>
      <c r="V1164">
        <v>0.13237090000000001</v>
      </c>
      <c r="W1164">
        <v>-3.2575489999999999E-2</v>
      </c>
      <c r="X1164">
        <v>0.99066480000000001</v>
      </c>
      <c r="Y1164">
        <v>0.143350799999999</v>
      </c>
      <c r="Z1164">
        <v>2.6584819999999999E-2</v>
      </c>
      <c r="AA1164">
        <v>0.98931480000000005</v>
      </c>
      <c r="AB1164">
        <v>27</v>
      </c>
      <c r="AC1164">
        <v>-7.7583999999999902</v>
      </c>
      <c r="AD1164">
        <v>-1.110066123692</v>
      </c>
      <c r="AE1164">
        <v>-40.858399999999897</v>
      </c>
      <c r="AF1164">
        <v>5.9948214586070998</v>
      </c>
      <c r="AG1164">
        <v>-1.110066123692</v>
      </c>
      <c r="AH1164">
        <v>41.124224909750197</v>
      </c>
      <c r="AI1164">
        <v>91.530046003121299</v>
      </c>
      <c r="AJ1164">
        <v>81.706212877167602</v>
      </c>
      <c r="AK1164">
        <v>41.573693672167998</v>
      </c>
      <c r="AL1164">
        <v>91.866768383251596</v>
      </c>
      <c r="AM1164">
        <v>82.389317677035393</v>
      </c>
      <c r="AN1164">
        <v>0.99999998183729399</v>
      </c>
    </row>
    <row r="1165" spans="1:40" x14ac:dyDescent="0.25">
      <c r="A1165" t="str">
        <f>"20190312161247525"</f>
        <v>20190312161247525</v>
      </c>
      <c r="B1165" t="str">
        <f>"1552378367516860"</f>
        <v>1552378367516860</v>
      </c>
      <c r="C1165" t="s">
        <v>40</v>
      </c>
      <c r="D1165">
        <v>5.7391949999999996</v>
      </c>
      <c r="E1165">
        <v>0.50407659999999999</v>
      </c>
      <c r="F1165" t="s">
        <v>63</v>
      </c>
      <c r="G1165">
        <v>-199.25040000000001</v>
      </c>
      <c r="H1165" s="1">
        <v>1.552464E-6</v>
      </c>
      <c r="I1165">
        <v>291.15750000000003</v>
      </c>
      <c r="J1165">
        <v>-192.00919999999999</v>
      </c>
      <c r="K1165">
        <v>1.110144</v>
      </c>
      <c r="L1165">
        <v>329.29239999999999</v>
      </c>
      <c r="M1165">
        <v>-4.2655739999999998E-2</v>
      </c>
      <c r="N1165">
        <v>0</v>
      </c>
      <c r="O1165">
        <v>-0.99899490000000002</v>
      </c>
      <c r="P1165">
        <v>-0.17381289999999999</v>
      </c>
      <c r="Q1165">
        <v>-4.6843599999999999E-2</v>
      </c>
      <c r="R1165">
        <v>-0.98366419999999999</v>
      </c>
      <c r="S1165">
        <v>-0.55654910000000002</v>
      </c>
      <c r="T1165">
        <v>-8.5180759999999994E-2</v>
      </c>
      <c r="U1165">
        <v>-2.9473569999999998</v>
      </c>
      <c r="V1165">
        <v>0.1317025</v>
      </c>
      <c r="W1165">
        <v>-3.3154139999999999E-2</v>
      </c>
      <c r="X1165">
        <v>0.99073469999999997</v>
      </c>
      <c r="Y1165">
        <v>0.14338779999999901</v>
      </c>
      <c r="Z1165">
        <v>2.8448870000000001E-2</v>
      </c>
      <c r="AA1165">
        <v>0.98925759999999996</v>
      </c>
      <c r="AB1165">
        <v>27</v>
      </c>
      <c r="AC1165">
        <v>-7.2412000000000099</v>
      </c>
      <c r="AD1165">
        <v>-1.110142447536</v>
      </c>
      <c r="AE1165">
        <v>-38.134899999999902</v>
      </c>
      <c r="AF1165">
        <v>5.6031981912164799</v>
      </c>
      <c r="AG1165">
        <v>-1.110142447536</v>
      </c>
      <c r="AH1165">
        <v>38.3777009975569</v>
      </c>
      <c r="AI1165">
        <v>91.639546236221406</v>
      </c>
      <c r="AJ1165">
        <v>81.6934261046773</v>
      </c>
      <c r="AK1165">
        <v>38.800466235365697</v>
      </c>
      <c r="AL1165">
        <v>91.899940480271198</v>
      </c>
      <c r="AM1165">
        <v>82.427828415018794</v>
      </c>
      <c r="AN1165">
        <v>0.99999999564473896</v>
      </c>
    </row>
    <row r="1166" spans="1:40" x14ac:dyDescent="0.25">
      <c r="A1166" t="str">
        <f>"20190312161247549"</f>
        <v>20190312161247549</v>
      </c>
      <c r="B1166" t="str">
        <f>"1552378367536383"</f>
        <v>1552378367536383</v>
      </c>
      <c r="C1166" t="s">
        <v>40</v>
      </c>
      <c r="D1166">
        <v>5.6880350000000002</v>
      </c>
      <c r="E1166">
        <v>0.50421939999999998</v>
      </c>
      <c r="F1166" t="s">
        <v>63</v>
      </c>
      <c r="G1166">
        <v>-198.8691</v>
      </c>
      <c r="H1166" s="1">
        <v>1.2875839999999999E-6</v>
      </c>
      <c r="I1166">
        <v>292.8535</v>
      </c>
      <c r="J1166">
        <v>-192.0205</v>
      </c>
      <c r="K1166">
        <v>1.11022</v>
      </c>
      <c r="L1166">
        <v>329.02159999999998</v>
      </c>
      <c r="M1166">
        <v>-4.2343140000000001E-2</v>
      </c>
      <c r="N1166">
        <v>0</v>
      </c>
      <c r="O1166">
        <v>-0.99900789999999995</v>
      </c>
      <c r="P1166">
        <v>-0.17351839999999999</v>
      </c>
      <c r="Q1166">
        <v>-4.7332850000000003E-2</v>
      </c>
      <c r="R1166">
        <v>-0.98369280000000003</v>
      </c>
      <c r="S1166">
        <v>-0.55490109999999904</v>
      </c>
      <c r="T1166">
        <v>-8.9799519999999994E-2</v>
      </c>
      <c r="U1166">
        <v>-2.94754</v>
      </c>
      <c r="V1166">
        <v>0.13172300000000001</v>
      </c>
      <c r="W1166">
        <v>-3.3588420000000001E-2</v>
      </c>
      <c r="X1166">
        <v>0.99071739999999997</v>
      </c>
      <c r="Y1166">
        <v>0.14314379999999999</v>
      </c>
      <c r="Z1166">
        <v>2.9990929999999999E-2</v>
      </c>
      <c r="AA1166">
        <v>0.9892474</v>
      </c>
      <c r="AB1166">
        <v>27</v>
      </c>
      <c r="AC1166">
        <v>-6.8486000000000002</v>
      </c>
      <c r="AD1166">
        <v>-1.1102187124159999</v>
      </c>
      <c r="AE1166">
        <v>-36.168099999999903</v>
      </c>
      <c r="AF1166">
        <v>5.3060133344580702</v>
      </c>
      <c r="AG1166">
        <v>-1.1102187124159999</v>
      </c>
      <c r="AH1166">
        <v>36.392570538721401</v>
      </c>
      <c r="AI1166">
        <v>91.729095390422202</v>
      </c>
      <c r="AJ1166">
        <v>81.704761277452903</v>
      </c>
      <c r="AK1166">
        <v>36.794096720950499</v>
      </c>
      <c r="AL1166">
        <v>91.924836656226404</v>
      </c>
      <c r="AM1166">
        <v>82.426532745550503</v>
      </c>
      <c r="AN1166">
        <v>1.0000000486749201</v>
      </c>
    </row>
    <row r="1167" spans="1:40" x14ac:dyDescent="0.25">
      <c r="A1167" t="str">
        <f>"20190312161247570"</f>
        <v>20190312161247570</v>
      </c>
      <c r="B1167" t="str">
        <f>"1552378367566637"</f>
        <v>1552378367566637</v>
      </c>
      <c r="C1167" t="s">
        <v>40</v>
      </c>
      <c r="D1167">
        <v>5.6847459999999996</v>
      </c>
      <c r="E1167">
        <v>0.50441069999999999</v>
      </c>
      <c r="F1167" t="s">
        <v>63</v>
      </c>
      <c r="G1167">
        <v>-198.64269999999999</v>
      </c>
      <c r="H1167" s="1">
        <v>1.129096E-6</v>
      </c>
      <c r="I1167">
        <v>293.86750000000001</v>
      </c>
      <c r="J1167">
        <v>-192.03139999999999</v>
      </c>
      <c r="K1167">
        <v>1.1103000000000001</v>
      </c>
      <c r="L1167">
        <v>328.75299999999999</v>
      </c>
      <c r="M1167">
        <v>-4.1934569999999997E-2</v>
      </c>
      <c r="N1167">
        <v>0</v>
      </c>
      <c r="O1167">
        <v>-0.99902449999999998</v>
      </c>
      <c r="P1167">
        <v>-0.1729899</v>
      </c>
      <c r="Q1167">
        <v>-4.7231969999999998E-2</v>
      </c>
      <c r="R1167">
        <v>-0.98379030000000001</v>
      </c>
      <c r="S1167">
        <v>-0.55520630000000004</v>
      </c>
      <c r="T1167">
        <v>-9.3080999999999997E-2</v>
      </c>
      <c r="U1167">
        <v>-2.947327</v>
      </c>
      <c r="V1167">
        <v>0.13160150000000001</v>
      </c>
      <c r="W1167">
        <v>-3.3438559999999999E-2</v>
      </c>
      <c r="X1167">
        <v>0.99073860000000002</v>
      </c>
      <c r="Y1167">
        <v>0.14365429999999901</v>
      </c>
      <c r="Z1167">
        <v>3.1087380000000001E-2</v>
      </c>
      <c r="AA1167">
        <v>0.98913960000000001</v>
      </c>
      <c r="AB1167">
        <v>27</v>
      </c>
      <c r="AC1167">
        <v>-6.6113</v>
      </c>
      <c r="AD1167">
        <v>-1.110298870904</v>
      </c>
      <c r="AE1167">
        <v>-34.8855</v>
      </c>
      <c r="AF1167">
        <v>5.1374112107592902</v>
      </c>
      <c r="AG1167">
        <v>-1.110298870904</v>
      </c>
      <c r="AH1167">
        <v>35.097756173784397</v>
      </c>
      <c r="AI1167">
        <v>91.792825694483497</v>
      </c>
      <c r="AJ1167">
        <v>81.672504979638006</v>
      </c>
      <c r="AK1167">
        <v>35.489128560244801</v>
      </c>
      <c r="AL1167">
        <v>91.916245515564896</v>
      </c>
      <c r="AM1167">
        <v>82.433597496855697</v>
      </c>
      <c r="AN1167">
        <v>1.0000000328135401</v>
      </c>
    </row>
    <row r="1168" spans="1:40" x14ac:dyDescent="0.25">
      <c r="A1168" t="str">
        <f>"20190312161247592"</f>
        <v>20190312161247592</v>
      </c>
      <c r="B1168" t="str">
        <f>"1552378367587132"</f>
        <v>1552378367587132</v>
      </c>
      <c r="C1168" t="s">
        <v>40</v>
      </c>
      <c r="D1168">
        <v>5.6399359999999996</v>
      </c>
      <c r="E1168">
        <v>0.5046001</v>
      </c>
      <c r="F1168" t="s">
        <v>63</v>
      </c>
      <c r="G1168">
        <v>-198.5898</v>
      </c>
      <c r="H1168" s="1">
        <v>1.124837E-6</v>
      </c>
      <c r="I1168">
        <v>293.91829999999999</v>
      </c>
      <c r="J1168">
        <v>-192.0421</v>
      </c>
      <c r="K1168">
        <v>1.1103609999999999</v>
      </c>
      <c r="L1168">
        <v>328.48770000000002</v>
      </c>
      <c r="M1168">
        <v>-4.1457859999999999E-2</v>
      </c>
      <c r="N1168">
        <v>0</v>
      </c>
      <c r="O1168">
        <v>-0.99904440000000005</v>
      </c>
      <c r="P1168">
        <v>-0.1727398</v>
      </c>
      <c r="Q1168">
        <v>-4.7068499999999999E-2</v>
      </c>
      <c r="R1168">
        <v>-0.98384260000000001</v>
      </c>
      <c r="S1168">
        <v>-0.55490109999999904</v>
      </c>
      <c r="T1168">
        <v>-9.3942049999999999E-2</v>
      </c>
      <c r="U1168">
        <v>-2.9473569999999998</v>
      </c>
      <c r="V1168">
        <v>0.13182639999999901</v>
      </c>
      <c r="W1168">
        <v>-3.3234390000000003E-2</v>
      </c>
      <c r="X1168">
        <v>0.99071560000000003</v>
      </c>
      <c r="Y1168">
        <v>0.14402409999999999</v>
      </c>
      <c r="Z1168">
        <v>3.137475E-2</v>
      </c>
      <c r="AA1168">
        <v>0.98907670000000003</v>
      </c>
      <c r="AB1168">
        <v>27</v>
      </c>
      <c r="AC1168">
        <v>-6.5476999999999901</v>
      </c>
      <c r="AD1168">
        <v>-1.1103598751629999</v>
      </c>
      <c r="AE1168">
        <v>-34.569400000000002</v>
      </c>
      <c r="AF1168">
        <v>5.1036759500020201</v>
      </c>
      <c r="AG1168">
        <v>-1.1103598751629999</v>
      </c>
      <c r="AH1168">
        <v>34.776517424333001</v>
      </c>
      <c r="AI1168">
        <v>91.809375712444407</v>
      </c>
      <c r="AJ1168">
        <v>81.651076296396198</v>
      </c>
      <c r="AK1168">
        <v>35.166554727751397</v>
      </c>
      <c r="AL1168">
        <v>91.904540874962294</v>
      </c>
      <c r="AM1168">
        <v>82.420643196547502</v>
      </c>
      <c r="AN1168">
        <v>1.00000006224949</v>
      </c>
    </row>
    <row r="1169" spans="1:40" x14ac:dyDescent="0.25">
      <c r="A1169" t="str">
        <f>"20190312161247616"</f>
        <v>20190312161247616</v>
      </c>
      <c r="B1169" t="str">
        <f>"1552378367606652"</f>
        <v>1552378367606652</v>
      </c>
      <c r="C1169" t="s">
        <v>40</v>
      </c>
      <c r="D1169">
        <v>5.4880079999999998</v>
      </c>
      <c r="E1169">
        <v>0.5048009</v>
      </c>
      <c r="F1169" t="s">
        <v>63</v>
      </c>
      <c r="G1169">
        <v>-198.5538</v>
      </c>
      <c r="H1169" s="1">
        <v>1.124606E-6</v>
      </c>
      <c r="I1169">
        <v>293.93770000000001</v>
      </c>
      <c r="J1169">
        <v>-192.053</v>
      </c>
      <c r="K1169">
        <v>1.110417</v>
      </c>
      <c r="L1169">
        <v>328.2097</v>
      </c>
      <c r="M1169">
        <v>-4.0881199999999902E-2</v>
      </c>
      <c r="N1169">
        <v>0</v>
      </c>
      <c r="O1169">
        <v>-0.9990677</v>
      </c>
      <c r="P1169">
        <v>-0.1726075</v>
      </c>
      <c r="Q1169">
        <v>-4.7015559999999998E-2</v>
      </c>
      <c r="R1169">
        <v>-0.98386799999999996</v>
      </c>
      <c r="S1169">
        <v>-0.55546569999999995</v>
      </c>
      <c r="T1169">
        <v>-9.4716549999999997E-2</v>
      </c>
      <c r="U1169">
        <v>-2.9472049999999999</v>
      </c>
      <c r="V1169">
        <v>0.13226879999999999</v>
      </c>
      <c r="W1169">
        <v>-3.314545E-2</v>
      </c>
      <c r="X1169">
        <v>0.99065950000000003</v>
      </c>
      <c r="Y1169">
        <v>0.144786</v>
      </c>
      <c r="Z1169">
        <v>3.163357E-2</v>
      </c>
      <c r="AA1169">
        <v>0.98895719999999998</v>
      </c>
      <c r="AB1169">
        <v>27</v>
      </c>
      <c r="AC1169">
        <v>-6.5007999999999901</v>
      </c>
      <c r="AD1169">
        <v>-1.1104158753940001</v>
      </c>
      <c r="AE1169">
        <v>-34.271999999999899</v>
      </c>
      <c r="AF1169">
        <v>5.0889923326347501</v>
      </c>
      <c r="AG1169">
        <v>-1.1104158753940001</v>
      </c>
      <c r="AH1169">
        <v>34.474196699614502</v>
      </c>
      <c r="AI1169">
        <v>91.825098040098098</v>
      </c>
      <c r="AJ1169">
        <v>81.602788095841007</v>
      </c>
      <c r="AK1169">
        <v>34.865471522147097</v>
      </c>
      <c r="AL1169">
        <v>91.899442391690101</v>
      </c>
      <c r="AM1169">
        <v>82.3950789913835</v>
      </c>
      <c r="AN1169">
        <v>0.99999995062469504</v>
      </c>
    </row>
    <row r="1170" spans="1:40" x14ac:dyDescent="0.25">
      <c r="A1170" t="str">
        <f>"20190312161247638"</f>
        <v>20190312161247638</v>
      </c>
      <c r="B1170" t="str">
        <f>"1552378367627148"</f>
        <v>1552378367627148</v>
      </c>
      <c r="C1170" t="s">
        <v>40</v>
      </c>
      <c r="D1170">
        <v>5.5912569999999997</v>
      </c>
      <c r="E1170">
        <v>0.50496350000000001</v>
      </c>
      <c r="F1170" t="s">
        <v>63</v>
      </c>
      <c r="G1170">
        <v>-198.4967</v>
      </c>
      <c r="H1170" s="1">
        <v>1.0989270000000001E-6</v>
      </c>
      <c r="I1170">
        <v>294.11219999999997</v>
      </c>
      <c r="J1170">
        <v>-192.0635</v>
      </c>
      <c r="K1170">
        <v>1.110479</v>
      </c>
      <c r="L1170">
        <v>327.93699999999899</v>
      </c>
      <c r="M1170">
        <v>-4.023682E-2</v>
      </c>
      <c r="N1170">
        <v>0</v>
      </c>
      <c r="O1170">
        <v>-0.99909360000000003</v>
      </c>
      <c r="P1170">
        <v>-0.17198379999999999</v>
      </c>
      <c r="Q1170">
        <v>-4.6635950000000002E-2</v>
      </c>
      <c r="R1170">
        <v>-0.98399539999999996</v>
      </c>
      <c r="S1170">
        <v>-0.55689999999999995</v>
      </c>
      <c r="T1170">
        <v>-9.5967529999999995E-2</v>
      </c>
      <c r="U1170">
        <v>-2.946869</v>
      </c>
      <c r="V1170">
        <v>0.1322826</v>
      </c>
      <c r="W1170">
        <v>-3.273359E-2</v>
      </c>
      <c r="X1170">
        <v>0.99067139999999998</v>
      </c>
      <c r="Y1170">
        <v>0.14590690000000001</v>
      </c>
      <c r="Z1170">
        <v>3.2051700000000002E-2</v>
      </c>
      <c r="AA1170">
        <v>0.98877899999999996</v>
      </c>
      <c r="AB1170">
        <v>27</v>
      </c>
      <c r="AC1170">
        <v>-6.4331999999999896</v>
      </c>
      <c r="AD1170">
        <v>-1.1104779010729999</v>
      </c>
      <c r="AE1170">
        <v>-33.824799999999897</v>
      </c>
      <c r="AF1170">
        <v>5.0615904049481104</v>
      </c>
      <c r="AG1170">
        <v>-1.1104779010729999</v>
      </c>
      <c r="AH1170">
        <v>34.020890352692199</v>
      </c>
      <c r="AI1170">
        <v>91.849191481320403</v>
      </c>
      <c r="AJ1170">
        <v>81.537671339193096</v>
      </c>
      <c r="AK1170">
        <v>34.413279980062001</v>
      </c>
      <c r="AL1170">
        <v>91.875831648412799</v>
      </c>
      <c r="AM1170">
        <v>82.394385125555203</v>
      </c>
      <c r="AN1170">
        <v>0.99999999847750398</v>
      </c>
    </row>
    <row r="1171" spans="1:40" x14ac:dyDescent="0.25">
      <c r="A1171" t="str">
        <f>"20190312161247662"</f>
        <v>20190312161247662</v>
      </c>
      <c r="B1171" t="str">
        <f>"1552378367656428"</f>
        <v>1552378367656428</v>
      </c>
      <c r="C1171" t="s">
        <v>40</v>
      </c>
      <c r="D1171">
        <v>5.6040929999999998</v>
      </c>
      <c r="E1171">
        <v>0.50504780000000005</v>
      </c>
      <c r="F1171" t="s">
        <v>63</v>
      </c>
      <c r="G1171">
        <v>-198.55279999999999</v>
      </c>
      <c r="H1171" s="1">
        <v>1.1929540000000001E-6</v>
      </c>
      <c r="I1171">
        <v>293.55009999999999</v>
      </c>
      <c r="J1171">
        <v>-192.07380000000001</v>
      </c>
      <c r="K1171">
        <v>1.110549</v>
      </c>
      <c r="L1171">
        <v>327.6626</v>
      </c>
      <c r="M1171">
        <v>-3.9506819999999998E-2</v>
      </c>
      <c r="N1171">
        <v>0</v>
      </c>
      <c r="O1171">
        <v>-0.99912290000000004</v>
      </c>
      <c r="P1171">
        <v>-0.17085790000000001</v>
      </c>
      <c r="Q1171">
        <v>-4.6178919999999998E-2</v>
      </c>
      <c r="R1171">
        <v>-0.98421329999999996</v>
      </c>
      <c r="S1171">
        <v>-0.55615230000000004</v>
      </c>
      <c r="T1171">
        <v>-9.5170969999999994E-2</v>
      </c>
      <c r="U1171">
        <v>-2.9470519999999998</v>
      </c>
      <c r="V1171">
        <v>0.13187599999999999</v>
      </c>
      <c r="W1171">
        <v>-3.2244580000000002E-2</v>
      </c>
      <c r="X1171">
        <v>0.99074169999999995</v>
      </c>
      <c r="Y1171">
        <v>0.146377799999999</v>
      </c>
      <c r="Z1171">
        <v>3.1785019999999997E-2</v>
      </c>
      <c r="AA1171">
        <v>0.98871799999999999</v>
      </c>
      <c r="AB1171">
        <v>27</v>
      </c>
      <c r="AC1171">
        <v>-6.4789999999999797</v>
      </c>
      <c r="AD1171">
        <v>-1.110547807046</v>
      </c>
      <c r="AE1171">
        <v>-34.112499999999997</v>
      </c>
      <c r="AF1171">
        <v>5.1208961996612903</v>
      </c>
      <c r="AG1171">
        <v>-1.110547807046</v>
      </c>
      <c r="AH1171">
        <v>34.306758317091798</v>
      </c>
      <c r="AI1171">
        <v>91.833778013235701</v>
      </c>
      <c r="AJ1171">
        <v>81.5102645722652</v>
      </c>
      <c r="AK1171">
        <v>34.704618720665799</v>
      </c>
      <c r="AL1171">
        <v>91.847798537022598</v>
      </c>
      <c r="AM1171">
        <v>82.418022036870696</v>
      </c>
      <c r="AN1171">
        <v>1.0000000542171299</v>
      </c>
    </row>
    <row r="1172" spans="1:40" x14ac:dyDescent="0.25">
      <c r="A1172" t="str">
        <f>"20190312161247684"</f>
        <v>20190312161247684</v>
      </c>
      <c r="B1172" t="str">
        <f>"1552378367676923"</f>
        <v>1552378367676923</v>
      </c>
      <c r="C1172" t="s">
        <v>40</v>
      </c>
      <c r="D1172">
        <v>5.4599320000000002</v>
      </c>
      <c r="E1172">
        <v>0.47085060000000001</v>
      </c>
      <c r="F1172" t="s">
        <v>63</v>
      </c>
      <c r="G1172">
        <v>-198.53819999999999</v>
      </c>
      <c r="H1172" s="1">
        <v>1.248645E-6</v>
      </c>
      <c r="I1172">
        <v>293.24130000000002</v>
      </c>
      <c r="J1172">
        <v>-192.08349999999999</v>
      </c>
      <c r="K1172">
        <v>1.110619</v>
      </c>
      <c r="L1172">
        <v>327.39519999999999</v>
      </c>
      <c r="M1172">
        <v>-3.871629E-2</v>
      </c>
      <c r="N1172">
        <v>0</v>
      </c>
      <c r="O1172">
        <v>-0.99915339999999997</v>
      </c>
      <c r="P1172">
        <v>-0.1699108</v>
      </c>
      <c r="Q1172">
        <v>-4.5753910000000002E-2</v>
      </c>
      <c r="R1172">
        <v>-0.98439659999999995</v>
      </c>
      <c r="S1172">
        <v>-0.55355829999999995</v>
      </c>
      <c r="T1172">
        <v>-9.509861E-2</v>
      </c>
      <c r="U1172">
        <v>-2.9475709999999999</v>
      </c>
      <c r="V1172">
        <v>0.1317101</v>
      </c>
      <c r="W1172">
        <v>-3.1788770000000001E-2</v>
      </c>
      <c r="X1172">
        <v>0.99077839999999995</v>
      </c>
      <c r="Y1172">
        <v>0.14628859999999999</v>
      </c>
      <c r="Z1172">
        <v>3.1759629999999997E-2</v>
      </c>
      <c r="AA1172">
        <v>0.98873200000000006</v>
      </c>
      <c r="AB1172">
        <v>27</v>
      </c>
      <c r="AC1172">
        <v>-6.4546999999999999</v>
      </c>
      <c r="AD1172">
        <v>-1.110617751355</v>
      </c>
      <c r="AE1172">
        <v>-34.153899999999901</v>
      </c>
      <c r="AF1172">
        <v>5.1221898005246898</v>
      </c>
      <c r="AG1172">
        <v>-1.110617751355</v>
      </c>
      <c r="AH1172">
        <v>34.343151256085697</v>
      </c>
      <c r="AI1172">
        <v>91.831983604973303</v>
      </c>
      <c r="AJ1172">
        <v>81.517018918417904</v>
      </c>
      <c r="AK1172">
        <v>34.740787819803401</v>
      </c>
      <c r="AL1172">
        <v>91.821669330261003</v>
      </c>
      <c r="AM1172">
        <v>82.427726654388394</v>
      </c>
      <c r="AN1172">
        <v>0.99999995712334</v>
      </c>
    </row>
    <row r="1173" spans="1:40" x14ac:dyDescent="0.25">
      <c r="A1173" t="str">
        <f>"20190312161247705"</f>
        <v>20190312161247705</v>
      </c>
      <c r="B1173" t="str">
        <f>"1552378367696444"</f>
        <v>1552378367696444</v>
      </c>
      <c r="C1173" t="s">
        <v>40</v>
      </c>
      <c r="D1173">
        <v>5.4547480000000004</v>
      </c>
      <c r="E1173">
        <v>0.46770729999999999</v>
      </c>
      <c r="F1173" t="s">
        <v>43</v>
      </c>
      <c r="G1173">
        <v>-192.1567</v>
      </c>
      <c r="H1173">
        <v>1.0515950000000001</v>
      </c>
      <c r="I1173">
        <v>326.61070000000001</v>
      </c>
      <c r="J1173">
        <v>-192.09219999999999</v>
      </c>
      <c r="K1173">
        <v>1.110692</v>
      </c>
      <c r="L1173">
        <v>327.14890000000003</v>
      </c>
      <c r="M1173">
        <v>-3.7915890000000001E-2</v>
      </c>
      <c r="N1173">
        <v>0</v>
      </c>
      <c r="O1173">
        <v>-0.99918379999999996</v>
      </c>
      <c r="P1173">
        <v>-0.1689174</v>
      </c>
      <c r="Q1173">
        <v>-4.4472560000000001E-2</v>
      </c>
      <c r="R1173">
        <v>-0.98462649999999996</v>
      </c>
      <c r="S1173">
        <v>-0.27815250000000002</v>
      </c>
      <c r="T1173">
        <v>-0.22520770000000001</v>
      </c>
      <c r="U1173">
        <v>-2.9890750000000001</v>
      </c>
      <c r="V1173">
        <v>0.13150439999999999</v>
      </c>
      <c r="W1173">
        <v>-3.0479039999999999E-2</v>
      </c>
      <c r="X1173">
        <v>0.99084689999999997</v>
      </c>
      <c r="Y1173">
        <v>5.4573070000000001E-2</v>
      </c>
      <c r="Z1173">
        <v>7.4833209999999997E-2</v>
      </c>
      <c r="AA1173">
        <v>0.99570170000000002</v>
      </c>
      <c r="AB1173">
        <v>27</v>
      </c>
      <c r="AC1173">
        <v>-6.4500000000009494E-2</v>
      </c>
      <c r="AD1173">
        <v>-5.90969999999999E-2</v>
      </c>
      <c r="AE1173">
        <v>-0.538200000000017</v>
      </c>
      <c r="AF1173">
        <v>4.35279082828543E-2</v>
      </c>
      <c r="AG1173">
        <v>-5.90969999999999E-2</v>
      </c>
      <c r="AH1173">
        <v>0.53391244010101002</v>
      </c>
      <c r="AI1173">
        <v>96.295451266459693</v>
      </c>
      <c r="AJ1173">
        <v>85.339194655771294</v>
      </c>
      <c r="AK1173">
        <v>0.53893378805108805</v>
      </c>
      <c r="AL1173">
        <v>91.746590885513399</v>
      </c>
      <c r="AM1173">
        <v>82.439932480954099</v>
      </c>
      <c r="AN1173">
        <v>0.99999997916914496</v>
      </c>
    </row>
    <row r="1174" spans="1:40" x14ac:dyDescent="0.25">
      <c r="A1174" t="str">
        <f>"20190312161247727"</f>
        <v>20190312161247727</v>
      </c>
      <c r="B1174" t="str">
        <f>"1552378367716940"</f>
        <v>1552378367716940</v>
      </c>
      <c r="C1174" t="s">
        <v>40</v>
      </c>
      <c r="D1174">
        <v>5.4700240000000004</v>
      </c>
      <c r="E1174">
        <v>0.4667771</v>
      </c>
      <c r="F1174" t="s">
        <v>42</v>
      </c>
      <c r="G1174">
        <v>-193.47739999999999</v>
      </c>
      <c r="H1174" s="1">
        <v>-1.4063340000000001E-6</v>
      </c>
      <c r="I1174">
        <v>310.60930000000002</v>
      </c>
      <c r="J1174">
        <v>-192.10130000000001</v>
      </c>
      <c r="K1174">
        <v>1.110762</v>
      </c>
      <c r="L1174">
        <v>326.88209999999998</v>
      </c>
      <c r="M1174">
        <v>-3.6972209999999998E-2</v>
      </c>
      <c r="N1174">
        <v>0</v>
      </c>
      <c r="O1174">
        <v>-0.99921919999999997</v>
      </c>
      <c r="P1174">
        <v>-0.16732720000000001</v>
      </c>
      <c r="Q1174">
        <v>-4.3420309999999997E-2</v>
      </c>
      <c r="R1174">
        <v>-0.98494479999999995</v>
      </c>
      <c r="S1174">
        <v>-0.2508087</v>
      </c>
      <c r="T1174">
        <v>-0.20110639999999999</v>
      </c>
      <c r="U1174">
        <v>-2.99472</v>
      </c>
      <c r="V1174">
        <v>0.1308416</v>
      </c>
      <c r="W1174">
        <v>-2.9397940000000001E-2</v>
      </c>
      <c r="X1174">
        <v>0.9909673</v>
      </c>
      <c r="Y1174">
        <v>4.6367850000000002E-2</v>
      </c>
      <c r="Z1174">
        <v>6.6781809999999997E-2</v>
      </c>
      <c r="AA1174">
        <v>0.99668959999999995</v>
      </c>
      <c r="AB1174">
        <v>27</v>
      </c>
      <c r="AC1174">
        <v>-1.3760999999999699</v>
      </c>
      <c r="AD1174">
        <v>-1.1107634063339999</v>
      </c>
      <c r="AE1174">
        <v>-16.272799999999901</v>
      </c>
      <c r="AF1174">
        <v>0.76989751344606505</v>
      </c>
      <c r="AG1174">
        <v>-1.1107634063339999</v>
      </c>
      <c r="AH1174">
        <v>16.2374368820232</v>
      </c>
      <c r="AI1174">
        <v>93.908989689216099</v>
      </c>
      <c r="AJ1174">
        <v>87.285355694651798</v>
      </c>
      <c r="AK1174">
        <v>16.293584443692801</v>
      </c>
      <c r="AL1174">
        <v>91.684620639996794</v>
      </c>
      <c r="AM1174">
        <v>82.478502286811306</v>
      </c>
      <c r="AN1174">
        <v>0.99999997641804605</v>
      </c>
    </row>
    <row r="1175" spans="1:40" x14ac:dyDescent="0.25">
      <c r="A1175" t="str">
        <f>"20190312161247751"</f>
        <v>20190312161247751</v>
      </c>
      <c r="B1175" t="str">
        <f>"1552378367747196"</f>
        <v>1552378367747196</v>
      </c>
      <c r="C1175" t="s">
        <v>40</v>
      </c>
      <c r="D1175">
        <v>5.5003070000000003</v>
      </c>
      <c r="E1175">
        <v>0.46602640000000001</v>
      </c>
      <c r="F1175" t="s">
        <v>42</v>
      </c>
      <c r="G1175">
        <v>-193.47319999999999</v>
      </c>
      <c r="H1175" s="1">
        <v>-9.5302860000000001E-7</v>
      </c>
      <c r="I1175">
        <v>309.65280000000001</v>
      </c>
      <c r="J1175">
        <v>-192.11019999999999</v>
      </c>
      <c r="K1175">
        <v>1.1108279999999999</v>
      </c>
      <c r="L1175">
        <v>326.61219999999997</v>
      </c>
      <c r="M1175">
        <v>-3.5932499999999999E-2</v>
      </c>
      <c r="N1175">
        <v>0</v>
      </c>
      <c r="O1175">
        <v>-0.99925679999999995</v>
      </c>
      <c r="P1175">
        <v>-0.16554549999999901</v>
      </c>
      <c r="Q1175">
        <v>-4.2754170000000001E-2</v>
      </c>
      <c r="R1175">
        <v>-0.98527500000000001</v>
      </c>
      <c r="S1175">
        <v>-0.23861689999999999</v>
      </c>
      <c r="T1175">
        <v>-0.19320509999999999</v>
      </c>
      <c r="U1175">
        <v>-2.9968569999999999</v>
      </c>
      <c r="V1175">
        <v>0.13008249999999999</v>
      </c>
      <c r="W1175">
        <v>-2.8706559999999999E-2</v>
      </c>
      <c r="X1175">
        <v>0.99108759999999996</v>
      </c>
      <c r="Y1175">
        <v>4.333381E-2</v>
      </c>
      <c r="Z1175">
        <v>6.4142249999999998E-2</v>
      </c>
      <c r="AA1175">
        <v>0.99699950000000004</v>
      </c>
      <c r="AB1175">
        <v>27</v>
      </c>
      <c r="AC1175">
        <v>-1.36299999999999</v>
      </c>
      <c r="AD1175">
        <v>-1.1108289530286</v>
      </c>
      <c r="AE1175">
        <v>-16.959399999999899</v>
      </c>
      <c r="AF1175">
        <v>0.74947193571372495</v>
      </c>
      <c r="AG1175">
        <v>-1.1108289530286</v>
      </c>
      <c r="AH1175">
        <v>16.925280427018699</v>
      </c>
      <c r="AI1175">
        <v>93.7513482686945</v>
      </c>
      <c r="AJ1175">
        <v>87.464529763344601</v>
      </c>
      <c r="AK1175">
        <v>16.978243922106099</v>
      </c>
      <c r="AL1175">
        <v>91.644990588508193</v>
      </c>
      <c r="AM1175">
        <v>82.5225416793091</v>
      </c>
      <c r="AN1175">
        <v>1.00000007713351</v>
      </c>
    </row>
    <row r="1176" spans="1:40" x14ac:dyDescent="0.25">
      <c r="A1176" t="str">
        <f>"20190312161247773"</f>
        <v>20190312161247773</v>
      </c>
      <c r="B1176" t="str">
        <f>"1552378367766716"</f>
        <v>1552378367766716</v>
      </c>
      <c r="C1176" t="s">
        <v>40</v>
      </c>
      <c r="D1176">
        <v>5.4911019999999997</v>
      </c>
      <c r="E1176">
        <v>0.46588459999999998</v>
      </c>
      <c r="F1176" t="s">
        <v>43</v>
      </c>
      <c r="G1176">
        <v>-192.18199999999999</v>
      </c>
      <c r="H1176">
        <v>1.0468489999999999</v>
      </c>
      <c r="I1176">
        <v>325.66539999999998</v>
      </c>
      <c r="J1176">
        <v>-192.11869999999999</v>
      </c>
      <c r="K1176">
        <v>1.110878</v>
      </c>
      <c r="L1176">
        <v>326.34289999999999</v>
      </c>
      <c r="M1176">
        <v>-3.482677E-2</v>
      </c>
      <c r="N1176">
        <v>0</v>
      </c>
      <c r="O1176">
        <v>-0.99929610000000002</v>
      </c>
      <c r="P1176">
        <v>-0.16464329999999999</v>
      </c>
      <c r="Q1176">
        <v>-4.1392239999999997E-2</v>
      </c>
      <c r="R1176">
        <v>-0.98548460000000004</v>
      </c>
      <c r="S1176">
        <v>-0.2269592</v>
      </c>
      <c r="T1176">
        <v>-0.20277290000000001</v>
      </c>
      <c r="U1176">
        <v>-2.9978940000000001</v>
      </c>
      <c r="V1176">
        <v>0.1302701</v>
      </c>
      <c r="W1176">
        <v>-2.7324250000000001E-2</v>
      </c>
      <c r="X1176">
        <v>0.99110200000000004</v>
      </c>
      <c r="Y1176">
        <v>4.0542399999999999E-2</v>
      </c>
      <c r="Z1176">
        <v>6.7299390000000001E-2</v>
      </c>
      <c r="AA1176">
        <v>0.99690880000000004</v>
      </c>
      <c r="AB1176">
        <v>27</v>
      </c>
      <c r="AC1176">
        <v>-6.3300000000026502E-2</v>
      </c>
      <c r="AD1176">
        <v>-6.40290000000001E-2</v>
      </c>
      <c r="AE1176">
        <v>-0.67750000000000898</v>
      </c>
      <c r="AF1176">
        <v>3.93160412661945E-2</v>
      </c>
      <c r="AG1176">
        <v>-6.40290000000001E-2</v>
      </c>
      <c r="AH1176">
        <v>0.67333171123464797</v>
      </c>
      <c r="AI1176">
        <v>95.422900709945694</v>
      </c>
      <c r="AJ1176">
        <v>86.658276531342693</v>
      </c>
      <c r="AK1176">
        <v>0.67751092780561395</v>
      </c>
      <c r="AL1176">
        <v>91.565759012126094</v>
      </c>
      <c r="AM1176">
        <v>82.511987826289598</v>
      </c>
      <c r="AN1176">
        <v>1.0000000439980301</v>
      </c>
    </row>
    <row r="1177" spans="1:40" x14ac:dyDescent="0.25">
      <c r="A1177" t="str">
        <f>"20190312161247794"</f>
        <v>20190312161247794</v>
      </c>
      <c r="B1177" t="str">
        <f>"1552378367787212"</f>
        <v>1552378367787212</v>
      </c>
      <c r="C1177" t="s">
        <v>40</v>
      </c>
      <c r="D1177">
        <v>5.453271</v>
      </c>
      <c r="E1177">
        <v>0.46587460000000003</v>
      </c>
      <c r="F1177" t="s">
        <v>43</v>
      </c>
      <c r="G1177">
        <v>-192.18690000000001</v>
      </c>
      <c r="H1177">
        <v>1.0496430000000001</v>
      </c>
      <c r="I1177">
        <v>325.42590000000001</v>
      </c>
      <c r="J1177">
        <v>-192.12620000000001</v>
      </c>
      <c r="K1177">
        <v>1.1109070000000001</v>
      </c>
      <c r="L1177">
        <v>326.0933</v>
      </c>
      <c r="M1177">
        <v>-3.3761109999999997E-2</v>
      </c>
      <c r="N1177">
        <v>0</v>
      </c>
      <c r="O1177">
        <v>-0.99933269999999996</v>
      </c>
      <c r="P1177">
        <v>-0.1632323</v>
      </c>
      <c r="Q1177">
        <v>-4.0308129999999998E-2</v>
      </c>
      <c r="R1177">
        <v>-0.98576399999999997</v>
      </c>
      <c r="S1177">
        <v>-0.2228241</v>
      </c>
      <c r="T1177">
        <v>-0.20032849999999999</v>
      </c>
      <c r="U1177">
        <v>-2.9985050000000002</v>
      </c>
      <c r="V1177">
        <v>0.12990660000000001</v>
      </c>
      <c r="W1177">
        <v>-2.622613E-2</v>
      </c>
      <c r="X1177">
        <v>0.99117929999999999</v>
      </c>
      <c r="Y1177">
        <v>4.0229569999999999E-2</v>
      </c>
      <c r="Z1177">
        <v>6.6485760000000005E-2</v>
      </c>
      <c r="AA1177">
        <v>0.99697599999999997</v>
      </c>
      <c r="AB1177">
        <v>27</v>
      </c>
      <c r="AC1177">
        <v>-6.0699999999996999E-2</v>
      </c>
      <c r="AD1177">
        <v>-6.1263999999999701E-2</v>
      </c>
      <c r="AE1177">
        <v>-0.667399999999986</v>
      </c>
      <c r="AF1177">
        <v>3.7815008023955599E-2</v>
      </c>
      <c r="AG1177">
        <v>-6.1263999999999701E-2</v>
      </c>
      <c r="AH1177">
        <v>0.663523761975365</v>
      </c>
      <c r="AI1177">
        <v>95.266738100482002</v>
      </c>
      <c r="AJ1177">
        <v>86.738173821744894</v>
      </c>
      <c r="AK1177">
        <v>0.66741818617250204</v>
      </c>
      <c r="AL1177">
        <v>91.502818916731997</v>
      </c>
      <c r="AM1177">
        <v>82.533221714316298</v>
      </c>
      <c r="AN1177">
        <v>0.99999996968341298</v>
      </c>
    </row>
    <row r="1178" spans="1:40" x14ac:dyDescent="0.25">
      <c r="A1178" t="str">
        <f>"20190312161247817"</f>
        <v>20190312161247817</v>
      </c>
      <c r="B1178" t="str">
        <f>"1552378367806732"</f>
        <v>1552378367806732</v>
      </c>
      <c r="C1178" t="s">
        <v>40</v>
      </c>
      <c r="D1178">
        <v>5.5514219999999996</v>
      </c>
      <c r="E1178">
        <v>0.46598010000000001</v>
      </c>
      <c r="F1178" t="s">
        <v>42</v>
      </c>
      <c r="G1178">
        <v>-193.39680000000001</v>
      </c>
      <c r="H1178" s="1">
        <v>-4.579946E-6</v>
      </c>
      <c r="I1178">
        <v>308.6746</v>
      </c>
      <c r="J1178">
        <v>-192.13399999999999</v>
      </c>
      <c r="K1178">
        <v>1.110922</v>
      </c>
      <c r="L1178">
        <v>325.82260000000002</v>
      </c>
      <c r="M1178">
        <v>-3.2578160000000002E-2</v>
      </c>
      <c r="N1178">
        <v>0</v>
      </c>
      <c r="O1178">
        <v>-0.99937209999999999</v>
      </c>
      <c r="P1178">
        <v>-0.16174910000000001</v>
      </c>
      <c r="Q1178">
        <v>-4.034973E-2</v>
      </c>
      <c r="R1178">
        <v>-0.98600710000000003</v>
      </c>
      <c r="S1178">
        <v>-0.21878049999999999</v>
      </c>
      <c r="T1178">
        <v>-0.1912847</v>
      </c>
      <c r="U1178">
        <v>-2.9992679999999998</v>
      </c>
      <c r="V1178">
        <v>0.12959010000000001</v>
      </c>
      <c r="W1178">
        <v>-2.6258630000000002E-2</v>
      </c>
      <c r="X1178">
        <v>0.99121990000000004</v>
      </c>
      <c r="Y1178">
        <v>4.0070920000000003E-2</v>
      </c>
      <c r="Z1178">
        <v>6.3487689999999999E-2</v>
      </c>
      <c r="AA1178">
        <v>0.9971778</v>
      </c>
      <c r="AB1178">
        <v>27</v>
      </c>
      <c r="AC1178">
        <v>-1.2627999999999899</v>
      </c>
      <c r="AD1178">
        <v>-1.110926579946</v>
      </c>
      <c r="AE1178">
        <v>-17.148</v>
      </c>
      <c r="AF1178">
        <v>0.70050088331886495</v>
      </c>
      <c r="AG1178">
        <v>-1.110926579946</v>
      </c>
      <c r="AH1178">
        <v>17.1086212384213</v>
      </c>
      <c r="AI1178">
        <v>93.712111348696396</v>
      </c>
      <c r="AJ1178">
        <v>87.655372821778201</v>
      </c>
      <c r="AK1178">
        <v>17.158956262935099</v>
      </c>
      <c r="AL1178">
        <v>91.5046816256433</v>
      </c>
      <c r="AM1178">
        <v>82.551510658588796</v>
      </c>
      <c r="AN1178">
        <v>0.99999999991174804</v>
      </c>
    </row>
    <row r="1179" spans="1:40" x14ac:dyDescent="0.25">
      <c r="A1179" t="str">
        <f>"20190312161247838"</f>
        <v>20190312161247838</v>
      </c>
      <c r="B1179" t="str">
        <f>"1552378367827229"</f>
        <v>1552378367827229</v>
      </c>
      <c r="C1179" t="s">
        <v>40</v>
      </c>
      <c r="D1179">
        <v>5.5220649999999996</v>
      </c>
      <c r="E1179">
        <v>0.4662502</v>
      </c>
      <c r="F1179" t="s">
        <v>42</v>
      </c>
      <c r="G1179">
        <v>-193.43049999999999</v>
      </c>
      <c r="H1179" s="1">
        <v>-4.2789209999999998E-6</v>
      </c>
      <c r="I1179">
        <v>307.77249999999998</v>
      </c>
      <c r="J1179">
        <v>-192.1413</v>
      </c>
      <c r="K1179">
        <v>1.1109230000000001</v>
      </c>
      <c r="L1179">
        <v>325.56189999999998</v>
      </c>
      <c r="M1179">
        <v>-3.1426879999999997E-2</v>
      </c>
      <c r="N1179">
        <v>0</v>
      </c>
      <c r="O1179">
        <v>-0.99940879999999999</v>
      </c>
      <c r="P1179">
        <v>-0.1621504</v>
      </c>
      <c r="Q1179">
        <v>-4.2209940000000001E-2</v>
      </c>
      <c r="R1179">
        <v>-0.9858635</v>
      </c>
      <c r="S1179">
        <v>-0.21545410000000001</v>
      </c>
      <c r="T1179">
        <v>-0.1846178</v>
      </c>
      <c r="U1179">
        <v>-2.9996339999999999</v>
      </c>
      <c r="V1179">
        <v>0.13114110000000001</v>
      </c>
      <c r="W1179">
        <v>-2.811514E-2</v>
      </c>
      <c r="X1179">
        <v>0.99096490000000004</v>
      </c>
      <c r="Y1179">
        <v>4.0122980000000003E-2</v>
      </c>
      <c r="Z1179">
        <v>6.128173E-2</v>
      </c>
      <c r="AA1179">
        <v>0.99731369999999997</v>
      </c>
      <c r="AB1179">
        <v>27</v>
      </c>
      <c r="AC1179">
        <v>-1.2891999999999899</v>
      </c>
      <c r="AD1179">
        <v>-1.1109272789209901</v>
      </c>
      <c r="AE1179">
        <v>-17.789400000000001</v>
      </c>
      <c r="AF1179">
        <v>0.72662446525652902</v>
      </c>
      <c r="AG1179">
        <v>-1.1109272789209901</v>
      </c>
      <c r="AH1179">
        <v>17.752261174475699</v>
      </c>
      <c r="AI1179">
        <v>93.577882414843501</v>
      </c>
      <c r="AJ1179">
        <v>87.656113324082895</v>
      </c>
      <c r="AK1179">
        <v>17.801823483546801</v>
      </c>
      <c r="AL1179">
        <v>91.611091255676996</v>
      </c>
      <c r="AM1179">
        <v>82.461465113371503</v>
      </c>
      <c r="AN1179">
        <v>0.99999994111921797</v>
      </c>
    </row>
    <row r="1180" spans="1:40" x14ac:dyDescent="0.25">
      <c r="A1180" t="str">
        <f>"20190312161247863"</f>
        <v>20190312161247863</v>
      </c>
      <c r="B1180" t="str">
        <f>"1552378367856508"</f>
        <v>1552378367856508</v>
      </c>
      <c r="C1180" t="s">
        <v>40</v>
      </c>
      <c r="D1180">
        <v>5.5409439999999996</v>
      </c>
      <c r="E1180">
        <v>0.46644439999999998</v>
      </c>
      <c r="F1180" t="s">
        <v>42</v>
      </c>
      <c r="G1180">
        <v>-193.40940000000001</v>
      </c>
      <c r="H1180" s="1">
        <v>-4.4094630000000003E-6</v>
      </c>
      <c r="I1180">
        <v>308.1671</v>
      </c>
      <c r="J1180">
        <v>-192.14879999999999</v>
      </c>
      <c r="K1180">
        <v>1.110927</v>
      </c>
      <c r="L1180">
        <v>325.27710000000002</v>
      </c>
      <c r="M1180">
        <v>-3.0167079999999999E-2</v>
      </c>
      <c r="N1180">
        <v>0</v>
      </c>
      <c r="O1180">
        <v>-0.99944739999999999</v>
      </c>
      <c r="P1180">
        <v>-0.16351599999999999</v>
      </c>
      <c r="Q1180">
        <v>-4.2769099999999997E-2</v>
      </c>
      <c r="R1180">
        <v>-0.98561330000000003</v>
      </c>
      <c r="S1180">
        <v>-0.21862789999999999</v>
      </c>
      <c r="T1180">
        <v>-0.19152159999999999</v>
      </c>
      <c r="U1180">
        <v>-2.99884</v>
      </c>
      <c r="V1180">
        <v>0.1337631</v>
      </c>
      <c r="W1180">
        <v>-2.8672759999999999E-2</v>
      </c>
      <c r="X1180">
        <v>0.99059839999999999</v>
      </c>
      <c r="Y1180">
        <v>4.2440779999999997E-2</v>
      </c>
      <c r="Z1180">
        <v>6.3579250000000004E-2</v>
      </c>
      <c r="AA1180">
        <v>0.99707389999999996</v>
      </c>
      <c r="AB1180">
        <v>26</v>
      </c>
      <c r="AC1180">
        <v>-1.2606000000000099</v>
      </c>
      <c r="AD1180">
        <v>-1.1109314094630001</v>
      </c>
      <c r="AE1180">
        <v>-17.11</v>
      </c>
      <c r="AF1180">
        <v>0.74071132828263597</v>
      </c>
      <c r="AG1180">
        <v>-1.1109314094630001</v>
      </c>
      <c r="AH1180">
        <v>17.068674819988299</v>
      </c>
      <c r="AI1180">
        <v>93.720407793313498</v>
      </c>
      <c r="AJ1180">
        <v>87.515154365101793</v>
      </c>
      <c r="AK1180">
        <v>17.120820131608198</v>
      </c>
      <c r="AL1180">
        <v>91.643053415767</v>
      </c>
      <c r="AM1180">
        <v>82.3097165501013</v>
      </c>
      <c r="AN1180">
        <v>0.99999994208509202</v>
      </c>
    </row>
    <row r="1181" spans="1:40" x14ac:dyDescent="0.25">
      <c r="A1181" t="str">
        <f>"20190312161247884"</f>
        <v>20190312161247884</v>
      </c>
      <c r="B1181" t="str">
        <f>"1552378367877004"</f>
        <v>1552378367877004</v>
      </c>
      <c r="C1181" t="s">
        <v>40</v>
      </c>
      <c r="D1181">
        <v>5.5546059999999997</v>
      </c>
      <c r="E1181">
        <v>0.46644400000000003</v>
      </c>
      <c r="F1181" t="s">
        <v>42</v>
      </c>
      <c r="G1181">
        <v>-193.4462</v>
      </c>
      <c r="H1181" s="1">
        <v>-4.3373279999999999E-6</v>
      </c>
      <c r="I1181">
        <v>307.9359</v>
      </c>
      <c r="J1181">
        <v>-192.15520000000001</v>
      </c>
      <c r="K1181">
        <v>1.1109249999999999</v>
      </c>
      <c r="L1181">
        <v>325.024</v>
      </c>
      <c r="M1181">
        <v>-2.9054090000000001E-2</v>
      </c>
      <c r="N1181">
        <v>0</v>
      </c>
      <c r="O1181">
        <v>-0.99948049999999999</v>
      </c>
      <c r="P1181">
        <v>-0.16436829999999999</v>
      </c>
      <c r="Q1181">
        <v>-4.187271E-2</v>
      </c>
      <c r="R1181">
        <v>-0.9855102</v>
      </c>
      <c r="S1181">
        <v>-0.22431950000000001</v>
      </c>
      <c r="T1181">
        <v>-0.1920782</v>
      </c>
      <c r="U1181">
        <v>-2.9982600000000001</v>
      </c>
      <c r="V1181">
        <v>0.13571849999999999</v>
      </c>
      <c r="W1181">
        <v>-2.7776080000000002E-2</v>
      </c>
      <c r="X1181">
        <v>0.99035799999999996</v>
      </c>
      <c r="Y1181">
        <v>4.5448679999999998E-2</v>
      </c>
      <c r="Z1181">
        <v>6.3769999999999993E-2</v>
      </c>
      <c r="AA1181">
        <v>0.99692919999999996</v>
      </c>
      <c r="AB1181">
        <v>26</v>
      </c>
      <c r="AC1181">
        <v>-1.2909999999999899</v>
      </c>
      <c r="AD1181">
        <v>-1.110929337328</v>
      </c>
      <c r="AE1181">
        <v>-17.088099999999901</v>
      </c>
      <c r="AF1181">
        <v>0.790604817971715</v>
      </c>
      <c r="AG1181">
        <v>-1.110929337328</v>
      </c>
      <c r="AH1181">
        <v>17.0467572237098</v>
      </c>
      <c r="AI1181">
        <v>93.724674559324995</v>
      </c>
      <c r="AJ1181">
        <v>87.3446044855867</v>
      </c>
      <c r="AK1181">
        <v>17.1012032271077</v>
      </c>
      <c r="AL1181">
        <v>91.591656871475394</v>
      </c>
      <c r="AM1181">
        <v>82.196801208537906</v>
      </c>
      <c r="AN1181">
        <v>0.99999999501320802</v>
      </c>
    </row>
    <row r="1182" spans="1:40" x14ac:dyDescent="0.25">
      <c r="A1182" t="str">
        <f>"20190312161247905"</f>
        <v>20190312161247905</v>
      </c>
      <c r="B1182" t="str">
        <f>"1552378367896524"</f>
        <v>1552378367896524</v>
      </c>
      <c r="C1182" t="s">
        <v>40</v>
      </c>
      <c r="D1182">
        <v>5.6513390000000001</v>
      </c>
      <c r="E1182">
        <v>0.46644089999999999</v>
      </c>
      <c r="F1182" t="s">
        <v>42</v>
      </c>
      <c r="G1182">
        <v>-193.47810000000001</v>
      </c>
      <c r="H1182" s="1">
        <v>-4.2076530000000001E-6</v>
      </c>
      <c r="I1182">
        <v>307.53820000000002</v>
      </c>
      <c r="J1182">
        <v>-192.1611</v>
      </c>
      <c r="K1182">
        <v>1.110935</v>
      </c>
      <c r="L1182">
        <v>324.7799</v>
      </c>
      <c r="M1182">
        <v>-2.7988389999999998E-2</v>
      </c>
      <c r="N1182">
        <v>0</v>
      </c>
      <c r="O1182">
        <v>-0.99951080000000003</v>
      </c>
      <c r="P1182">
        <v>-0.16463699999999901</v>
      </c>
      <c r="Q1182">
        <v>-4.1358699999999998E-2</v>
      </c>
      <c r="R1182">
        <v>-0.9854868</v>
      </c>
      <c r="S1182">
        <v>-0.22682189999999999</v>
      </c>
      <c r="T1182">
        <v>-0.19048319999999999</v>
      </c>
      <c r="U1182">
        <v>-2.9981689999999999</v>
      </c>
      <c r="V1182">
        <v>0.13704179999999999</v>
      </c>
      <c r="W1182">
        <v>-2.726315E-2</v>
      </c>
      <c r="X1182">
        <v>0.99019000000000001</v>
      </c>
      <c r="Y1182">
        <v>4.7345949999999998E-2</v>
      </c>
      <c r="Z1182">
        <v>6.3242640000000003E-2</v>
      </c>
      <c r="AA1182">
        <v>0.9968745</v>
      </c>
      <c r="AB1182">
        <v>26</v>
      </c>
      <c r="AC1182">
        <v>-1.3169999999999999</v>
      </c>
      <c r="AD1182">
        <v>-1.110939207653</v>
      </c>
      <c r="AE1182">
        <v>-17.241699999999899</v>
      </c>
      <c r="AF1182">
        <v>0.83044182502000496</v>
      </c>
      <c r="AG1182">
        <v>-1.110939207653</v>
      </c>
      <c r="AH1182">
        <v>17.200811064884999</v>
      </c>
      <c r="AI1182">
        <v>93.691110612147199</v>
      </c>
      <c r="AJ1182">
        <v>87.235950403896595</v>
      </c>
      <c r="AK1182">
        <v>17.2566428032139</v>
      </c>
      <c r="AL1182">
        <v>91.562257027363501</v>
      </c>
      <c r="AM1182">
        <v>82.120348441704607</v>
      </c>
      <c r="AN1182">
        <v>0.99999998519758104</v>
      </c>
    </row>
    <row r="1183" spans="1:40" x14ac:dyDescent="0.25">
      <c r="A1183" t="str">
        <f>"20190312161247927"</f>
        <v>20190312161247927</v>
      </c>
      <c r="B1183" t="str">
        <f>"1552378367917020"</f>
        <v>1552378367917020</v>
      </c>
      <c r="C1183" t="s">
        <v>40</v>
      </c>
      <c r="D1183">
        <v>5.7892080000000004</v>
      </c>
      <c r="E1183">
        <v>0.4664761</v>
      </c>
      <c r="F1183" t="s">
        <v>42</v>
      </c>
      <c r="G1183">
        <v>-193.51179999999999</v>
      </c>
      <c r="H1183" s="1">
        <v>-4.0262630000000004E-6</v>
      </c>
      <c r="I1183">
        <v>306.98759999999999</v>
      </c>
      <c r="J1183">
        <v>-192.16720000000001</v>
      </c>
      <c r="K1183">
        <v>1.110935</v>
      </c>
      <c r="L1183">
        <v>324.51420000000002</v>
      </c>
      <c r="M1183">
        <v>-2.68364E-2</v>
      </c>
      <c r="N1183">
        <v>0</v>
      </c>
      <c r="O1183">
        <v>-0.99954219999999905</v>
      </c>
      <c r="P1183">
        <v>-0.16490439999999901</v>
      </c>
      <c r="Q1183">
        <v>-4.0245179999999998E-2</v>
      </c>
      <c r="R1183">
        <v>-0.98548820000000004</v>
      </c>
      <c r="S1183">
        <v>-0.2276154</v>
      </c>
      <c r="T1183">
        <v>-0.18720909999999999</v>
      </c>
      <c r="U1183">
        <v>-2.9982600000000001</v>
      </c>
      <c r="V1183">
        <v>0.13844709999999999</v>
      </c>
      <c r="W1183">
        <v>-2.6151020000000001E-2</v>
      </c>
      <c r="X1183">
        <v>0.99002449999999997</v>
      </c>
      <c r="Y1183">
        <v>4.8762319999999998E-2</v>
      </c>
      <c r="Z1183">
        <v>6.2158169999999999E-2</v>
      </c>
      <c r="AA1183">
        <v>0.99687440000000005</v>
      </c>
      <c r="AB1183">
        <v>26</v>
      </c>
      <c r="AC1183">
        <v>-1.34459999999998</v>
      </c>
      <c r="AD1183">
        <v>-1.1109390262629999</v>
      </c>
      <c r="AE1183">
        <v>-17.526599999999998</v>
      </c>
      <c r="AF1183">
        <v>0.87024289437948998</v>
      </c>
      <c r="AG1183">
        <v>-1.1109390262629999</v>
      </c>
      <c r="AH1183">
        <v>17.486528345960501</v>
      </c>
      <c r="AI1183">
        <v>93.630699227886595</v>
      </c>
      <c r="AJ1183">
        <v>87.150941498595998</v>
      </c>
      <c r="AK1183">
        <v>17.543379999571702</v>
      </c>
      <c r="AL1183">
        <v>91.498513919179501</v>
      </c>
      <c r="AM1183">
        <v>82.039263180267994</v>
      </c>
      <c r="AN1183">
        <v>0.99999999297285003</v>
      </c>
    </row>
    <row r="1184" spans="1:40" x14ac:dyDescent="0.25">
      <c r="A1184" t="str">
        <f>"20190312161247951"</f>
        <v>20190312161247951</v>
      </c>
      <c r="B1184" t="str">
        <f>"1552378367947277"</f>
        <v>1552378367947277</v>
      </c>
      <c r="C1184" t="s">
        <v>40</v>
      </c>
      <c r="D1184">
        <v>5.6113559999999998</v>
      </c>
      <c r="E1184">
        <v>0.46661979999999997</v>
      </c>
      <c r="F1184" t="s">
        <v>42</v>
      </c>
      <c r="G1184">
        <v>-193.5607</v>
      </c>
      <c r="H1184" s="1">
        <v>-3.7823510000000001E-6</v>
      </c>
      <c r="I1184">
        <v>306.24540000000002</v>
      </c>
      <c r="J1184">
        <v>-192.17310000000001</v>
      </c>
      <c r="K1184">
        <v>1.110938</v>
      </c>
      <c r="L1184">
        <v>324.2448</v>
      </c>
      <c r="M1184">
        <v>-2.5676029999999999E-2</v>
      </c>
      <c r="N1184">
        <v>0</v>
      </c>
      <c r="O1184">
        <v>-0.99957309999999999</v>
      </c>
      <c r="P1184">
        <v>-0.16495119999999999</v>
      </c>
      <c r="Q1184">
        <v>-3.9096430000000001E-2</v>
      </c>
      <c r="R1184">
        <v>-0.98552700000000004</v>
      </c>
      <c r="S1184">
        <v>-0.228714</v>
      </c>
      <c r="T1184">
        <v>-0.18233779999999999</v>
      </c>
      <c r="U1184">
        <v>-2.9984440000000001</v>
      </c>
      <c r="V1184">
        <v>0.13963889999999901</v>
      </c>
      <c r="W1184">
        <v>-2.500409E-2</v>
      </c>
      <c r="X1184">
        <v>0.98988679999999996</v>
      </c>
      <c r="Y1184">
        <v>5.0287869999999998E-2</v>
      </c>
      <c r="Z1184">
        <v>6.0542730000000003E-2</v>
      </c>
      <c r="AA1184">
        <v>0.99689810000000001</v>
      </c>
      <c r="AB1184">
        <v>26</v>
      </c>
      <c r="AC1184">
        <v>-1.38759999999999</v>
      </c>
      <c r="AD1184">
        <v>-1.1109417823509999</v>
      </c>
      <c r="AE1184">
        <v>-17.999399999999898</v>
      </c>
      <c r="AF1184">
        <v>0.92145485720792097</v>
      </c>
      <c r="AG1184">
        <v>-1.1109417823509999</v>
      </c>
      <c r="AH1184">
        <v>17.961077999218901</v>
      </c>
      <c r="AI1184">
        <v>93.534754747816706</v>
      </c>
      <c r="AJ1184">
        <v>87.063136834858497</v>
      </c>
      <c r="AK1184">
        <v>18.018978705566798</v>
      </c>
      <c r="AL1184">
        <v>91.432778076259794</v>
      </c>
      <c r="AM1184">
        <v>81.970521944797497</v>
      </c>
      <c r="AN1184">
        <v>1.00000005186208</v>
      </c>
    </row>
    <row r="1185" spans="1:40" x14ac:dyDescent="0.25">
      <c r="A1185" t="str">
        <f>"20190312161247972"</f>
        <v>20190312161247972</v>
      </c>
      <c r="B1185" t="str">
        <f>"1552378367966797"</f>
        <v>1552378367966797</v>
      </c>
      <c r="C1185" t="s">
        <v>40</v>
      </c>
      <c r="D1185">
        <v>5.6505199999999904</v>
      </c>
      <c r="E1185">
        <v>0.46659630000000002</v>
      </c>
      <c r="F1185" t="s">
        <v>43</v>
      </c>
      <c r="G1185">
        <v>-192.24610000000001</v>
      </c>
      <c r="H1185">
        <v>1.053558</v>
      </c>
      <c r="I1185">
        <v>323.29610000000002</v>
      </c>
      <c r="J1185">
        <v>-192.17830000000001</v>
      </c>
      <c r="K1185">
        <v>1.1109469999999999</v>
      </c>
      <c r="L1185">
        <v>323.99759999999998</v>
      </c>
      <c r="M1185">
        <v>-2.4614190000000001E-2</v>
      </c>
      <c r="N1185">
        <v>0</v>
      </c>
      <c r="O1185">
        <v>-0.99959949999999997</v>
      </c>
      <c r="P1185">
        <v>-0.16479099999999999</v>
      </c>
      <c r="Q1185">
        <v>-3.8090069999999997E-2</v>
      </c>
      <c r="R1185">
        <v>-0.98559289999999999</v>
      </c>
      <c r="S1185">
        <v>-0.23005680000000001</v>
      </c>
      <c r="T1185">
        <v>-0.1815717</v>
      </c>
      <c r="U1185">
        <v>-2.998383</v>
      </c>
      <c r="V1185">
        <v>0.14052590000000001</v>
      </c>
      <c r="W1185">
        <v>-2.399956E-2</v>
      </c>
      <c r="X1185">
        <v>0.9897861</v>
      </c>
      <c r="Y1185">
        <v>5.1795300000000002E-2</v>
      </c>
      <c r="Z1185">
        <v>6.0289580000000002E-2</v>
      </c>
      <c r="AA1185">
        <v>0.99683619999999995</v>
      </c>
      <c r="AB1185">
        <v>26</v>
      </c>
      <c r="AC1185">
        <v>-6.7800000000005398E-2</v>
      </c>
      <c r="AD1185">
        <v>-5.7388999999999898E-2</v>
      </c>
      <c r="AE1185">
        <v>-0.70149999999995305</v>
      </c>
      <c r="AF1185">
        <v>5.0178196327530802E-2</v>
      </c>
      <c r="AG1185">
        <v>-5.7388999999999898E-2</v>
      </c>
      <c r="AH1185">
        <v>0.69832598747262697</v>
      </c>
      <c r="AI1185">
        <v>94.686028817768303</v>
      </c>
      <c r="AJ1185">
        <v>85.890076852489997</v>
      </c>
      <c r="AK1185">
        <v>0.70247457853455697</v>
      </c>
      <c r="AL1185">
        <v>91.375205513151798</v>
      </c>
      <c r="AM1185">
        <v>81.919378162561102</v>
      </c>
      <c r="AN1185">
        <v>1.0000000156021001</v>
      </c>
    </row>
    <row r="1186" spans="1:40" x14ac:dyDescent="0.25">
      <c r="A1186" t="str">
        <f>"20190312161247996"</f>
        <v>20190312161247996</v>
      </c>
      <c r="B1186" t="str">
        <f>"1552378367987291"</f>
        <v>1552378367987291</v>
      </c>
      <c r="C1186" t="s">
        <v>40</v>
      </c>
      <c r="D1186">
        <v>5.7190519999999996</v>
      </c>
      <c r="E1186">
        <v>0.46659610000000001</v>
      </c>
      <c r="F1186" t="s">
        <v>42</v>
      </c>
      <c r="G1186">
        <v>-193.59909999999999</v>
      </c>
      <c r="H1186" s="1">
        <v>-3.4561709999999999E-6</v>
      </c>
      <c r="I1186">
        <v>305.41329999999999</v>
      </c>
      <c r="J1186">
        <v>-192.18379999999999</v>
      </c>
      <c r="K1186">
        <v>1.110948</v>
      </c>
      <c r="L1186">
        <v>323.7199</v>
      </c>
      <c r="M1186">
        <v>-2.3422490000000001E-2</v>
      </c>
      <c r="N1186">
        <v>0</v>
      </c>
      <c r="O1186">
        <v>-0.99962839999999997</v>
      </c>
      <c r="P1186">
        <v>-0.16447819999999999</v>
      </c>
      <c r="Q1186">
        <v>-3.6676220000000002E-2</v>
      </c>
      <c r="R1186">
        <v>-0.98569890000000004</v>
      </c>
      <c r="S1186">
        <v>-0.22924800000000001</v>
      </c>
      <c r="T1186">
        <v>-0.1792511</v>
      </c>
      <c r="U1186">
        <v>-2.9985659999999998</v>
      </c>
      <c r="V1186">
        <v>0.14138699999999901</v>
      </c>
      <c r="W1186">
        <v>-2.2588110000000002E-2</v>
      </c>
      <c r="X1186">
        <v>0.98969669999999998</v>
      </c>
      <c r="Y1186">
        <v>5.2717439999999997E-2</v>
      </c>
      <c r="Z1186">
        <v>5.9519900000000001E-2</v>
      </c>
      <c r="AA1186">
        <v>0.99683409999999995</v>
      </c>
      <c r="AB1186">
        <v>26</v>
      </c>
      <c r="AC1186">
        <v>-1.4153</v>
      </c>
      <c r="AD1186">
        <v>-1.1109514561710001</v>
      </c>
      <c r="AE1186">
        <v>-18.3066</v>
      </c>
      <c r="AF1186">
        <v>0.98248701780169201</v>
      </c>
      <c r="AG1186">
        <v>-1.1109514561710001</v>
      </c>
      <c r="AH1186">
        <v>18.2678531778785</v>
      </c>
      <c r="AI1186">
        <v>93.475121543489394</v>
      </c>
      <c r="AJ1186">
        <v>86.921467611493497</v>
      </c>
      <c r="AK1186">
        <v>18.3279555217335</v>
      </c>
      <c r="AL1186">
        <v>91.294313409048101</v>
      </c>
      <c r="AM1186">
        <v>81.869797955395597</v>
      </c>
      <c r="AN1186">
        <v>1.00000003223663</v>
      </c>
    </row>
    <row r="1187" spans="1:40" x14ac:dyDescent="0.25">
      <c r="A1187" t="str">
        <f>"20190312161248019"</f>
        <v>20190312161248019</v>
      </c>
      <c r="B1187" t="str">
        <f>"1552378368006812"</f>
        <v>1552378368006812</v>
      </c>
      <c r="C1187" t="s">
        <v>40</v>
      </c>
      <c r="D1187">
        <v>5.8070300000000001</v>
      </c>
      <c r="E1187">
        <v>0.46658480000000002</v>
      </c>
      <c r="F1187" t="s">
        <v>42</v>
      </c>
      <c r="G1187">
        <v>-193.62610000000001</v>
      </c>
      <c r="H1187" s="1">
        <v>-3.1921010000000001E-6</v>
      </c>
      <c r="I1187">
        <v>304.78100000000001</v>
      </c>
      <c r="J1187">
        <v>-192.18870000000001</v>
      </c>
      <c r="K1187">
        <v>1.1109450000000001</v>
      </c>
      <c r="L1187">
        <v>323.4545</v>
      </c>
      <c r="M1187">
        <v>-2.2283359999999999E-2</v>
      </c>
      <c r="N1187">
        <v>0</v>
      </c>
      <c r="O1187">
        <v>-0.9996543</v>
      </c>
      <c r="P1187">
        <v>-0.1645181</v>
      </c>
      <c r="Q1187">
        <v>-3.6708190000000002E-2</v>
      </c>
      <c r="R1187">
        <v>-0.98569110000000004</v>
      </c>
      <c r="S1187">
        <v>-0.2283936</v>
      </c>
      <c r="T1187">
        <v>-0.175914299999999</v>
      </c>
      <c r="U1187">
        <v>-2.998901</v>
      </c>
      <c r="V1187">
        <v>0.14255419999999999</v>
      </c>
      <c r="W1187">
        <v>-2.2623009999999999E-2</v>
      </c>
      <c r="X1187">
        <v>0.98952839999999997</v>
      </c>
      <c r="Y1187">
        <v>5.3569470000000001E-2</v>
      </c>
      <c r="Z1187">
        <v>5.8410839999999999E-2</v>
      </c>
      <c r="AA1187">
        <v>0.99685429999999997</v>
      </c>
      <c r="AB1187">
        <v>26</v>
      </c>
      <c r="AC1187">
        <v>-1.43739999999999</v>
      </c>
      <c r="AD1187">
        <v>-1.110948192101</v>
      </c>
      <c r="AE1187">
        <v>-18.673499999999901</v>
      </c>
      <c r="AF1187">
        <v>1.0173146452566899</v>
      </c>
      <c r="AG1187">
        <v>-1.110948192101</v>
      </c>
      <c r="AH1187">
        <v>18.635325254634701</v>
      </c>
      <c r="AI1187">
        <v>93.406599825876796</v>
      </c>
      <c r="AJ1187">
        <v>86.875287328680599</v>
      </c>
      <c r="AK1187">
        <v>18.696108748052598</v>
      </c>
      <c r="AL1187">
        <v>91.296313613815698</v>
      </c>
      <c r="AM1187">
        <v>81.802213431947195</v>
      </c>
      <c r="AN1187">
        <v>0.99999997746282898</v>
      </c>
    </row>
    <row r="1188" spans="1:40" x14ac:dyDescent="0.25">
      <c r="A1188" t="str">
        <f>"20190312161248065"</f>
        <v>20190312161248065</v>
      </c>
      <c r="B1188" t="str">
        <f>"1552378368056589"</f>
        <v>1552378368056589</v>
      </c>
      <c r="C1188" t="s">
        <v>40</v>
      </c>
      <c r="D1188">
        <v>5.6630580000000004</v>
      </c>
      <c r="E1188">
        <v>0.46608690000000003</v>
      </c>
      <c r="F1188" t="s">
        <v>42</v>
      </c>
      <c r="G1188">
        <v>-193.63919999999999</v>
      </c>
      <c r="H1188" s="1">
        <v>-3.036358E-6</v>
      </c>
      <c r="I1188">
        <v>304.40980000000002</v>
      </c>
      <c r="J1188">
        <v>-192.1977</v>
      </c>
      <c r="K1188">
        <v>1.1109309999999999</v>
      </c>
      <c r="L1188">
        <v>322.9153</v>
      </c>
      <c r="M1188">
        <v>-1.9967410000000001E-2</v>
      </c>
      <c r="N1188">
        <v>0</v>
      </c>
      <c r="O1188">
        <v>-0.99970309999999996</v>
      </c>
      <c r="P1188">
        <v>-0.16462199999999999</v>
      </c>
      <c r="Q1188">
        <v>-3.744107E-2</v>
      </c>
      <c r="R1188">
        <v>-0.98564609999999997</v>
      </c>
      <c r="S1188">
        <v>-0.2284088</v>
      </c>
      <c r="T1188">
        <v>-0.17493739999999999</v>
      </c>
      <c r="U1188">
        <v>-2.998901</v>
      </c>
      <c r="V1188">
        <v>0.144951</v>
      </c>
      <c r="W1188">
        <v>-2.3362259999999999E-2</v>
      </c>
      <c r="X1188">
        <v>0.98916300000000001</v>
      </c>
      <c r="Y1188">
        <v>5.5889139999999997E-2</v>
      </c>
      <c r="Z1188">
        <v>5.8088109999999998E-2</v>
      </c>
      <c r="AA1188">
        <v>0.99674580000000002</v>
      </c>
      <c r="AB1188">
        <v>26</v>
      </c>
      <c r="AC1188">
        <v>-1.44149999999999</v>
      </c>
      <c r="AD1188">
        <v>-1.11093403635799</v>
      </c>
      <c r="AE1188">
        <v>-18.505499999999898</v>
      </c>
      <c r="AF1188">
        <v>1.0678444002943399</v>
      </c>
      <c r="AG1188">
        <v>-1.11093403635799</v>
      </c>
      <c r="AH1188">
        <v>18.464452659586001</v>
      </c>
      <c r="AI1188">
        <v>93.437383030329599</v>
      </c>
      <c r="AJ1188">
        <v>86.690131881562706</v>
      </c>
      <c r="AK1188">
        <v>18.528639402677999</v>
      </c>
      <c r="AL1188">
        <v>91.338680672117903</v>
      </c>
      <c r="AM1188">
        <v>81.663266826741804</v>
      </c>
      <c r="AN1188">
        <v>1.00000001408115</v>
      </c>
    </row>
    <row r="1189" spans="1:40" x14ac:dyDescent="0.25">
      <c r="A1189" t="str">
        <f>"20190312161248086"</f>
        <v>20190312161248086</v>
      </c>
      <c r="B1189" t="str">
        <f>"1552378368077084"</f>
        <v>1552378368077084</v>
      </c>
      <c r="C1189" t="s">
        <v>40</v>
      </c>
      <c r="D1189">
        <v>5.7182940000000002</v>
      </c>
      <c r="E1189">
        <v>0.46600429999999998</v>
      </c>
      <c r="F1189" t="s">
        <v>43</v>
      </c>
      <c r="G1189">
        <v>-192.255</v>
      </c>
      <c r="H1189">
        <v>1.046807</v>
      </c>
      <c r="I1189">
        <v>322.14249999999998</v>
      </c>
      <c r="J1189">
        <v>-192.20150000000001</v>
      </c>
      <c r="K1189">
        <v>1.1109309999999999</v>
      </c>
      <c r="L1189">
        <v>322.6644</v>
      </c>
      <c r="M1189">
        <v>-1.888828E-2</v>
      </c>
      <c r="N1189">
        <v>0</v>
      </c>
      <c r="O1189">
        <v>-0.99972450000000002</v>
      </c>
      <c r="P1189">
        <v>-0.16405169999999999</v>
      </c>
      <c r="Q1189">
        <v>-3.7428080000000002E-2</v>
      </c>
      <c r="R1189">
        <v>-0.98574189999999995</v>
      </c>
      <c r="S1189">
        <v>-0.22203059999999999</v>
      </c>
      <c r="T1189">
        <v>-0.24880550000000001</v>
      </c>
      <c r="U1189">
        <v>-2.997131</v>
      </c>
      <c r="V1189">
        <v>0.14544609999999999</v>
      </c>
      <c r="W1189">
        <v>-2.3352109999999999E-2</v>
      </c>
      <c r="X1189">
        <v>0.98909060000000004</v>
      </c>
      <c r="Y1189">
        <v>5.4774900000000001E-2</v>
      </c>
      <c r="Z1189">
        <v>8.2533579999999995E-2</v>
      </c>
      <c r="AA1189">
        <v>0.99508180000000002</v>
      </c>
      <c r="AB1189">
        <v>26</v>
      </c>
      <c r="AC1189">
        <v>-5.34999999999854E-2</v>
      </c>
      <c r="AD1189">
        <v>-6.4123999999999806E-2</v>
      </c>
      <c r="AE1189">
        <v>-0.52190000000001602</v>
      </c>
      <c r="AF1189">
        <v>4.2989475854599599E-2</v>
      </c>
      <c r="AG1189">
        <v>-6.4123999999999806E-2</v>
      </c>
      <c r="AH1189">
        <v>0.51512199668388003</v>
      </c>
      <c r="AI1189">
        <v>97.071523083753505</v>
      </c>
      <c r="AJ1189">
        <v>85.229438823848696</v>
      </c>
      <c r="AK1189">
        <v>0.52087489273129695</v>
      </c>
      <c r="AL1189">
        <v>91.338098910478607</v>
      </c>
      <c r="AM1189">
        <v>81.634590169090799</v>
      </c>
      <c r="AN1189">
        <v>1.0000000520275001</v>
      </c>
    </row>
    <row r="1190" spans="1:40" x14ac:dyDescent="0.25">
      <c r="A1190" t="str">
        <f>"20190312161248114"</f>
        <v>20190312161248114</v>
      </c>
      <c r="B1190" t="str">
        <f>"1552378368107009"</f>
        <v>1552378368107009</v>
      </c>
      <c r="C1190" t="s">
        <v>40</v>
      </c>
      <c r="D1190">
        <v>5.8261430000000001</v>
      </c>
      <c r="E1190">
        <v>0.46604839999999997</v>
      </c>
      <c r="F1190" t="s">
        <v>42</v>
      </c>
      <c r="G1190">
        <v>-193.29810000000001</v>
      </c>
      <c r="H1190" s="1">
        <v>-4.2473500000000001E-6</v>
      </c>
      <c r="I1190">
        <v>307.74869999999999</v>
      </c>
      <c r="J1190">
        <v>-192.2055</v>
      </c>
      <c r="K1190">
        <v>1.110927</v>
      </c>
      <c r="L1190">
        <v>322.3741</v>
      </c>
      <c r="M1190">
        <v>-1.7639559999999999E-2</v>
      </c>
      <c r="N1190">
        <v>0</v>
      </c>
      <c r="O1190">
        <v>-0.99974719999999995</v>
      </c>
      <c r="P1190">
        <v>-0.16273099999999999</v>
      </c>
      <c r="Q1190">
        <v>-3.728501E-2</v>
      </c>
      <c r="R1190">
        <v>-0.98596569999999994</v>
      </c>
      <c r="S1190">
        <v>-0.2204285</v>
      </c>
      <c r="T1190">
        <v>-0.22331139999999999</v>
      </c>
      <c r="U1190">
        <v>-2.99823</v>
      </c>
      <c r="V1190">
        <v>0.14535600000000001</v>
      </c>
      <c r="W1190">
        <v>-2.3211869999999999E-2</v>
      </c>
      <c r="X1190">
        <v>0.98910710000000002</v>
      </c>
      <c r="Y1190">
        <v>5.5514880000000003E-2</v>
      </c>
      <c r="Z1190">
        <v>7.4101390000000003E-2</v>
      </c>
      <c r="AA1190">
        <v>0.99570429999999999</v>
      </c>
      <c r="AB1190">
        <v>26</v>
      </c>
      <c r="AC1190">
        <v>-1.0926</v>
      </c>
      <c r="AD1190">
        <v>-1.1109312473499999</v>
      </c>
      <c r="AE1190">
        <v>-14.625400000000001</v>
      </c>
      <c r="AF1190">
        <v>0.82965889429447903</v>
      </c>
      <c r="AG1190">
        <v>-1.1109312473499999</v>
      </c>
      <c r="AH1190">
        <v>14.558863700730999</v>
      </c>
      <c r="AI1190">
        <v>94.356525106012896</v>
      </c>
      <c r="AJ1190">
        <v>86.738440787296099</v>
      </c>
      <c r="AK1190">
        <v>14.6247398053327</v>
      </c>
      <c r="AL1190">
        <v>91.330061632773806</v>
      </c>
      <c r="AM1190">
        <v>81.639836546103894</v>
      </c>
      <c r="AN1190">
        <v>1.00000000645765</v>
      </c>
    </row>
    <row r="1191" spans="1:40" x14ac:dyDescent="0.25">
      <c r="A1191" t="str">
        <f>"20190312161248134"</f>
        <v>20190312161248134</v>
      </c>
      <c r="B1191" t="str">
        <f>"1552378368126528"</f>
        <v>1552378368126528</v>
      </c>
      <c r="C1191" t="s">
        <v>40</v>
      </c>
      <c r="D1191">
        <v>5.8817490000000001</v>
      </c>
      <c r="E1191">
        <v>0.46627269999999998</v>
      </c>
      <c r="F1191" t="s">
        <v>43</v>
      </c>
      <c r="G1191">
        <v>-192.27289999999999</v>
      </c>
      <c r="H1191">
        <v>1.046311</v>
      </c>
      <c r="I1191">
        <v>321.447</v>
      </c>
      <c r="J1191">
        <v>-192.2089</v>
      </c>
      <c r="K1191">
        <v>1.110924</v>
      </c>
      <c r="L1191">
        <v>322.10849999999999</v>
      </c>
      <c r="M1191">
        <v>-1.6496170000000001E-2</v>
      </c>
      <c r="N1191">
        <v>0</v>
      </c>
      <c r="O1191">
        <v>-0.99976659999999995</v>
      </c>
      <c r="P1191">
        <v>-0.16129739999999901</v>
      </c>
      <c r="Q1191">
        <v>-3.7679810000000001E-2</v>
      </c>
      <c r="R1191">
        <v>-0.98618660000000002</v>
      </c>
      <c r="S1191">
        <v>-0.2171478</v>
      </c>
      <c r="T1191">
        <v>-0.2093285</v>
      </c>
      <c r="U1191">
        <v>-2.9989620000000001</v>
      </c>
      <c r="V1191">
        <v>0.14505029999999999</v>
      </c>
      <c r="W1191">
        <v>-2.3609640000000001E-2</v>
      </c>
      <c r="X1191">
        <v>0.98914250000000004</v>
      </c>
      <c r="Y1191">
        <v>5.5579580000000003E-2</v>
      </c>
      <c r="Z1191">
        <v>6.9472439999999996E-2</v>
      </c>
      <c r="AA1191">
        <v>0.99603439999999999</v>
      </c>
      <c r="AB1191">
        <v>26</v>
      </c>
      <c r="AC1191">
        <v>-6.3999999999992896E-2</v>
      </c>
      <c r="AD1191">
        <v>-6.4613000000000004E-2</v>
      </c>
      <c r="AE1191">
        <v>-0.66149999999998899</v>
      </c>
      <c r="AF1191">
        <v>5.2581004075773097E-2</v>
      </c>
      <c r="AG1191">
        <v>-6.4613000000000004E-2</v>
      </c>
      <c r="AH1191">
        <v>0.65626269009710203</v>
      </c>
      <c r="AI1191">
        <v>95.605143625316799</v>
      </c>
      <c r="AJ1191">
        <v>85.419139696268601</v>
      </c>
      <c r="AK1191">
        <v>0.66152877501443696</v>
      </c>
      <c r="AL1191">
        <v>91.352858506095401</v>
      </c>
      <c r="AM1191">
        <v>81.657465558224203</v>
      </c>
      <c r="AN1191">
        <v>0.99999994496863298</v>
      </c>
    </row>
    <row r="1192" spans="1:40" x14ac:dyDescent="0.25">
      <c r="A1192" t="str">
        <f>"20190312161248174"</f>
        <v>20190312161248174</v>
      </c>
      <c r="B1192" t="str">
        <f>"1552378368166545"</f>
        <v>1552378368166545</v>
      </c>
      <c r="C1192" t="s">
        <v>40</v>
      </c>
      <c r="D1192">
        <v>5.6757819999999999</v>
      </c>
      <c r="E1192">
        <v>0.46493469999999998</v>
      </c>
      <c r="F1192" t="s">
        <v>43</v>
      </c>
      <c r="G1192">
        <v>-192.273</v>
      </c>
      <c r="H1192">
        <v>1.0484610000000001</v>
      </c>
      <c r="I1192">
        <v>321.21300000000002</v>
      </c>
      <c r="J1192">
        <v>-192.214</v>
      </c>
      <c r="K1192">
        <v>1.110916</v>
      </c>
      <c r="L1192">
        <v>321.64870000000002</v>
      </c>
      <c r="M1192">
        <v>-1.451587E-2</v>
      </c>
      <c r="N1192">
        <v>0</v>
      </c>
      <c r="O1192">
        <v>-0.99979739999999995</v>
      </c>
      <c r="P1192">
        <v>-0.15805229999999901</v>
      </c>
      <c r="Q1192">
        <v>-3.874151E-2</v>
      </c>
      <c r="R1192">
        <v>-0.98667050000000001</v>
      </c>
      <c r="S1192">
        <v>-0.21463009999999999</v>
      </c>
      <c r="T1192">
        <v>-0.20928369999999999</v>
      </c>
      <c r="U1192">
        <v>-2.9989319999999999</v>
      </c>
      <c r="V1192">
        <v>0.14375829999999901</v>
      </c>
      <c r="W1192">
        <v>-2.4676790000000001E-2</v>
      </c>
      <c r="X1192">
        <v>0.98930510000000005</v>
      </c>
      <c r="Y1192">
        <v>5.672609E-2</v>
      </c>
      <c r="Z1192">
        <v>6.9461380000000003E-2</v>
      </c>
      <c r="AA1192">
        <v>0.99597049999999998</v>
      </c>
      <c r="AB1192">
        <v>26</v>
      </c>
      <c r="AC1192">
        <v>-5.8999999999969001E-2</v>
      </c>
      <c r="AD1192">
        <v>-6.2454999999999899E-2</v>
      </c>
      <c r="AE1192">
        <v>-0.43570000000005299</v>
      </c>
      <c r="AF1192">
        <v>5.1626900181239298E-2</v>
      </c>
      <c r="AG1192">
        <v>-6.2454999999999899E-2</v>
      </c>
      <c r="AH1192">
        <v>0.42787710642249199</v>
      </c>
      <c r="AI1192">
        <v>98.2455479093082</v>
      </c>
      <c r="AJ1192">
        <v>83.120050281971004</v>
      </c>
      <c r="AK1192">
        <v>0.43548224079497</v>
      </c>
      <c r="AL1192">
        <v>91.414019472087006</v>
      </c>
      <c r="AM1192">
        <v>81.732082839130101</v>
      </c>
      <c r="AN1192">
        <v>0.99999998683480196</v>
      </c>
    </row>
    <row r="1193" spans="1:40" x14ac:dyDescent="0.25">
      <c r="A1193" t="str">
        <f>"20190312161248196"</f>
        <v>20190312161248196</v>
      </c>
      <c r="B1193" t="str">
        <f>"1552378368187041"</f>
        <v>1552378368187041</v>
      </c>
      <c r="C1193" t="s">
        <v>40</v>
      </c>
      <c r="D1193">
        <v>5.7042529999999996</v>
      </c>
      <c r="E1193">
        <v>0.4636033</v>
      </c>
      <c r="F1193" t="s">
        <v>43</v>
      </c>
      <c r="G1193">
        <v>-192.27260000000001</v>
      </c>
      <c r="H1193">
        <v>1.050554</v>
      </c>
      <c r="I1193">
        <v>320.74799999999999</v>
      </c>
      <c r="J1193">
        <v>-192.2165</v>
      </c>
      <c r="K1193">
        <v>1.110905</v>
      </c>
      <c r="L1193">
        <v>321.39440000000002</v>
      </c>
      <c r="M1193">
        <v>-1.342145E-2</v>
      </c>
      <c r="N1193">
        <v>0</v>
      </c>
      <c r="O1193">
        <v>-0.99981279999999995</v>
      </c>
      <c r="P1193">
        <v>-0.15699569999999999</v>
      </c>
      <c r="Q1193">
        <v>-4.0222809999999998E-2</v>
      </c>
      <c r="R1193">
        <v>-0.98678010000000005</v>
      </c>
      <c r="S1193">
        <v>-0.19454959999999999</v>
      </c>
      <c r="T1193">
        <v>-0.2013942</v>
      </c>
      <c r="U1193">
        <v>-3.001465</v>
      </c>
      <c r="V1193">
        <v>0.14378529999999901</v>
      </c>
      <c r="W1193">
        <v>-2.616191E-2</v>
      </c>
      <c r="X1193">
        <v>0.98926309999999995</v>
      </c>
      <c r="Y1193">
        <v>5.1137429999999998E-2</v>
      </c>
      <c r="Z1193">
        <v>6.6825510000000005E-2</v>
      </c>
      <c r="AA1193">
        <v>0.99645329999999999</v>
      </c>
      <c r="AB1193">
        <v>26</v>
      </c>
      <c r="AC1193">
        <v>-5.6100000000014902E-2</v>
      </c>
      <c r="AD1193">
        <v>-6.0351000000000002E-2</v>
      </c>
      <c r="AE1193">
        <v>-0.64640000000002795</v>
      </c>
      <c r="AF1193">
        <v>4.7011741100926402E-2</v>
      </c>
      <c r="AG1193">
        <v>-6.0351000000000002E-2</v>
      </c>
      <c r="AH1193">
        <v>0.64154425956795202</v>
      </c>
      <c r="AI1193">
        <v>95.359794612383695</v>
      </c>
      <c r="AJ1193">
        <v>85.808911927892197</v>
      </c>
      <c r="AK1193">
        <v>0.64608930031918399</v>
      </c>
      <c r="AL1193">
        <v>91.499137968983504</v>
      </c>
      <c r="AM1193">
        <v>81.730205240573198</v>
      </c>
      <c r="AN1193">
        <v>1.0000000695262701</v>
      </c>
    </row>
    <row r="1194" spans="1:40" x14ac:dyDescent="0.25">
      <c r="A1194" t="str">
        <f>"20190312161248218"</f>
        <v>20190312161248218</v>
      </c>
      <c r="B1194" t="str">
        <f>"1552378368207073"</f>
        <v>1552378368207073</v>
      </c>
      <c r="C1194" t="s">
        <v>40</v>
      </c>
      <c r="D1194">
        <v>5.6910309999999997</v>
      </c>
      <c r="E1194">
        <v>0.462696</v>
      </c>
      <c r="F1194" t="s">
        <v>42</v>
      </c>
      <c r="G1194">
        <v>-193.24860000000001</v>
      </c>
      <c r="H1194" s="1">
        <v>-2.8794610000000001E-6</v>
      </c>
      <c r="I1194">
        <v>304.28640000000001</v>
      </c>
      <c r="J1194">
        <v>-192.21870000000001</v>
      </c>
      <c r="K1194">
        <v>1.110895</v>
      </c>
      <c r="L1194">
        <v>321.13279999999997</v>
      </c>
      <c r="M1194">
        <v>-1.230405E-2</v>
      </c>
      <c r="N1194">
        <v>0</v>
      </c>
      <c r="O1194">
        <v>-0.99982729999999997</v>
      </c>
      <c r="P1194">
        <v>-0.1562847</v>
      </c>
      <c r="Q1194">
        <v>-4.1279070000000001E-2</v>
      </c>
      <c r="R1194">
        <v>-0.98684939999999999</v>
      </c>
      <c r="S1194">
        <v>-0.18118290000000001</v>
      </c>
      <c r="T1194">
        <v>-0.19502220000000001</v>
      </c>
      <c r="U1194">
        <v>-3.0033569999999998</v>
      </c>
      <c r="V1194">
        <v>0.14418</v>
      </c>
      <c r="W1194">
        <v>-2.7223199999999999E-2</v>
      </c>
      <c r="X1194">
        <v>0.98917690000000003</v>
      </c>
      <c r="Y1194">
        <v>4.7803690000000003E-2</v>
      </c>
      <c r="Z1194">
        <v>6.4695359999999993E-2</v>
      </c>
      <c r="AA1194">
        <v>0.99675939999999996</v>
      </c>
      <c r="AB1194">
        <v>26</v>
      </c>
      <c r="AC1194">
        <v>-1.02989999999999</v>
      </c>
      <c r="AD1194">
        <v>-1.110897879461</v>
      </c>
      <c r="AE1194">
        <v>-16.8463999999999</v>
      </c>
      <c r="AF1194">
        <v>0.81897496124564095</v>
      </c>
      <c r="AG1194">
        <v>-1.110897879461</v>
      </c>
      <c r="AH1194">
        <v>16.7850804545198</v>
      </c>
      <c r="AI1194">
        <v>93.782035473420194</v>
      </c>
      <c r="AJ1194">
        <v>87.206648741330298</v>
      </c>
      <c r="AK1194">
        <v>16.8417261570909</v>
      </c>
      <c r="AL1194">
        <v>91.559967254639005</v>
      </c>
      <c r="AM1194">
        <v>81.707106802918005</v>
      </c>
      <c r="AN1194">
        <v>0.99999995725592405</v>
      </c>
    </row>
    <row r="1195" spans="1:40" x14ac:dyDescent="0.25">
      <c r="A1195" t="str">
        <f>"20190312161248244"</f>
        <v>20190312161248244</v>
      </c>
      <c r="B1195" t="str">
        <f>"1552378368237323"</f>
        <v>1552378368237323</v>
      </c>
      <c r="C1195" t="s">
        <v>40</v>
      </c>
      <c r="D1195">
        <v>5.781053</v>
      </c>
      <c r="E1195">
        <v>0.46203060000000001</v>
      </c>
      <c r="F1195" t="s">
        <v>42</v>
      </c>
      <c r="G1195">
        <v>-193.226</v>
      </c>
      <c r="H1195" s="1">
        <v>-2.5526209999999999E-6</v>
      </c>
      <c r="I1195">
        <v>303.5385</v>
      </c>
      <c r="J1195">
        <v>-192.2208</v>
      </c>
      <c r="K1195">
        <v>1.1108789999999999</v>
      </c>
      <c r="L1195">
        <v>320.84879999999998</v>
      </c>
      <c r="M1195">
        <v>-1.111548E-2</v>
      </c>
      <c r="N1195">
        <v>0</v>
      </c>
      <c r="O1195">
        <v>-0.99984110000000004</v>
      </c>
      <c r="P1195">
        <v>-0.1559786</v>
      </c>
      <c r="Q1195">
        <v>-4.1966360000000001E-2</v>
      </c>
      <c r="R1195">
        <v>-0.98686859999999998</v>
      </c>
      <c r="S1195">
        <v>-0.1720276</v>
      </c>
      <c r="T1195">
        <v>-0.1897228</v>
      </c>
      <c r="U1195">
        <v>-3.0048219999999999</v>
      </c>
      <c r="V1195">
        <v>0.14504929999999999</v>
      </c>
      <c r="W1195">
        <v>-2.791944E-2</v>
      </c>
      <c r="X1195">
        <v>0.98903039999999998</v>
      </c>
      <c r="Y1195">
        <v>4.5941740000000002E-2</v>
      </c>
      <c r="Z1195">
        <v>6.2923569999999998E-2</v>
      </c>
      <c r="AA1195">
        <v>0.99696030000000002</v>
      </c>
      <c r="AB1195">
        <v>26</v>
      </c>
      <c r="AC1195">
        <v>-1.0052000000000001</v>
      </c>
      <c r="AD1195">
        <v>-1.1108815526209901</v>
      </c>
      <c r="AE1195">
        <v>-17.310299999999899</v>
      </c>
      <c r="AF1195">
        <v>0.80938475567072798</v>
      </c>
      <c r="AG1195">
        <v>-1.1108815526209901</v>
      </c>
      <c r="AH1195">
        <v>17.2496030903622</v>
      </c>
      <c r="AI1195">
        <v>93.680744834094796</v>
      </c>
      <c r="AJ1195">
        <v>87.313541562610894</v>
      </c>
      <c r="AK1195">
        <v>17.304276011486198</v>
      </c>
      <c r="AL1195">
        <v>91.599874031950094</v>
      </c>
      <c r="AM1195">
        <v>81.656590009246102</v>
      </c>
      <c r="AN1195">
        <v>0.99999996334228103</v>
      </c>
    </row>
    <row r="1196" spans="1:40" x14ac:dyDescent="0.25">
      <c r="A1196" t="str">
        <f>"20190312161248275"</f>
        <v>20190312161248275</v>
      </c>
      <c r="B1196" t="str">
        <f>"1552378368266603"</f>
        <v>1552378368266603</v>
      </c>
      <c r="C1196" t="s">
        <v>40</v>
      </c>
      <c r="D1196">
        <v>5.6932869999999998</v>
      </c>
      <c r="E1196">
        <v>0.46140219999999998</v>
      </c>
      <c r="F1196" t="s">
        <v>42</v>
      </c>
      <c r="G1196">
        <v>-193.2208</v>
      </c>
      <c r="H1196" s="1">
        <v>-2.2228440000000001E-6</v>
      </c>
      <c r="I1196">
        <v>302.77300000000002</v>
      </c>
      <c r="J1196">
        <v>-192.22309999999999</v>
      </c>
      <c r="K1196">
        <v>1.1108450000000001</v>
      </c>
      <c r="L1196">
        <v>320.48239999999998</v>
      </c>
      <c r="M1196">
        <v>-9.6665559999999998E-3</v>
      </c>
      <c r="N1196">
        <v>0</v>
      </c>
      <c r="O1196">
        <v>-0.99985639999999998</v>
      </c>
      <c r="P1196">
        <v>-0.15617899999999901</v>
      </c>
      <c r="Q1196">
        <v>-4.0710240000000002E-2</v>
      </c>
      <c r="R1196">
        <v>-0.98688980000000004</v>
      </c>
      <c r="S1196">
        <v>-0.166290299999999</v>
      </c>
      <c r="T1196">
        <v>-0.184729</v>
      </c>
      <c r="U1196">
        <v>-3.0058289999999999</v>
      </c>
      <c r="V1196">
        <v>0.14667649999999999</v>
      </c>
      <c r="W1196">
        <v>-2.668417E-2</v>
      </c>
      <c r="X1196">
        <v>0.9888245</v>
      </c>
      <c r="Y1196">
        <v>4.547909E-2</v>
      </c>
      <c r="Z1196">
        <v>6.1258510000000002E-2</v>
      </c>
      <c r="AA1196">
        <v>0.99708529999999995</v>
      </c>
      <c r="AB1196">
        <v>26</v>
      </c>
      <c r="AC1196">
        <v>-0.99770000000000802</v>
      </c>
      <c r="AD1196">
        <v>-1.1108472228440001</v>
      </c>
      <c r="AE1196">
        <v>-17.709399999999999</v>
      </c>
      <c r="AF1196">
        <v>0.82321909126491999</v>
      </c>
      <c r="AG1196">
        <v>-1.1108472228440001</v>
      </c>
      <c r="AH1196">
        <v>17.648995578025499</v>
      </c>
      <c r="AI1196">
        <v>93.597607431257501</v>
      </c>
      <c r="AJ1196">
        <v>87.329433423327501</v>
      </c>
      <c r="AK1196">
        <v>17.7030708109607</v>
      </c>
      <c r="AL1196">
        <v>91.529071870447098</v>
      </c>
      <c r="AM1196">
        <v>81.562599711500695</v>
      </c>
      <c r="AN1196">
        <v>0.99999996619054299</v>
      </c>
    </row>
    <row r="1197" spans="1:40" x14ac:dyDescent="0.25">
      <c r="A1197" t="str">
        <f>"20190312161248296"</f>
        <v>20190312161248296</v>
      </c>
      <c r="B1197" t="str">
        <f>"1552378368287099"</f>
        <v>1552378368287099</v>
      </c>
      <c r="C1197" t="s">
        <v>40</v>
      </c>
      <c r="D1197">
        <v>5.6189039999999997</v>
      </c>
      <c r="E1197">
        <v>0.46123120000000001</v>
      </c>
      <c r="F1197" t="s">
        <v>42</v>
      </c>
      <c r="G1197">
        <v>-193.24430000000001</v>
      </c>
      <c r="H1197" s="1">
        <v>-1.6957379999999999E-6</v>
      </c>
      <c r="I1197">
        <v>301.52969999999999</v>
      </c>
      <c r="J1197">
        <v>-192.2244</v>
      </c>
      <c r="K1197">
        <v>1.1107990000000001</v>
      </c>
      <c r="L1197">
        <v>320.23950000000002</v>
      </c>
      <c r="M1197">
        <v>-8.7799430000000001E-3</v>
      </c>
      <c r="N1197">
        <v>0</v>
      </c>
      <c r="O1197">
        <v>-0.99986450000000004</v>
      </c>
      <c r="P1197">
        <v>-0.15555099999999999</v>
      </c>
      <c r="Q1197">
        <v>-3.9682950000000002E-2</v>
      </c>
      <c r="R1197">
        <v>-0.98703079999999999</v>
      </c>
      <c r="S1197">
        <v>-0.16201779999999999</v>
      </c>
      <c r="T1197">
        <v>-0.17624129999999999</v>
      </c>
      <c r="U1197">
        <v>-3.0069270000000001</v>
      </c>
      <c r="V1197">
        <v>0.14691879999999999</v>
      </c>
      <c r="W1197">
        <v>-2.5676549999999999E-2</v>
      </c>
      <c r="X1197">
        <v>0.98881520000000001</v>
      </c>
      <c r="Y1197">
        <v>4.4941380000000003E-2</v>
      </c>
      <c r="Z1197">
        <v>5.8436160000000001E-2</v>
      </c>
      <c r="AA1197">
        <v>0.99727900000000003</v>
      </c>
      <c r="AB1197">
        <v>26</v>
      </c>
      <c r="AC1197">
        <v>-1.0199</v>
      </c>
      <c r="AD1197">
        <v>-1.1108006957380001</v>
      </c>
      <c r="AE1197">
        <v>-18.709800000000001</v>
      </c>
      <c r="AF1197">
        <v>0.85257751696525497</v>
      </c>
      <c r="AG1197">
        <v>-1.1108006957380001</v>
      </c>
      <c r="AH1197">
        <v>18.6524828217863</v>
      </c>
      <c r="AI1197">
        <v>93.404531588752704</v>
      </c>
      <c r="AJ1197">
        <v>87.382915891740495</v>
      </c>
      <c r="AK1197">
        <v>18.7049694473186</v>
      </c>
      <c r="AL1197">
        <v>91.471319707324199</v>
      </c>
      <c r="AM1197">
        <v>81.548784460506596</v>
      </c>
      <c r="AN1197">
        <v>0.99999995938219</v>
      </c>
    </row>
    <row r="1198" spans="1:40" x14ac:dyDescent="0.25">
      <c r="A1198" t="str">
        <f>"20190312161248319"</f>
        <v>20190312161248319</v>
      </c>
      <c r="B1198" t="str">
        <f>"1552378368307126"</f>
        <v>1552378368307126</v>
      </c>
      <c r="C1198" t="s">
        <v>40</v>
      </c>
      <c r="D1198">
        <v>5.6752729999999998</v>
      </c>
      <c r="E1198">
        <v>0.46088020000000002</v>
      </c>
      <c r="F1198" t="s">
        <v>42</v>
      </c>
      <c r="G1198">
        <v>-193.25829999999999</v>
      </c>
      <c r="H1198" s="1">
        <v>-1.3349149999999999E-6</v>
      </c>
      <c r="I1198">
        <v>300.68</v>
      </c>
      <c r="J1198">
        <v>-192.22569999999999</v>
      </c>
      <c r="K1198">
        <v>1.110735</v>
      </c>
      <c r="L1198">
        <v>319.97770000000003</v>
      </c>
      <c r="M1198">
        <v>-7.9026909999999999E-3</v>
      </c>
      <c r="N1198">
        <v>0</v>
      </c>
      <c r="O1198">
        <v>-0.99987210000000004</v>
      </c>
      <c r="P1198">
        <v>-0.15449930000000001</v>
      </c>
      <c r="Q1198">
        <v>-3.9623400000000003E-2</v>
      </c>
      <c r="R1198">
        <v>-0.98719849999999998</v>
      </c>
      <c r="S1198">
        <v>-0.1589661</v>
      </c>
      <c r="T1198">
        <v>-0.17079710000000001</v>
      </c>
      <c r="U1198">
        <v>-3.0074770000000002</v>
      </c>
      <c r="V1198">
        <v>0.1467289</v>
      </c>
      <c r="W1198">
        <v>-2.5641879999999999E-2</v>
      </c>
      <c r="X1198">
        <v>0.98884430000000001</v>
      </c>
      <c r="Y1198">
        <v>4.4804490000000002E-2</v>
      </c>
      <c r="Z1198">
        <v>5.6628959999999999E-2</v>
      </c>
      <c r="AA1198">
        <v>0.99738939999999998</v>
      </c>
      <c r="AB1198">
        <v>26</v>
      </c>
      <c r="AC1198">
        <v>-1.0326</v>
      </c>
      <c r="AD1198">
        <v>-1.1107363349149999</v>
      </c>
      <c r="AE1198">
        <v>-19.297699999999999</v>
      </c>
      <c r="AF1198">
        <v>0.87715160895979705</v>
      </c>
      <c r="AG1198">
        <v>-1.1107363349149999</v>
      </c>
      <c r="AH1198">
        <v>19.2416942042112</v>
      </c>
      <c r="AI1198">
        <v>93.300341070022299</v>
      </c>
      <c r="AJ1198">
        <v>87.389922362781803</v>
      </c>
      <c r="AK1198">
        <v>19.293675803204899</v>
      </c>
      <c r="AL1198">
        <v>91.469332603180106</v>
      </c>
      <c r="AM1198">
        <v>81.559795442448404</v>
      </c>
      <c r="AN1198">
        <v>0.99999996287381598</v>
      </c>
    </row>
    <row r="1199" spans="1:40" x14ac:dyDescent="0.25">
      <c r="A1199" t="str">
        <f>"20190312161248342"</f>
        <v>20190312161248342</v>
      </c>
      <c r="B1199" t="str">
        <f>"1552378368336404"</f>
        <v>1552378368336404</v>
      </c>
      <c r="C1199" t="s">
        <v>40</v>
      </c>
      <c r="D1199">
        <v>5.7767549999999996</v>
      </c>
      <c r="E1199">
        <v>0.46056249999999999</v>
      </c>
      <c r="F1199" t="s">
        <v>42</v>
      </c>
      <c r="G1199">
        <v>-193.2329</v>
      </c>
      <c r="H1199" s="1">
        <v>-1.111336E-6</v>
      </c>
      <c r="I1199">
        <v>300.1746</v>
      </c>
      <c r="J1199">
        <v>-192.2268</v>
      </c>
      <c r="K1199">
        <v>1.110663</v>
      </c>
      <c r="L1199">
        <v>319.71800000000002</v>
      </c>
      <c r="M1199">
        <v>-7.141568E-3</v>
      </c>
      <c r="N1199">
        <v>0</v>
      </c>
      <c r="O1199">
        <v>-0.99987760000000003</v>
      </c>
      <c r="P1199">
        <v>-0.1539838</v>
      </c>
      <c r="Q1199">
        <v>-3.9852489999999997E-2</v>
      </c>
      <c r="R1199">
        <v>-0.98726970000000003</v>
      </c>
      <c r="S1199">
        <v>-0.15299989999999999</v>
      </c>
      <c r="T1199">
        <v>-0.1687255</v>
      </c>
      <c r="U1199">
        <v>-3.0081790000000002</v>
      </c>
      <c r="V1199">
        <v>0.14696099999999901</v>
      </c>
      <c r="W1199">
        <v>-2.5900699999999999E-2</v>
      </c>
      <c r="X1199">
        <v>0.98880310000000005</v>
      </c>
      <c r="Y1199">
        <v>4.3581780000000001E-2</v>
      </c>
      <c r="Z1199">
        <v>5.5936119999999999E-2</v>
      </c>
      <c r="AA1199">
        <v>0.99748270000000006</v>
      </c>
      <c r="AB1199">
        <v>26</v>
      </c>
      <c r="AC1199">
        <v>-1.0061</v>
      </c>
      <c r="AD1199">
        <v>-1.1106641113359901</v>
      </c>
      <c r="AE1199">
        <v>-19.543399999999998</v>
      </c>
      <c r="AF1199">
        <v>0.86370812853353995</v>
      </c>
      <c r="AG1199">
        <v>-1.1106641113359901</v>
      </c>
      <c r="AH1199">
        <v>19.4873150852012</v>
      </c>
      <c r="AI1199">
        <v>93.258806342888604</v>
      </c>
      <c r="AJ1199">
        <v>87.462222761991399</v>
      </c>
      <c r="AK1199">
        <v>19.5380402223308</v>
      </c>
      <c r="AL1199">
        <v>91.484166804641504</v>
      </c>
      <c r="AM1199">
        <v>81.546290107357393</v>
      </c>
      <c r="AN1199">
        <v>0.99999997617554903</v>
      </c>
    </row>
    <row r="1200" spans="1:40" x14ac:dyDescent="0.25">
      <c r="A1200" t="str">
        <f>"20190312161248363"</f>
        <v>20190312161248363</v>
      </c>
      <c r="B1200" t="str">
        <f>"1552378368356901"</f>
        <v>1552378368356901</v>
      </c>
      <c r="C1200" t="s">
        <v>40</v>
      </c>
      <c r="D1200">
        <v>5.7690570000000001</v>
      </c>
      <c r="E1200">
        <v>0.4603006</v>
      </c>
      <c r="F1200" t="s">
        <v>42</v>
      </c>
      <c r="G1200">
        <v>-193.21</v>
      </c>
      <c r="H1200" s="1">
        <v>-9.7926030000000008E-7</v>
      </c>
      <c r="I1200">
        <v>299.8809</v>
      </c>
      <c r="J1200">
        <v>-192.2278</v>
      </c>
      <c r="K1200">
        <v>1.1105830000000001</v>
      </c>
      <c r="L1200">
        <v>319.4708</v>
      </c>
      <c r="M1200">
        <v>-6.5412619999999999E-3</v>
      </c>
      <c r="N1200">
        <v>0</v>
      </c>
      <c r="O1200">
        <v>-0.99988160000000004</v>
      </c>
      <c r="P1200">
        <v>-0.15489530000000001</v>
      </c>
      <c r="Q1200">
        <v>-3.9577719999999997E-2</v>
      </c>
      <c r="R1200">
        <v>-0.98713799999999996</v>
      </c>
      <c r="S1200">
        <v>-0.14912410000000001</v>
      </c>
      <c r="T1200">
        <v>-0.1684523</v>
      </c>
      <c r="U1200">
        <v>-3.008667</v>
      </c>
      <c r="V1200">
        <v>0.14846119999999999</v>
      </c>
      <c r="W1200">
        <v>-2.566017E-2</v>
      </c>
      <c r="X1200">
        <v>0.9885853</v>
      </c>
      <c r="Y1200">
        <v>4.289192E-2</v>
      </c>
      <c r="Z1200">
        <v>5.5839779999999999E-2</v>
      </c>
      <c r="AA1200">
        <v>0.99751800000000002</v>
      </c>
      <c r="AB1200">
        <v>26</v>
      </c>
      <c r="AC1200">
        <v>-0.98220000000000596</v>
      </c>
      <c r="AD1200">
        <v>-1.1105839792603001</v>
      </c>
      <c r="AE1200">
        <v>-19.5899</v>
      </c>
      <c r="AF1200">
        <v>0.851294729115741</v>
      </c>
      <c r="AG1200">
        <v>-1.1105839792603001</v>
      </c>
      <c r="AH1200">
        <v>19.533284784361499</v>
      </c>
      <c r="AI1200">
        <v>93.251024744851094</v>
      </c>
      <c r="AJ1200">
        <v>87.504528816660596</v>
      </c>
      <c r="AK1200">
        <v>19.583342767714001</v>
      </c>
      <c r="AL1200">
        <v>91.470380783639897</v>
      </c>
      <c r="AM1200">
        <v>81.459405700813605</v>
      </c>
      <c r="AN1200">
        <v>1.00000003380297</v>
      </c>
    </row>
    <row r="1201" spans="1:40" x14ac:dyDescent="0.25">
      <c r="A1201" t="str">
        <f>"20190312161248387"</f>
        <v>20190312161248387</v>
      </c>
      <c r="B1201" t="str">
        <f>"1552378368376421"</f>
        <v>1552378368376421</v>
      </c>
      <c r="C1201" t="s">
        <v>40</v>
      </c>
      <c r="D1201">
        <v>5.7164979999999996</v>
      </c>
      <c r="E1201">
        <v>0.46006190000000002</v>
      </c>
      <c r="F1201" t="s">
        <v>63</v>
      </c>
      <c r="G1201">
        <v>-193.24619999999999</v>
      </c>
      <c r="H1201" s="1">
        <v>1.041211E-7</v>
      </c>
      <c r="I1201">
        <v>299.02510000000001</v>
      </c>
      <c r="J1201">
        <v>-192.22890000000001</v>
      </c>
      <c r="K1201">
        <v>1.110482</v>
      </c>
      <c r="L1201">
        <v>319.20240000000001</v>
      </c>
      <c r="M1201">
        <v>-6.0401559999999997E-3</v>
      </c>
      <c r="N1201">
        <v>0</v>
      </c>
      <c r="O1201">
        <v>-0.99988500000000002</v>
      </c>
      <c r="P1201">
        <v>-0.15626679999999901</v>
      </c>
      <c r="Q1201">
        <v>-3.868887E-2</v>
      </c>
      <c r="R1201">
        <v>-0.98695679999999997</v>
      </c>
      <c r="S1201">
        <v>-0.1498871</v>
      </c>
      <c r="T1201">
        <v>-0.16344520000000001</v>
      </c>
      <c r="U1201">
        <v>-3.0090029999999999</v>
      </c>
      <c r="V1201">
        <v>0.1503217</v>
      </c>
      <c r="W1201">
        <v>-2.4814650000000001E-2</v>
      </c>
      <c r="X1201">
        <v>0.98832569999999997</v>
      </c>
      <c r="Y1201">
        <v>4.3643960000000002E-2</v>
      </c>
      <c r="Z1201">
        <v>5.4177980000000001E-2</v>
      </c>
      <c r="AA1201">
        <v>0.99757700000000005</v>
      </c>
      <c r="AB1201">
        <v>26</v>
      </c>
      <c r="AC1201">
        <v>-1.0172999999999699</v>
      </c>
      <c r="AD1201">
        <v>-1.11048189587889</v>
      </c>
      <c r="AE1201">
        <v>-20.177299999999999</v>
      </c>
      <c r="AF1201">
        <v>0.892698493306323</v>
      </c>
      <c r="AG1201">
        <v>-1.11048189587889</v>
      </c>
      <c r="AH1201">
        <v>20.122281589866599</v>
      </c>
      <c r="AI1201">
        <v>93.155662076808298</v>
      </c>
      <c r="AJ1201">
        <v>87.459813884987497</v>
      </c>
      <c r="AK1201">
        <v>20.172662120377399</v>
      </c>
      <c r="AL1201">
        <v>91.421920619653605</v>
      </c>
      <c r="AM1201">
        <v>81.351746840749996</v>
      </c>
      <c r="AN1201">
        <v>1.000000034813</v>
      </c>
    </row>
    <row r="1202" spans="1:40" x14ac:dyDescent="0.25">
      <c r="A1202" t="str">
        <f>"20190312161248408"</f>
        <v>20190312161248408</v>
      </c>
      <c r="B1202" t="str">
        <f>"1552378368396449"</f>
        <v>1552378368396449</v>
      </c>
      <c r="C1202" t="s">
        <v>40</v>
      </c>
      <c r="D1202">
        <v>9.1541409999999992</v>
      </c>
      <c r="E1202">
        <v>0.4599705</v>
      </c>
      <c r="F1202" t="s">
        <v>63</v>
      </c>
      <c r="G1202">
        <v>-193.29470000000001</v>
      </c>
      <c r="H1202" s="1">
        <v>2.603726E-7</v>
      </c>
      <c r="I1202">
        <v>298.1379</v>
      </c>
      <c r="J1202">
        <v>-192.22989999999999</v>
      </c>
      <c r="K1202">
        <v>1.1103749999999999</v>
      </c>
      <c r="L1202">
        <v>318.96140000000003</v>
      </c>
      <c r="M1202">
        <v>-5.7419469999999998E-3</v>
      </c>
      <c r="N1202">
        <v>0</v>
      </c>
      <c r="O1202">
        <v>-0.99988670000000002</v>
      </c>
      <c r="P1202">
        <v>-0.1578832</v>
      </c>
      <c r="Q1202">
        <v>-3.8961370000000002E-2</v>
      </c>
      <c r="R1202">
        <v>-0.98668920000000004</v>
      </c>
      <c r="S1202">
        <v>-0.1522675</v>
      </c>
      <c r="T1202">
        <v>-0.15864500000000001</v>
      </c>
      <c r="U1202">
        <v>-3.0093079999999999</v>
      </c>
      <c r="V1202">
        <v>0.152228</v>
      </c>
      <c r="W1202">
        <v>-2.5132129999999999E-2</v>
      </c>
      <c r="X1202">
        <v>0.98802579999999995</v>
      </c>
      <c r="Y1202">
        <v>4.4728270000000001E-2</v>
      </c>
      <c r="Z1202">
        <v>5.2583820000000003E-2</v>
      </c>
      <c r="AA1202">
        <v>0.99761429999999995</v>
      </c>
      <c r="AB1202">
        <v>26</v>
      </c>
      <c r="AC1202">
        <v>-1.06480000000001</v>
      </c>
      <c r="AD1202">
        <v>-1.1103747396274</v>
      </c>
      <c r="AE1202">
        <v>-20.823499999999999</v>
      </c>
      <c r="AF1202">
        <v>0.94253046970124499</v>
      </c>
      <c r="AG1202">
        <v>-1.1103747396274</v>
      </c>
      <c r="AH1202">
        <v>20.770367679292299</v>
      </c>
      <c r="AI1202">
        <v>93.056954395995604</v>
      </c>
      <c r="AJ1202">
        <v>87.401779470795603</v>
      </c>
      <c r="AK1202">
        <v>20.821370494799599</v>
      </c>
      <c r="AL1202">
        <v>91.440116630371705</v>
      </c>
      <c r="AM1202">
        <v>81.241146972153203</v>
      </c>
      <c r="AN1202">
        <v>0.99999998470398799</v>
      </c>
    </row>
    <row r="1203" spans="1:40" x14ac:dyDescent="0.25">
      <c r="A1203" t="str">
        <f>"20190312161248433"</f>
        <v>20190312161248433</v>
      </c>
      <c r="B1203" t="str">
        <f>"1552378368426706"</f>
        <v>1552378368426706</v>
      </c>
      <c r="C1203" t="s">
        <v>40</v>
      </c>
      <c r="D1203">
        <v>5.6945750000000004</v>
      </c>
      <c r="E1203">
        <v>0.45972740000000001</v>
      </c>
      <c r="F1203" t="s">
        <v>63</v>
      </c>
      <c r="G1203">
        <v>-193.32749999999999</v>
      </c>
      <c r="H1203" s="1">
        <v>3.2290179999999998E-7</v>
      </c>
      <c r="I1203">
        <v>297.85739999999998</v>
      </c>
      <c r="J1203">
        <v>-192.2312</v>
      </c>
      <c r="K1203">
        <v>1.1102449999999999</v>
      </c>
      <c r="L1203">
        <v>318.67660000000001</v>
      </c>
      <c r="M1203">
        <v>-5.5717539999999999E-3</v>
      </c>
      <c r="N1203">
        <v>0</v>
      </c>
      <c r="O1203">
        <v>-0.99988779999999999</v>
      </c>
      <c r="P1203">
        <v>-0.16040199999999999</v>
      </c>
      <c r="Q1203">
        <v>-3.980123E-2</v>
      </c>
      <c r="R1203">
        <v>-0.98624900000000004</v>
      </c>
      <c r="S1203">
        <v>-0.15650939999999999</v>
      </c>
      <c r="T1203">
        <v>-0.15832479999999999</v>
      </c>
      <c r="U1203">
        <v>-3.0091549999999998</v>
      </c>
      <c r="V1203">
        <v>0.15490989999999999</v>
      </c>
      <c r="W1203">
        <v>-2.6026589999999999E-2</v>
      </c>
      <c r="X1203">
        <v>0.98758570000000001</v>
      </c>
      <c r="Y1203">
        <v>4.6303730000000001E-2</v>
      </c>
      <c r="Z1203">
        <v>5.2476950000000001E-2</v>
      </c>
      <c r="AA1203">
        <v>0.99754799999999999</v>
      </c>
      <c r="AB1203">
        <v>26</v>
      </c>
      <c r="AC1203">
        <v>-1.0962999999999801</v>
      </c>
      <c r="AD1203">
        <v>-1.1102446770982</v>
      </c>
      <c r="AE1203">
        <v>-20.819199999999999</v>
      </c>
      <c r="AF1203">
        <v>0.97750010959717004</v>
      </c>
      <c r="AG1203">
        <v>-1.1102446770982</v>
      </c>
      <c r="AH1203">
        <v>20.766092969185699</v>
      </c>
      <c r="AI1203">
        <v>93.056986681505705</v>
      </c>
      <c r="AJ1203">
        <v>87.304966328179802</v>
      </c>
      <c r="AK1203">
        <v>20.818711941716</v>
      </c>
      <c r="AL1203">
        <v>91.491382185746701</v>
      </c>
      <c r="AM1203">
        <v>81.085384690307706</v>
      </c>
      <c r="AN1203">
        <v>0.99999998767476395</v>
      </c>
    </row>
    <row r="1204" spans="1:40" x14ac:dyDescent="0.25">
      <c r="A1204" t="str">
        <f>"20190312161248456"</f>
        <v>20190312161248456</v>
      </c>
      <c r="B1204" t="str">
        <f>"1552378368447202"</f>
        <v>1552378368447202</v>
      </c>
      <c r="C1204" t="s">
        <v>40</v>
      </c>
      <c r="D1204">
        <v>5.722289</v>
      </c>
      <c r="E1204">
        <v>0.45956550000000002</v>
      </c>
      <c r="F1204" t="s">
        <v>63</v>
      </c>
      <c r="G1204">
        <v>-193.37479999999999</v>
      </c>
      <c r="H1204" s="1">
        <v>4.5172360000000001E-7</v>
      </c>
      <c r="I1204">
        <v>297.48110000000003</v>
      </c>
      <c r="J1204">
        <v>-192.23259999999999</v>
      </c>
      <c r="K1204">
        <v>1.1101399999999999</v>
      </c>
      <c r="L1204">
        <v>318.41109999999998</v>
      </c>
      <c r="M1204">
        <v>-5.5601119999999999E-3</v>
      </c>
      <c r="N1204">
        <v>0</v>
      </c>
      <c r="O1204">
        <v>-0.99988770000000005</v>
      </c>
      <c r="P1204">
        <v>-0.16326170000000001</v>
      </c>
      <c r="Q1204">
        <v>-4.0412499999999997E-2</v>
      </c>
      <c r="R1204">
        <v>-0.98575489999999999</v>
      </c>
      <c r="S1204">
        <v>-0.16235350000000001</v>
      </c>
      <c r="T1204">
        <v>-0.1576166</v>
      </c>
      <c r="U1204">
        <v>-3.0090330000000001</v>
      </c>
      <c r="V1204">
        <v>0.15777720000000001</v>
      </c>
      <c r="W1204">
        <v>-2.668655E-2</v>
      </c>
      <c r="X1204">
        <v>0.98711409999999999</v>
      </c>
      <c r="Y1204">
        <v>4.8250029999999999E-2</v>
      </c>
      <c r="Z1204">
        <v>5.2239880000000002E-2</v>
      </c>
      <c r="AA1204">
        <v>0.99746820000000003</v>
      </c>
      <c r="AB1204">
        <v>26</v>
      </c>
      <c r="AC1204">
        <v>-1.1422000000000001</v>
      </c>
      <c r="AD1204">
        <v>-1.1101395482763901</v>
      </c>
      <c r="AE1204">
        <v>-20.9299999999999</v>
      </c>
      <c r="AF1204">
        <v>1.0229286616372399</v>
      </c>
      <c r="AG1204">
        <v>-1.1101395482763901</v>
      </c>
      <c r="AH1204">
        <v>20.877467520184702</v>
      </c>
      <c r="AI1204">
        <v>93.040142018296194</v>
      </c>
      <c r="AJ1204">
        <v>87.194934612000395</v>
      </c>
      <c r="AK1204">
        <v>20.931971787670101</v>
      </c>
      <c r="AL1204">
        <v>91.529208182930105</v>
      </c>
      <c r="AM1204">
        <v>80.918838258657004</v>
      </c>
      <c r="AN1204">
        <v>1.0000000316047699</v>
      </c>
    </row>
    <row r="1205" spans="1:40" x14ac:dyDescent="0.25">
      <c r="A1205" t="str">
        <f>"20190312161248476"</f>
        <v>20190312161248476</v>
      </c>
      <c r="B1205" t="str">
        <f>"1552378368466721"</f>
        <v>1552378368466721</v>
      </c>
      <c r="C1205" t="s">
        <v>40</v>
      </c>
      <c r="D1205">
        <v>5.6657289999999998</v>
      </c>
      <c r="E1205">
        <v>0.45934560000000002</v>
      </c>
      <c r="F1205" t="s">
        <v>63</v>
      </c>
      <c r="G1205">
        <v>-193.43010000000001</v>
      </c>
      <c r="H1205" s="1">
        <v>5.4481719999999999E-7</v>
      </c>
      <c r="I1205">
        <v>297.20389999999998</v>
      </c>
      <c r="J1205">
        <v>-192.23390000000001</v>
      </c>
      <c r="K1205">
        <v>1.1100719999999999</v>
      </c>
      <c r="L1205">
        <v>318.1841</v>
      </c>
      <c r="M1205">
        <v>-5.6473180000000001E-3</v>
      </c>
      <c r="N1205">
        <v>0</v>
      </c>
      <c r="O1205">
        <v>-0.99988770000000005</v>
      </c>
      <c r="P1205">
        <v>-0.16508979999999901</v>
      </c>
      <c r="Q1205">
        <v>-3.9394039999999998E-2</v>
      </c>
      <c r="R1205">
        <v>-0.98549209999999998</v>
      </c>
      <c r="S1205">
        <v>-0.1698914</v>
      </c>
      <c r="T1205">
        <v>-0.1575019</v>
      </c>
      <c r="U1205">
        <v>-3.0087890000000002</v>
      </c>
      <c r="V1205">
        <v>0.15951599999999999</v>
      </c>
      <c r="W1205">
        <v>-2.5703130000000001E-2</v>
      </c>
      <c r="X1205">
        <v>0.98686070000000004</v>
      </c>
      <c r="Y1205">
        <v>5.0658599999999998E-2</v>
      </c>
      <c r="Z1205">
        <v>5.2199450000000001E-2</v>
      </c>
      <c r="AA1205">
        <v>0.99735090000000004</v>
      </c>
      <c r="AB1205">
        <v>25</v>
      </c>
      <c r="AC1205">
        <v>-1.1961999999999999</v>
      </c>
      <c r="AD1205">
        <v>-1.1100714551827999</v>
      </c>
      <c r="AE1205">
        <v>-20.9802</v>
      </c>
      <c r="AF1205">
        <v>1.0746887857390901</v>
      </c>
      <c r="AG1205">
        <v>-1.1100714551827999</v>
      </c>
      <c r="AH1205">
        <v>20.928222347280101</v>
      </c>
      <c r="AI1205">
        <v>93.032240563087896</v>
      </c>
      <c r="AJ1205">
        <v>87.0603765197515</v>
      </c>
      <c r="AK1205">
        <v>20.985178227477601</v>
      </c>
      <c r="AL1205">
        <v>91.472843038015</v>
      </c>
      <c r="AM1205">
        <v>80.8181362294862</v>
      </c>
      <c r="AN1205">
        <v>1.0000000231761399</v>
      </c>
    </row>
    <row r="1206" spans="1:40" x14ac:dyDescent="0.25">
      <c r="A1206" t="str">
        <f>"20190312161248498"</f>
        <v>20190312161248498</v>
      </c>
      <c r="B1206" t="str">
        <f>"1552378368487217"</f>
        <v>1552378368487217</v>
      </c>
      <c r="C1206" t="s">
        <v>40</v>
      </c>
      <c r="D1206">
        <v>5.6326929999999997</v>
      </c>
      <c r="E1206">
        <v>0.45921659999999997</v>
      </c>
      <c r="F1206" t="s">
        <v>63</v>
      </c>
      <c r="G1206">
        <v>-193.49969999999999</v>
      </c>
      <c r="H1206" s="1">
        <v>8.7098530000000004E-7</v>
      </c>
      <c r="I1206">
        <v>296.2638</v>
      </c>
      <c r="J1206">
        <v>-192.2354</v>
      </c>
      <c r="K1206">
        <v>1.109999</v>
      </c>
      <c r="L1206">
        <v>317.93770000000001</v>
      </c>
      <c r="M1206">
        <v>-5.8493390000000003E-3</v>
      </c>
      <c r="N1206">
        <v>0</v>
      </c>
      <c r="O1206">
        <v>-0.99988659999999996</v>
      </c>
      <c r="P1206">
        <v>-0.16591400000000001</v>
      </c>
      <c r="Q1206">
        <v>-3.812952E-2</v>
      </c>
      <c r="R1206">
        <v>-0.98540340000000004</v>
      </c>
      <c r="S1206">
        <v>-0.17375179999999901</v>
      </c>
      <c r="T1206">
        <v>-0.1523777</v>
      </c>
      <c r="U1206">
        <v>-3.008972</v>
      </c>
      <c r="V1206">
        <v>0.16013729999999901</v>
      </c>
      <c r="W1206">
        <v>-2.4471469999999999E-2</v>
      </c>
      <c r="X1206">
        <v>0.98679139999999999</v>
      </c>
      <c r="Y1206">
        <v>5.1733840000000003E-2</v>
      </c>
      <c r="Z1206">
        <v>5.0499200000000001E-2</v>
      </c>
      <c r="AA1206">
        <v>0.99738329999999997</v>
      </c>
      <c r="AB1206">
        <v>25</v>
      </c>
      <c r="AC1206">
        <v>-1.26429999999999</v>
      </c>
      <c r="AD1206">
        <v>-1.1099981290147001</v>
      </c>
      <c r="AE1206">
        <v>-21.6739</v>
      </c>
      <c r="AF1206">
        <v>1.1345225990846901</v>
      </c>
      <c r="AG1206">
        <v>-1.1099981290147001</v>
      </c>
      <c r="AH1206">
        <v>21.624400356476499</v>
      </c>
      <c r="AI1206">
        <v>92.934431389995794</v>
      </c>
      <c r="AJ1206">
        <v>86.996734621054401</v>
      </c>
      <c r="AK1206">
        <v>21.682571991150599</v>
      </c>
      <c r="AL1206">
        <v>91.402251877867101</v>
      </c>
      <c r="AM1206">
        <v>80.782350182400805</v>
      </c>
      <c r="AN1206">
        <v>1.0000000374046001</v>
      </c>
    </row>
    <row r="1207" spans="1:40" x14ac:dyDescent="0.25">
      <c r="A1207" t="str">
        <f>"20190312161248520"</f>
        <v>20190312161248520</v>
      </c>
      <c r="B1207" t="str">
        <f>"1552378368517003"</f>
        <v>1552378368517003</v>
      </c>
      <c r="C1207" t="s">
        <v>40</v>
      </c>
      <c r="D1207">
        <v>5.6385379999999996</v>
      </c>
      <c r="E1207">
        <v>0.45903549999999899</v>
      </c>
      <c r="F1207" t="s">
        <v>63</v>
      </c>
      <c r="G1207">
        <v>-193.5351</v>
      </c>
      <c r="H1207" s="1">
        <v>1.0921549999999999E-6</v>
      </c>
      <c r="I1207">
        <v>295.62920000000003</v>
      </c>
      <c r="J1207">
        <v>-192.2372</v>
      </c>
      <c r="K1207">
        <v>1.1099159999999999</v>
      </c>
      <c r="L1207">
        <v>317.67649999999998</v>
      </c>
      <c r="M1207">
        <v>-6.1864370000000004E-3</v>
      </c>
      <c r="N1207">
        <v>0</v>
      </c>
      <c r="O1207">
        <v>-0.99988449999999995</v>
      </c>
      <c r="P1207">
        <v>-0.16627229999999901</v>
      </c>
      <c r="Q1207">
        <v>-3.7911390000000003E-2</v>
      </c>
      <c r="R1207">
        <v>-0.98535119999999998</v>
      </c>
      <c r="S1207">
        <v>-0.1753082</v>
      </c>
      <c r="T1207">
        <v>-0.1497242</v>
      </c>
      <c r="U1207">
        <v>-3.009125</v>
      </c>
      <c r="V1207">
        <v>0.16015860000000001</v>
      </c>
      <c r="W1207">
        <v>-2.4287980000000001E-2</v>
      </c>
      <c r="X1207">
        <v>0.98679240000000001</v>
      </c>
      <c r="Y1207">
        <v>5.1910949999999997E-2</v>
      </c>
      <c r="Z1207">
        <v>4.9618370000000002E-2</v>
      </c>
      <c r="AA1207">
        <v>0.99741829999999998</v>
      </c>
      <c r="AB1207">
        <v>25</v>
      </c>
      <c r="AC1207">
        <v>-1.2978999999999901</v>
      </c>
      <c r="AD1207">
        <v>-1.1099149078449999</v>
      </c>
      <c r="AE1207">
        <v>-22.0472999999999</v>
      </c>
      <c r="AF1207">
        <v>1.15854175815553</v>
      </c>
      <c r="AG1207">
        <v>-1.1099149078449999</v>
      </c>
      <c r="AH1207">
        <v>21.999346425128</v>
      </c>
      <c r="AI1207">
        <v>92.884257847787694</v>
      </c>
      <c r="AJ1207">
        <v>86.985442689872798</v>
      </c>
      <c r="AK1207">
        <v>22.057773533175101</v>
      </c>
      <c r="AL1207">
        <v>91.391735654984501</v>
      </c>
      <c r="AM1207">
        <v>80.781154366496196</v>
      </c>
      <c r="AN1207">
        <v>0.99999996191209894</v>
      </c>
    </row>
    <row r="1208" spans="1:40" x14ac:dyDescent="0.25">
      <c r="A1208" t="str">
        <f>"20190312161248542"</f>
        <v>20190312161248542</v>
      </c>
      <c r="B1208" t="str">
        <f>"1552378368536525"</f>
        <v>1552378368536525</v>
      </c>
      <c r="C1208" t="s">
        <v>40</v>
      </c>
      <c r="D1208">
        <v>5.6233519999999997</v>
      </c>
      <c r="E1208">
        <v>0.45894829999999998</v>
      </c>
      <c r="F1208" t="s">
        <v>63</v>
      </c>
      <c r="G1208">
        <v>-193.5582</v>
      </c>
      <c r="H1208" s="1">
        <v>1.322606E-6</v>
      </c>
      <c r="I1208">
        <v>294.97149999999999</v>
      </c>
      <c r="J1208">
        <v>-192.23910000000001</v>
      </c>
      <c r="K1208">
        <v>1.1098330000000001</v>
      </c>
      <c r="L1208">
        <v>317.4391</v>
      </c>
      <c r="M1208">
        <v>-6.6027350000000002E-3</v>
      </c>
      <c r="N1208">
        <v>0</v>
      </c>
      <c r="O1208">
        <v>-0.99988180000000004</v>
      </c>
      <c r="P1208">
        <v>-0.16743629999999901</v>
      </c>
      <c r="Q1208">
        <v>-3.929639E-2</v>
      </c>
      <c r="R1208">
        <v>-0.98509999999999998</v>
      </c>
      <c r="S1208">
        <v>-0.17509459999999999</v>
      </c>
      <c r="T1208">
        <v>-0.147112299999999</v>
      </c>
      <c r="U1208">
        <v>-3.0093990000000002</v>
      </c>
      <c r="V1208">
        <v>0.16090760000000001</v>
      </c>
      <c r="W1208">
        <v>-2.5710170000000001E-2</v>
      </c>
      <c r="X1208">
        <v>0.98663460000000003</v>
      </c>
      <c r="Y1208">
        <v>5.1421799999999997E-2</v>
      </c>
      <c r="Z1208">
        <v>4.875094E-2</v>
      </c>
      <c r="AA1208">
        <v>0.9974864</v>
      </c>
      <c r="AB1208">
        <v>25</v>
      </c>
      <c r="AC1208">
        <v>-1.3190999999999899</v>
      </c>
      <c r="AD1208">
        <v>-1.109831677394</v>
      </c>
      <c r="AE1208">
        <v>-22.467600000000001</v>
      </c>
      <c r="AF1208">
        <v>1.1678694446286699</v>
      </c>
      <c r="AG1208">
        <v>-1.109831677394</v>
      </c>
      <c r="AH1208">
        <v>22.4212992325205</v>
      </c>
      <c r="AI1208">
        <v>92.829940250570701</v>
      </c>
      <c r="AJ1208">
        <v>87.018300640357396</v>
      </c>
      <c r="AK1208">
        <v>22.479108182178098</v>
      </c>
      <c r="AL1208">
        <v>91.473246492270704</v>
      </c>
      <c r="AM1208">
        <v>80.737331174568396</v>
      </c>
      <c r="AN1208">
        <v>1.0000000512481699</v>
      </c>
    </row>
    <row r="1209" spans="1:40" x14ac:dyDescent="0.25">
      <c r="A1209" t="str">
        <f>"20190312161248564"</f>
        <v>20190312161248564</v>
      </c>
      <c r="B1209" t="str">
        <f>"1552378368557020"</f>
        <v>1552378368557020</v>
      </c>
      <c r="C1209" t="s">
        <v>40</v>
      </c>
      <c r="D1209">
        <v>5.6324630000000004</v>
      </c>
      <c r="E1209">
        <v>0.45884839999999999</v>
      </c>
      <c r="F1209" t="s">
        <v>63</v>
      </c>
      <c r="G1209">
        <v>-193.56030000000001</v>
      </c>
      <c r="H1209" s="1">
        <v>1.283536E-6</v>
      </c>
      <c r="I1209">
        <v>295.08150000000001</v>
      </c>
      <c r="J1209">
        <v>-192.2413</v>
      </c>
      <c r="K1209">
        <v>1.109734</v>
      </c>
      <c r="L1209">
        <v>317.18970000000002</v>
      </c>
      <c r="M1209">
        <v>-7.1549550000000002E-3</v>
      </c>
      <c r="N1209">
        <v>0</v>
      </c>
      <c r="O1209">
        <v>-0.99987789999999999</v>
      </c>
      <c r="P1209">
        <v>-0.169783399999999</v>
      </c>
      <c r="Q1209">
        <v>-4.0288949999999997E-2</v>
      </c>
      <c r="R1209">
        <v>-0.98465780000000003</v>
      </c>
      <c r="S1209">
        <v>-0.17782590000000001</v>
      </c>
      <c r="T1209">
        <v>-0.149375799999999</v>
      </c>
      <c r="U1209">
        <v>-3.0091860000000001</v>
      </c>
      <c r="V1209">
        <v>0.1627062</v>
      </c>
      <c r="W1209">
        <v>-2.67481E-2</v>
      </c>
      <c r="X1209">
        <v>0.98631190000000002</v>
      </c>
      <c r="Y1209">
        <v>5.177445E-2</v>
      </c>
      <c r="Z1209">
        <v>4.9500679999999998E-2</v>
      </c>
      <c r="AA1209">
        <v>0.99743119999999996</v>
      </c>
      <c r="AB1209">
        <v>25</v>
      </c>
      <c r="AC1209">
        <v>-1.3190000000000099</v>
      </c>
      <c r="AD1209">
        <v>-1.1097327164640001</v>
      </c>
      <c r="AE1209">
        <v>-22.1082</v>
      </c>
      <c r="AF1209">
        <v>1.1578608005356199</v>
      </c>
      <c r="AG1209">
        <v>-1.1097327164640001</v>
      </c>
      <c r="AH1209">
        <v>22.061683025364399</v>
      </c>
      <c r="AI1209">
        <v>92.875677630290994</v>
      </c>
      <c r="AJ1209">
        <v>86.995708492067905</v>
      </c>
      <c r="AK1209">
        <v>22.1199006834809</v>
      </c>
      <c r="AL1209">
        <v>91.532736097608193</v>
      </c>
      <c r="AM1209">
        <v>80.632609112585996</v>
      </c>
      <c r="AN1209">
        <v>0.99999996622682896</v>
      </c>
    </row>
    <row r="1210" spans="1:40" x14ac:dyDescent="0.25">
      <c r="A1210" t="str">
        <f>"20190312161248587"</f>
        <v>20190312161248587</v>
      </c>
      <c r="B1210" t="str">
        <f>"1552378368576871"</f>
        <v>1552378368576871</v>
      </c>
      <c r="C1210" t="s">
        <v>40</v>
      </c>
      <c r="D1210">
        <v>5.6194709999999999</v>
      </c>
      <c r="E1210">
        <v>0.45872540000000001</v>
      </c>
      <c r="F1210" t="s">
        <v>63</v>
      </c>
      <c r="G1210">
        <v>-193.59970000000001</v>
      </c>
      <c r="H1210" s="1">
        <v>1.300857E-6</v>
      </c>
      <c r="I1210">
        <v>295.02260000000001</v>
      </c>
      <c r="J1210">
        <v>-192.2439</v>
      </c>
      <c r="K1210">
        <v>1.1096269999999999</v>
      </c>
      <c r="L1210">
        <v>316.92840000000001</v>
      </c>
      <c r="M1210">
        <v>-7.866306E-3</v>
      </c>
      <c r="N1210">
        <v>0</v>
      </c>
      <c r="O1210">
        <v>-0.99987269999999995</v>
      </c>
      <c r="P1210">
        <v>-0.171737</v>
      </c>
      <c r="Q1210">
        <v>-4.0355620000000002E-2</v>
      </c>
      <c r="R1210">
        <v>-0.98431630000000003</v>
      </c>
      <c r="S1210">
        <v>-0.18437190000000001</v>
      </c>
      <c r="T1210">
        <v>-0.15062339999999999</v>
      </c>
      <c r="U1210">
        <v>-3.0087280000000001</v>
      </c>
      <c r="V1210">
        <v>0.16395419999999999</v>
      </c>
      <c r="W1210">
        <v>-2.686181E-2</v>
      </c>
      <c r="X1210">
        <v>0.98610220000000004</v>
      </c>
      <c r="Y1210">
        <v>5.3233830000000003E-2</v>
      </c>
      <c r="Z1210">
        <v>4.9915090000000002E-2</v>
      </c>
      <c r="AA1210">
        <v>0.99733380000000005</v>
      </c>
      <c r="AB1210">
        <v>25</v>
      </c>
      <c r="AC1210">
        <v>-1.3558000000000101</v>
      </c>
      <c r="AD1210">
        <v>-1.109625699143</v>
      </c>
      <c r="AE1210">
        <v>-21.905799999999999</v>
      </c>
      <c r="AF1210">
        <v>1.18040649941293</v>
      </c>
      <c r="AG1210">
        <v>-1.109625699143</v>
      </c>
      <c r="AH1210">
        <v>21.859912602321199</v>
      </c>
      <c r="AI1210">
        <v>92.901662903347699</v>
      </c>
      <c r="AJ1210">
        <v>86.909105213676</v>
      </c>
      <c r="AK1210">
        <v>21.919863313377999</v>
      </c>
      <c r="AL1210">
        <v>91.539253425027894</v>
      </c>
      <c r="AM1210">
        <v>80.560075711774601</v>
      </c>
      <c r="AN1210">
        <v>1.00000004268947</v>
      </c>
    </row>
    <row r="1211" spans="1:40" x14ac:dyDescent="0.25">
      <c r="A1211" t="str">
        <f>"20190312161248611"</f>
        <v>20190312161248611</v>
      </c>
      <c r="B1211" t="str">
        <f>"1552378368607241"</f>
        <v>1552378368607241</v>
      </c>
      <c r="C1211" t="s">
        <v>40</v>
      </c>
      <c r="D1211">
        <v>5.5512949999999996</v>
      </c>
      <c r="E1211">
        <v>0.45848149999999999</v>
      </c>
      <c r="F1211" t="s">
        <v>63</v>
      </c>
      <c r="G1211">
        <v>-193.64590000000001</v>
      </c>
      <c r="H1211" s="1">
        <v>1.4283269999999901E-6</v>
      </c>
      <c r="I1211">
        <v>294.65050000000002</v>
      </c>
      <c r="J1211">
        <v>-192.24690000000001</v>
      </c>
      <c r="K1211">
        <v>1.109523</v>
      </c>
      <c r="L1211">
        <v>316.6635</v>
      </c>
      <c r="M1211">
        <v>-8.7472599999999998E-3</v>
      </c>
      <c r="N1211">
        <v>0</v>
      </c>
      <c r="O1211">
        <v>-0.99986540000000002</v>
      </c>
      <c r="P1211">
        <v>-0.174069</v>
      </c>
      <c r="Q1211">
        <v>-4.0709500000000003E-2</v>
      </c>
      <c r="R1211">
        <v>-0.98389170000000004</v>
      </c>
      <c r="S1211">
        <v>-0.1893311</v>
      </c>
      <c r="T1211">
        <v>-0.14985309999999999</v>
      </c>
      <c r="U1211">
        <v>-3.0086059999999999</v>
      </c>
      <c r="V1211">
        <v>0.16541420000000001</v>
      </c>
      <c r="W1211">
        <v>-2.7263869999999999E-2</v>
      </c>
      <c r="X1211">
        <v>0.98584720000000003</v>
      </c>
      <c r="Y1211">
        <v>5.3994880000000002E-2</v>
      </c>
      <c r="Z1211">
        <v>4.9658359999999999E-2</v>
      </c>
      <c r="AA1211">
        <v>0.99730569999999996</v>
      </c>
      <c r="AB1211">
        <v>25</v>
      </c>
      <c r="AC1211">
        <v>-1.399</v>
      </c>
      <c r="AD1211">
        <v>-1.109521571673</v>
      </c>
      <c r="AE1211">
        <v>-22.012999999999899</v>
      </c>
      <c r="AF1211">
        <v>1.2033297621355701</v>
      </c>
      <c r="AG1211">
        <v>-1.109521571673</v>
      </c>
      <c r="AH1211">
        <v>21.9688098062466</v>
      </c>
      <c r="AI1211">
        <v>92.886912318397606</v>
      </c>
      <c r="AJ1211">
        <v>86.864787399805394</v>
      </c>
      <c r="AK1211">
        <v>22.029699156763101</v>
      </c>
      <c r="AL1211">
        <v>91.562298367922807</v>
      </c>
      <c r="AM1211">
        <v>80.475128758844505</v>
      </c>
      <c r="AN1211">
        <v>0.99999993895842598</v>
      </c>
    </row>
    <row r="1212" spans="1:40" x14ac:dyDescent="0.25">
      <c r="A1212" t="str">
        <f>"20190312161248632"</f>
        <v>20190312161248632</v>
      </c>
      <c r="B1212" t="str">
        <f>"1552378368626761"</f>
        <v>1552378368626761</v>
      </c>
      <c r="C1212" t="s">
        <v>40</v>
      </c>
      <c r="D1212">
        <v>5.7287290000000004</v>
      </c>
      <c r="E1212">
        <v>0.45843339999999999</v>
      </c>
      <c r="F1212" t="s">
        <v>63</v>
      </c>
      <c r="G1212">
        <v>-193.6919</v>
      </c>
      <c r="H1212" s="1">
        <v>1.487456E-6</v>
      </c>
      <c r="I1212">
        <v>294.32589999999999</v>
      </c>
      <c r="J1212">
        <v>-192.2501</v>
      </c>
      <c r="K1212">
        <v>1.1094250000000001</v>
      </c>
      <c r="L1212">
        <v>316.42160000000001</v>
      </c>
      <c r="M1212">
        <v>-9.6850809999999999E-3</v>
      </c>
      <c r="N1212">
        <v>0</v>
      </c>
      <c r="O1212">
        <v>-0.99985670000000004</v>
      </c>
      <c r="P1212">
        <v>-0.17722280000000001</v>
      </c>
      <c r="Q1212">
        <v>-4.1455209999999999E-2</v>
      </c>
      <c r="R1212">
        <v>-0.98329750000000005</v>
      </c>
      <c r="S1212">
        <v>-0.19461059999999999</v>
      </c>
      <c r="T1212">
        <v>-0.14943489999999901</v>
      </c>
      <c r="U1212">
        <v>-3.0085139999999999</v>
      </c>
      <c r="V1212">
        <v>0.16764229999999899</v>
      </c>
      <c r="W1212">
        <v>-2.8055409999999999E-2</v>
      </c>
      <c r="X1212">
        <v>0.98544860000000001</v>
      </c>
      <c r="Y1212">
        <v>5.4803669999999999E-2</v>
      </c>
      <c r="Z1212">
        <v>4.9517140000000001E-2</v>
      </c>
      <c r="AA1212">
        <v>0.99726859999999995</v>
      </c>
      <c r="AB1212">
        <v>25</v>
      </c>
      <c r="AC1212">
        <v>-1.4418</v>
      </c>
      <c r="AD1212">
        <v>-1.109423512544</v>
      </c>
      <c r="AE1212">
        <v>-22.095700000000001</v>
      </c>
      <c r="AF1212">
        <v>1.2246388202121199</v>
      </c>
      <c r="AG1212">
        <v>-1.109423512544</v>
      </c>
      <c r="AH1212">
        <v>22.053267396576999</v>
      </c>
      <c r="AI1212">
        <v>92.875501728846899</v>
      </c>
      <c r="AJ1212">
        <v>86.821575517225398</v>
      </c>
      <c r="AK1212">
        <v>22.115089048771299</v>
      </c>
      <c r="AL1212">
        <v>91.607667541386604</v>
      </c>
      <c r="AM1212">
        <v>80.345397652372995</v>
      </c>
      <c r="AN1212">
        <v>0.99999999501075898</v>
      </c>
    </row>
    <row r="1213" spans="1:40" x14ac:dyDescent="0.25">
      <c r="A1213" t="str">
        <f>"20190312161248657"</f>
        <v>20190312161248657</v>
      </c>
      <c r="B1213" t="str">
        <f>"1552378368647257"</f>
        <v>1552378368647257</v>
      </c>
      <c r="C1213" t="s">
        <v>40</v>
      </c>
      <c r="D1213">
        <v>5.794899</v>
      </c>
      <c r="E1213">
        <v>0.48573470000000002</v>
      </c>
      <c r="F1213" t="s">
        <v>63</v>
      </c>
      <c r="G1213">
        <v>-193.7465</v>
      </c>
      <c r="H1213" s="1">
        <v>1.479677E-6</v>
      </c>
      <c r="I1213">
        <v>294.3426</v>
      </c>
      <c r="J1213">
        <v>-192.25399999999999</v>
      </c>
      <c r="K1213">
        <v>1.1093390000000001</v>
      </c>
      <c r="L1213">
        <v>316.15100000000001</v>
      </c>
      <c r="M1213">
        <v>-1.085814E-2</v>
      </c>
      <c r="N1213">
        <v>0</v>
      </c>
      <c r="O1213">
        <v>-0.99984479999999998</v>
      </c>
      <c r="P1213">
        <v>-0.1805776</v>
      </c>
      <c r="Q1213">
        <v>-4.2925949999999997E-2</v>
      </c>
      <c r="R1213">
        <v>-0.98262389999999999</v>
      </c>
      <c r="S1213">
        <v>-0.20385739999999999</v>
      </c>
      <c r="T1213">
        <v>-0.15113740000000001</v>
      </c>
      <c r="U1213">
        <v>-3.0078429999999998</v>
      </c>
      <c r="V1213">
        <v>0.16984009999999999</v>
      </c>
      <c r="W1213">
        <v>-2.9570720000000002E-2</v>
      </c>
      <c r="X1213">
        <v>0.98502780000000001</v>
      </c>
      <c r="Y1213">
        <v>5.6696980000000001E-2</v>
      </c>
      <c r="Z1213">
        <v>5.0082340000000003E-2</v>
      </c>
      <c r="AA1213">
        <v>0.99713450000000003</v>
      </c>
      <c r="AB1213">
        <v>25</v>
      </c>
      <c r="AC1213">
        <v>-1.49249999999997</v>
      </c>
      <c r="AD1213">
        <v>-1.10933752032299</v>
      </c>
      <c r="AE1213">
        <v>-21.808399999999999</v>
      </c>
      <c r="AF1213">
        <v>1.2523651612048701</v>
      </c>
      <c r="AG1213">
        <v>-1.10933752032299</v>
      </c>
      <c r="AH1213">
        <v>21.7672613003454</v>
      </c>
      <c r="AI1213">
        <v>92.912665383787001</v>
      </c>
      <c r="AJ1213">
        <v>86.707154874387598</v>
      </c>
      <c r="AK1213">
        <v>21.831461534870101</v>
      </c>
      <c r="AL1213">
        <v>91.694524594723106</v>
      </c>
      <c r="AM1213">
        <v>80.217156846414298</v>
      </c>
      <c r="AN1213">
        <v>0.99999992691108097</v>
      </c>
    </row>
    <row r="1214" spans="1:40" x14ac:dyDescent="0.25">
      <c r="A1214" t="str">
        <f>"20190312161248678"</f>
        <v>20190312161248678</v>
      </c>
      <c r="B1214" t="str">
        <f>"1552378368666777"</f>
        <v>1552378368666777</v>
      </c>
      <c r="C1214" t="s">
        <v>40</v>
      </c>
      <c r="D1214">
        <v>5.962815</v>
      </c>
      <c r="E1214">
        <v>0.49883670000000002</v>
      </c>
      <c r="F1214" t="s">
        <v>43</v>
      </c>
      <c r="G1214">
        <v>-192.36840000000001</v>
      </c>
      <c r="H1214">
        <v>0.95719889999999996</v>
      </c>
      <c r="I1214">
        <v>315.32470000000001</v>
      </c>
      <c r="J1214">
        <v>-192.25790000000001</v>
      </c>
      <c r="K1214">
        <v>1.1092709999999999</v>
      </c>
      <c r="L1214">
        <v>315.90690000000001</v>
      </c>
      <c r="M1214">
        <v>-1.2018269999999999E-2</v>
      </c>
      <c r="N1214">
        <v>0</v>
      </c>
      <c r="O1214">
        <v>-0.99983149999999998</v>
      </c>
      <c r="P1214">
        <v>-0.18281339999999999</v>
      </c>
      <c r="Q1214">
        <v>-4.2811170000000003E-2</v>
      </c>
      <c r="R1214">
        <v>-0.98221539999999996</v>
      </c>
      <c r="S1214">
        <v>-0.40867609999999999</v>
      </c>
      <c r="T1214">
        <v>-0.54396489999999997</v>
      </c>
      <c r="U1214">
        <v>-2.9541930000000001</v>
      </c>
      <c r="V1214">
        <v>0.170934</v>
      </c>
      <c r="W1214">
        <v>-2.9487969999999999E-2</v>
      </c>
      <c r="X1214">
        <v>0.98484110000000002</v>
      </c>
      <c r="Y1214">
        <v>0.1228902</v>
      </c>
      <c r="Z1214">
        <v>0.1795572</v>
      </c>
      <c r="AA1214">
        <v>0.97604159999999995</v>
      </c>
      <c r="AB1214">
        <v>25</v>
      </c>
      <c r="AC1214">
        <v>-0.110500000000001</v>
      </c>
      <c r="AD1214">
        <v>-0.15207209999999899</v>
      </c>
      <c r="AE1214">
        <v>-0.58220000000000005</v>
      </c>
      <c r="AF1214">
        <v>9.7099848145116394E-2</v>
      </c>
      <c r="AG1214">
        <v>-0.15207209999999899</v>
      </c>
      <c r="AH1214">
        <v>0.54743504465093196</v>
      </c>
      <c r="AI1214">
        <v>105.297434783241</v>
      </c>
      <c r="AJ1214">
        <v>79.941920425083694</v>
      </c>
      <c r="AK1214">
        <v>0.57640214453121397</v>
      </c>
      <c r="AL1214">
        <v>91.689781206191498</v>
      </c>
      <c r="AM1214">
        <v>80.153547102845394</v>
      </c>
      <c r="AN1214">
        <v>0.99999998248996502</v>
      </c>
    </row>
    <row r="1215" spans="1:40" x14ac:dyDescent="0.25">
      <c r="A1215" t="str">
        <f>"20190312161248701"</f>
        <v>20190312161248701</v>
      </c>
      <c r="B1215" t="str">
        <f>"1552378368696564"</f>
        <v>1552378368696564</v>
      </c>
      <c r="C1215" t="s">
        <v>40</v>
      </c>
      <c r="D1215">
        <v>5.6640519999999999</v>
      </c>
      <c r="E1215">
        <v>0.50354779999999999</v>
      </c>
      <c r="F1215" t="s">
        <v>43</v>
      </c>
      <c r="G1215">
        <v>-192.39699999999999</v>
      </c>
      <c r="H1215">
        <v>0.92723610000000001</v>
      </c>
      <c r="I1215">
        <v>315.11360000000002</v>
      </c>
      <c r="J1215">
        <v>-192.26249999999999</v>
      </c>
      <c r="K1215">
        <v>1.109199</v>
      </c>
      <c r="L1215">
        <v>315.6472</v>
      </c>
      <c r="M1215">
        <v>-1.3358780000000001E-2</v>
      </c>
      <c r="N1215">
        <v>0</v>
      </c>
      <c r="O1215">
        <v>-0.99981439999999999</v>
      </c>
      <c r="P1215">
        <v>-0.18465870000000001</v>
      </c>
      <c r="Q1215">
        <v>-4.2756809999999999E-2</v>
      </c>
      <c r="R1215">
        <v>-0.98187239999999998</v>
      </c>
      <c r="S1215">
        <v>-0.51275630000000005</v>
      </c>
      <c r="T1215">
        <v>-0.67222269999999995</v>
      </c>
      <c r="U1215">
        <v>-2.9296259999999998</v>
      </c>
      <c r="V1215">
        <v>0.17145940000000001</v>
      </c>
      <c r="W1215">
        <v>-2.9463509999999998E-2</v>
      </c>
      <c r="X1215">
        <v>0.98475049999999997</v>
      </c>
      <c r="Y1215">
        <v>0.1549799</v>
      </c>
      <c r="Z1215">
        <v>0.22067339999999999</v>
      </c>
      <c r="AA1215">
        <v>0.96295609999999998</v>
      </c>
      <c r="AB1215">
        <v>25</v>
      </c>
      <c r="AC1215">
        <v>-0.13450000000003101</v>
      </c>
      <c r="AD1215">
        <v>-0.18196290000000001</v>
      </c>
      <c r="AE1215">
        <v>-0.53359999999997798</v>
      </c>
      <c r="AF1215">
        <v>0.11480607501472299</v>
      </c>
      <c r="AG1215">
        <v>-0.18196290000000001</v>
      </c>
      <c r="AH1215">
        <v>0.48258326184760603</v>
      </c>
      <c r="AI1215">
        <v>110.14418036364199</v>
      </c>
      <c r="AJ1215">
        <v>76.618143177506695</v>
      </c>
      <c r="AK1215">
        <v>0.52837253567172804</v>
      </c>
      <c r="AL1215">
        <v>91.688379136674797</v>
      </c>
      <c r="AM1215">
        <v>80.122986359553906</v>
      </c>
      <c r="AN1215">
        <v>0.99999998576006399</v>
      </c>
    </row>
    <row r="1216" spans="1:40" x14ac:dyDescent="0.25">
      <c r="A1216" t="str">
        <f>"20190312161248721"</f>
        <v>20190312161248721</v>
      </c>
      <c r="B1216" t="str">
        <f>"1552378368717059"</f>
        <v>1552378368717059</v>
      </c>
      <c r="C1216" t="s">
        <v>40</v>
      </c>
      <c r="D1216">
        <v>5.7245080000000002</v>
      </c>
      <c r="E1216">
        <v>0.50372759999999905</v>
      </c>
      <c r="F1216" t="s">
        <v>43</v>
      </c>
      <c r="G1216">
        <v>-192.4057</v>
      </c>
      <c r="H1216">
        <v>0.92043439999999999</v>
      </c>
      <c r="I1216">
        <v>314.8922</v>
      </c>
      <c r="J1216">
        <v>-192.2671</v>
      </c>
      <c r="K1216">
        <v>1.1091390000000001</v>
      </c>
      <c r="L1216">
        <v>315.4119</v>
      </c>
      <c r="M1216">
        <v>-1.4662980000000001E-2</v>
      </c>
      <c r="N1216">
        <v>0</v>
      </c>
      <c r="O1216">
        <v>-0.99979629999999997</v>
      </c>
      <c r="P1216">
        <v>-0.1875185</v>
      </c>
      <c r="Q1216">
        <v>-4.3595780000000001E-2</v>
      </c>
      <c r="R1216">
        <v>-0.98129350000000004</v>
      </c>
      <c r="S1216">
        <v>-0.55303959999999996</v>
      </c>
      <c r="T1216">
        <v>-0.72989879999999996</v>
      </c>
      <c r="U1216">
        <v>-2.9196780000000002</v>
      </c>
      <c r="V1216">
        <v>0.1730371</v>
      </c>
      <c r="W1216">
        <v>-3.0335640000000001E-2</v>
      </c>
      <c r="X1216">
        <v>0.98444799999999999</v>
      </c>
      <c r="Y1216">
        <v>0.16629840000000001</v>
      </c>
      <c r="Z1216">
        <v>0.23880750000000001</v>
      </c>
      <c r="AA1216">
        <v>0.95672140000000006</v>
      </c>
      <c r="AB1216">
        <v>25</v>
      </c>
      <c r="AC1216">
        <v>-0.138599999999996</v>
      </c>
      <c r="AD1216">
        <v>-0.188704599999999</v>
      </c>
      <c r="AE1216">
        <v>-0.51970000000000005</v>
      </c>
      <c r="AF1216">
        <v>0.11661053175206899</v>
      </c>
      <c r="AG1216">
        <v>-0.188704599999999</v>
      </c>
      <c r="AH1216">
        <v>0.464501542371346</v>
      </c>
      <c r="AI1216">
        <v>111.505687087634</v>
      </c>
      <c r="AJ1216">
        <v>75.907448250259307</v>
      </c>
      <c r="AK1216">
        <v>0.51475151776563</v>
      </c>
      <c r="AL1216">
        <v>91.738370873537306</v>
      </c>
      <c r="AM1216">
        <v>80.030915194660906</v>
      </c>
      <c r="AN1216">
        <v>0.99999997686730902</v>
      </c>
    </row>
    <row r="1217" spans="1:40" x14ac:dyDescent="0.25">
      <c r="A1217" t="str">
        <f>"20190312161248743"</f>
        <v>20190312161248743</v>
      </c>
      <c r="B1217" t="str">
        <f>"1552378368736579"</f>
        <v>1552378368736579</v>
      </c>
      <c r="C1217" t="s">
        <v>40</v>
      </c>
      <c r="D1217">
        <v>5.8236080000000001</v>
      </c>
      <c r="E1217">
        <v>0.50372510000000004</v>
      </c>
      <c r="F1217" t="s">
        <v>43</v>
      </c>
      <c r="G1217">
        <v>-192.41059999999999</v>
      </c>
      <c r="H1217">
        <v>0.92223189999999999</v>
      </c>
      <c r="I1217">
        <v>314.66699999999997</v>
      </c>
      <c r="J1217">
        <v>-192.2722</v>
      </c>
      <c r="K1217">
        <v>1.1090770000000001</v>
      </c>
      <c r="L1217">
        <v>315.17099999999999</v>
      </c>
      <c r="M1217">
        <v>-1.6077999999999999E-2</v>
      </c>
      <c r="N1217">
        <v>0</v>
      </c>
      <c r="O1217">
        <v>-0.99977450000000001</v>
      </c>
      <c r="P1217">
        <v>-0.19014229999999999</v>
      </c>
      <c r="Q1217">
        <v>-4.3509239999999998E-2</v>
      </c>
      <c r="R1217">
        <v>-0.980792</v>
      </c>
      <c r="S1217">
        <v>-0.56126399999999999</v>
      </c>
      <c r="T1217">
        <v>-0.73206569999999904</v>
      </c>
      <c r="U1217">
        <v>-2.9174500000000001</v>
      </c>
      <c r="V1217">
        <v>0.1742717</v>
      </c>
      <c r="W1217">
        <v>-3.0281720000000002E-2</v>
      </c>
      <c r="X1217">
        <v>0.98423190000000005</v>
      </c>
      <c r="Y1217">
        <v>0.16760529999999901</v>
      </c>
      <c r="Z1217">
        <v>0.2395514</v>
      </c>
      <c r="AA1217">
        <v>0.95630729999999997</v>
      </c>
      <c r="AB1217">
        <v>25</v>
      </c>
      <c r="AC1217">
        <v>-0.13839999999999</v>
      </c>
      <c r="AD1217">
        <v>-0.18684509999999999</v>
      </c>
      <c r="AE1217">
        <v>-0.50399999999996203</v>
      </c>
      <c r="AF1217">
        <v>0.115515215562758</v>
      </c>
      <c r="AG1217">
        <v>-0.18684509999999999</v>
      </c>
      <c r="AH1217">
        <v>0.44880335565578799</v>
      </c>
      <c r="AI1217">
        <v>111.958202495563</v>
      </c>
      <c r="AJ1217">
        <v>75.566218665962396</v>
      </c>
      <c r="AK1217">
        <v>0.49967920555934298</v>
      </c>
      <c r="AL1217">
        <v>91.735279989367299</v>
      </c>
      <c r="AM1217">
        <v>79.959069435855795</v>
      </c>
      <c r="AN1217">
        <v>1.0000000204823201</v>
      </c>
    </row>
    <row r="1218" spans="1:40" x14ac:dyDescent="0.25">
      <c r="A1218" t="str">
        <f>"20190312161248765"</f>
        <v>20190312161248765</v>
      </c>
      <c r="B1218" t="str">
        <f>"1552378368757074"</f>
        <v>1552378368757074</v>
      </c>
      <c r="C1218" t="s">
        <v>40</v>
      </c>
      <c r="D1218">
        <v>5.7706819999999999</v>
      </c>
      <c r="E1218">
        <v>0.5056138</v>
      </c>
      <c r="F1218" t="s">
        <v>43</v>
      </c>
      <c r="G1218">
        <v>-192.41390000000001</v>
      </c>
      <c r="H1218">
        <v>0.92186509999999999</v>
      </c>
      <c r="I1218">
        <v>314.44319999999999</v>
      </c>
      <c r="J1218">
        <v>-192.27809999999999</v>
      </c>
      <c r="K1218">
        <v>1.1090100000000001</v>
      </c>
      <c r="L1218">
        <v>314.91449999999998</v>
      </c>
      <c r="M1218">
        <v>-1.766568E-2</v>
      </c>
      <c r="N1218">
        <v>0</v>
      </c>
      <c r="O1218">
        <v>-0.99974790000000002</v>
      </c>
      <c r="P1218">
        <v>-0.19181290000000001</v>
      </c>
      <c r="Q1218">
        <v>-4.3402950000000003E-2</v>
      </c>
      <c r="R1218">
        <v>-0.9804718</v>
      </c>
      <c r="S1218">
        <v>-0.56748959999999904</v>
      </c>
      <c r="T1218">
        <v>-0.75000500000000003</v>
      </c>
      <c r="U1218">
        <v>-2.9154659999999999</v>
      </c>
      <c r="V1218">
        <v>0.17438090000000001</v>
      </c>
      <c r="W1218">
        <v>-3.020314E-2</v>
      </c>
      <c r="X1218">
        <v>0.98421499999999995</v>
      </c>
      <c r="Y1218">
        <v>0.16786280000000001</v>
      </c>
      <c r="Z1218">
        <v>0.24516109999999999</v>
      </c>
      <c r="AA1218">
        <v>0.95483929999999995</v>
      </c>
      <c r="AB1218">
        <v>25</v>
      </c>
      <c r="AC1218">
        <v>-0.13580000000001699</v>
      </c>
      <c r="AD1218">
        <v>-0.1871449</v>
      </c>
      <c r="AE1218">
        <v>-0.47129999999998501</v>
      </c>
      <c r="AF1218">
        <v>0.111254890552927</v>
      </c>
      <c r="AG1218">
        <v>-0.1871449</v>
      </c>
      <c r="AH1218">
        <v>0.41343487614172297</v>
      </c>
      <c r="AI1218">
        <v>113.610564291869</v>
      </c>
      <c r="AJ1218">
        <v>74.938554367657403</v>
      </c>
      <c r="AK1218">
        <v>0.467257168033061</v>
      </c>
      <c r="AL1218">
        <v>91.730775580715601</v>
      </c>
      <c r="AM1218">
        <v>79.952736854531807</v>
      </c>
      <c r="AN1218">
        <v>1.0000000470878301</v>
      </c>
    </row>
    <row r="1219" spans="1:40" x14ac:dyDescent="0.25">
      <c r="A1219" t="str">
        <f>"20190312161248790"</f>
        <v>20190312161248790</v>
      </c>
      <c r="B1219" t="str">
        <f>"1552378368786355"</f>
        <v>1552378368786355</v>
      </c>
      <c r="C1219" t="s">
        <v>40</v>
      </c>
      <c r="D1219">
        <v>6.0124120000000003</v>
      </c>
      <c r="E1219">
        <v>0.50530559999999902</v>
      </c>
      <c r="F1219" t="s">
        <v>43</v>
      </c>
      <c r="G1219">
        <v>-192.4187</v>
      </c>
      <c r="H1219">
        <v>0.92361040000000005</v>
      </c>
      <c r="I1219">
        <v>314.21870000000001</v>
      </c>
      <c r="J1219">
        <v>-192.28440000000001</v>
      </c>
      <c r="K1219">
        <v>1.1089530000000001</v>
      </c>
      <c r="L1219">
        <v>314.65899999999999</v>
      </c>
      <c r="M1219">
        <v>-1.932797E-2</v>
      </c>
      <c r="N1219">
        <v>0</v>
      </c>
      <c r="O1219">
        <v>-0.99971690000000002</v>
      </c>
      <c r="P1219">
        <v>-0.19382759999999999</v>
      </c>
      <c r="Q1219">
        <v>-4.3861299999999999E-2</v>
      </c>
      <c r="R1219">
        <v>-0.9800548</v>
      </c>
      <c r="S1219">
        <v>-0.58697509999999997</v>
      </c>
      <c r="T1219">
        <v>-0.77541359999999904</v>
      </c>
      <c r="U1219">
        <v>-2.9105530000000002</v>
      </c>
      <c r="V1219">
        <v>0.17476220000000001</v>
      </c>
      <c r="W1219">
        <v>-3.0687829999999999E-2</v>
      </c>
      <c r="X1219">
        <v>0.98413229999999996</v>
      </c>
      <c r="Y1219">
        <v>0.1722747</v>
      </c>
      <c r="Z1219">
        <v>0.2530674</v>
      </c>
      <c r="AA1219">
        <v>0.95198649999999996</v>
      </c>
      <c r="AB1219">
        <v>25</v>
      </c>
      <c r="AC1219">
        <v>-0.13429999999999601</v>
      </c>
      <c r="AD1219">
        <v>-0.1853426</v>
      </c>
      <c r="AE1219">
        <v>-0.44029999999997899</v>
      </c>
      <c r="AF1219">
        <v>0.108220080313606</v>
      </c>
      <c r="AG1219">
        <v>-0.1853426</v>
      </c>
      <c r="AH1219">
        <v>0.38104182481677101</v>
      </c>
      <c r="AI1219">
        <v>115.075124851645</v>
      </c>
      <c r="AJ1219">
        <v>74.144868879745104</v>
      </c>
      <c r="AK1219">
        <v>0.43732863777431502</v>
      </c>
      <c r="AL1219">
        <v>91.758559274568697</v>
      </c>
      <c r="AM1219">
        <v>79.930387829889199</v>
      </c>
      <c r="AN1219">
        <v>0.99999997668111895</v>
      </c>
    </row>
    <row r="1220" spans="1:40" x14ac:dyDescent="0.25">
      <c r="A1220" t="str">
        <f>"20190312161248811"</f>
        <v>20190312161248811</v>
      </c>
      <c r="B1220" t="str">
        <f>"1552378368806382"</f>
        <v>1552378368806382</v>
      </c>
      <c r="C1220" t="s">
        <v>40</v>
      </c>
      <c r="D1220">
        <v>5.8473360000000003</v>
      </c>
      <c r="E1220">
        <v>0.50479560000000001</v>
      </c>
      <c r="F1220" t="s">
        <v>43</v>
      </c>
      <c r="G1220">
        <v>-192.46100000000001</v>
      </c>
      <c r="H1220">
        <v>0.87780650000000005</v>
      </c>
      <c r="I1220">
        <v>313.79090000000002</v>
      </c>
      <c r="J1220">
        <v>-192.29089999999999</v>
      </c>
      <c r="K1220">
        <v>1.1089150000000001</v>
      </c>
      <c r="L1220">
        <v>314.41969999999998</v>
      </c>
      <c r="M1220">
        <v>-2.0955519999999998E-2</v>
      </c>
      <c r="N1220">
        <v>0</v>
      </c>
      <c r="O1220">
        <v>-0.99968400000000002</v>
      </c>
      <c r="P1220">
        <v>-0.1957624</v>
      </c>
      <c r="Q1220">
        <v>-4.4373170000000003E-2</v>
      </c>
      <c r="R1220">
        <v>-0.97964720000000005</v>
      </c>
      <c r="S1220">
        <v>-0.59043880000000004</v>
      </c>
      <c r="T1220">
        <v>-0.77465680000000003</v>
      </c>
      <c r="U1220">
        <v>-2.9096069999999998</v>
      </c>
      <c r="V1220">
        <v>0.1750989</v>
      </c>
      <c r="W1220">
        <v>-3.1220439999999999E-2</v>
      </c>
      <c r="X1220">
        <v>0.98405569999999998</v>
      </c>
      <c r="Y1220">
        <v>0.17183129999999999</v>
      </c>
      <c r="Z1220">
        <v>0.25288240000000001</v>
      </c>
      <c r="AA1220">
        <v>0.95211579999999996</v>
      </c>
      <c r="AB1220">
        <v>25</v>
      </c>
      <c r="AC1220">
        <v>-0.17009999999999001</v>
      </c>
      <c r="AD1220">
        <v>-0.231108499999999</v>
      </c>
      <c r="AE1220">
        <v>-0.62879999999995495</v>
      </c>
      <c r="AF1220">
        <v>0.13934471248555599</v>
      </c>
      <c r="AG1220">
        <v>-0.231108499999999</v>
      </c>
      <c r="AH1220">
        <v>0.56154327408293703</v>
      </c>
      <c r="AI1220">
        <v>111.773994144033</v>
      </c>
      <c r="AJ1220">
        <v>76.063778290075604</v>
      </c>
      <c r="AK1220">
        <v>0.62302402548996205</v>
      </c>
      <c r="AL1220">
        <v>91.789090203858194</v>
      </c>
      <c r="AM1220">
        <v>79.910616499524593</v>
      </c>
      <c r="AN1220">
        <v>0.99999998067874596</v>
      </c>
    </row>
    <row r="1221" spans="1:40" x14ac:dyDescent="0.25">
      <c r="A1221" t="str">
        <f>"20190312161248832"</f>
        <v>20190312161248832</v>
      </c>
      <c r="B1221" t="str">
        <f>"1552378368826878"</f>
        <v>1552378368826878</v>
      </c>
      <c r="C1221" t="s">
        <v>40</v>
      </c>
      <c r="D1221">
        <v>5.7757329999999998</v>
      </c>
      <c r="E1221">
        <v>0.50388069999999996</v>
      </c>
      <c r="F1221" t="s">
        <v>43</v>
      </c>
      <c r="G1221">
        <v>-192.46469999999999</v>
      </c>
      <c r="H1221">
        <v>0.8834784</v>
      </c>
      <c r="I1221">
        <v>313.56580000000002</v>
      </c>
      <c r="J1221">
        <v>-192.2979</v>
      </c>
      <c r="K1221">
        <v>1.1088830000000001</v>
      </c>
      <c r="L1221">
        <v>314.17939999999999</v>
      </c>
      <c r="M1221">
        <v>-2.2638149999999999E-2</v>
      </c>
      <c r="N1221">
        <v>0</v>
      </c>
      <c r="O1221">
        <v>-0.99964750000000002</v>
      </c>
      <c r="P1221">
        <v>-0.19746939999999999</v>
      </c>
      <c r="Q1221">
        <v>-4.5037239999999999E-2</v>
      </c>
      <c r="R1221">
        <v>-0.97927430000000004</v>
      </c>
      <c r="S1221">
        <v>-0.5916901</v>
      </c>
      <c r="T1221">
        <v>-0.76805380000000001</v>
      </c>
      <c r="U1221">
        <v>-2.9093019999999998</v>
      </c>
      <c r="V1221">
        <v>0.1751539</v>
      </c>
      <c r="W1221">
        <v>-3.189902E-2</v>
      </c>
      <c r="X1221">
        <v>0.98402420000000002</v>
      </c>
      <c r="Y1221">
        <v>0.17069100000000001</v>
      </c>
      <c r="Z1221">
        <v>0.25089129999999998</v>
      </c>
      <c r="AA1221">
        <v>0.95284740000000001</v>
      </c>
      <c r="AB1221">
        <v>25</v>
      </c>
      <c r="AC1221">
        <v>-0.16679999999999401</v>
      </c>
      <c r="AD1221">
        <v>-0.22540460000000001</v>
      </c>
      <c r="AE1221">
        <v>-0.61359999999996195</v>
      </c>
      <c r="AF1221">
        <v>0.13580061042396099</v>
      </c>
      <c r="AG1221">
        <v>-0.22540460000000001</v>
      </c>
      <c r="AH1221">
        <v>0.54831817234226299</v>
      </c>
      <c r="AI1221">
        <v>111.753368035226</v>
      </c>
      <c r="AJ1221">
        <v>76.089604569499798</v>
      </c>
      <c r="AK1221">
        <v>0.60819557513470901</v>
      </c>
      <c r="AL1221">
        <v>91.827989260009204</v>
      </c>
      <c r="AM1221">
        <v>79.907196047748201</v>
      </c>
      <c r="AN1221">
        <v>1.0000000311738999</v>
      </c>
    </row>
    <row r="1222" spans="1:40" x14ac:dyDescent="0.25">
      <c r="A1222" t="str">
        <f>"20190312161248856"</f>
        <v>20190312161248856</v>
      </c>
      <c r="B1222" t="str">
        <f>"1552378368846398"</f>
        <v>1552378368846398</v>
      </c>
      <c r="C1222" t="s">
        <v>40</v>
      </c>
      <c r="D1222">
        <v>5.8067869999999999</v>
      </c>
      <c r="E1222">
        <v>0.50299110000000002</v>
      </c>
      <c r="F1222" t="s">
        <v>43</v>
      </c>
      <c r="G1222">
        <v>-192.46789999999999</v>
      </c>
      <c r="H1222">
        <v>0.88847579999999904</v>
      </c>
      <c r="I1222">
        <v>313.34120000000001</v>
      </c>
      <c r="J1222">
        <v>-192.30619999999999</v>
      </c>
      <c r="K1222">
        <v>1.108862</v>
      </c>
      <c r="L1222">
        <v>313.90980000000002</v>
      </c>
      <c r="M1222">
        <v>-2.4569589999999999E-2</v>
      </c>
      <c r="N1222">
        <v>0</v>
      </c>
      <c r="O1222">
        <v>-0.99960179999999998</v>
      </c>
      <c r="P1222">
        <v>-0.19893060000000001</v>
      </c>
      <c r="Q1222">
        <v>-4.5160800000000001E-2</v>
      </c>
      <c r="R1222">
        <v>-0.97897259999999997</v>
      </c>
      <c r="S1222">
        <v>-0.58950809999999998</v>
      </c>
      <c r="T1222">
        <v>-0.76503650000000001</v>
      </c>
      <c r="U1222">
        <v>-2.909424</v>
      </c>
      <c r="V1222">
        <v>0.1747195</v>
      </c>
      <c r="W1222">
        <v>-3.2030639999999999E-2</v>
      </c>
      <c r="X1222">
        <v>0.98409709999999995</v>
      </c>
      <c r="Y1222">
        <v>0.1681396</v>
      </c>
      <c r="Z1222">
        <v>0.25001479999999998</v>
      </c>
      <c r="AA1222">
        <v>0.95353109999999996</v>
      </c>
      <c r="AB1222">
        <v>25</v>
      </c>
      <c r="AC1222">
        <v>-0.16169999999999601</v>
      </c>
      <c r="AD1222">
        <v>-0.2203862</v>
      </c>
      <c r="AE1222">
        <v>-0.56860000000000299</v>
      </c>
      <c r="AF1222">
        <v>0.129658470778452</v>
      </c>
      <c r="AG1222">
        <v>-0.2203862</v>
      </c>
      <c r="AH1222">
        <v>0.50255238673700298</v>
      </c>
      <c r="AI1222">
        <v>113.00748281643401</v>
      </c>
      <c r="AJ1222">
        <v>75.533176460169898</v>
      </c>
      <c r="AK1222">
        <v>0.56386194907096299</v>
      </c>
      <c r="AL1222">
        <v>91.835534472677196</v>
      </c>
      <c r="AM1222">
        <v>79.932445100603701</v>
      </c>
      <c r="AN1222">
        <v>0.99999998390373401</v>
      </c>
    </row>
    <row r="1223" spans="1:40" x14ac:dyDescent="0.25">
      <c r="A1223" t="str">
        <f>"20190312161248879"</f>
        <v>20190312161248879</v>
      </c>
      <c r="B1223" t="str">
        <f>"1552378368866894"</f>
        <v>1552378368866894</v>
      </c>
      <c r="C1223" t="s">
        <v>40</v>
      </c>
      <c r="D1223">
        <v>5.9181410000000003</v>
      </c>
      <c r="E1223">
        <v>0.50216949999999905</v>
      </c>
      <c r="F1223" t="s">
        <v>43</v>
      </c>
      <c r="G1223">
        <v>-192.46690000000001</v>
      </c>
      <c r="H1223">
        <v>0.90128719999999996</v>
      </c>
      <c r="I1223">
        <v>313.11380000000003</v>
      </c>
      <c r="J1223">
        <v>-192.31469999999999</v>
      </c>
      <c r="K1223">
        <v>1.1088530000000001</v>
      </c>
      <c r="L1223">
        <v>313.65120000000002</v>
      </c>
      <c r="M1223">
        <v>-2.6447829999999999E-2</v>
      </c>
      <c r="N1223">
        <v>0</v>
      </c>
      <c r="O1223">
        <v>-0.9995539</v>
      </c>
      <c r="P1223">
        <v>-0.2002159</v>
      </c>
      <c r="Q1223">
        <v>-4.4718580000000001E-2</v>
      </c>
      <c r="R1223">
        <v>-0.97873069999999895</v>
      </c>
      <c r="S1223">
        <v>-0.58758540000000004</v>
      </c>
      <c r="T1223">
        <v>-0.75881580000000004</v>
      </c>
      <c r="U1223">
        <v>-2.9100039999999998</v>
      </c>
      <c r="V1223">
        <v>0.17416280000000001</v>
      </c>
      <c r="W1223">
        <v>-3.1591300000000003E-2</v>
      </c>
      <c r="X1223">
        <v>0.98421000000000003</v>
      </c>
      <c r="Y1223">
        <v>0.16574340000000001</v>
      </c>
      <c r="Z1223">
        <v>0.24811259999999999</v>
      </c>
      <c r="AA1223">
        <v>0.95444709999999999</v>
      </c>
      <c r="AB1223">
        <v>25</v>
      </c>
      <c r="AC1223">
        <v>-0.15220000000002101</v>
      </c>
      <c r="AD1223">
        <v>-0.20756579999999999</v>
      </c>
      <c r="AE1223">
        <v>-0.537399999999991</v>
      </c>
      <c r="AF1223">
        <v>0.121194779007554</v>
      </c>
      <c r="AG1223">
        <v>-0.20756579999999999</v>
      </c>
      <c r="AH1223">
        <v>0.47556067979842198</v>
      </c>
      <c r="AI1223">
        <v>112.925786651914</v>
      </c>
      <c r="AJ1223">
        <v>75.702728535855698</v>
      </c>
      <c r="AK1223">
        <v>0.53285053810488703</v>
      </c>
      <c r="AL1223">
        <v>91.810349355258595</v>
      </c>
      <c r="AM1223">
        <v>79.964997564811497</v>
      </c>
      <c r="AN1223">
        <v>1.0000000076197599</v>
      </c>
    </row>
    <row r="1224" spans="1:40" x14ac:dyDescent="0.25">
      <c r="A1224" t="str">
        <f>"20190312161248924"</f>
        <v>20190312161248924</v>
      </c>
      <c r="B1224" t="str">
        <f>"1552378368917175"</f>
        <v>1552378368917175</v>
      </c>
      <c r="C1224" t="s">
        <v>40</v>
      </c>
      <c r="D1224">
        <v>5.9836029999999996</v>
      </c>
      <c r="E1224">
        <v>0.50099329999999997</v>
      </c>
      <c r="F1224" t="s">
        <v>43</v>
      </c>
      <c r="G1224">
        <v>-192.46850000000001</v>
      </c>
      <c r="H1224">
        <v>0.91154789999999997</v>
      </c>
      <c r="I1224">
        <v>312.88749999999999</v>
      </c>
      <c r="J1224">
        <v>-192.33260000000001</v>
      </c>
      <c r="K1224">
        <v>1.1088559999999901</v>
      </c>
      <c r="L1224">
        <v>313.1508</v>
      </c>
      <c r="M1224">
        <v>-3.0107889999999998E-2</v>
      </c>
      <c r="N1224">
        <v>0</v>
      </c>
      <c r="O1224">
        <v>-0.99945039999999996</v>
      </c>
      <c r="P1224">
        <v>-0.20399200000000001</v>
      </c>
      <c r="Q1224">
        <v>-4.558044E-2</v>
      </c>
      <c r="R1224">
        <v>-0.97791119999999998</v>
      </c>
      <c r="S1224">
        <v>-0.58570859999999902</v>
      </c>
      <c r="T1224">
        <v>-0.7520829</v>
      </c>
      <c r="U1224">
        <v>-2.9109799999999999</v>
      </c>
      <c r="V1224">
        <v>0.17435590000000001</v>
      </c>
      <c r="W1224">
        <v>-3.2458729999999998E-2</v>
      </c>
      <c r="X1224">
        <v>0.98414760000000001</v>
      </c>
      <c r="Y1224">
        <v>0.16158529999999999</v>
      </c>
      <c r="Z1224">
        <v>0.24603430000000001</v>
      </c>
      <c r="AA1224">
        <v>0.95569729999999997</v>
      </c>
      <c r="AB1224">
        <v>25</v>
      </c>
      <c r="AC1224">
        <v>-0.135899999999992</v>
      </c>
      <c r="AD1224">
        <v>-0.19730809999999899</v>
      </c>
      <c r="AE1224">
        <v>-0.26330000000001502</v>
      </c>
      <c r="AF1224">
        <v>8.8615988539010496E-2</v>
      </c>
      <c r="AG1224">
        <v>-0.19730809999999899</v>
      </c>
      <c r="AH1224">
        <v>0.185166078020402</v>
      </c>
      <c r="AI1224">
        <v>133.86580519714499</v>
      </c>
      <c r="AJ1224">
        <v>64.425355310817494</v>
      </c>
      <c r="AK1224">
        <v>0.28472751219334902</v>
      </c>
      <c r="AL1224">
        <v>91.860074910217406</v>
      </c>
      <c r="AM1224">
        <v>79.953473950194194</v>
      </c>
      <c r="AN1224">
        <v>1.00000002380189</v>
      </c>
    </row>
    <row r="1225" spans="1:40" x14ac:dyDescent="0.25">
      <c r="A1225" t="str">
        <f>"20190312161248946"</f>
        <v>20190312161248946</v>
      </c>
      <c r="B1225" t="str">
        <f>"1552378368936695"</f>
        <v>1552378368936695</v>
      </c>
      <c r="C1225" t="s">
        <v>40</v>
      </c>
      <c r="D1225">
        <v>5.8041549999999997</v>
      </c>
      <c r="E1225">
        <v>0.50061299999999997</v>
      </c>
      <c r="F1225" t="s">
        <v>43</v>
      </c>
      <c r="G1225">
        <v>-192.47620000000001</v>
      </c>
      <c r="H1225">
        <v>0.92254610000000004</v>
      </c>
      <c r="I1225">
        <v>312.43939999999998</v>
      </c>
      <c r="J1225">
        <v>-192.34139999999999</v>
      </c>
      <c r="K1225">
        <v>1.108867</v>
      </c>
      <c r="L1225">
        <v>312.9212</v>
      </c>
      <c r="M1225">
        <v>-3.1785029999999999E-2</v>
      </c>
      <c r="N1225">
        <v>0</v>
      </c>
      <c r="O1225">
        <v>-0.99939840000000002</v>
      </c>
      <c r="P1225">
        <v>-0.20532149999999999</v>
      </c>
      <c r="Q1225">
        <v>-4.5444209999999999E-2</v>
      </c>
      <c r="R1225">
        <v>-0.97763909999999998</v>
      </c>
      <c r="S1225">
        <v>-0.58671569999999995</v>
      </c>
      <c r="T1225">
        <v>-0.76201019999999997</v>
      </c>
      <c r="U1225">
        <v>-2.9098510000000002</v>
      </c>
      <c r="V1225">
        <v>0.17404330000000001</v>
      </c>
      <c r="W1225">
        <v>-3.2320250000000002E-2</v>
      </c>
      <c r="X1225">
        <v>0.98420750000000001</v>
      </c>
      <c r="Y1225">
        <v>0.1601619</v>
      </c>
      <c r="Z1225">
        <v>0.24917030000000001</v>
      </c>
      <c r="AA1225">
        <v>0.95512430000000004</v>
      </c>
      <c r="AB1225">
        <v>25</v>
      </c>
      <c r="AC1225">
        <v>-0.13480000000001199</v>
      </c>
      <c r="AD1225">
        <v>-0.18632090000000001</v>
      </c>
      <c r="AE1225">
        <v>-0.48180000000002099</v>
      </c>
      <c r="AF1225">
        <v>0.104871327918882</v>
      </c>
      <c r="AG1225">
        <v>-0.18632090000000001</v>
      </c>
      <c r="AH1225">
        <v>0.42666551053177099</v>
      </c>
      <c r="AI1225">
        <v>112.98028392633501</v>
      </c>
      <c r="AJ1225">
        <v>76.190853058690607</v>
      </c>
      <c r="AK1225">
        <v>0.47723886165485002</v>
      </c>
      <c r="AL1225">
        <v>91.852136403211802</v>
      </c>
      <c r="AM1225">
        <v>79.971718215341397</v>
      </c>
      <c r="AN1225">
        <v>1.0000000359456001</v>
      </c>
    </row>
    <row r="1226" spans="1:40" x14ac:dyDescent="0.25">
      <c r="A1226" t="str">
        <f>"20190312161248992"</f>
        <v>20190312161248992</v>
      </c>
      <c r="B1226" t="str">
        <f>"1552378368986471"</f>
        <v>1552378368986471</v>
      </c>
      <c r="C1226" t="s">
        <v>40</v>
      </c>
      <c r="D1226">
        <v>5.7693640000000004</v>
      </c>
      <c r="E1226">
        <v>0.50027619999999995</v>
      </c>
      <c r="F1226" t="s">
        <v>43</v>
      </c>
      <c r="G1226">
        <v>-192.4838</v>
      </c>
      <c r="H1226">
        <v>0.92426649999999999</v>
      </c>
      <c r="I1226">
        <v>312.21749999999997</v>
      </c>
      <c r="J1226">
        <v>-192.36240000000001</v>
      </c>
      <c r="K1226">
        <v>1.1088769999999999</v>
      </c>
      <c r="L1226">
        <v>312.41180000000003</v>
      </c>
      <c r="M1226">
        <v>-3.5487560000000001E-2</v>
      </c>
      <c r="N1226">
        <v>0</v>
      </c>
      <c r="O1226">
        <v>-0.99927379999999999</v>
      </c>
      <c r="P1226">
        <v>-0.20777380000000001</v>
      </c>
      <c r="Q1226">
        <v>-4.4915259999999999E-2</v>
      </c>
      <c r="R1226">
        <v>-0.97714509999999999</v>
      </c>
      <c r="S1226">
        <v>-0.58828740000000002</v>
      </c>
      <c r="T1226">
        <v>-0.76326380000000005</v>
      </c>
      <c r="U1226">
        <v>-2.9095759999999999</v>
      </c>
      <c r="V1226">
        <v>0.17286879999999999</v>
      </c>
      <c r="W1226">
        <v>-3.1781999999999998E-2</v>
      </c>
      <c r="X1226">
        <v>0.98443199999999997</v>
      </c>
      <c r="Y1226">
        <v>0.15699959999999999</v>
      </c>
      <c r="Z1226">
        <v>0.24958259999999999</v>
      </c>
      <c r="AA1226">
        <v>0.95554159999999999</v>
      </c>
      <c r="AB1226">
        <v>25</v>
      </c>
      <c r="AC1226">
        <v>-0.121399999999994</v>
      </c>
      <c r="AD1226">
        <v>-0.18461050000000001</v>
      </c>
      <c r="AE1226">
        <v>-0.19430000000005501</v>
      </c>
      <c r="AF1226">
        <v>6.9380318430181595E-2</v>
      </c>
      <c r="AG1226">
        <v>-0.18461050000000001</v>
      </c>
      <c r="AH1226">
        <v>0.12034712681265899</v>
      </c>
      <c r="AI1226">
        <v>143.03963779987501</v>
      </c>
      <c r="AJ1226">
        <v>60.036479677015301</v>
      </c>
      <c r="AK1226">
        <v>0.231037001858545</v>
      </c>
      <c r="AL1226">
        <v>91.8212810905829</v>
      </c>
      <c r="AM1226">
        <v>80.040258497358096</v>
      </c>
      <c r="AN1226">
        <v>1.0000000400807101</v>
      </c>
    </row>
    <row r="1227" spans="1:40" x14ac:dyDescent="0.25">
      <c r="A1227" t="str">
        <f>"20190312161249016"</f>
        <v>20190312161249016</v>
      </c>
      <c r="B1227" t="str">
        <f>"1552378369006498"</f>
        <v>1552378369006498</v>
      </c>
      <c r="C1227" t="s">
        <v>40</v>
      </c>
      <c r="D1227">
        <v>5.8035860000000001</v>
      </c>
      <c r="E1227">
        <v>0.50008969999999997</v>
      </c>
      <c r="F1227" t="s">
        <v>43</v>
      </c>
      <c r="G1227">
        <v>-192.53380000000001</v>
      </c>
      <c r="H1227">
        <v>0.88638249999999996</v>
      </c>
      <c r="I1227">
        <v>311.572</v>
      </c>
      <c r="J1227">
        <v>-192.3741</v>
      </c>
      <c r="K1227">
        <v>1.1088830000000001</v>
      </c>
      <c r="L1227">
        <v>312.14479999999998</v>
      </c>
      <c r="M1227">
        <v>-3.7419189999999998E-2</v>
      </c>
      <c r="N1227">
        <v>0</v>
      </c>
      <c r="O1227">
        <v>-0.99920359999999997</v>
      </c>
      <c r="P1227">
        <v>-0.2100215</v>
      </c>
      <c r="Q1227">
        <v>-4.5329370000000001E-2</v>
      </c>
      <c r="R1227">
        <v>-0.9766456</v>
      </c>
      <c r="S1227">
        <v>-0.59277340000000001</v>
      </c>
      <c r="T1227">
        <v>-0.77053859999999996</v>
      </c>
      <c r="U1227">
        <v>-2.908722</v>
      </c>
      <c r="V1227">
        <v>0.17323079999999999</v>
      </c>
      <c r="W1227">
        <v>-3.2197040000000003E-2</v>
      </c>
      <c r="X1227">
        <v>0.98435490000000003</v>
      </c>
      <c r="Y1227">
        <v>0.15644630000000001</v>
      </c>
      <c r="Z1227">
        <v>0.25182700000000002</v>
      </c>
      <c r="AA1227">
        <v>0.95504330000000004</v>
      </c>
      <c r="AB1227">
        <v>25</v>
      </c>
      <c r="AC1227">
        <v>-0.159700000000015</v>
      </c>
      <c r="AD1227">
        <v>-0.22250049999999999</v>
      </c>
      <c r="AE1227">
        <v>-0.572799999999972</v>
      </c>
      <c r="AF1227">
        <v>0.121185706380614</v>
      </c>
      <c r="AG1227">
        <v>-0.22250049999999999</v>
      </c>
      <c r="AH1227">
        <v>0.50734423389472305</v>
      </c>
      <c r="AI1227">
        <v>113.10112035655099</v>
      </c>
      <c r="AJ1227">
        <v>76.565886231646502</v>
      </c>
      <c r="AK1227">
        <v>0.56708960455772905</v>
      </c>
      <c r="AL1227">
        <v>91.845073262173798</v>
      </c>
      <c r="AM1227">
        <v>80.019054976095205</v>
      </c>
      <c r="AN1227">
        <v>1.0000000643036999</v>
      </c>
    </row>
    <row r="1228" spans="1:40" x14ac:dyDescent="0.25">
      <c r="A1228" t="str">
        <f>"20190312161249125"</f>
        <v>20190312161249125</v>
      </c>
      <c r="B1228" t="str">
        <f>"1552378369116319"</f>
        <v>1552378369116319</v>
      </c>
      <c r="C1228" t="s">
        <v>40</v>
      </c>
      <c r="D1228">
        <v>5.7104689999999998</v>
      </c>
      <c r="E1228">
        <v>0.4993803</v>
      </c>
      <c r="F1228" t="s">
        <v>43</v>
      </c>
      <c r="G1228">
        <v>-192.5744</v>
      </c>
      <c r="H1228">
        <v>0.91848300000000005</v>
      </c>
      <c r="I1228">
        <v>310.46120000000002</v>
      </c>
      <c r="J1228">
        <v>-192.4332</v>
      </c>
      <c r="K1228">
        <v>1.108916</v>
      </c>
      <c r="L1228">
        <v>310.94600000000003</v>
      </c>
      <c r="M1228">
        <v>-4.606586E-2</v>
      </c>
      <c r="N1228">
        <v>0</v>
      </c>
      <c r="O1228">
        <v>-0.99884260000000002</v>
      </c>
      <c r="P1228">
        <v>-0.21939040000000001</v>
      </c>
      <c r="Q1228">
        <v>-4.6450569999999997E-2</v>
      </c>
      <c r="R1228">
        <v>-0.97453129999999999</v>
      </c>
      <c r="S1228">
        <v>-0.61653139999999995</v>
      </c>
      <c r="T1228">
        <v>-0.76382709999999998</v>
      </c>
      <c r="U1228">
        <v>-2.9037480000000002</v>
      </c>
      <c r="V1228">
        <v>0.17416470000000001</v>
      </c>
      <c r="W1228">
        <v>-3.332384E-2</v>
      </c>
      <c r="X1228">
        <v>0.98415249999999999</v>
      </c>
      <c r="Y1228">
        <v>0.15582179999999901</v>
      </c>
      <c r="Z1228">
        <v>0.2498541</v>
      </c>
      <c r="AA1228">
        <v>0.95566340000000005</v>
      </c>
      <c r="AB1228">
        <v>24</v>
      </c>
      <c r="AC1228">
        <v>-0.14119999999999699</v>
      </c>
      <c r="AD1228">
        <v>-0.19043299999999999</v>
      </c>
      <c r="AE1228">
        <v>-0.48479999999994999</v>
      </c>
      <c r="AF1228">
        <v>0.103932639742202</v>
      </c>
      <c r="AG1228">
        <v>-0.19043299999999999</v>
      </c>
      <c r="AH1228">
        <v>0.429676525181445</v>
      </c>
      <c r="AI1228">
        <v>113.305306883215</v>
      </c>
      <c r="AJ1228">
        <v>76.402148076396898</v>
      </c>
      <c r="AK1228">
        <v>0.48134045891113703</v>
      </c>
      <c r="AL1228">
        <v>91.909668975533606</v>
      </c>
      <c r="AM1228">
        <v>79.964315922515695</v>
      </c>
      <c r="AN1228">
        <v>0.99999998214734198</v>
      </c>
    </row>
    <row r="1229" spans="1:40" x14ac:dyDescent="0.25">
      <c r="A1229" t="str">
        <f>"20190312161249147"</f>
        <v>20190312161249147</v>
      </c>
      <c r="B1229" t="str">
        <f>"1552378369136815"</f>
        <v>1552378369136815</v>
      </c>
      <c r="C1229" t="s">
        <v>40</v>
      </c>
      <c r="D1229">
        <v>5.7381880000000001</v>
      </c>
      <c r="E1229">
        <v>0.49944749999999999</v>
      </c>
      <c r="F1229" t="s">
        <v>43</v>
      </c>
      <c r="G1229">
        <v>-192.58410000000001</v>
      </c>
      <c r="H1229">
        <v>0.92220829999999998</v>
      </c>
      <c r="I1229">
        <v>310.24099999999999</v>
      </c>
      <c r="J1229">
        <v>-192.44630000000001</v>
      </c>
      <c r="K1229">
        <v>1.1089209999999901</v>
      </c>
      <c r="L1229">
        <v>310.70519999999999</v>
      </c>
      <c r="M1229">
        <v>-4.7804109999999997E-2</v>
      </c>
      <c r="N1229">
        <v>0</v>
      </c>
      <c r="O1229">
        <v>-0.99876089999999995</v>
      </c>
      <c r="P1229">
        <v>-0.2208899</v>
      </c>
      <c r="Q1229">
        <v>-4.6614650000000001E-2</v>
      </c>
      <c r="R1229">
        <v>-0.97418450000000001</v>
      </c>
      <c r="S1229">
        <v>-0.62066650000000001</v>
      </c>
      <c r="T1229">
        <v>-0.76844419999999902</v>
      </c>
      <c r="U1229">
        <v>-2.9020389999999998</v>
      </c>
      <c r="V1229">
        <v>0.17396679999999901</v>
      </c>
      <c r="W1229">
        <v>-3.3487980000000001E-2</v>
      </c>
      <c r="X1229">
        <v>0.98418190000000005</v>
      </c>
      <c r="Y1229">
        <v>0.15544040000000001</v>
      </c>
      <c r="Z1229">
        <v>0.25134689999999998</v>
      </c>
      <c r="AA1229">
        <v>0.95533389999999996</v>
      </c>
      <c r="AB1229">
        <v>24</v>
      </c>
      <c r="AC1229">
        <v>-0.13779999999999801</v>
      </c>
      <c r="AD1229">
        <v>-0.18671269999999901</v>
      </c>
      <c r="AE1229">
        <v>-0.464200000000005</v>
      </c>
      <c r="AF1229">
        <v>0.10050614132092101</v>
      </c>
      <c r="AG1229">
        <v>-0.18671269999999901</v>
      </c>
      <c r="AH1229">
        <v>0.40938838422781998</v>
      </c>
      <c r="AI1229">
        <v>113.889727998392</v>
      </c>
      <c r="AJ1229">
        <v>76.206506092042005</v>
      </c>
      <c r="AK1229">
        <v>0.46104442944815599</v>
      </c>
      <c r="AL1229">
        <v>91.919078814178903</v>
      </c>
      <c r="AM1229">
        <v>79.975781240505896</v>
      </c>
      <c r="AN1229">
        <v>0.99999995229716399</v>
      </c>
    </row>
    <row r="1230" spans="1:40" x14ac:dyDescent="0.25">
      <c r="A1230" t="str">
        <f>"20190312161249169"</f>
        <v>20190312161249169</v>
      </c>
      <c r="B1230" t="str">
        <f>"1552378369157310"</f>
        <v>1552378369157310</v>
      </c>
      <c r="C1230" t="s">
        <v>40</v>
      </c>
      <c r="D1230">
        <v>5.7263060000000001</v>
      </c>
      <c r="E1230">
        <v>0.4993052</v>
      </c>
      <c r="F1230" t="s">
        <v>43</v>
      </c>
      <c r="G1230">
        <v>-192.59389999999999</v>
      </c>
      <c r="H1230">
        <v>0.92620429999999998</v>
      </c>
      <c r="I1230">
        <v>310.02080000000001</v>
      </c>
      <c r="J1230">
        <v>-192.45959999999999</v>
      </c>
      <c r="K1230">
        <v>1.1089260000000001</v>
      </c>
      <c r="L1230">
        <v>310.46820000000002</v>
      </c>
      <c r="M1230">
        <v>-4.9515620000000003E-2</v>
      </c>
      <c r="N1230">
        <v>0</v>
      </c>
      <c r="O1230">
        <v>-0.99867760000000005</v>
      </c>
      <c r="P1230">
        <v>-0.2219489</v>
      </c>
      <c r="Q1230">
        <v>-4.6082409999999997E-2</v>
      </c>
      <c r="R1230">
        <v>-0.97396919999999998</v>
      </c>
      <c r="S1230">
        <v>-0.62565609999999905</v>
      </c>
      <c r="T1230">
        <v>-0.7743816</v>
      </c>
      <c r="U1230">
        <v>-2.9005429999999999</v>
      </c>
      <c r="V1230">
        <v>0.17335100000000001</v>
      </c>
      <c r="W1230">
        <v>-3.2953059999999999E-2</v>
      </c>
      <c r="X1230">
        <v>0.98430870000000004</v>
      </c>
      <c r="Y1230">
        <v>0.15531829999999999</v>
      </c>
      <c r="Z1230">
        <v>0.2532123</v>
      </c>
      <c r="AA1230">
        <v>0.95486110000000002</v>
      </c>
      <c r="AB1230">
        <v>24</v>
      </c>
      <c r="AC1230">
        <v>-0.13429999999999601</v>
      </c>
      <c r="AD1230">
        <v>-0.18272169999999999</v>
      </c>
      <c r="AE1230">
        <v>-0.44740000000001601</v>
      </c>
      <c r="AF1230">
        <v>9.7119581508667299E-2</v>
      </c>
      <c r="AG1230">
        <v>-0.18272169999999999</v>
      </c>
      <c r="AH1230">
        <v>0.39331990417827001</v>
      </c>
      <c r="AI1230">
        <v>114.276163268956</v>
      </c>
      <c r="AJ1230">
        <v>76.129825348011593</v>
      </c>
      <c r="AK1230">
        <v>0.444432199312912</v>
      </c>
      <c r="AL1230">
        <v>91.888413052613998</v>
      </c>
      <c r="AM1230">
        <v>80.011809528617704</v>
      </c>
      <c r="AN1230">
        <v>1.0000000451300199</v>
      </c>
    </row>
    <row r="1231" spans="1:40" x14ac:dyDescent="0.25">
      <c r="A1231" t="str">
        <f>"20190312161249191"</f>
        <v>20190312161249191</v>
      </c>
      <c r="B1231" t="str">
        <f>"1552378369186590"</f>
        <v>1552378369186590</v>
      </c>
      <c r="C1231" t="s">
        <v>40</v>
      </c>
      <c r="D1231">
        <v>5.761018</v>
      </c>
      <c r="E1231">
        <v>0.499139</v>
      </c>
      <c r="F1231" t="s">
        <v>43</v>
      </c>
      <c r="G1231">
        <v>-192.6464</v>
      </c>
      <c r="H1231">
        <v>0.87876390000000004</v>
      </c>
      <c r="I1231">
        <v>309.60599999999999</v>
      </c>
      <c r="J1231">
        <v>-192.47389999999999</v>
      </c>
      <c r="K1231">
        <v>1.1089359999999999</v>
      </c>
      <c r="L1231">
        <v>310.22210000000001</v>
      </c>
      <c r="M1231">
        <v>-5.1293850000000002E-2</v>
      </c>
      <c r="N1231">
        <v>0</v>
      </c>
      <c r="O1231">
        <v>-0.99858769999999997</v>
      </c>
      <c r="P1231">
        <v>-0.2233204</v>
      </c>
      <c r="Q1231">
        <v>-4.5585830000000001E-2</v>
      </c>
      <c r="R1231">
        <v>-0.97367879999999996</v>
      </c>
      <c r="S1231">
        <v>-0.62811280000000003</v>
      </c>
      <c r="T1231">
        <v>-0.77424789999999999</v>
      </c>
      <c r="U1231">
        <v>-2.90036</v>
      </c>
      <c r="V1231">
        <v>0.17298540000000001</v>
      </c>
      <c r="W1231">
        <v>-3.2455270000000001E-2</v>
      </c>
      <c r="X1231">
        <v>0.98438950000000003</v>
      </c>
      <c r="Y1231">
        <v>0.15434929999999999</v>
      </c>
      <c r="Z1231">
        <v>0.25315140000000003</v>
      </c>
      <c r="AA1231">
        <v>0.95503439999999995</v>
      </c>
      <c r="AB1231">
        <v>24</v>
      </c>
      <c r="AC1231">
        <v>-0.172500000000013</v>
      </c>
      <c r="AD1231">
        <v>-0.23017209999999999</v>
      </c>
      <c r="AE1231">
        <v>-0.61610000000001697</v>
      </c>
      <c r="AF1231">
        <v>0.124547818510373</v>
      </c>
      <c r="AG1231">
        <v>-0.23017209999999999</v>
      </c>
      <c r="AH1231">
        <v>0.55261443840185398</v>
      </c>
      <c r="AI1231">
        <v>112.11303291448201</v>
      </c>
      <c r="AJ1231">
        <v>77.298936713205507</v>
      </c>
      <c r="AK1231">
        <v>0.61145242843928505</v>
      </c>
      <c r="AL1231">
        <v>91.859876624398197</v>
      </c>
      <c r="AM1231">
        <v>80.033253639821197</v>
      </c>
      <c r="AN1231">
        <v>0.99999999043709098</v>
      </c>
    </row>
    <row r="1232" spans="1:40" x14ac:dyDescent="0.25">
      <c r="A1232" t="str">
        <f>"20190312161249215"</f>
        <v>20190312161249215</v>
      </c>
      <c r="B1232" t="str">
        <f>"1552378369206618"</f>
        <v>1552378369206618</v>
      </c>
      <c r="C1232" t="s">
        <v>40</v>
      </c>
      <c r="D1232">
        <v>5.7750399999999997</v>
      </c>
      <c r="E1232">
        <v>0.49905759999999999</v>
      </c>
      <c r="F1232" t="s">
        <v>43</v>
      </c>
      <c r="G1232">
        <v>-192.65629999999999</v>
      </c>
      <c r="H1232">
        <v>0.88666420000000001</v>
      </c>
      <c r="I1232">
        <v>309.38529999999997</v>
      </c>
      <c r="J1232">
        <v>-192.48929999999999</v>
      </c>
      <c r="K1232">
        <v>1.108941</v>
      </c>
      <c r="L1232">
        <v>309.96499999999997</v>
      </c>
      <c r="M1232">
        <v>-5.3152289999999998E-2</v>
      </c>
      <c r="N1232">
        <v>0</v>
      </c>
      <c r="O1232">
        <v>-0.99849060000000001</v>
      </c>
      <c r="P1232">
        <v>-0.22499150000000001</v>
      </c>
      <c r="Q1232">
        <v>-4.5911390000000003E-2</v>
      </c>
      <c r="R1232">
        <v>-0.97327900000000001</v>
      </c>
      <c r="S1232">
        <v>-0.63131709999999996</v>
      </c>
      <c r="T1232">
        <v>-0.77028730000000001</v>
      </c>
      <c r="U1232">
        <v>-2.9002379999999999</v>
      </c>
      <c r="V1232">
        <v>0.1728432</v>
      </c>
      <c r="W1232">
        <v>-3.2781419999999999E-2</v>
      </c>
      <c r="X1232">
        <v>0.98440369999999999</v>
      </c>
      <c r="Y1232">
        <v>0.15359729999999999</v>
      </c>
      <c r="Z1232">
        <v>0.2519015</v>
      </c>
      <c r="AA1232">
        <v>0.95548599999999995</v>
      </c>
      <c r="AB1232">
        <v>24</v>
      </c>
      <c r="AC1232">
        <v>-0.16700000000000101</v>
      </c>
      <c r="AD1232">
        <v>-0.222276799999999</v>
      </c>
      <c r="AE1232">
        <v>-0.57970000000000199</v>
      </c>
      <c r="AF1232">
        <v>0.119698795260717</v>
      </c>
      <c r="AG1232">
        <v>-0.222276799999999</v>
      </c>
      <c r="AH1232">
        <v>0.51750373415936901</v>
      </c>
      <c r="AI1232">
        <v>112.707804165022</v>
      </c>
      <c r="AJ1232">
        <v>76.976494277987896</v>
      </c>
      <c r="AK1232">
        <v>0.57579935070647503</v>
      </c>
      <c r="AL1232">
        <v>91.878573538632494</v>
      </c>
      <c r="AM1232">
        <v>80.0414233470608</v>
      </c>
      <c r="AN1232">
        <v>1.00000001892857</v>
      </c>
    </row>
    <row r="1233" spans="1:40" x14ac:dyDescent="0.25">
      <c r="A1233" t="str">
        <f>"20190312161249235"</f>
        <v>20190312161249235</v>
      </c>
      <c r="B1233" t="str">
        <f>"1552378369227113"</f>
        <v>1552378369227113</v>
      </c>
      <c r="C1233" t="s">
        <v>40</v>
      </c>
      <c r="D1233">
        <v>5.9092169999999999</v>
      </c>
      <c r="E1233">
        <v>0.49897530000000001</v>
      </c>
      <c r="F1233" t="s">
        <v>43</v>
      </c>
      <c r="G1233">
        <v>-192.66480000000001</v>
      </c>
      <c r="H1233">
        <v>0.8962485</v>
      </c>
      <c r="I1233">
        <v>309.16419999999999</v>
      </c>
      <c r="J1233">
        <v>-192.50319999999999</v>
      </c>
      <c r="K1233">
        <v>1.1089389999999999</v>
      </c>
      <c r="L1233">
        <v>309.73840000000001</v>
      </c>
      <c r="M1233">
        <v>-5.4790619999999998E-2</v>
      </c>
      <c r="N1233">
        <v>0</v>
      </c>
      <c r="O1233">
        <v>-0.99840220000000002</v>
      </c>
      <c r="P1233">
        <v>-0.2265839</v>
      </c>
      <c r="Q1233">
        <v>-4.5952930000000003E-2</v>
      </c>
      <c r="R1233">
        <v>-0.97290730000000003</v>
      </c>
      <c r="S1233">
        <v>-0.63554379999999999</v>
      </c>
      <c r="T1233">
        <v>-0.76999189999999995</v>
      </c>
      <c r="U1233">
        <v>-2.8991389999999999</v>
      </c>
      <c r="V1233">
        <v>0.17283899999999999</v>
      </c>
      <c r="W1233">
        <v>-3.2823869999999998E-2</v>
      </c>
      <c r="X1233">
        <v>0.98440300000000003</v>
      </c>
      <c r="Y1233">
        <v>0.15338599999999999</v>
      </c>
      <c r="Z1233">
        <v>0.251834</v>
      </c>
      <c r="AA1233">
        <v>0.95553770000000005</v>
      </c>
      <c r="AB1233">
        <v>24</v>
      </c>
      <c r="AC1233">
        <v>-0.161600000000021</v>
      </c>
      <c r="AD1233">
        <v>-0.21269049999999901</v>
      </c>
      <c r="AE1233">
        <v>-0.57420000000001803</v>
      </c>
      <c r="AF1233">
        <v>0.11524210832499</v>
      </c>
      <c r="AG1233">
        <v>-0.21269049999999901</v>
      </c>
      <c r="AH1233">
        <v>0.51652397490236301</v>
      </c>
      <c r="AI1233">
        <v>111.89477332672401</v>
      </c>
      <c r="AJ1233">
        <v>77.422682238310898</v>
      </c>
      <c r="AK1233">
        <v>0.57036392677866299</v>
      </c>
      <c r="AL1233">
        <v>91.881007096445202</v>
      </c>
      <c r="AM1233">
        <v>80.041653551675395</v>
      </c>
      <c r="AN1233">
        <v>0.99999999638588799</v>
      </c>
    </row>
    <row r="1234" spans="1:40" x14ac:dyDescent="0.25">
      <c r="A1234" t="str">
        <f>"20190312161249259"</f>
        <v>20190312161249259</v>
      </c>
      <c r="B1234" t="str">
        <f>"1552378369246633"</f>
        <v>1552378369246633</v>
      </c>
      <c r="C1234" t="s">
        <v>40</v>
      </c>
      <c r="D1234">
        <v>5.8540700000000001</v>
      </c>
      <c r="E1234">
        <v>0.49876700000000002</v>
      </c>
      <c r="F1234" t="s">
        <v>43</v>
      </c>
      <c r="G1234">
        <v>-192.6781</v>
      </c>
      <c r="H1234">
        <v>0.89876160000000005</v>
      </c>
      <c r="I1234">
        <v>308.94630000000001</v>
      </c>
      <c r="J1234">
        <v>-192.5189</v>
      </c>
      <c r="K1234">
        <v>1.1089450000000001</v>
      </c>
      <c r="L1234">
        <v>309.4905</v>
      </c>
      <c r="M1234">
        <v>-5.6583090000000003E-2</v>
      </c>
      <c r="N1234">
        <v>0</v>
      </c>
      <c r="O1234">
        <v>-0.99830200000000002</v>
      </c>
      <c r="P1234">
        <v>-0.22847120000000001</v>
      </c>
      <c r="Q1234">
        <v>-4.5726740000000002E-2</v>
      </c>
      <c r="R1234">
        <v>-0.97247640000000002</v>
      </c>
      <c r="S1234">
        <v>-0.63948059999999995</v>
      </c>
      <c r="T1234">
        <v>-0.76899589999999995</v>
      </c>
      <c r="U1234">
        <v>-2.8983150000000002</v>
      </c>
      <c r="V1234">
        <v>0.17298179999999999</v>
      </c>
      <c r="W1234">
        <v>-3.2599450000000002E-2</v>
      </c>
      <c r="X1234">
        <v>0.98438539999999997</v>
      </c>
      <c r="Y1234">
        <v>0.15292510000000001</v>
      </c>
      <c r="Z1234">
        <v>0.25153300000000001</v>
      </c>
      <c r="AA1234">
        <v>0.95569090000000001</v>
      </c>
      <c r="AB1234">
        <v>24</v>
      </c>
      <c r="AC1234">
        <v>-0.15919999999999801</v>
      </c>
      <c r="AD1234">
        <v>-0.21018339999999999</v>
      </c>
      <c r="AE1234">
        <v>-0.54419999999998903</v>
      </c>
      <c r="AF1234">
        <v>0.112667759036381</v>
      </c>
      <c r="AG1234">
        <v>-0.21018339999999999</v>
      </c>
      <c r="AH1234">
        <v>0.48560930775589101</v>
      </c>
      <c r="AI1234">
        <v>112.86149271387301</v>
      </c>
      <c r="AJ1234">
        <v>76.9377324077103</v>
      </c>
      <c r="AK1234">
        <v>0.54100599381244896</v>
      </c>
      <c r="AL1234">
        <v>91.868141845530104</v>
      </c>
      <c r="AM1234">
        <v>80.0334162202778</v>
      </c>
      <c r="AN1234">
        <v>1.0000000215023499</v>
      </c>
    </row>
    <row r="1235" spans="1:40" x14ac:dyDescent="0.25">
      <c r="A1235" t="str">
        <f>"20190312161249281"</f>
        <v>20190312161249281</v>
      </c>
      <c r="B1235" t="str">
        <f>"1552378369276889"</f>
        <v>1552378369276889</v>
      </c>
      <c r="C1235" t="s">
        <v>40</v>
      </c>
      <c r="D1235">
        <v>5.9349999999999996</v>
      </c>
      <c r="E1235">
        <v>0.50595270000000003</v>
      </c>
      <c r="F1235" t="s">
        <v>43</v>
      </c>
      <c r="G1235">
        <v>-192.68879999999999</v>
      </c>
      <c r="H1235">
        <v>0.90726260000000003</v>
      </c>
      <c r="I1235">
        <v>308.72620000000001</v>
      </c>
      <c r="J1235">
        <v>-192.5352</v>
      </c>
      <c r="K1235">
        <v>1.108954</v>
      </c>
      <c r="L1235">
        <v>309.23899999999998</v>
      </c>
      <c r="M1235">
        <v>-5.840161E-2</v>
      </c>
      <c r="N1235">
        <v>0</v>
      </c>
      <c r="O1235">
        <v>-0.99819760000000002</v>
      </c>
      <c r="P1235">
        <v>-0.23017190000000001</v>
      </c>
      <c r="Q1235">
        <v>-4.5209369999999999E-2</v>
      </c>
      <c r="R1235">
        <v>-0.97209979999999996</v>
      </c>
      <c r="S1235">
        <v>-0.64410400000000001</v>
      </c>
      <c r="T1235">
        <v>-0.76467680000000005</v>
      </c>
      <c r="U1235">
        <v>-2.897583</v>
      </c>
      <c r="V1235">
        <v>0.1729108</v>
      </c>
      <c r="W1235">
        <v>-3.2082439999999997E-2</v>
      </c>
      <c r="X1235">
        <v>0.98441480000000003</v>
      </c>
      <c r="Y1235">
        <v>0.15270610000000001</v>
      </c>
      <c r="Z1235">
        <v>0.25019419999999998</v>
      </c>
      <c r="AA1235">
        <v>0.95607730000000002</v>
      </c>
      <c r="AB1235">
        <v>24</v>
      </c>
      <c r="AC1235">
        <v>-0.153599999999983</v>
      </c>
      <c r="AD1235">
        <v>-0.20169139999999999</v>
      </c>
      <c r="AE1235">
        <v>-0.51280000000002701</v>
      </c>
      <c r="AF1235">
        <v>0.10804813339121699</v>
      </c>
      <c r="AG1235">
        <v>-0.20169139999999999</v>
      </c>
      <c r="AH1235">
        <v>0.45614224996673097</v>
      </c>
      <c r="AI1235">
        <v>113.280357240632</v>
      </c>
      <c r="AJ1235">
        <v>76.673750978960499</v>
      </c>
      <c r="AK1235">
        <v>0.51031320987017204</v>
      </c>
      <c r="AL1235">
        <v>91.838503958517407</v>
      </c>
      <c r="AM1235">
        <v>80.0377165858295</v>
      </c>
      <c r="AN1235">
        <v>0.99999996308601602</v>
      </c>
    </row>
    <row r="1236" spans="1:40" x14ac:dyDescent="0.25">
      <c r="A1236" t="str">
        <f>"20190312161249305"</f>
        <v>20190312161249305</v>
      </c>
      <c r="B1236" t="str">
        <f>"1552378369296915"</f>
        <v>1552378369296915</v>
      </c>
      <c r="C1236" t="s">
        <v>40</v>
      </c>
      <c r="D1236">
        <v>5.7872309999999896</v>
      </c>
      <c r="E1236">
        <v>0.52147949999999998</v>
      </c>
      <c r="F1236" t="s">
        <v>43</v>
      </c>
      <c r="G1236">
        <v>-192.72829999999999</v>
      </c>
      <c r="H1236">
        <v>1.00054</v>
      </c>
      <c r="I1236">
        <v>308.46660000000003</v>
      </c>
      <c r="J1236">
        <v>-192.5522</v>
      </c>
      <c r="K1236">
        <v>1.1089580000000001</v>
      </c>
      <c r="L1236">
        <v>308.98610000000002</v>
      </c>
      <c r="M1236">
        <v>-6.0230789999999999E-2</v>
      </c>
      <c r="N1236">
        <v>0</v>
      </c>
      <c r="O1236">
        <v>-0.99808869999999905</v>
      </c>
      <c r="P1236">
        <v>-0.23140079999999999</v>
      </c>
      <c r="Q1236">
        <v>-4.4615719999999998E-2</v>
      </c>
      <c r="R1236">
        <v>-0.971835</v>
      </c>
      <c r="S1236">
        <v>-0.72312929999999997</v>
      </c>
      <c r="T1236">
        <v>-0.40656019999999998</v>
      </c>
      <c r="U1236">
        <v>-2.8959959999999998</v>
      </c>
      <c r="V1236">
        <v>0.17235210000000001</v>
      </c>
      <c r="W1236">
        <v>-3.1486790000000001E-2</v>
      </c>
      <c r="X1236">
        <v>0.98453210000000002</v>
      </c>
      <c r="Y1236">
        <v>0.1811469</v>
      </c>
      <c r="Z1236">
        <v>0.1354621</v>
      </c>
      <c r="AA1236">
        <v>0.97408209999999995</v>
      </c>
      <c r="AB1236">
        <v>24</v>
      </c>
      <c r="AC1236">
        <v>-0.17609999999999101</v>
      </c>
      <c r="AD1236">
        <v>-0.108417999999999</v>
      </c>
      <c r="AE1236">
        <v>-0.51949999999999297</v>
      </c>
      <c r="AF1236">
        <v>0.13905508753698101</v>
      </c>
      <c r="AG1236">
        <v>-0.108417999999999</v>
      </c>
      <c r="AH1236">
        <v>0.50926946697130204</v>
      </c>
      <c r="AI1236">
        <v>101.605530698577</v>
      </c>
      <c r="AJ1236">
        <v>74.727770398386696</v>
      </c>
      <c r="AK1236">
        <v>0.538930580022281</v>
      </c>
      <c r="AL1236">
        <v>91.804358298235201</v>
      </c>
      <c r="AM1236">
        <v>80.070423982620696</v>
      </c>
      <c r="AN1236">
        <v>1.0000000601246599</v>
      </c>
    </row>
    <row r="1237" spans="1:40" x14ac:dyDescent="0.25">
      <c r="A1237" t="str">
        <f>"20190312161249326"</f>
        <v>20190312161249326</v>
      </c>
      <c r="B1237" t="str">
        <f>"1552378369316436"</f>
        <v>1552378369316436</v>
      </c>
      <c r="C1237" t="s">
        <v>40</v>
      </c>
      <c r="D1237">
        <v>5.7126590000000004</v>
      </c>
      <c r="E1237">
        <v>0.53039789999999998</v>
      </c>
      <c r="F1237" t="s">
        <v>63</v>
      </c>
      <c r="G1237">
        <v>-195.65950000000001</v>
      </c>
      <c r="H1237" s="1">
        <v>1.9190739999999999E-7</v>
      </c>
      <c r="I1237">
        <v>298.52670000000001</v>
      </c>
      <c r="J1237">
        <v>-192.56780000000001</v>
      </c>
      <c r="K1237">
        <v>1.108959</v>
      </c>
      <c r="L1237">
        <v>308.75830000000002</v>
      </c>
      <c r="M1237">
        <v>-6.187931E-2</v>
      </c>
      <c r="N1237">
        <v>0</v>
      </c>
      <c r="O1237">
        <v>-0.99798799999999999</v>
      </c>
      <c r="P1237">
        <v>-0.2328199</v>
      </c>
      <c r="Q1237">
        <v>-4.4857199999999903E-2</v>
      </c>
      <c r="R1237">
        <v>-0.97148489999999998</v>
      </c>
      <c r="S1237">
        <v>-0.85260009999999997</v>
      </c>
      <c r="T1237">
        <v>-0.30428539999999998</v>
      </c>
      <c r="U1237">
        <v>-2.8699650000000001</v>
      </c>
      <c r="V1237">
        <v>0.17216400000000001</v>
      </c>
      <c r="W1237">
        <v>-3.1728310000000003E-2</v>
      </c>
      <c r="X1237">
        <v>0.98455720000000002</v>
      </c>
      <c r="Y1237">
        <v>0.2234342</v>
      </c>
      <c r="Z1237">
        <v>0.10163030000000001</v>
      </c>
      <c r="AA1237">
        <v>0.9694062</v>
      </c>
      <c r="AB1237">
        <v>24</v>
      </c>
      <c r="AC1237">
        <v>-3.0916999999999999</v>
      </c>
      <c r="AD1237">
        <v>-1.1089588080926001</v>
      </c>
      <c r="AE1237">
        <v>-10.2316</v>
      </c>
      <c r="AF1237">
        <v>2.42646937815352</v>
      </c>
      <c r="AG1237">
        <v>-1.1089588080926001</v>
      </c>
      <c r="AH1237">
        <v>10.292524789522901</v>
      </c>
      <c r="AI1237">
        <v>95.986684353235603</v>
      </c>
      <c r="AJ1237">
        <v>76.734697586182406</v>
      </c>
      <c r="AK1237">
        <v>10.632667107744201</v>
      </c>
      <c r="AL1237">
        <v>91.818203393177598</v>
      </c>
      <c r="AM1237">
        <v>80.081293338106704</v>
      </c>
      <c r="AN1237">
        <v>1.0000000043116399</v>
      </c>
    </row>
    <row r="1238" spans="1:40" x14ac:dyDescent="0.25">
      <c r="A1238" t="str">
        <f>"20190312161249347"</f>
        <v>20190312161249347</v>
      </c>
      <c r="B1238" t="str">
        <f>"1552378369336931"</f>
        <v>1552378369336931</v>
      </c>
      <c r="C1238" t="s">
        <v>40</v>
      </c>
      <c r="D1238">
        <v>5.7836049999999997</v>
      </c>
      <c r="E1238">
        <v>0.53402320000000003</v>
      </c>
      <c r="F1238" t="s">
        <v>63</v>
      </c>
      <c r="G1238">
        <v>-196.68090000000001</v>
      </c>
      <c r="H1238" s="1">
        <v>6.4177160000000004E-7</v>
      </c>
      <c r="I1238">
        <v>296.11399999999998</v>
      </c>
      <c r="J1238">
        <v>-192.5839</v>
      </c>
      <c r="K1238">
        <v>1.1089610000000001</v>
      </c>
      <c r="L1238">
        <v>308.52980000000002</v>
      </c>
      <c r="M1238">
        <v>-6.3533309999999996E-2</v>
      </c>
      <c r="N1238">
        <v>0</v>
      </c>
      <c r="O1238">
        <v>-0.99788390000000005</v>
      </c>
      <c r="P1238">
        <v>-0.2347313</v>
      </c>
      <c r="Q1238">
        <v>-4.5434179999999998E-2</v>
      </c>
      <c r="R1238">
        <v>-0.97099789999999997</v>
      </c>
      <c r="S1238">
        <v>-0.92837519999999996</v>
      </c>
      <c r="T1238">
        <v>-0.25030819999999998</v>
      </c>
      <c r="U1238">
        <v>-2.8540040000000002</v>
      </c>
      <c r="V1238">
        <v>0.17246989999999901</v>
      </c>
      <c r="W1238">
        <v>-3.2308429999999999E-2</v>
      </c>
      <c r="X1238">
        <v>0.98448480000000005</v>
      </c>
      <c r="Y1238">
        <v>0.24720439999999999</v>
      </c>
      <c r="Z1238">
        <v>8.3610970000000007E-2</v>
      </c>
      <c r="AA1238">
        <v>0.96534929999999997</v>
      </c>
      <c r="AB1238">
        <v>24</v>
      </c>
      <c r="AC1238">
        <v>-4.0970000000000004</v>
      </c>
      <c r="AD1238">
        <v>-1.1089603582284</v>
      </c>
      <c r="AE1238">
        <v>-12.4157999999999</v>
      </c>
      <c r="AF1238">
        <v>3.2762582946839101</v>
      </c>
      <c r="AG1238">
        <v>-1.1089603582284</v>
      </c>
      <c r="AH1238">
        <v>12.560666168960701</v>
      </c>
      <c r="AI1238">
        <v>94.882925245626595</v>
      </c>
      <c r="AJ1238">
        <v>75.380993373286699</v>
      </c>
      <c r="AK1238">
        <v>13.028200032916301</v>
      </c>
      <c r="AL1238">
        <v>91.8514588590062</v>
      </c>
      <c r="AM1238">
        <v>80.063304605355896</v>
      </c>
      <c r="AN1238">
        <v>1.00000001124305</v>
      </c>
    </row>
    <row r="1239" spans="1:40" x14ac:dyDescent="0.25">
      <c r="A1239" t="str">
        <f>"20190312161249371"</f>
        <v>20190312161249371</v>
      </c>
      <c r="B1239" t="str">
        <f>"1552378369367187"</f>
        <v>1552378369367187</v>
      </c>
      <c r="C1239" t="s">
        <v>40</v>
      </c>
      <c r="D1239">
        <v>5.7497230000000004</v>
      </c>
      <c r="E1239">
        <v>0.53636039999999996</v>
      </c>
      <c r="F1239" t="s">
        <v>63</v>
      </c>
      <c r="G1239">
        <v>-197.36689999999999</v>
      </c>
      <c r="H1239" s="1">
        <v>1.1475579999999999E-6</v>
      </c>
      <c r="I1239">
        <v>294.4051</v>
      </c>
      <c r="J1239">
        <v>-192.60149999999999</v>
      </c>
      <c r="K1239">
        <v>1.108967</v>
      </c>
      <c r="L1239">
        <v>308.28530000000001</v>
      </c>
      <c r="M1239">
        <v>-6.5302349999999995E-2</v>
      </c>
      <c r="N1239">
        <v>0</v>
      </c>
      <c r="O1239">
        <v>-0.99776989999999999</v>
      </c>
      <c r="P1239">
        <v>-0.23645720000000001</v>
      </c>
      <c r="Q1239">
        <v>-4.5392809999999999E-2</v>
      </c>
      <c r="R1239">
        <v>-0.97058129999999998</v>
      </c>
      <c r="S1239">
        <v>-0.96377559999999995</v>
      </c>
      <c r="T1239">
        <v>-0.2234564</v>
      </c>
      <c r="U1239">
        <v>-2.84613</v>
      </c>
      <c r="V1239">
        <v>0.17247499999999999</v>
      </c>
      <c r="W1239">
        <v>-3.2268199999999997E-2</v>
      </c>
      <c r="X1239">
        <v>0.98448519999999995</v>
      </c>
      <c r="Y1239">
        <v>0.25730009999999998</v>
      </c>
      <c r="Z1239">
        <v>7.463649E-2</v>
      </c>
      <c r="AA1239">
        <v>0.96344490000000005</v>
      </c>
      <c r="AB1239">
        <v>24</v>
      </c>
      <c r="AC1239">
        <v>-4.7653999999999996</v>
      </c>
      <c r="AD1239">
        <v>-1.1089658524420001</v>
      </c>
      <c r="AE1239">
        <v>-13.8802</v>
      </c>
      <c r="AF1239">
        <v>3.82687791487455</v>
      </c>
      <c r="AG1239">
        <v>-1.1089658524420001</v>
      </c>
      <c r="AH1239">
        <v>14.0813810484171</v>
      </c>
      <c r="AI1239">
        <v>94.345983411814004</v>
      </c>
      <c r="AJ1239">
        <v>74.796016271154599</v>
      </c>
      <c r="AK1239">
        <v>14.634209649583299</v>
      </c>
      <c r="AL1239">
        <v>91.849152694627506</v>
      </c>
      <c r="AM1239">
        <v>80.063020587172304</v>
      </c>
      <c r="AN1239">
        <v>0.99999998568763904</v>
      </c>
    </row>
    <row r="1240" spans="1:40" x14ac:dyDescent="0.25">
      <c r="A1240" t="str">
        <f>"20190312161249393"</f>
        <v>20190312161249393</v>
      </c>
      <c r="B1240" t="str">
        <f>"1552378369386707"</f>
        <v>1552378369386707</v>
      </c>
      <c r="C1240" t="s">
        <v>40</v>
      </c>
      <c r="D1240">
        <v>5.7874119999999998</v>
      </c>
      <c r="E1240">
        <v>0.53712280000000001</v>
      </c>
      <c r="F1240" t="s">
        <v>63</v>
      </c>
      <c r="G1240">
        <v>-197.90180000000001</v>
      </c>
      <c r="H1240" s="1">
        <v>1.3401610000000001E-6</v>
      </c>
      <c r="I1240">
        <v>293.0421</v>
      </c>
      <c r="J1240">
        <v>-192.6198</v>
      </c>
      <c r="K1240">
        <v>1.1089709999999999</v>
      </c>
      <c r="L1240">
        <v>308.03800000000001</v>
      </c>
      <c r="M1240">
        <v>-6.7092840000000001E-2</v>
      </c>
      <c r="N1240">
        <v>0</v>
      </c>
      <c r="O1240">
        <v>-0.99765119999999896</v>
      </c>
      <c r="P1240">
        <v>-0.2384587</v>
      </c>
      <c r="Q1240">
        <v>-4.496679E-2</v>
      </c>
      <c r="R1240">
        <v>-0.97011139999999996</v>
      </c>
      <c r="S1240">
        <v>-0.9877319</v>
      </c>
      <c r="T1240">
        <v>-0.2066606</v>
      </c>
      <c r="U1240">
        <v>-2.8406370000000001</v>
      </c>
      <c r="V1240">
        <v>0.1727388</v>
      </c>
      <c r="W1240">
        <v>-3.1844599999999897E-2</v>
      </c>
      <c r="X1240">
        <v>0.98445280000000002</v>
      </c>
      <c r="Y1240">
        <v>0.26352740000000002</v>
      </c>
      <c r="Z1240">
        <v>6.901794E-2</v>
      </c>
      <c r="AA1240">
        <v>0.96217969999999997</v>
      </c>
      <c r="AB1240">
        <v>24</v>
      </c>
      <c r="AC1240">
        <v>-5.2820000000000098</v>
      </c>
      <c r="AD1240">
        <v>-1.108969659839</v>
      </c>
      <c r="AE1240">
        <v>-14.995900000000001</v>
      </c>
      <c r="AF1240">
        <v>4.2432382673694997</v>
      </c>
      <c r="AG1240">
        <v>-1.108969659839</v>
      </c>
      <c r="AH1240">
        <v>15.2423645348373</v>
      </c>
      <c r="AI1240">
        <v>94.009332326255006</v>
      </c>
      <c r="AJ1240">
        <v>74.443620763185095</v>
      </c>
      <c r="AK1240">
        <v>15.860786907117101</v>
      </c>
      <c r="AL1240">
        <v>91.824869616404399</v>
      </c>
      <c r="AM1240">
        <v>80.047804644728501</v>
      </c>
      <c r="AN1240">
        <v>1.00000004350121</v>
      </c>
    </row>
    <row r="1241" spans="1:40" x14ac:dyDescent="0.25">
      <c r="A1241" t="str">
        <f>"20190312161249414"</f>
        <v>20190312161249414</v>
      </c>
      <c r="B1241" t="str">
        <f>"1552378369406736"</f>
        <v>1552378369406736</v>
      </c>
      <c r="C1241" t="s">
        <v>40</v>
      </c>
      <c r="D1241">
        <v>5.7843629999999999</v>
      </c>
      <c r="E1241">
        <v>0.53753319999999905</v>
      </c>
      <c r="F1241" t="s">
        <v>63</v>
      </c>
      <c r="G1241">
        <v>-198.1823</v>
      </c>
      <c r="H1241" s="1">
        <v>1.4540950000000001E-6</v>
      </c>
      <c r="I1241">
        <v>292.25400000000002</v>
      </c>
      <c r="J1241">
        <v>-192.6369</v>
      </c>
      <c r="K1241">
        <v>1.1089789999999999</v>
      </c>
      <c r="L1241">
        <v>307.81299999999999</v>
      </c>
      <c r="M1241">
        <v>-6.8721790000000005E-2</v>
      </c>
      <c r="N1241">
        <v>0</v>
      </c>
      <c r="O1241">
        <v>-0.99754010000000004</v>
      </c>
      <c r="P1241">
        <v>-0.2398071</v>
      </c>
      <c r="Q1241">
        <v>-4.4567160000000001E-2</v>
      </c>
      <c r="R1241">
        <v>-0.96979720000000003</v>
      </c>
      <c r="S1241">
        <v>-0.99992369999999997</v>
      </c>
      <c r="T1241">
        <v>-0.19935320000000001</v>
      </c>
      <c r="U1241">
        <v>-2.837402</v>
      </c>
      <c r="V1241">
        <v>0.17250009999999999</v>
      </c>
      <c r="W1241">
        <v>-3.1444850000000003E-2</v>
      </c>
      <c r="X1241">
        <v>0.98450740000000003</v>
      </c>
      <c r="Y1241">
        <v>0.26602959999999998</v>
      </c>
      <c r="Z1241">
        <v>6.6579979999999997E-2</v>
      </c>
      <c r="AA1241">
        <v>0.96166280000000004</v>
      </c>
      <c r="AB1241">
        <v>24</v>
      </c>
      <c r="AC1241">
        <v>-5.5453999999999999</v>
      </c>
      <c r="AD1241">
        <v>-1.108977545905</v>
      </c>
      <c r="AE1241">
        <v>-15.5589999999999</v>
      </c>
      <c r="AF1241">
        <v>4.4429159471747699</v>
      </c>
      <c r="AG1241">
        <v>-1.108977545905</v>
      </c>
      <c r="AH1241">
        <v>15.831971105513301</v>
      </c>
      <c r="AI1241">
        <v>93.858266964160507</v>
      </c>
      <c r="AJ1241">
        <v>74.324320791917501</v>
      </c>
      <c r="AK1241">
        <v>16.480917522904701</v>
      </c>
      <c r="AL1241">
        <v>91.801954336061797</v>
      </c>
      <c r="AM1241">
        <v>80.061822941995999</v>
      </c>
      <c r="AN1241">
        <v>0.999999941873144</v>
      </c>
    </row>
    <row r="1242" spans="1:40" x14ac:dyDescent="0.25">
      <c r="A1242" t="str">
        <f>"20190312161249436"</f>
        <v>20190312161249436</v>
      </c>
      <c r="B1242" t="str">
        <f>"1552378369427231"</f>
        <v>1552378369427231</v>
      </c>
      <c r="C1242" t="s">
        <v>40</v>
      </c>
      <c r="D1242">
        <v>5.7493970000000001</v>
      </c>
      <c r="E1242">
        <v>0.53836300000000004</v>
      </c>
      <c r="F1242" t="s">
        <v>63</v>
      </c>
      <c r="G1242">
        <v>-198.46520000000001</v>
      </c>
      <c r="H1242" s="1">
        <v>1.5783640000000001E-6</v>
      </c>
      <c r="I1242">
        <v>291.40589999999997</v>
      </c>
      <c r="J1242">
        <v>-192.65620000000001</v>
      </c>
      <c r="K1242">
        <v>1.108978</v>
      </c>
      <c r="L1242">
        <v>307.56279999999998</v>
      </c>
      <c r="M1242">
        <v>-7.0533100000000001E-2</v>
      </c>
      <c r="N1242">
        <v>0</v>
      </c>
      <c r="O1242">
        <v>-0.99741360000000001</v>
      </c>
      <c r="P1242">
        <v>-0.24120759999999999</v>
      </c>
      <c r="Q1242">
        <v>-4.4542650000000003E-2</v>
      </c>
      <c r="R1242">
        <v>-0.96945079999999995</v>
      </c>
      <c r="S1242">
        <v>-1.0072779999999999</v>
      </c>
      <c r="T1242">
        <v>-0.19165769999999999</v>
      </c>
      <c r="U1242">
        <v>-2.8355410000000001</v>
      </c>
      <c r="V1242">
        <v>0.1721347</v>
      </c>
      <c r="W1242">
        <v>-3.1419750000000003E-2</v>
      </c>
      <c r="X1242">
        <v>0.98457220000000001</v>
      </c>
      <c r="Y1242">
        <v>0.26675009999999999</v>
      </c>
      <c r="Z1242">
        <v>6.4014829999999995E-2</v>
      </c>
      <c r="AA1242">
        <v>0.96163739999999998</v>
      </c>
      <c r="AB1242">
        <v>24</v>
      </c>
      <c r="AC1242">
        <v>-5.8089999999999904</v>
      </c>
      <c r="AD1242">
        <v>-1.1089764216360001</v>
      </c>
      <c r="AE1242">
        <v>-16.1569</v>
      </c>
      <c r="AF1242">
        <v>4.6354856639560902</v>
      </c>
      <c r="AG1242">
        <v>-1.1089764216360001</v>
      </c>
      <c r="AH1242">
        <v>16.457758680586501</v>
      </c>
      <c r="AI1242">
        <v>93.710981748867098</v>
      </c>
      <c r="AJ1242">
        <v>74.2696166496291</v>
      </c>
      <c r="AK1242">
        <v>17.134041462331901</v>
      </c>
      <c r="AL1242">
        <v>91.800515420899799</v>
      </c>
      <c r="AM1242">
        <v>80.083095940762007</v>
      </c>
      <c r="AN1242">
        <v>0.99999998632349596</v>
      </c>
    </row>
    <row r="1243" spans="1:40" x14ac:dyDescent="0.25">
      <c r="A1243" t="str">
        <f>"20190312161249459"</f>
        <v>20190312161249459</v>
      </c>
      <c r="B1243" t="str">
        <f>"1552378369446751"</f>
        <v>1552378369446751</v>
      </c>
      <c r="C1243" t="s">
        <v>40</v>
      </c>
      <c r="D1243">
        <v>5.9347149999999997</v>
      </c>
      <c r="E1243">
        <v>0.5382863</v>
      </c>
      <c r="F1243" t="s">
        <v>63</v>
      </c>
      <c r="G1243">
        <v>-198.7706</v>
      </c>
      <c r="H1243" s="1">
        <v>1.701701E-6</v>
      </c>
      <c r="I1243">
        <v>290.55169999999998</v>
      </c>
      <c r="J1243">
        <v>-192.67429999999999</v>
      </c>
      <c r="K1243">
        <v>1.1089719999999901</v>
      </c>
      <c r="L1243">
        <v>307.33359999999999</v>
      </c>
      <c r="M1243">
        <v>-7.2195659999999995E-2</v>
      </c>
      <c r="N1243">
        <v>0</v>
      </c>
      <c r="O1243">
        <v>-0.99729469999999998</v>
      </c>
      <c r="P1243">
        <v>-0.24355489999999999</v>
      </c>
      <c r="Q1243">
        <v>-4.4671170000000003E-2</v>
      </c>
      <c r="R1243">
        <v>-0.96885779999999999</v>
      </c>
      <c r="S1243">
        <v>-1.018173</v>
      </c>
      <c r="T1243">
        <v>-0.1846679</v>
      </c>
      <c r="U1243">
        <v>-2.832703</v>
      </c>
      <c r="V1243">
        <v>0.1728779</v>
      </c>
      <c r="W1243">
        <v>-3.1553770000000002E-2</v>
      </c>
      <c r="X1243">
        <v>0.98443769999999997</v>
      </c>
      <c r="Y1243">
        <v>0.26877620000000002</v>
      </c>
      <c r="Z1243">
        <v>6.1680110000000003E-2</v>
      </c>
      <c r="AA1243">
        <v>0.96122569999999996</v>
      </c>
      <c r="AB1243">
        <v>24</v>
      </c>
      <c r="AC1243">
        <v>-6.09630000000001</v>
      </c>
      <c r="AD1243">
        <v>-1.108970298299</v>
      </c>
      <c r="AE1243">
        <v>-16.7819</v>
      </c>
      <c r="AF1243">
        <v>4.8499828273714396</v>
      </c>
      <c r="AG1243">
        <v>-1.108970298299</v>
      </c>
      <c r="AH1243">
        <v>17.112254014362701</v>
      </c>
      <c r="AI1243">
        <v>93.567760742998601</v>
      </c>
      <c r="AJ1243">
        <v>74.176123386626401</v>
      </c>
      <c r="AK1243">
        <v>17.820813281115399</v>
      </c>
      <c r="AL1243">
        <v>91.808197991433801</v>
      </c>
      <c r="AM1243">
        <v>80.0398012207378</v>
      </c>
      <c r="AN1243">
        <v>0.99999999694545605</v>
      </c>
    </row>
    <row r="1244" spans="1:40" x14ac:dyDescent="0.25">
      <c r="A1244" t="str">
        <f>"20190312161249482"</f>
        <v>20190312161249482</v>
      </c>
      <c r="B1244" t="str">
        <f>"1552378369477007"</f>
        <v>1552378369477007</v>
      </c>
      <c r="C1244" t="s">
        <v>40</v>
      </c>
      <c r="D1244">
        <v>5.7816850000000004</v>
      </c>
      <c r="E1244">
        <v>0.53772519999999902</v>
      </c>
      <c r="F1244" t="s">
        <v>63</v>
      </c>
      <c r="G1244">
        <v>-199.01830000000001</v>
      </c>
      <c r="H1244" s="1">
        <v>1.8589159999999999E-6</v>
      </c>
      <c r="I1244">
        <v>289.81119999999999</v>
      </c>
      <c r="J1244">
        <v>-192.69450000000001</v>
      </c>
      <c r="K1244">
        <v>1.1089709999999999</v>
      </c>
      <c r="L1244">
        <v>307.0847</v>
      </c>
      <c r="M1244">
        <v>-7.4008169999999998E-2</v>
      </c>
      <c r="N1244">
        <v>0</v>
      </c>
      <c r="O1244">
        <v>-0.99716199999999999</v>
      </c>
      <c r="P1244">
        <v>-0.24585489999999999</v>
      </c>
      <c r="Q1244">
        <v>-4.4346009999999998E-2</v>
      </c>
      <c r="R1244">
        <v>-0.96829180000000004</v>
      </c>
      <c r="S1244">
        <v>-1.02479599999999</v>
      </c>
      <c r="T1244">
        <v>-0.179140299999999</v>
      </c>
      <c r="U1244">
        <v>-2.8305359999999999</v>
      </c>
      <c r="V1244">
        <v>0.17342579999999999</v>
      </c>
      <c r="W1244">
        <v>-3.1234100000000001E-2</v>
      </c>
      <c r="X1244">
        <v>0.98435150000000005</v>
      </c>
      <c r="Y1244">
        <v>0.26928780000000002</v>
      </c>
      <c r="Z1244">
        <v>5.9844349999999998E-2</v>
      </c>
      <c r="AA1244">
        <v>0.96119860000000001</v>
      </c>
      <c r="AB1244">
        <v>24</v>
      </c>
      <c r="AC1244">
        <v>-6.3238000000000003</v>
      </c>
      <c r="AD1244">
        <v>-1.1089691410839999</v>
      </c>
      <c r="AE1244">
        <v>-17.273499999999999</v>
      </c>
      <c r="AF1244">
        <v>5.0097441359794201</v>
      </c>
      <c r="AG1244">
        <v>-1.1089691410839999</v>
      </c>
      <c r="AH1244">
        <v>17.6301001739408</v>
      </c>
      <c r="AI1244">
        <v>93.4625521557345</v>
      </c>
      <c r="AJ1244">
        <v>74.137046379534794</v>
      </c>
      <c r="AK1244">
        <v>18.361584381720501</v>
      </c>
      <c r="AL1244">
        <v>91.789873253889098</v>
      </c>
      <c r="AM1244">
        <v>80.008012240578097</v>
      </c>
      <c r="AN1244">
        <v>0.99999997633034898</v>
      </c>
    </row>
    <row r="1245" spans="1:40" x14ac:dyDescent="0.25">
      <c r="A1245" t="str">
        <f>"20190312161249503"</f>
        <v>20190312161249503</v>
      </c>
      <c r="B1245" t="str">
        <f>"1552378369497036"</f>
        <v>1552378369497036</v>
      </c>
      <c r="C1245" t="s">
        <v>40</v>
      </c>
      <c r="D1245">
        <v>5.7823270000000004</v>
      </c>
      <c r="E1245">
        <v>0.53766849999999999</v>
      </c>
      <c r="F1245" t="s">
        <v>63</v>
      </c>
      <c r="G1245">
        <v>-199.6062</v>
      </c>
      <c r="H1245" s="1">
        <v>1.9601250000000001E-6</v>
      </c>
      <c r="I1245">
        <v>288.05360000000002</v>
      </c>
      <c r="J1245">
        <v>-192.71350000000001</v>
      </c>
      <c r="K1245">
        <v>1.1089599999999999</v>
      </c>
      <c r="L1245">
        <v>306.8546</v>
      </c>
      <c r="M1245">
        <v>-7.5693350000000006E-2</v>
      </c>
      <c r="N1245">
        <v>0</v>
      </c>
      <c r="O1245">
        <v>-0.99703560000000002</v>
      </c>
      <c r="P1245">
        <v>-0.24768270000000001</v>
      </c>
      <c r="Q1245">
        <v>-4.4370769999999997E-2</v>
      </c>
      <c r="R1245">
        <v>-0.96782480000000004</v>
      </c>
      <c r="S1245">
        <v>-1.0277099999999999</v>
      </c>
      <c r="T1245">
        <v>-0.1648936</v>
      </c>
      <c r="U1245">
        <v>-2.829742</v>
      </c>
      <c r="V1245">
        <v>0.17362030000000001</v>
      </c>
      <c r="W1245">
        <v>-3.1263840000000001E-2</v>
      </c>
      <c r="X1245">
        <v>0.98431630000000003</v>
      </c>
      <c r="Y1245">
        <v>0.26871460000000003</v>
      </c>
      <c r="Z1245">
        <v>5.5099740000000001E-2</v>
      </c>
      <c r="AA1245">
        <v>0.96164260000000001</v>
      </c>
      <c r="AB1245">
        <v>24</v>
      </c>
      <c r="AC1245">
        <v>-6.8926999999999898</v>
      </c>
      <c r="AD1245">
        <v>-1.1089580398750001</v>
      </c>
      <c r="AE1245">
        <v>-18.800999999999899</v>
      </c>
      <c r="AF1245">
        <v>5.4330132682079402</v>
      </c>
      <c r="AG1245">
        <v>-1.1089580398750001</v>
      </c>
      <c r="AH1245">
        <v>19.209918637968201</v>
      </c>
      <c r="AI1245">
        <v>93.179482478075897</v>
      </c>
      <c r="AJ1245">
        <v>74.207858925413902</v>
      </c>
      <c r="AK1245">
        <v>19.994209041222099</v>
      </c>
      <c r="AL1245">
        <v>91.791578007386306</v>
      </c>
      <c r="AM1245">
        <v>79.996681767218007</v>
      </c>
      <c r="AN1245">
        <v>1.00000000735466</v>
      </c>
    </row>
    <row r="1246" spans="1:40" x14ac:dyDescent="0.25">
      <c r="A1246" t="str">
        <f>"20190312161249527"</f>
        <v>20190312161249527</v>
      </c>
      <c r="B1246" t="str">
        <f>"1552378369516556"</f>
        <v>1552378369516556</v>
      </c>
      <c r="C1246" t="s">
        <v>40</v>
      </c>
      <c r="D1246">
        <v>5.7552199999999996</v>
      </c>
      <c r="E1246">
        <v>0.53749389999999997</v>
      </c>
      <c r="F1246" t="s">
        <v>63</v>
      </c>
      <c r="G1246">
        <v>-199.8289</v>
      </c>
      <c r="H1246" s="1">
        <v>1.98018E-6</v>
      </c>
      <c r="I1246">
        <v>287.37240000000003</v>
      </c>
      <c r="J1246">
        <v>-192.73400000000001</v>
      </c>
      <c r="K1246">
        <v>1.108957</v>
      </c>
      <c r="L1246">
        <v>306.61169999999998</v>
      </c>
      <c r="M1246">
        <v>-7.7493370000000006E-2</v>
      </c>
      <c r="N1246">
        <v>0</v>
      </c>
      <c r="O1246">
        <v>-0.99689749999999999</v>
      </c>
      <c r="P1246">
        <v>-0.2493978</v>
      </c>
      <c r="Q1246">
        <v>-4.4048469999999999E-2</v>
      </c>
      <c r="R1246">
        <v>-0.96739929999999996</v>
      </c>
      <c r="S1246">
        <v>-1.032867</v>
      </c>
      <c r="T1246">
        <v>-0.16097609999999901</v>
      </c>
      <c r="U1246">
        <v>-2.828033</v>
      </c>
      <c r="V1246">
        <v>0.17358689999999999</v>
      </c>
      <c r="W1246">
        <v>-3.0947599999999999E-2</v>
      </c>
      <c r="X1246">
        <v>0.98433219999999999</v>
      </c>
      <c r="Y1246">
        <v>0.2687348</v>
      </c>
      <c r="Z1246">
        <v>5.3797409999999997E-2</v>
      </c>
      <c r="AA1246">
        <v>0.96171070000000003</v>
      </c>
      <c r="AB1246">
        <v>24</v>
      </c>
      <c r="AC1246">
        <v>-7.0948999999999902</v>
      </c>
      <c r="AD1246">
        <v>-1.10895501982</v>
      </c>
      <c r="AE1246">
        <v>-19.239299999999901</v>
      </c>
      <c r="AF1246">
        <v>5.5662214143403697</v>
      </c>
      <c r="AG1246">
        <v>-1.10895501982</v>
      </c>
      <c r="AH1246">
        <v>19.673754987614501</v>
      </c>
      <c r="AI1246">
        <v>93.104578186923504</v>
      </c>
      <c r="AJ1246">
        <v>74.202400075097998</v>
      </c>
      <c r="AK1246">
        <v>20.476064987739498</v>
      </c>
      <c r="AL1246">
        <v>91.773449990459795</v>
      </c>
      <c r="AM1246">
        <v>79.998725578793795</v>
      </c>
      <c r="AN1246">
        <v>1.0000000228771</v>
      </c>
    </row>
    <row r="1247" spans="1:40" x14ac:dyDescent="0.25">
      <c r="A1247" t="str">
        <f>"20190312161249547"</f>
        <v>20190312161249547</v>
      </c>
      <c r="B1247" t="str">
        <f>"1552378369537052"</f>
        <v>1552378369537052</v>
      </c>
      <c r="C1247" t="s">
        <v>40</v>
      </c>
      <c r="D1247">
        <v>5.7700969999999998</v>
      </c>
      <c r="E1247">
        <v>0.53767549999999997</v>
      </c>
      <c r="F1247" t="s">
        <v>63</v>
      </c>
      <c r="G1247">
        <v>-200.2543</v>
      </c>
      <c r="H1247" s="1">
        <v>2.1989170000000001E-6</v>
      </c>
      <c r="I1247">
        <v>286.11320000000001</v>
      </c>
      <c r="J1247">
        <v>-192.75360000000001</v>
      </c>
      <c r="K1247">
        <v>1.1089389999999999</v>
      </c>
      <c r="L1247">
        <v>306.38440000000003</v>
      </c>
      <c r="M1247">
        <v>-7.9208100000000004E-2</v>
      </c>
      <c r="N1247">
        <v>0</v>
      </c>
      <c r="O1247">
        <v>-0.9967625</v>
      </c>
      <c r="P1247">
        <v>-0.25053320000000001</v>
      </c>
      <c r="Q1247">
        <v>-4.337046E-2</v>
      </c>
      <c r="R1247">
        <v>-0.9671362</v>
      </c>
      <c r="S1247">
        <v>-1.037064</v>
      </c>
      <c r="T1247">
        <v>-0.15292700000000001</v>
      </c>
      <c r="U1247">
        <v>-2.8267820000000001</v>
      </c>
      <c r="V1247">
        <v>0.1730476</v>
      </c>
      <c r="W1247">
        <v>-3.0275659999999999E-2</v>
      </c>
      <c r="X1247">
        <v>0.98444799999999999</v>
      </c>
      <c r="Y1247">
        <v>0.2685225</v>
      </c>
      <c r="Z1247">
        <v>5.111462E-2</v>
      </c>
      <c r="AA1247">
        <v>0.96191629999999995</v>
      </c>
      <c r="AB1247">
        <v>24</v>
      </c>
      <c r="AC1247">
        <v>-7.5006999999999904</v>
      </c>
      <c r="AD1247">
        <v>-1.1089368010830001</v>
      </c>
      <c r="AE1247">
        <v>-20.2712</v>
      </c>
      <c r="AF1247">
        <v>5.8559185458675902</v>
      </c>
      <c r="AG1247">
        <v>-1.1089368010830001</v>
      </c>
      <c r="AH1247">
        <v>20.747059146995099</v>
      </c>
      <c r="AI1247">
        <v>92.944729434810696</v>
      </c>
      <c r="AJ1247">
        <v>74.238123914331197</v>
      </c>
      <c r="AK1247">
        <v>21.5861526468601</v>
      </c>
      <c r="AL1247">
        <v>91.7349326947392</v>
      </c>
      <c r="AM1247">
        <v>80.030322400677903</v>
      </c>
      <c r="AN1247">
        <v>0.99999997607909696</v>
      </c>
    </row>
    <row r="1248" spans="1:40" x14ac:dyDescent="0.25">
      <c r="A1248" t="str">
        <f>"20190312161249571"</f>
        <v>20190312161249571</v>
      </c>
      <c r="B1248" t="str">
        <f>"1552378369567308"</f>
        <v>1552378369567308</v>
      </c>
      <c r="C1248" t="s">
        <v>40</v>
      </c>
      <c r="D1248">
        <v>5.7951220000000001</v>
      </c>
      <c r="E1248">
        <v>0.53813929999999999</v>
      </c>
      <c r="F1248" t="s">
        <v>63</v>
      </c>
      <c r="G1248">
        <v>-200.56059999999999</v>
      </c>
      <c r="H1248" s="1">
        <v>2.4135369999999998E-6</v>
      </c>
      <c r="I1248">
        <v>285.21170000000001</v>
      </c>
      <c r="J1248">
        <v>-192.77520000000001</v>
      </c>
      <c r="K1248">
        <v>1.1089209999999901</v>
      </c>
      <c r="L1248">
        <v>306.1413</v>
      </c>
      <c r="M1248">
        <v>-8.10945E-2</v>
      </c>
      <c r="N1248">
        <v>0</v>
      </c>
      <c r="O1248">
        <v>-0.99661080000000002</v>
      </c>
      <c r="P1248">
        <v>-0.25191039999999998</v>
      </c>
      <c r="Q1248">
        <v>-4.3686919999999997E-2</v>
      </c>
      <c r="R1248">
        <v>-0.96676399999999996</v>
      </c>
      <c r="S1248">
        <v>-1.041809</v>
      </c>
      <c r="T1248">
        <v>-0.14798359999999999</v>
      </c>
      <c r="U1248">
        <v>-2.8254090000000001</v>
      </c>
      <c r="V1248">
        <v>0.17258479999999901</v>
      </c>
      <c r="W1248">
        <v>-3.060411E-2</v>
      </c>
      <c r="X1248">
        <v>0.98451909999999998</v>
      </c>
      <c r="Y1248">
        <v>0.2683025</v>
      </c>
      <c r="Z1248">
        <v>4.9465370000000002E-2</v>
      </c>
      <c r="AA1248">
        <v>0.96206389999999997</v>
      </c>
      <c r="AB1248">
        <v>24</v>
      </c>
      <c r="AC1248">
        <v>-7.7853999999999797</v>
      </c>
      <c r="AD1248">
        <v>-1.10891858646299</v>
      </c>
      <c r="AE1248">
        <v>-20.929599999999901</v>
      </c>
      <c r="AF1248">
        <v>6.0474030905278102</v>
      </c>
      <c r="AG1248">
        <v>-1.10891858646299</v>
      </c>
      <c r="AH1248">
        <v>21.439197556026802</v>
      </c>
      <c r="AI1248">
        <v>92.849909368402905</v>
      </c>
      <c r="AJ1248">
        <v>74.247712513220606</v>
      </c>
      <c r="AK1248">
        <v>22.3033624464356</v>
      </c>
      <c r="AL1248">
        <v>91.753760191685799</v>
      </c>
      <c r="AM1248">
        <v>80.057156318744703</v>
      </c>
      <c r="AN1248">
        <v>0.99999999150237096</v>
      </c>
    </row>
    <row r="1249" spans="1:40" x14ac:dyDescent="0.25">
      <c r="A1249" t="str">
        <f>"20190312161249591"</f>
        <v>20190312161249591</v>
      </c>
      <c r="B1249" t="str">
        <f>"1552378369586828"</f>
        <v>1552378369586828</v>
      </c>
      <c r="C1249" t="s">
        <v>40</v>
      </c>
      <c r="D1249">
        <v>5.7850820000000001</v>
      </c>
      <c r="E1249">
        <v>0.53862140000000003</v>
      </c>
      <c r="F1249" t="s">
        <v>63</v>
      </c>
      <c r="G1249">
        <v>-200.70150000000001</v>
      </c>
      <c r="H1249" s="1">
        <v>2.5102140000000001E-6</v>
      </c>
      <c r="I1249">
        <v>284.82069999999999</v>
      </c>
      <c r="J1249">
        <v>-192.7953</v>
      </c>
      <c r="K1249">
        <v>1.108887</v>
      </c>
      <c r="L1249">
        <v>305.91890000000001</v>
      </c>
      <c r="M1249">
        <v>-8.287622E-2</v>
      </c>
      <c r="N1249">
        <v>0</v>
      </c>
      <c r="O1249">
        <v>-0.99646429999999997</v>
      </c>
      <c r="P1249">
        <v>-0.25361250000000002</v>
      </c>
      <c r="Q1249">
        <v>-4.3930709999999998E-2</v>
      </c>
      <c r="R1249">
        <v>-0.9663079</v>
      </c>
      <c r="S1249">
        <v>-1.049515</v>
      </c>
      <c r="T1249">
        <v>-0.1468303</v>
      </c>
      <c r="U1249">
        <v>-2.823029</v>
      </c>
      <c r="V1249">
        <v>0.17255570000000001</v>
      </c>
      <c r="W1249">
        <v>-3.086475E-2</v>
      </c>
      <c r="X1249">
        <v>0.98451610000000001</v>
      </c>
      <c r="Y1249">
        <v>0.26915929999999999</v>
      </c>
      <c r="Z1249">
        <v>4.9080140000000001E-2</v>
      </c>
      <c r="AA1249">
        <v>0.96184429999999999</v>
      </c>
      <c r="AB1249">
        <v>24</v>
      </c>
      <c r="AC1249">
        <v>-7.9062000000000099</v>
      </c>
      <c r="AD1249">
        <v>-1.108884489786</v>
      </c>
      <c r="AE1249">
        <v>-21.098199999999999</v>
      </c>
      <c r="AF1249">
        <v>6.1154776286136601</v>
      </c>
      <c r="AG1249">
        <v>-1.108884489786</v>
      </c>
      <c r="AH1249">
        <v>21.628514326119902</v>
      </c>
      <c r="AI1249">
        <v>92.824417251277893</v>
      </c>
      <c r="AJ1249">
        <v>74.211712328344902</v>
      </c>
      <c r="AK1249">
        <v>22.503806864460401</v>
      </c>
      <c r="AL1249">
        <v>91.768700759582899</v>
      </c>
      <c r="AM1249">
        <v>80.058769673352103</v>
      </c>
      <c r="AN1249">
        <v>1.0000000267771301</v>
      </c>
    </row>
    <row r="1250" spans="1:40" x14ac:dyDescent="0.25">
      <c r="A1250" t="str">
        <f>"20190312161249614"</f>
        <v>20190312161249614</v>
      </c>
      <c r="B1250" t="str">
        <f>"1552378369606853"</f>
        <v>1552378369606853</v>
      </c>
      <c r="C1250" t="s">
        <v>40</v>
      </c>
      <c r="D1250">
        <v>5.7435460000000003</v>
      </c>
      <c r="E1250">
        <v>0.53903990000000002</v>
      </c>
      <c r="F1250" t="s">
        <v>63</v>
      </c>
      <c r="G1250">
        <v>-200.7527</v>
      </c>
      <c r="H1250" s="1">
        <v>2.5428110000000001E-6</v>
      </c>
      <c r="I1250">
        <v>284.70760000000001</v>
      </c>
      <c r="J1250">
        <v>-192.8176</v>
      </c>
      <c r="K1250">
        <v>1.1088420000000001</v>
      </c>
      <c r="L1250">
        <v>305.67930000000001</v>
      </c>
      <c r="M1250">
        <v>-8.4858420000000004E-2</v>
      </c>
      <c r="N1250">
        <v>0</v>
      </c>
      <c r="O1250">
        <v>-0.99629749999999995</v>
      </c>
      <c r="P1250">
        <v>-0.2557178</v>
      </c>
      <c r="Q1250">
        <v>-4.4684849999999998E-2</v>
      </c>
      <c r="R1250">
        <v>-0.96571859999999998</v>
      </c>
      <c r="S1250">
        <v>-1.0580290000000001</v>
      </c>
      <c r="T1250">
        <v>-0.1474386</v>
      </c>
      <c r="U1250">
        <v>-2.8202820000000002</v>
      </c>
      <c r="V1250">
        <v>0.1727399</v>
      </c>
      <c r="W1250">
        <v>-3.1639460000000001E-2</v>
      </c>
      <c r="X1250">
        <v>0.98445919999999998</v>
      </c>
      <c r="Y1250">
        <v>0.270094</v>
      </c>
      <c r="Z1250">
        <v>4.9283590000000002E-2</v>
      </c>
      <c r="AA1250">
        <v>0.96157179999999998</v>
      </c>
      <c r="AB1250">
        <v>24</v>
      </c>
      <c r="AC1250">
        <v>-7.9351000000000003</v>
      </c>
      <c r="AD1250">
        <v>-1.1088394571889999</v>
      </c>
      <c r="AE1250">
        <v>-20.971699999999998</v>
      </c>
      <c r="AF1250">
        <v>6.1117320558221104</v>
      </c>
      <c r="AG1250">
        <v>-1.1088394571889999</v>
      </c>
      <c r="AH1250">
        <v>21.5168465450868</v>
      </c>
      <c r="AI1250">
        <v>92.837974883579406</v>
      </c>
      <c r="AJ1250">
        <v>74.143118531887893</v>
      </c>
      <c r="AK1250">
        <v>22.3954789836876</v>
      </c>
      <c r="AL1250">
        <v>91.813110073111503</v>
      </c>
      <c r="AM1250">
        <v>80.047805942653397</v>
      </c>
      <c r="AN1250">
        <v>1.00000002247287</v>
      </c>
    </row>
    <row r="1251" spans="1:40" x14ac:dyDescent="0.25">
      <c r="A1251" t="str">
        <f>"20190312161249637"</f>
        <v>20190312161249637</v>
      </c>
      <c r="B1251" t="str">
        <f>"1552378369627350"</f>
        <v>1552378369627350</v>
      </c>
      <c r="C1251" t="s">
        <v>40</v>
      </c>
      <c r="D1251">
        <v>5.6983920000000001</v>
      </c>
      <c r="E1251">
        <v>0.53943140000000001</v>
      </c>
      <c r="F1251" t="s">
        <v>63</v>
      </c>
      <c r="G1251">
        <v>-200.74789999999999</v>
      </c>
      <c r="H1251" s="1">
        <v>2.5365440000000001E-6</v>
      </c>
      <c r="I1251">
        <v>284.75479999999999</v>
      </c>
      <c r="J1251">
        <v>-192.84010000000001</v>
      </c>
      <c r="K1251">
        <v>1.1087910000000001</v>
      </c>
      <c r="L1251">
        <v>305.44209999999998</v>
      </c>
      <c r="M1251">
        <v>-8.6893949999999998E-2</v>
      </c>
      <c r="N1251">
        <v>0</v>
      </c>
      <c r="O1251">
        <v>-0.99612199999999995</v>
      </c>
      <c r="P1251">
        <v>-0.2587352</v>
      </c>
      <c r="Q1251">
        <v>-4.5531790000000003E-2</v>
      </c>
      <c r="R1251">
        <v>-0.96487460000000003</v>
      </c>
      <c r="S1251">
        <v>-1.067596</v>
      </c>
      <c r="T1251">
        <v>-0.14927409999999999</v>
      </c>
      <c r="U1251">
        <v>-2.8168950000000001</v>
      </c>
      <c r="V1251">
        <v>0.17380219999999999</v>
      </c>
      <c r="W1251">
        <v>-3.2513260000000002E-2</v>
      </c>
      <c r="X1251">
        <v>0.9842438</v>
      </c>
      <c r="Y1251">
        <v>0.27135490000000001</v>
      </c>
      <c r="Z1251">
        <v>4.9900319999999998E-2</v>
      </c>
      <c r="AA1251">
        <v>0.96118490000000001</v>
      </c>
      <c r="AB1251">
        <v>24</v>
      </c>
      <c r="AC1251">
        <v>-7.9077999999999804</v>
      </c>
      <c r="AD1251">
        <v>-1.1087884634559999</v>
      </c>
      <c r="AE1251">
        <v>-20.6873</v>
      </c>
      <c r="AF1251">
        <v>6.0649097599166204</v>
      </c>
      <c r="AG1251">
        <v>-1.1087884634559999</v>
      </c>
      <c r="AH1251">
        <v>21.242997472827899</v>
      </c>
      <c r="AI1251">
        <v>92.873265508988297</v>
      </c>
      <c r="AJ1251">
        <v>74.065871046451505</v>
      </c>
      <c r="AK1251">
        <v>22.1196176251579</v>
      </c>
      <c r="AL1251">
        <v>91.863200780537994</v>
      </c>
      <c r="AM1251">
        <v>79.985690733160894</v>
      </c>
      <c r="AN1251">
        <v>1.00000008731955</v>
      </c>
    </row>
    <row r="1252" spans="1:40" x14ac:dyDescent="0.25">
      <c r="A1252" t="str">
        <f>"20190312161249659"</f>
        <v>20190312161249659</v>
      </c>
      <c r="B1252" t="str">
        <f>"1552378369657605"</f>
        <v>1552378369657605</v>
      </c>
      <c r="C1252" t="s">
        <v>40</v>
      </c>
      <c r="D1252">
        <v>5.7393580000000002</v>
      </c>
      <c r="E1252">
        <v>0.53952880000000003</v>
      </c>
      <c r="F1252" t="s">
        <v>63</v>
      </c>
      <c r="G1252">
        <v>-200.73650000000001</v>
      </c>
      <c r="H1252" s="1">
        <v>2.5215490000000002E-6</v>
      </c>
      <c r="I1252">
        <v>284.86849999999998</v>
      </c>
      <c r="J1252">
        <v>-192.86340000000001</v>
      </c>
      <c r="K1252">
        <v>1.108727</v>
      </c>
      <c r="L1252">
        <v>305.20330000000001</v>
      </c>
      <c r="M1252">
        <v>-8.9036589999999999E-2</v>
      </c>
      <c r="N1252">
        <v>0</v>
      </c>
      <c r="O1252">
        <v>-0.9959327</v>
      </c>
      <c r="P1252">
        <v>-0.26289639999999997</v>
      </c>
      <c r="Q1252">
        <v>-4.5703239999999999E-2</v>
      </c>
      <c r="R1252">
        <v>-0.96374090000000001</v>
      </c>
      <c r="S1252">
        <v>-1.0795140000000001</v>
      </c>
      <c r="T1252">
        <v>-0.1515822</v>
      </c>
      <c r="U1252">
        <v>-2.8126220000000002</v>
      </c>
      <c r="V1252">
        <v>0.17592629999999901</v>
      </c>
      <c r="W1252">
        <v>-3.2720319999999997E-2</v>
      </c>
      <c r="X1252">
        <v>0.98385940000000005</v>
      </c>
      <c r="Y1252">
        <v>0.27330860000000001</v>
      </c>
      <c r="Z1252">
        <v>5.0675739999999997E-2</v>
      </c>
      <c r="AA1252">
        <v>0.96059070000000002</v>
      </c>
      <c r="AB1252">
        <v>24</v>
      </c>
      <c r="AC1252">
        <v>-7.8730999999999902</v>
      </c>
      <c r="AD1252">
        <v>-1.108724478451</v>
      </c>
      <c r="AE1252">
        <v>-20.334800000000001</v>
      </c>
      <c r="AF1252">
        <v>6.01555925874304</v>
      </c>
      <c r="AG1252">
        <v>-1.108724478451</v>
      </c>
      <c r="AH1252">
        <v>20.9010478863194</v>
      </c>
      <c r="AI1252">
        <v>92.9182414208164</v>
      </c>
      <c r="AJ1252">
        <v>73.943579811747895</v>
      </c>
      <c r="AK1252">
        <v>21.7777415245654</v>
      </c>
      <c r="AL1252">
        <v>91.875070921807605</v>
      </c>
      <c r="AM1252">
        <v>79.861946690001005</v>
      </c>
      <c r="AN1252">
        <v>1.0000000006704699</v>
      </c>
    </row>
    <row r="1253" spans="1:40" x14ac:dyDescent="0.25">
      <c r="A1253" t="str">
        <f>"20190312161249682"</f>
        <v>20190312161249682</v>
      </c>
      <c r="B1253" t="str">
        <f>"1552378369677125"</f>
        <v>1552378369677125</v>
      </c>
      <c r="C1253" t="s">
        <v>40</v>
      </c>
      <c r="D1253">
        <v>5.8031439999999996</v>
      </c>
      <c r="E1253">
        <v>0.54017309999999996</v>
      </c>
      <c r="F1253" t="s">
        <v>63</v>
      </c>
      <c r="G1253">
        <v>-201.22460000000001</v>
      </c>
      <c r="H1253" s="1">
        <v>2.8387219999999998E-6</v>
      </c>
      <c r="I1253">
        <v>283.71629999999999</v>
      </c>
      <c r="J1253">
        <v>-192.88800000000001</v>
      </c>
      <c r="K1253">
        <v>1.10866</v>
      </c>
      <c r="L1253">
        <v>304.95740000000001</v>
      </c>
      <c r="M1253">
        <v>-9.1351199999999994E-2</v>
      </c>
      <c r="N1253">
        <v>0</v>
      </c>
      <c r="O1253">
        <v>-0.99572320000000003</v>
      </c>
      <c r="P1253">
        <v>-0.26607340000000002</v>
      </c>
      <c r="Q1253">
        <v>-4.5780349999999997E-2</v>
      </c>
      <c r="R1253">
        <v>-0.96286539999999998</v>
      </c>
      <c r="S1253">
        <v>-1.092651</v>
      </c>
      <c r="T1253">
        <v>-0.14488980000000001</v>
      </c>
      <c r="U1253">
        <v>-2.8079529999999999</v>
      </c>
      <c r="V1253">
        <v>0.1768786</v>
      </c>
      <c r="W1253">
        <v>-3.2830900000000003E-2</v>
      </c>
      <c r="X1253">
        <v>0.98368500000000003</v>
      </c>
      <c r="Y1253">
        <v>0.27555619999999997</v>
      </c>
      <c r="Z1253">
        <v>4.844818E-2</v>
      </c>
      <c r="AA1253">
        <v>0.96006329999999995</v>
      </c>
      <c r="AB1253">
        <v>24</v>
      </c>
      <c r="AC1253">
        <v>-8.3366000000000007</v>
      </c>
      <c r="AD1253">
        <v>-1.1086571612780001</v>
      </c>
      <c r="AE1253">
        <v>-21.241099999999999</v>
      </c>
      <c r="AF1253">
        <v>6.3461705231172996</v>
      </c>
      <c r="AG1253">
        <v>-1.1086571612780001</v>
      </c>
      <c r="AH1253">
        <v>21.862291373522201</v>
      </c>
      <c r="AI1253">
        <v>92.788136903741801</v>
      </c>
      <c r="AJ1253">
        <v>73.813081073925204</v>
      </c>
      <c r="AK1253">
        <v>22.791726242444199</v>
      </c>
      <c r="AL1253">
        <v>91.881410014914096</v>
      </c>
      <c r="AM1253">
        <v>79.806447045515398</v>
      </c>
      <c r="AN1253">
        <v>1.00000004317888</v>
      </c>
    </row>
    <row r="1254" spans="1:40" x14ac:dyDescent="0.25">
      <c r="A1254" t="str">
        <f>"20190312161249704"</f>
        <v>20190312161249704</v>
      </c>
      <c r="B1254" t="str">
        <f>"1552378369696645"</f>
        <v>1552378369696645</v>
      </c>
      <c r="C1254" t="s">
        <v>40</v>
      </c>
      <c r="D1254">
        <v>5.7197310000000003</v>
      </c>
      <c r="E1254">
        <v>0.5406936</v>
      </c>
      <c r="F1254" t="s">
        <v>63</v>
      </c>
      <c r="G1254">
        <v>-201.37819999999999</v>
      </c>
      <c r="H1254" s="1">
        <v>2.9293769999999999E-6</v>
      </c>
      <c r="I1254">
        <v>283.45830000000001</v>
      </c>
      <c r="J1254">
        <v>-192.91069999999999</v>
      </c>
      <c r="K1254">
        <v>1.1085910000000001</v>
      </c>
      <c r="L1254">
        <v>304.73660000000001</v>
      </c>
      <c r="M1254">
        <v>-9.3534530000000005E-2</v>
      </c>
      <c r="N1254">
        <v>0</v>
      </c>
      <c r="O1254">
        <v>-0.99552039999999997</v>
      </c>
      <c r="P1254">
        <v>-0.26906930000000001</v>
      </c>
      <c r="Q1254">
        <v>-4.5941929999999999E-2</v>
      </c>
      <c r="R1254">
        <v>-0.96202449999999995</v>
      </c>
      <c r="S1254">
        <v>-1.1069180000000001</v>
      </c>
      <c r="T1254">
        <v>-0.14454330000000001</v>
      </c>
      <c r="U1254">
        <v>-2.8029790000000001</v>
      </c>
      <c r="V1254">
        <v>0.17777770000000001</v>
      </c>
      <c r="W1254">
        <v>-3.3026729999999997E-2</v>
      </c>
      <c r="X1254">
        <v>0.98351630000000001</v>
      </c>
      <c r="Y1254">
        <v>0.278259599999999</v>
      </c>
      <c r="Z1254">
        <v>4.8334780000000001E-2</v>
      </c>
      <c r="AA1254">
        <v>0.95928899999999995</v>
      </c>
      <c r="AB1254">
        <v>24</v>
      </c>
      <c r="AC1254">
        <v>-8.4674999999999994</v>
      </c>
      <c r="AD1254">
        <v>-1.10858807062299</v>
      </c>
      <c r="AE1254">
        <v>-21.278300000000002</v>
      </c>
      <c r="AF1254">
        <v>6.4248711145684299</v>
      </c>
      <c r="AG1254">
        <v>-1.10858807062299</v>
      </c>
      <c r="AH1254">
        <v>21.925699893323401</v>
      </c>
      <c r="AI1254">
        <v>92.777862561367698</v>
      </c>
      <c r="AJ1254">
        <v>73.667872783493195</v>
      </c>
      <c r="AK1254">
        <v>22.8745328293546</v>
      </c>
      <c r="AL1254">
        <v>91.892636428215496</v>
      </c>
      <c r="AM1254">
        <v>79.754006330914706</v>
      </c>
      <c r="AN1254">
        <v>0.99999999393873595</v>
      </c>
    </row>
    <row r="1255" spans="1:40" x14ac:dyDescent="0.25">
      <c r="A1255" t="str">
        <f>"20190312161249725"</f>
        <v>20190312161249725</v>
      </c>
      <c r="B1255" t="str">
        <f>"1552378369717141"</f>
        <v>1552378369717141</v>
      </c>
      <c r="C1255" t="s">
        <v>40</v>
      </c>
      <c r="D1255">
        <v>5.6862139999999997</v>
      </c>
      <c r="E1255">
        <v>0.54099549999999996</v>
      </c>
      <c r="F1255" t="s">
        <v>63</v>
      </c>
      <c r="G1255">
        <v>-201.41820000000001</v>
      </c>
      <c r="H1255" s="1">
        <v>2.9459099999999999E-6</v>
      </c>
      <c r="I1255">
        <v>283.47219999999999</v>
      </c>
      <c r="J1255">
        <v>-192.9358</v>
      </c>
      <c r="K1255">
        <v>1.108514</v>
      </c>
      <c r="L1255">
        <v>304.49970000000002</v>
      </c>
      <c r="M1255">
        <v>-9.5994990000000002E-2</v>
      </c>
      <c r="N1255">
        <v>0</v>
      </c>
      <c r="O1255">
        <v>-0.99528629999999996</v>
      </c>
      <c r="P1255">
        <v>-0.27343959999999901</v>
      </c>
      <c r="Q1255">
        <v>-4.6469780000000002E-2</v>
      </c>
      <c r="R1255">
        <v>-0.96076649999999997</v>
      </c>
      <c r="S1255">
        <v>-1.119553</v>
      </c>
      <c r="T1255">
        <v>-0.14588699999999999</v>
      </c>
      <c r="U1255">
        <v>-2.79834</v>
      </c>
      <c r="V1255">
        <v>0.17980960000000001</v>
      </c>
      <c r="W1255">
        <v>-3.3601890000000002E-2</v>
      </c>
      <c r="X1255">
        <v>0.98312739999999998</v>
      </c>
      <c r="Y1255">
        <v>0.28015959999999901</v>
      </c>
      <c r="Z1255">
        <v>4.8787619999999997E-2</v>
      </c>
      <c r="AA1255">
        <v>0.95871289999999998</v>
      </c>
      <c r="AB1255">
        <v>24</v>
      </c>
      <c r="AC1255">
        <v>-8.4824000000000108</v>
      </c>
      <c r="AD1255">
        <v>-1.1085110540899901</v>
      </c>
      <c r="AE1255">
        <v>-21.0275</v>
      </c>
      <c r="AF1255">
        <v>6.4091737345024997</v>
      </c>
      <c r="AG1255">
        <v>-1.1085110540899901</v>
      </c>
      <c r="AH1255">
        <v>21.6928685884746</v>
      </c>
      <c r="AI1255">
        <v>92.805598024433493</v>
      </c>
      <c r="AJ1255">
        <v>73.540186552028899</v>
      </c>
      <c r="AK1255">
        <v>22.647005371856601</v>
      </c>
      <c r="AL1255">
        <v>91.925608898456304</v>
      </c>
      <c r="AM1255">
        <v>79.635413044802107</v>
      </c>
      <c r="AN1255">
        <v>1.00000003194724</v>
      </c>
    </row>
    <row r="1256" spans="1:40" x14ac:dyDescent="0.25">
      <c r="A1256" t="str">
        <f>"20190312161249748"</f>
        <v>20190312161249748</v>
      </c>
      <c r="B1256" t="str">
        <f>"1552378369736661"</f>
        <v>1552378369736661</v>
      </c>
      <c r="C1256" t="s">
        <v>40</v>
      </c>
      <c r="D1256">
        <v>5.7362219999999997</v>
      </c>
      <c r="E1256">
        <v>0.54137489999999999</v>
      </c>
      <c r="F1256" t="s">
        <v>63</v>
      </c>
      <c r="G1256">
        <v>-201.4675</v>
      </c>
      <c r="H1256" s="1">
        <v>2.9652119999999999E-6</v>
      </c>
      <c r="I1256">
        <v>283.5016</v>
      </c>
      <c r="J1256">
        <v>-192.96100000000001</v>
      </c>
      <c r="K1256">
        <v>1.108433</v>
      </c>
      <c r="L1256">
        <v>304.26819999999998</v>
      </c>
      <c r="M1256">
        <v>-9.8525470000000004E-2</v>
      </c>
      <c r="N1256">
        <v>0</v>
      </c>
      <c r="O1256">
        <v>-0.99503889999999995</v>
      </c>
      <c r="P1256">
        <v>-0.2777018</v>
      </c>
      <c r="Q1256">
        <v>-4.7081119999999997E-2</v>
      </c>
      <c r="R1256">
        <v>-0.95951299999999995</v>
      </c>
      <c r="S1256">
        <v>-1.134598</v>
      </c>
      <c r="T1256">
        <v>-0.14741660000000001</v>
      </c>
      <c r="U1256">
        <v>-2.7924500000000001</v>
      </c>
      <c r="V1256">
        <v>0.18166599999999999</v>
      </c>
      <c r="W1256">
        <v>-3.4261420000000001E-2</v>
      </c>
      <c r="X1256">
        <v>0.98276319999999995</v>
      </c>
      <c r="Y1256">
        <v>0.28284710000000002</v>
      </c>
      <c r="Z1256">
        <v>4.9307759999999999E-2</v>
      </c>
      <c r="AA1256">
        <v>0.95789679999999999</v>
      </c>
      <c r="AB1256">
        <v>24</v>
      </c>
      <c r="AC1256">
        <v>-8.5065000000000097</v>
      </c>
      <c r="AD1256">
        <v>-1.1084300347880001</v>
      </c>
      <c r="AE1256">
        <v>-20.766599999999901</v>
      </c>
      <c r="AF1256">
        <v>6.4032487974062899</v>
      </c>
      <c r="AG1256">
        <v>-1.1084300347880001</v>
      </c>
      <c r="AH1256">
        <v>21.4513950884804</v>
      </c>
      <c r="AI1256">
        <v>92.834565447639207</v>
      </c>
      <c r="AJ1256">
        <v>73.379617625766102</v>
      </c>
      <c r="AK1256">
        <v>22.414115274656499</v>
      </c>
      <c r="AL1256">
        <v>91.963419129117597</v>
      </c>
      <c r="AM1256">
        <v>79.526966746432294</v>
      </c>
      <c r="AN1256">
        <v>0.99999994386532598</v>
      </c>
    </row>
    <row r="1257" spans="1:40" x14ac:dyDescent="0.25">
      <c r="A1257" t="str">
        <f>"20190312161249771"</f>
        <v>20190312161249771</v>
      </c>
      <c r="B1257" t="str">
        <f>"1552378369766917"</f>
        <v>1552378369766917</v>
      </c>
      <c r="C1257" t="s">
        <v>40</v>
      </c>
      <c r="D1257">
        <v>5.8581139999999996</v>
      </c>
      <c r="E1257">
        <v>0.54151169999999904</v>
      </c>
      <c r="F1257" t="s">
        <v>63</v>
      </c>
      <c r="G1257">
        <v>-201.4376</v>
      </c>
      <c r="H1257" s="1">
        <v>2.9324020000000001E-6</v>
      </c>
      <c r="I1257">
        <v>283.72550000000001</v>
      </c>
      <c r="J1257">
        <v>-192.9881</v>
      </c>
      <c r="K1257">
        <v>1.1083510000000001</v>
      </c>
      <c r="L1257">
        <v>304.02679999999998</v>
      </c>
      <c r="M1257">
        <v>-0.1013163</v>
      </c>
      <c r="N1257">
        <v>0</v>
      </c>
      <c r="O1257">
        <v>-0.99475849999999999</v>
      </c>
      <c r="P1257">
        <v>-0.28176299999999999</v>
      </c>
      <c r="Q1257">
        <v>-4.6632710000000001E-2</v>
      </c>
      <c r="R1257">
        <v>-0.95835049999999999</v>
      </c>
      <c r="S1257">
        <v>-1.14979599999999</v>
      </c>
      <c r="T1257">
        <v>-0.15035009999999999</v>
      </c>
      <c r="U1257">
        <v>-2.7864689999999999</v>
      </c>
      <c r="V1257">
        <v>0.18306259999999999</v>
      </c>
      <c r="W1257">
        <v>-3.385958E-2</v>
      </c>
      <c r="X1257">
        <v>0.982518</v>
      </c>
      <c r="Y1257">
        <v>0.28532689999999999</v>
      </c>
      <c r="Z1257">
        <v>5.0295670000000001E-2</v>
      </c>
      <c r="AA1257">
        <v>0.95710969999999995</v>
      </c>
      <c r="AB1257">
        <v>23</v>
      </c>
      <c r="AC1257">
        <v>-8.4495000000000005</v>
      </c>
      <c r="AD1257">
        <v>-1.108348067598</v>
      </c>
      <c r="AE1257">
        <v>-20.301299999999902</v>
      </c>
      <c r="AF1257">
        <v>6.3328754177435798</v>
      </c>
      <c r="AG1257">
        <v>-1.108348067598</v>
      </c>
      <c r="AH1257">
        <v>20.999618591516299</v>
      </c>
      <c r="AI1257">
        <v>92.892788716224302</v>
      </c>
      <c r="AJ1257">
        <v>73.218213402281705</v>
      </c>
      <c r="AK1257">
        <v>21.961733253201199</v>
      </c>
      <c r="AL1257">
        <v>91.940381909115999</v>
      </c>
      <c r="AM1257">
        <v>79.445680188377807</v>
      </c>
      <c r="AN1257">
        <v>1.0000000035002601</v>
      </c>
    </row>
    <row r="1258" spans="1:40" x14ac:dyDescent="0.25">
      <c r="A1258" t="str">
        <f>"20190312161249793"</f>
        <v>20190312161249793</v>
      </c>
      <c r="B1258" t="str">
        <f>"1552378369787413"</f>
        <v>1552378369787413</v>
      </c>
      <c r="C1258" t="s">
        <v>40</v>
      </c>
      <c r="D1258">
        <v>5.76023</v>
      </c>
      <c r="E1258">
        <v>0.54135730000000004</v>
      </c>
      <c r="F1258" t="s">
        <v>63</v>
      </c>
      <c r="G1258">
        <v>-202.0564</v>
      </c>
      <c r="H1258" s="1">
        <v>3.3279689999999999E-6</v>
      </c>
      <c r="I1258">
        <v>282.33920000000001</v>
      </c>
      <c r="J1258">
        <v>-193.01349999999999</v>
      </c>
      <c r="K1258">
        <v>1.108285</v>
      </c>
      <c r="L1258">
        <v>303.80720000000002</v>
      </c>
      <c r="M1258">
        <v>-0.1039544</v>
      </c>
      <c r="N1258">
        <v>0</v>
      </c>
      <c r="O1258">
        <v>-0.99448650000000005</v>
      </c>
      <c r="P1258">
        <v>-0.28510720000000001</v>
      </c>
      <c r="Q1258">
        <v>-4.5866400000000002E-2</v>
      </c>
      <c r="R1258">
        <v>-0.95739810000000003</v>
      </c>
      <c r="S1258">
        <v>-1.1630100000000001</v>
      </c>
      <c r="T1258">
        <v>-0.1421471</v>
      </c>
      <c r="U1258">
        <v>-2.7814640000000002</v>
      </c>
      <c r="V1258">
        <v>0.18388009999999999</v>
      </c>
      <c r="W1258">
        <v>-3.3128339999999999E-2</v>
      </c>
      <c r="X1258">
        <v>0.98239019999999999</v>
      </c>
      <c r="Y1258">
        <v>0.28732020000000003</v>
      </c>
      <c r="Z1258">
        <v>4.7561220000000001E-2</v>
      </c>
      <c r="AA1258">
        <v>0.95665310000000003</v>
      </c>
      <c r="AB1258">
        <v>23</v>
      </c>
      <c r="AC1258">
        <v>-9.0428999999999995</v>
      </c>
      <c r="AD1258">
        <v>-1.108281672031</v>
      </c>
      <c r="AE1258">
        <v>-21.468</v>
      </c>
      <c r="AF1258">
        <v>6.7467203877331503</v>
      </c>
      <c r="AG1258">
        <v>-1.108281672031</v>
      </c>
      <c r="AH1258">
        <v>22.241460552201399</v>
      </c>
      <c r="AI1258">
        <v>92.730023175257898</v>
      </c>
      <c r="AJ1258">
        <v>73.125360714792706</v>
      </c>
      <c r="AK1258">
        <v>23.268628918566399</v>
      </c>
      <c r="AL1258">
        <v>91.898461539375802</v>
      </c>
      <c r="AM1258">
        <v>79.398266069897105</v>
      </c>
      <c r="AN1258">
        <v>0.99999994157160099</v>
      </c>
    </row>
    <row r="1259" spans="1:40" x14ac:dyDescent="0.25">
      <c r="A1259" t="str">
        <f>"20190312161249815"</f>
        <v>20190312161249815</v>
      </c>
      <c r="B1259" t="str">
        <f>"1552378369806933"</f>
        <v>1552378369806933</v>
      </c>
      <c r="C1259" t="s">
        <v>40</v>
      </c>
      <c r="D1259">
        <v>5.6189010000000001</v>
      </c>
      <c r="E1259">
        <v>0.54168319999999903</v>
      </c>
      <c r="F1259" t="s">
        <v>63</v>
      </c>
      <c r="G1259">
        <v>-202.46879999999999</v>
      </c>
      <c r="H1259" s="1">
        <v>3.5940249999999999E-6</v>
      </c>
      <c r="I1259">
        <v>281.38799999999998</v>
      </c>
      <c r="J1259">
        <v>-193.0419</v>
      </c>
      <c r="K1259">
        <v>1.108214</v>
      </c>
      <c r="L1259">
        <v>303.56849999999997</v>
      </c>
      <c r="M1259">
        <v>-0.1069394</v>
      </c>
      <c r="N1259">
        <v>0</v>
      </c>
      <c r="O1259">
        <v>-0.99416970000000005</v>
      </c>
      <c r="P1259">
        <v>-0.28890009999999999</v>
      </c>
      <c r="Q1259">
        <v>-4.5472020000000002E-2</v>
      </c>
      <c r="R1259">
        <v>-0.95627870000000004</v>
      </c>
      <c r="S1259">
        <v>-1.1716310000000001</v>
      </c>
      <c r="T1259">
        <v>-0.137329799999999</v>
      </c>
      <c r="U1259">
        <v>-2.7780149999999999</v>
      </c>
      <c r="V1259">
        <v>0.18481890000000001</v>
      </c>
      <c r="W1259">
        <v>-3.2769279999999998E-2</v>
      </c>
      <c r="X1259">
        <v>0.98222609999999999</v>
      </c>
      <c r="Y1259">
        <v>0.28742020000000001</v>
      </c>
      <c r="Z1259">
        <v>4.5956160000000003E-2</v>
      </c>
      <c r="AA1259">
        <v>0.95670149999999998</v>
      </c>
      <c r="AB1259">
        <v>23</v>
      </c>
      <c r="AC1259">
        <v>-9.4268999999999892</v>
      </c>
      <c r="AD1259">
        <v>-1.108210405975</v>
      </c>
      <c r="AE1259">
        <v>-22.180499999999899</v>
      </c>
      <c r="AF1259">
        <v>6.9858651649542303</v>
      </c>
      <c r="AG1259">
        <v>-1.108210405975</v>
      </c>
      <c r="AH1259">
        <v>23.012827282218499</v>
      </c>
      <c r="AI1259">
        <v>92.638313586039004</v>
      </c>
      <c r="AJ1259">
        <v>73.113600266693595</v>
      </c>
      <c r="AK1259">
        <v>24.075312291392098</v>
      </c>
      <c r="AL1259">
        <v>91.877877664265</v>
      </c>
      <c r="AM1259">
        <v>79.343635803990594</v>
      </c>
      <c r="AN1259">
        <v>0.99999998151506897</v>
      </c>
    </row>
    <row r="1260" spans="1:40" x14ac:dyDescent="0.25">
      <c r="A1260" t="str">
        <f>"20190312161249837"</f>
        <v>20190312161249837</v>
      </c>
      <c r="B1260" t="str">
        <f>"1552378369827430"</f>
        <v>1552378369827430</v>
      </c>
      <c r="C1260" t="s">
        <v>40</v>
      </c>
      <c r="D1260">
        <v>6.0858019999999904</v>
      </c>
      <c r="E1260">
        <v>0.56970989999999999</v>
      </c>
      <c r="F1260" t="s">
        <v>63</v>
      </c>
      <c r="G1260">
        <v>-202.67250000000001</v>
      </c>
      <c r="H1260" s="1">
        <v>3.714975E-6</v>
      </c>
      <c r="I1260">
        <v>281.0378</v>
      </c>
      <c r="J1260">
        <v>-193.0693</v>
      </c>
      <c r="K1260">
        <v>1.10815</v>
      </c>
      <c r="L1260">
        <v>303.34449999999998</v>
      </c>
      <c r="M1260">
        <v>-0.10985499999999999</v>
      </c>
      <c r="N1260">
        <v>0</v>
      </c>
      <c r="O1260">
        <v>-0.9938517</v>
      </c>
      <c r="P1260">
        <v>-0.29251529999999998</v>
      </c>
      <c r="Q1260">
        <v>-4.5964360000000003E-2</v>
      </c>
      <c r="R1260">
        <v>-0.95515559999999999</v>
      </c>
      <c r="S1260">
        <v>-1.185135</v>
      </c>
      <c r="T1260">
        <v>-0.13637569999999999</v>
      </c>
      <c r="U1260">
        <v>-2.7726139999999999</v>
      </c>
      <c r="V1260">
        <v>0.1856479</v>
      </c>
      <c r="W1260">
        <v>-3.3295020000000002E-2</v>
      </c>
      <c r="X1260">
        <v>0.98205209999999998</v>
      </c>
      <c r="Y1260">
        <v>0.28923019999999999</v>
      </c>
      <c r="Z1260">
        <v>4.5642700000000001E-2</v>
      </c>
      <c r="AA1260">
        <v>0.95617090000000005</v>
      </c>
      <c r="AB1260">
        <v>23</v>
      </c>
      <c r="AC1260">
        <v>-9.60320000000001</v>
      </c>
      <c r="AD1260">
        <v>-1.1081462850249999</v>
      </c>
      <c r="AE1260">
        <v>-22.3066999999999</v>
      </c>
      <c r="AF1260">
        <v>7.0795907680261303</v>
      </c>
      <c r="AG1260">
        <v>-1.1081462850249999</v>
      </c>
      <c r="AH1260">
        <v>23.178468070735899</v>
      </c>
      <c r="AI1260">
        <v>92.617968551485902</v>
      </c>
      <c r="AJ1260">
        <v>73.015323998847606</v>
      </c>
      <c r="AK1260">
        <v>24.260873350682601</v>
      </c>
      <c r="AL1260">
        <v>91.908016733289301</v>
      </c>
      <c r="AM1260">
        <v>79.295086302528802</v>
      </c>
      <c r="AN1260">
        <v>1.00000001412281</v>
      </c>
    </row>
    <row r="1261" spans="1:40" x14ac:dyDescent="0.25">
      <c r="A1261" t="str">
        <f>"20190312161249859"</f>
        <v>20190312161249859</v>
      </c>
      <c r="B1261" t="str">
        <f>"1552378369856710"</f>
        <v>1552378369856710</v>
      </c>
      <c r="C1261" t="s">
        <v>40</v>
      </c>
      <c r="D1261">
        <v>5.9315089999999904</v>
      </c>
      <c r="E1261">
        <v>0.57157279999999999</v>
      </c>
      <c r="F1261" t="s">
        <v>41</v>
      </c>
      <c r="G1261">
        <v>-213.93969999999999</v>
      </c>
      <c r="H1261">
        <v>-0.05</v>
      </c>
      <c r="I1261">
        <v>263.38600000000002</v>
      </c>
      <c r="J1261">
        <v>-193.09950000000001</v>
      </c>
      <c r="K1261">
        <v>1.1080650000000001</v>
      </c>
      <c r="L1261">
        <v>303.10520000000002</v>
      </c>
      <c r="M1261">
        <v>-0.1131006</v>
      </c>
      <c r="N1261">
        <v>0</v>
      </c>
      <c r="O1261">
        <v>-0.99348749999999997</v>
      </c>
      <c r="P1261">
        <v>-0.29600110000000002</v>
      </c>
      <c r="Q1261">
        <v>-4.685272E-2</v>
      </c>
      <c r="R1261">
        <v>-0.95403780000000005</v>
      </c>
      <c r="S1261">
        <v>-1.412552</v>
      </c>
      <c r="T1261">
        <v>-7.8385949999999996E-2</v>
      </c>
      <c r="U1261">
        <v>-2.7044679999999999</v>
      </c>
      <c r="V1261">
        <v>0.1860203</v>
      </c>
      <c r="W1261">
        <v>-3.4218279999999997E-2</v>
      </c>
      <c r="X1261">
        <v>0.98194990000000004</v>
      </c>
      <c r="Y1261">
        <v>0.35957099999999997</v>
      </c>
      <c r="Z1261">
        <v>2.6057919999999998E-2</v>
      </c>
      <c r="AA1261">
        <v>0.93275379999999997</v>
      </c>
      <c r="AB1261">
        <v>23</v>
      </c>
      <c r="AC1261">
        <v>-20.8401999999999</v>
      </c>
      <c r="AD1261">
        <v>-1.1580649999999999</v>
      </c>
      <c r="AE1261">
        <v>-39.719200000000001</v>
      </c>
      <c r="AF1261">
        <v>16.202959456628399</v>
      </c>
      <c r="AG1261">
        <v>-1.1580649999999999</v>
      </c>
      <c r="AH1261">
        <v>41.793699763759797</v>
      </c>
      <c r="AI1261">
        <v>91.479933034574998</v>
      </c>
      <c r="AJ1261">
        <v>68.809233809715593</v>
      </c>
      <c r="AK1261">
        <v>44.839606930042002</v>
      </c>
      <c r="AL1261">
        <v>91.960945780887499</v>
      </c>
      <c r="AM1261">
        <v>79.273020073359405</v>
      </c>
      <c r="AN1261">
        <v>1.0000000244041201</v>
      </c>
    </row>
    <row r="1262" spans="1:40" x14ac:dyDescent="0.25">
      <c r="A1262" t="str">
        <f>"20190312161249883"</f>
        <v>20190312161249883</v>
      </c>
      <c r="B1262" t="str">
        <f>"1552378369877206"</f>
        <v>1552378369877206</v>
      </c>
      <c r="C1262" t="s">
        <v>40</v>
      </c>
      <c r="D1262">
        <v>5.7407490000000001</v>
      </c>
      <c r="E1262">
        <v>0.57239510000000005</v>
      </c>
      <c r="F1262" t="s">
        <v>41</v>
      </c>
      <c r="G1262">
        <v>-215.11680000000001</v>
      </c>
      <c r="H1262">
        <v>-0.05</v>
      </c>
      <c r="I1262">
        <v>261.81299999999999</v>
      </c>
      <c r="J1262">
        <v>-193.13040000000001</v>
      </c>
      <c r="K1262">
        <v>1.1079760000000001</v>
      </c>
      <c r="L1262">
        <v>302.86770000000001</v>
      </c>
      <c r="M1262">
        <v>-0.1164611</v>
      </c>
      <c r="N1262">
        <v>0</v>
      </c>
      <c r="O1262">
        <v>-0.99309910000000001</v>
      </c>
      <c r="P1262">
        <v>-0.29967680000000002</v>
      </c>
      <c r="Q1262">
        <v>-4.7973059999999998E-2</v>
      </c>
      <c r="R1262">
        <v>-0.95283399999999996</v>
      </c>
      <c r="S1262">
        <v>-1.436966</v>
      </c>
      <c r="T1262">
        <v>-7.5581309999999999E-2</v>
      </c>
      <c r="U1262">
        <v>-2.6949459999999998</v>
      </c>
      <c r="V1262">
        <v>0.1864768</v>
      </c>
      <c r="W1262">
        <v>-3.537858E-2</v>
      </c>
      <c r="X1262">
        <v>0.98182210000000003</v>
      </c>
      <c r="Y1262">
        <v>0.36437649999999999</v>
      </c>
      <c r="Z1262">
        <v>2.5115249999999999E-2</v>
      </c>
      <c r="AA1262">
        <v>0.93091299999999999</v>
      </c>
      <c r="AB1262">
        <v>23</v>
      </c>
      <c r="AC1262">
        <v>-21.9864</v>
      </c>
      <c r="AD1262">
        <v>-1.1579759999999999</v>
      </c>
      <c r="AE1262">
        <v>-41.054699999999997</v>
      </c>
      <c r="AF1262">
        <v>17.044489582353101</v>
      </c>
      <c r="AG1262">
        <v>-1.1579759999999999</v>
      </c>
      <c r="AH1262">
        <v>43.309308700099599</v>
      </c>
      <c r="AI1262">
        <v>91.425221091948202</v>
      </c>
      <c r="AJ1262">
        <v>68.517754337308403</v>
      </c>
      <c r="AK1262">
        <v>46.5569732008003</v>
      </c>
      <c r="AL1262">
        <v>92.027466538421194</v>
      </c>
      <c r="AM1262">
        <v>79.245941743532995</v>
      </c>
      <c r="AN1262">
        <v>0.99999993845473101</v>
      </c>
    </row>
    <row r="1263" spans="1:40" x14ac:dyDescent="0.25">
      <c r="A1263" t="str">
        <f>"20190312161249905"</f>
        <v>20190312161249905</v>
      </c>
      <c r="B1263" t="str">
        <f>"1552378369896725"</f>
        <v>1552378369896725</v>
      </c>
      <c r="C1263" t="s">
        <v>40</v>
      </c>
      <c r="D1263">
        <v>5.7818659999999999</v>
      </c>
      <c r="E1263">
        <v>0.573453199999999</v>
      </c>
      <c r="F1263" t="s">
        <v>41</v>
      </c>
      <c r="G1263">
        <v>-212.74629999999999</v>
      </c>
      <c r="H1263">
        <v>-0.05</v>
      </c>
      <c r="I1263">
        <v>266.59679999999997</v>
      </c>
      <c r="J1263">
        <v>-193.16239999999999</v>
      </c>
      <c r="K1263">
        <v>1.1078749999999999</v>
      </c>
      <c r="L1263">
        <v>302.62889999999999</v>
      </c>
      <c r="M1263">
        <v>-0.1199897</v>
      </c>
      <c r="N1263">
        <v>0</v>
      </c>
      <c r="O1263">
        <v>-0.99267899999999998</v>
      </c>
      <c r="P1263">
        <v>-0.30350429999999901</v>
      </c>
      <c r="Q1263">
        <v>-4.7529870000000002E-2</v>
      </c>
      <c r="R1263">
        <v>-0.95164420000000005</v>
      </c>
      <c r="S1263">
        <v>-1.453247</v>
      </c>
      <c r="T1263">
        <v>-8.5788729999999994E-2</v>
      </c>
      <c r="U1263">
        <v>-2.6871339999999999</v>
      </c>
      <c r="V1263">
        <v>0.18692500000000001</v>
      </c>
      <c r="W1263">
        <v>-3.4979129999999997E-2</v>
      </c>
      <c r="X1263">
        <v>0.98175129999999999</v>
      </c>
      <c r="Y1263">
        <v>0.36652079999999998</v>
      </c>
      <c r="Z1263">
        <v>2.8507930000000001E-2</v>
      </c>
      <c r="AA1263">
        <v>0.92997300000000005</v>
      </c>
      <c r="AB1263">
        <v>23</v>
      </c>
      <c r="AC1263">
        <v>-19.5839</v>
      </c>
      <c r="AD1263">
        <v>-1.157875</v>
      </c>
      <c r="AE1263">
        <v>-36.0321</v>
      </c>
      <c r="AF1263">
        <v>15.1064462814479</v>
      </c>
      <c r="AG1263">
        <v>-1.157875</v>
      </c>
      <c r="AH1263">
        <v>38.091449225167302</v>
      </c>
      <c r="AI1263">
        <v>91.618535799018105</v>
      </c>
      <c r="AJ1263">
        <v>68.367532118607301</v>
      </c>
      <c r="AK1263">
        <v>40.993949527258202</v>
      </c>
      <c r="AL1263">
        <v>92.004565328841494</v>
      </c>
      <c r="AM1263">
        <v>79.219939951568193</v>
      </c>
      <c r="AN1263">
        <v>1.0000000551061199</v>
      </c>
    </row>
    <row r="1264" spans="1:40" x14ac:dyDescent="0.25">
      <c r="A1264" t="str">
        <f>"20190312161249929"</f>
        <v>20190312161249929</v>
      </c>
      <c r="B1264" t="str">
        <f>"1552378369917221"</f>
        <v>1552378369917221</v>
      </c>
      <c r="C1264" t="s">
        <v>40</v>
      </c>
      <c r="D1264">
        <v>5.7796450000000004</v>
      </c>
      <c r="E1264">
        <v>0.57638319999999998</v>
      </c>
      <c r="F1264" t="s">
        <v>41</v>
      </c>
      <c r="G1264">
        <v>-210.81020000000001</v>
      </c>
      <c r="H1264">
        <v>-0.05</v>
      </c>
      <c r="I1264">
        <v>270.50259999999997</v>
      </c>
      <c r="J1264">
        <v>-193.19550000000001</v>
      </c>
      <c r="K1264">
        <v>1.1077629999999901</v>
      </c>
      <c r="L1264">
        <v>302.39019999999999</v>
      </c>
      <c r="M1264">
        <v>-0.1236859</v>
      </c>
      <c r="N1264">
        <v>0</v>
      </c>
      <c r="O1264">
        <v>-0.99222489999999997</v>
      </c>
      <c r="P1264">
        <v>-0.30736089999999999</v>
      </c>
      <c r="Q1264">
        <v>-4.7372900000000003E-2</v>
      </c>
      <c r="R1264">
        <v>-0.95041299999999995</v>
      </c>
      <c r="S1264">
        <v>-1.471298</v>
      </c>
      <c r="T1264">
        <v>-9.6532110000000004E-2</v>
      </c>
      <c r="U1264">
        <v>-2.678375</v>
      </c>
      <c r="V1264">
        <v>0.1872404</v>
      </c>
      <c r="W1264">
        <v>-3.4868540000000003E-2</v>
      </c>
      <c r="X1264">
        <v>0.98169510000000004</v>
      </c>
      <c r="Y1264">
        <v>0.3691024</v>
      </c>
      <c r="Z1264">
        <v>3.2078219999999998E-2</v>
      </c>
      <c r="AA1264">
        <v>0.92883499999999997</v>
      </c>
      <c r="AB1264">
        <v>23</v>
      </c>
      <c r="AC1264">
        <v>-17.614699999999999</v>
      </c>
      <c r="AD1264">
        <v>-1.1577630000000001</v>
      </c>
      <c r="AE1264">
        <v>-31.887599999999999</v>
      </c>
      <c r="AF1264">
        <v>13.521336755807701</v>
      </c>
      <c r="AG1264">
        <v>-1.1577630000000001</v>
      </c>
      <c r="AH1264">
        <v>33.787473536751499</v>
      </c>
      <c r="AI1264">
        <v>91.822145271066503</v>
      </c>
      <c r="AJ1264">
        <v>68.189312123584202</v>
      </c>
      <c r="AK1264">
        <v>36.410991895646099</v>
      </c>
      <c r="AL1264">
        <v>91.998225179604006</v>
      </c>
      <c r="AM1264">
        <v>79.201574334873399</v>
      </c>
      <c r="AN1264">
        <v>1.0000000259189501</v>
      </c>
    </row>
    <row r="1265" spans="1:40" x14ac:dyDescent="0.25">
      <c r="A1265" t="str">
        <f>"20190312161249949"</f>
        <v>20190312161249949</v>
      </c>
      <c r="B1265" t="str">
        <f>"1552378369947478"</f>
        <v>1552378369947478</v>
      </c>
      <c r="C1265" t="s">
        <v>40</v>
      </c>
      <c r="D1265">
        <v>6.3319650000000003</v>
      </c>
      <c r="E1265">
        <v>0.57713510000000001</v>
      </c>
      <c r="F1265" t="s">
        <v>41</v>
      </c>
      <c r="G1265">
        <v>-216.3227</v>
      </c>
      <c r="H1265">
        <v>-0.05</v>
      </c>
      <c r="I1265">
        <v>261.44080000000002</v>
      </c>
      <c r="J1265">
        <v>-193.226</v>
      </c>
      <c r="K1265">
        <v>1.1076619999999999</v>
      </c>
      <c r="L1265">
        <v>302.17720000000003</v>
      </c>
      <c r="M1265">
        <v>-0.12714900000000001</v>
      </c>
      <c r="N1265">
        <v>0</v>
      </c>
      <c r="O1265">
        <v>-0.99178730000000004</v>
      </c>
      <c r="P1265">
        <v>-0.31065130000000002</v>
      </c>
      <c r="Q1265">
        <v>-4.7284050000000001E-2</v>
      </c>
      <c r="R1265">
        <v>-0.94934739999999995</v>
      </c>
      <c r="S1265">
        <v>-1.5056</v>
      </c>
      <c r="T1265">
        <v>-7.5371149999999998E-2</v>
      </c>
      <c r="U1265">
        <v>-2.6658330000000001</v>
      </c>
      <c r="V1265">
        <v>0.18720539999999999</v>
      </c>
      <c r="W1265">
        <v>-3.4819669999999997E-2</v>
      </c>
      <c r="X1265">
        <v>0.98170349999999995</v>
      </c>
      <c r="Y1265">
        <v>0.3768977</v>
      </c>
      <c r="Z1265">
        <v>2.502335E-2</v>
      </c>
      <c r="AA1265">
        <v>0.92591679999999998</v>
      </c>
      <c r="AB1265">
        <v>23</v>
      </c>
      <c r="AC1265">
        <v>-23.096699999999998</v>
      </c>
      <c r="AD1265">
        <v>-1.157662</v>
      </c>
      <c r="AE1265">
        <v>-40.736400000000003</v>
      </c>
      <c r="AF1265">
        <v>17.718286763142299</v>
      </c>
      <c r="AG1265">
        <v>-1.157662</v>
      </c>
      <c r="AH1265">
        <v>43.316235322804403</v>
      </c>
      <c r="AI1265">
        <v>91.417002454721796</v>
      </c>
      <c r="AJ1265">
        <v>67.753232750879107</v>
      </c>
      <c r="AK1265">
        <v>46.814251138598401</v>
      </c>
      <c r="AL1265">
        <v>91.995423452281102</v>
      </c>
      <c r="AM1265">
        <v>79.203635597812095</v>
      </c>
      <c r="AN1265">
        <v>1.0000000165601499</v>
      </c>
    </row>
    <row r="1266" spans="1:40" x14ac:dyDescent="0.25">
      <c r="A1266" t="str">
        <f>"20190312161249971"</f>
        <v>20190312161249971</v>
      </c>
      <c r="B1266" t="str">
        <f>"1552378369966998"</f>
        <v>1552378369966998</v>
      </c>
      <c r="C1266" t="s">
        <v>40</v>
      </c>
      <c r="D1266">
        <v>6.0395830000000004</v>
      </c>
      <c r="E1266">
        <v>0.57532919999999999</v>
      </c>
      <c r="F1266" t="s">
        <v>41</v>
      </c>
      <c r="G1266">
        <v>-214.63030000000001</v>
      </c>
      <c r="H1266">
        <v>-0.05</v>
      </c>
      <c r="I1266">
        <v>264.74590000000001</v>
      </c>
      <c r="J1266">
        <v>-193.26009999999999</v>
      </c>
      <c r="K1266">
        <v>1.1075660000000001</v>
      </c>
      <c r="L1266">
        <v>301.94659999999999</v>
      </c>
      <c r="M1266">
        <v>-0.13104440000000001</v>
      </c>
      <c r="N1266">
        <v>0</v>
      </c>
      <c r="O1266">
        <v>-0.99127989999999999</v>
      </c>
      <c r="P1266">
        <v>-0.31449250000000001</v>
      </c>
      <c r="Q1266">
        <v>-4.8242420000000001E-2</v>
      </c>
      <c r="R1266">
        <v>-0.94803360000000003</v>
      </c>
      <c r="S1266">
        <v>-1.5202180000000001</v>
      </c>
      <c r="T1266">
        <v>-8.2221630000000004E-2</v>
      </c>
      <c r="U1266">
        <v>-2.6585079999999999</v>
      </c>
      <c r="V1266">
        <v>0.18731539999999999</v>
      </c>
      <c r="W1266">
        <v>-3.5817439999999999E-2</v>
      </c>
      <c r="X1266">
        <v>0.98164660000000004</v>
      </c>
      <c r="Y1266">
        <v>0.37816640000000001</v>
      </c>
      <c r="Z1266">
        <v>2.7297930000000001E-2</v>
      </c>
      <c r="AA1266">
        <v>0.92533509999999997</v>
      </c>
      <c r="AB1266">
        <v>23</v>
      </c>
      <c r="AC1266">
        <v>-21.370200000000001</v>
      </c>
      <c r="AD1266">
        <v>-1.1575660000000001</v>
      </c>
      <c r="AE1266">
        <v>-37.200699999999898</v>
      </c>
      <c r="AF1266">
        <v>16.298602767054501</v>
      </c>
      <c r="AG1266">
        <v>-1.1575660000000001</v>
      </c>
      <c r="AH1266">
        <v>39.651684478166999</v>
      </c>
      <c r="AI1266">
        <v>91.5466850302994</v>
      </c>
      <c r="AJ1266">
        <v>67.655161491234495</v>
      </c>
      <c r="AK1266">
        <v>42.886367218018101</v>
      </c>
      <c r="AL1266">
        <v>92.052627191484902</v>
      </c>
      <c r="AM1266">
        <v>79.196829571040297</v>
      </c>
      <c r="AN1266">
        <v>0.99999999768843695</v>
      </c>
    </row>
    <row r="1267" spans="1:40" x14ac:dyDescent="0.25">
      <c r="A1267" t="str">
        <f>"20190312161249996"</f>
        <v>20190312161249996</v>
      </c>
      <c r="B1267" t="str">
        <f>"1552378369986518"</f>
        <v>1552378369986518</v>
      </c>
      <c r="C1267" t="s">
        <v>40</v>
      </c>
      <c r="D1267">
        <v>6.053375</v>
      </c>
      <c r="E1267">
        <v>0.57378799999999996</v>
      </c>
      <c r="F1267" t="s">
        <v>63</v>
      </c>
      <c r="G1267">
        <v>-208.51769999999999</v>
      </c>
      <c r="H1267">
        <v>8.0000810000000006E-2</v>
      </c>
      <c r="I1267">
        <v>275.21769999999998</v>
      </c>
      <c r="J1267">
        <v>-193.2971</v>
      </c>
      <c r="K1267">
        <v>1.107477</v>
      </c>
      <c r="L1267">
        <v>301.70389999999998</v>
      </c>
      <c r="M1267">
        <v>-0.1353056</v>
      </c>
      <c r="N1267">
        <v>0</v>
      </c>
      <c r="O1267">
        <v>-0.99070709999999995</v>
      </c>
      <c r="P1267">
        <v>-0.31833410000000001</v>
      </c>
      <c r="Q1267">
        <v>-4.9388389999999997E-2</v>
      </c>
      <c r="R1267">
        <v>-0.94669119999999995</v>
      </c>
      <c r="S1267">
        <v>-1.516251</v>
      </c>
      <c r="T1267">
        <v>-0.1021159</v>
      </c>
      <c r="U1267">
        <v>-2.6562190000000001</v>
      </c>
      <c r="V1267">
        <v>0.18706800000000001</v>
      </c>
      <c r="W1267">
        <v>-3.6996889999999998E-2</v>
      </c>
      <c r="X1267">
        <v>0.98165009999999997</v>
      </c>
      <c r="Y1267">
        <v>0.3733822</v>
      </c>
      <c r="Z1267">
        <v>3.3936960000000002E-2</v>
      </c>
      <c r="AA1267">
        <v>0.92705669999999996</v>
      </c>
      <c r="AB1267">
        <v>23</v>
      </c>
      <c r="AC1267">
        <v>-15.2205999999999</v>
      </c>
      <c r="AD1267">
        <v>-1.02747619</v>
      </c>
      <c r="AE1267">
        <v>-26.4862</v>
      </c>
      <c r="AF1267">
        <v>11.483536825009301</v>
      </c>
      <c r="AG1267">
        <v>-1.02747619</v>
      </c>
      <c r="AH1267">
        <v>28.2702316880595</v>
      </c>
      <c r="AI1267">
        <v>91.928578824249996</v>
      </c>
      <c r="AJ1267">
        <v>67.892717157404206</v>
      </c>
      <c r="AK1267">
        <v>30.530858570124199</v>
      </c>
      <c r="AL1267">
        <v>92.120249395850905</v>
      </c>
      <c r="AM1267">
        <v>79.210800473568398</v>
      </c>
      <c r="AN1267">
        <v>1.0000000626618299</v>
      </c>
    </row>
    <row r="1268" spans="1:40" x14ac:dyDescent="0.25">
      <c r="A1268" t="str">
        <f>"20190312161250016"</f>
        <v>20190312161250016</v>
      </c>
      <c r="B1268" t="str">
        <f>"1552378370007014"</f>
        <v>1552378370007014</v>
      </c>
      <c r="C1268" t="s">
        <v>40</v>
      </c>
      <c r="D1268">
        <v>6.2995780000000003</v>
      </c>
      <c r="E1268">
        <v>0.57263940000000002</v>
      </c>
      <c r="F1268" t="s">
        <v>63</v>
      </c>
      <c r="G1268">
        <v>-206.381</v>
      </c>
      <c r="H1268">
        <v>8.0001089999999997E-2</v>
      </c>
      <c r="I1268">
        <v>278.78339999999997</v>
      </c>
      <c r="J1268">
        <v>-193.33150000000001</v>
      </c>
      <c r="K1268">
        <v>1.1074010000000001</v>
      </c>
      <c r="L1268">
        <v>301.48599999999999</v>
      </c>
      <c r="M1268">
        <v>-0.13927410000000001</v>
      </c>
      <c r="N1268">
        <v>0</v>
      </c>
      <c r="O1268">
        <v>-0.99015710000000001</v>
      </c>
      <c r="P1268">
        <v>-0.32282129999999998</v>
      </c>
      <c r="Q1268">
        <v>-4.8984920000000001E-2</v>
      </c>
      <c r="R1268">
        <v>-0.94519169999999997</v>
      </c>
      <c r="S1268">
        <v>-1.514664</v>
      </c>
      <c r="T1268">
        <v>-0.1189467</v>
      </c>
      <c r="U1268">
        <v>-2.6534119999999999</v>
      </c>
      <c r="V1268">
        <v>0.18778349999999999</v>
      </c>
      <c r="W1268">
        <v>-3.6629370000000001E-2</v>
      </c>
      <c r="X1268">
        <v>0.98152720000000004</v>
      </c>
      <c r="Y1268">
        <v>0.36956410000000001</v>
      </c>
      <c r="Z1268">
        <v>3.956146E-2</v>
      </c>
      <c r="AA1268">
        <v>0.92836269999999999</v>
      </c>
      <c r="AB1268">
        <v>23</v>
      </c>
      <c r="AC1268">
        <v>-13.049499999999901</v>
      </c>
      <c r="AD1268">
        <v>-1.02739991</v>
      </c>
      <c r="AE1268">
        <v>-22.7026</v>
      </c>
      <c r="AF1268">
        <v>9.7451047221234806</v>
      </c>
      <c r="AG1268">
        <v>-1.02739991</v>
      </c>
      <c r="AH1268">
        <v>24.261578566039901</v>
      </c>
      <c r="AI1268">
        <v>92.250300513301198</v>
      </c>
      <c r="AJ1268">
        <v>68.116240418272</v>
      </c>
      <c r="AK1268">
        <v>26.1657564602354</v>
      </c>
      <c r="AL1268">
        <v>92.099177902863204</v>
      </c>
      <c r="AM1268">
        <v>79.169183930732203</v>
      </c>
      <c r="AN1268">
        <v>0.999999998979343</v>
      </c>
    </row>
    <row r="1269" spans="1:40" x14ac:dyDescent="0.25">
      <c r="A1269" t="str">
        <f>"20190312161250040"</f>
        <v>20190312161250040</v>
      </c>
      <c r="B1269" t="str">
        <f>"1552378370037270"</f>
        <v>1552378370037270</v>
      </c>
      <c r="C1269" t="s">
        <v>40</v>
      </c>
      <c r="D1269">
        <v>6.3617650000000001</v>
      </c>
      <c r="E1269">
        <v>0.57205079999999997</v>
      </c>
      <c r="F1269" t="s">
        <v>63</v>
      </c>
      <c r="G1269">
        <v>-205.86449999999999</v>
      </c>
      <c r="H1269">
        <v>4.880694E-2</v>
      </c>
      <c r="I1269">
        <v>279.61630000000002</v>
      </c>
      <c r="J1269">
        <v>-193.37010000000001</v>
      </c>
      <c r="K1269">
        <v>1.10731</v>
      </c>
      <c r="L1269">
        <v>301.24810000000002</v>
      </c>
      <c r="M1269">
        <v>-0.14376729999999999</v>
      </c>
      <c r="N1269">
        <v>0</v>
      </c>
      <c r="O1269">
        <v>-0.98951440000000002</v>
      </c>
      <c r="P1269">
        <v>-0.3274338</v>
      </c>
      <c r="Q1269">
        <v>-4.8586999999999998E-2</v>
      </c>
      <c r="R1269">
        <v>-0.94362389999999996</v>
      </c>
      <c r="S1269">
        <v>-1.5180049999999901</v>
      </c>
      <c r="T1269">
        <v>-0.12821749999999901</v>
      </c>
      <c r="U1269">
        <v>-2.6488649999999998</v>
      </c>
      <c r="V1269">
        <v>0.18811369999999999</v>
      </c>
      <c r="W1269">
        <v>-3.626799E-2</v>
      </c>
      <c r="X1269">
        <v>0.98147740000000006</v>
      </c>
      <c r="Y1269">
        <v>0.36684929999999999</v>
      </c>
      <c r="Z1269">
        <v>4.2671769999999998E-2</v>
      </c>
      <c r="AA1269">
        <v>0.92930119999999905</v>
      </c>
      <c r="AB1269">
        <v>23</v>
      </c>
      <c r="AC1269">
        <v>-12.494399999999899</v>
      </c>
      <c r="AD1269">
        <v>-1.0585030600000001</v>
      </c>
      <c r="AE1269">
        <v>-21.631799999999998</v>
      </c>
      <c r="AF1269">
        <v>9.2377469681535604</v>
      </c>
      <c r="AG1269">
        <v>-1.0585030600000001</v>
      </c>
      <c r="AH1269">
        <v>23.161908311609999</v>
      </c>
      <c r="AI1269">
        <v>92.430665883695596</v>
      </c>
      <c r="AJ1269">
        <v>68.256226224020097</v>
      </c>
      <c r="AK1269">
        <v>24.958573565231799</v>
      </c>
      <c r="AL1269">
        <v>92.078458565712097</v>
      </c>
      <c r="AM1269">
        <v>79.1500531279858</v>
      </c>
      <c r="AN1269">
        <v>1.0000000089685399</v>
      </c>
    </row>
    <row r="1270" spans="1:40" x14ac:dyDescent="0.25">
      <c r="A1270" t="str">
        <f>"20190312161250063"</f>
        <v>20190312161250063</v>
      </c>
      <c r="B1270" t="str">
        <f>"1552378370056790"</f>
        <v>1552378370056790</v>
      </c>
      <c r="C1270" t="s">
        <v>40</v>
      </c>
      <c r="D1270">
        <v>5.9262589999999999</v>
      </c>
      <c r="E1270">
        <v>0.57254640000000001</v>
      </c>
      <c r="F1270" t="s">
        <v>63</v>
      </c>
      <c r="G1270">
        <v>-203.99270000000001</v>
      </c>
      <c r="H1270" s="1">
        <v>4.1425760000000001E-6</v>
      </c>
      <c r="I1270">
        <v>282.84359999999998</v>
      </c>
      <c r="J1270">
        <v>-193.40880000000001</v>
      </c>
      <c r="K1270">
        <v>1.107216</v>
      </c>
      <c r="L1270">
        <v>301.01799999999997</v>
      </c>
      <c r="M1270">
        <v>-0.14827460000000001</v>
      </c>
      <c r="N1270">
        <v>0</v>
      </c>
      <c r="O1270">
        <v>-0.98884910000000004</v>
      </c>
      <c r="P1270">
        <v>-0.33193810000000001</v>
      </c>
      <c r="Q1270">
        <v>-4.887474E-2</v>
      </c>
      <c r="R1270">
        <v>-0.9420345</v>
      </c>
      <c r="S1270">
        <v>-1.5248569999999999</v>
      </c>
      <c r="T1270">
        <v>-0.1589516</v>
      </c>
      <c r="U1270">
        <v>-2.641937</v>
      </c>
      <c r="V1270">
        <v>0.18832209999999999</v>
      </c>
      <c r="W1270">
        <v>-3.6593380000000002E-2</v>
      </c>
      <c r="X1270">
        <v>0.98142529999999994</v>
      </c>
      <c r="Y1270">
        <v>0.36522529999999997</v>
      </c>
      <c r="Z1270">
        <v>5.2923860000000003E-2</v>
      </c>
      <c r="AA1270">
        <v>0.92941359999999995</v>
      </c>
      <c r="AB1270">
        <v>23</v>
      </c>
      <c r="AC1270">
        <v>-10.5839</v>
      </c>
      <c r="AD1270">
        <v>-1.107211857424</v>
      </c>
      <c r="AE1270">
        <v>-18.174399999999899</v>
      </c>
      <c r="AF1270">
        <v>7.7503444230963003</v>
      </c>
      <c r="AG1270">
        <v>-1.107211857424</v>
      </c>
      <c r="AH1270">
        <v>19.488925961026499</v>
      </c>
      <c r="AI1270">
        <v>93.021901438769802</v>
      </c>
      <c r="AJ1270">
        <v>68.313303247046605</v>
      </c>
      <c r="AK1270">
        <v>21.0026663042627</v>
      </c>
      <c r="AL1270">
        <v>92.097114538436699</v>
      </c>
      <c r="AM1270">
        <v>79.137755993862498</v>
      </c>
      <c r="AN1270">
        <v>0.99999995414416099</v>
      </c>
    </row>
    <row r="1271" spans="1:40" x14ac:dyDescent="0.25">
      <c r="A1271" t="str">
        <f>"20190312161250085"</f>
        <v>20190312161250085</v>
      </c>
      <c r="B1271" t="str">
        <f>"1552378370077286"</f>
        <v>1552378370077286</v>
      </c>
      <c r="C1271" t="s">
        <v>40</v>
      </c>
      <c r="D1271">
        <v>7.1149849999999999</v>
      </c>
      <c r="E1271">
        <v>0.57210399999999995</v>
      </c>
      <c r="F1271" t="s">
        <v>63</v>
      </c>
      <c r="G1271">
        <v>-204.1738</v>
      </c>
      <c r="H1271" s="1">
        <v>4.241861E-6</v>
      </c>
      <c r="I1271">
        <v>282.62619999999998</v>
      </c>
      <c r="J1271">
        <v>-193.4486</v>
      </c>
      <c r="K1271">
        <v>1.107111</v>
      </c>
      <c r="L1271">
        <v>300.78800000000001</v>
      </c>
      <c r="M1271">
        <v>-0.15294059999999901</v>
      </c>
      <c r="N1271">
        <v>0</v>
      </c>
      <c r="O1271">
        <v>-0.98813810000000002</v>
      </c>
      <c r="P1271">
        <v>-0.33621040000000002</v>
      </c>
      <c r="Q1271">
        <v>-4.9110170000000002E-2</v>
      </c>
      <c r="R1271">
        <v>-0.94050599999999995</v>
      </c>
      <c r="S1271">
        <v>-1.54129</v>
      </c>
      <c r="T1271">
        <v>-0.1585261</v>
      </c>
      <c r="U1271">
        <v>-2.63327</v>
      </c>
      <c r="V1271">
        <v>0.1881351</v>
      </c>
      <c r="W1271">
        <v>-3.6865849999999999E-2</v>
      </c>
      <c r="X1271">
        <v>0.98145099999999996</v>
      </c>
      <c r="Y1271">
        <v>0.36649080000000001</v>
      </c>
      <c r="Z1271">
        <v>5.278393E-2</v>
      </c>
      <c r="AA1271">
        <v>0.92892319999999995</v>
      </c>
      <c r="AB1271">
        <v>23</v>
      </c>
      <c r="AC1271">
        <v>-10.725199999999999</v>
      </c>
      <c r="AD1271">
        <v>-1.1071067581389999</v>
      </c>
      <c r="AE1271">
        <v>-18.161799999999999</v>
      </c>
      <c r="AF1271">
        <v>7.7995655888273996</v>
      </c>
      <c r="AG1271">
        <v>-1.1071067581389999</v>
      </c>
      <c r="AH1271">
        <v>19.534748364878599</v>
      </c>
      <c r="AI1271">
        <v>93.012898981937099</v>
      </c>
      <c r="AJ1271">
        <v>68.234842073991601</v>
      </c>
      <c r="AK1271">
        <v>21.063363986492401</v>
      </c>
      <c r="AL1271">
        <v>92.112736393802805</v>
      </c>
      <c r="AM1271">
        <v>79.148563174600596</v>
      </c>
      <c r="AN1271">
        <v>0.99999998607461604</v>
      </c>
    </row>
    <row r="1272" spans="1:40" x14ac:dyDescent="0.25">
      <c r="A1272" t="str">
        <f>"20190312161250107"</f>
        <v>20190312161250107</v>
      </c>
      <c r="B1272" t="str">
        <f>"1552378370096805"</f>
        <v>1552378370096805</v>
      </c>
      <c r="C1272" t="s">
        <v>40</v>
      </c>
      <c r="D1272">
        <v>6.309704</v>
      </c>
      <c r="E1272">
        <v>0.57160610000000001</v>
      </c>
      <c r="F1272" t="s">
        <v>63</v>
      </c>
      <c r="G1272">
        <v>-204.08930000000001</v>
      </c>
      <c r="H1272" s="1">
        <v>4.1935230000000002E-6</v>
      </c>
      <c r="I1272">
        <v>282.75080000000003</v>
      </c>
      <c r="J1272">
        <v>-193.48920000000001</v>
      </c>
      <c r="K1272">
        <v>1.1069990000000001</v>
      </c>
      <c r="L1272">
        <v>300.56119999999999</v>
      </c>
      <c r="M1272">
        <v>-0.15771370000000001</v>
      </c>
      <c r="N1272">
        <v>0</v>
      </c>
      <c r="O1272">
        <v>-0.98738709999999996</v>
      </c>
      <c r="P1272">
        <v>-0.34035199999999999</v>
      </c>
      <c r="Q1272">
        <v>-4.9108600000000002E-2</v>
      </c>
      <c r="R1272">
        <v>-0.93901500000000004</v>
      </c>
      <c r="S1272">
        <v>-1.5498959999999999</v>
      </c>
      <c r="T1272">
        <v>-0.16125809999999999</v>
      </c>
      <c r="U1272">
        <v>-2.6272579999999999</v>
      </c>
      <c r="V1272">
        <v>0.18770829999999999</v>
      </c>
      <c r="W1272">
        <v>-3.6900620000000002E-2</v>
      </c>
      <c r="X1272">
        <v>0.98153140000000005</v>
      </c>
      <c r="Y1272">
        <v>0.36515690000000001</v>
      </c>
      <c r="Z1272">
        <v>5.3707739999999997E-2</v>
      </c>
      <c r="AA1272">
        <v>0.92939550000000004</v>
      </c>
      <c r="AB1272">
        <v>23</v>
      </c>
      <c r="AC1272">
        <v>-10.6000999999999</v>
      </c>
      <c r="AD1272">
        <v>-1.1069948064769899</v>
      </c>
      <c r="AE1272">
        <v>-17.810399999999898</v>
      </c>
      <c r="AF1272">
        <v>7.6364130380869399</v>
      </c>
      <c r="AG1272">
        <v>-1.1069948064769899</v>
      </c>
      <c r="AH1272">
        <v>19.204614984793601</v>
      </c>
      <c r="AI1272">
        <v>93.066001246121502</v>
      </c>
      <c r="AJ1272">
        <v>68.315536105606697</v>
      </c>
      <c r="AK1272">
        <v>20.696798745313</v>
      </c>
      <c r="AL1272">
        <v>92.114729947069705</v>
      </c>
      <c r="AM1272">
        <v>79.173463954657095</v>
      </c>
      <c r="AN1272">
        <v>0.99999997541561603</v>
      </c>
    </row>
    <row r="1273" spans="1:40" x14ac:dyDescent="0.25">
      <c r="A1273" t="str">
        <f>"20190312161250129"</f>
        <v>20190312161250129</v>
      </c>
      <c r="B1273" t="str">
        <f>"1552378370127061"</f>
        <v>1552378370127061</v>
      </c>
      <c r="C1273" t="s">
        <v>40</v>
      </c>
      <c r="D1273">
        <v>6.2810670000000002</v>
      </c>
      <c r="E1273">
        <v>0.57198159999999998</v>
      </c>
      <c r="F1273" t="s">
        <v>63</v>
      </c>
      <c r="G1273">
        <v>-203.69049999999999</v>
      </c>
      <c r="H1273" s="1">
        <v>3.9609599999999996E-6</v>
      </c>
      <c r="I1273">
        <v>283.38810000000001</v>
      </c>
      <c r="J1273">
        <v>-193.53129999999999</v>
      </c>
      <c r="K1273">
        <v>1.106884</v>
      </c>
      <c r="L1273">
        <v>300.334</v>
      </c>
      <c r="M1273">
        <v>-0.16268279999999999</v>
      </c>
      <c r="N1273">
        <v>0</v>
      </c>
      <c r="O1273">
        <v>-0.98658069999999998</v>
      </c>
      <c r="P1273">
        <v>-0.34504829999999997</v>
      </c>
      <c r="Q1273">
        <v>-4.9572749999999999E-2</v>
      </c>
      <c r="R1273">
        <v>-0.93727530000000003</v>
      </c>
      <c r="S1273">
        <v>-1.5572969999999999</v>
      </c>
      <c r="T1273">
        <v>-0.16899</v>
      </c>
      <c r="U1273">
        <v>-2.6215820000000001</v>
      </c>
      <c r="V1273">
        <v>0.18767039999999999</v>
      </c>
      <c r="W1273">
        <v>-3.7406139999999997E-2</v>
      </c>
      <c r="X1273">
        <v>0.98151949999999999</v>
      </c>
      <c r="Y1273">
        <v>0.36321920000000002</v>
      </c>
      <c r="Z1273">
        <v>5.6293709999999997E-2</v>
      </c>
      <c r="AA1273">
        <v>0.93000159999999998</v>
      </c>
      <c r="AB1273">
        <v>23</v>
      </c>
      <c r="AC1273">
        <v>-10.159199999999901</v>
      </c>
      <c r="AD1273">
        <v>-1.10688003904</v>
      </c>
      <c r="AE1273">
        <v>-16.945899999999899</v>
      </c>
      <c r="AF1273">
        <v>7.2440294896152402</v>
      </c>
      <c r="AG1273">
        <v>-1.10688003904</v>
      </c>
      <c r="AH1273">
        <v>18.3155133418323</v>
      </c>
      <c r="AI1273">
        <v>93.216530653375202</v>
      </c>
      <c r="AJ1273">
        <v>68.420542990502994</v>
      </c>
      <c r="AK1273">
        <v>19.727117773310901</v>
      </c>
      <c r="AL1273">
        <v>92.143714147269193</v>
      </c>
      <c r="AM1273">
        <v>79.175470146264402</v>
      </c>
      <c r="AN1273">
        <v>0.99999996361305399</v>
      </c>
    </row>
    <row r="1274" spans="1:40" x14ac:dyDescent="0.25">
      <c r="A1274" t="str">
        <f>"20190312161250156"</f>
        <v>20190312161250156</v>
      </c>
      <c r="B1274" t="str">
        <f>"1552378370146582"</f>
        <v>1552378370146582</v>
      </c>
      <c r="C1274" t="s">
        <v>40</v>
      </c>
      <c r="D1274">
        <v>6.1350619999999996</v>
      </c>
      <c r="E1274">
        <v>0.57259729999999998</v>
      </c>
      <c r="F1274" t="s">
        <v>63</v>
      </c>
      <c r="G1274">
        <v>-203.24180000000001</v>
      </c>
      <c r="H1274" s="1">
        <v>3.6905890000000002E-6</v>
      </c>
      <c r="I1274">
        <v>284.20440000000002</v>
      </c>
      <c r="J1274">
        <v>-193.58260000000001</v>
      </c>
      <c r="K1274">
        <v>1.1067469999999999</v>
      </c>
      <c r="L1274">
        <v>300.06709999999998</v>
      </c>
      <c r="M1274">
        <v>-0.16877529999999999</v>
      </c>
      <c r="N1274">
        <v>0</v>
      </c>
      <c r="O1274">
        <v>-0.9855564</v>
      </c>
      <c r="P1274">
        <v>-0.35050809999999999</v>
      </c>
      <c r="Q1274">
        <v>-4.9742889999999998E-2</v>
      </c>
      <c r="R1274">
        <v>-0.93523809999999996</v>
      </c>
      <c r="S1274">
        <v>-1.5726929999999999</v>
      </c>
      <c r="T1274">
        <v>-0.17926909999999999</v>
      </c>
      <c r="U1274">
        <v>-2.6123349999999999</v>
      </c>
      <c r="V1274">
        <v>0.18731819999999999</v>
      </c>
      <c r="W1274">
        <v>-3.7619479999999997E-2</v>
      </c>
      <c r="X1274">
        <v>0.98157859999999997</v>
      </c>
      <c r="Y1274">
        <v>0.36283860000000001</v>
      </c>
      <c r="Z1274">
        <v>5.9712639999999997E-2</v>
      </c>
      <c r="AA1274">
        <v>0.92993689999999996</v>
      </c>
      <c r="AB1274">
        <v>23</v>
      </c>
      <c r="AC1274">
        <v>-9.6591999999999896</v>
      </c>
      <c r="AD1274">
        <v>-1.106743309411</v>
      </c>
      <c r="AE1274">
        <v>-15.862699999999901</v>
      </c>
      <c r="AF1274">
        <v>6.8189015433656399</v>
      </c>
      <c r="AG1274">
        <v>-1.106743309411</v>
      </c>
      <c r="AH1274">
        <v>17.204394899196</v>
      </c>
      <c r="AI1274">
        <v>93.422390213281801</v>
      </c>
      <c r="AJ1274">
        <v>68.379275014403902</v>
      </c>
      <c r="AK1274">
        <v>18.5395119369017</v>
      </c>
      <c r="AL1274">
        <v>92.155946288461095</v>
      </c>
      <c r="AM1274">
        <v>79.195941086620905</v>
      </c>
      <c r="AN1274">
        <v>0.999999940652333</v>
      </c>
    </row>
    <row r="1275" spans="1:40" x14ac:dyDescent="0.25">
      <c r="A1275" t="str">
        <f>"20190312161250172"</f>
        <v>20190312161250172</v>
      </c>
      <c r="B1275" t="str">
        <f>"1552378370167077"</f>
        <v>1552378370167077</v>
      </c>
      <c r="C1275" t="s">
        <v>40</v>
      </c>
      <c r="D1275">
        <v>6.1828200000000004</v>
      </c>
      <c r="E1275">
        <v>0.57313409999999998</v>
      </c>
      <c r="F1275" t="s">
        <v>63</v>
      </c>
      <c r="G1275">
        <v>-203.4451</v>
      </c>
      <c r="H1275" s="1">
        <v>3.8024670000000002E-6</v>
      </c>
      <c r="I1275">
        <v>283.95609999999999</v>
      </c>
      <c r="J1275">
        <v>-193.61660000000001</v>
      </c>
      <c r="K1275">
        <v>1.106671</v>
      </c>
      <c r="L1275">
        <v>299.89530000000002</v>
      </c>
      <c r="M1275">
        <v>-0.17280589999999901</v>
      </c>
      <c r="N1275">
        <v>0</v>
      </c>
      <c r="O1275">
        <v>-0.98485769999999995</v>
      </c>
      <c r="P1275">
        <v>-0.3547632</v>
      </c>
      <c r="Q1275">
        <v>-4.9878619999999999E-2</v>
      </c>
      <c r="R1275">
        <v>-0.93362489999999998</v>
      </c>
      <c r="S1275">
        <v>-1.592484</v>
      </c>
      <c r="T1275">
        <v>-0.17870449999999999</v>
      </c>
      <c r="U1275">
        <v>-2.60141</v>
      </c>
      <c r="V1275">
        <v>0.18776509999999999</v>
      </c>
      <c r="W1275">
        <v>-3.7786269999999997E-2</v>
      </c>
      <c r="X1275">
        <v>0.98148690000000005</v>
      </c>
      <c r="Y1275">
        <v>0.36591869999999999</v>
      </c>
      <c r="Z1275">
        <v>5.9527969999999999E-2</v>
      </c>
      <c r="AA1275">
        <v>0.92874100000000004</v>
      </c>
      <c r="AB1275">
        <v>23</v>
      </c>
      <c r="AC1275">
        <v>-9.8284999999999894</v>
      </c>
      <c r="AD1275">
        <v>-1.106667197533</v>
      </c>
      <c r="AE1275">
        <v>-15.9392</v>
      </c>
      <c r="AF1275">
        <v>6.9018504667147198</v>
      </c>
      <c r="AG1275">
        <v>-1.106667197533</v>
      </c>
      <c r="AH1275">
        <v>17.337396497358998</v>
      </c>
      <c r="AI1275">
        <v>93.393938027108902</v>
      </c>
      <c r="AJ1275">
        <v>68.292975110498801</v>
      </c>
      <c r="AK1275">
        <v>18.693463281522298</v>
      </c>
      <c r="AL1275">
        <v>92.165509247327293</v>
      </c>
      <c r="AM1275">
        <v>79.169785936037101</v>
      </c>
      <c r="AN1275">
        <v>1.00000003492506</v>
      </c>
    </row>
    <row r="1276" spans="1:40" x14ac:dyDescent="0.25">
      <c r="A1276" t="str">
        <f>"20190312161250196"</f>
        <v>20190312161250196</v>
      </c>
      <c r="B1276" t="str">
        <f>"1552378370186598"</f>
        <v>1552378370186598</v>
      </c>
      <c r="C1276" t="s">
        <v>40</v>
      </c>
      <c r="D1276">
        <v>6.157203</v>
      </c>
      <c r="E1276">
        <v>0.57322269999999997</v>
      </c>
      <c r="F1276" t="s">
        <v>63</v>
      </c>
      <c r="G1276">
        <v>-203.596</v>
      </c>
      <c r="H1276" s="1">
        <v>3.8821359999999998E-6</v>
      </c>
      <c r="I1276">
        <v>283.81029999999998</v>
      </c>
      <c r="J1276">
        <v>-193.6644</v>
      </c>
      <c r="K1276">
        <v>1.1065849999999999</v>
      </c>
      <c r="L1276">
        <v>299.66120000000001</v>
      </c>
      <c r="M1276">
        <v>-0.1784579</v>
      </c>
      <c r="N1276">
        <v>0</v>
      </c>
      <c r="O1276">
        <v>-0.98384899999999997</v>
      </c>
      <c r="P1276">
        <v>-0.3601491</v>
      </c>
      <c r="Q1276">
        <v>-4.9302970000000002E-2</v>
      </c>
      <c r="R1276">
        <v>-0.93159110000000001</v>
      </c>
      <c r="S1276">
        <v>-1.60849</v>
      </c>
      <c r="T1276">
        <v>-0.17837420000000001</v>
      </c>
      <c r="U1276">
        <v>-2.59259</v>
      </c>
      <c r="V1276">
        <v>0.18778890000000001</v>
      </c>
      <c r="W1276">
        <v>-3.724181E-2</v>
      </c>
      <c r="X1276">
        <v>0.98150309999999996</v>
      </c>
      <c r="Y1276">
        <v>0.36613780000000001</v>
      </c>
      <c r="Z1276">
        <v>5.9406140000000003E-2</v>
      </c>
      <c r="AA1276">
        <v>0.92866249999999995</v>
      </c>
      <c r="AB1276">
        <v>23</v>
      </c>
      <c r="AC1276">
        <v>-9.9315999999999693</v>
      </c>
      <c r="AD1276">
        <v>-1.1065811178639999</v>
      </c>
      <c r="AE1276">
        <v>-15.850899999999999</v>
      </c>
      <c r="AF1276">
        <v>6.9189350649005199</v>
      </c>
      <c r="AG1276">
        <v>-1.1065811178639999</v>
      </c>
      <c r="AH1276">
        <v>17.308373703179701</v>
      </c>
      <c r="AI1276">
        <v>93.3974212512924</v>
      </c>
      <c r="AJ1276">
        <v>68.211189043312999</v>
      </c>
      <c r="AK1276">
        <v>18.672867601191999</v>
      </c>
      <c r="AL1276">
        <v>92.134292132811893</v>
      </c>
      <c r="AM1276">
        <v>79.168620183035898</v>
      </c>
      <c r="AN1276">
        <v>0.999999979342447</v>
      </c>
    </row>
    <row r="1277" spans="1:40" x14ac:dyDescent="0.25">
      <c r="A1277" t="str">
        <f>"20190312161250217"</f>
        <v>20190312161250217</v>
      </c>
      <c r="B1277" t="str">
        <f>"1552378370207093"</f>
        <v>1552378370207093</v>
      </c>
      <c r="C1277" t="s">
        <v>40</v>
      </c>
      <c r="D1277">
        <v>6.4054690000000001</v>
      </c>
      <c r="E1277">
        <v>0.57338990000000001</v>
      </c>
      <c r="F1277" t="s">
        <v>63</v>
      </c>
      <c r="G1277">
        <v>-203.41900000000001</v>
      </c>
      <c r="H1277" s="1">
        <v>3.7744510000000002E-6</v>
      </c>
      <c r="I1277">
        <v>284.14420000000001</v>
      </c>
      <c r="J1277">
        <v>-193.71180000000001</v>
      </c>
      <c r="K1277">
        <v>1.1064940000000001</v>
      </c>
      <c r="L1277">
        <v>299.43650000000002</v>
      </c>
      <c r="M1277">
        <v>-0.18405450000000001</v>
      </c>
      <c r="N1277">
        <v>0</v>
      </c>
      <c r="O1277">
        <v>-0.98281719999999895</v>
      </c>
      <c r="P1277">
        <v>-0.3650275</v>
      </c>
      <c r="Q1277">
        <v>-4.8951410000000001E-2</v>
      </c>
      <c r="R1277">
        <v>-0.92970929999999996</v>
      </c>
      <c r="S1277">
        <v>-1.6236569999999999</v>
      </c>
      <c r="T1277">
        <v>-0.1841913</v>
      </c>
      <c r="U1277">
        <v>-2.5828250000000001</v>
      </c>
      <c r="V1277">
        <v>0.1873397</v>
      </c>
      <c r="W1277">
        <v>-3.6914269999999999E-2</v>
      </c>
      <c r="X1277">
        <v>0.98160139999999996</v>
      </c>
      <c r="Y1277">
        <v>0.3662707</v>
      </c>
      <c r="Z1277">
        <v>6.1344620000000002E-2</v>
      </c>
      <c r="AA1277">
        <v>0.92848410000000003</v>
      </c>
      <c r="AB1277">
        <v>23</v>
      </c>
      <c r="AC1277">
        <v>-9.7072000000000003</v>
      </c>
      <c r="AD1277">
        <v>-1.1064902255489999</v>
      </c>
      <c r="AE1277">
        <v>-15.292299999999999</v>
      </c>
      <c r="AF1277">
        <v>6.7014320571997796</v>
      </c>
      <c r="AG1277">
        <v>-1.1064902255489999</v>
      </c>
      <c r="AH1277">
        <v>16.755296979882299</v>
      </c>
      <c r="AI1277">
        <v>93.508745347733097</v>
      </c>
      <c r="AJ1277">
        <v>68.200614966548002</v>
      </c>
      <c r="AK1277">
        <v>18.079642947817099</v>
      </c>
      <c r="AL1277">
        <v>92.115512372785602</v>
      </c>
      <c r="AM1277">
        <v>79.194975280454202</v>
      </c>
      <c r="AN1277">
        <v>1.0000000675038301</v>
      </c>
    </row>
    <row r="1278" spans="1:40" x14ac:dyDescent="0.25">
      <c r="A1278" t="str">
        <f>"20190312161250242"</f>
        <v>20190312161250242</v>
      </c>
      <c r="B1278" t="str">
        <f>"1552378370237350"</f>
        <v>1552378370237350</v>
      </c>
      <c r="C1278" t="s">
        <v>40</v>
      </c>
      <c r="D1278">
        <v>5.8815569999999999</v>
      </c>
      <c r="E1278">
        <v>0.57475350000000003</v>
      </c>
      <c r="F1278" t="s">
        <v>63</v>
      </c>
      <c r="G1278">
        <v>-203.28829999999999</v>
      </c>
      <c r="H1278" s="1">
        <v>3.6947470000000002E-6</v>
      </c>
      <c r="I1278">
        <v>284.39260000000002</v>
      </c>
      <c r="J1278">
        <v>-193.7619</v>
      </c>
      <c r="K1278">
        <v>1.1063970000000001</v>
      </c>
      <c r="L1278">
        <v>299.20580000000001</v>
      </c>
      <c r="M1278">
        <v>-0.18997900000000001</v>
      </c>
      <c r="N1278">
        <v>0</v>
      </c>
      <c r="O1278">
        <v>-0.98168900000000003</v>
      </c>
      <c r="P1278">
        <v>-0.37028899999999998</v>
      </c>
      <c r="Q1278">
        <v>-4.9266669999999999E-2</v>
      </c>
      <c r="R1278">
        <v>-0.92760960000000003</v>
      </c>
      <c r="S1278">
        <v>-1.6382749999999999</v>
      </c>
      <c r="T1278">
        <v>-0.18929090000000001</v>
      </c>
      <c r="U1278">
        <v>-2.5736080000000001</v>
      </c>
      <c r="V1278">
        <v>0.18697259999999999</v>
      </c>
      <c r="W1278">
        <v>-3.7256930000000001E-2</v>
      </c>
      <c r="X1278">
        <v>0.98165840000000004</v>
      </c>
      <c r="Y1278">
        <v>0.36586220000000003</v>
      </c>
      <c r="Z1278">
        <v>6.303359E-2</v>
      </c>
      <c r="AA1278">
        <v>0.92853200000000002</v>
      </c>
      <c r="AB1278">
        <v>23</v>
      </c>
      <c r="AC1278">
        <v>-9.52639999999999</v>
      </c>
      <c r="AD1278">
        <v>-1.1063933052529999</v>
      </c>
      <c r="AE1278">
        <v>-14.813199999999901</v>
      </c>
      <c r="AF1278">
        <v>6.51269996580299</v>
      </c>
      <c r="AG1278">
        <v>-1.1063933052529999</v>
      </c>
      <c r="AH1278">
        <v>16.289080225993501</v>
      </c>
      <c r="AI1278">
        <v>93.608766145206403</v>
      </c>
      <c r="AJ1278">
        <v>68.207482063260898</v>
      </c>
      <c r="AK1278">
        <v>17.5776420944145</v>
      </c>
      <c r="AL1278">
        <v>92.135158953100998</v>
      </c>
      <c r="AM1278">
        <v>79.216262679957097</v>
      </c>
      <c r="AN1278">
        <v>1.00000002313717</v>
      </c>
    </row>
    <row r="1279" spans="1:40" x14ac:dyDescent="0.25">
      <c r="A1279" t="str">
        <f>"20190312161250263"</f>
        <v>20190312161250263</v>
      </c>
      <c r="B1279" t="str">
        <f>"1552378370256869"</f>
        <v>1552378370256869</v>
      </c>
      <c r="C1279" t="s">
        <v>40</v>
      </c>
      <c r="D1279">
        <v>5.8600479999999999</v>
      </c>
      <c r="E1279">
        <v>0.57536799999999999</v>
      </c>
      <c r="F1279" t="s">
        <v>63</v>
      </c>
      <c r="G1279">
        <v>-204.05090000000001</v>
      </c>
      <c r="H1279" s="1">
        <v>4.1225139999999999E-6</v>
      </c>
      <c r="I1279">
        <v>283.36790000000002</v>
      </c>
      <c r="J1279">
        <v>-193.81180000000001</v>
      </c>
      <c r="K1279">
        <v>1.1062909999999999</v>
      </c>
      <c r="L1279">
        <v>298.98390000000001</v>
      </c>
      <c r="M1279">
        <v>-0.19585720000000001</v>
      </c>
      <c r="N1279">
        <v>0</v>
      </c>
      <c r="O1279">
        <v>-0.98053299999999999</v>
      </c>
      <c r="P1279">
        <v>-0.37567820000000002</v>
      </c>
      <c r="Q1279">
        <v>-4.9984290000000001E-2</v>
      </c>
      <c r="R1279">
        <v>-0.92540100000000003</v>
      </c>
      <c r="S1279">
        <v>-1.66346699999999</v>
      </c>
      <c r="T1279">
        <v>-0.17887700000000001</v>
      </c>
      <c r="U1279">
        <v>-2.5606080000000002</v>
      </c>
      <c r="V1279">
        <v>0.18679270000000001</v>
      </c>
      <c r="W1279">
        <v>-3.8006860000000003E-2</v>
      </c>
      <c r="X1279">
        <v>0.98166390000000003</v>
      </c>
      <c r="Y1279">
        <v>0.36898930000000002</v>
      </c>
      <c r="Z1279">
        <v>5.9542890000000001E-2</v>
      </c>
      <c r="AA1279">
        <v>0.92752440000000003</v>
      </c>
      <c r="AB1279">
        <v>23</v>
      </c>
      <c r="AC1279">
        <v>-10.239100000000001</v>
      </c>
      <c r="AD1279">
        <v>-1.106286877486</v>
      </c>
      <c r="AE1279">
        <v>-15.6159999999999</v>
      </c>
      <c r="AF1279">
        <v>6.9575304499817401</v>
      </c>
      <c r="AG1279">
        <v>-1.106286877486</v>
      </c>
      <c r="AH1279">
        <v>17.258519061725099</v>
      </c>
      <c r="AI1279">
        <v>93.402326707787395</v>
      </c>
      <c r="AJ1279">
        <v>68.043861721284998</v>
      </c>
      <c r="AK1279">
        <v>18.6410187710235</v>
      </c>
      <c r="AL1279">
        <v>92.178157233536297</v>
      </c>
      <c r="AM1279">
        <v>79.226454488771196</v>
      </c>
      <c r="AN1279">
        <v>1.0000000233717701</v>
      </c>
    </row>
    <row r="1280" spans="1:40" x14ac:dyDescent="0.25">
      <c r="A1280" t="str">
        <f>"20190312161250284"</f>
        <v>20190312161250284</v>
      </c>
      <c r="B1280" t="str">
        <f>"1552378370277366"</f>
        <v>1552378370277366</v>
      </c>
      <c r="C1280" t="s">
        <v>40</v>
      </c>
      <c r="D1280">
        <v>6.4966619999999997</v>
      </c>
      <c r="E1280">
        <v>0.5754418</v>
      </c>
      <c r="F1280" t="s">
        <v>63</v>
      </c>
      <c r="G1280">
        <v>-204.55369999999999</v>
      </c>
      <c r="H1280" s="1">
        <v>4.4025249999999998E-6</v>
      </c>
      <c r="I1280">
        <v>282.7158</v>
      </c>
      <c r="J1280">
        <v>-193.86019999999999</v>
      </c>
      <c r="K1280">
        <v>1.106179</v>
      </c>
      <c r="L1280">
        <v>298.77530000000002</v>
      </c>
      <c r="M1280">
        <v>-0.20155780000000001</v>
      </c>
      <c r="N1280">
        <v>0</v>
      </c>
      <c r="O1280">
        <v>-0.97937689999999999</v>
      </c>
      <c r="P1280">
        <v>-0.38123970000000001</v>
      </c>
      <c r="Q1280">
        <v>-5.0432539999999998E-2</v>
      </c>
      <c r="R1280">
        <v>-0.92309980000000003</v>
      </c>
      <c r="S1280">
        <v>-1.6832279999999999</v>
      </c>
      <c r="T1280">
        <v>-0.17335159999999999</v>
      </c>
      <c r="U1280">
        <v>-2.5491640000000002</v>
      </c>
      <c r="V1280">
        <v>0.18697949999999999</v>
      </c>
      <c r="W1280">
        <v>-3.8493920000000001E-2</v>
      </c>
      <c r="X1280">
        <v>0.98160930000000002</v>
      </c>
      <c r="Y1280">
        <v>0.37056840000000002</v>
      </c>
      <c r="Z1280">
        <v>5.769233E-2</v>
      </c>
      <c r="AA1280">
        <v>0.92701169999999999</v>
      </c>
      <c r="AB1280">
        <v>23</v>
      </c>
      <c r="AC1280">
        <v>-10.6935</v>
      </c>
      <c r="AD1280">
        <v>-1.1061745974749999</v>
      </c>
      <c r="AE1280">
        <v>-16.0595</v>
      </c>
      <c r="AF1280">
        <v>7.2130467915929399</v>
      </c>
      <c r="AG1280">
        <v>-1.1061745974749999</v>
      </c>
      <c r="AH1280">
        <v>17.826811480455699</v>
      </c>
      <c r="AI1280">
        <v>93.292084042816697</v>
      </c>
      <c r="AJ1280">
        <v>67.970863453366206</v>
      </c>
      <c r="AK1280">
        <v>19.262577029502399</v>
      </c>
      <c r="AL1280">
        <v>92.206084278206603</v>
      </c>
      <c r="AM1280">
        <v>79.2153472811423</v>
      </c>
      <c r="AN1280">
        <v>0.99999996657185197</v>
      </c>
    </row>
    <row r="1281" spans="1:40" x14ac:dyDescent="0.25">
      <c r="A1281" t="str">
        <f>"20190312161250307"</f>
        <v>20190312161250307</v>
      </c>
      <c r="B1281" t="str">
        <f>"1552378370296886"</f>
        <v>1552378370296886</v>
      </c>
      <c r="C1281" t="s">
        <v>40</v>
      </c>
      <c r="D1281">
        <v>6.572247</v>
      </c>
      <c r="E1281">
        <v>0.57571099999999997</v>
      </c>
      <c r="F1281" t="s">
        <v>63</v>
      </c>
      <c r="G1281">
        <v>-204.27180000000001</v>
      </c>
      <c r="H1281" s="1">
        <v>4.2337769999999996E-6</v>
      </c>
      <c r="I1281">
        <v>283.2158</v>
      </c>
      <c r="J1281">
        <v>-193.9161</v>
      </c>
      <c r="K1281">
        <v>1.106053</v>
      </c>
      <c r="L1281">
        <v>298.5412</v>
      </c>
      <c r="M1281">
        <v>-0.20816219999999999</v>
      </c>
      <c r="N1281">
        <v>0</v>
      </c>
      <c r="O1281">
        <v>-0.97799409999999998</v>
      </c>
      <c r="P1281">
        <v>-0.38767079999999998</v>
      </c>
      <c r="Q1281">
        <v>-5.0321940000000003E-2</v>
      </c>
      <c r="R1281">
        <v>-0.9204234</v>
      </c>
      <c r="S1281">
        <v>-1.69866899999999</v>
      </c>
      <c r="T1281">
        <v>-0.18047389999999999</v>
      </c>
      <c r="U1281">
        <v>-2.5385439999999999</v>
      </c>
      <c r="V1281">
        <v>0.1871912</v>
      </c>
      <c r="W1281">
        <v>-3.8430350000000002E-2</v>
      </c>
      <c r="X1281">
        <v>0.98157150000000004</v>
      </c>
      <c r="Y1281">
        <v>0.36991089999999999</v>
      </c>
      <c r="Z1281">
        <v>6.0049760000000001E-2</v>
      </c>
      <c r="AA1281">
        <v>0.92712459999999997</v>
      </c>
      <c r="AB1281">
        <v>23</v>
      </c>
      <c r="AC1281">
        <v>-10.355700000000001</v>
      </c>
      <c r="AD1281">
        <v>-1.1060487662230001</v>
      </c>
      <c r="AE1281">
        <v>-15.3254</v>
      </c>
      <c r="AF1281">
        <v>6.9136023268413096</v>
      </c>
      <c r="AG1281">
        <v>-1.1060487662230001</v>
      </c>
      <c r="AH1281">
        <v>17.084404705041099</v>
      </c>
      <c r="AI1281">
        <v>93.434351125383799</v>
      </c>
      <c r="AJ1281">
        <v>67.968135529874701</v>
      </c>
      <c r="AK1281">
        <v>18.463426689880801</v>
      </c>
      <c r="AL1281">
        <v>92.202439163110398</v>
      </c>
      <c r="AM1281">
        <v>79.203017638456799</v>
      </c>
      <c r="AN1281">
        <v>1.0000000233854001</v>
      </c>
    </row>
    <row r="1282" spans="1:40" x14ac:dyDescent="0.25">
      <c r="A1282" t="str">
        <f>"20190312161250332"</f>
        <v>20190312161250332</v>
      </c>
      <c r="B1282" t="str">
        <f>"1552378370327142"</f>
        <v>1552378370327142</v>
      </c>
      <c r="C1282" t="s">
        <v>40</v>
      </c>
      <c r="D1282">
        <v>6.4375239999999998</v>
      </c>
      <c r="E1282">
        <v>0.57597109999999996</v>
      </c>
      <c r="F1282" t="s">
        <v>63</v>
      </c>
      <c r="G1282">
        <v>-204.2527</v>
      </c>
      <c r="H1282" s="1">
        <v>4.2139259999999999E-6</v>
      </c>
      <c r="I1282">
        <v>283.346</v>
      </c>
      <c r="J1282">
        <v>-193.97569999999999</v>
      </c>
      <c r="K1282">
        <v>1.1059099999999999</v>
      </c>
      <c r="L1282">
        <v>298.30149999999998</v>
      </c>
      <c r="M1282">
        <v>-0.2152018</v>
      </c>
      <c r="N1282">
        <v>0</v>
      </c>
      <c r="O1282">
        <v>-0.97646909999999998</v>
      </c>
      <c r="P1282">
        <v>-0.39467010000000002</v>
      </c>
      <c r="Q1282">
        <v>-5.0283220000000003E-2</v>
      </c>
      <c r="R1282">
        <v>-0.91744630000000005</v>
      </c>
      <c r="S1282">
        <v>-1.71809399999999</v>
      </c>
      <c r="T1282">
        <v>-0.18384249999999999</v>
      </c>
      <c r="U1282">
        <v>-2.525665</v>
      </c>
      <c r="V1282">
        <v>0.18758279999999999</v>
      </c>
      <c r="W1282">
        <v>-3.8443409999999997E-2</v>
      </c>
      <c r="X1282">
        <v>0.98149620000000004</v>
      </c>
      <c r="Y1282">
        <v>0.37025560000000002</v>
      </c>
      <c r="Z1282">
        <v>6.1155269999999998E-2</v>
      </c>
      <c r="AA1282">
        <v>0.92691469999999998</v>
      </c>
      <c r="AB1282">
        <v>23</v>
      </c>
      <c r="AC1282">
        <v>-10.276999999999999</v>
      </c>
      <c r="AD1282">
        <v>-1.105905786074</v>
      </c>
      <c r="AE1282">
        <v>-14.955499999999899</v>
      </c>
      <c r="AF1282">
        <v>6.7921640213384604</v>
      </c>
      <c r="AG1282">
        <v>-1.105905786074</v>
      </c>
      <c r="AH1282">
        <v>16.7546328666396</v>
      </c>
      <c r="AI1282">
        <v>93.500458227869103</v>
      </c>
      <c r="AJ1282">
        <v>67.932848518169493</v>
      </c>
      <c r="AK1282">
        <v>18.112819830062801</v>
      </c>
      <c r="AL1282">
        <v>92.203188058335996</v>
      </c>
      <c r="AM1282">
        <v>79.180152698779096</v>
      </c>
      <c r="AN1282">
        <v>0.99999999662135397</v>
      </c>
    </row>
    <row r="1283" spans="1:40" x14ac:dyDescent="0.25">
      <c r="A1283" t="str">
        <f>"20190312161250352"</f>
        <v>20190312161250352</v>
      </c>
      <c r="B1283" t="str">
        <f>"1552378370346662"</f>
        <v>1552378370346662</v>
      </c>
      <c r="C1283" t="s">
        <v>40</v>
      </c>
      <c r="D1283">
        <v>5.8829409999999998</v>
      </c>
      <c r="E1283">
        <v>0.5758238</v>
      </c>
      <c r="F1283" t="s">
        <v>63</v>
      </c>
      <c r="G1283">
        <v>-204.06100000000001</v>
      </c>
      <c r="H1283" s="1">
        <v>4.094902E-6</v>
      </c>
      <c r="I1283">
        <v>283.7353</v>
      </c>
      <c r="J1283">
        <v>-194.0266</v>
      </c>
      <c r="K1283">
        <v>1.1057900000000001</v>
      </c>
      <c r="L1283">
        <v>298.10289999999998</v>
      </c>
      <c r="M1283">
        <v>-0.22122459999999999</v>
      </c>
      <c r="N1283">
        <v>0</v>
      </c>
      <c r="O1283">
        <v>-0.97512189999999999</v>
      </c>
      <c r="P1283">
        <v>-0.40081440000000002</v>
      </c>
      <c r="Q1283">
        <v>-4.9926999999999999E-2</v>
      </c>
      <c r="R1283">
        <v>-0.914798</v>
      </c>
      <c r="S1283">
        <v>-1.7388920000000001</v>
      </c>
      <c r="T1283">
        <v>-0.19067790000000001</v>
      </c>
      <c r="U1283">
        <v>-2.5114749999999999</v>
      </c>
      <c r="V1283">
        <v>0.1880956</v>
      </c>
      <c r="W1283">
        <v>-3.8131320000000003E-2</v>
      </c>
      <c r="X1283">
        <v>0.98141029999999996</v>
      </c>
      <c r="Y1283">
        <v>0.37208150000000001</v>
      </c>
      <c r="Z1283">
        <v>6.3421829999999998E-2</v>
      </c>
      <c r="AA1283">
        <v>0.92603080000000004</v>
      </c>
      <c r="AB1283">
        <v>23</v>
      </c>
      <c r="AC1283">
        <v>-10.0343999999999</v>
      </c>
      <c r="AD1283">
        <v>-1.1057859050979999</v>
      </c>
      <c r="AE1283">
        <v>-14.3675999999999</v>
      </c>
      <c r="AF1283">
        <v>6.5807465815909501</v>
      </c>
      <c r="AG1283">
        <v>-1.1057859050979999</v>
      </c>
      <c r="AH1283">
        <v>16.167247460881999</v>
      </c>
      <c r="AI1283">
        <v>93.624827879375005</v>
      </c>
      <c r="AJ1283">
        <v>67.851618993251705</v>
      </c>
      <c r="AK1283">
        <v>17.490250955901999</v>
      </c>
      <c r="AL1283">
        <v>92.1852933488655</v>
      </c>
      <c r="AM1283">
        <v>79.150348169258805</v>
      </c>
      <c r="AN1283">
        <v>1.0000000646251901</v>
      </c>
    </row>
    <row r="1284" spans="1:40" x14ac:dyDescent="0.25">
      <c r="A1284" t="str">
        <f>"20190312161250373"</f>
        <v>20190312161250373</v>
      </c>
      <c r="B1284" t="str">
        <f>"1552378370367158"</f>
        <v>1552378370367158</v>
      </c>
      <c r="C1284" t="s">
        <v>40</v>
      </c>
      <c r="D1284">
        <v>7.0487900000000003</v>
      </c>
      <c r="E1284">
        <v>0.57583519999999999</v>
      </c>
      <c r="F1284" t="s">
        <v>63</v>
      </c>
      <c r="G1284">
        <v>-204.21190000000001</v>
      </c>
      <c r="H1284" s="1">
        <v>4.1746230000000002E-6</v>
      </c>
      <c r="I1284">
        <v>283.58879999999999</v>
      </c>
      <c r="J1284">
        <v>-194.0838</v>
      </c>
      <c r="K1284">
        <v>1.105674</v>
      </c>
      <c r="L1284">
        <v>297.88650000000001</v>
      </c>
      <c r="M1284">
        <v>-0.2279709</v>
      </c>
      <c r="N1284">
        <v>0</v>
      </c>
      <c r="O1284">
        <v>-0.97356670000000001</v>
      </c>
      <c r="P1284">
        <v>-0.40760960000000002</v>
      </c>
      <c r="Q1284">
        <v>-5.0434239999999998E-2</v>
      </c>
      <c r="R1284">
        <v>-0.91176270000000004</v>
      </c>
      <c r="S1284">
        <v>-1.754578</v>
      </c>
      <c r="T1284">
        <v>-0.19048870000000001</v>
      </c>
      <c r="U1284">
        <v>-2.5002749999999998</v>
      </c>
      <c r="V1284">
        <v>0.18859239999999999</v>
      </c>
      <c r="W1284">
        <v>-3.8679350000000001E-2</v>
      </c>
      <c r="X1284">
        <v>0.98129339999999998</v>
      </c>
      <c r="Y1284">
        <v>0.371502</v>
      </c>
      <c r="Z1284">
        <v>6.3343570000000002E-2</v>
      </c>
      <c r="AA1284">
        <v>0.9262688</v>
      </c>
      <c r="AB1284">
        <v>23</v>
      </c>
      <c r="AC1284">
        <v>-10.1281</v>
      </c>
      <c r="AD1284">
        <v>-1.1056698253769901</v>
      </c>
      <c r="AE1284">
        <v>-14.297700000000001</v>
      </c>
      <c r="AF1284">
        <v>6.5753884849034501</v>
      </c>
      <c r="AG1284">
        <v>-1.1056698253769901</v>
      </c>
      <c r="AH1284">
        <v>16.165902907004099</v>
      </c>
      <c r="AI1284">
        <v>93.625124608821395</v>
      </c>
      <c r="AJ1284">
        <v>67.866247676185296</v>
      </c>
      <c r="AK1284">
        <v>17.486985340213302</v>
      </c>
      <c r="AL1284">
        <v>92.216716565252199</v>
      </c>
      <c r="AM1284">
        <v>79.121109803774402</v>
      </c>
      <c r="AN1284">
        <v>0.99999996116887002</v>
      </c>
    </row>
    <row r="1285" spans="1:40" x14ac:dyDescent="0.25">
      <c r="A1285" t="str">
        <f>"20190312161250398"</f>
        <v>20190312161250398</v>
      </c>
      <c r="B1285" t="str">
        <f>"1552378370386678"</f>
        <v>1552378370386678</v>
      </c>
      <c r="C1285" t="s">
        <v>40</v>
      </c>
      <c r="D1285">
        <v>6.3107980000000001</v>
      </c>
      <c r="E1285">
        <v>0.57539309999999999</v>
      </c>
      <c r="F1285" t="s">
        <v>63</v>
      </c>
      <c r="G1285">
        <v>-204.38890000000001</v>
      </c>
      <c r="H1285" s="1">
        <v>4.266586E-6</v>
      </c>
      <c r="I1285">
        <v>283.43450000000001</v>
      </c>
      <c r="J1285">
        <v>-194.14760000000001</v>
      </c>
      <c r="K1285">
        <v>1.1055649999999999</v>
      </c>
      <c r="L1285">
        <v>297.6533</v>
      </c>
      <c r="M1285">
        <v>-0.23545440000000001</v>
      </c>
      <c r="N1285">
        <v>0</v>
      </c>
      <c r="O1285">
        <v>-0.97178359999999997</v>
      </c>
      <c r="P1285">
        <v>-0.41559560000000001</v>
      </c>
      <c r="Q1285">
        <v>-5.1030890000000002E-2</v>
      </c>
      <c r="R1285">
        <v>-0.90811719999999896</v>
      </c>
      <c r="S1285">
        <v>-1.7733759999999901</v>
      </c>
      <c r="T1285">
        <v>-0.19027279999999999</v>
      </c>
      <c r="U1285">
        <v>-2.4870299999999999</v>
      </c>
      <c r="V1285">
        <v>0.1896448</v>
      </c>
      <c r="W1285">
        <v>-3.9321740000000001E-2</v>
      </c>
      <c r="X1285">
        <v>0.98106499999999996</v>
      </c>
      <c r="Y1285">
        <v>0.3713379</v>
      </c>
      <c r="Z1285">
        <v>6.3248910000000005E-2</v>
      </c>
      <c r="AA1285">
        <v>0.92634110000000003</v>
      </c>
      <c r="AB1285">
        <v>23</v>
      </c>
      <c r="AC1285">
        <v>-10.241299999999899</v>
      </c>
      <c r="AD1285">
        <v>-1.1055607334140001</v>
      </c>
      <c r="AE1285">
        <v>-14.2187999999999</v>
      </c>
      <c r="AF1285">
        <v>6.5789140789760303</v>
      </c>
      <c r="AG1285">
        <v>-1.1055607334140001</v>
      </c>
      <c r="AH1285">
        <v>16.166211009607999</v>
      </c>
      <c r="AI1285">
        <v>93.624433579810898</v>
      </c>
      <c r="AJ1285">
        <v>67.855908015108497</v>
      </c>
      <c r="AK1285">
        <v>17.488589234154599</v>
      </c>
      <c r="AL1285">
        <v>92.253550870660106</v>
      </c>
      <c r="AM1285">
        <v>79.059377788833004</v>
      </c>
      <c r="AN1285">
        <v>0.99999994181433205</v>
      </c>
    </row>
    <row r="1286" spans="1:40" x14ac:dyDescent="0.25">
      <c r="A1286" t="str">
        <f>"20190312161250418"</f>
        <v>20190312161250418</v>
      </c>
      <c r="B1286" t="str">
        <f>"1552378370407174"</f>
        <v>1552378370407174</v>
      </c>
      <c r="C1286" t="s">
        <v>40</v>
      </c>
      <c r="D1286">
        <v>6.0745239999999896</v>
      </c>
      <c r="E1286">
        <v>0.57530769999999998</v>
      </c>
      <c r="F1286" t="s">
        <v>63</v>
      </c>
      <c r="G1286">
        <v>-204.3914</v>
      </c>
      <c r="H1286" s="1">
        <v>4.2605579999999996E-6</v>
      </c>
      <c r="I1286">
        <v>283.51650000000001</v>
      </c>
      <c r="J1286">
        <v>-194.2056</v>
      </c>
      <c r="K1286">
        <v>1.1054679999999999</v>
      </c>
      <c r="L1286">
        <v>297.44760000000002</v>
      </c>
      <c r="M1286">
        <v>-0.24223239999999999</v>
      </c>
      <c r="N1286">
        <v>0</v>
      </c>
      <c r="O1286">
        <v>-0.97011579999999997</v>
      </c>
      <c r="P1286">
        <v>-0.42295919999999998</v>
      </c>
      <c r="Q1286">
        <v>-5.127636E-2</v>
      </c>
      <c r="R1286">
        <v>-0.90469710000000003</v>
      </c>
      <c r="S1286">
        <v>-1.7917479999999999</v>
      </c>
      <c r="T1286">
        <v>-0.19337299999999999</v>
      </c>
      <c r="U1286">
        <v>-2.4726560000000002</v>
      </c>
      <c r="V1286">
        <v>0.19075729999999999</v>
      </c>
      <c r="W1286">
        <v>-3.9608450000000003E-2</v>
      </c>
      <c r="X1286">
        <v>0.98083779999999998</v>
      </c>
      <c r="Y1286">
        <v>0.3718882</v>
      </c>
      <c r="Z1286">
        <v>6.4277599999999893E-2</v>
      </c>
      <c r="AA1286">
        <v>0.92604949999999997</v>
      </c>
      <c r="AB1286">
        <v>22</v>
      </c>
      <c r="AC1286">
        <v>-10.1858</v>
      </c>
      <c r="AD1286">
        <v>-1.1054637394419999</v>
      </c>
      <c r="AE1286">
        <v>-13.931100000000001</v>
      </c>
      <c r="AF1286">
        <v>6.4808959679182099</v>
      </c>
      <c r="AG1286">
        <v>-1.1054637394419999</v>
      </c>
      <c r="AH1286">
        <v>15.918383000070801</v>
      </c>
      <c r="AI1286">
        <v>93.680156840485907</v>
      </c>
      <c r="AJ1286">
        <v>67.847149170972202</v>
      </c>
      <c r="AK1286">
        <v>17.222629879409901</v>
      </c>
      <c r="AL1286">
        <v>92.269990857907402</v>
      </c>
      <c r="AM1286">
        <v>78.994273039665003</v>
      </c>
      <c r="AN1286">
        <v>0.99999998336176599</v>
      </c>
    </row>
    <row r="1287" spans="1:40" x14ac:dyDescent="0.25">
      <c r="A1287" t="str">
        <f>"20190312161250441"</f>
        <v>20190312161250441</v>
      </c>
      <c r="B1287" t="str">
        <f>"1552378370436454"</f>
        <v>1552378370436454</v>
      </c>
      <c r="C1287" t="s">
        <v>40</v>
      </c>
      <c r="D1287">
        <v>6.0328809999999997</v>
      </c>
      <c r="E1287">
        <v>0.57559910000000003</v>
      </c>
      <c r="F1287" t="s">
        <v>63</v>
      </c>
      <c r="G1287">
        <v>-204.56970000000001</v>
      </c>
      <c r="H1287" s="1">
        <v>4.3513899999999997E-6</v>
      </c>
      <c r="I1287">
        <v>283.38150000000002</v>
      </c>
      <c r="J1287">
        <v>-194.26949999999999</v>
      </c>
      <c r="K1287">
        <v>1.1053649999999999</v>
      </c>
      <c r="L1287">
        <v>297.22770000000003</v>
      </c>
      <c r="M1287">
        <v>-0.24967320000000001</v>
      </c>
      <c r="N1287">
        <v>0</v>
      </c>
      <c r="O1287">
        <v>-0.96822739999999996</v>
      </c>
      <c r="P1287">
        <v>-0.43106359999999999</v>
      </c>
      <c r="Q1287">
        <v>-5.1939890000000002E-2</v>
      </c>
      <c r="R1287">
        <v>-0.9008256</v>
      </c>
      <c r="S1287">
        <v>-1.8112950000000001</v>
      </c>
      <c r="T1287">
        <v>-0.19319800000000001</v>
      </c>
      <c r="U1287">
        <v>-2.4582820000000001</v>
      </c>
      <c r="V1287">
        <v>0.1920232</v>
      </c>
      <c r="W1287">
        <v>-4.0318390000000003E-2</v>
      </c>
      <c r="X1287">
        <v>0.98056189999999999</v>
      </c>
      <c r="Y1287">
        <v>0.37212469999999997</v>
      </c>
      <c r="Z1287">
        <v>6.4195009999999997E-2</v>
      </c>
      <c r="AA1287">
        <v>0.92596020000000001</v>
      </c>
      <c r="AB1287">
        <v>22</v>
      </c>
      <c r="AC1287">
        <v>-10.3002</v>
      </c>
      <c r="AD1287">
        <v>-1.1053606486099901</v>
      </c>
      <c r="AE1287">
        <v>-13.8462</v>
      </c>
      <c r="AF1287">
        <v>6.4899331553866704</v>
      </c>
      <c r="AG1287">
        <v>-1.1053606486099901</v>
      </c>
      <c r="AH1287">
        <v>15.914253176099599</v>
      </c>
      <c r="AI1287">
        <v>93.679903063362204</v>
      </c>
      <c r="AJ1287">
        <v>67.814054114820706</v>
      </c>
      <c r="AK1287">
        <v>17.222209750141801</v>
      </c>
      <c r="AL1287">
        <v>92.310699766792098</v>
      </c>
      <c r="AM1287">
        <v>78.919998037675796</v>
      </c>
      <c r="AN1287">
        <v>1.00000006082101</v>
      </c>
    </row>
    <row r="1288" spans="1:40" x14ac:dyDescent="0.25">
      <c r="A1288" t="str">
        <f>"20190312161250462"</f>
        <v>20190312161250462</v>
      </c>
      <c r="B1288" t="str">
        <f>"1552378370456950"</f>
        <v>1552378370456950</v>
      </c>
      <c r="C1288" t="s">
        <v>40</v>
      </c>
      <c r="D1288">
        <v>6.2289870000000001</v>
      </c>
      <c r="E1288">
        <v>0.57564059999999995</v>
      </c>
      <c r="F1288" t="s">
        <v>63</v>
      </c>
      <c r="G1288">
        <v>-204.99760000000001</v>
      </c>
      <c r="H1288" s="1">
        <v>4.5779069999999998E-6</v>
      </c>
      <c r="I1288">
        <v>282.96129999999999</v>
      </c>
      <c r="J1288">
        <v>-194.33199999999999</v>
      </c>
      <c r="K1288">
        <v>1.1052519999999999</v>
      </c>
      <c r="L1288">
        <v>297.01909999999998</v>
      </c>
      <c r="M1288">
        <v>-0.2569092</v>
      </c>
      <c r="N1288">
        <v>0</v>
      </c>
      <c r="O1288">
        <v>-0.96633219999999997</v>
      </c>
      <c r="P1288">
        <v>-0.43854789999999999</v>
      </c>
      <c r="Q1288">
        <v>-5.2350300000000002E-2</v>
      </c>
      <c r="R1288">
        <v>-0.89718199999999904</v>
      </c>
      <c r="S1288">
        <v>-1.835602</v>
      </c>
      <c r="T1288">
        <v>-0.18912960000000001</v>
      </c>
      <c r="U1288">
        <v>-2.4410099999999999</v>
      </c>
      <c r="V1288">
        <v>0.1928416</v>
      </c>
      <c r="W1288">
        <v>-4.0769270000000003E-2</v>
      </c>
      <c r="X1288">
        <v>0.98038259999999999</v>
      </c>
      <c r="Y1288">
        <v>0.37427510000000003</v>
      </c>
      <c r="Z1288">
        <v>6.2823260000000006E-2</v>
      </c>
      <c r="AA1288">
        <v>0.92518719999999999</v>
      </c>
      <c r="AB1288">
        <v>22</v>
      </c>
      <c r="AC1288">
        <v>-10.6656</v>
      </c>
      <c r="AD1288">
        <v>-1.105247422093</v>
      </c>
      <c r="AE1288">
        <v>-14.057799999999901</v>
      </c>
      <c r="AF1288">
        <v>6.6694382108245804</v>
      </c>
      <c r="AG1288">
        <v>-1.105247422093</v>
      </c>
      <c r="AH1288">
        <v>16.262426533147</v>
      </c>
      <c r="AI1288">
        <v>93.598057382928403</v>
      </c>
      <c r="AJ1288">
        <v>67.700811239630895</v>
      </c>
      <c r="AK1288">
        <v>17.611629528753198</v>
      </c>
      <c r="AL1288">
        <v>92.336554619182806</v>
      </c>
      <c r="AM1288">
        <v>78.871967003882702</v>
      </c>
      <c r="AN1288">
        <v>1.0000000292248199</v>
      </c>
    </row>
    <row r="1289" spans="1:40" x14ac:dyDescent="0.25">
      <c r="A1289" t="str">
        <f>"20190312161250485"</f>
        <v>20190312161250485</v>
      </c>
      <c r="B1289" t="str">
        <f>"1552378370476470"</f>
        <v>1552378370476470</v>
      </c>
      <c r="C1289" t="s">
        <v>40</v>
      </c>
      <c r="D1289">
        <v>6.2306650000000001</v>
      </c>
      <c r="E1289">
        <v>0.57560219999999995</v>
      </c>
      <c r="F1289" t="s">
        <v>63</v>
      </c>
      <c r="G1289">
        <v>-204.8699</v>
      </c>
      <c r="H1289" s="1">
        <v>4.4961519999999998E-6</v>
      </c>
      <c r="I1289">
        <v>283.24860000000001</v>
      </c>
      <c r="J1289">
        <v>-194.3999</v>
      </c>
      <c r="K1289">
        <v>1.105135</v>
      </c>
      <c r="L1289">
        <v>296.79950000000002</v>
      </c>
      <c r="M1289">
        <v>-0.26471430000000001</v>
      </c>
      <c r="N1289">
        <v>0</v>
      </c>
      <c r="O1289">
        <v>-0.9642231</v>
      </c>
      <c r="P1289">
        <v>-0.44629950000000002</v>
      </c>
      <c r="Q1289">
        <v>-5.2362199999999998E-2</v>
      </c>
      <c r="R1289">
        <v>-0.8933508</v>
      </c>
      <c r="S1289">
        <v>-1.8559270000000001</v>
      </c>
      <c r="T1289">
        <v>-0.19465640000000001</v>
      </c>
      <c r="U1289">
        <v>-2.425262</v>
      </c>
      <c r="V1289">
        <v>0.19339129999999999</v>
      </c>
      <c r="W1289">
        <v>-4.0821209999999997E-2</v>
      </c>
      <c r="X1289">
        <v>0.98027209999999998</v>
      </c>
      <c r="Y1289">
        <v>0.3744961</v>
      </c>
      <c r="Z1289">
        <v>6.4622499999999999E-2</v>
      </c>
      <c r="AA1289">
        <v>0.92497379999999996</v>
      </c>
      <c r="AB1289">
        <v>22</v>
      </c>
      <c r="AC1289">
        <v>-10.47</v>
      </c>
      <c r="AD1289">
        <v>-1.1051305038479999</v>
      </c>
      <c r="AE1289">
        <v>-13.5509</v>
      </c>
      <c r="AF1289">
        <v>6.4819543404347897</v>
      </c>
      <c r="AG1289">
        <v>-1.1051305038479999</v>
      </c>
      <c r="AH1289">
        <v>15.7735413619158</v>
      </c>
      <c r="AI1289">
        <v>93.707805698099193</v>
      </c>
      <c r="AJ1289">
        <v>67.660355579487998</v>
      </c>
      <c r="AK1289">
        <v>17.0892262141411</v>
      </c>
      <c r="AL1289">
        <v>92.339533161082898</v>
      </c>
      <c r="AM1289">
        <v>78.839814947343996</v>
      </c>
      <c r="AN1289">
        <v>0.99999997806998098</v>
      </c>
    </row>
    <row r="1290" spans="1:40" x14ac:dyDescent="0.25">
      <c r="A1290" t="str">
        <f>"20190312161250509"</f>
        <v>20190312161250509</v>
      </c>
      <c r="B1290" t="str">
        <f>"1552378370496966"</f>
        <v>1552378370496966</v>
      </c>
      <c r="C1290" t="s">
        <v>40</v>
      </c>
      <c r="D1290">
        <v>6.2341689999999996</v>
      </c>
      <c r="E1290">
        <v>0.57542700000000002</v>
      </c>
      <c r="F1290" t="s">
        <v>63</v>
      </c>
      <c r="G1290">
        <v>-204.92779999999999</v>
      </c>
      <c r="H1290" s="1">
        <v>4.5188959999999999E-6</v>
      </c>
      <c r="I1290">
        <v>283.2824</v>
      </c>
      <c r="J1290">
        <v>-194.47110000000001</v>
      </c>
      <c r="K1290">
        <v>1.105016</v>
      </c>
      <c r="L1290">
        <v>296.57670000000002</v>
      </c>
      <c r="M1290">
        <v>-0.27283239999999997</v>
      </c>
      <c r="N1290">
        <v>0</v>
      </c>
      <c r="O1290">
        <v>-0.96195719999999996</v>
      </c>
      <c r="P1290">
        <v>-0.45401760000000002</v>
      </c>
      <c r="Q1290">
        <v>-5.2559849999999998E-2</v>
      </c>
      <c r="R1290">
        <v>-0.88944140000000005</v>
      </c>
      <c r="S1290">
        <v>-1.876404</v>
      </c>
      <c r="T1290">
        <v>-0.19696900000000001</v>
      </c>
      <c r="U1290">
        <v>-2.4091800000000001</v>
      </c>
      <c r="V1290">
        <v>0.1936049</v>
      </c>
      <c r="W1290">
        <v>-4.1055029999999999E-2</v>
      </c>
      <c r="X1290">
        <v>0.98022019999999999</v>
      </c>
      <c r="Y1290">
        <v>0.37453910000000001</v>
      </c>
      <c r="Z1290">
        <v>6.5348489999999995E-2</v>
      </c>
      <c r="AA1290">
        <v>0.92490539999999999</v>
      </c>
      <c r="AB1290">
        <v>22</v>
      </c>
      <c r="AC1290">
        <v>-10.4566999999999</v>
      </c>
      <c r="AD1290">
        <v>-1.1050114811039999</v>
      </c>
      <c r="AE1290">
        <v>-13.2943</v>
      </c>
      <c r="AF1290">
        <v>6.4050898193307004</v>
      </c>
      <c r="AG1290">
        <v>-1.1050114811039999</v>
      </c>
      <c r="AH1290">
        <v>15.576561160573499</v>
      </c>
      <c r="AI1290">
        <v>93.753812910876206</v>
      </c>
      <c r="AJ1290">
        <v>67.647510392960299</v>
      </c>
      <c r="AK1290">
        <v>16.878254754451198</v>
      </c>
      <c r="AL1290">
        <v>92.352941233572906</v>
      </c>
      <c r="AM1290">
        <v>78.827221822464907</v>
      </c>
      <c r="AN1290">
        <v>1.00000000664017</v>
      </c>
    </row>
    <row r="1291" spans="1:40" x14ac:dyDescent="0.25">
      <c r="A1291" t="str">
        <f>"20190312161250533"</f>
        <v>20190312161250533</v>
      </c>
      <c r="B1291" t="str">
        <f>"1552378370527223"</f>
        <v>1552378370527223</v>
      </c>
      <c r="C1291" t="s">
        <v>40</v>
      </c>
      <c r="D1291">
        <v>6.5768250000000004</v>
      </c>
      <c r="E1291">
        <v>0.57492379999999998</v>
      </c>
      <c r="F1291" t="s">
        <v>63</v>
      </c>
      <c r="G1291">
        <v>-204.96299999999999</v>
      </c>
      <c r="H1291" s="1">
        <v>4.5301369999999996E-6</v>
      </c>
      <c r="I1291">
        <v>283.33240000000001</v>
      </c>
      <c r="J1291">
        <v>-194.54830000000001</v>
      </c>
      <c r="K1291">
        <v>1.1048979999999999</v>
      </c>
      <c r="L1291">
        <v>296.34350000000001</v>
      </c>
      <c r="M1291">
        <v>-0.28157529999999997</v>
      </c>
      <c r="N1291">
        <v>0</v>
      </c>
      <c r="O1291">
        <v>-0.95943420000000001</v>
      </c>
      <c r="P1291">
        <v>-0.46230840000000001</v>
      </c>
      <c r="Q1291">
        <v>-5.2544859999999999E-2</v>
      </c>
      <c r="R1291">
        <v>-0.88516139999999999</v>
      </c>
      <c r="S1291">
        <v>-1.89595</v>
      </c>
      <c r="T1291">
        <v>-0.19968060000000001</v>
      </c>
      <c r="U1291">
        <v>-2.3933110000000002</v>
      </c>
      <c r="V1291">
        <v>0.1938317</v>
      </c>
      <c r="W1291">
        <v>-4.107454E-2</v>
      </c>
      <c r="X1291">
        <v>0.98017449999999995</v>
      </c>
      <c r="Y1291">
        <v>0.37369279999999999</v>
      </c>
      <c r="Z1291">
        <v>6.6191340000000001E-2</v>
      </c>
      <c r="AA1291">
        <v>0.9251878</v>
      </c>
      <c r="AB1291">
        <v>22</v>
      </c>
      <c r="AC1291">
        <v>-10.4146999999999</v>
      </c>
      <c r="AD1291">
        <v>-1.104893469863</v>
      </c>
      <c r="AE1291">
        <v>-13.011100000000001</v>
      </c>
      <c r="AF1291">
        <v>6.3015556126005796</v>
      </c>
      <c r="AG1291">
        <v>-1.104893469863</v>
      </c>
      <c r="AH1291">
        <v>15.3499029331242</v>
      </c>
      <c r="AI1291">
        <v>93.809573143816394</v>
      </c>
      <c r="AJ1291">
        <v>67.680506857118203</v>
      </c>
      <c r="AK1291">
        <v>16.629789919742802</v>
      </c>
      <c r="AL1291">
        <v>92.354060155805399</v>
      </c>
      <c r="AM1291">
        <v>78.813954860494903</v>
      </c>
      <c r="AN1291">
        <v>0.99999994810567405</v>
      </c>
    </row>
    <row r="1292" spans="1:40" x14ac:dyDescent="0.25">
      <c r="A1292" t="str">
        <f>"20190312161250554"</f>
        <v>20190312161250554</v>
      </c>
      <c r="B1292" t="str">
        <f>"1552378370546742"</f>
        <v>1552378370546742</v>
      </c>
      <c r="C1292" t="s">
        <v>40</v>
      </c>
      <c r="D1292">
        <v>6.5555630000000003</v>
      </c>
      <c r="E1292">
        <v>0.57468039999999998</v>
      </c>
      <c r="F1292" t="s">
        <v>63</v>
      </c>
      <c r="G1292">
        <v>-204.5823</v>
      </c>
      <c r="H1292" s="1">
        <v>4.3133559999999997E-6</v>
      </c>
      <c r="I1292">
        <v>283.8809</v>
      </c>
      <c r="J1292">
        <v>-194.61879999999999</v>
      </c>
      <c r="K1292">
        <v>1.1048129999999901</v>
      </c>
      <c r="L1292">
        <v>296.13679999999999</v>
      </c>
      <c r="M1292">
        <v>-0.28947450000000002</v>
      </c>
      <c r="N1292">
        <v>0</v>
      </c>
      <c r="O1292">
        <v>-0.95708009999999999</v>
      </c>
      <c r="P1292">
        <v>-0.47017740000000002</v>
      </c>
      <c r="Q1292">
        <v>-5.2258560000000003E-2</v>
      </c>
      <c r="R1292">
        <v>-0.88102380000000002</v>
      </c>
      <c r="S1292">
        <v>-1.91391</v>
      </c>
      <c r="T1292">
        <v>-0.2107493</v>
      </c>
      <c r="U1292">
        <v>-2.3771360000000001</v>
      </c>
      <c r="V1292">
        <v>0.1944757</v>
      </c>
      <c r="W1292">
        <v>-4.0818050000000002E-2</v>
      </c>
      <c r="X1292">
        <v>0.98005770000000003</v>
      </c>
      <c r="Y1292">
        <v>0.37320160000000002</v>
      </c>
      <c r="Z1292">
        <v>6.9815779999999994E-2</v>
      </c>
      <c r="AA1292">
        <v>0.92511960000000004</v>
      </c>
      <c r="AB1292">
        <v>22</v>
      </c>
      <c r="AC1292">
        <v>-9.9634999999999998</v>
      </c>
      <c r="AD1292">
        <v>-1.1048086866439999</v>
      </c>
      <c r="AE1292">
        <v>-12.255899999999899</v>
      </c>
      <c r="AF1292">
        <v>5.9595447609833903</v>
      </c>
      <c r="AG1292">
        <v>-1.1048086866439999</v>
      </c>
      <c r="AH1292">
        <v>14.544374805633399</v>
      </c>
      <c r="AI1292">
        <v>94.020676932129803</v>
      </c>
      <c r="AJ1292">
        <v>67.718677745658596</v>
      </c>
      <c r="AK1292">
        <v>15.756764086543599</v>
      </c>
      <c r="AL1292">
        <v>92.339351896535902</v>
      </c>
      <c r="AM1292">
        <v>78.776427836205698</v>
      </c>
      <c r="AN1292">
        <v>1.00000000321279</v>
      </c>
    </row>
    <row r="1293" spans="1:40" x14ac:dyDescent="0.25">
      <c r="A1293" t="str">
        <f>"20190312161250576"</f>
        <v>20190312161250576</v>
      </c>
      <c r="B1293" t="str">
        <f>"1552378370567238"</f>
        <v>1552378370567238</v>
      </c>
      <c r="C1293" t="s">
        <v>40</v>
      </c>
      <c r="D1293">
        <v>6.2875719999999999</v>
      </c>
      <c r="E1293">
        <v>0.57449479999999997</v>
      </c>
      <c r="F1293" t="s">
        <v>63</v>
      </c>
      <c r="G1293">
        <v>-204.61770000000001</v>
      </c>
      <c r="H1293" s="1">
        <v>4.3251240000000001E-6</v>
      </c>
      <c r="I1293">
        <v>283.92579999999998</v>
      </c>
      <c r="J1293">
        <v>-194.6934</v>
      </c>
      <c r="K1293">
        <v>1.1047450000000001</v>
      </c>
      <c r="L1293">
        <v>295.9246</v>
      </c>
      <c r="M1293">
        <v>-0.297741799999999</v>
      </c>
      <c r="N1293">
        <v>0</v>
      </c>
      <c r="O1293">
        <v>-0.95454039999999996</v>
      </c>
      <c r="P1293">
        <v>-0.47839700000000002</v>
      </c>
      <c r="Q1293">
        <v>-5.2133949999999998E-2</v>
      </c>
      <c r="R1293">
        <v>-0.87659489999999995</v>
      </c>
      <c r="S1293">
        <v>-1.933136</v>
      </c>
      <c r="T1293">
        <v>-0.2135978</v>
      </c>
      <c r="U1293">
        <v>-2.3608090000000002</v>
      </c>
      <c r="V1293">
        <v>0.195157</v>
      </c>
      <c r="W1293">
        <v>-4.0719430000000001E-2</v>
      </c>
      <c r="X1293">
        <v>0.97992630000000003</v>
      </c>
      <c r="Y1293">
        <v>0.37278339999999999</v>
      </c>
      <c r="Z1293">
        <v>7.0698159999999996E-2</v>
      </c>
      <c r="AA1293">
        <v>0.92522119999999997</v>
      </c>
      <c r="AB1293">
        <v>22</v>
      </c>
      <c r="AC1293">
        <v>-9.9243000000000094</v>
      </c>
      <c r="AD1293">
        <v>-1.104740674876</v>
      </c>
      <c r="AE1293">
        <v>-11.998799999999999</v>
      </c>
      <c r="AF1293">
        <v>5.8716430734562</v>
      </c>
      <c r="AG1293">
        <v>-1.104740674876</v>
      </c>
      <c r="AH1293">
        <v>14.337508234457299</v>
      </c>
      <c r="AI1293">
        <v>94.078556141153896</v>
      </c>
      <c r="AJ1293">
        <v>67.729416950659299</v>
      </c>
      <c r="AK1293">
        <v>15.532571799735001</v>
      </c>
      <c r="AL1293">
        <v>92.333696832616894</v>
      </c>
      <c r="AM1293">
        <v>78.7366404032324</v>
      </c>
      <c r="AN1293">
        <v>0.99999994003010495</v>
      </c>
    </row>
    <row r="1294" spans="1:40" x14ac:dyDescent="0.25">
      <c r="A1294" t="str">
        <f>"20190312161250610"</f>
        <v>20190312161250610</v>
      </c>
      <c r="B1294" t="str">
        <f>"1552378370596518"</f>
        <v>1552378370596518</v>
      </c>
      <c r="C1294" t="s">
        <v>40</v>
      </c>
      <c r="D1294">
        <v>6.4744489999999999</v>
      </c>
      <c r="E1294">
        <v>0.57467990000000002</v>
      </c>
      <c r="F1294" t="s">
        <v>63</v>
      </c>
      <c r="G1294">
        <v>-204.72569999999999</v>
      </c>
      <c r="H1294" s="1">
        <v>4.3758560000000004E-6</v>
      </c>
      <c r="I1294">
        <v>283.8931</v>
      </c>
      <c r="J1294">
        <v>-194.8056</v>
      </c>
      <c r="K1294">
        <v>1.104652</v>
      </c>
      <c r="L1294">
        <v>295.61630000000002</v>
      </c>
      <c r="M1294">
        <v>-0.31001260000000003</v>
      </c>
      <c r="N1294">
        <v>0</v>
      </c>
      <c r="O1294">
        <v>-0.95062539999999995</v>
      </c>
      <c r="P1294">
        <v>-0.49004599999999998</v>
      </c>
      <c r="Q1294">
        <v>-5.1969920000000003E-2</v>
      </c>
      <c r="R1294">
        <v>-0.87014619999999998</v>
      </c>
      <c r="S1294">
        <v>-1.9538420000000001</v>
      </c>
      <c r="T1294">
        <v>-0.21515519999999999</v>
      </c>
      <c r="U1294">
        <v>-2.3432010000000001</v>
      </c>
      <c r="V1294">
        <v>0.19559360000000001</v>
      </c>
      <c r="W1294">
        <v>-4.0581369999999999E-2</v>
      </c>
      <c r="X1294">
        <v>0.97984499999999997</v>
      </c>
      <c r="Y1294">
        <v>0.3690542</v>
      </c>
      <c r="Z1294">
        <v>7.1067169999999999E-2</v>
      </c>
      <c r="AA1294">
        <v>0.92668680000000003</v>
      </c>
      <c r="AB1294">
        <v>22</v>
      </c>
      <c r="AC1294">
        <v>-9.9200999999999908</v>
      </c>
      <c r="AD1294">
        <v>-1.104647624144</v>
      </c>
      <c r="AE1294">
        <v>-11.7232</v>
      </c>
      <c r="AF1294">
        <v>5.76671226256342</v>
      </c>
      <c r="AG1294">
        <v>-1.104647624144</v>
      </c>
      <c r="AH1294">
        <v>14.147973354374599</v>
      </c>
      <c r="AI1294">
        <v>94.135444294895706</v>
      </c>
      <c r="AJ1294">
        <v>67.824196722943896</v>
      </c>
      <c r="AK1294">
        <v>15.317975281636301</v>
      </c>
      <c r="AL1294">
        <v>92.325779977281101</v>
      </c>
      <c r="AM1294">
        <v>78.711176064226905</v>
      </c>
      <c r="AN1294">
        <v>0.99999996398851698</v>
      </c>
    </row>
    <row r="1295" spans="1:40" x14ac:dyDescent="0.25">
      <c r="A1295" t="str">
        <f>"20190312161250631"</f>
        <v>20190312161250631</v>
      </c>
      <c r="B1295" t="str">
        <f>"1552378370626774"</f>
        <v>1552378370626774</v>
      </c>
      <c r="C1295" t="s">
        <v>40</v>
      </c>
      <c r="D1295">
        <v>6.2852410000000001</v>
      </c>
      <c r="E1295">
        <v>0.60080149999999999</v>
      </c>
      <c r="F1295" t="s">
        <v>63</v>
      </c>
      <c r="G1295">
        <v>-204.91139999999999</v>
      </c>
      <c r="H1295" s="1">
        <v>4.4636809999999998E-6</v>
      </c>
      <c r="I1295">
        <v>283.83080000000001</v>
      </c>
      <c r="J1295">
        <v>-194.886</v>
      </c>
      <c r="K1295">
        <v>1.104581</v>
      </c>
      <c r="L1295">
        <v>295.40390000000002</v>
      </c>
      <c r="M1295">
        <v>-0.31866909999999998</v>
      </c>
      <c r="N1295">
        <v>0</v>
      </c>
      <c r="O1295">
        <v>-0.94775830000000005</v>
      </c>
      <c r="P1295">
        <v>-0.49801200000000001</v>
      </c>
      <c r="Q1295">
        <v>-5.1929030000000001E-2</v>
      </c>
      <c r="R1295">
        <v>-0.86561399999999999</v>
      </c>
      <c r="S1295">
        <v>-1.986084</v>
      </c>
      <c r="T1295">
        <v>-0.2170956</v>
      </c>
      <c r="U1295">
        <v>-2.3161930000000002</v>
      </c>
      <c r="V1295">
        <v>0.19564419999999999</v>
      </c>
      <c r="W1295">
        <v>-4.0554220000000002E-2</v>
      </c>
      <c r="X1295">
        <v>0.97983600000000004</v>
      </c>
      <c r="Y1295">
        <v>0.37332219999999999</v>
      </c>
      <c r="Z1295">
        <v>7.1669369999999996E-2</v>
      </c>
      <c r="AA1295">
        <v>0.92492920000000001</v>
      </c>
      <c r="AB1295">
        <v>22</v>
      </c>
      <c r="AC1295">
        <v>-10.0253999999999</v>
      </c>
      <c r="AD1295">
        <v>-1.1045765363189901</v>
      </c>
      <c r="AE1295">
        <v>-11.5731</v>
      </c>
      <c r="AF1295">
        <v>5.7841587421784304</v>
      </c>
      <c r="AG1295">
        <v>-1.1045765363189901</v>
      </c>
      <c r="AH1295">
        <v>14.091399328741799</v>
      </c>
      <c r="AI1295">
        <v>94.147557870432394</v>
      </c>
      <c r="AJ1295">
        <v>67.6831050026382</v>
      </c>
      <c r="AK1295">
        <v>15.272331738191401</v>
      </c>
      <c r="AL1295">
        <v>92.324223165562998</v>
      </c>
      <c r="AM1295">
        <v>78.708229620918004</v>
      </c>
      <c r="AN1295">
        <v>0.999999942324722</v>
      </c>
    </row>
    <row r="1296" spans="1:40" x14ac:dyDescent="0.25">
      <c r="A1296" t="str">
        <f>"20190312161250653"</f>
        <v>20190312161250653</v>
      </c>
      <c r="B1296" t="str">
        <f>"1552378370647270"</f>
        <v>1552378370647270</v>
      </c>
      <c r="C1296" t="s">
        <v>40</v>
      </c>
      <c r="D1296">
        <v>6.3836360000000001</v>
      </c>
      <c r="E1296">
        <v>0.59820229999999996</v>
      </c>
      <c r="F1296" t="s">
        <v>63</v>
      </c>
      <c r="G1296">
        <v>-200.95140000000001</v>
      </c>
      <c r="H1296" s="1">
        <v>2.2283950000000002E-6</v>
      </c>
      <c r="I1296">
        <v>289.3116</v>
      </c>
      <c r="J1296">
        <v>-194.96170000000001</v>
      </c>
      <c r="K1296">
        <v>1.1045240000000001</v>
      </c>
      <c r="L1296">
        <v>295.20940000000002</v>
      </c>
      <c r="M1296">
        <v>-0.3267004</v>
      </c>
      <c r="N1296">
        <v>0</v>
      </c>
      <c r="O1296">
        <v>-0.94501950000000001</v>
      </c>
      <c r="P1296">
        <v>-0.50552399999999997</v>
      </c>
      <c r="Q1296">
        <v>-5.2243869999999998E-2</v>
      </c>
      <c r="R1296">
        <v>-0.86122969999999899</v>
      </c>
      <c r="S1296">
        <v>-2.1787570000000001</v>
      </c>
      <c r="T1296">
        <v>-0.39678099999999999</v>
      </c>
      <c r="U1296">
        <v>-2.1884160000000001</v>
      </c>
      <c r="V1296">
        <v>0.19584979999999999</v>
      </c>
      <c r="W1296">
        <v>-4.0882729999999999E-2</v>
      </c>
      <c r="X1296">
        <v>0.97978129999999997</v>
      </c>
      <c r="Y1296">
        <v>0.42907380000000001</v>
      </c>
      <c r="Z1296">
        <v>0.12994310000000001</v>
      </c>
      <c r="AA1296">
        <v>0.8938739</v>
      </c>
      <c r="AB1296">
        <v>22</v>
      </c>
      <c r="AC1296">
        <v>-5.9896999999999903</v>
      </c>
      <c r="AD1296">
        <v>-1.104521771605</v>
      </c>
      <c r="AE1296">
        <v>-5.8978000000000099</v>
      </c>
      <c r="AF1296">
        <v>3.6705791445257598</v>
      </c>
      <c r="AG1296">
        <v>-1.104521771605</v>
      </c>
      <c r="AH1296">
        <v>7.4033254755117204</v>
      </c>
      <c r="AI1296">
        <v>97.613352793624102</v>
      </c>
      <c r="AJ1296">
        <v>63.627721438171797</v>
      </c>
      <c r="AK1296">
        <v>8.3368068045587904</v>
      </c>
      <c r="AL1296">
        <v>92.343060964203701</v>
      </c>
      <c r="AM1296">
        <v>78.696053787446999</v>
      </c>
      <c r="AN1296">
        <v>0.99999996880099096</v>
      </c>
    </row>
    <row r="1297" spans="1:40" x14ac:dyDescent="0.25">
      <c r="A1297" t="str">
        <f>"20190312161250675"</f>
        <v>20190312161250675</v>
      </c>
      <c r="B1297" t="str">
        <f>"1552378370666791"</f>
        <v>1552378370666791</v>
      </c>
      <c r="C1297" t="s">
        <v>40</v>
      </c>
      <c r="D1297">
        <v>6.5335089999999996</v>
      </c>
      <c r="E1297">
        <v>0.5968637</v>
      </c>
      <c r="F1297" t="s">
        <v>63</v>
      </c>
      <c r="G1297">
        <v>-201.1208</v>
      </c>
      <c r="H1297" s="1">
        <v>2.3263329999999999E-6</v>
      </c>
      <c r="I1297">
        <v>289.05110000000002</v>
      </c>
      <c r="J1297">
        <v>-195.04769999999999</v>
      </c>
      <c r="K1297">
        <v>1.1044560000000001</v>
      </c>
      <c r="L1297">
        <v>294.99439999999998</v>
      </c>
      <c r="M1297">
        <v>-0.3357134</v>
      </c>
      <c r="N1297">
        <v>0</v>
      </c>
      <c r="O1297">
        <v>-0.94185509999999995</v>
      </c>
      <c r="P1297">
        <v>-0.51418520000000001</v>
      </c>
      <c r="Q1297">
        <v>-5.2447319999999999E-2</v>
      </c>
      <c r="R1297">
        <v>-0.85607420000000001</v>
      </c>
      <c r="S1297">
        <v>-2.1802670000000002</v>
      </c>
      <c r="T1297">
        <v>-0.39098630000000001</v>
      </c>
      <c r="U1297">
        <v>-2.179932</v>
      </c>
      <c r="V1297">
        <v>0.19636719999999999</v>
      </c>
      <c r="W1297">
        <v>-4.1107159999999997E-2</v>
      </c>
      <c r="X1297">
        <v>0.97966839999999999</v>
      </c>
      <c r="Y1297">
        <v>0.42267450000000001</v>
      </c>
      <c r="Z1297">
        <v>0.12797839999999999</v>
      </c>
      <c r="AA1297">
        <v>0.89719989999999905</v>
      </c>
      <c r="AB1297">
        <v>22</v>
      </c>
      <c r="AC1297">
        <v>-6.0731000000000099</v>
      </c>
      <c r="AD1297">
        <v>-1.1044536736670001</v>
      </c>
      <c r="AE1297">
        <v>-5.9432999999999598</v>
      </c>
      <c r="AF1297">
        <v>3.6632318485000099</v>
      </c>
      <c r="AG1297">
        <v>-1.1044536736670001</v>
      </c>
      <c r="AH1297">
        <v>7.5104535951056999</v>
      </c>
      <c r="AI1297">
        <v>97.529237329147406</v>
      </c>
      <c r="AJ1297">
        <v>63.999144148245001</v>
      </c>
      <c r="AK1297">
        <v>8.4288788517440203</v>
      </c>
      <c r="AL1297">
        <v>92.355930543064105</v>
      </c>
      <c r="AM1297">
        <v>78.665690408600994</v>
      </c>
      <c r="AN1297">
        <v>1.0000000248988301</v>
      </c>
    </row>
    <row r="1298" spans="1:40" x14ac:dyDescent="0.25">
      <c r="A1298" t="str">
        <f>"20190312161250699"</f>
        <v>20190312161250699</v>
      </c>
      <c r="B1298" t="str">
        <f>"1552378370687287"</f>
        <v>1552378370687287</v>
      </c>
      <c r="C1298" t="s">
        <v>40</v>
      </c>
      <c r="D1298">
        <v>6.367178</v>
      </c>
      <c r="E1298">
        <v>0.59506630000000005</v>
      </c>
      <c r="F1298" t="s">
        <v>63</v>
      </c>
      <c r="G1298">
        <v>-201.28</v>
      </c>
      <c r="H1298" s="1">
        <v>2.4148179999999998E-6</v>
      </c>
      <c r="I1298">
        <v>288.84620000000001</v>
      </c>
      <c r="J1298">
        <v>-195.1388</v>
      </c>
      <c r="K1298">
        <v>1.1043909999999999</v>
      </c>
      <c r="L1298">
        <v>294.77350000000001</v>
      </c>
      <c r="M1298">
        <v>-0.34511799999999998</v>
      </c>
      <c r="N1298">
        <v>0</v>
      </c>
      <c r="O1298">
        <v>-0.93844950000000005</v>
      </c>
      <c r="P1298">
        <v>-0.52337029999999995</v>
      </c>
      <c r="Q1298">
        <v>-5.247541E-2</v>
      </c>
      <c r="R1298">
        <v>-0.85048809999999997</v>
      </c>
      <c r="S1298">
        <v>-2.1929630000000002</v>
      </c>
      <c r="T1298">
        <v>-0.38862930000000001</v>
      </c>
      <c r="U1298">
        <v>-2.1633909999999998</v>
      </c>
      <c r="V1298">
        <v>0.19710559999999999</v>
      </c>
      <c r="W1298">
        <v>-4.1161530000000002E-2</v>
      </c>
      <c r="X1298">
        <v>0.97951779999999999</v>
      </c>
      <c r="Y1298">
        <v>0.41972130000000002</v>
      </c>
      <c r="Z1298">
        <v>0.1270905</v>
      </c>
      <c r="AA1298">
        <v>0.89871129999999999</v>
      </c>
      <c r="AB1298">
        <v>22</v>
      </c>
      <c r="AC1298">
        <v>-6.1411999999999898</v>
      </c>
      <c r="AD1298">
        <v>-1.1043885851819999</v>
      </c>
      <c r="AE1298">
        <v>-5.9272999999999998</v>
      </c>
      <c r="AF1298">
        <v>3.6567467442316501</v>
      </c>
      <c r="AG1298">
        <v>-1.1043885851819999</v>
      </c>
      <c r="AH1298">
        <v>7.5561895680790201</v>
      </c>
      <c r="AI1298">
        <v>97.494836495277795</v>
      </c>
      <c r="AJ1298">
        <v>64.175776405034398</v>
      </c>
      <c r="AK1298">
        <v>8.4668454389622205</v>
      </c>
      <c r="AL1298">
        <v>92.359048400773901</v>
      </c>
      <c r="AM1298">
        <v>78.622475852421303</v>
      </c>
      <c r="AN1298">
        <v>1.0000000048100699</v>
      </c>
    </row>
    <row r="1299" spans="1:40" x14ac:dyDescent="0.25">
      <c r="A1299" t="str">
        <f>"20190312161250722"</f>
        <v>20190312161250722</v>
      </c>
      <c r="B1299" t="str">
        <f>"1552378370716566"</f>
        <v>1552378370716566</v>
      </c>
      <c r="C1299" t="s">
        <v>40</v>
      </c>
      <c r="D1299">
        <v>6.4263719999999998</v>
      </c>
      <c r="E1299">
        <v>0.59241239999999995</v>
      </c>
      <c r="F1299" t="s">
        <v>63</v>
      </c>
      <c r="G1299">
        <v>-201.39230000000001</v>
      </c>
      <c r="H1299" s="1">
        <v>2.479089E-6</v>
      </c>
      <c r="I1299">
        <v>288.68090000000001</v>
      </c>
      <c r="J1299">
        <v>-195.2276</v>
      </c>
      <c r="K1299">
        <v>1.104328</v>
      </c>
      <c r="L1299">
        <v>294.56420000000003</v>
      </c>
      <c r="M1299">
        <v>-0.35418300000000003</v>
      </c>
      <c r="N1299">
        <v>0</v>
      </c>
      <c r="O1299">
        <v>-0.93506579999999995</v>
      </c>
      <c r="P1299">
        <v>-0.53193780000000002</v>
      </c>
      <c r="Q1299">
        <v>-5.203899E-2</v>
      </c>
      <c r="R1299">
        <v>-0.84518280000000001</v>
      </c>
      <c r="S1299">
        <v>-2.2038730000000002</v>
      </c>
      <c r="T1299">
        <v>-0.3892081</v>
      </c>
      <c r="U1299">
        <v>-2.1471559999999998</v>
      </c>
      <c r="V1299">
        <v>0.19751489999999999</v>
      </c>
      <c r="W1299">
        <v>-4.0745139999999999E-2</v>
      </c>
      <c r="X1299">
        <v>0.97945280000000001</v>
      </c>
      <c r="Y1299">
        <v>0.41654920000000001</v>
      </c>
      <c r="Z1299">
        <v>0.12717100000000001</v>
      </c>
      <c r="AA1299">
        <v>0.90017459999999905</v>
      </c>
      <c r="AB1299">
        <v>22</v>
      </c>
      <c r="AC1299">
        <v>-6.1647000000000096</v>
      </c>
      <c r="AD1299">
        <v>-1.1043255209109999</v>
      </c>
      <c r="AE1299">
        <v>-5.88330000000001</v>
      </c>
      <c r="AF1299">
        <v>3.6202167253225301</v>
      </c>
      <c r="AG1299">
        <v>-1.1043255209109999</v>
      </c>
      <c r="AH1299">
        <v>7.5585581738979304</v>
      </c>
      <c r="AI1299">
        <v>97.506535624524304</v>
      </c>
      <c r="AJ1299">
        <v>64.407630093097396</v>
      </c>
      <c r="AK1299">
        <v>8.4532423165693995</v>
      </c>
      <c r="AL1299">
        <v>92.335170885950504</v>
      </c>
      <c r="AM1299">
        <v>78.598731130931299</v>
      </c>
      <c r="AN1299">
        <v>1.0000000447917301</v>
      </c>
    </row>
    <row r="1300" spans="1:40" x14ac:dyDescent="0.25">
      <c r="A1300" t="str">
        <f>"20190312161250745"</f>
        <v>20190312161250745</v>
      </c>
      <c r="B1300" t="str">
        <f>"1552378370737062"</f>
        <v>1552378370737062</v>
      </c>
      <c r="C1300" t="s">
        <v>40</v>
      </c>
      <c r="D1300">
        <v>6.4068149999999999</v>
      </c>
      <c r="E1300">
        <v>0.59193019999999996</v>
      </c>
      <c r="F1300" t="s">
        <v>63</v>
      </c>
      <c r="G1300">
        <v>-202.32980000000001</v>
      </c>
      <c r="H1300" s="1">
        <v>2.9810049999999998E-6</v>
      </c>
      <c r="I1300">
        <v>287.69529999999997</v>
      </c>
      <c r="J1300">
        <v>-195.32050000000001</v>
      </c>
      <c r="K1300">
        <v>1.104257</v>
      </c>
      <c r="L1300">
        <v>294.35160000000002</v>
      </c>
      <c r="M1300">
        <v>-0.36353609999999997</v>
      </c>
      <c r="N1300">
        <v>0</v>
      </c>
      <c r="O1300">
        <v>-0.93146910000000005</v>
      </c>
      <c r="P1300">
        <v>-0.54091359999999999</v>
      </c>
      <c r="Q1300">
        <v>-5.1376119999999997E-2</v>
      </c>
      <c r="R1300">
        <v>-0.83950759999999902</v>
      </c>
      <c r="S1300">
        <v>-2.2100219999999999</v>
      </c>
      <c r="T1300">
        <v>-0.34363759999999999</v>
      </c>
      <c r="U1300">
        <v>-2.1374209999999998</v>
      </c>
      <c r="V1300">
        <v>0.19812299999999999</v>
      </c>
      <c r="W1300">
        <v>-4.0106469999999998E-2</v>
      </c>
      <c r="X1300">
        <v>0.97935629999999996</v>
      </c>
      <c r="Y1300">
        <v>0.41209119999999999</v>
      </c>
      <c r="Z1300">
        <v>0.112266</v>
      </c>
      <c r="AA1300">
        <v>0.90419970000000005</v>
      </c>
      <c r="AB1300">
        <v>22</v>
      </c>
      <c r="AC1300">
        <v>-7.0092999999999899</v>
      </c>
      <c r="AD1300">
        <v>-1.1042540189949901</v>
      </c>
      <c r="AE1300">
        <v>-6.6563000000000399</v>
      </c>
      <c r="AF1300">
        <v>4.0566257821262202</v>
      </c>
      <c r="AG1300">
        <v>-1.1042540189949901</v>
      </c>
      <c r="AH1300">
        <v>8.6364675628246808</v>
      </c>
      <c r="AI1300">
        <v>96.601405149076498</v>
      </c>
      <c r="AJ1300">
        <v>64.840137515663301</v>
      </c>
      <c r="AK1300">
        <v>9.6054235533057408</v>
      </c>
      <c r="AL1300">
        <v>92.2985479401476</v>
      </c>
      <c r="AM1300">
        <v>78.563455743012</v>
      </c>
      <c r="AN1300">
        <v>1.0000000072072699</v>
      </c>
    </row>
    <row r="1301" spans="1:40" x14ac:dyDescent="0.25">
      <c r="A1301" t="str">
        <f>"20190312161250765"</f>
        <v>20190312161250765</v>
      </c>
      <c r="B1301" t="str">
        <f>"1552378370756582"</f>
        <v>1552378370756582</v>
      </c>
      <c r="C1301" t="s">
        <v>40</v>
      </c>
      <c r="D1301">
        <v>6.4174119999999997</v>
      </c>
      <c r="E1301">
        <v>0.59133760000000002</v>
      </c>
      <c r="F1301" t="s">
        <v>63</v>
      </c>
      <c r="G1301">
        <v>-202.2724</v>
      </c>
      <c r="H1301" s="1">
        <v>2.9505789999999998E-6</v>
      </c>
      <c r="I1301">
        <v>287.75209999999998</v>
      </c>
      <c r="J1301">
        <v>-195.4016</v>
      </c>
      <c r="K1301">
        <v>1.104193</v>
      </c>
      <c r="L1301">
        <v>294.17110000000002</v>
      </c>
      <c r="M1301">
        <v>-0.37161</v>
      </c>
      <c r="N1301">
        <v>0</v>
      </c>
      <c r="O1301">
        <v>-0.92827720000000002</v>
      </c>
      <c r="P1301">
        <v>-0.54852990000000001</v>
      </c>
      <c r="Q1301">
        <v>-5.0898510000000001E-2</v>
      </c>
      <c r="R1301">
        <v>-0.83458089999999996</v>
      </c>
      <c r="S1301">
        <v>-2.2287750000000002</v>
      </c>
      <c r="T1301">
        <v>-0.35402070000000002</v>
      </c>
      <c r="U1301">
        <v>-2.1157840000000001</v>
      </c>
      <c r="V1301">
        <v>0.19852020000000001</v>
      </c>
      <c r="W1301">
        <v>-3.9648339999999997E-2</v>
      </c>
      <c r="X1301">
        <v>0.97929449999999996</v>
      </c>
      <c r="Y1301">
        <v>0.41231279999999998</v>
      </c>
      <c r="Z1301">
        <v>0.1155153</v>
      </c>
      <c r="AA1301">
        <v>0.90368930000000003</v>
      </c>
      <c r="AB1301">
        <v>22</v>
      </c>
      <c r="AC1301">
        <v>-6.8708</v>
      </c>
      <c r="AD1301">
        <v>-1.104190049421</v>
      </c>
      <c r="AE1301">
        <v>-6.4190000000000396</v>
      </c>
      <c r="AF1301">
        <v>3.93873951622616</v>
      </c>
      <c r="AG1301">
        <v>-1.104190049421</v>
      </c>
      <c r="AH1301">
        <v>8.3969543932944699</v>
      </c>
      <c r="AI1301">
        <v>96.789238694369502</v>
      </c>
      <c r="AJ1301">
        <v>64.870246383646702</v>
      </c>
      <c r="AK1301">
        <v>9.3403291015353993</v>
      </c>
      <c r="AL1301">
        <v>92.272278170038604</v>
      </c>
      <c r="AM1301">
        <v>78.540429518319797</v>
      </c>
      <c r="AN1301">
        <v>0.999999989201522</v>
      </c>
    </row>
    <row r="1302" spans="1:40" x14ac:dyDescent="0.25">
      <c r="A1302" t="str">
        <f>"20190312161250787"</f>
        <v>20190312161250787</v>
      </c>
      <c r="B1302" t="str">
        <f>"1552378370777078"</f>
        <v>1552378370777078</v>
      </c>
      <c r="C1302" t="s">
        <v>40</v>
      </c>
      <c r="D1302">
        <v>6.3758039999999996</v>
      </c>
      <c r="E1302">
        <v>0.59070869999999998</v>
      </c>
      <c r="F1302" t="s">
        <v>63</v>
      </c>
      <c r="G1302">
        <v>-202.33320000000001</v>
      </c>
      <c r="H1302" s="1">
        <v>2.982945E-6</v>
      </c>
      <c r="I1302">
        <v>287.69</v>
      </c>
      <c r="J1302">
        <v>-195.4941</v>
      </c>
      <c r="K1302">
        <v>1.1041209999999999</v>
      </c>
      <c r="L1302">
        <v>293.97030000000001</v>
      </c>
      <c r="M1302">
        <v>-0.3807238</v>
      </c>
      <c r="N1302">
        <v>0</v>
      </c>
      <c r="O1302">
        <v>-0.92457630000000002</v>
      </c>
      <c r="P1302">
        <v>-0.55695249999999996</v>
      </c>
      <c r="Q1302">
        <v>-5.0378840000000001E-2</v>
      </c>
      <c r="R1302">
        <v>-0.82901539999999996</v>
      </c>
      <c r="S1302">
        <v>-2.2438349999999998</v>
      </c>
      <c r="T1302">
        <v>-0.35743829999999999</v>
      </c>
      <c r="U1302">
        <v>-2.0979920000000001</v>
      </c>
      <c r="V1302">
        <v>0.19879089999999999</v>
      </c>
      <c r="W1302">
        <v>-3.9148309999999999E-2</v>
      </c>
      <c r="X1302">
        <v>0.97925969999999996</v>
      </c>
      <c r="Y1302">
        <v>0.41011969999999998</v>
      </c>
      <c r="Z1302">
        <v>0.1164113</v>
      </c>
      <c r="AA1302">
        <v>0.90457180000000004</v>
      </c>
      <c r="AB1302">
        <v>22</v>
      </c>
      <c r="AC1302">
        <v>-6.8391000000000002</v>
      </c>
      <c r="AD1302">
        <v>-1.104118017055</v>
      </c>
      <c r="AE1302">
        <v>-6.2803000000000102</v>
      </c>
      <c r="AF1302">
        <v>3.8777877407957102</v>
      </c>
      <c r="AG1302">
        <v>-1.104118017055</v>
      </c>
      <c r="AH1302">
        <v>8.2940231942223299</v>
      </c>
      <c r="AI1302">
        <v>96.876244655273695</v>
      </c>
      <c r="AJ1302">
        <v>64.942029645270594</v>
      </c>
      <c r="AK1302">
        <v>9.22210036296228</v>
      </c>
      <c r="AL1302">
        <v>92.243606306542603</v>
      </c>
      <c r="AM1302">
        <v>78.524820634271094</v>
      </c>
      <c r="AN1302">
        <v>0.99999998607137697</v>
      </c>
    </row>
    <row r="1303" spans="1:40" x14ac:dyDescent="0.25">
      <c r="A1303" t="str">
        <f>"20190312161250810"</f>
        <v>20190312161250810</v>
      </c>
      <c r="B1303" t="str">
        <f>"1552378370807334"</f>
        <v>1552378370807334</v>
      </c>
      <c r="C1303" t="s">
        <v>40</v>
      </c>
      <c r="D1303">
        <v>6.2175050000000001</v>
      </c>
      <c r="E1303">
        <v>0.59159569999999995</v>
      </c>
      <c r="F1303" t="s">
        <v>63</v>
      </c>
      <c r="G1303">
        <v>-202.3939</v>
      </c>
      <c r="H1303" s="1">
        <v>3.0153499999999999E-6</v>
      </c>
      <c r="I1303">
        <v>287.62759999999997</v>
      </c>
      <c r="J1303">
        <v>-195.59049999999999</v>
      </c>
      <c r="K1303">
        <v>1.104047</v>
      </c>
      <c r="L1303">
        <v>293.7672</v>
      </c>
      <c r="M1303">
        <v>-0.39010549999999999</v>
      </c>
      <c r="N1303">
        <v>0</v>
      </c>
      <c r="O1303">
        <v>-0.92065699999999995</v>
      </c>
      <c r="P1303">
        <v>-0.56548160000000003</v>
      </c>
      <c r="Q1303">
        <v>-4.9762059999999997E-2</v>
      </c>
      <c r="R1303">
        <v>-0.82325879999999996</v>
      </c>
      <c r="S1303">
        <v>-2.260605</v>
      </c>
      <c r="T1303">
        <v>-0.3617436</v>
      </c>
      <c r="U1303">
        <v>-2.0780639999999999</v>
      </c>
      <c r="V1303">
        <v>0.19893079999999999</v>
      </c>
      <c r="W1303">
        <v>-3.8548789999999999E-2</v>
      </c>
      <c r="X1303">
        <v>0.97925510000000004</v>
      </c>
      <c r="Y1303">
        <v>0.4084043</v>
      </c>
      <c r="Z1303">
        <v>0.1175797</v>
      </c>
      <c r="AA1303">
        <v>0.90519669999999997</v>
      </c>
      <c r="AB1303">
        <v>22</v>
      </c>
      <c r="AC1303">
        <v>-6.8034000000000097</v>
      </c>
      <c r="AD1303">
        <v>-1.1040439846500001</v>
      </c>
      <c r="AE1303">
        <v>-6.1396000000000299</v>
      </c>
      <c r="AF1303">
        <v>3.8135586278193001</v>
      </c>
      <c r="AG1303">
        <v>-1.1040439846500001</v>
      </c>
      <c r="AH1303">
        <v>8.1885254956041607</v>
      </c>
      <c r="AI1303">
        <v>96.968319493925094</v>
      </c>
      <c r="AJ1303">
        <v>65.027671255929505</v>
      </c>
      <c r="AK1303">
        <v>9.1002248499702603</v>
      </c>
      <c r="AL1303">
        <v>92.209230333272004</v>
      </c>
      <c r="AM1303">
        <v>78.516906864574196</v>
      </c>
      <c r="AN1303">
        <v>1.00000001163755</v>
      </c>
    </row>
    <row r="1304" spans="1:40" x14ac:dyDescent="0.25">
      <c r="A1304" t="str">
        <f>"20190312161250832"</f>
        <v>20190312161250832</v>
      </c>
      <c r="B1304" t="str">
        <f>"1552378370826854"</f>
        <v>1552378370826854</v>
      </c>
      <c r="C1304" t="s">
        <v>40</v>
      </c>
      <c r="D1304">
        <v>6.3816930000000003</v>
      </c>
      <c r="E1304">
        <v>0.59137259999999903</v>
      </c>
      <c r="F1304" t="s">
        <v>63</v>
      </c>
      <c r="G1304">
        <v>-202.98089999999999</v>
      </c>
      <c r="H1304" s="1">
        <v>3.3178639999999999E-6</v>
      </c>
      <c r="I1304">
        <v>287.14449999999999</v>
      </c>
      <c r="J1304">
        <v>-195.68559999999999</v>
      </c>
      <c r="K1304">
        <v>1.1039840000000001</v>
      </c>
      <c r="L1304">
        <v>293.57229999999998</v>
      </c>
      <c r="M1304">
        <v>-0.39924880000000001</v>
      </c>
      <c r="N1304">
        <v>0</v>
      </c>
      <c r="O1304">
        <v>-0.91672849999999995</v>
      </c>
      <c r="P1304">
        <v>-0.5734513</v>
      </c>
      <c r="Q1304">
        <v>-4.9434319999999997E-2</v>
      </c>
      <c r="R1304">
        <v>-0.81774720000000001</v>
      </c>
      <c r="S1304">
        <v>-2.2889249999999999</v>
      </c>
      <c r="T1304">
        <v>-0.34194089999999999</v>
      </c>
      <c r="U1304">
        <v>-2.0511780000000002</v>
      </c>
      <c r="V1304">
        <v>0.19868730000000001</v>
      </c>
      <c r="W1304">
        <v>-3.822971E-2</v>
      </c>
      <c r="X1304">
        <v>0.97931699999999999</v>
      </c>
      <c r="Y1304">
        <v>0.41140310000000002</v>
      </c>
      <c r="Z1304">
        <v>0.11097079999999999</v>
      </c>
      <c r="AA1304">
        <v>0.9046729</v>
      </c>
      <c r="AB1304">
        <v>22</v>
      </c>
      <c r="AC1304">
        <v>-7.2952999999999903</v>
      </c>
      <c r="AD1304">
        <v>-1.1039806821359901</v>
      </c>
      <c r="AE1304">
        <v>-6.4277999999999897</v>
      </c>
      <c r="AF1304">
        <v>4.0694859268996497</v>
      </c>
      <c r="AG1304">
        <v>-1.1039806821359901</v>
      </c>
      <c r="AH1304">
        <v>8.6940262251773905</v>
      </c>
      <c r="AI1304">
        <v>96.560548090402193</v>
      </c>
      <c r="AJ1304">
        <v>64.916720956816206</v>
      </c>
      <c r="AK1304">
        <v>9.6625866650621095</v>
      </c>
      <c r="AL1304">
        <v>92.190935000645496</v>
      </c>
      <c r="AM1304">
        <v>78.531295699769501</v>
      </c>
      <c r="AN1304">
        <v>0.99999997019848597</v>
      </c>
    </row>
    <row r="1305" spans="1:40" x14ac:dyDescent="0.25">
      <c r="A1305" t="str">
        <f>"20190312161250854"</f>
        <v>20190312161250854</v>
      </c>
      <c r="B1305" t="str">
        <f>"1552378370847350"</f>
        <v>1552378370847350</v>
      </c>
      <c r="C1305" t="s">
        <v>40</v>
      </c>
      <c r="D1305">
        <v>6.3889250000000004</v>
      </c>
      <c r="E1305">
        <v>0.59058710000000003</v>
      </c>
      <c r="F1305" t="s">
        <v>63</v>
      </c>
      <c r="G1305">
        <v>-203.19579999999999</v>
      </c>
      <c r="H1305" s="1">
        <v>3.4288180000000002E-6</v>
      </c>
      <c r="I1305">
        <v>286.96539999999999</v>
      </c>
      <c r="J1305">
        <v>-195.7818</v>
      </c>
      <c r="K1305">
        <v>1.103925</v>
      </c>
      <c r="L1305">
        <v>293.38029999999998</v>
      </c>
      <c r="M1305">
        <v>-0.4083775</v>
      </c>
      <c r="N1305">
        <v>0</v>
      </c>
      <c r="O1305">
        <v>-0.91269800000000001</v>
      </c>
      <c r="P1305">
        <v>-0.58122450000000003</v>
      </c>
      <c r="Q1305">
        <v>-4.8879069999999997E-2</v>
      </c>
      <c r="R1305">
        <v>-0.8122743</v>
      </c>
      <c r="S1305">
        <v>-2.30748</v>
      </c>
      <c r="T1305">
        <v>-0.33919450000000001</v>
      </c>
      <c r="U1305">
        <v>-2.0299680000000002</v>
      </c>
      <c r="V1305">
        <v>0.19824420000000001</v>
      </c>
      <c r="W1305">
        <v>-3.7674409999999998E-2</v>
      </c>
      <c r="X1305">
        <v>0.97942839999999998</v>
      </c>
      <c r="Y1305">
        <v>0.41070489999999998</v>
      </c>
      <c r="Z1305">
        <v>0.1098547</v>
      </c>
      <c r="AA1305">
        <v>0.90512619999999999</v>
      </c>
      <c r="AB1305">
        <v>22</v>
      </c>
      <c r="AC1305">
        <v>-7.4139999999999802</v>
      </c>
      <c r="AD1305">
        <v>-1.1039215711820001</v>
      </c>
      <c r="AE1305">
        <v>-6.4148999999999798</v>
      </c>
      <c r="AF1305">
        <v>4.0955522889756999</v>
      </c>
      <c r="AG1305">
        <v>-1.1039215711820001</v>
      </c>
      <c r="AH1305">
        <v>8.7722907149552292</v>
      </c>
      <c r="AI1305">
        <v>96.505154553103296</v>
      </c>
      <c r="AJ1305">
        <v>64.973363993669594</v>
      </c>
      <c r="AK1305">
        <v>9.7439866468886702</v>
      </c>
      <c r="AL1305">
        <v>92.159095526370706</v>
      </c>
      <c r="AM1305">
        <v>78.557464230250602</v>
      </c>
      <c r="AN1305">
        <v>1.00000005736452</v>
      </c>
    </row>
    <row r="1306" spans="1:40" x14ac:dyDescent="0.25">
      <c r="A1306" t="str">
        <f>"20190312161250877"</f>
        <v>20190312161250877</v>
      </c>
      <c r="B1306" t="str">
        <f>"1552378370866870"</f>
        <v>1552378370866870</v>
      </c>
      <c r="C1306" t="s">
        <v>40</v>
      </c>
      <c r="D1306">
        <v>6.2860269999999998</v>
      </c>
      <c r="E1306">
        <v>0.58958219999999995</v>
      </c>
      <c r="F1306" t="s">
        <v>63</v>
      </c>
      <c r="G1306">
        <v>-203.2294</v>
      </c>
      <c r="H1306" s="1">
        <v>3.4471209999999999E-6</v>
      </c>
      <c r="I1306">
        <v>286.92689999999999</v>
      </c>
      <c r="J1306">
        <v>-195.88900000000001</v>
      </c>
      <c r="K1306">
        <v>1.1038760000000001</v>
      </c>
      <c r="L1306">
        <v>293.1721</v>
      </c>
      <c r="M1306">
        <v>-0.41840319999999998</v>
      </c>
      <c r="N1306">
        <v>0</v>
      </c>
      <c r="O1306">
        <v>-0.90814550000000005</v>
      </c>
      <c r="P1306">
        <v>-0.59039830000000004</v>
      </c>
      <c r="Q1306">
        <v>-4.8562969999999997E-2</v>
      </c>
      <c r="R1306">
        <v>-0.80564969999999902</v>
      </c>
      <c r="S1306">
        <v>-2.3214570000000001</v>
      </c>
      <c r="T1306">
        <v>-0.34409499999999998</v>
      </c>
      <c r="U1306">
        <v>-2.011536</v>
      </c>
      <c r="V1306">
        <v>0.1985575</v>
      </c>
      <c r="W1306">
        <v>-3.7369640000000003E-2</v>
      </c>
      <c r="X1306">
        <v>0.97937660000000004</v>
      </c>
      <c r="Y1306">
        <v>0.40734700000000001</v>
      </c>
      <c r="Z1306">
        <v>0.1111287</v>
      </c>
      <c r="AA1306">
        <v>0.90648709999999999</v>
      </c>
      <c r="AB1306">
        <v>22</v>
      </c>
      <c r="AC1306">
        <v>-7.3403999999999803</v>
      </c>
      <c r="AD1306">
        <v>-1.1038725528790001</v>
      </c>
      <c r="AE1306">
        <v>-6.2452000000000103</v>
      </c>
      <c r="AF1306">
        <v>4.0010765798440202</v>
      </c>
      <c r="AG1306">
        <v>-1.1038725528790001</v>
      </c>
      <c r="AH1306">
        <v>8.6304950209910292</v>
      </c>
      <c r="AI1306">
        <v>96.619017156620401</v>
      </c>
      <c r="AJ1306">
        <v>65.127675238429504</v>
      </c>
      <c r="AK1306">
        <v>9.5766691870465497</v>
      </c>
      <c r="AL1306">
        <v>92.141621207847095</v>
      </c>
      <c r="AM1306">
        <v>78.539268749064902</v>
      </c>
      <c r="AN1306">
        <v>1.0000000477137601</v>
      </c>
    </row>
    <row r="1307" spans="1:40" x14ac:dyDescent="0.25">
      <c r="A1307" t="str">
        <f>"20190312161250902"</f>
        <v>20190312161250902</v>
      </c>
      <c r="B1307" t="str">
        <f>"1552378370897126"</f>
        <v>1552378370897126</v>
      </c>
      <c r="C1307" t="s">
        <v>40</v>
      </c>
      <c r="D1307">
        <v>6.1016500000000002</v>
      </c>
      <c r="E1307">
        <v>0.58842050000000001</v>
      </c>
      <c r="F1307" t="s">
        <v>63</v>
      </c>
      <c r="G1307">
        <v>-203.33420000000001</v>
      </c>
      <c r="H1307" s="1">
        <v>3.501743E-6</v>
      </c>
      <c r="I1307">
        <v>286.83370000000002</v>
      </c>
      <c r="J1307">
        <v>-195.99860000000001</v>
      </c>
      <c r="K1307">
        <v>1.1038250000000001</v>
      </c>
      <c r="L1307">
        <v>292.96510000000001</v>
      </c>
      <c r="M1307">
        <v>-0.42850729999999998</v>
      </c>
      <c r="N1307">
        <v>0</v>
      </c>
      <c r="O1307">
        <v>-0.90342149999999999</v>
      </c>
      <c r="P1307">
        <v>-0.59960749999999996</v>
      </c>
      <c r="Q1307">
        <v>-4.854899E-2</v>
      </c>
      <c r="R1307">
        <v>-0.79882069999999905</v>
      </c>
      <c r="S1307">
        <v>-2.337402</v>
      </c>
      <c r="T1307">
        <v>-0.346557</v>
      </c>
      <c r="U1307">
        <v>-1.9899290000000001</v>
      </c>
      <c r="V1307">
        <v>0.19887009999999999</v>
      </c>
      <c r="W1307">
        <v>-3.7366620000000003E-2</v>
      </c>
      <c r="X1307">
        <v>0.97931330000000005</v>
      </c>
      <c r="Y1307">
        <v>0.40501819999999999</v>
      </c>
      <c r="Z1307">
        <v>0.1116376</v>
      </c>
      <c r="AA1307">
        <v>0.90746749999999998</v>
      </c>
      <c r="AB1307">
        <v>22</v>
      </c>
      <c r="AC1307">
        <v>-7.3355999999999897</v>
      </c>
      <c r="AD1307">
        <v>-1.103821498257</v>
      </c>
      <c r="AE1307">
        <v>-6.1313999999999798</v>
      </c>
      <c r="AF1307">
        <v>3.9475902819175599</v>
      </c>
      <c r="AG1307">
        <v>-1.103821498257</v>
      </c>
      <c r="AH1307">
        <v>8.5692854469628692</v>
      </c>
      <c r="AI1307">
        <v>96.672941377367906</v>
      </c>
      <c r="AJ1307">
        <v>65.2660177655967</v>
      </c>
      <c r="AK1307">
        <v>9.4991864917704394</v>
      </c>
      <c r="AL1307">
        <v>92.141448026783905</v>
      </c>
      <c r="AM1307">
        <v>78.520981800419193</v>
      </c>
      <c r="AN1307">
        <v>1.0000000602605601</v>
      </c>
    </row>
    <row r="1308" spans="1:40" x14ac:dyDescent="0.25">
      <c r="A1308" t="str">
        <f>"20190312161250944"</f>
        <v>20190312161250944</v>
      </c>
      <c r="B1308" t="str">
        <f>"1552378370937142"</f>
        <v>1552378370937142</v>
      </c>
      <c r="C1308" t="s">
        <v>40</v>
      </c>
      <c r="D1308">
        <v>6.082109</v>
      </c>
      <c r="E1308">
        <v>0.58787780000000001</v>
      </c>
      <c r="F1308" t="s">
        <v>63</v>
      </c>
      <c r="G1308">
        <v>-203.88579999999999</v>
      </c>
      <c r="H1308" s="1">
        <v>3.7871180000000002E-6</v>
      </c>
      <c r="I1308">
        <v>286.3673</v>
      </c>
      <c r="J1308">
        <v>-196.20580000000001</v>
      </c>
      <c r="K1308">
        <v>1.103729</v>
      </c>
      <c r="L1308">
        <v>292.58929999999998</v>
      </c>
      <c r="M1308">
        <v>-0.44721660000000002</v>
      </c>
      <c r="N1308">
        <v>0</v>
      </c>
      <c r="O1308">
        <v>-0.89430689999999902</v>
      </c>
      <c r="P1308">
        <v>-0.61565059999999905</v>
      </c>
      <c r="Q1308">
        <v>-4.8242510000000002E-2</v>
      </c>
      <c r="R1308">
        <v>-0.78654119999999905</v>
      </c>
      <c r="S1308">
        <v>-2.3536220000000001</v>
      </c>
      <c r="T1308">
        <v>-0.32939220000000002</v>
      </c>
      <c r="U1308">
        <v>-1.968842</v>
      </c>
      <c r="V1308">
        <v>0.19829459999999999</v>
      </c>
      <c r="W1308">
        <v>-3.70633E-2</v>
      </c>
      <c r="X1308">
        <v>0.97944149999999996</v>
      </c>
      <c r="Y1308">
        <v>0.39438529999999999</v>
      </c>
      <c r="Z1308">
        <v>0.1053692</v>
      </c>
      <c r="AA1308">
        <v>0.91288420000000003</v>
      </c>
      <c r="AB1308">
        <v>22</v>
      </c>
      <c r="AC1308">
        <v>-7.6799999999999704</v>
      </c>
      <c r="AD1308">
        <v>-1.1037252128820001</v>
      </c>
      <c r="AE1308">
        <v>-6.22199999999998</v>
      </c>
      <c r="AF1308">
        <v>4.0358052578365804</v>
      </c>
      <c r="AG1308">
        <v>-1.1037252128820001</v>
      </c>
      <c r="AH1308">
        <v>8.8891150474533909</v>
      </c>
      <c r="AI1308">
        <v>96.450413595302507</v>
      </c>
      <c r="AJ1308">
        <v>65.581165653701206</v>
      </c>
      <c r="AK1308">
        <v>9.8245763141010407</v>
      </c>
      <c r="AL1308">
        <v>92.124057058892305</v>
      </c>
      <c r="AM1308">
        <v>78.554780977848395</v>
      </c>
      <c r="AN1308">
        <v>1.0000000442591399</v>
      </c>
    </row>
    <row r="1309" spans="1:40" x14ac:dyDescent="0.25">
      <c r="A1309" t="str">
        <f>"20190312161250966"</f>
        <v>20190312161250966</v>
      </c>
      <c r="B1309" t="str">
        <f>"1552378370956662"</f>
        <v>1552378370956662</v>
      </c>
      <c r="C1309" t="s">
        <v>40</v>
      </c>
      <c r="D1309">
        <v>6.135605</v>
      </c>
      <c r="E1309">
        <v>0.58746640000000006</v>
      </c>
      <c r="F1309" t="s">
        <v>63</v>
      </c>
      <c r="G1309">
        <v>-205.11609999999999</v>
      </c>
      <c r="H1309" s="1">
        <v>4.4154070000000001E-6</v>
      </c>
      <c r="I1309">
        <v>285.42090000000002</v>
      </c>
      <c r="J1309">
        <v>-196.31290000000001</v>
      </c>
      <c r="K1309">
        <v>1.103667</v>
      </c>
      <c r="L1309">
        <v>292.40249999999997</v>
      </c>
      <c r="M1309">
        <v>-0.45668779999999998</v>
      </c>
      <c r="N1309">
        <v>0</v>
      </c>
      <c r="O1309">
        <v>-0.88950759999999995</v>
      </c>
      <c r="P1309">
        <v>-0.62408419999999998</v>
      </c>
      <c r="Q1309">
        <v>-4.7776140000000002E-2</v>
      </c>
      <c r="R1309">
        <v>-0.77989549999999996</v>
      </c>
      <c r="S1309">
        <v>-2.3915709999999999</v>
      </c>
      <c r="T1309">
        <v>-0.29624699999999998</v>
      </c>
      <c r="U1309">
        <v>-1.924042</v>
      </c>
      <c r="V1309">
        <v>0.19842969999999999</v>
      </c>
      <c r="W1309">
        <v>-3.6606619999999999E-2</v>
      </c>
      <c r="X1309">
        <v>0.9794313</v>
      </c>
      <c r="Y1309">
        <v>0.40299109999999999</v>
      </c>
      <c r="Z1309">
        <v>9.476888E-2</v>
      </c>
      <c r="AA1309">
        <v>0.91028399999999998</v>
      </c>
      <c r="AB1309">
        <v>22</v>
      </c>
      <c r="AC1309">
        <v>-8.8031999999999702</v>
      </c>
      <c r="AD1309">
        <v>-1.1036625845929999</v>
      </c>
      <c r="AE1309">
        <v>-6.9815999999999496</v>
      </c>
      <c r="AF1309">
        <v>4.5982270812827997</v>
      </c>
      <c r="AG1309">
        <v>-1.1036625845929999</v>
      </c>
      <c r="AH1309">
        <v>10.133807049784</v>
      </c>
      <c r="AI1309">
        <v>95.663886864282702</v>
      </c>
      <c r="AJ1309">
        <v>65.5937716985256</v>
      </c>
      <c r="AK1309">
        <v>11.1828354505432</v>
      </c>
      <c r="AL1309">
        <v>92.097873482005795</v>
      </c>
      <c r="AM1309">
        <v>78.547073109673306</v>
      </c>
      <c r="AN1309">
        <v>1.0000000309448001</v>
      </c>
    </row>
    <row r="1310" spans="1:40" x14ac:dyDescent="0.25">
      <c r="A1310" t="str">
        <f>"20190312161250990"</f>
        <v>20190312161250990</v>
      </c>
      <c r="B1310" t="str">
        <f>"1552378370986918"</f>
        <v>1552378370986918</v>
      </c>
      <c r="C1310" t="s">
        <v>40</v>
      </c>
      <c r="D1310">
        <v>6.2872019999999997</v>
      </c>
      <c r="E1310">
        <v>0.58684029999999998</v>
      </c>
      <c r="F1310" t="s">
        <v>63</v>
      </c>
      <c r="G1310">
        <v>-205.70760000000001</v>
      </c>
      <c r="H1310" s="1">
        <v>4.7150919999999997E-6</v>
      </c>
      <c r="I1310">
        <v>284.99340000000001</v>
      </c>
      <c r="J1310">
        <v>-196.4315</v>
      </c>
      <c r="K1310">
        <v>1.1036140000000001</v>
      </c>
      <c r="L1310">
        <v>292.2011</v>
      </c>
      <c r="M1310">
        <v>-0.46703509999999998</v>
      </c>
      <c r="N1310">
        <v>0</v>
      </c>
      <c r="O1310">
        <v>-0.88411810000000002</v>
      </c>
      <c r="P1310">
        <v>-0.63353909999999902</v>
      </c>
      <c r="Q1310">
        <v>-4.7203519999999999E-2</v>
      </c>
      <c r="R1310">
        <v>-0.77226969999999995</v>
      </c>
      <c r="S1310">
        <v>-2.4100950000000001</v>
      </c>
      <c r="T1310">
        <v>-0.28313139999999998</v>
      </c>
      <c r="U1310">
        <v>-1.9006959999999999</v>
      </c>
      <c r="V1310">
        <v>0.19892080000000001</v>
      </c>
      <c r="W1310">
        <v>-3.6053630000000003E-2</v>
      </c>
      <c r="X1310">
        <v>0.97935220000000001</v>
      </c>
      <c r="Y1310">
        <v>0.4015106</v>
      </c>
      <c r="Z1310">
        <v>9.02757E-2</v>
      </c>
      <c r="AA1310">
        <v>0.91139429999999999</v>
      </c>
      <c r="AB1310">
        <v>22</v>
      </c>
      <c r="AC1310">
        <v>-9.2761000000000102</v>
      </c>
      <c r="AD1310">
        <v>-1.1036092849079999</v>
      </c>
      <c r="AE1310">
        <v>-7.2076999999999796</v>
      </c>
      <c r="AF1310">
        <v>4.79313108333643</v>
      </c>
      <c r="AG1310">
        <v>-1.1036092849079999</v>
      </c>
      <c r="AH1310">
        <v>10.612202006048999</v>
      </c>
      <c r="AI1310">
        <v>95.414073390859699</v>
      </c>
      <c r="AJ1310">
        <v>65.693102166526501</v>
      </c>
      <c r="AK1310">
        <v>11.696618761546899</v>
      </c>
      <c r="AL1310">
        <v>92.066168539955498</v>
      </c>
      <c r="AM1310">
        <v>78.518576998357901</v>
      </c>
      <c r="AN1310">
        <v>1.0000000402768201</v>
      </c>
    </row>
    <row r="1311" spans="1:40" x14ac:dyDescent="0.25">
      <c r="A1311" t="str">
        <f>"20190312161251012"</f>
        <v>20190312161251012</v>
      </c>
      <c r="B1311" t="str">
        <f>"1552378371006439"</f>
        <v>1552378371006439</v>
      </c>
      <c r="C1311" t="s">
        <v>40</v>
      </c>
      <c r="D1311">
        <v>6.181673</v>
      </c>
      <c r="E1311">
        <v>0.58620850000000002</v>
      </c>
      <c r="F1311" t="s">
        <v>63</v>
      </c>
      <c r="G1311">
        <v>-206.0453</v>
      </c>
      <c r="H1311" s="1">
        <v>4.8833240000000001E-6</v>
      </c>
      <c r="I1311">
        <v>284.7824</v>
      </c>
      <c r="J1311">
        <v>-196.5411</v>
      </c>
      <c r="K1311">
        <v>1.1035549999999901</v>
      </c>
      <c r="L1311">
        <v>292.02019999999999</v>
      </c>
      <c r="M1311">
        <v>-0.47647840000000002</v>
      </c>
      <c r="N1311">
        <v>0</v>
      </c>
      <c r="O1311">
        <v>-0.87906450000000003</v>
      </c>
      <c r="P1311">
        <v>-0.64162030000000003</v>
      </c>
      <c r="Q1311">
        <v>-4.6370740000000001E-2</v>
      </c>
      <c r="R1311">
        <v>-0.76561959999999996</v>
      </c>
      <c r="S1311">
        <v>-2.4293209999999998</v>
      </c>
      <c r="T1311">
        <v>-0.27887129999999999</v>
      </c>
      <c r="U1311">
        <v>-1.8746339999999999</v>
      </c>
      <c r="V1311">
        <v>0.1987071</v>
      </c>
      <c r="W1311">
        <v>-3.5227469999999997E-2</v>
      </c>
      <c r="X1311">
        <v>0.97942560000000001</v>
      </c>
      <c r="Y1311">
        <v>0.40144010000000002</v>
      </c>
      <c r="Z1311">
        <v>8.8673639999999998E-2</v>
      </c>
      <c r="AA1311">
        <v>0.91158260000000002</v>
      </c>
      <c r="AB1311">
        <v>22</v>
      </c>
      <c r="AC1311">
        <v>-9.5041999999999902</v>
      </c>
      <c r="AD1311">
        <v>-1.10355011667599</v>
      </c>
      <c r="AE1311">
        <v>-7.2377999999999902</v>
      </c>
      <c r="AF1311">
        <v>4.8651588950874904</v>
      </c>
      <c r="AG1311">
        <v>-1.10355011667599</v>
      </c>
      <c r="AH1311">
        <v>10.8000451185606</v>
      </c>
      <c r="AI1311">
        <v>95.322521764360403</v>
      </c>
      <c r="AJ1311">
        <v>65.749588480352401</v>
      </c>
      <c r="AK1311">
        <v>11.8965780162789</v>
      </c>
      <c r="AL1311">
        <v>92.018803055971404</v>
      </c>
      <c r="AM1311">
        <v>78.531421173136906</v>
      </c>
      <c r="AN1311">
        <v>0.99999999608418499</v>
      </c>
    </row>
    <row r="1312" spans="1:40" x14ac:dyDescent="0.25">
      <c r="A1312" t="str">
        <f>"20190312161251034"</f>
        <v>20190312161251034</v>
      </c>
      <c r="B1312" t="str">
        <f>"1552378371026934"</f>
        <v>1552378371026934</v>
      </c>
      <c r="C1312" t="s">
        <v>40</v>
      </c>
      <c r="D1312">
        <v>6.1309930000000001</v>
      </c>
      <c r="E1312">
        <v>0.58586079999999996</v>
      </c>
      <c r="F1312" t="s">
        <v>63</v>
      </c>
      <c r="G1312">
        <v>-206.38749999999999</v>
      </c>
      <c r="H1312" s="1">
        <v>5.0544740000000002E-6</v>
      </c>
      <c r="I1312">
        <v>284.56049999999999</v>
      </c>
      <c r="J1312">
        <v>-196.6592</v>
      </c>
      <c r="K1312">
        <v>1.103499</v>
      </c>
      <c r="L1312">
        <v>291.83030000000002</v>
      </c>
      <c r="M1312">
        <v>-0.48651169999999999</v>
      </c>
      <c r="N1312">
        <v>0</v>
      </c>
      <c r="O1312">
        <v>-0.87355110000000002</v>
      </c>
      <c r="P1312">
        <v>-0.65008999999999995</v>
      </c>
      <c r="Q1312">
        <v>-4.5779300000000002E-2</v>
      </c>
      <c r="R1312">
        <v>-0.75847690000000001</v>
      </c>
      <c r="S1312">
        <v>-2.4452820000000002</v>
      </c>
      <c r="T1312">
        <v>-0.27405869999999999</v>
      </c>
      <c r="U1312">
        <v>-1.8525700000000001</v>
      </c>
      <c r="V1312">
        <v>0.1983664</v>
      </c>
      <c r="W1312">
        <v>-3.4637010000000003E-2</v>
      </c>
      <c r="X1312">
        <v>0.97951569999999999</v>
      </c>
      <c r="Y1312">
        <v>0.39918320000000002</v>
      </c>
      <c r="Z1312">
        <v>8.6816320000000002E-2</v>
      </c>
      <c r="AA1312">
        <v>0.91275170000000005</v>
      </c>
      <c r="AB1312">
        <v>21</v>
      </c>
      <c r="AC1312">
        <v>-9.7282999999999902</v>
      </c>
      <c r="AD1312">
        <v>-1.103493945526</v>
      </c>
      <c r="AE1312">
        <v>-7.2698000000000302</v>
      </c>
      <c r="AF1312">
        <v>4.9212270269228799</v>
      </c>
      <c r="AG1312">
        <v>-1.103493945526</v>
      </c>
      <c r="AH1312">
        <v>10.9938970169258</v>
      </c>
      <c r="AI1312">
        <v>95.234459397040396</v>
      </c>
      <c r="AJ1312">
        <v>65.885153186897895</v>
      </c>
      <c r="AK1312">
        <v>12.095534132773899</v>
      </c>
      <c r="AL1312">
        <v>91.984951563478603</v>
      </c>
      <c r="AM1312">
        <v>78.551590629339302</v>
      </c>
      <c r="AN1312">
        <v>0.99999997882859404</v>
      </c>
    </row>
    <row r="1313" spans="1:40" x14ac:dyDescent="0.25">
      <c r="A1313" t="str">
        <f>"20190312161251057"</f>
        <v>20190312161251057</v>
      </c>
      <c r="B1313" t="str">
        <f>"1552378371046454"</f>
        <v>1552378371046454</v>
      </c>
      <c r="C1313" t="s">
        <v>40</v>
      </c>
      <c r="D1313">
        <v>6.1043529999999997</v>
      </c>
      <c r="E1313">
        <v>0.58540630000000005</v>
      </c>
      <c r="F1313" t="s">
        <v>63</v>
      </c>
      <c r="G1313">
        <v>-206.70400000000001</v>
      </c>
      <c r="H1313" s="1">
        <v>5.210573E-6</v>
      </c>
      <c r="I1313">
        <v>284.38049999999998</v>
      </c>
      <c r="J1313">
        <v>-196.7774</v>
      </c>
      <c r="K1313">
        <v>1.103443</v>
      </c>
      <c r="L1313">
        <v>291.64550000000003</v>
      </c>
      <c r="M1313">
        <v>-0.49640459999999897</v>
      </c>
      <c r="N1313">
        <v>0</v>
      </c>
      <c r="O1313">
        <v>-0.8679673</v>
      </c>
      <c r="P1313">
        <v>-0.65904309999999999</v>
      </c>
      <c r="Q1313">
        <v>-4.6144329999999997E-2</v>
      </c>
      <c r="R1313">
        <v>-0.75068829999999998</v>
      </c>
      <c r="S1313">
        <v>-2.4637150000000001</v>
      </c>
      <c r="T1313">
        <v>-0.27065660000000002</v>
      </c>
      <c r="U1313">
        <v>-1.82724</v>
      </c>
      <c r="V1313">
        <v>0.19886010000000001</v>
      </c>
      <c r="W1313">
        <v>-3.501692E-2</v>
      </c>
      <c r="X1313">
        <v>0.97940210000000005</v>
      </c>
      <c r="Y1313">
        <v>0.3981924</v>
      </c>
      <c r="Z1313">
        <v>8.5425150000000005E-2</v>
      </c>
      <c r="AA1313">
        <v>0.91331560000000001</v>
      </c>
      <c r="AB1313">
        <v>21</v>
      </c>
      <c r="AC1313">
        <v>-9.9266000000000005</v>
      </c>
      <c r="AD1313">
        <v>-1.103437789427</v>
      </c>
      <c r="AE1313">
        <v>-7.2650000000000396</v>
      </c>
      <c r="AF1313">
        <v>4.9701319041755099</v>
      </c>
      <c r="AG1313">
        <v>-1.103437789427</v>
      </c>
      <c r="AH1313">
        <v>11.144923997552899</v>
      </c>
      <c r="AI1313">
        <v>95.166861363075995</v>
      </c>
      <c r="AJ1313">
        <v>65.965290614583907</v>
      </c>
      <c r="AK1313">
        <v>12.2527187599842</v>
      </c>
      <c r="AL1313">
        <v>92.006731976584206</v>
      </c>
      <c r="AM1313">
        <v>78.522556794957893</v>
      </c>
      <c r="AN1313">
        <v>0.99999999877135304</v>
      </c>
    </row>
    <row r="1314" spans="1:40" x14ac:dyDescent="0.25">
      <c r="A1314" t="str">
        <f>"20190312161251078"</f>
        <v>20190312161251078</v>
      </c>
      <c r="B1314" t="str">
        <f>"1552378371067926"</f>
        <v>1552378371067926</v>
      </c>
      <c r="C1314" t="s">
        <v>40</v>
      </c>
      <c r="D1314">
        <v>6.0050290000000004</v>
      </c>
      <c r="E1314">
        <v>0.58513990000000005</v>
      </c>
      <c r="F1314" t="s">
        <v>63</v>
      </c>
      <c r="G1314">
        <v>-206.84469999999999</v>
      </c>
      <c r="H1314" s="1">
        <v>5.2759779999999998E-6</v>
      </c>
      <c r="I1314">
        <v>284.34589999999997</v>
      </c>
      <c r="J1314">
        <v>-196.89410000000001</v>
      </c>
      <c r="K1314">
        <v>1.1033850000000001</v>
      </c>
      <c r="L1314">
        <v>291.46730000000002</v>
      </c>
      <c r="M1314">
        <v>-0.50605219999999995</v>
      </c>
      <c r="N1314">
        <v>0</v>
      </c>
      <c r="O1314">
        <v>-0.86237779999999997</v>
      </c>
      <c r="P1314">
        <v>-0.66799330000000001</v>
      </c>
      <c r="Q1314">
        <v>-4.6536929999999997E-2</v>
      </c>
      <c r="R1314">
        <v>-0.74271109999999996</v>
      </c>
      <c r="S1314">
        <v>-2.4826350000000001</v>
      </c>
      <c r="T1314">
        <v>-0.27211079999999999</v>
      </c>
      <c r="U1314">
        <v>-1.8001100000000001</v>
      </c>
      <c r="V1314">
        <v>0.1996793</v>
      </c>
      <c r="W1314">
        <v>-3.5429820000000001E-2</v>
      </c>
      <c r="X1314">
        <v>0.9792206</v>
      </c>
      <c r="Y1314">
        <v>0.39779589999999998</v>
      </c>
      <c r="Z1314">
        <v>8.5577879999999995E-2</v>
      </c>
      <c r="AA1314">
        <v>0.91347409999999996</v>
      </c>
      <c r="AB1314">
        <v>21</v>
      </c>
      <c r="AC1314">
        <v>-9.9505999999999801</v>
      </c>
      <c r="AD1314">
        <v>-1.103379724022</v>
      </c>
      <c r="AE1314">
        <v>-7.1214000000000501</v>
      </c>
      <c r="AF1314">
        <v>4.9377642677118603</v>
      </c>
      <c r="AG1314">
        <v>-1.103379724022</v>
      </c>
      <c r="AH1314">
        <v>11.0879099581537</v>
      </c>
      <c r="AI1314">
        <v>95.194215027212806</v>
      </c>
      <c r="AJ1314">
        <v>65.995218888022407</v>
      </c>
      <c r="AK1314">
        <v>12.187727844803501</v>
      </c>
      <c r="AL1314">
        <v>92.030404011350598</v>
      </c>
      <c r="AM1314">
        <v>78.474459227281997</v>
      </c>
      <c r="AN1314">
        <v>1.00000003922904</v>
      </c>
    </row>
    <row r="1315" spans="1:40" x14ac:dyDescent="0.25">
      <c r="A1315" t="str">
        <f>"20190312161251104"</f>
        <v>20190312161251104</v>
      </c>
      <c r="B1315" t="str">
        <f>"1552378371097207"</f>
        <v>1552378371097207</v>
      </c>
      <c r="C1315" t="s">
        <v>40</v>
      </c>
      <c r="D1315">
        <v>5.9326379999999999</v>
      </c>
      <c r="E1315">
        <v>0.58574159999999997</v>
      </c>
      <c r="F1315" t="s">
        <v>63</v>
      </c>
      <c r="G1315">
        <v>-207.10560000000001</v>
      </c>
      <c r="H1315" s="1">
        <v>5.4011330000000001E-6</v>
      </c>
      <c r="I1315">
        <v>284.23779999999999</v>
      </c>
      <c r="J1315">
        <v>-197.02770000000001</v>
      </c>
      <c r="K1315">
        <v>1.103335</v>
      </c>
      <c r="L1315">
        <v>291.2688</v>
      </c>
      <c r="M1315">
        <v>-0.51693809999999996</v>
      </c>
      <c r="N1315">
        <v>0</v>
      </c>
      <c r="O1315">
        <v>-0.85589629999999906</v>
      </c>
      <c r="P1315">
        <v>-0.67811440000000001</v>
      </c>
      <c r="Q1315">
        <v>-4.6897010000000003E-2</v>
      </c>
      <c r="R1315">
        <v>-0.73345909999999903</v>
      </c>
      <c r="S1315">
        <v>-2.502472</v>
      </c>
      <c r="T1315">
        <v>-0.27039800000000003</v>
      </c>
      <c r="U1315">
        <v>-1.771698</v>
      </c>
      <c r="V1315">
        <v>0.20069999999999999</v>
      </c>
      <c r="W1315">
        <v>-3.5814099999999897E-2</v>
      </c>
      <c r="X1315">
        <v>0.97899789999999998</v>
      </c>
      <c r="Y1315">
        <v>0.39656130000000001</v>
      </c>
      <c r="Z1315">
        <v>8.4653240000000005E-2</v>
      </c>
      <c r="AA1315">
        <v>0.91409680000000004</v>
      </c>
      <c r="AB1315">
        <v>21</v>
      </c>
      <c r="AC1315">
        <v>-10.0779</v>
      </c>
      <c r="AD1315">
        <v>-1.103329598867</v>
      </c>
      <c r="AE1315">
        <v>-7.0309999999999997</v>
      </c>
      <c r="AF1315">
        <v>4.9516662262545399</v>
      </c>
      <c r="AG1315">
        <v>-1.103329598867</v>
      </c>
      <c r="AH1315">
        <v>11.138872803202799</v>
      </c>
      <c r="AI1315">
        <v>95.171853746546304</v>
      </c>
      <c r="AJ1315">
        <v>66.032974943011197</v>
      </c>
      <c r="AK1315">
        <v>12.2397231155732</v>
      </c>
      <c r="AL1315">
        <v>92.052435667267204</v>
      </c>
      <c r="AM1315">
        <v>78.414568773572896</v>
      </c>
      <c r="AN1315">
        <v>1.0000000139816001</v>
      </c>
    </row>
    <row r="1316" spans="1:40" x14ac:dyDescent="0.25">
      <c r="A1316" t="str">
        <f>"20190312161251125"</f>
        <v>20190312161251125</v>
      </c>
      <c r="B1316" t="str">
        <f>"1552378371116726"</f>
        <v>1552378371116726</v>
      </c>
      <c r="C1316" t="s">
        <v>40</v>
      </c>
      <c r="D1316">
        <v>5.9173629999999999</v>
      </c>
      <c r="E1316">
        <v>0.58644549999999995</v>
      </c>
      <c r="F1316" t="s">
        <v>63</v>
      </c>
      <c r="G1316">
        <v>-207.7535</v>
      </c>
      <c r="H1316" s="1">
        <v>5.7162350000000003E-6</v>
      </c>
      <c r="I1316">
        <v>283.92</v>
      </c>
      <c r="J1316">
        <v>-197.1499</v>
      </c>
      <c r="K1316">
        <v>1.1032850000000001</v>
      </c>
      <c r="L1316">
        <v>291.09219999999999</v>
      </c>
      <c r="M1316">
        <v>-0.5267406</v>
      </c>
      <c r="N1316">
        <v>0</v>
      </c>
      <c r="O1316">
        <v>-0.84989859999999995</v>
      </c>
      <c r="P1316">
        <v>-0.68722050000000001</v>
      </c>
      <c r="Q1316">
        <v>-4.7579400000000001E-2</v>
      </c>
      <c r="R1316">
        <v>-0.72488929999999996</v>
      </c>
      <c r="S1316">
        <v>-2.530624</v>
      </c>
      <c r="T1316">
        <v>-0.26031739999999998</v>
      </c>
      <c r="U1316">
        <v>-1.7338560000000001</v>
      </c>
      <c r="V1316">
        <v>0.20168140000000001</v>
      </c>
      <c r="W1316">
        <v>-3.6519469999999998E-2</v>
      </c>
      <c r="X1316">
        <v>0.97877009999999998</v>
      </c>
      <c r="Y1316">
        <v>0.40032499999999999</v>
      </c>
      <c r="Z1316">
        <v>8.1238290000000005E-2</v>
      </c>
      <c r="AA1316">
        <v>0.9127651</v>
      </c>
      <c r="AB1316">
        <v>21</v>
      </c>
      <c r="AC1316">
        <v>-10.6036</v>
      </c>
      <c r="AD1316">
        <v>-1.1032792837650001</v>
      </c>
      <c r="AE1316">
        <v>-7.1721999999999699</v>
      </c>
      <c r="AF1316">
        <v>5.1960683364428704</v>
      </c>
      <c r="AG1316">
        <v>-1.1032792837650001</v>
      </c>
      <c r="AH1316">
        <v>11.5961229139597</v>
      </c>
      <c r="AI1316">
        <v>94.962214197517596</v>
      </c>
      <c r="AJ1316">
        <v>65.863483810764507</v>
      </c>
      <c r="AK1316">
        <v>12.754858602533799</v>
      </c>
      <c r="AL1316">
        <v>92.092876912814006</v>
      </c>
      <c r="AM1316">
        <v>78.356824564560597</v>
      </c>
      <c r="AN1316">
        <v>0.99999998372452503</v>
      </c>
    </row>
    <row r="1317" spans="1:40" x14ac:dyDescent="0.25">
      <c r="A1317" t="str">
        <f>"20190312161251146"</f>
        <v>20190312161251146</v>
      </c>
      <c r="B1317" t="str">
        <f>"1552378371137223"</f>
        <v>1552378371137223</v>
      </c>
      <c r="C1317" t="s">
        <v>40</v>
      </c>
      <c r="D1317">
        <v>5.2510949999999896</v>
      </c>
      <c r="E1317">
        <v>0.64413809999999905</v>
      </c>
      <c r="F1317" t="s">
        <v>63</v>
      </c>
      <c r="G1317">
        <v>-208.16210000000001</v>
      </c>
      <c r="H1317" s="1">
        <v>5.9099699999999998E-6</v>
      </c>
      <c r="I1317">
        <v>283.7765</v>
      </c>
      <c r="J1317">
        <v>-197.2723</v>
      </c>
      <c r="K1317">
        <v>1.103243</v>
      </c>
      <c r="L1317">
        <v>290.91969999999998</v>
      </c>
      <c r="M1317">
        <v>-0.53642230000000002</v>
      </c>
      <c r="N1317">
        <v>0</v>
      </c>
      <c r="O1317">
        <v>-0.84382089999999998</v>
      </c>
      <c r="P1317">
        <v>-0.69670869999999996</v>
      </c>
      <c r="Q1317">
        <v>-4.9065440000000002E-2</v>
      </c>
      <c r="R1317">
        <v>-0.71567449999999999</v>
      </c>
      <c r="S1317">
        <v>-2.5563349999999998</v>
      </c>
      <c r="T1317">
        <v>-0.25611159999999999</v>
      </c>
      <c r="U1317">
        <v>-1.69824199999999</v>
      </c>
      <c r="V1317">
        <v>0.2034069</v>
      </c>
      <c r="W1317">
        <v>-3.8044689999999999E-2</v>
      </c>
      <c r="X1317">
        <v>0.97835490000000003</v>
      </c>
      <c r="Y1317">
        <v>0.40302900000000003</v>
      </c>
      <c r="Z1317">
        <v>7.963017E-2</v>
      </c>
      <c r="AA1317">
        <v>0.91171630000000004</v>
      </c>
      <c r="AB1317">
        <v>21</v>
      </c>
      <c r="AC1317">
        <v>-10.889799999999999</v>
      </c>
      <c r="AD1317">
        <v>-1.1032370900299999</v>
      </c>
      <c r="AE1317">
        <v>-7.14319999999997</v>
      </c>
      <c r="AF1317">
        <v>5.3196778485508203</v>
      </c>
      <c r="AG1317">
        <v>-1.1032370900299999</v>
      </c>
      <c r="AH1317">
        <v>11.785829093545001</v>
      </c>
      <c r="AI1317">
        <v>94.876595326585104</v>
      </c>
      <c r="AJ1317">
        <v>65.707382334763594</v>
      </c>
      <c r="AK1317">
        <v>12.977745255298901</v>
      </c>
      <c r="AL1317">
        <v>92.180326269937694</v>
      </c>
      <c r="AM1317">
        <v>78.255120251611999</v>
      </c>
      <c r="AN1317">
        <v>1.0000000378794001</v>
      </c>
    </row>
    <row r="1318" spans="1:40" x14ac:dyDescent="0.25">
      <c r="A1318" t="str">
        <f>"20190312161251170"</f>
        <v>20190312161251170</v>
      </c>
      <c r="B1318" t="str">
        <f>"1552378371166503"</f>
        <v>1552378371166503</v>
      </c>
      <c r="C1318" t="s">
        <v>40</v>
      </c>
      <c r="D1318">
        <v>6.0156039999999997</v>
      </c>
      <c r="E1318">
        <v>0.65015409999999996</v>
      </c>
      <c r="F1318" t="s">
        <v>65</v>
      </c>
      <c r="G1318">
        <v>-245.1497</v>
      </c>
      <c r="H1318">
        <v>4.0343309999999999</v>
      </c>
      <c r="I1318">
        <v>268.85500000000002</v>
      </c>
      <c r="J1318">
        <v>-197.40369999999999</v>
      </c>
      <c r="K1318">
        <v>1.1031979999999999</v>
      </c>
      <c r="L1318">
        <v>290.73950000000002</v>
      </c>
      <c r="M1318">
        <v>-0.54666239999999999</v>
      </c>
      <c r="N1318">
        <v>0</v>
      </c>
      <c r="O1318">
        <v>-0.83722280000000004</v>
      </c>
      <c r="P1318">
        <v>-0.7064028</v>
      </c>
      <c r="Q1318">
        <v>-4.8861040000000001E-2</v>
      </c>
      <c r="R1318">
        <v>-0.70612200000000003</v>
      </c>
      <c r="S1318">
        <v>-2.9310459999999998</v>
      </c>
      <c r="T1318">
        <v>0.17944070000000001</v>
      </c>
      <c r="U1318">
        <v>-1.3508</v>
      </c>
      <c r="V1318">
        <v>0.20481859999999999</v>
      </c>
      <c r="W1318">
        <v>-3.7873509999999999E-2</v>
      </c>
      <c r="X1318">
        <v>0.97806689999999996</v>
      </c>
      <c r="Y1318">
        <v>0.53002919999999998</v>
      </c>
      <c r="Z1318">
        <v>-5.5211679999999999E-2</v>
      </c>
      <c r="AA1318">
        <v>0.84618009999999999</v>
      </c>
      <c r="AB1318">
        <v>21</v>
      </c>
      <c r="AC1318">
        <v>-47.746000000000002</v>
      </c>
      <c r="AD1318">
        <v>2.931133</v>
      </c>
      <c r="AE1318">
        <v>-21.884499999999999</v>
      </c>
      <c r="AF1318">
        <v>27.926686936032599</v>
      </c>
      <c r="AG1318">
        <v>2.931133</v>
      </c>
      <c r="AH1318">
        <v>44.2900538863056</v>
      </c>
      <c r="AI1318">
        <v>86.795868864361907</v>
      </c>
      <c r="AJ1318">
        <v>57.766895170962997</v>
      </c>
      <c r="AK1318">
        <v>52.441398314106003</v>
      </c>
      <c r="AL1318">
        <v>92.170511471412993</v>
      </c>
      <c r="AM1318">
        <v>78.172511036619298</v>
      </c>
      <c r="AN1318">
        <v>0.99999996127064406</v>
      </c>
    </row>
    <row r="1319" spans="1:40" x14ac:dyDescent="0.25">
      <c r="A1319" t="str">
        <f>"20190312161251190"</f>
        <v>20190312161251190</v>
      </c>
      <c r="B1319" t="str">
        <f>"1552378371186999"</f>
        <v>1552378371186999</v>
      </c>
      <c r="C1319" t="s">
        <v>40</v>
      </c>
      <c r="D1319">
        <v>6.0145850000000003</v>
      </c>
      <c r="E1319">
        <v>0.65077309999999999</v>
      </c>
      <c r="F1319" t="s">
        <v>65</v>
      </c>
      <c r="G1319">
        <v>-248.54660000000001</v>
      </c>
      <c r="H1319">
        <v>4.699776</v>
      </c>
      <c r="I1319">
        <v>268.85500000000002</v>
      </c>
      <c r="J1319">
        <v>-197.52529999999999</v>
      </c>
      <c r="K1319">
        <v>1.1031519999999999</v>
      </c>
      <c r="L1319">
        <v>290.57690000000002</v>
      </c>
      <c r="M1319">
        <v>-0.55600909999999903</v>
      </c>
      <c r="N1319">
        <v>0</v>
      </c>
      <c r="O1319">
        <v>-0.83104460000000002</v>
      </c>
      <c r="P1319">
        <v>-0.71449449999999903</v>
      </c>
      <c r="Q1319">
        <v>-4.8403799999999997E-2</v>
      </c>
      <c r="R1319">
        <v>-0.69796480000000005</v>
      </c>
      <c r="S1319">
        <v>-2.9847260000000002</v>
      </c>
      <c r="T1319">
        <v>0.209898</v>
      </c>
      <c r="U1319">
        <v>-1.277191</v>
      </c>
      <c r="V1319">
        <v>0.2051182</v>
      </c>
      <c r="W1319">
        <v>-3.7426399999999999E-2</v>
      </c>
      <c r="X1319">
        <v>0.97802140000000004</v>
      </c>
      <c r="Y1319">
        <v>0.54317280000000001</v>
      </c>
      <c r="Z1319">
        <v>-6.4255720000000002E-2</v>
      </c>
      <c r="AA1319">
        <v>0.83715859999999997</v>
      </c>
      <c r="AB1319">
        <v>21</v>
      </c>
      <c r="AC1319">
        <v>-51.021299999999997</v>
      </c>
      <c r="AD1319">
        <v>3.5966239999999998</v>
      </c>
      <c r="AE1319">
        <v>-21.721900000000002</v>
      </c>
      <c r="AF1319">
        <v>30.199677596107001</v>
      </c>
      <c r="AG1319">
        <v>3.5966239999999998</v>
      </c>
      <c r="AH1319">
        <v>46.230773274351499</v>
      </c>
      <c r="AI1319">
        <v>86.273473188958604</v>
      </c>
      <c r="AJ1319">
        <v>56.845922061762003</v>
      </c>
      <c r="AK1319">
        <v>55.3375155626875</v>
      </c>
      <c r="AL1319">
        <v>92.144875619762402</v>
      </c>
      <c r="AM1319">
        <v>78.155163175022693</v>
      </c>
      <c r="AN1319">
        <v>1.00000003512307</v>
      </c>
    </row>
    <row r="1320" spans="1:40" x14ac:dyDescent="0.25">
      <c r="A1320" t="str">
        <f>"20190312161251213"</f>
        <v>20190312161251213</v>
      </c>
      <c r="B1320" t="str">
        <f>"1552378371207240"</f>
        <v>1552378371207240</v>
      </c>
      <c r="C1320" t="s">
        <v>40</v>
      </c>
      <c r="D1320">
        <v>6.1355969999999997</v>
      </c>
      <c r="E1320">
        <v>0.6508005</v>
      </c>
      <c r="F1320" t="s">
        <v>65</v>
      </c>
      <c r="G1320">
        <v>-248.3723</v>
      </c>
      <c r="H1320">
        <v>4.9055099999999996</v>
      </c>
      <c r="I1320">
        <v>269.58609999999999</v>
      </c>
      <c r="J1320">
        <v>-197.65520000000001</v>
      </c>
      <c r="K1320">
        <v>1.1031070000000001</v>
      </c>
      <c r="L1320">
        <v>290.40769999999998</v>
      </c>
      <c r="M1320">
        <v>-0.56583079999999997</v>
      </c>
      <c r="N1320">
        <v>0</v>
      </c>
      <c r="O1320">
        <v>-0.82438840000000002</v>
      </c>
      <c r="P1320">
        <v>-0.72241809999999995</v>
      </c>
      <c r="Q1320">
        <v>-4.8514870000000002E-2</v>
      </c>
      <c r="R1320">
        <v>-0.68975249999999999</v>
      </c>
      <c r="S1320">
        <v>-3.002945</v>
      </c>
      <c r="T1320">
        <v>0.2245616</v>
      </c>
      <c r="U1320">
        <v>-1.2396849999999999</v>
      </c>
      <c r="V1320">
        <v>0.204681</v>
      </c>
      <c r="W1320">
        <v>-3.7529710000000001E-2</v>
      </c>
      <c r="X1320">
        <v>0.97810900000000001</v>
      </c>
      <c r="Y1320">
        <v>0.54364760000000001</v>
      </c>
      <c r="Z1320">
        <v>-6.8436410000000003E-2</v>
      </c>
      <c r="AA1320">
        <v>0.83651880000000001</v>
      </c>
      <c r="AB1320">
        <v>21</v>
      </c>
      <c r="AC1320">
        <v>-50.717099999999903</v>
      </c>
      <c r="AD1320">
        <v>3.802403</v>
      </c>
      <c r="AE1320">
        <v>-20.821599999999901</v>
      </c>
      <c r="AF1320">
        <v>29.888609488689799</v>
      </c>
      <c r="AG1320">
        <v>3.802403</v>
      </c>
      <c r="AH1320">
        <v>45.647837355494502</v>
      </c>
      <c r="AI1320">
        <v>86.013554485478707</v>
      </c>
      <c r="AJ1320">
        <v>56.784621511591602</v>
      </c>
      <c r="AK1320">
        <v>54.694719132430698</v>
      </c>
      <c r="AL1320">
        <v>92.150799076298597</v>
      </c>
      <c r="AM1320">
        <v>78.180727751083694</v>
      </c>
      <c r="AN1320">
        <v>1.00000000338734</v>
      </c>
    </row>
    <row r="1321" spans="1:40" x14ac:dyDescent="0.25">
      <c r="A1321" t="str">
        <f>"20190312161251234"</f>
        <v>20190312161251234</v>
      </c>
      <c r="B1321" t="str">
        <f>"1552378371226759"</f>
        <v>1552378371226759</v>
      </c>
      <c r="C1321" t="s">
        <v>40</v>
      </c>
      <c r="D1321">
        <v>6.0682099999999997</v>
      </c>
      <c r="E1321">
        <v>0.64951230000000004</v>
      </c>
      <c r="F1321" t="s">
        <v>65</v>
      </c>
      <c r="G1321">
        <v>-249.78030000000001</v>
      </c>
      <c r="H1321">
        <v>4.9893299999999998</v>
      </c>
      <c r="I1321">
        <v>269.58609999999999</v>
      </c>
      <c r="J1321">
        <v>-197.78270000000001</v>
      </c>
      <c r="K1321">
        <v>1.103075</v>
      </c>
      <c r="L1321">
        <v>290.24560000000002</v>
      </c>
      <c r="M1321">
        <v>-0.5753199</v>
      </c>
      <c r="N1321">
        <v>0</v>
      </c>
      <c r="O1321">
        <v>-0.81779419999999903</v>
      </c>
      <c r="P1321">
        <v>-0.73019209999999901</v>
      </c>
      <c r="Q1321">
        <v>-4.9491849999999997E-2</v>
      </c>
      <c r="R1321">
        <v>-0.68144759999999904</v>
      </c>
      <c r="S1321">
        <v>-3.0171199999999998</v>
      </c>
      <c r="T1321">
        <v>0.22494359999999999</v>
      </c>
      <c r="U1321">
        <v>-1.2052</v>
      </c>
      <c r="V1321">
        <v>0.20448849999999999</v>
      </c>
      <c r="W1321">
        <v>-3.8502050000000003E-2</v>
      </c>
      <c r="X1321">
        <v>0.97811139999999996</v>
      </c>
      <c r="Y1321">
        <v>0.54356179999999998</v>
      </c>
      <c r="Z1321">
        <v>-6.8286250000000007E-2</v>
      </c>
      <c r="AA1321">
        <v>0.83658690000000002</v>
      </c>
      <c r="AB1321">
        <v>21</v>
      </c>
      <c r="AC1321">
        <v>-51.997599999999998</v>
      </c>
      <c r="AD1321">
        <v>3.8862549999999998</v>
      </c>
      <c r="AE1321">
        <v>-20.659500000000001</v>
      </c>
      <c r="AF1321">
        <v>30.49376673443</v>
      </c>
      <c r="AG1321">
        <v>3.8862549999999998</v>
      </c>
      <c r="AH1321">
        <v>46.5908442673339</v>
      </c>
      <c r="AI1321">
        <v>86.007646152511896</v>
      </c>
      <c r="AJ1321">
        <v>56.7952020158124</v>
      </c>
      <c r="AK1321">
        <v>55.818272609619697</v>
      </c>
      <c r="AL1321">
        <v>92.206550513375802</v>
      </c>
      <c r="AM1321">
        <v>78.191559546393094</v>
      </c>
      <c r="AN1321">
        <v>0.99999993264820397</v>
      </c>
    </row>
    <row r="1322" spans="1:40" x14ac:dyDescent="0.25">
      <c r="A1322" t="str">
        <f>"20190312161251257"</f>
        <v>20190312161251257</v>
      </c>
      <c r="B1322" t="str">
        <f>"1552378371247256"</f>
        <v>1552378371247256</v>
      </c>
      <c r="C1322" t="s">
        <v>40</v>
      </c>
      <c r="D1322">
        <v>4.0785260000000001</v>
      </c>
      <c r="E1322">
        <v>0.64837939999999905</v>
      </c>
      <c r="F1322" t="s">
        <v>66</v>
      </c>
      <c r="G1322">
        <v>-261.66930000000002</v>
      </c>
      <c r="H1322">
        <v>5.4428199999999904</v>
      </c>
      <c r="I1322">
        <v>265.35050000000001</v>
      </c>
      <c r="J1322">
        <v>-197.9239</v>
      </c>
      <c r="K1322">
        <v>1.103043</v>
      </c>
      <c r="L1322">
        <v>290.07089999999999</v>
      </c>
      <c r="M1322">
        <v>-0.58564930000000004</v>
      </c>
      <c r="N1322">
        <v>0</v>
      </c>
      <c r="O1322">
        <v>-0.81042860000000005</v>
      </c>
      <c r="P1322">
        <v>-0.73824519999999905</v>
      </c>
      <c r="Q1322">
        <v>-4.9636939999999997E-2</v>
      </c>
      <c r="R1322">
        <v>-0.67270369999999902</v>
      </c>
      <c r="S1322">
        <v>-3.0230410000000001</v>
      </c>
      <c r="T1322">
        <v>0.20535539999999999</v>
      </c>
      <c r="U1322">
        <v>-1.1780090000000001</v>
      </c>
      <c r="V1322">
        <v>0.20371420000000001</v>
      </c>
      <c r="W1322">
        <v>-3.8628460000000003E-2</v>
      </c>
      <c r="X1322">
        <v>0.97826800000000003</v>
      </c>
      <c r="Y1322">
        <v>0.54042819999999903</v>
      </c>
      <c r="Z1322">
        <v>-6.2095999999999998E-2</v>
      </c>
      <c r="AA1322">
        <v>0.8390957</v>
      </c>
      <c r="AB1322">
        <v>21</v>
      </c>
      <c r="AC1322">
        <v>-63.745399999999997</v>
      </c>
      <c r="AD1322">
        <v>4.3397769999999998</v>
      </c>
      <c r="AE1322">
        <v>-24.720399999999898</v>
      </c>
      <c r="AF1322">
        <v>37.038481796065902</v>
      </c>
      <c r="AG1322">
        <v>4.3397769999999998</v>
      </c>
      <c r="AH1322">
        <v>57.1426649548848</v>
      </c>
      <c r="AI1322">
        <v>86.353482283428093</v>
      </c>
      <c r="AJ1322">
        <v>57.049676852270601</v>
      </c>
      <c r="AK1322">
        <v>68.234646304597007</v>
      </c>
      <c r="AL1322">
        <v>92.213798612514907</v>
      </c>
      <c r="AM1322">
        <v>78.236854753432098</v>
      </c>
      <c r="AN1322">
        <v>0.99999995651380402</v>
      </c>
    </row>
    <row r="1323" spans="1:40" x14ac:dyDescent="0.25">
      <c r="A1323" t="str">
        <f>"20190312161251280"</f>
        <v>20190312161251280</v>
      </c>
      <c r="B1323" t="str">
        <f>"1552378371276535"</f>
        <v>1552378371276535</v>
      </c>
      <c r="C1323" t="s">
        <v>40</v>
      </c>
      <c r="D1323">
        <v>6.1342869999999996</v>
      </c>
      <c r="E1323">
        <v>0.64642759999999999</v>
      </c>
      <c r="F1323" t="s">
        <v>66</v>
      </c>
      <c r="G1323">
        <v>-263.15480000000002</v>
      </c>
      <c r="H1323">
        <v>5.4259620000000002</v>
      </c>
      <c r="I1323">
        <v>265.35000000000002</v>
      </c>
      <c r="J1323">
        <v>-198.06280000000001</v>
      </c>
      <c r="K1323">
        <v>1.10302099999999</v>
      </c>
      <c r="L1323">
        <v>289.9033</v>
      </c>
      <c r="M1323">
        <v>-0.59564849999999903</v>
      </c>
      <c r="N1323">
        <v>0</v>
      </c>
      <c r="O1323">
        <v>-0.80310780000000004</v>
      </c>
      <c r="P1323">
        <v>-0.74575950000000002</v>
      </c>
      <c r="Q1323">
        <v>-4.9610130000000002E-2</v>
      </c>
      <c r="R1323">
        <v>-0.6643656</v>
      </c>
      <c r="S1323">
        <v>-3.030624</v>
      </c>
      <c r="T1323">
        <v>0.20084569999999999</v>
      </c>
      <c r="U1323">
        <v>-1.1485289999999999</v>
      </c>
      <c r="V1323">
        <v>0.20258319999999999</v>
      </c>
      <c r="W1323">
        <v>-3.8574780000000003E-2</v>
      </c>
      <c r="X1323">
        <v>0.97850499999999996</v>
      </c>
      <c r="Y1323">
        <v>0.53793279999999999</v>
      </c>
      <c r="Z1323">
        <v>-6.0471360000000002E-2</v>
      </c>
      <c r="AA1323">
        <v>0.84081600000000001</v>
      </c>
      <c r="AB1323">
        <v>21</v>
      </c>
      <c r="AC1323">
        <v>-65.091999999999999</v>
      </c>
      <c r="AD1323">
        <v>4.3229410000000001</v>
      </c>
      <c r="AE1323">
        <v>-24.553299999999901</v>
      </c>
      <c r="AF1323">
        <v>37.510076651867202</v>
      </c>
      <c r="AG1323">
        <v>4.3229410000000001</v>
      </c>
      <c r="AH1323">
        <v>58.272350928463098</v>
      </c>
      <c r="AI1323">
        <v>86.430576383244599</v>
      </c>
      <c r="AJ1323">
        <v>57.230501943297099</v>
      </c>
      <c r="AK1323">
        <v>69.436017685696797</v>
      </c>
      <c r="AL1323">
        <v>92.210720582939203</v>
      </c>
      <c r="AM1323">
        <v>78.3031130167969</v>
      </c>
      <c r="AN1323">
        <v>1.0000000007996399</v>
      </c>
    </row>
    <row r="1324" spans="1:40" x14ac:dyDescent="0.25">
      <c r="A1324" t="str">
        <f>"20190312161251302"</f>
        <v>20190312161251302</v>
      </c>
      <c r="B1324" t="str">
        <f>"1552378371297031"</f>
        <v>1552378371297031</v>
      </c>
      <c r="C1324" t="s">
        <v>40</v>
      </c>
      <c r="D1324">
        <v>6.0481170000000004</v>
      </c>
      <c r="E1324">
        <v>0.6454915</v>
      </c>
      <c r="F1324" t="s">
        <v>66</v>
      </c>
      <c r="G1324">
        <v>-264.15910000000002</v>
      </c>
      <c r="H1324">
        <v>5.3403400000000003</v>
      </c>
      <c r="I1324">
        <v>265.34969999999998</v>
      </c>
      <c r="J1324">
        <v>-198.2029</v>
      </c>
      <c r="K1324">
        <v>1.102997</v>
      </c>
      <c r="L1324">
        <v>289.73860000000002</v>
      </c>
      <c r="M1324">
        <v>-0.60555599999999998</v>
      </c>
      <c r="N1324">
        <v>0</v>
      </c>
      <c r="O1324">
        <v>-0.79566380000000003</v>
      </c>
      <c r="P1324">
        <v>-0.75302720000000001</v>
      </c>
      <c r="Q1324">
        <v>-4.9261539999999999E-2</v>
      </c>
      <c r="R1324">
        <v>-0.65614309999999998</v>
      </c>
      <c r="S1324">
        <v>-3.0321959999999999</v>
      </c>
      <c r="T1324">
        <v>0.1943918</v>
      </c>
      <c r="U1324">
        <v>-1.126404</v>
      </c>
      <c r="V1324">
        <v>0.20121559999999999</v>
      </c>
      <c r="W1324">
        <v>-3.8193999999999999E-2</v>
      </c>
      <c r="X1324">
        <v>0.97880210000000001</v>
      </c>
      <c r="Y1324">
        <v>0.53314469999999903</v>
      </c>
      <c r="Z1324">
        <v>-5.8262359999999999E-2</v>
      </c>
      <c r="AA1324">
        <v>0.84401559999999898</v>
      </c>
      <c r="AB1324">
        <v>21</v>
      </c>
      <c r="AC1324">
        <v>-65.956199999999995</v>
      </c>
      <c r="AD1324">
        <v>4.2373430000000001</v>
      </c>
      <c r="AE1324">
        <v>-24.3889</v>
      </c>
      <c r="AF1324">
        <v>37.577842156666598</v>
      </c>
      <c r="AG1324">
        <v>4.2373430000000001</v>
      </c>
      <c r="AH1324">
        <v>59.137374199768203</v>
      </c>
      <c r="AI1324">
        <v>86.539197458466305</v>
      </c>
      <c r="AJ1324">
        <v>57.566773985744298</v>
      </c>
      <c r="AK1324">
        <v>70.194574748298095</v>
      </c>
      <c r="AL1324">
        <v>92.188887352583805</v>
      </c>
      <c r="AM1324">
        <v>78.383353163621905</v>
      </c>
      <c r="AN1324">
        <v>1.0000000251418799</v>
      </c>
    </row>
    <row r="1325" spans="1:40" x14ac:dyDescent="0.25">
      <c r="A1325" t="str">
        <f>"20190312161251325"</f>
        <v>20190312161251325</v>
      </c>
      <c r="B1325" t="str">
        <f>"1552378371317059"</f>
        <v>1552378371317059</v>
      </c>
      <c r="C1325" t="s">
        <v>40</v>
      </c>
      <c r="D1325">
        <v>6.0885230000000004</v>
      </c>
      <c r="E1325">
        <v>0.62712469999999998</v>
      </c>
      <c r="F1325" t="s">
        <v>67</v>
      </c>
      <c r="G1325">
        <v>-263.89510000000001</v>
      </c>
      <c r="H1325">
        <v>5.2958249999999998</v>
      </c>
      <c r="I1325">
        <v>265.99529999999999</v>
      </c>
      <c r="J1325">
        <v>-198.34700000000001</v>
      </c>
      <c r="K1325">
        <v>1.1029739999999999</v>
      </c>
      <c r="L1325">
        <v>289.57350000000002</v>
      </c>
      <c r="M1325">
        <v>-0.61557249999999997</v>
      </c>
      <c r="N1325">
        <v>0</v>
      </c>
      <c r="O1325">
        <v>-0.78793950000000001</v>
      </c>
      <c r="P1325">
        <v>-0.76080329999999996</v>
      </c>
      <c r="Q1325">
        <v>-4.9312139999999997E-2</v>
      </c>
      <c r="R1325">
        <v>-0.64710649999999903</v>
      </c>
      <c r="S1325">
        <v>-3.0393979999999998</v>
      </c>
      <c r="T1325">
        <v>0.1939902</v>
      </c>
      <c r="U1325">
        <v>-1.098541</v>
      </c>
      <c r="V1325">
        <v>0.20051379999999999</v>
      </c>
      <c r="W1325">
        <v>-3.8226410000000002E-2</v>
      </c>
      <c r="X1325">
        <v>0.97894479999999995</v>
      </c>
      <c r="Y1325">
        <v>0.52994169999999996</v>
      </c>
      <c r="Z1325">
        <v>-5.7828440000000002E-2</v>
      </c>
      <c r="AA1325">
        <v>0.84606000000000003</v>
      </c>
      <c r="AB1325">
        <v>21</v>
      </c>
      <c r="AC1325">
        <v>-65.548100000000005</v>
      </c>
      <c r="AD1325">
        <v>4.1928510000000001</v>
      </c>
      <c r="AE1325">
        <v>-23.578199999999999</v>
      </c>
      <c r="AF1325">
        <v>37.003904296192601</v>
      </c>
      <c r="AG1325">
        <v>4.1928510000000001</v>
      </c>
      <c r="AH1325">
        <v>58.721598657242701</v>
      </c>
      <c r="AI1325">
        <v>86.543050142494295</v>
      </c>
      <c r="AJ1325">
        <v>57.782578790402098</v>
      </c>
      <c r="AK1325">
        <v>69.534847965119496</v>
      </c>
      <c r="AL1325">
        <v>92.190745760547301</v>
      </c>
      <c r="AM1325">
        <v>78.424416086684403</v>
      </c>
      <c r="AN1325">
        <v>0.99999998192948303</v>
      </c>
    </row>
    <row r="1326" spans="1:40" x14ac:dyDescent="0.25">
      <c r="A1326" t="str">
        <f>"20190312161251348"</f>
        <v>20190312161251348</v>
      </c>
      <c r="B1326" t="str">
        <f>"1552378371336579"</f>
        <v>1552378371336579</v>
      </c>
      <c r="C1326" t="s">
        <v>40</v>
      </c>
      <c r="D1326">
        <v>6.0231969999999997</v>
      </c>
      <c r="E1326">
        <v>0.62641159999999996</v>
      </c>
      <c r="F1326" t="s">
        <v>65</v>
      </c>
      <c r="G1326">
        <v>-249.8888</v>
      </c>
      <c r="H1326">
        <v>2.6727919999999998</v>
      </c>
      <c r="I1326">
        <v>269.10390000000001</v>
      </c>
      <c r="J1326">
        <v>-198.4933</v>
      </c>
      <c r="K1326">
        <v>1.102957</v>
      </c>
      <c r="L1326">
        <v>289.41019999999997</v>
      </c>
      <c r="M1326">
        <v>-0.62554580000000004</v>
      </c>
      <c r="N1326">
        <v>0</v>
      </c>
      <c r="O1326">
        <v>-0.78004490000000004</v>
      </c>
      <c r="P1326">
        <v>-0.76891449999999995</v>
      </c>
      <c r="Q1326">
        <v>-4.9262460000000001E-2</v>
      </c>
      <c r="R1326">
        <v>-0.63745099999999999</v>
      </c>
      <c r="S1326">
        <v>-2.951889</v>
      </c>
      <c r="T1326">
        <v>8.9906449999999999E-2</v>
      </c>
      <c r="U1326">
        <v>-1.1723330000000001</v>
      </c>
      <c r="V1326">
        <v>0.20042009999999999</v>
      </c>
      <c r="W1326">
        <v>-3.8170929999999999E-2</v>
      </c>
      <c r="X1326">
        <v>0.97896620000000001</v>
      </c>
      <c r="Y1326">
        <v>0.49372169999999999</v>
      </c>
      <c r="Z1326">
        <v>-2.6752149999999999E-2</v>
      </c>
      <c r="AA1326">
        <v>0.86920839999999999</v>
      </c>
      <c r="AB1326">
        <v>21</v>
      </c>
      <c r="AC1326">
        <v>-51.395499999999998</v>
      </c>
      <c r="AD1326">
        <v>1.5698350000000001</v>
      </c>
      <c r="AE1326">
        <v>-20.306299999999901</v>
      </c>
      <c r="AF1326">
        <v>27.369236796665501</v>
      </c>
      <c r="AG1326">
        <v>1.5698350000000001</v>
      </c>
      <c r="AH1326">
        <v>47.956702481936198</v>
      </c>
      <c r="AI1326">
        <v>88.371504267526603</v>
      </c>
      <c r="AJ1326">
        <v>60.286284742784098</v>
      </c>
      <c r="AK1326">
        <v>55.239341213487698</v>
      </c>
      <c r="AL1326">
        <v>92.187564566907596</v>
      </c>
      <c r="AM1326">
        <v>78.429925558931004</v>
      </c>
      <c r="AN1326">
        <v>1.0000000285617501</v>
      </c>
    </row>
    <row r="1327" spans="1:40" x14ac:dyDescent="0.25">
      <c r="A1327" t="str">
        <f>"20190312161251369"</f>
        <v>20190312161251369</v>
      </c>
      <c r="B1327" t="str">
        <f>"1552378371366835"</f>
        <v>1552378371366835</v>
      </c>
      <c r="C1327" t="s">
        <v>40</v>
      </c>
      <c r="D1327">
        <v>6.1516449999999896</v>
      </c>
      <c r="E1327">
        <v>0.62488509999999997</v>
      </c>
      <c r="F1327" t="s">
        <v>65</v>
      </c>
      <c r="G1327">
        <v>-251.16900000000001</v>
      </c>
      <c r="H1327">
        <v>2.7926009999999999</v>
      </c>
      <c r="I1327">
        <v>269.1576</v>
      </c>
      <c r="J1327">
        <v>-198.63319999999999</v>
      </c>
      <c r="K1327">
        <v>1.1029519999999999</v>
      </c>
      <c r="L1327">
        <v>289.25830000000002</v>
      </c>
      <c r="M1327">
        <v>-0.63490899999999995</v>
      </c>
      <c r="N1327">
        <v>0</v>
      </c>
      <c r="O1327">
        <v>-0.77244279999999998</v>
      </c>
      <c r="P1327">
        <v>-0.77686239999999995</v>
      </c>
      <c r="Q1327">
        <v>-4.8380069999999997E-2</v>
      </c>
      <c r="R1327">
        <v>-0.62780909999999901</v>
      </c>
      <c r="S1327">
        <v>-2.9631959999999999</v>
      </c>
      <c r="T1327">
        <v>9.5048670000000002E-2</v>
      </c>
      <c r="U1327">
        <v>-1.1392819999999999</v>
      </c>
      <c r="V1327">
        <v>0.20088159999999999</v>
      </c>
      <c r="W1327">
        <v>-3.7292899999999997E-2</v>
      </c>
      <c r="X1327">
        <v>0.97890540000000004</v>
      </c>
      <c r="Y1327">
        <v>0.49274050000000003</v>
      </c>
      <c r="Z1327">
        <v>-2.812976E-2</v>
      </c>
      <c r="AA1327">
        <v>0.86972150000000004</v>
      </c>
      <c r="AB1327">
        <v>21</v>
      </c>
      <c r="AC1327">
        <v>-52.535800000000002</v>
      </c>
      <c r="AD1327">
        <v>1.68964899999999</v>
      </c>
      <c r="AE1327">
        <v>-20.1007</v>
      </c>
      <c r="AF1327">
        <v>27.796802019243401</v>
      </c>
      <c r="AG1327">
        <v>1.68964899999999</v>
      </c>
      <c r="AH1327">
        <v>48.843465384905898</v>
      </c>
      <c r="AI1327">
        <v>88.277899677462102</v>
      </c>
      <c r="AJ1327">
        <v>60.355808237581698</v>
      </c>
      <c r="AK1327">
        <v>56.224560710126703</v>
      </c>
      <c r="AL1327">
        <v>92.137221407978501</v>
      </c>
      <c r="AM1327">
        <v>78.403303644912896</v>
      </c>
      <c r="AN1327">
        <v>0.99999997987906397</v>
      </c>
    </row>
    <row r="1328" spans="1:40" x14ac:dyDescent="0.25">
      <c r="A1328" t="str">
        <f>"20190312161251391"</f>
        <v>20190312161251391</v>
      </c>
      <c r="B1328" t="str">
        <f>"1552378371387331"</f>
        <v>1552378371387331</v>
      </c>
      <c r="C1328" t="s">
        <v>40</v>
      </c>
      <c r="D1328">
        <v>5.7421119999999997</v>
      </c>
      <c r="E1328">
        <v>0.62478619999999996</v>
      </c>
      <c r="F1328" t="s">
        <v>66</v>
      </c>
      <c r="G1328">
        <v>-262.49900000000002</v>
      </c>
      <c r="H1328">
        <v>2.9767899999999998</v>
      </c>
      <c r="I1328">
        <v>265.35019999999997</v>
      </c>
      <c r="J1328">
        <v>-198.7773</v>
      </c>
      <c r="K1328">
        <v>1.102946</v>
      </c>
      <c r="L1328">
        <v>289.10570000000001</v>
      </c>
      <c r="M1328">
        <v>-0.64437310000000003</v>
      </c>
      <c r="N1328">
        <v>0</v>
      </c>
      <c r="O1328">
        <v>-0.7645653</v>
      </c>
      <c r="P1328">
        <v>-0.78536899999999998</v>
      </c>
      <c r="Q1328">
        <v>-4.8023950000000003E-2</v>
      </c>
      <c r="R1328">
        <v>-0.61716230000000005</v>
      </c>
      <c r="S1328">
        <v>-2.9689480000000001</v>
      </c>
      <c r="T1328">
        <v>8.7113380000000004E-2</v>
      </c>
      <c r="U1328">
        <v>-1.1114200000000001</v>
      </c>
      <c r="V1328">
        <v>0.20219000000000001</v>
      </c>
      <c r="W1328">
        <v>-3.6957549999999999E-2</v>
      </c>
      <c r="X1328">
        <v>0.97864870000000004</v>
      </c>
      <c r="Y1328">
        <v>0.48979990000000001</v>
      </c>
      <c r="Z1328">
        <v>-2.5639370000000002E-2</v>
      </c>
      <c r="AA1328">
        <v>0.87145779999999995</v>
      </c>
      <c r="AB1328">
        <v>21</v>
      </c>
      <c r="AC1328">
        <v>-63.721699999999998</v>
      </c>
      <c r="AD1328">
        <v>1.8738440000000001</v>
      </c>
      <c r="AE1328">
        <v>-23.755500000000001</v>
      </c>
      <c r="AF1328">
        <v>33.390373948974698</v>
      </c>
      <c r="AG1328">
        <v>1.8738440000000001</v>
      </c>
      <c r="AH1328">
        <v>59.184855880591201</v>
      </c>
      <c r="AI1328">
        <v>88.420461755518701</v>
      </c>
      <c r="AJ1328">
        <v>60.569573082152097</v>
      </c>
      <c r="AK1328">
        <v>67.979964176182506</v>
      </c>
      <c r="AL1328">
        <v>92.117994039522898</v>
      </c>
      <c r="AM1328">
        <v>78.326859298044894</v>
      </c>
      <c r="AN1328">
        <v>0.99999996730684504</v>
      </c>
    </row>
    <row r="1329" spans="1:40" x14ac:dyDescent="0.25">
      <c r="A1329" t="str">
        <f>"20190312161251413"</f>
        <v>20190312161251413</v>
      </c>
      <c r="B1329" t="str">
        <f>"1552378371406852"</f>
        <v>1552378371406852</v>
      </c>
      <c r="C1329" t="s">
        <v>40</v>
      </c>
      <c r="D1329">
        <v>6.018529</v>
      </c>
      <c r="E1329">
        <v>0.6691298</v>
      </c>
      <c r="F1329" t="s">
        <v>66</v>
      </c>
      <c r="G1329">
        <v>-264.92829999999998</v>
      </c>
      <c r="H1329">
        <v>3.214445</v>
      </c>
      <c r="I1329">
        <v>265.3494</v>
      </c>
      <c r="J1329">
        <v>-198.92160000000001</v>
      </c>
      <c r="K1329">
        <v>1.102943</v>
      </c>
      <c r="L1329">
        <v>288.95670000000001</v>
      </c>
      <c r="M1329">
        <v>-0.65367219999999904</v>
      </c>
      <c r="N1329">
        <v>0</v>
      </c>
      <c r="O1329">
        <v>-0.75663040000000004</v>
      </c>
      <c r="P1329">
        <v>-0.79342559999999995</v>
      </c>
      <c r="Q1329">
        <v>-4.8185489999999997E-2</v>
      </c>
      <c r="R1329">
        <v>-0.60675730000000005</v>
      </c>
      <c r="S1329">
        <v>-2.983673</v>
      </c>
      <c r="T1329">
        <v>9.5240350000000001E-2</v>
      </c>
      <c r="U1329">
        <v>-1.0715030000000001</v>
      </c>
      <c r="V1329">
        <v>0.2031134</v>
      </c>
      <c r="W1329">
        <v>-3.7130070000000001E-2</v>
      </c>
      <c r="X1329">
        <v>0.97845099999999996</v>
      </c>
      <c r="Y1329">
        <v>0.4907647</v>
      </c>
      <c r="Z1329">
        <v>-2.787568E-2</v>
      </c>
      <c r="AA1329">
        <v>0.87084619999999902</v>
      </c>
      <c r="AB1329">
        <v>21</v>
      </c>
      <c r="AC1329">
        <v>-66.006699999999896</v>
      </c>
      <c r="AD1329">
        <v>2.1115020000000002</v>
      </c>
      <c r="AE1329">
        <v>-23.607299999999999</v>
      </c>
      <c r="AF1329">
        <v>34.483804613282601</v>
      </c>
      <c r="AG1329">
        <v>2.1115020000000002</v>
      </c>
      <c r="AH1329">
        <v>60.960245376764803</v>
      </c>
      <c r="AI1329">
        <v>88.273166313005802</v>
      </c>
      <c r="AJ1329">
        <v>60.504160124198499</v>
      </c>
      <c r="AK1329">
        <v>70.069556425729104</v>
      </c>
      <c r="AL1329">
        <v>92.127885368929796</v>
      </c>
      <c r="AM1329">
        <v>78.272717420151196</v>
      </c>
      <c r="AN1329">
        <v>1.0000000273793801</v>
      </c>
    </row>
    <row r="1330" spans="1:40" x14ac:dyDescent="0.25">
      <c r="A1330" t="str">
        <f>"20190312161251435"</f>
        <v>20190312161251435</v>
      </c>
      <c r="B1330" t="str">
        <f>"1552378371427347"</f>
        <v>1552378371427347</v>
      </c>
      <c r="C1330" t="s">
        <v>40</v>
      </c>
      <c r="D1330">
        <v>5.4655110000000002</v>
      </c>
      <c r="E1330">
        <v>0.67539259999999901</v>
      </c>
      <c r="F1330" t="s">
        <v>66</v>
      </c>
      <c r="G1330">
        <v>-327.16079999999999</v>
      </c>
      <c r="H1330">
        <v>3.7505630000000001</v>
      </c>
      <c r="I1330">
        <v>258.95850000000002</v>
      </c>
      <c r="J1330">
        <v>-199.07140000000001</v>
      </c>
      <c r="K1330">
        <v>1.1029469999999999</v>
      </c>
      <c r="L1330">
        <v>288.80579999999998</v>
      </c>
      <c r="M1330">
        <v>-0.66312749999999998</v>
      </c>
      <c r="N1330">
        <v>0</v>
      </c>
      <c r="O1330">
        <v>-0.74835719999999994</v>
      </c>
      <c r="P1330">
        <v>-0.80132619999999999</v>
      </c>
      <c r="Q1330">
        <v>-4.823326E-2</v>
      </c>
      <c r="R1330">
        <v>-0.59628029999999999</v>
      </c>
      <c r="S1330">
        <v>-3.2107389999999998</v>
      </c>
      <c r="T1330">
        <v>6.6289070000000005E-2</v>
      </c>
      <c r="U1330">
        <v>-0.75106809999999902</v>
      </c>
      <c r="V1330">
        <v>0.20367189999999999</v>
      </c>
      <c r="W1330">
        <v>-3.7179329999999997E-2</v>
      </c>
      <c r="X1330">
        <v>0.97833300000000001</v>
      </c>
      <c r="Y1330">
        <v>0.57747959999999998</v>
      </c>
      <c r="Z1330">
        <v>-1.9282589999999999E-2</v>
      </c>
      <c r="AA1330">
        <v>0.81617740000000005</v>
      </c>
      <c r="AB1330">
        <v>21</v>
      </c>
      <c r="AC1330">
        <v>-128.08939999999899</v>
      </c>
      <c r="AD1330">
        <v>2.6476160000000002</v>
      </c>
      <c r="AE1330">
        <v>-29.847299999999901</v>
      </c>
      <c r="AF1330">
        <v>76.041742123154805</v>
      </c>
      <c r="AG1330">
        <v>2.6476160000000002</v>
      </c>
      <c r="AH1330">
        <v>107.244570683795</v>
      </c>
      <c r="AI1330">
        <v>88.846281098224196</v>
      </c>
      <c r="AJ1330">
        <v>54.661460165357802</v>
      </c>
      <c r="AK1330">
        <v>131.49431302059901</v>
      </c>
      <c r="AL1330">
        <v>92.1307097628479</v>
      </c>
      <c r="AM1330">
        <v>78.239988877226907</v>
      </c>
      <c r="AN1330">
        <v>1.0000000021589199</v>
      </c>
    </row>
    <row r="1331" spans="1:40" x14ac:dyDescent="0.25">
      <c r="A1331" t="str">
        <f>"20190312161251458"</f>
        <v>20190312161251458</v>
      </c>
      <c r="B1331" t="str">
        <f>"1552378371446868"</f>
        <v>1552378371446868</v>
      </c>
      <c r="C1331" t="s">
        <v>40</v>
      </c>
      <c r="D1331">
        <v>5.9803689999999996</v>
      </c>
      <c r="E1331">
        <v>0.68155690000000002</v>
      </c>
      <c r="F1331" t="s">
        <v>66</v>
      </c>
      <c r="G1331">
        <v>-333.10300000000001</v>
      </c>
      <c r="H1331">
        <v>7.4877599999999997</v>
      </c>
      <c r="I1331">
        <v>261.23439999999999</v>
      </c>
      <c r="J1331">
        <v>-199.2242</v>
      </c>
      <c r="K1331">
        <v>1.1029530000000001</v>
      </c>
      <c r="L1331">
        <v>288.65589999999997</v>
      </c>
      <c r="M1331">
        <v>-0.67257049999999996</v>
      </c>
      <c r="N1331">
        <v>0</v>
      </c>
      <c r="O1331">
        <v>-0.73988189999999998</v>
      </c>
      <c r="P1331">
        <v>-0.808813</v>
      </c>
      <c r="Q1331">
        <v>-4.8419480000000001E-2</v>
      </c>
      <c r="R1331">
        <v>-0.58606930000000002</v>
      </c>
      <c r="S1331">
        <v>-3.254883</v>
      </c>
      <c r="T1331">
        <v>0.15505179999999999</v>
      </c>
      <c r="U1331">
        <v>-0.66955569999999998</v>
      </c>
      <c r="V1331">
        <v>0.20365449999999999</v>
      </c>
      <c r="W1331">
        <v>-3.7354190000000002E-2</v>
      </c>
      <c r="X1331">
        <v>0.97833000000000003</v>
      </c>
      <c r="Y1331">
        <v>0.58801899999999996</v>
      </c>
      <c r="Z1331">
        <v>-4.4701100000000001E-2</v>
      </c>
      <c r="AA1331">
        <v>0.80761099999999997</v>
      </c>
      <c r="AB1331">
        <v>21</v>
      </c>
      <c r="AC1331">
        <v>-133.87880000000001</v>
      </c>
      <c r="AD1331">
        <v>6.3848070000000003</v>
      </c>
      <c r="AE1331">
        <v>-27.421499999999899</v>
      </c>
      <c r="AF1331">
        <v>80.445027274067201</v>
      </c>
      <c r="AG1331">
        <v>6.3848070000000003</v>
      </c>
      <c r="AH1331">
        <v>110.103605751681</v>
      </c>
      <c r="AI1331">
        <v>87.319199458275804</v>
      </c>
      <c r="AJ1331">
        <v>53.847005062401301</v>
      </c>
      <c r="AK1331">
        <v>136.509970965766</v>
      </c>
      <c r="AL1331">
        <v>92.140735386359097</v>
      </c>
      <c r="AM1331">
        <v>78.240930522063195</v>
      </c>
      <c r="AN1331">
        <v>1.0000000398904001</v>
      </c>
    </row>
    <row r="1332" spans="1:40" x14ac:dyDescent="0.25">
      <c r="A1332" t="str">
        <f>"20190312161251481"</f>
        <v>20190312161251481</v>
      </c>
      <c r="B1332" t="str">
        <f>"1552378371477124"</f>
        <v>1552378371477124</v>
      </c>
      <c r="C1332" t="s">
        <v>40</v>
      </c>
      <c r="D1332">
        <v>5.7625469999999996</v>
      </c>
      <c r="E1332">
        <v>0.68187880000000001</v>
      </c>
      <c r="F1332" t="s">
        <v>68</v>
      </c>
      <c r="G1332">
        <v>-351.48700000000002</v>
      </c>
      <c r="H1332">
        <v>13.910629999999999</v>
      </c>
      <c r="I1332">
        <v>261.4522</v>
      </c>
      <c r="J1332">
        <v>-199.38339999999999</v>
      </c>
      <c r="K1332">
        <v>1.1029679999999999</v>
      </c>
      <c r="L1332">
        <v>288.50360000000001</v>
      </c>
      <c r="M1332">
        <v>-0.68219819999999998</v>
      </c>
      <c r="N1332">
        <v>0</v>
      </c>
      <c r="O1332">
        <v>-0.73101439999999995</v>
      </c>
      <c r="P1332">
        <v>-0.81651409999999902</v>
      </c>
      <c r="Q1332">
        <v>-4.8032230000000002E-2</v>
      </c>
      <c r="R1332">
        <v>-0.57532419999999995</v>
      </c>
      <c r="S1332">
        <v>-3.2987060000000001</v>
      </c>
      <c r="T1332">
        <v>0.2774742</v>
      </c>
      <c r="U1332">
        <v>-0.58935550000000003</v>
      </c>
      <c r="V1332">
        <v>0.20380799999999999</v>
      </c>
      <c r="W1332">
        <v>-3.6957070000000002E-2</v>
      </c>
      <c r="X1332">
        <v>0.97831310000000005</v>
      </c>
      <c r="Y1332">
        <v>0.59576779999999996</v>
      </c>
      <c r="Z1332">
        <v>-7.9052289999999997E-2</v>
      </c>
      <c r="AA1332">
        <v>0.79925690000000005</v>
      </c>
      <c r="AB1332">
        <v>21</v>
      </c>
      <c r="AC1332">
        <v>-152.10359999999901</v>
      </c>
      <c r="AD1332">
        <v>12.807662000000001</v>
      </c>
      <c r="AE1332">
        <v>-27.051400000000001</v>
      </c>
      <c r="AF1332">
        <v>92.112796124799601</v>
      </c>
      <c r="AG1332">
        <v>12.807662000000001</v>
      </c>
      <c r="AH1332">
        <v>122.710208260012</v>
      </c>
      <c r="AI1332">
        <v>85.228444412279302</v>
      </c>
      <c r="AJ1332">
        <v>53.106161771032298</v>
      </c>
      <c r="AK1332">
        <v>153.96947303621801</v>
      </c>
      <c r="AL1332">
        <v>92.117966399127994</v>
      </c>
      <c r="AM1332">
        <v>78.232116839584606</v>
      </c>
      <c r="AN1332">
        <v>1.0000000237592901</v>
      </c>
    </row>
    <row r="1333" spans="1:40" x14ac:dyDescent="0.25">
      <c r="A1333" t="str">
        <f>"20190312161251502"</f>
        <v>20190312161251502</v>
      </c>
      <c r="B1333" t="str">
        <f>"1552378371496644"</f>
        <v>1552378371496644</v>
      </c>
      <c r="C1333" t="s">
        <v>40</v>
      </c>
      <c r="D1333">
        <v>5.3241230000000002</v>
      </c>
      <c r="E1333">
        <v>0.67965120000000001</v>
      </c>
      <c r="F1333" t="s">
        <v>43</v>
      </c>
      <c r="G1333">
        <v>-200.15610000000001</v>
      </c>
      <c r="H1333">
        <v>1.181824</v>
      </c>
      <c r="I1333">
        <v>288.3768</v>
      </c>
      <c r="J1333">
        <v>-199.53370000000001</v>
      </c>
      <c r="K1333">
        <v>1.102984</v>
      </c>
      <c r="L1333">
        <v>288.36340000000001</v>
      </c>
      <c r="M1333">
        <v>-0.69108040000000004</v>
      </c>
      <c r="N1333">
        <v>0</v>
      </c>
      <c r="O1333">
        <v>-0.72262280000000001</v>
      </c>
      <c r="P1333">
        <v>-0.82361499999999999</v>
      </c>
      <c r="Q1333">
        <v>-4.816467E-2</v>
      </c>
      <c r="R1333">
        <v>-0.56510039999999995</v>
      </c>
      <c r="S1333">
        <v>-3.310883</v>
      </c>
      <c r="T1333">
        <v>0.33785490000000001</v>
      </c>
      <c r="U1333">
        <v>-0.54382319999999995</v>
      </c>
      <c r="V1333">
        <v>0.20404240000000001</v>
      </c>
      <c r="W1333">
        <v>-3.7081749999999997E-2</v>
      </c>
      <c r="X1333">
        <v>0.97825949999999995</v>
      </c>
      <c r="Y1333">
        <v>0.59530649999999996</v>
      </c>
      <c r="Z1333">
        <v>-9.547725E-2</v>
      </c>
      <c r="AA1333">
        <v>0.79780600000000002</v>
      </c>
      <c r="AB1333">
        <v>21</v>
      </c>
      <c r="AC1333">
        <v>-0.62239999999999895</v>
      </c>
      <c r="AD1333">
        <v>7.8839999999999993E-2</v>
      </c>
      <c r="AE1333">
        <v>1.339999999999E-2</v>
      </c>
      <c r="AF1333">
        <v>0.451825938302716</v>
      </c>
      <c r="AG1333">
        <v>7.8839999999999993E-2</v>
      </c>
      <c r="AH1333">
        <v>0.413854983015366</v>
      </c>
      <c r="AI1333">
        <v>82.667885675041802</v>
      </c>
      <c r="AJ1333">
        <v>42.4884719939039</v>
      </c>
      <c r="AK1333">
        <v>0.61776886542604204</v>
      </c>
      <c r="AL1333">
        <v>92.125114980323104</v>
      </c>
      <c r="AM1333">
        <v>78.2183331719812</v>
      </c>
      <c r="AN1333">
        <v>1.0000000032605301</v>
      </c>
    </row>
    <row r="1334" spans="1:40" x14ac:dyDescent="0.25">
      <c r="A1334" t="str">
        <f>"20190312161251526"</f>
        <v>20190312161251526</v>
      </c>
      <c r="B1334" t="str">
        <f>"1552378371516672"</f>
        <v>1552378371516672</v>
      </c>
      <c r="C1334" t="s">
        <v>40</v>
      </c>
      <c r="D1334">
        <v>5.2229609999999997</v>
      </c>
      <c r="E1334">
        <v>0.67763009999999901</v>
      </c>
      <c r="F1334" t="s">
        <v>43</v>
      </c>
      <c r="G1334">
        <v>-200.27969999999999</v>
      </c>
      <c r="H1334">
        <v>1.181575</v>
      </c>
      <c r="I1334">
        <v>288.24680000000001</v>
      </c>
      <c r="J1334">
        <v>-199.6961</v>
      </c>
      <c r="K1334">
        <v>1.1030120000000001</v>
      </c>
      <c r="L1334">
        <v>288.21570000000003</v>
      </c>
      <c r="M1334">
        <v>-0.70046169999999996</v>
      </c>
      <c r="N1334">
        <v>0</v>
      </c>
      <c r="O1334">
        <v>-0.71353299999999997</v>
      </c>
      <c r="P1334">
        <v>-0.83125720000000003</v>
      </c>
      <c r="Q1334">
        <v>-4.8223160000000001E-2</v>
      </c>
      <c r="R1334">
        <v>-0.55379209999999901</v>
      </c>
      <c r="S1334">
        <v>-3.3079830000000001</v>
      </c>
      <c r="T1334">
        <v>0.34847499999999998</v>
      </c>
      <c r="U1334">
        <v>-0.51721189999999995</v>
      </c>
      <c r="V1334">
        <v>0.2046298</v>
      </c>
      <c r="W1334">
        <v>-3.713843E-2</v>
      </c>
      <c r="X1334">
        <v>0.97813459999999997</v>
      </c>
      <c r="Y1334">
        <v>0.59064469999999902</v>
      </c>
      <c r="Z1334">
        <v>-9.7815479999999996E-2</v>
      </c>
      <c r="AA1334">
        <v>0.80098130000000001</v>
      </c>
      <c r="AB1334">
        <v>21</v>
      </c>
      <c r="AC1334">
        <v>-0.58359999999998902</v>
      </c>
      <c r="AD1334">
        <v>7.8562999999999897E-2</v>
      </c>
      <c r="AE1334">
        <v>3.1099999999980799E-2</v>
      </c>
      <c r="AF1334">
        <v>0.43047239896147899</v>
      </c>
      <c r="AG1334">
        <v>7.8562999999999897E-2</v>
      </c>
      <c r="AH1334">
        <v>0.37977903336804902</v>
      </c>
      <c r="AI1334">
        <v>82.207121479917703</v>
      </c>
      <c r="AJ1334">
        <v>41.4199569811069</v>
      </c>
      <c r="AK1334">
        <v>0.57940551034885801</v>
      </c>
      <c r="AL1334">
        <v>92.128364842359602</v>
      </c>
      <c r="AM1334">
        <v>78.183901721368997</v>
      </c>
      <c r="AN1334">
        <v>0.99999995687403098</v>
      </c>
    </row>
    <row r="1335" spans="1:40" x14ac:dyDescent="0.25">
      <c r="A1335" t="str">
        <f>"20190312161251549"</f>
        <v>20190312161251549</v>
      </c>
      <c r="B1335" t="str">
        <f>"1552378371537167"</f>
        <v>1552378371537167</v>
      </c>
      <c r="C1335" t="s">
        <v>40</v>
      </c>
      <c r="D1335">
        <v>5.9841879999999996</v>
      </c>
      <c r="E1335">
        <v>0.67579250000000002</v>
      </c>
      <c r="F1335" t="s">
        <v>68</v>
      </c>
      <c r="G1335">
        <v>-352.08690000000001</v>
      </c>
      <c r="H1335">
        <v>17.442499999999999</v>
      </c>
      <c r="I1335">
        <v>265.83999999999997</v>
      </c>
      <c r="J1335">
        <v>-199.858</v>
      </c>
      <c r="K1335">
        <v>1.1030390000000001</v>
      </c>
      <c r="L1335">
        <v>288.07229999999998</v>
      </c>
      <c r="M1335">
        <v>-0.7095863</v>
      </c>
      <c r="N1335">
        <v>0</v>
      </c>
      <c r="O1335">
        <v>-0.70445979999999997</v>
      </c>
      <c r="P1335">
        <v>-0.83859079999999997</v>
      </c>
      <c r="Q1335">
        <v>-4.8688290000000002E-2</v>
      </c>
      <c r="R1335">
        <v>-0.54258219999999902</v>
      </c>
      <c r="S1335">
        <v>-3.3061370000000001</v>
      </c>
      <c r="T1335">
        <v>0.35448879999999999</v>
      </c>
      <c r="U1335">
        <v>-0.48544310000000002</v>
      </c>
      <c r="V1335">
        <v>0.2051499</v>
      </c>
      <c r="W1335">
        <v>-3.7600849999999998E-2</v>
      </c>
      <c r="X1335">
        <v>0.97800799999999999</v>
      </c>
      <c r="Y1335">
        <v>0.58756370000000002</v>
      </c>
      <c r="Z1335">
        <v>-9.8889279999999996E-2</v>
      </c>
      <c r="AA1335">
        <v>0.80311259999999995</v>
      </c>
      <c r="AB1335">
        <v>21</v>
      </c>
      <c r="AC1335">
        <v>-152.22890000000001</v>
      </c>
      <c r="AD1335">
        <v>16.339461</v>
      </c>
      <c r="AE1335">
        <v>-22.232299999999999</v>
      </c>
      <c r="AF1335">
        <v>90.4533073075674</v>
      </c>
      <c r="AG1335">
        <v>16.339461</v>
      </c>
      <c r="AH1335">
        <v>122.315399925516</v>
      </c>
      <c r="AI1335">
        <v>83.869581334034606</v>
      </c>
      <c r="AJ1335">
        <v>53.516750740970899</v>
      </c>
      <c r="AK1335">
        <v>153.00273150367801</v>
      </c>
      <c r="AL1335">
        <v>92.154878034503298</v>
      </c>
      <c r="AM1335">
        <v>78.153226610499203</v>
      </c>
      <c r="AN1335">
        <v>0.99999997672736596</v>
      </c>
    </row>
    <row r="1336" spans="1:40" x14ac:dyDescent="0.25">
      <c r="A1336" t="str">
        <f>"20190312161251570"</f>
        <v>20190312161251570</v>
      </c>
      <c r="B1336" t="str">
        <f>"1552378371566448"</f>
        <v>1552378371566448</v>
      </c>
      <c r="C1336" t="s">
        <v>40</v>
      </c>
      <c r="D1336">
        <v>5.9665990000000004</v>
      </c>
      <c r="E1336">
        <v>0.67196140000000004</v>
      </c>
      <c r="F1336" t="s">
        <v>43</v>
      </c>
      <c r="G1336">
        <v>-200.64699999999999</v>
      </c>
      <c r="H1336">
        <v>1.1868540000000001</v>
      </c>
      <c r="I1336">
        <v>287.964</v>
      </c>
      <c r="J1336">
        <v>-200.01349999999999</v>
      </c>
      <c r="K1336">
        <v>1.103067</v>
      </c>
      <c r="L1336">
        <v>287.93819999999999</v>
      </c>
      <c r="M1336">
        <v>-0.71813609999999894</v>
      </c>
      <c r="N1336">
        <v>0</v>
      </c>
      <c r="O1336">
        <v>-0.69574179999999997</v>
      </c>
      <c r="P1336">
        <v>-0.84533539999999996</v>
      </c>
      <c r="Q1336">
        <v>-4.9164289999999999E-2</v>
      </c>
      <c r="R1336">
        <v>-0.53196899999999903</v>
      </c>
      <c r="S1336">
        <v>-3.3043520000000002</v>
      </c>
      <c r="T1336">
        <v>0.35100439999999999</v>
      </c>
      <c r="U1336">
        <v>-0.45355220000000002</v>
      </c>
      <c r="V1336">
        <v>0.20550860000000001</v>
      </c>
      <c r="W1336">
        <v>-3.8072149999999999E-2</v>
      </c>
      <c r="X1336">
        <v>0.97791450000000002</v>
      </c>
      <c r="Y1336">
        <v>0.58540249999999905</v>
      </c>
      <c r="Z1336">
        <v>-9.7374440000000007E-2</v>
      </c>
      <c r="AA1336">
        <v>0.80487399999999998</v>
      </c>
      <c r="AB1336">
        <v>21</v>
      </c>
      <c r="AC1336">
        <v>-0.63350000000002604</v>
      </c>
      <c r="AD1336">
        <v>8.3787E-2</v>
      </c>
      <c r="AE1336">
        <v>2.5800000000003799E-2</v>
      </c>
      <c r="AF1336">
        <v>0.451447742907511</v>
      </c>
      <c r="AG1336">
        <v>8.3787E-2</v>
      </c>
      <c r="AH1336">
        <v>0.42953663884333498</v>
      </c>
      <c r="AI1336">
        <v>82.342009301039297</v>
      </c>
      <c r="AJ1336">
        <v>43.5752811812864</v>
      </c>
      <c r="AK1336">
        <v>0.62875038771687097</v>
      </c>
      <c r="AL1336">
        <v>92.181900788874401</v>
      </c>
      <c r="AM1336">
        <v>78.131997180217695</v>
      </c>
      <c r="AN1336">
        <v>1.0000000212949101</v>
      </c>
    </row>
    <row r="1337" spans="1:40" x14ac:dyDescent="0.25">
      <c r="A1337" t="str">
        <f>"20190312161251590"</f>
        <v>20190312161251590</v>
      </c>
      <c r="B1337" t="str">
        <f>"1552378371586943"</f>
        <v>1552378371586943</v>
      </c>
      <c r="C1337" t="s">
        <v>40</v>
      </c>
      <c r="D1337">
        <v>5.3608339999999997</v>
      </c>
      <c r="E1337">
        <v>0.66953609999999997</v>
      </c>
      <c r="F1337" t="s">
        <v>43</v>
      </c>
      <c r="G1337">
        <v>-200.78</v>
      </c>
      <c r="H1337">
        <v>1.1829799999999999</v>
      </c>
      <c r="I1337">
        <v>287.83640000000003</v>
      </c>
      <c r="J1337">
        <v>-200.1611</v>
      </c>
      <c r="K1337">
        <v>1.103105</v>
      </c>
      <c r="L1337">
        <v>287.81389999999999</v>
      </c>
      <c r="M1337">
        <v>-0.72607460000000001</v>
      </c>
      <c r="N1337">
        <v>0</v>
      </c>
      <c r="O1337">
        <v>-0.68745319999999899</v>
      </c>
      <c r="P1337">
        <v>-0.85146239999999995</v>
      </c>
      <c r="Q1337">
        <v>-4.9305179999999997E-2</v>
      </c>
      <c r="R1337">
        <v>-0.52209289999999997</v>
      </c>
      <c r="S1337">
        <v>-3.2932589999999902</v>
      </c>
      <c r="T1337">
        <v>0.34333649999999999</v>
      </c>
      <c r="U1337">
        <v>-0.43789670000000003</v>
      </c>
      <c r="V1337">
        <v>0.20566200000000001</v>
      </c>
      <c r="W1337">
        <v>-3.8205280000000001E-2</v>
      </c>
      <c r="X1337">
        <v>0.977877</v>
      </c>
      <c r="Y1337">
        <v>0.57979440000000004</v>
      </c>
      <c r="Z1337">
        <v>-9.4759430000000006E-2</v>
      </c>
      <c r="AA1337">
        <v>0.80923369999999994</v>
      </c>
      <c r="AB1337">
        <v>21</v>
      </c>
      <c r="AC1337">
        <v>-0.61889999999999601</v>
      </c>
      <c r="AD1337">
        <v>7.9874999999999904E-2</v>
      </c>
      <c r="AE1337">
        <v>2.25000000000363E-2</v>
      </c>
      <c r="AF1337">
        <v>0.43462124001892599</v>
      </c>
      <c r="AG1337">
        <v>7.9874999999999904E-2</v>
      </c>
      <c r="AH1337">
        <v>0.42684806682703003</v>
      </c>
      <c r="AI1337">
        <v>82.530001636446897</v>
      </c>
      <c r="AJ1337">
        <v>44.483025190312397</v>
      </c>
      <c r="AK1337">
        <v>0.61438986812492402</v>
      </c>
      <c r="AL1337">
        <v>92.189534254088002</v>
      </c>
      <c r="AM1337">
        <v>78.122947403167302</v>
      </c>
      <c r="AN1337">
        <v>0.99999996439643801</v>
      </c>
    </row>
    <row r="1338" spans="1:40" x14ac:dyDescent="0.25">
      <c r="A1338" t="str">
        <f>"20190312161251614"</f>
        <v>20190312161251614</v>
      </c>
      <c r="B1338" t="str">
        <f>"1552378371607439"</f>
        <v>1552378371607439</v>
      </c>
      <c r="C1338" t="s">
        <v>40</v>
      </c>
      <c r="D1338">
        <v>5.7402980000000001</v>
      </c>
      <c r="E1338">
        <v>0.66845759999999999</v>
      </c>
      <c r="F1338" t="s">
        <v>43</v>
      </c>
      <c r="G1338">
        <v>-200.93979999999999</v>
      </c>
      <c r="H1338">
        <v>1.1825889999999999</v>
      </c>
      <c r="I1338">
        <v>287.71550000000002</v>
      </c>
      <c r="J1338">
        <v>-200.32830000000001</v>
      </c>
      <c r="K1338">
        <v>1.103138</v>
      </c>
      <c r="L1338">
        <v>287.67649999999998</v>
      </c>
      <c r="M1338">
        <v>-0.73485859999999903</v>
      </c>
      <c r="N1338">
        <v>0</v>
      </c>
      <c r="O1338">
        <v>-0.67805569999999904</v>
      </c>
      <c r="P1338">
        <v>-0.85793349999999902</v>
      </c>
      <c r="Q1338">
        <v>-4.8910059999999998E-2</v>
      </c>
      <c r="R1338">
        <v>-0.51142770000000004</v>
      </c>
      <c r="S1338">
        <v>-3.2876129999999999</v>
      </c>
      <c r="T1338">
        <v>0.33551540000000002</v>
      </c>
      <c r="U1338">
        <v>-0.41610720000000001</v>
      </c>
      <c r="V1338">
        <v>0.20530899999999999</v>
      </c>
      <c r="W1338">
        <v>-3.7791539999999998E-2</v>
      </c>
      <c r="X1338">
        <v>0.97796729999999998</v>
      </c>
      <c r="Y1338">
        <v>0.57473409999999903</v>
      </c>
      <c r="Z1338">
        <v>-9.1929380000000005E-2</v>
      </c>
      <c r="AA1338">
        <v>0.81316040000000001</v>
      </c>
      <c r="AB1338">
        <v>21</v>
      </c>
      <c r="AC1338">
        <v>-0.61149999999997795</v>
      </c>
      <c r="AD1338">
        <v>7.9450999999999897E-2</v>
      </c>
      <c r="AE1338">
        <v>3.9000000000044097E-2</v>
      </c>
      <c r="AF1338">
        <v>0.43600946140959801</v>
      </c>
      <c r="AG1338">
        <v>7.9450999999999897E-2</v>
      </c>
      <c r="AH1338">
        <v>0.415975334414942</v>
      </c>
      <c r="AI1338">
        <v>82.489178772371304</v>
      </c>
      <c r="AJ1338">
        <v>43.652957856396696</v>
      </c>
      <c r="AK1338">
        <v>0.60782578974679202</v>
      </c>
      <c r="AL1338">
        <v>92.165811459572694</v>
      </c>
      <c r="AM1338">
        <v>78.143819561174396</v>
      </c>
      <c r="AN1338">
        <v>1.0000000129229301</v>
      </c>
    </row>
    <row r="1339" spans="1:40" x14ac:dyDescent="0.25">
      <c r="A1339" t="str">
        <f>"20190312161251635"</f>
        <v>20190312161251635</v>
      </c>
      <c r="B1339" t="str">
        <f>"1552378371626960"</f>
        <v>1552378371626960</v>
      </c>
      <c r="C1339" t="s">
        <v>40</v>
      </c>
      <c r="D1339">
        <v>5.7795420000000002</v>
      </c>
      <c r="E1339">
        <v>0.64085749999999997</v>
      </c>
      <c r="F1339" t="s">
        <v>43</v>
      </c>
      <c r="G1339">
        <v>-201.10509999999999</v>
      </c>
      <c r="H1339">
        <v>1.18218</v>
      </c>
      <c r="I1339">
        <v>287.58620000000002</v>
      </c>
      <c r="J1339">
        <v>-200.49189999999999</v>
      </c>
      <c r="K1339">
        <v>1.103172</v>
      </c>
      <c r="L1339">
        <v>287.54559999999998</v>
      </c>
      <c r="M1339">
        <v>-0.74324639999999997</v>
      </c>
      <c r="N1339">
        <v>0</v>
      </c>
      <c r="O1339">
        <v>-0.66885099999999997</v>
      </c>
      <c r="P1339">
        <v>-0.8637802</v>
      </c>
      <c r="Q1339">
        <v>-4.8269909999999999E-2</v>
      </c>
      <c r="R1339">
        <v>-0.50155139999999998</v>
      </c>
      <c r="S1339">
        <v>-3.2878880000000001</v>
      </c>
      <c r="T1339">
        <v>0.33456909999999901</v>
      </c>
      <c r="U1339">
        <v>-0.38244630000000002</v>
      </c>
      <c r="V1339">
        <v>0.2043866</v>
      </c>
      <c r="W1339">
        <v>-3.7122849999999999E-2</v>
      </c>
      <c r="X1339">
        <v>0.97818609999999995</v>
      </c>
      <c r="Y1339">
        <v>0.57285189999999997</v>
      </c>
      <c r="Z1339">
        <v>-9.1023409999999999E-2</v>
      </c>
      <c r="AA1339">
        <v>0.81458909999999995</v>
      </c>
      <c r="AB1339">
        <v>21</v>
      </c>
      <c r="AC1339">
        <v>-0.61320000000000596</v>
      </c>
      <c r="AD1339">
        <v>7.9007999999999898E-2</v>
      </c>
      <c r="AE1339">
        <v>4.0600000000040298E-2</v>
      </c>
      <c r="AF1339">
        <v>0.43320407740097999</v>
      </c>
      <c r="AG1339">
        <v>7.9007999999999898E-2</v>
      </c>
      <c r="AH1339">
        <v>0.421681331171401</v>
      </c>
      <c r="AI1339">
        <v>82.554275999210006</v>
      </c>
      <c r="AJ1339">
        <v>44.227773986897603</v>
      </c>
      <c r="AK1339">
        <v>0.60969105438682603</v>
      </c>
      <c r="AL1339">
        <v>92.127471429594095</v>
      </c>
      <c r="AM1339">
        <v>78.198154834061299</v>
      </c>
      <c r="AN1339">
        <v>1.0000000172424399</v>
      </c>
    </row>
    <row r="1340" spans="1:40" x14ac:dyDescent="0.25">
      <c r="A1340" t="str">
        <f>"20190312161251659"</f>
        <v>20190312161251659</v>
      </c>
      <c r="B1340" t="str">
        <f>"1552378371657215"</f>
        <v>1552378371657215</v>
      </c>
      <c r="C1340" t="s">
        <v>40</v>
      </c>
      <c r="D1340">
        <v>5.9060189999999997</v>
      </c>
      <c r="E1340">
        <v>0.64010840000000002</v>
      </c>
      <c r="F1340" t="s">
        <v>68</v>
      </c>
      <c r="G1340">
        <v>-351.48700000000002</v>
      </c>
      <c r="H1340">
        <v>13.25315</v>
      </c>
      <c r="I1340">
        <v>262.13690000000003</v>
      </c>
      <c r="J1340">
        <v>-200.661</v>
      </c>
      <c r="K1340">
        <v>1.103205</v>
      </c>
      <c r="L1340">
        <v>287.41359999999997</v>
      </c>
      <c r="M1340">
        <v>-0.75171299999999996</v>
      </c>
      <c r="N1340">
        <v>0</v>
      </c>
      <c r="O1340">
        <v>-0.65932109999999899</v>
      </c>
      <c r="P1340">
        <v>-0.86990400000000001</v>
      </c>
      <c r="Q1340">
        <v>-4.7937229999999997E-2</v>
      </c>
      <c r="R1340">
        <v>-0.4908864</v>
      </c>
      <c r="S1340">
        <v>-3.176987</v>
      </c>
      <c r="T1340">
        <v>0.25564110000000001</v>
      </c>
      <c r="U1340">
        <v>-0.5346069</v>
      </c>
      <c r="V1340">
        <v>0.20397129999999999</v>
      </c>
      <c r="W1340">
        <v>-3.6773100000000003E-2</v>
      </c>
      <c r="X1340">
        <v>0.97828599999999999</v>
      </c>
      <c r="Y1340">
        <v>0.522173</v>
      </c>
      <c r="Z1340">
        <v>-6.9016040000000001E-2</v>
      </c>
      <c r="AA1340">
        <v>0.85004239999999998</v>
      </c>
      <c r="AB1340">
        <v>20</v>
      </c>
      <c r="AC1340">
        <v>-150.82599999999999</v>
      </c>
      <c r="AD1340">
        <v>12.149945000000001</v>
      </c>
      <c r="AE1340">
        <v>-25.276699999999899</v>
      </c>
      <c r="AF1340">
        <v>79.946300365604898</v>
      </c>
      <c r="AG1340">
        <v>12.149945000000001</v>
      </c>
      <c r="AH1340">
        <v>129.242069703993</v>
      </c>
      <c r="AI1340">
        <v>85.428950688934094</v>
      </c>
      <c r="AJ1340">
        <v>58.2599767796357</v>
      </c>
      <c r="AK1340">
        <v>152.45505792535101</v>
      </c>
      <c r="AL1340">
        <v>92.107418522393601</v>
      </c>
      <c r="AM1340">
        <v>78.2226340070942</v>
      </c>
      <c r="AN1340">
        <v>1.0000000249516401</v>
      </c>
    </row>
    <row r="1341" spans="1:40" x14ac:dyDescent="0.25">
      <c r="A1341" t="str">
        <f>"20190312161251681"</f>
        <v>20190312161251681</v>
      </c>
      <c r="B1341" t="str">
        <f>"1552378371676735"</f>
        <v>1552378371676735</v>
      </c>
      <c r="C1341" t="s">
        <v>40</v>
      </c>
      <c r="D1341">
        <v>5.7638550000000004</v>
      </c>
      <c r="E1341">
        <v>0.63727519999999904</v>
      </c>
      <c r="F1341" t="s">
        <v>68</v>
      </c>
      <c r="G1341">
        <v>-351.48700000000002</v>
      </c>
      <c r="H1341">
        <v>12.77393</v>
      </c>
      <c r="I1341">
        <v>263.66919999999999</v>
      </c>
      <c r="J1341">
        <v>-200.8296</v>
      </c>
      <c r="K1341">
        <v>1.103232</v>
      </c>
      <c r="L1341">
        <v>287.28539999999998</v>
      </c>
      <c r="M1341">
        <v>-0.75994819999999996</v>
      </c>
      <c r="N1341">
        <v>0</v>
      </c>
      <c r="O1341">
        <v>-0.64981219999999995</v>
      </c>
      <c r="P1341">
        <v>-0.87563570000000002</v>
      </c>
      <c r="Q1341">
        <v>-4.7914369999999998E-2</v>
      </c>
      <c r="R1341">
        <v>-0.48058970000000001</v>
      </c>
      <c r="S1341">
        <v>-3.1797179999999998</v>
      </c>
      <c r="T1341">
        <v>0.24604429999999999</v>
      </c>
      <c r="U1341">
        <v>-0.50057980000000002</v>
      </c>
      <c r="V1341">
        <v>0.20320869999999999</v>
      </c>
      <c r="W1341">
        <v>-3.6727549999999998E-2</v>
      </c>
      <c r="X1341">
        <v>0.97844640000000005</v>
      </c>
      <c r="Y1341">
        <v>0.52070740000000004</v>
      </c>
      <c r="Z1341">
        <v>-6.5889539999999996E-2</v>
      </c>
      <c r="AA1341">
        <v>0.85118879999999997</v>
      </c>
      <c r="AB1341">
        <v>20</v>
      </c>
      <c r="AC1341">
        <v>-150.657399999999</v>
      </c>
      <c r="AD1341">
        <v>11.670698</v>
      </c>
      <c r="AE1341">
        <v>-23.6161999999999</v>
      </c>
      <c r="AF1341">
        <v>79.495239202665502</v>
      </c>
      <c r="AG1341">
        <v>11.670698</v>
      </c>
      <c r="AH1341">
        <v>129.09627538538399</v>
      </c>
      <c r="AI1341">
        <v>85.598118568902194</v>
      </c>
      <c r="AJ1341">
        <v>58.375961584742697</v>
      </c>
      <c r="AK1341">
        <v>152.05770801269799</v>
      </c>
      <c r="AL1341">
        <v>92.1048069392521</v>
      </c>
      <c r="AM1341">
        <v>78.267313894476302</v>
      </c>
      <c r="AN1341">
        <v>1.00000002317882</v>
      </c>
    </row>
    <row r="1342" spans="1:40" x14ac:dyDescent="0.25">
      <c r="A1342" t="str">
        <f>"20190312161251702"</f>
        <v>20190312161251702</v>
      </c>
      <c r="B1342" t="str">
        <f>"1552378371697232"</f>
        <v>1552378371697232</v>
      </c>
      <c r="C1342" t="s">
        <v>40</v>
      </c>
      <c r="D1342">
        <v>5.8740969999999999</v>
      </c>
      <c r="E1342">
        <v>0.63540350000000001</v>
      </c>
      <c r="F1342" t="s">
        <v>68</v>
      </c>
      <c r="G1342">
        <v>-352.55</v>
      </c>
      <c r="H1342">
        <v>12.101850000000001</v>
      </c>
      <c r="I1342">
        <v>264.20710000000003</v>
      </c>
      <c r="J1342">
        <v>-200.9846</v>
      </c>
      <c r="K1342">
        <v>1.103254</v>
      </c>
      <c r="L1342">
        <v>287.1705</v>
      </c>
      <c r="M1342">
        <v>-0.76734919999999995</v>
      </c>
      <c r="N1342">
        <v>0</v>
      </c>
      <c r="O1342">
        <v>-0.64105570000000001</v>
      </c>
      <c r="P1342">
        <v>-0.88091830000000004</v>
      </c>
      <c r="Q1342">
        <v>-4.7387480000000003E-2</v>
      </c>
      <c r="R1342">
        <v>-0.47089029999999998</v>
      </c>
      <c r="S1342">
        <v>-3.173721</v>
      </c>
      <c r="T1342">
        <v>0.23007320000000001</v>
      </c>
      <c r="U1342">
        <v>-0.48275760000000001</v>
      </c>
      <c r="V1342">
        <v>0.20282449999999999</v>
      </c>
      <c r="W1342">
        <v>-3.6186410000000002E-2</v>
      </c>
      <c r="X1342">
        <v>0.97854629999999998</v>
      </c>
      <c r="Y1342">
        <v>0.51574529999999996</v>
      </c>
      <c r="Z1342">
        <v>-6.1141300000000003E-2</v>
      </c>
      <c r="AA1342">
        <v>0.85455749999999997</v>
      </c>
      <c r="AB1342">
        <v>20</v>
      </c>
      <c r="AC1342">
        <v>-151.56540000000001</v>
      </c>
      <c r="AD1342">
        <v>10.998595999999999</v>
      </c>
      <c r="AE1342">
        <v>-22.963399999999901</v>
      </c>
      <c r="AF1342">
        <v>79.142373485174204</v>
      </c>
      <c r="AG1342">
        <v>10.998595999999999</v>
      </c>
      <c r="AH1342">
        <v>130.36790297418301</v>
      </c>
      <c r="AI1342">
        <v>85.875129703866705</v>
      </c>
      <c r="AJ1342">
        <v>58.739340762019097</v>
      </c>
      <c r="AK1342">
        <v>152.90609706850799</v>
      </c>
      <c r="AL1342">
        <v>92.073781225546</v>
      </c>
      <c r="AM1342">
        <v>78.2900458224441</v>
      </c>
      <c r="AN1342">
        <v>1.00000004765631</v>
      </c>
    </row>
    <row r="1343" spans="1:40" x14ac:dyDescent="0.25">
      <c r="A1343" t="str">
        <f>"20190312161251726"</f>
        <v>20190312161251726</v>
      </c>
      <c r="B1343" t="str">
        <f>"1552378371716751"</f>
        <v>1552378371716751</v>
      </c>
      <c r="C1343" t="s">
        <v>40</v>
      </c>
      <c r="D1343">
        <v>5.810975</v>
      </c>
      <c r="E1343">
        <v>0.63413960000000003</v>
      </c>
      <c r="F1343" t="s">
        <v>68</v>
      </c>
      <c r="G1343">
        <v>-352.55</v>
      </c>
      <c r="H1343">
        <v>11.529310000000001</v>
      </c>
      <c r="I1343">
        <v>265.14589999999998</v>
      </c>
      <c r="J1343">
        <v>-201.16829999999999</v>
      </c>
      <c r="K1343">
        <v>1.1032820000000001</v>
      </c>
      <c r="L1343">
        <v>287.0376</v>
      </c>
      <c r="M1343">
        <v>-0.77591599999999905</v>
      </c>
      <c r="N1343">
        <v>0</v>
      </c>
      <c r="O1343">
        <v>-0.63065969999999905</v>
      </c>
      <c r="P1343">
        <v>-0.88691019999999898</v>
      </c>
      <c r="Q1343">
        <v>-4.70579E-2</v>
      </c>
      <c r="R1343">
        <v>-0.45953899999999998</v>
      </c>
      <c r="S1343">
        <v>-3.1709589999999999</v>
      </c>
      <c r="T1343">
        <v>0.2181293</v>
      </c>
      <c r="U1343">
        <v>-0.4607849</v>
      </c>
      <c r="V1343">
        <v>0.20222680000000001</v>
      </c>
      <c r="W1343">
        <v>-3.5838099999999998E-2</v>
      </c>
      <c r="X1343">
        <v>0.97868279999999996</v>
      </c>
      <c r="Y1343">
        <v>0.51018289999999999</v>
      </c>
      <c r="Z1343">
        <v>-5.7354490000000001E-2</v>
      </c>
      <c r="AA1343">
        <v>0.85815149999999996</v>
      </c>
      <c r="AB1343">
        <v>20</v>
      </c>
      <c r="AC1343">
        <v>-151.3817</v>
      </c>
      <c r="AD1343">
        <v>10.426028000000001</v>
      </c>
      <c r="AE1343">
        <v>-21.8917</v>
      </c>
      <c r="AF1343">
        <v>78.129946940796302</v>
      </c>
      <c r="AG1343">
        <v>10.426028000000001</v>
      </c>
      <c r="AH1343">
        <v>130.673175261609</v>
      </c>
      <c r="AI1343">
        <v>86.082495710965503</v>
      </c>
      <c r="AJ1343">
        <v>59.124649753516799</v>
      </c>
      <c r="AK1343">
        <v>152.605600820479</v>
      </c>
      <c r="AL1343">
        <v>92.053811605001698</v>
      </c>
      <c r="AM1343">
        <v>78.325188654464</v>
      </c>
      <c r="AN1343">
        <v>1.00000003553284</v>
      </c>
    </row>
    <row r="1344" spans="1:40" x14ac:dyDescent="0.25">
      <c r="A1344" t="str">
        <f>"20190312161251749"</f>
        <v>20190312161251749</v>
      </c>
      <c r="B1344" t="str">
        <f>"1552378371747007"</f>
        <v>1552378371747007</v>
      </c>
      <c r="C1344" t="s">
        <v>40</v>
      </c>
      <c r="D1344">
        <v>5.8577139999999996</v>
      </c>
      <c r="E1344">
        <v>0.63174919999999901</v>
      </c>
      <c r="F1344" t="s">
        <v>68</v>
      </c>
      <c r="G1344">
        <v>-352.08690000000001</v>
      </c>
      <c r="H1344">
        <v>11.23748</v>
      </c>
      <c r="I1344">
        <v>266.61189999999999</v>
      </c>
      <c r="J1344">
        <v>-201.34469999999999</v>
      </c>
      <c r="K1344">
        <v>1.1033090000000001</v>
      </c>
      <c r="L1344">
        <v>286.91379999999998</v>
      </c>
      <c r="M1344">
        <v>-0.78393250000000003</v>
      </c>
      <c r="N1344">
        <v>0</v>
      </c>
      <c r="O1344">
        <v>-0.62066669999999902</v>
      </c>
      <c r="P1344">
        <v>-0.89230449999999994</v>
      </c>
      <c r="Q1344">
        <v>-4.6791989999999999E-2</v>
      </c>
      <c r="R1344">
        <v>-0.44900250000000003</v>
      </c>
      <c r="S1344">
        <v>-3.1714319999999998</v>
      </c>
      <c r="T1344">
        <v>0.21296370000000001</v>
      </c>
      <c r="U1344">
        <v>-0.42922969999999999</v>
      </c>
      <c r="V1344">
        <v>0.20129440000000001</v>
      </c>
      <c r="W1344">
        <v>-3.5547750000000003E-2</v>
      </c>
      <c r="X1344">
        <v>0.97888549999999996</v>
      </c>
      <c r="Y1344">
        <v>0.50769509999999995</v>
      </c>
      <c r="Z1344">
        <v>-5.5469549999999999E-2</v>
      </c>
      <c r="AA1344">
        <v>0.85974930000000005</v>
      </c>
      <c r="AB1344">
        <v>20</v>
      </c>
      <c r="AC1344">
        <v>-150.7422</v>
      </c>
      <c r="AD1344">
        <v>10.134171</v>
      </c>
      <c r="AE1344">
        <v>-20.3018999999999</v>
      </c>
      <c r="AF1344">
        <v>77.310796941542904</v>
      </c>
      <c r="AG1344">
        <v>10.134171</v>
      </c>
      <c r="AH1344">
        <v>130.20896861386501</v>
      </c>
      <c r="AI1344">
        <v>86.171319763000099</v>
      </c>
      <c r="AJ1344">
        <v>59.300530617401201</v>
      </c>
      <c r="AK1344">
        <v>151.76968160037799</v>
      </c>
      <c r="AL1344">
        <v>92.037165343123903</v>
      </c>
      <c r="AM1344">
        <v>78.379890751879202</v>
      </c>
      <c r="AN1344">
        <v>0.99999995005583497</v>
      </c>
    </row>
    <row r="1345" spans="1:40" x14ac:dyDescent="0.25">
      <c r="A1345" t="str">
        <f>"20190312161251771"</f>
        <v>20190312161251771</v>
      </c>
      <c r="B1345" t="str">
        <f>"1552378371766528"</f>
        <v>1552378371766528</v>
      </c>
      <c r="C1345" t="s">
        <v>40</v>
      </c>
      <c r="D1345">
        <v>5.8970269999999996</v>
      </c>
      <c r="E1345">
        <v>0.6369764</v>
      </c>
      <c r="F1345" t="s">
        <v>68</v>
      </c>
      <c r="G1345">
        <v>-352.08690000000001</v>
      </c>
      <c r="H1345">
        <v>10.494759999999999</v>
      </c>
      <c r="I1345">
        <v>267.46879999999999</v>
      </c>
      <c r="J1345">
        <v>-201.5119</v>
      </c>
      <c r="K1345">
        <v>1.103329</v>
      </c>
      <c r="L1345">
        <v>286.79939999999999</v>
      </c>
      <c r="M1345">
        <v>-0.79135140000000004</v>
      </c>
      <c r="N1345">
        <v>0</v>
      </c>
      <c r="O1345">
        <v>-0.61117959999999905</v>
      </c>
      <c r="P1345">
        <v>-0.89716790000000002</v>
      </c>
      <c r="Q1345">
        <v>-4.6386530000000002E-2</v>
      </c>
      <c r="R1345">
        <v>-0.43924679999999999</v>
      </c>
      <c r="S1345">
        <v>-3.166855</v>
      </c>
      <c r="T1345">
        <v>0.19730110000000001</v>
      </c>
      <c r="U1345">
        <v>-0.40850829999999999</v>
      </c>
      <c r="V1345">
        <v>0.20019899999999999</v>
      </c>
      <c r="W1345">
        <v>-3.5115439999999998E-2</v>
      </c>
      <c r="X1345">
        <v>0.97912580000000005</v>
      </c>
      <c r="Y1345">
        <v>0.50302230000000003</v>
      </c>
      <c r="Z1345">
        <v>-5.0912659999999998E-2</v>
      </c>
      <c r="AA1345">
        <v>0.8627726</v>
      </c>
      <c r="AB1345">
        <v>20</v>
      </c>
      <c r="AC1345">
        <v>-150.57499999999999</v>
      </c>
      <c r="AD1345">
        <v>9.3914309999999901</v>
      </c>
      <c r="AE1345">
        <v>-19.3306</v>
      </c>
      <c r="AF1345">
        <v>76.447044179437796</v>
      </c>
      <c r="AG1345">
        <v>9.3914309999999901</v>
      </c>
      <c r="AH1345">
        <v>130.487400446463</v>
      </c>
      <c r="AI1345">
        <v>86.4465236532982</v>
      </c>
      <c r="AJ1345">
        <v>59.635768134807797</v>
      </c>
      <c r="AK1345">
        <v>151.523302548738</v>
      </c>
      <c r="AL1345">
        <v>92.012380161648196</v>
      </c>
      <c r="AM1345">
        <v>78.444179091586193</v>
      </c>
      <c r="AN1345">
        <v>1.00000003297651</v>
      </c>
    </row>
    <row r="1346" spans="1:40" x14ac:dyDescent="0.25">
      <c r="A1346" t="str">
        <f>"20190312161251792"</f>
        <v>20190312161251792</v>
      </c>
      <c r="B1346" t="str">
        <f>"1552378371787024"</f>
        <v>1552378371787024</v>
      </c>
      <c r="C1346" t="s">
        <v>40</v>
      </c>
      <c r="D1346">
        <v>5.8562279999999998</v>
      </c>
      <c r="E1346">
        <v>0.63446709999999995</v>
      </c>
      <c r="F1346" t="s">
        <v>69</v>
      </c>
      <c r="G1346">
        <v>-215.69560000000001</v>
      </c>
      <c r="H1346" s="1">
        <v>1.4941E-6</v>
      </c>
      <c r="I1346">
        <v>285.29169999999999</v>
      </c>
      <c r="J1346">
        <v>-201.67310000000001</v>
      </c>
      <c r="K1346">
        <v>1.1033520000000001</v>
      </c>
      <c r="L1346">
        <v>286.69200000000001</v>
      </c>
      <c r="M1346">
        <v>-0.79833909999999997</v>
      </c>
      <c r="N1346">
        <v>0</v>
      </c>
      <c r="O1346">
        <v>-0.60202369999999905</v>
      </c>
      <c r="P1346">
        <v>-0.9017117</v>
      </c>
      <c r="Q1346">
        <v>-4.6107960000000003E-2</v>
      </c>
      <c r="R1346">
        <v>-0.42987209999999998</v>
      </c>
      <c r="S1346">
        <v>-3.1663359999999998</v>
      </c>
      <c r="T1346">
        <v>-0.24630589999999999</v>
      </c>
      <c r="U1346">
        <v>-0.3365784</v>
      </c>
      <c r="V1346">
        <v>0.19914129999999999</v>
      </c>
      <c r="W1346">
        <v>-3.4811399999999999E-2</v>
      </c>
      <c r="X1346">
        <v>0.97935229999999995</v>
      </c>
      <c r="Y1346">
        <v>0.51124759999999903</v>
      </c>
      <c r="Z1346">
        <v>6.3456579999999999E-2</v>
      </c>
      <c r="AA1346">
        <v>0.85708759999999995</v>
      </c>
      <c r="AB1346">
        <v>20</v>
      </c>
      <c r="AC1346">
        <v>-14.022500000000001</v>
      </c>
      <c r="AD1346">
        <v>-1.1033505058999999</v>
      </c>
      <c r="AE1346">
        <v>-1.4003000000000101</v>
      </c>
      <c r="AF1346">
        <v>7.2801487724941598</v>
      </c>
      <c r="AG1346">
        <v>-1.1033505058999999</v>
      </c>
      <c r="AH1346">
        <v>11.9657102546579</v>
      </c>
      <c r="AI1346">
        <v>94.504163837276195</v>
      </c>
      <c r="AJ1346">
        <v>58.682932662525602</v>
      </c>
      <c r="AK1346">
        <v>14.049774745060599</v>
      </c>
      <c r="AL1346">
        <v>91.994949343395902</v>
      </c>
      <c r="AM1346">
        <v>78.506189721174906</v>
      </c>
      <c r="AN1346">
        <v>1.0000000092254699</v>
      </c>
    </row>
    <row r="1347" spans="1:40" x14ac:dyDescent="0.25">
      <c r="A1347" t="str">
        <f>"20190312161251815"</f>
        <v>20190312161251815</v>
      </c>
      <c r="B1347" t="str">
        <f>"1552378371806543"</f>
        <v>1552378371806543</v>
      </c>
      <c r="C1347" t="s">
        <v>40</v>
      </c>
      <c r="D1347">
        <v>5.8588659999999999</v>
      </c>
      <c r="E1347">
        <v>0.62724669999999905</v>
      </c>
      <c r="F1347" t="s">
        <v>69</v>
      </c>
      <c r="G1347">
        <v>-216.11779999999999</v>
      </c>
      <c r="H1347" s="1">
        <v>1.7187759999999999E-6</v>
      </c>
      <c r="I1347">
        <v>285.22309999999999</v>
      </c>
      <c r="J1347">
        <v>-201.85390000000001</v>
      </c>
      <c r="K1347">
        <v>1.1033790000000001</v>
      </c>
      <c r="L1347">
        <v>286.57470000000001</v>
      </c>
      <c r="M1347">
        <v>-0.8059906</v>
      </c>
      <c r="N1347">
        <v>0</v>
      </c>
      <c r="O1347">
        <v>-0.59174090000000001</v>
      </c>
      <c r="P1347">
        <v>-0.90677540000000001</v>
      </c>
      <c r="Q1347">
        <v>-4.5709640000000003E-2</v>
      </c>
      <c r="R1347">
        <v>-0.41912909999999998</v>
      </c>
      <c r="S1347">
        <v>-3.1613769999999999</v>
      </c>
      <c r="T1347">
        <v>-0.24148130000000001</v>
      </c>
      <c r="U1347">
        <v>-0.32147219999999999</v>
      </c>
      <c r="V1347">
        <v>0.19824359999999999</v>
      </c>
      <c r="W1347">
        <v>-3.4390360000000002E-2</v>
      </c>
      <c r="X1347">
        <v>0.97954929999999996</v>
      </c>
      <c r="Y1347">
        <v>0.5042913</v>
      </c>
      <c r="Z1347">
        <v>6.1458480000000003E-2</v>
      </c>
      <c r="AA1347">
        <v>0.86134379999999999</v>
      </c>
      <c r="AB1347">
        <v>20</v>
      </c>
      <c r="AC1347">
        <v>-14.2638999999999</v>
      </c>
      <c r="AD1347">
        <v>-1.1033772812239999</v>
      </c>
      <c r="AE1347">
        <v>-1.3516000000000099</v>
      </c>
      <c r="AF1347">
        <v>7.3086280947256697</v>
      </c>
      <c r="AG1347">
        <v>-1.1033772812239999</v>
      </c>
      <c r="AH1347">
        <v>12.225229171606401</v>
      </c>
      <c r="AI1347">
        <v>94.429644118503404</v>
      </c>
      <c r="AJ1347">
        <v>59.127684695629199</v>
      </c>
      <c r="AK1347">
        <v>14.285997142307901</v>
      </c>
      <c r="AL1347">
        <v>91.970811040694599</v>
      </c>
      <c r="AM1347">
        <v>78.5588729826556</v>
      </c>
      <c r="AN1347">
        <v>1.0000000264661799</v>
      </c>
    </row>
    <row r="1348" spans="1:40" x14ac:dyDescent="0.25">
      <c r="A1348" t="str">
        <f>"20190312161251837"</f>
        <v>20190312161251837</v>
      </c>
      <c r="B1348" t="str">
        <f>"1552378371827040"</f>
        <v>1552378371827040</v>
      </c>
      <c r="C1348" t="s">
        <v>40</v>
      </c>
      <c r="D1348">
        <v>5.823054</v>
      </c>
      <c r="E1348">
        <v>0.63062750000000001</v>
      </c>
      <c r="F1348" t="s">
        <v>68</v>
      </c>
      <c r="G1348">
        <v>-367.90339999999998</v>
      </c>
      <c r="H1348">
        <v>12.65279</v>
      </c>
      <c r="I1348">
        <v>268.97770000000003</v>
      </c>
      <c r="J1348">
        <v>-202.02670000000001</v>
      </c>
      <c r="K1348">
        <v>1.1033999999999999</v>
      </c>
      <c r="L1348">
        <v>286.46570000000003</v>
      </c>
      <c r="M1348">
        <v>-0.81312479999999998</v>
      </c>
      <c r="N1348">
        <v>0</v>
      </c>
      <c r="O1348">
        <v>-0.58189899999999894</v>
      </c>
      <c r="P1348">
        <v>-0.91135379999999999</v>
      </c>
      <c r="Q1348">
        <v>-4.556222E-2</v>
      </c>
      <c r="R1348">
        <v>-0.40909489999999998</v>
      </c>
      <c r="S1348">
        <v>-3.1645050000000001</v>
      </c>
      <c r="T1348">
        <v>0.22010560000000001</v>
      </c>
      <c r="U1348">
        <v>-0.33535769999999998</v>
      </c>
      <c r="V1348">
        <v>0.19715630000000001</v>
      </c>
      <c r="W1348">
        <v>-3.4217200000000003E-2</v>
      </c>
      <c r="X1348">
        <v>0.97977479999999995</v>
      </c>
      <c r="Y1348">
        <v>0.4906411</v>
      </c>
      <c r="Z1348">
        <v>-5.4932149999999999E-2</v>
      </c>
      <c r="AA1348">
        <v>0.86962850000000003</v>
      </c>
      <c r="AB1348">
        <v>20</v>
      </c>
      <c r="AC1348">
        <v>-165.876699999999</v>
      </c>
      <c r="AD1348">
        <v>11.549390000000001</v>
      </c>
      <c r="AE1348">
        <v>-17.488</v>
      </c>
      <c r="AF1348">
        <v>81.919912519080597</v>
      </c>
      <c r="AG1348">
        <v>11.549390000000001</v>
      </c>
      <c r="AH1348">
        <v>144.37855545884099</v>
      </c>
      <c r="AI1348">
        <v>86.020083186511897</v>
      </c>
      <c r="AJ1348">
        <v>60.429567576713602</v>
      </c>
      <c r="AK1348">
        <v>166.40140550153899</v>
      </c>
      <c r="AL1348">
        <v>91.960883832515805</v>
      </c>
      <c r="AM1348">
        <v>78.622532919794807</v>
      </c>
      <c r="AN1348">
        <v>1.0000000410602801</v>
      </c>
    </row>
    <row r="1349" spans="1:40" x14ac:dyDescent="0.25">
      <c r="A1349" t="str">
        <f>"20190312161251859"</f>
        <v>20190312161251859</v>
      </c>
      <c r="B1349" t="str">
        <f>"1552378371857296"</f>
        <v>1552378371857296</v>
      </c>
      <c r="C1349" t="s">
        <v>40</v>
      </c>
      <c r="D1349">
        <v>5.7960969999999996</v>
      </c>
      <c r="E1349">
        <v>0.62744800000000001</v>
      </c>
      <c r="F1349" t="s">
        <v>70</v>
      </c>
      <c r="G1349">
        <v>-458.45</v>
      </c>
      <c r="H1349">
        <v>11.707929999999999</v>
      </c>
      <c r="I1349">
        <v>264.17140000000001</v>
      </c>
      <c r="J1349">
        <v>-202.1978</v>
      </c>
      <c r="K1349">
        <v>1.103421</v>
      </c>
      <c r="L1349">
        <v>286.3605</v>
      </c>
      <c r="M1349">
        <v>-0.82001849999999998</v>
      </c>
      <c r="N1349">
        <v>0</v>
      </c>
      <c r="O1349">
        <v>-0.57214339999999997</v>
      </c>
      <c r="P1349">
        <v>-0.91615360000000001</v>
      </c>
      <c r="Q1349">
        <v>-4.605062E-2</v>
      </c>
      <c r="R1349">
        <v>-0.39817350000000001</v>
      </c>
      <c r="S1349">
        <v>-3.1745000000000001</v>
      </c>
      <c r="T1349">
        <v>0.13128399999999901</v>
      </c>
      <c r="U1349">
        <v>-0.276001</v>
      </c>
      <c r="V1349">
        <v>0.19714100000000001</v>
      </c>
      <c r="W1349">
        <v>-3.4701589999999997E-2</v>
      </c>
      <c r="X1349">
        <v>0.97976079999999999</v>
      </c>
      <c r="Y1349">
        <v>0.49817230000000001</v>
      </c>
      <c r="Z1349">
        <v>-3.2576639999999997E-2</v>
      </c>
      <c r="AA1349">
        <v>0.86646590000000001</v>
      </c>
      <c r="AB1349">
        <v>20</v>
      </c>
      <c r="AC1349">
        <v>-256.25220000000002</v>
      </c>
      <c r="AD1349">
        <v>10.604509</v>
      </c>
      <c r="AE1349">
        <v>-22.1891</v>
      </c>
      <c r="AF1349">
        <v>128.213822998392</v>
      </c>
      <c r="AG1349">
        <v>10.604509</v>
      </c>
      <c r="AH1349">
        <v>222.473420205406</v>
      </c>
      <c r="AI1349">
        <v>87.635091357293703</v>
      </c>
      <c r="AJ1349">
        <v>60.044690280492397</v>
      </c>
      <c r="AK1349">
        <v>256.99350714927698</v>
      </c>
      <c r="AL1349">
        <v>91.988653909160405</v>
      </c>
      <c r="AM1349">
        <v>78.623234501267703</v>
      </c>
      <c r="AN1349">
        <v>0.99999999972308395</v>
      </c>
    </row>
    <row r="1350" spans="1:40" x14ac:dyDescent="0.25">
      <c r="A1350" t="str">
        <f>"20190312161251881"</f>
        <v>20190312161251881</v>
      </c>
      <c r="B1350" t="str">
        <f>"1552378371876817"</f>
        <v>1552378371876817</v>
      </c>
      <c r="C1350" t="s">
        <v>40</v>
      </c>
      <c r="D1350">
        <v>5.9039789999999996</v>
      </c>
      <c r="E1350">
        <v>0.62691759999999996</v>
      </c>
      <c r="F1350" t="s">
        <v>71</v>
      </c>
      <c r="G1350">
        <v>-440.6841</v>
      </c>
      <c r="H1350">
        <v>0.96250630000000004</v>
      </c>
      <c r="I1350">
        <v>266.60599999999999</v>
      </c>
      <c r="J1350">
        <v>-202.3775</v>
      </c>
      <c r="K1350">
        <v>1.103443</v>
      </c>
      <c r="L1350">
        <v>286.25299999999999</v>
      </c>
      <c r="M1350">
        <v>-0.82708749999999998</v>
      </c>
      <c r="N1350">
        <v>0</v>
      </c>
      <c r="O1350">
        <v>-0.56187619999999905</v>
      </c>
      <c r="P1350">
        <v>-0.9211068</v>
      </c>
      <c r="Q1350">
        <v>-4.6548899999999997E-2</v>
      </c>
      <c r="R1350">
        <v>-0.38651760000000002</v>
      </c>
      <c r="S1350">
        <v>-3.1607059999999998</v>
      </c>
      <c r="T1350">
        <v>-1.867414E-3</v>
      </c>
      <c r="U1350">
        <v>-0.2618103</v>
      </c>
      <c r="V1350">
        <v>0.19733709999999999</v>
      </c>
      <c r="W1350">
        <v>-3.5199769999999998E-2</v>
      </c>
      <c r="X1350">
        <v>0.97970349999999995</v>
      </c>
      <c r="Y1350">
        <v>0.49173670000000003</v>
      </c>
      <c r="Z1350">
        <v>4.5889569999999998E-4</v>
      </c>
      <c r="AA1350">
        <v>0.87074390000000002</v>
      </c>
      <c r="AB1350">
        <v>20</v>
      </c>
      <c r="AC1350">
        <v>-238.3066</v>
      </c>
      <c r="AD1350">
        <v>-0.140936699999999</v>
      </c>
      <c r="AE1350">
        <v>-19.646999999999899</v>
      </c>
      <c r="AF1350">
        <v>117.66200395291899</v>
      </c>
      <c r="AG1350">
        <v>-0.140936699999999</v>
      </c>
      <c r="AH1350">
        <v>208.16256462691999</v>
      </c>
      <c r="AI1350">
        <v>90.033770679106098</v>
      </c>
      <c r="AJ1350">
        <v>60.523088392629099</v>
      </c>
      <c r="AK1350">
        <v>239.11507762880001</v>
      </c>
      <c r="AL1350">
        <v>92.017215068178103</v>
      </c>
      <c r="AM1350">
        <v>78.611564720535895</v>
      </c>
      <c r="AN1350">
        <v>0.99999995137835496</v>
      </c>
    </row>
    <row r="1351" spans="1:40" x14ac:dyDescent="0.25">
      <c r="A1351" t="str">
        <f>"20190312161251903"</f>
        <v>20190312161251903</v>
      </c>
      <c r="B1351" t="str">
        <f>"1552378371897311"</f>
        <v>1552378371897311</v>
      </c>
      <c r="C1351" t="s">
        <v>40</v>
      </c>
      <c r="D1351">
        <v>5.9432029999999996</v>
      </c>
      <c r="E1351">
        <v>0.62682689999999996</v>
      </c>
      <c r="F1351" t="s">
        <v>69</v>
      </c>
      <c r="G1351">
        <v>-261.43389999999999</v>
      </c>
      <c r="H1351" s="1">
        <v>-7.7375080000000005E-7</v>
      </c>
      <c r="I1351">
        <v>282.03140000000002</v>
      </c>
      <c r="J1351">
        <v>-202.547</v>
      </c>
      <c r="K1351">
        <v>1.1034520000000001</v>
      </c>
      <c r="L1351">
        <v>286.15440000000001</v>
      </c>
      <c r="M1351">
        <v>-0.83358849999999995</v>
      </c>
      <c r="N1351">
        <v>0</v>
      </c>
      <c r="O1351">
        <v>-0.5521855</v>
      </c>
      <c r="P1351">
        <v>-0.92597960000000001</v>
      </c>
      <c r="Q1351">
        <v>-4.664981E-2</v>
      </c>
      <c r="R1351">
        <v>-0.37468040000000002</v>
      </c>
      <c r="S1351">
        <v>-3.159195</v>
      </c>
      <c r="T1351">
        <v>-5.9028270000000001E-2</v>
      </c>
      <c r="U1351">
        <v>-0.22583010000000001</v>
      </c>
      <c r="V1351">
        <v>0.19845599999999999</v>
      </c>
      <c r="W1351">
        <v>-3.5318330000000002E-2</v>
      </c>
      <c r="X1351">
        <v>0.97947320000000004</v>
      </c>
      <c r="Y1351">
        <v>0.49122759999999999</v>
      </c>
      <c r="Z1351">
        <v>1.4370229999999999E-2</v>
      </c>
      <c r="AA1351">
        <v>0.87091269999999998</v>
      </c>
      <c r="AB1351">
        <v>20</v>
      </c>
      <c r="AC1351">
        <v>-58.886899999999997</v>
      </c>
      <c r="AD1351">
        <v>-1.1034527737508</v>
      </c>
      <c r="AE1351">
        <v>-4.1229999999999896</v>
      </c>
      <c r="AF1351">
        <v>29.0726678435643</v>
      </c>
      <c r="AG1351">
        <v>-1.1034527737508</v>
      </c>
      <c r="AH1351">
        <v>51.3518467515159</v>
      </c>
      <c r="AI1351">
        <v>91.071264983988996</v>
      </c>
      <c r="AJ1351">
        <v>60.4837824748898</v>
      </c>
      <c r="AK1351">
        <v>59.020757266891202</v>
      </c>
      <c r="AL1351">
        <v>92.024012267276802</v>
      </c>
      <c r="AM1351">
        <v>78.546072299263798</v>
      </c>
      <c r="AN1351">
        <v>0.99999995894411298</v>
      </c>
    </row>
    <row r="1352" spans="1:40" x14ac:dyDescent="0.25">
      <c r="A1352" t="str">
        <f>"20190312161251927"</f>
        <v>20190312161251927</v>
      </c>
      <c r="B1352" t="str">
        <f>"1552378371916831"</f>
        <v>1552378371916831</v>
      </c>
      <c r="C1352" t="s">
        <v>40</v>
      </c>
      <c r="D1352">
        <v>5.8937309999999998</v>
      </c>
      <c r="E1352">
        <v>0.62565470000000001</v>
      </c>
      <c r="F1352" t="s">
        <v>69</v>
      </c>
      <c r="G1352">
        <v>-238.8057</v>
      </c>
      <c r="H1352" s="1">
        <v>3.1752530000000001E-6</v>
      </c>
      <c r="I1352">
        <v>284.01920000000001</v>
      </c>
      <c r="J1352">
        <v>-202.7406</v>
      </c>
      <c r="K1352">
        <v>1.1034729999999999</v>
      </c>
      <c r="L1352">
        <v>286.04480000000001</v>
      </c>
      <c r="M1352">
        <v>-0.84082880000000004</v>
      </c>
      <c r="N1352">
        <v>0</v>
      </c>
      <c r="O1352">
        <v>-0.54109669999999999</v>
      </c>
      <c r="P1352">
        <v>-0.93096330000000005</v>
      </c>
      <c r="Q1352">
        <v>-4.6536689999999999E-2</v>
      </c>
      <c r="R1352">
        <v>-0.36213509999999999</v>
      </c>
      <c r="S1352">
        <v>-3.159653</v>
      </c>
      <c r="T1352">
        <v>-9.6156839999999993E-2</v>
      </c>
      <c r="U1352">
        <v>-0.1860657</v>
      </c>
      <c r="V1352">
        <v>0.19872409999999999</v>
      </c>
      <c r="W1352">
        <v>-3.5205680000000003E-2</v>
      </c>
      <c r="X1352">
        <v>0.97942289999999999</v>
      </c>
      <c r="Y1352">
        <v>0.49033559999999998</v>
      </c>
      <c r="Z1352">
        <v>2.3128429999999998E-2</v>
      </c>
      <c r="AA1352">
        <v>0.87122679999999997</v>
      </c>
      <c r="AB1352">
        <v>20</v>
      </c>
      <c r="AC1352">
        <v>-36.065100000000001</v>
      </c>
      <c r="AD1352">
        <v>-1.1034698247469901</v>
      </c>
      <c r="AE1352">
        <v>-2.0255999999999901</v>
      </c>
      <c r="AF1352">
        <v>17.7968866535406</v>
      </c>
      <c r="AG1352">
        <v>-1.1034698247469901</v>
      </c>
      <c r="AH1352">
        <v>31.3947994454305</v>
      </c>
      <c r="AI1352">
        <v>91.751385869884004</v>
      </c>
      <c r="AJ1352">
        <v>60.452238895359599</v>
      </c>
      <c r="AK1352">
        <v>36.105127785840999</v>
      </c>
      <c r="AL1352">
        <v>92.017553873943797</v>
      </c>
      <c r="AM1352">
        <v>78.530435222396704</v>
      </c>
      <c r="AN1352">
        <v>0.99999996243473999</v>
      </c>
    </row>
    <row r="1353" spans="1:40" x14ac:dyDescent="0.25">
      <c r="A1353" t="str">
        <f>"20190312161251950"</f>
        <v>20190312161251950</v>
      </c>
      <c r="B1353" t="str">
        <f>"1552378371947087"</f>
        <v>1552378371947087</v>
      </c>
      <c r="C1353" t="s">
        <v>40</v>
      </c>
      <c r="D1353">
        <v>5.8599100000000002</v>
      </c>
      <c r="E1353">
        <v>0.62241840000000004</v>
      </c>
      <c r="F1353" t="s">
        <v>69</v>
      </c>
      <c r="G1353">
        <v>-233.7047</v>
      </c>
      <c r="H1353" s="1">
        <v>4.374073E-7</v>
      </c>
      <c r="I1353">
        <v>284.553</v>
      </c>
      <c r="J1353">
        <v>-202.9237</v>
      </c>
      <c r="K1353">
        <v>1.1034930000000001</v>
      </c>
      <c r="L1353">
        <v>285.94450000000001</v>
      </c>
      <c r="M1353">
        <v>-0.84748840000000003</v>
      </c>
      <c r="N1353">
        <v>0</v>
      </c>
      <c r="O1353">
        <v>-0.53060600000000002</v>
      </c>
      <c r="P1353">
        <v>-0.93542479999999995</v>
      </c>
      <c r="Q1353">
        <v>-4.7348950000000001E-2</v>
      </c>
      <c r="R1353">
        <v>-0.35034120000000002</v>
      </c>
      <c r="S1353">
        <v>-3.1576689999999998</v>
      </c>
      <c r="T1353">
        <v>-0.1125307</v>
      </c>
      <c r="U1353">
        <v>-0.15213009999999999</v>
      </c>
      <c r="V1353">
        <v>0.19889680000000001</v>
      </c>
      <c r="W1353">
        <v>-3.601758E-2</v>
      </c>
      <c r="X1353">
        <v>0.97935839999999996</v>
      </c>
      <c r="Y1353">
        <v>0.48864839999999998</v>
      </c>
      <c r="Z1353">
        <v>2.6754650000000001E-2</v>
      </c>
      <c r="AA1353">
        <v>0.87207049999999997</v>
      </c>
      <c r="AB1353">
        <v>20</v>
      </c>
      <c r="AC1353">
        <v>-30.780999999999999</v>
      </c>
      <c r="AD1353">
        <v>-1.1034925625926999</v>
      </c>
      <c r="AE1353">
        <v>-1.3915</v>
      </c>
      <c r="AF1353">
        <v>15.1355628327128</v>
      </c>
      <c r="AG1353">
        <v>-1.1034925625926999</v>
      </c>
      <c r="AH1353">
        <v>26.793474144227901</v>
      </c>
      <c r="AI1353">
        <v>92.053698190737904</v>
      </c>
      <c r="AJ1353">
        <v>60.538009681072502</v>
      </c>
      <c r="AK1353">
        <v>30.792746139571701</v>
      </c>
      <c r="AL1353">
        <v>92.064101686620305</v>
      </c>
      <c r="AM1353">
        <v>78.519996210527907</v>
      </c>
      <c r="AN1353">
        <v>1.00000003938492</v>
      </c>
    </row>
    <row r="1354" spans="1:40" x14ac:dyDescent="0.25">
      <c r="A1354" t="str">
        <f>"20190312161251973"</f>
        <v>20190312161251973</v>
      </c>
      <c r="B1354" t="str">
        <f>"1552378371967584"</f>
        <v>1552378371967584</v>
      </c>
      <c r="C1354" t="s">
        <v>40</v>
      </c>
      <c r="D1354">
        <v>5.9002369999999997</v>
      </c>
      <c r="E1354">
        <v>0.62003660000000005</v>
      </c>
      <c r="F1354" t="s">
        <v>69</v>
      </c>
      <c r="G1354">
        <v>-229.90940000000001</v>
      </c>
      <c r="H1354" s="1">
        <v>3.7365050000000001E-6</v>
      </c>
      <c r="I1354">
        <v>284.77409999999998</v>
      </c>
      <c r="J1354">
        <v>-203.108</v>
      </c>
      <c r="K1354">
        <v>1.103523</v>
      </c>
      <c r="L1354">
        <v>285.84660000000002</v>
      </c>
      <c r="M1354">
        <v>-0.85401819999999895</v>
      </c>
      <c r="N1354">
        <v>0</v>
      </c>
      <c r="O1354">
        <v>-0.52003120000000003</v>
      </c>
      <c r="P1354">
        <v>-0.93946949999999996</v>
      </c>
      <c r="Q1354">
        <v>-4.725849E-2</v>
      </c>
      <c r="R1354">
        <v>-0.33935799999999999</v>
      </c>
      <c r="S1354">
        <v>-3.1494450000000001</v>
      </c>
      <c r="T1354">
        <v>-0.12878580000000001</v>
      </c>
      <c r="U1354">
        <v>-0.13659669999999999</v>
      </c>
      <c r="V1354">
        <v>0.19820380000000001</v>
      </c>
      <c r="W1354">
        <v>-3.5909440000000001E-2</v>
      </c>
      <c r="X1354">
        <v>0.97950280000000001</v>
      </c>
      <c r="Y1354">
        <v>0.48179369999999999</v>
      </c>
      <c r="Z1354">
        <v>3.0194929999999998E-2</v>
      </c>
      <c r="AA1354">
        <v>0.87576430000000005</v>
      </c>
      <c r="AB1354">
        <v>20</v>
      </c>
      <c r="AC1354">
        <v>-26.801400000000001</v>
      </c>
      <c r="AD1354">
        <v>-1.103519263495</v>
      </c>
      <c r="AE1354">
        <v>-1.07250000000004</v>
      </c>
      <c r="AF1354">
        <v>13.0010599553394</v>
      </c>
      <c r="AG1354">
        <v>-1.103519263495</v>
      </c>
      <c r="AH1354">
        <v>23.409579198393299</v>
      </c>
      <c r="AI1354">
        <v>92.359860916292405</v>
      </c>
      <c r="AJ1354">
        <v>60.953367344997602</v>
      </c>
      <c r="AK1354">
        <v>26.8002558378289</v>
      </c>
      <c r="AL1354">
        <v>92.057901823084293</v>
      </c>
      <c r="AM1354">
        <v>78.560580659051197</v>
      </c>
      <c r="AN1354">
        <v>0.99999998471169604</v>
      </c>
    </row>
    <row r="1355" spans="1:40" x14ac:dyDescent="0.25">
      <c r="A1355" t="str">
        <f>"20190312161251995"</f>
        <v>20190312161251995</v>
      </c>
      <c r="B1355" t="str">
        <f>"1552378371987104"</f>
        <v>1552378371987104</v>
      </c>
      <c r="C1355" t="s">
        <v>40</v>
      </c>
      <c r="D1355">
        <v>5.9173609999999996</v>
      </c>
      <c r="E1355">
        <v>0.61863259999999998</v>
      </c>
      <c r="F1355" t="s">
        <v>69</v>
      </c>
      <c r="G1355">
        <v>-228.06200000000001</v>
      </c>
      <c r="H1355" s="1">
        <v>2.753415E-6</v>
      </c>
      <c r="I1355">
        <v>284.91419999999999</v>
      </c>
      <c r="J1355">
        <v>-203.2945</v>
      </c>
      <c r="K1355">
        <v>1.103545</v>
      </c>
      <c r="L1355">
        <v>285.75040000000001</v>
      </c>
      <c r="M1355">
        <v>-0.86045179999999999</v>
      </c>
      <c r="N1355">
        <v>0</v>
      </c>
      <c r="O1355">
        <v>-0.50931539999999997</v>
      </c>
      <c r="P1355">
        <v>-0.94316719999999998</v>
      </c>
      <c r="Q1355">
        <v>-4.6861369999999999E-2</v>
      </c>
      <c r="R1355">
        <v>-0.32899869999999998</v>
      </c>
      <c r="S1355">
        <v>-3.1438600000000001</v>
      </c>
      <c r="T1355">
        <v>-0.13902819999999999</v>
      </c>
      <c r="U1355">
        <v>-0.1174622</v>
      </c>
      <c r="V1355">
        <v>0.19675860000000001</v>
      </c>
      <c r="W1355">
        <v>-3.5480110000000002E-2</v>
      </c>
      <c r="X1355">
        <v>0.97980979999999995</v>
      </c>
      <c r="Y1355">
        <v>0.47596690000000003</v>
      </c>
      <c r="Z1355">
        <v>3.2125220000000003E-2</v>
      </c>
      <c r="AA1355">
        <v>0.87887630000000005</v>
      </c>
      <c r="AB1355">
        <v>20</v>
      </c>
      <c r="AC1355">
        <v>-24.767499999999998</v>
      </c>
      <c r="AD1355">
        <v>-1.103542246585</v>
      </c>
      <c r="AE1355">
        <v>-0.83620000000001904</v>
      </c>
      <c r="AF1355">
        <v>11.872727740217099</v>
      </c>
      <c r="AG1355">
        <v>-1.103542246585</v>
      </c>
      <c r="AH1355">
        <v>21.6965028810944</v>
      </c>
      <c r="AI1355">
        <v>92.554785447187896</v>
      </c>
      <c r="AJ1355">
        <v>61.311705625660601</v>
      </c>
      <c r="AK1355">
        <v>24.7571748540228</v>
      </c>
      <c r="AL1355">
        <v>92.033287278985895</v>
      </c>
      <c r="AM1355">
        <v>78.645281592053195</v>
      </c>
      <c r="AN1355">
        <v>1.0000000145278001</v>
      </c>
    </row>
    <row r="1356" spans="1:40" x14ac:dyDescent="0.25">
      <c r="A1356" t="str">
        <f>"20190312161252015"</f>
        <v>20190312161252015</v>
      </c>
      <c r="B1356" t="str">
        <f>"1552378372006624"</f>
        <v>1552378372006624</v>
      </c>
      <c r="C1356" t="s">
        <v>40</v>
      </c>
      <c r="D1356">
        <v>6.1036630000000001</v>
      </c>
      <c r="E1356">
        <v>0.61744109999999996</v>
      </c>
      <c r="F1356" t="s">
        <v>69</v>
      </c>
      <c r="G1356">
        <v>-226.36920000000001</v>
      </c>
      <c r="H1356" s="1">
        <v>1.8525959999999999E-6</v>
      </c>
      <c r="I1356">
        <v>285.06229999999999</v>
      </c>
      <c r="J1356">
        <v>-203.4597</v>
      </c>
      <c r="K1356">
        <v>1.103566</v>
      </c>
      <c r="L1356">
        <v>285.66759999999999</v>
      </c>
      <c r="M1356">
        <v>-0.86600379999999999</v>
      </c>
      <c r="N1356">
        <v>0</v>
      </c>
      <c r="O1356">
        <v>-0.49981700000000001</v>
      </c>
      <c r="P1356">
        <v>-0.94625369999999998</v>
      </c>
      <c r="Q1356">
        <v>-4.6740860000000002E-2</v>
      </c>
      <c r="R1356">
        <v>-0.32002999999999998</v>
      </c>
      <c r="S1356">
        <v>-3.1406399999999999</v>
      </c>
      <c r="T1356">
        <v>-0.15020049999999999</v>
      </c>
      <c r="U1356">
        <v>-9.3658450000000004E-2</v>
      </c>
      <c r="V1356">
        <v>0.1952866</v>
      </c>
      <c r="W1356">
        <v>-3.5327749999999998E-2</v>
      </c>
      <c r="X1356">
        <v>0.98010980000000003</v>
      </c>
      <c r="Y1356">
        <v>0.47276750000000001</v>
      </c>
      <c r="Z1356">
        <v>3.4281840000000001E-2</v>
      </c>
      <c r="AA1356">
        <v>0.88052009999999903</v>
      </c>
      <c r="AB1356">
        <v>20</v>
      </c>
      <c r="AC1356">
        <v>-22.909500000000001</v>
      </c>
      <c r="AD1356">
        <v>-1.1035641474040001</v>
      </c>
      <c r="AE1356">
        <v>-0.60529999999999895</v>
      </c>
      <c r="AF1356">
        <v>10.902289575046201</v>
      </c>
      <c r="AG1356">
        <v>-1.1035641474040001</v>
      </c>
      <c r="AH1356">
        <v>20.097870494691101</v>
      </c>
      <c r="AI1356">
        <v>92.763261859174406</v>
      </c>
      <c r="AJ1356">
        <v>61.521942351051401</v>
      </c>
      <c r="AK1356">
        <v>22.8910936878728</v>
      </c>
      <c r="AL1356">
        <v>92.024552119698896</v>
      </c>
      <c r="AM1356">
        <v>78.731408162156399</v>
      </c>
      <c r="AN1356">
        <v>1.0000000630578201</v>
      </c>
    </row>
    <row r="1357" spans="1:40" x14ac:dyDescent="0.25">
      <c r="A1357" t="str">
        <f>"20190312161252037"</f>
        <v>20190312161252037</v>
      </c>
      <c r="B1357" t="str">
        <f>"1552378372027121"</f>
        <v>1552378372027121</v>
      </c>
      <c r="C1357" t="s">
        <v>40</v>
      </c>
      <c r="D1357">
        <v>5.838908</v>
      </c>
      <c r="E1357">
        <v>0.61478369999999904</v>
      </c>
      <c r="F1357" t="s">
        <v>69</v>
      </c>
      <c r="G1357">
        <v>-225.43620000000001</v>
      </c>
      <c r="H1357" s="1">
        <v>1.3560860000000001E-6</v>
      </c>
      <c r="I1357">
        <v>285.15809999999999</v>
      </c>
      <c r="J1357">
        <v>-203.64189999999999</v>
      </c>
      <c r="K1357">
        <v>1.103591</v>
      </c>
      <c r="L1357">
        <v>285.57889999999998</v>
      </c>
      <c r="M1357">
        <v>-0.87197359999999902</v>
      </c>
      <c r="N1357">
        <v>0</v>
      </c>
      <c r="O1357">
        <v>-0.48932819999999999</v>
      </c>
      <c r="P1357">
        <v>-0.949569</v>
      </c>
      <c r="Q1357">
        <v>-4.6218299999999997E-2</v>
      </c>
      <c r="R1357">
        <v>-0.31013390000000002</v>
      </c>
      <c r="S1357">
        <v>-3.1380159999999999</v>
      </c>
      <c r="T1357">
        <v>-0.1575773</v>
      </c>
      <c r="U1357">
        <v>-7.2753910000000005E-2</v>
      </c>
      <c r="V1357">
        <v>0.19371269999999999</v>
      </c>
      <c r="W1357">
        <v>-3.4770570000000001E-2</v>
      </c>
      <c r="X1357">
        <v>0.98044189999999998</v>
      </c>
      <c r="Y1357">
        <v>0.4678774</v>
      </c>
      <c r="Z1357">
        <v>3.5420189999999997E-2</v>
      </c>
      <c r="AA1357">
        <v>0.88308330000000002</v>
      </c>
      <c r="AB1357">
        <v>20</v>
      </c>
      <c r="AC1357">
        <v>-21.7943</v>
      </c>
      <c r="AD1357">
        <v>-1.1035896439140001</v>
      </c>
      <c r="AE1357">
        <v>-0.42079999999998502</v>
      </c>
      <c r="AF1357">
        <v>10.2724423705936</v>
      </c>
      <c r="AG1357">
        <v>-1.1035896439140001</v>
      </c>
      <c r="AH1357">
        <v>19.162959731856599</v>
      </c>
      <c r="AI1357">
        <v>92.905665203038097</v>
      </c>
      <c r="AJ1357">
        <v>61.806146181099699</v>
      </c>
      <c r="AK1357">
        <v>21.770622592017901</v>
      </c>
      <c r="AL1357">
        <v>91.992608635819707</v>
      </c>
      <c r="AM1357">
        <v>78.823621557623099</v>
      </c>
      <c r="AN1357">
        <v>0.99999996097751098</v>
      </c>
    </row>
    <row r="1358" spans="1:40" x14ac:dyDescent="0.25">
      <c r="A1358" t="str">
        <f>"20190312161252062"</f>
        <v>20190312161252062</v>
      </c>
      <c r="B1358" t="str">
        <f>"1552378372057377"</f>
        <v>1552378372057377</v>
      </c>
      <c r="C1358" t="s">
        <v>40</v>
      </c>
      <c r="D1358">
        <v>6.1432479999999998</v>
      </c>
      <c r="E1358">
        <v>0.61261580000000004</v>
      </c>
      <c r="F1358" t="s">
        <v>69</v>
      </c>
      <c r="G1358">
        <v>-224.44059999999999</v>
      </c>
      <c r="H1358" s="1">
        <v>8.2628750000000001E-7</v>
      </c>
      <c r="I1358">
        <v>285.17840000000001</v>
      </c>
      <c r="J1358">
        <v>-203.83869999999999</v>
      </c>
      <c r="K1358">
        <v>1.1036250000000001</v>
      </c>
      <c r="L1358">
        <v>285.48599999999999</v>
      </c>
      <c r="M1358">
        <v>-0.87824199999999997</v>
      </c>
      <c r="N1358">
        <v>0</v>
      </c>
      <c r="O1358">
        <v>-0.47798649999999998</v>
      </c>
      <c r="P1358">
        <v>-0.9530864</v>
      </c>
      <c r="Q1358">
        <v>-4.6368550000000001E-2</v>
      </c>
      <c r="R1358">
        <v>-0.29912650000000002</v>
      </c>
      <c r="S1358">
        <v>-3.131561</v>
      </c>
      <c r="T1358">
        <v>-0.166161999999999</v>
      </c>
      <c r="U1358">
        <v>-6.0302729999999999E-2</v>
      </c>
      <c r="V1358">
        <v>0.19234709999999999</v>
      </c>
      <c r="W1358">
        <v>-3.4889900000000001E-2</v>
      </c>
      <c r="X1358">
        <v>0.98070650000000004</v>
      </c>
      <c r="Y1358">
        <v>0.4597678</v>
      </c>
      <c r="Z1358">
        <v>3.6682550000000001E-2</v>
      </c>
      <c r="AA1358">
        <v>0.88728119999999999</v>
      </c>
      <c r="AB1358">
        <v>20</v>
      </c>
      <c r="AC1358">
        <v>-20.601900000000001</v>
      </c>
      <c r="AD1358">
        <v>-1.1036241737125001</v>
      </c>
      <c r="AE1358">
        <v>-0.307599999999979</v>
      </c>
      <c r="AF1358">
        <v>9.5509343457169802</v>
      </c>
      <c r="AG1358">
        <v>-1.1036241737125001</v>
      </c>
      <c r="AH1358">
        <v>18.1903003032422</v>
      </c>
      <c r="AI1358">
        <v>93.074787965235899</v>
      </c>
      <c r="AJ1358">
        <v>62.297992136217601</v>
      </c>
      <c r="AK1358">
        <v>20.574872012120299</v>
      </c>
      <c r="AL1358">
        <v>91.999449863247094</v>
      </c>
      <c r="AM1358">
        <v>78.903367936704001</v>
      </c>
      <c r="AN1358">
        <v>0.99999997557133402</v>
      </c>
    </row>
    <row r="1359" spans="1:40" x14ac:dyDescent="0.25">
      <c r="A1359" t="str">
        <f>"20190312161252083"</f>
        <v>20190312161252083</v>
      </c>
      <c r="B1359" t="str">
        <f>"1552378372076896"</f>
        <v>1552378372076896</v>
      </c>
      <c r="C1359" t="s">
        <v>40</v>
      </c>
      <c r="D1359">
        <v>6.0615690000000004</v>
      </c>
      <c r="E1359">
        <v>0.61158250000000003</v>
      </c>
      <c r="F1359" t="s">
        <v>69</v>
      </c>
      <c r="G1359">
        <v>-223.34450000000001</v>
      </c>
      <c r="H1359" s="1">
        <v>2.4297940000000002E-7</v>
      </c>
      <c r="I1359">
        <v>285.233</v>
      </c>
      <c r="J1359">
        <v>-204.01339999999999</v>
      </c>
      <c r="K1359">
        <v>1.10365</v>
      </c>
      <c r="L1359">
        <v>285.40620000000001</v>
      </c>
      <c r="M1359">
        <v>-0.88364690000000001</v>
      </c>
      <c r="N1359">
        <v>0</v>
      </c>
      <c r="O1359">
        <v>-0.46791929999999998</v>
      </c>
      <c r="P1359">
        <v>-0.95619109999999996</v>
      </c>
      <c r="Q1359">
        <v>-4.6417420000000001E-2</v>
      </c>
      <c r="R1359">
        <v>-0.28904039999999998</v>
      </c>
      <c r="S1359">
        <v>-3.126312</v>
      </c>
      <c r="T1359">
        <v>-0.17688499999999999</v>
      </c>
      <c r="U1359">
        <v>-4.0557860000000001E-2</v>
      </c>
      <c r="V1359">
        <v>0.19150210000000001</v>
      </c>
      <c r="W1359">
        <v>-3.4917509999999999E-2</v>
      </c>
      <c r="X1359">
        <v>0.98087089999999999</v>
      </c>
      <c r="Y1359">
        <v>0.4550399</v>
      </c>
      <c r="Z1359">
        <v>3.8480479999999997E-2</v>
      </c>
      <c r="AA1359">
        <v>0.88963919999999996</v>
      </c>
      <c r="AB1359">
        <v>20</v>
      </c>
      <c r="AC1359">
        <v>-19.331099999999999</v>
      </c>
      <c r="AD1359">
        <v>-1.1036497570206001</v>
      </c>
      <c r="AE1359">
        <v>-0.17320000000000799</v>
      </c>
      <c r="AF1359">
        <v>8.8644328601127</v>
      </c>
      <c r="AG1359">
        <v>-1.1036497570206001</v>
      </c>
      <c r="AH1359">
        <v>17.1090335213134</v>
      </c>
      <c r="AI1359">
        <v>93.278074657712693</v>
      </c>
      <c r="AJ1359">
        <v>62.610685628515299</v>
      </c>
      <c r="AK1359">
        <v>19.300653894390301</v>
      </c>
      <c r="AL1359">
        <v>92.001032706064507</v>
      </c>
      <c r="AM1359">
        <v>78.952720708187996</v>
      </c>
      <c r="AN1359">
        <v>1.0000000046379101</v>
      </c>
    </row>
    <row r="1360" spans="1:40" x14ac:dyDescent="0.25">
      <c r="A1360" t="str">
        <f>"20190312161252105"</f>
        <v>20190312161252105</v>
      </c>
      <c r="B1360" t="str">
        <f>"1552378372097392"</f>
        <v>1552378372097392</v>
      </c>
      <c r="C1360" t="s">
        <v>40</v>
      </c>
      <c r="D1360">
        <v>6.1699909999999996</v>
      </c>
      <c r="E1360">
        <v>0.61033990000000005</v>
      </c>
      <c r="F1360" t="s">
        <v>69</v>
      </c>
      <c r="G1360">
        <v>-222.39320000000001</v>
      </c>
      <c r="H1360" s="1">
        <v>-2.6325609999999998E-7</v>
      </c>
      <c r="I1360">
        <v>285.31560000000002</v>
      </c>
      <c r="J1360">
        <v>-204.19409999999999</v>
      </c>
      <c r="K1360">
        <v>1.1036870000000001</v>
      </c>
      <c r="L1360">
        <v>285.32619999999997</v>
      </c>
      <c r="M1360">
        <v>-0.88907990000000003</v>
      </c>
      <c r="N1360">
        <v>0</v>
      </c>
      <c r="O1360">
        <v>-0.45751180000000002</v>
      </c>
      <c r="P1360">
        <v>-0.9593294</v>
      </c>
      <c r="Q1360">
        <v>-4.552254E-2</v>
      </c>
      <c r="R1360">
        <v>-0.27859440000000002</v>
      </c>
      <c r="S1360">
        <v>-3.123672</v>
      </c>
      <c r="T1360">
        <v>-0.1875675</v>
      </c>
      <c r="U1360">
        <v>-1.5411380000000001E-2</v>
      </c>
      <c r="V1360">
        <v>0.1907201</v>
      </c>
      <c r="W1360">
        <v>-3.4000570000000001E-2</v>
      </c>
      <c r="X1360">
        <v>0.98105540000000002</v>
      </c>
      <c r="Y1360">
        <v>0.45158140000000002</v>
      </c>
      <c r="Z1360">
        <v>4.0182660000000002E-2</v>
      </c>
      <c r="AA1360">
        <v>0.89132459999999902</v>
      </c>
      <c r="AB1360">
        <v>20</v>
      </c>
      <c r="AC1360">
        <v>-18.199100000000001</v>
      </c>
      <c r="AD1360">
        <v>-1.1036872632560999</v>
      </c>
      <c r="AE1360">
        <v>-1.05999999999539E-2</v>
      </c>
      <c r="AF1360">
        <v>8.2873139160443596</v>
      </c>
      <c r="AG1360">
        <v>-1.1036872632560999</v>
      </c>
      <c r="AH1360">
        <v>16.127768123975599</v>
      </c>
      <c r="AI1360">
        <v>93.483192893474197</v>
      </c>
      <c r="AJ1360">
        <v>62.8034653800512</v>
      </c>
      <c r="AK1360">
        <v>18.165973747059599</v>
      </c>
      <c r="AL1360">
        <v>91.948464805978205</v>
      </c>
      <c r="AM1360">
        <v>78.998747975903896</v>
      </c>
      <c r="AN1360">
        <v>0.99999994658674596</v>
      </c>
    </row>
    <row r="1361" spans="1:40" x14ac:dyDescent="0.25">
      <c r="A1361" t="str">
        <f>"20190312161252128"</f>
        <v>20190312161252128</v>
      </c>
      <c r="B1361" t="str">
        <f>"1552378372117888"</f>
        <v>1552378372117888</v>
      </c>
      <c r="C1361" t="s">
        <v>40</v>
      </c>
      <c r="D1361">
        <v>6.0853210000000004</v>
      </c>
      <c r="E1361">
        <v>0.608935</v>
      </c>
      <c r="F1361" t="s">
        <v>69</v>
      </c>
      <c r="G1361">
        <v>-222.0933</v>
      </c>
      <c r="H1361" s="1">
        <v>-4.2282739999999997E-7</v>
      </c>
      <c r="I1361">
        <v>285.37700000000001</v>
      </c>
      <c r="J1361">
        <v>-204.38589999999999</v>
      </c>
      <c r="K1361">
        <v>1.1037319999999999</v>
      </c>
      <c r="L1361">
        <v>285.24380000000002</v>
      </c>
      <c r="M1361">
        <v>-0.89467419999999998</v>
      </c>
      <c r="N1361">
        <v>0</v>
      </c>
      <c r="O1361">
        <v>-0.44647369999999997</v>
      </c>
      <c r="P1361">
        <v>-0.96247729999999998</v>
      </c>
      <c r="Q1361">
        <v>-4.4355319999999997E-2</v>
      </c>
      <c r="R1361">
        <v>-0.26771319999999998</v>
      </c>
      <c r="S1361">
        <v>-3.1206360000000002</v>
      </c>
      <c r="T1361">
        <v>-0.19242229999999999</v>
      </c>
      <c r="U1361">
        <v>8.8500980000000007E-3</v>
      </c>
      <c r="V1361">
        <v>0.1897345</v>
      </c>
      <c r="W1361">
        <v>-3.2805279999999999E-2</v>
      </c>
      <c r="X1361">
        <v>0.98128720000000003</v>
      </c>
      <c r="Y1361">
        <v>0.44740730000000001</v>
      </c>
      <c r="Z1361">
        <v>4.0527529999999999E-2</v>
      </c>
      <c r="AA1361">
        <v>0.89341159999999997</v>
      </c>
      <c r="AB1361">
        <v>20</v>
      </c>
      <c r="AC1361">
        <v>-17.7074</v>
      </c>
      <c r="AD1361">
        <v>-1.1037324228273999</v>
      </c>
      <c r="AE1361">
        <v>0.13319999999998799</v>
      </c>
      <c r="AF1361">
        <v>7.9948788590971303</v>
      </c>
      <c r="AG1361">
        <v>-1.1037324228273999</v>
      </c>
      <c r="AH1361">
        <v>15.7235283510737</v>
      </c>
      <c r="AI1361">
        <v>93.5804489741775</v>
      </c>
      <c r="AJ1361">
        <v>63.048213556338801</v>
      </c>
      <c r="AK1361">
        <v>17.673869328470701</v>
      </c>
      <c r="AL1361">
        <v>91.879941447572705</v>
      </c>
      <c r="AM1361">
        <v>79.0567466133799</v>
      </c>
      <c r="AN1361">
        <v>0.99999996788498302</v>
      </c>
    </row>
    <row r="1362" spans="1:40" x14ac:dyDescent="0.25">
      <c r="A1362" t="str">
        <f>"20190312161252152"</f>
        <v>20190312161252152</v>
      </c>
      <c r="B1362" t="str">
        <f>"1552378372147168"</f>
        <v>1552378372147168</v>
      </c>
      <c r="C1362" t="s">
        <v>40</v>
      </c>
      <c r="D1362">
        <v>6.0763569999999998</v>
      </c>
      <c r="E1362">
        <v>0.60703859999999998</v>
      </c>
      <c r="F1362" t="s">
        <v>69</v>
      </c>
      <c r="G1362">
        <v>-222.2079</v>
      </c>
      <c r="H1362" s="1">
        <v>-3.6188089999999999E-7</v>
      </c>
      <c r="I1362">
        <v>285.4359</v>
      </c>
      <c r="J1362">
        <v>-204.58359999999999</v>
      </c>
      <c r="K1362">
        <v>1.103783</v>
      </c>
      <c r="L1362">
        <v>285.16219999999998</v>
      </c>
      <c r="M1362">
        <v>-0.90024400000000004</v>
      </c>
      <c r="N1362">
        <v>0</v>
      </c>
      <c r="O1362">
        <v>-0.43513420000000003</v>
      </c>
      <c r="P1362">
        <v>-0.96538840000000004</v>
      </c>
      <c r="Q1362">
        <v>-4.4453090000000001E-2</v>
      </c>
      <c r="R1362">
        <v>-0.25700129999999999</v>
      </c>
      <c r="S1362">
        <v>-3.117416</v>
      </c>
      <c r="T1362">
        <v>-0.19306490000000001</v>
      </c>
      <c r="U1362">
        <v>3.3599850000000001E-2</v>
      </c>
      <c r="V1362">
        <v>0.18824189999999999</v>
      </c>
      <c r="W1362">
        <v>-3.2864020000000001E-2</v>
      </c>
      <c r="X1362">
        <v>0.98157269999999996</v>
      </c>
      <c r="Y1362">
        <v>0.44321909999999998</v>
      </c>
      <c r="Z1362">
        <v>3.9944809999999997E-2</v>
      </c>
      <c r="AA1362">
        <v>0.89552289999999901</v>
      </c>
      <c r="AB1362">
        <v>20</v>
      </c>
      <c r="AC1362">
        <v>-17.624300000000002</v>
      </c>
      <c r="AD1362">
        <v>-1.1037833618809001</v>
      </c>
      <c r="AE1362">
        <v>0.27370000000001898</v>
      </c>
      <c r="AF1362">
        <v>7.8852780190288296</v>
      </c>
      <c r="AG1362">
        <v>-1.1037833618809001</v>
      </c>
      <c r="AH1362">
        <v>15.6872826026095</v>
      </c>
      <c r="AI1362">
        <v>93.597251300795804</v>
      </c>
      <c r="AJ1362">
        <v>63.3134198291798</v>
      </c>
      <c r="AK1362">
        <v>17.5922364297857</v>
      </c>
      <c r="AL1362">
        <v>91.883308736131099</v>
      </c>
      <c r="AM1362">
        <v>79.143863605239304</v>
      </c>
      <c r="AN1362">
        <v>1.0000000110557301</v>
      </c>
    </row>
    <row r="1363" spans="1:40" x14ac:dyDescent="0.25">
      <c r="A1363" t="str">
        <f>"20190312161252173"</f>
        <v>20190312161252173</v>
      </c>
      <c r="B1363" t="str">
        <f>"1552378372166688"</f>
        <v>1552378372166688</v>
      </c>
      <c r="C1363" t="s">
        <v>40</v>
      </c>
      <c r="D1363">
        <v>5.994154</v>
      </c>
      <c r="E1363">
        <v>0.60587809999999998</v>
      </c>
      <c r="F1363" t="s">
        <v>69</v>
      </c>
      <c r="G1363">
        <v>-221.78190000000001</v>
      </c>
      <c r="H1363" s="1">
        <v>-5.8853919999999996E-7</v>
      </c>
      <c r="I1363">
        <v>285.45830000000001</v>
      </c>
      <c r="J1363">
        <v>-204.76300000000001</v>
      </c>
      <c r="K1363">
        <v>1.1038399999999999</v>
      </c>
      <c r="L1363">
        <v>285.09039999999999</v>
      </c>
      <c r="M1363">
        <v>-0.90513129999999997</v>
      </c>
      <c r="N1363">
        <v>0</v>
      </c>
      <c r="O1363">
        <v>-0.42487510000000001</v>
      </c>
      <c r="P1363">
        <v>-0.96793850000000003</v>
      </c>
      <c r="Q1363">
        <v>-4.5154939999999998E-2</v>
      </c>
      <c r="R1363">
        <v>-0.24709600000000001</v>
      </c>
      <c r="S1363">
        <v>-3.1126399999999999</v>
      </c>
      <c r="T1363">
        <v>-0.19976830000000001</v>
      </c>
      <c r="U1363">
        <v>5.3588869999999997E-2</v>
      </c>
      <c r="V1363">
        <v>0.18712409999999999</v>
      </c>
      <c r="W1363">
        <v>-3.3533489999999999E-2</v>
      </c>
      <c r="X1363">
        <v>0.98176379999999996</v>
      </c>
      <c r="Y1363">
        <v>0.43870520000000002</v>
      </c>
      <c r="Z1363">
        <v>4.0650459999999999E-2</v>
      </c>
      <c r="AA1363">
        <v>0.89771119999999904</v>
      </c>
      <c r="AB1363">
        <v>20</v>
      </c>
      <c r="AC1363">
        <v>-17.018899999999999</v>
      </c>
      <c r="AD1363">
        <v>-1.1038405885392</v>
      </c>
      <c r="AE1363">
        <v>0.36790000000001999</v>
      </c>
      <c r="AF1363">
        <v>7.5330559545425402</v>
      </c>
      <c r="AG1363">
        <v>-1.1038405885392</v>
      </c>
      <c r="AH1363">
        <v>15.185839852986801</v>
      </c>
      <c r="AI1363">
        <v>93.725680775697398</v>
      </c>
      <c r="AJ1363">
        <v>63.6159257626624</v>
      </c>
      <c r="AK1363">
        <v>16.987499171441801</v>
      </c>
      <c r="AL1363">
        <v>91.921687639315195</v>
      </c>
      <c r="AM1363">
        <v>79.208861405300993</v>
      </c>
      <c r="AN1363">
        <v>1.0000000413714101</v>
      </c>
    </row>
    <row r="1364" spans="1:40" x14ac:dyDescent="0.25">
      <c r="A1364" t="str">
        <f>"20190312161252194"</f>
        <v>20190312161252194</v>
      </c>
      <c r="B1364" t="str">
        <f>"1552378372187184"</f>
        <v>1552378372187184</v>
      </c>
      <c r="C1364" t="s">
        <v>40</v>
      </c>
      <c r="D1364">
        <v>5.9858060000000002</v>
      </c>
      <c r="E1364">
        <v>0.60479890000000003</v>
      </c>
      <c r="F1364" t="s">
        <v>69</v>
      </c>
      <c r="G1364">
        <v>-221.41640000000001</v>
      </c>
      <c r="H1364" s="1">
        <v>-7.8302880000000003E-7</v>
      </c>
      <c r="I1364">
        <v>285.50049999999999</v>
      </c>
      <c r="J1364">
        <v>-204.93860000000001</v>
      </c>
      <c r="K1364">
        <v>1.103891</v>
      </c>
      <c r="L1364">
        <v>285.0224</v>
      </c>
      <c r="M1364">
        <v>-0.90975919999999999</v>
      </c>
      <c r="N1364">
        <v>0</v>
      </c>
      <c r="O1364">
        <v>-0.41487350000000001</v>
      </c>
      <c r="P1364">
        <v>-0.97047470000000002</v>
      </c>
      <c r="Q1364">
        <v>-4.5369609999999998E-2</v>
      </c>
      <c r="R1364">
        <v>-0.23689830000000001</v>
      </c>
      <c r="S1364">
        <v>-3.109299</v>
      </c>
      <c r="T1364">
        <v>-0.20609369999999999</v>
      </c>
      <c r="U1364">
        <v>7.6568600000000001E-2</v>
      </c>
      <c r="V1364">
        <v>0.1866304</v>
      </c>
      <c r="W1364">
        <v>-3.3727050000000001E-2</v>
      </c>
      <c r="X1364">
        <v>0.98185109999999998</v>
      </c>
      <c r="Y1364">
        <v>0.43536560000000002</v>
      </c>
      <c r="Z1364">
        <v>4.126461E-2</v>
      </c>
      <c r="AA1364">
        <v>0.89930750000000004</v>
      </c>
      <c r="AB1364">
        <v>20</v>
      </c>
      <c r="AC1364">
        <v>-16.477799999999998</v>
      </c>
      <c r="AD1364">
        <v>-1.1038917830288</v>
      </c>
      <c r="AE1364">
        <v>0.47809999999998298</v>
      </c>
      <c r="AF1364">
        <v>7.2394881413784198</v>
      </c>
      <c r="AG1364">
        <v>-1.1038917830288</v>
      </c>
      <c r="AH1364">
        <v>14.728048936651801</v>
      </c>
      <c r="AI1364">
        <v>93.848190727010802</v>
      </c>
      <c r="AJ1364">
        <v>63.8238400837241</v>
      </c>
      <c r="AK1364">
        <v>16.448227597471099</v>
      </c>
      <c r="AL1364">
        <v>91.932784164148998</v>
      </c>
      <c r="AM1364">
        <v>79.237600970221095</v>
      </c>
      <c r="AN1364">
        <v>1.00000000133853</v>
      </c>
    </row>
    <row r="1365" spans="1:40" x14ac:dyDescent="0.25">
      <c r="A1365" t="str">
        <f>"20190312161252216"</f>
        <v>20190312161252216</v>
      </c>
      <c r="B1365" t="str">
        <f>"1552378372206705"</f>
        <v>1552378372206705</v>
      </c>
      <c r="C1365" t="s">
        <v>40</v>
      </c>
      <c r="D1365">
        <v>6.0075710000000004</v>
      </c>
      <c r="E1365">
        <v>0.60398219999999903</v>
      </c>
      <c r="F1365" t="s">
        <v>69</v>
      </c>
      <c r="G1365">
        <v>-221.11930000000001</v>
      </c>
      <c r="H1365" s="1">
        <v>-9.4114660000000003E-7</v>
      </c>
      <c r="I1365">
        <v>285.54730000000001</v>
      </c>
      <c r="J1365">
        <v>-205.1302</v>
      </c>
      <c r="K1365">
        <v>1.1039650000000001</v>
      </c>
      <c r="L1365">
        <v>284.95060000000001</v>
      </c>
      <c r="M1365">
        <v>-0.91463490000000003</v>
      </c>
      <c r="N1365">
        <v>0</v>
      </c>
      <c r="O1365">
        <v>-0.40401179999999998</v>
      </c>
      <c r="P1365">
        <v>-0.97297809999999996</v>
      </c>
      <c r="Q1365">
        <v>-4.4867200000000003E-2</v>
      </c>
      <c r="R1365">
        <v>-0.2264967</v>
      </c>
      <c r="S1365">
        <v>-3.105972</v>
      </c>
      <c r="T1365">
        <v>-0.21189740000000001</v>
      </c>
      <c r="U1365">
        <v>0.100769</v>
      </c>
      <c r="V1365">
        <v>0.18547240000000001</v>
      </c>
      <c r="W1365">
        <v>-3.3189150000000001E-2</v>
      </c>
      <c r="X1365">
        <v>0.98208879999999998</v>
      </c>
      <c r="Y1365">
        <v>0.43159999999999998</v>
      </c>
      <c r="Z1365">
        <v>4.1659500000000002E-2</v>
      </c>
      <c r="AA1365">
        <v>0.90110259999999998</v>
      </c>
      <c r="AB1365">
        <v>20</v>
      </c>
      <c r="AC1365">
        <v>-15.989100000000001</v>
      </c>
      <c r="AD1365">
        <v>-1.1039659411465901</v>
      </c>
      <c r="AE1365">
        <v>0.59669999999999801</v>
      </c>
      <c r="AF1365">
        <v>6.9731135820093204</v>
      </c>
      <c r="AG1365">
        <v>-1.1039659411465901</v>
      </c>
      <c r="AH1365">
        <v>14.316524401754499</v>
      </c>
      <c r="AI1365">
        <v>93.965704603299201</v>
      </c>
      <c r="AJ1365">
        <v>64.030792424695804</v>
      </c>
      <c r="AK1365">
        <v>15.962641534935401</v>
      </c>
      <c r="AL1365">
        <v>91.901947557011994</v>
      </c>
      <c r="AM1365">
        <v>79.305362966746102</v>
      </c>
      <c r="AN1365">
        <v>0.99999997096245996</v>
      </c>
    </row>
    <row r="1366" spans="1:40" x14ac:dyDescent="0.25">
      <c r="A1366" t="str">
        <f>"20190312161252238"</f>
        <v>20190312161252238</v>
      </c>
      <c r="B1366" t="str">
        <f>"1552378372227200"</f>
        <v>1552378372227200</v>
      </c>
      <c r="C1366" t="s">
        <v>40</v>
      </c>
      <c r="D1366">
        <v>5.9996739999999997</v>
      </c>
      <c r="E1366">
        <v>0.60285359999999999</v>
      </c>
      <c r="F1366" t="s">
        <v>69</v>
      </c>
      <c r="G1366">
        <v>-220.976</v>
      </c>
      <c r="H1366" s="1">
        <v>-1.0174049999999999E-6</v>
      </c>
      <c r="I1366">
        <v>285.60250000000002</v>
      </c>
      <c r="J1366">
        <v>-205.31780000000001</v>
      </c>
      <c r="K1366">
        <v>1.1040399999999999</v>
      </c>
      <c r="L1366">
        <v>284.88260000000002</v>
      </c>
      <c r="M1366">
        <v>-0.91923089999999996</v>
      </c>
      <c r="N1366">
        <v>0</v>
      </c>
      <c r="O1366">
        <v>-0.39344299999999999</v>
      </c>
      <c r="P1366">
        <v>-0.97515640000000003</v>
      </c>
      <c r="Q1366">
        <v>-4.4186499999999997E-2</v>
      </c>
      <c r="R1366">
        <v>-0.21706549999999999</v>
      </c>
      <c r="S1366">
        <v>-3.1030579999999999</v>
      </c>
      <c r="T1366">
        <v>-0.21618760000000001</v>
      </c>
      <c r="U1366">
        <v>0.12765499999999999</v>
      </c>
      <c r="V1366">
        <v>0.18369050000000001</v>
      </c>
      <c r="W1366">
        <v>-3.2461129999999998E-2</v>
      </c>
      <c r="X1366">
        <v>0.98244799999999999</v>
      </c>
      <c r="Y1366">
        <v>0.42898269999999999</v>
      </c>
      <c r="Z1366">
        <v>4.1767779999999997E-2</v>
      </c>
      <c r="AA1366">
        <v>0.9023466</v>
      </c>
      <c r="AB1366">
        <v>20</v>
      </c>
      <c r="AC1366">
        <v>-15.6581999999999</v>
      </c>
      <c r="AD1366">
        <v>-1.1040410174049999</v>
      </c>
      <c r="AE1366">
        <v>0.71989999999999499</v>
      </c>
      <c r="AF1366">
        <v>6.7894220342729801</v>
      </c>
      <c r="AG1366">
        <v>-1.1040410174049999</v>
      </c>
      <c r="AH1366">
        <v>14.042130903242001</v>
      </c>
      <c r="AI1366">
        <v>94.048861724103205</v>
      </c>
      <c r="AJ1366">
        <v>64.196061961116499</v>
      </c>
      <c r="AK1366">
        <v>15.636387000562801</v>
      </c>
      <c r="AL1366">
        <v>91.860212539245595</v>
      </c>
      <c r="AM1366">
        <v>79.409559152166395</v>
      </c>
      <c r="AN1366">
        <v>0.99999999872756296</v>
      </c>
    </row>
    <row r="1367" spans="1:40" x14ac:dyDescent="0.25">
      <c r="A1367" t="str">
        <f>"20190312161252260"</f>
        <v>20190312161252260</v>
      </c>
      <c r="B1367" t="str">
        <f>"1552378372257456"</f>
        <v>1552378372257456</v>
      </c>
      <c r="C1367" t="s">
        <v>40</v>
      </c>
      <c r="D1367">
        <v>6.0298790000000002</v>
      </c>
      <c r="E1367">
        <v>0.60131849999999998</v>
      </c>
      <c r="F1367" t="s">
        <v>69</v>
      </c>
      <c r="G1367">
        <v>-221.07300000000001</v>
      </c>
      <c r="H1367" s="1">
        <v>-9.6578830000000005E-7</v>
      </c>
      <c r="I1367">
        <v>285.6397</v>
      </c>
      <c r="J1367">
        <v>-205.4948</v>
      </c>
      <c r="K1367">
        <v>1.10412</v>
      </c>
      <c r="L1367">
        <v>284.82069999999999</v>
      </c>
      <c r="M1367">
        <v>-0.92340060000000002</v>
      </c>
      <c r="N1367">
        <v>0</v>
      </c>
      <c r="O1367">
        <v>-0.3835556</v>
      </c>
      <c r="P1367">
        <v>-0.97710739999999996</v>
      </c>
      <c r="Q1367">
        <v>-4.4655300000000002E-2</v>
      </c>
      <c r="R1367">
        <v>-0.20800850000000001</v>
      </c>
      <c r="S1367">
        <v>-3.0997309999999998</v>
      </c>
      <c r="T1367">
        <v>-0.2172133</v>
      </c>
      <c r="U1367">
        <v>0.14895630000000001</v>
      </c>
      <c r="V1367">
        <v>0.18225440000000001</v>
      </c>
      <c r="W1367">
        <v>-3.28892E-2</v>
      </c>
      <c r="X1367">
        <v>0.98270119999999905</v>
      </c>
      <c r="Y1367">
        <v>0.42553079999999999</v>
      </c>
      <c r="Z1367">
        <v>4.1242569999999999E-2</v>
      </c>
      <c r="AA1367">
        <v>0.90400369999999997</v>
      </c>
      <c r="AB1367">
        <v>20</v>
      </c>
      <c r="AC1367">
        <v>-15.578199999999899</v>
      </c>
      <c r="AD1367">
        <v>-1.1041209657883</v>
      </c>
      <c r="AE1367">
        <v>0.81900000000001605</v>
      </c>
      <c r="AF1367">
        <v>6.69854271794848</v>
      </c>
      <c r="AG1367">
        <v>-1.1041209657883</v>
      </c>
      <c r="AH1367">
        <v>14.002165371736501</v>
      </c>
      <c r="AI1367">
        <v>94.068758907786005</v>
      </c>
      <c r="AJ1367">
        <v>64.433857862061899</v>
      </c>
      <c r="AK1367">
        <v>15.5611758151089</v>
      </c>
      <c r="AL1367">
        <v>91.884752231552</v>
      </c>
      <c r="AM1367">
        <v>79.493151532583397</v>
      </c>
      <c r="AN1367">
        <v>1.0000000071387101</v>
      </c>
    </row>
    <row r="1368" spans="1:40" x14ac:dyDescent="0.25">
      <c r="A1368" t="str">
        <f>"20190312161252281"</f>
        <v>20190312161252281</v>
      </c>
      <c r="B1368" t="str">
        <f>"1552378372276976"</f>
        <v>1552378372276976</v>
      </c>
      <c r="C1368" t="s">
        <v>40</v>
      </c>
      <c r="D1368">
        <v>6.0215690000000004</v>
      </c>
      <c r="E1368">
        <v>0.60043639999999998</v>
      </c>
      <c r="F1368" t="s">
        <v>69</v>
      </c>
      <c r="G1368">
        <v>-220.8185</v>
      </c>
      <c r="H1368" s="1">
        <v>-1.101239E-6</v>
      </c>
      <c r="I1368">
        <v>285.64170000000001</v>
      </c>
      <c r="J1368">
        <v>-205.6849</v>
      </c>
      <c r="K1368">
        <v>1.1042149999999999</v>
      </c>
      <c r="L1368">
        <v>284.75639999999999</v>
      </c>
      <c r="M1368">
        <v>-0.92770090000000005</v>
      </c>
      <c r="N1368">
        <v>0</v>
      </c>
      <c r="O1368">
        <v>-0.37303520000000001</v>
      </c>
      <c r="P1368">
        <v>-0.97916320000000001</v>
      </c>
      <c r="Q1368">
        <v>-4.5060360000000001E-2</v>
      </c>
      <c r="R1368">
        <v>-0.1980131</v>
      </c>
      <c r="S1368">
        <v>-3.095383</v>
      </c>
      <c r="T1368">
        <v>-0.2230326</v>
      </c>
      <c r="U1368">
        <v>0.16583249999999999</v>
      </c>
      <c r="V1368">
        <v>0.18112110000000001</v>
      </c>
      <c r="W1368">
        <v>-3.3256139999999997E-2</v>
      </c>
      <c r="X1368">
        <v>0.98289839999999995</v>
      </c>
      <c r="Y1368">
        <v>0.42015140000000001</v>
      </c>
      <c r="Z1368">
        <v>4.1497770000000003E-2</v>
      </c>
      <c r="AA1368">
        <v>0.90650469999999905</v>
      </c>
      <c r="AB1368">
        <v>20</v>
      </c>
      <c r="AC1368">
        <v>-15.133599999999999</v>
      </c>
      <c r="AD1368">
        <v>-1.1042161012389999</v>
      </c>
      <c r="AE1368">
        <v>0.88530000000002895</v>
      </c>
      <c r="AF1368">
        <v>6.4332243641968896</v>
      </c>
      <c r="AG1368">
        <v>-1.1042161012389999</v>
      </c>
      <c r="AH1368">
        <v>13.638325191742901</v>
      </c>
      <c r="AI1368">
        <v>94.188092858911006</v>
      </c>
      <c r="AJ1368">
        <v>64.746657551861801</v>
      </c>
      <c r="AK1368">
        <v>15.119840705313701</v>
      </c>
      <c r="AL1368">
        <v>91.905787781708298</v>
      </c>
      <c r="AM1368">
        <v>79.559092954262397</v>
      </c>
      <c r="AN1368">
        <v>1.0000000442177299</v>
      </c>
    </row>
    <row r="1369" spans="1:40" x14ac:dyDescent="0.25">
      <c r="A1369" t="str">
        <f>"20190312161252305"</f>
        <v>20190312161252305</v>
      </c>
      <c r="B1369" t="str">
        <f>"1552378372297472"</f>
        <v>1552378372297472</v>
      </c>
      <c r="C1369" t="s">
        <v>40</v>
      </c>
      <c r="D1369">
        <v>6.102652</v>
      </c>
      <c r="E1369">
        <v>0.6000219</v>
      </c>
      <c r="F1369" t="s">
        <v>69</v>
      </c>
      <c r="G1369">
        <v>-220.71879999999999</v>
      </c>
      <c r="H1369" s="1">
        <v>-1.1542619999999999E-6</v>
      </c>
      <c r="I1369">
        <v>285.68259999999998</v>
      </c>
      <c r="J1369">
        <v>-205.87960000000001</v>
      </c>
      <c r="K1369">
        <v>1.1043270000000001</v>
      </c>
      <c r="L1369">
        <v>284.69279999999998</v>
      </c>
      <c r="M1369">
        <v>-0.9319153</v>
      </c>
      <c r="N1369">
        <v>0</v>
      </c>
      <c r="O1369">
        <v>-0.36237950000000002</v>
      </c>
      <c r="P1369">
        <v>-0.98117410000000005</v>
      </c>
      <c r="Q1369">
        <v>-4.4496479999999998E-2</v>
      </c>
      <c r="R1369">
        <v>-0.1879306</v>
      </c>
      <c r="S1369">
        <v>-3.0919189999999999</v>
      </c>
      <c r="T1369">
        <v>-0.2270962</v>
      </c>
      <c r="U1369">
        <v>0.19049070000000001</v>
      </c>
      <c r="V1369">
        <v>0.1799945</v>
      </c>
      <c r="W1369">
        <v>-3.2651310000000003E-2</v>
      </c>
      <c r="X1369">
        <v>0.98312560000000004</v>
      </c>
      <c r="Y1369">
        <v>0.4169756</v>
      </c>
      <c r="Z1369">
        <v>4.1442609999999998E-2</v>
      </c>
      <c r="AA1369">
        <v>0.90797229999999995</v>
      </c>
      <c r="AB1369">
        <v>20</v>
      </c>
      <c r="AC1369">
        <v>-14.8391999999999</v>
      </c>
      <c r="AD1369">
        <v>-1.104328154262</v>
      </c>
      <c r="AE1369">
        <v>0.98980000000000201</v>
      </c>
      <c r="AF1369">
        <v>6.2659599315670702</v>
      </c>
      <c r="AG1369">
        <v>-1.104328154262</v>
      </c>
      <c r="AH1369">
        <v>13.397770371390999</v>
      </c>
      <c r="AI1369">
        <v>94.270013539027403</v>
      </c>
      <c r="AJ1369">
        <v>64.935130048428505</v>
      </c>
      <c r="AK1369">
        <v>14.8317917144498</v>
      </c>
      <c r="AL1369">
        <v>91.871114758741996</v>
      </c>
      <c r="AM1369">
        <v>79.624967795097504</v>
      </c>
      <c r="AN1369">
        <v>1.00000003672516</v>
      </c>
    </row>
    <row r="1370" spans="1:40" x14ac:dyDescent="0.25">
      <c r="A1370" t="str">
        <f>"20190312161252327"</f>
        <v>20190312161252327</v>
      </c>
      <c r="B1370" t="str">
        <f>"1552378372316992"</f>
        <v>1552378372316992</v>
      </c>
      <c r="C1370" t="s">
        <v>40</v>
      </c>
      <c r="D1370">
        <v>6.1240489999999896</v>
      </c>
      <c r="E1370">
        <v>0.56656660000000003</v>
      </c>
      <c r="F1370" t="s">
        <v>69</v>
      </c>
      <c r="G1370">
        <v>-221.10059999999999</v>
      </c>
      <c r="H1370" s="1">
        <v>-9.511235E-7</v>
      </c>
      <c r="I1370">
        <v>285.7715</v>
      </c>
      <c r="J1370">
        <v>-206.07220000000001</v>
      </c>
      <c r="K1370">
        <v>1.1044480000000001</v>
      </c>
      <c r="L1370">
        <v>284.63209999999998</v>
      </c>
      <c r="M1370">
        <v>-0.93589659999999997</v>
      </c>
      <c r="N1370">
        <v>0</v>
      </c>
      <c r="O1370">
        <v>-0.35197089999999998</v>
      </c>
      <c r="P1370">
        <v>-0.98294809999999999</v>
      </c>
      <c r="Q1370">
        <v>-4.3753470000000003E-2</v>
      </c>
      <c r="R1370">
        <v>-0.17860219999999999</v>
      </c>
      <c r="S1370">
        <v>-3.0893250000000001</v>
      </c>
      <c r="T1370">
        <v>-0.2241399</v>
      </c>
      <c r="U1370">
        <v>0.21893309999999999</v>
      </c>
      <c r="V1370">
        <v>0.1784077</v>
      </c>
      <c r="W1370">
        <v>-3.1858570000000003E-2</v>
      </c>
      <c r="X1370">
        <v>0.9834408</v>
      </c>
      <c r="Y1370">
        <v>0.41530479999999997</v>
      </c>
      <c r="Z1370">
        <v>4.0159250000000001E-2</v>
      </c>
      <c r="AA1370">
        <v>0.90879549999999998</v>
      </c>
      <c r="AB1370">
        <v>20</v>
      </c>
      <c r="AC1370">
        <v>-15.0283999999999</v>
      </c>
      <c r="AD1370">
        <v>-1.1044489511234901</v>
      </c>
      <c r="AE1370">
        <v>1.13940000000002</v>
      </c>
      <c r="AF1370">
        <v>6.3226475824591102</v>
      </c>
      <c r="AG1370">
        <v>-1.1044489511234901</v>
      </c>
      <c r="AH1370">
        <v>13.5924634608166</v>
      </c>
      <c r="AI1370">
        <v>94.213596348384797</v>
      </c>
      <c r="AJ1370">
        <v>65.054114020026901</v>
      </c>
      <c r="AK1370">
        <v>15.0316580213644</v>
      </c>
      <c r="AL1370">
        <v>91.825670448390994</v>
      </c>
      <c r="AM1370">
        <v>79.717697725442505</v>
      </c>
      <c r="AN1370">
        <v>1.00000004150318</v>
      </c>
    </row>
    <row r="1371" spans="1:40" x14ac:dyDescent="0.25">
      <c r="A1371" t="str">
        <f>"20190312161252352"</f>
        <v>20190312161252352</v>
      </c>
      <c r="B1371" t="str">
        <f>"1552378372347247"</f>
        <v>1552378372347247</v>
      </c>
      <c r="C1371" t="s">
        <v>40</v>
      </c>
      <c r="D1371">
        <v>6.2959189999999996</v>
      </c>
      <c r="E1371">
        <v>0.56161879999999997</v>
      </c>
      <c r="F1371" t="s">
        <v>69</v>
      </c>
      <c r="G1371">
        <v>-216.1619</v>
      </c>
      <c r="H1371" s="1">
        <v>1.742285E-6</v>
      </c>
      <c r="I1371">
        <v>284.58190000000002</v>
      </c>
      <c r="J1371">
        <v>-206.27590000000001</v>
      </c>
      <c r="K1371">
        <v>1.104579</v>
      </c>
      <c r="L1371">
        <v>284.57040000000001</v>
      </c>
      <c r="M1371">
        <v>-0.93989730000000005</v>
      </c>
      <c r="N1371">
        <v>0</v>
      </c>
      <c r="O1371">
        <v>-0.34114509999999998</v>
      </c>
      <c r="P1371">
        <v>-0.9847494</v>
      </c>
      <c r="Q1371">
        <v>-4.3262090000000003E-2</v>
      </c>
      <c r="R1371">
        <v>-0.16851429999999901</v>
      </c>
      <c r="S1371">
        <v>-3.0345149999999999</v>
      </c>
      <c r="T1371">
        <v>-0.33216659999999998</v>
      </c>
      <c r="U1371">
        <v>-1.5075679999999999E-2</v>
      </c>
      <c r="V1371">
        <v>0.17716470000000001</v>
      </c>
      <c r="W1371">
        <v>-3.1322580000000003E-2</v>
      </c>
      <c r="X1371">
        <v>0.98368259999999996</v>
      </c>
      <c r="Y1371">
        <v>0.33254810000000001</v>
      </c>
      <c r="Z1371">
        <v>5.4796419999999998E-2</v>
      </c>
      <c r="AA1371">
        <v>0.94149300000000002</v>
      </c>
      <c r="AB1371">
        <v>19</v>
      </c>
      <c r="AC1371">
        <v>-9.8859999999999904</v>
      </c>
      <c r="AD1371">
        <v>-1.1045772577149999</v>
      </c>
      <c r="AE1371">
        <v>1.15000000000122E-2</v>
      </c>
      <c r="AF1371">
        <v>3.34200849902623</v>
      </c>
      <c r="AG1371">
        <v>-1.1045772577149999</v>
      </c>
      <c r="AH1371">
        <v>9.1743594433875</v>
      </c>
      <c r="AI1371">
        <v>96.454216315762693</v>
      </c>
      <c r="AJ1371">
        <v>69.984479187363803</v>
      </c>
      <c r="AK1371">
        <v>9.8263921620449395</v>
      </c>
      <c r="AL1371">
        <v>91.794945320273897</v>
      </c>
      <c r="AM1371">
        <v>79.790281198267493</v>
      </c>
      <c r="AN1371">
        <v>0.99999994624335098</v>
      </c>
    </row>
    <row r="1372" spans="1:40" x14ac:dyDescent="0.25">
      <c r="A1372" t="str">
        <f>"20190312161252373"</f>
        <v>20190312161252373</v>
      </c>
      <c r="B1372" t="str">
        <f>"1552378372366768"</f>
        <v>1552378372366768</v>
      </c>
      <c r="C1372" t="s">
        <v>40</v>
      </c>
      <c r="D1372">
        <v>5.8656899999999998</v>
      </c>
      <c r="E1372">
        <v>0.55987469999999995</v>
      </c>
      <c r="F1372" t="s">
        <v>69</v>
      </c>
      <c r="G1372">
        <v>-218.50460000000001</v>
      </c>
      <c r="H1372" s="1">
        <v>2.9889599999999901E-6</v>
      </c>
      <c r="I1372">
        <v>284.48009999999999</v>
      </c>
      <c r="J1372">
        <v>-206.465</v>
      </c>
      <c r="K1372">
        <v>1.1046990000000001</v>
      </c>
      <c r="L1372">
        <v>284.51519999999999</v>
      </c>
      <c r="M1372">
        <v>-0.9434323</v>
      </c>
      <c r="N1372">
        <v>0</v>
      </c>
      <c r="O1372">
        <v>-0.33124530000000002</v>
      </c>
      <c r="P1372">
        <v>-0.98626950000000002</v>
      </c>
      <c r="Q1372">
        <v>-4.3355400000000002E-2</v>
      </c>
      <c r="R1372">
        <v>-0.1593523</v>
      </c>
      <c r="S1372">
        <v>-3.0306090000000001</v>
      </c>
      <c r="T1372">
        <v>-0.2737424</v>
      </c>
      <c r="U1372">
        <v>-2.2369380000000001E-2</v>
      </c>
      <c r="V1372">
        <v>0.17597489999999999</v>
      </c>
      <c r="W1372">
        <v>-3.1376330000000001E-2</v>
      </c>
      <c r="X1372">
        <v>0.98389450000000001</v>
      </c>
      <c r="Y1372">
        <v>0.32168999999999998</v>
      </c>
      <c r="Z1372">
        <v>4.3917009999999999E-2</v>
      </c>
      <c r="AA1372">
        <v>0.94582599999999994</v>
      </c>
      <c r="AB1372">
        <v>19</v>
      </c>
      <c r="AC1372">
        <v>-12.0396</v>
      </c>
      <c r="AD1372">
        <v>-1.1046960110399999</v>
      </c>
      <c r="AE1372">
        <v>-3.5099999999999902E-2</v>
      </c>
      <c r="AF1372">
        <v>3.9223438193704201</v>
      </c>
      <c r="AG1372">
        <v>-1.1046960110399999</v>
      </c>
      <c r="AH1372">
        <v>11.2764441409282</v>
      </c>
      <c r="AI1372">
        <v>95.286371864834194</v>
      </c>
      <c r="AJ1372">
        <v>70.820527927904806</v>
      </c>
      <c r="AK1372">
        <v>11.9901345604474</v>
      </c>
      <c r="AL1372">
        <v>91.798026362377101</v>
      </c>
      <c r="AM1372">
        <v>79.859558407975996</v>
      </c>
      <c r="AN1372">
        <v>1.00000001332226</v>
      </c>
    </row>
    <row r="1373" spans="1:40" x14ac:dyDescent="0.25">
      <c r="A1373" t="str">
        <f>"20190312161252395"</f>
        <v>20190312161252395</v>
      </c>
      <c r="B1373" t="str">
        <f>"1552378372387265"</f>
        <v>1552378372387265</v>
      </c>
      <c r="C1373" t="s">
        <v>40</v>
      </c>
      <c r="D1373">
        <v>5.8007580000000001</v>
      </c>
      <c r="E1373">
        <v>0.56005559999999999</v>
      </c>
      <c r="F1373" t="s">
        <v>69</v>
      </c>
      <c r="G1373">
        <v>-220.2003</v>
      </c>
      <c r="H1373" s="1">
        <v>-1.4302019999999999E-6</v>
      </c>
      <c r="I1373">
        <v>284.48099999999999</v>
      </c>
      <c r="J1373">
        <v>-206.64949999999999</v>
      </c>
      <c r="K1373">
        <v>1.104805</v>
      </c>
      <c r="L1373">
        <v>284.46319999999997</v>
      </c>
      <c r="M1373">
        <v>-0.94672429999999996</v>
      </c>
      <c r="N1373">
        <v>0</v>
      </c>
      <c r="O1373">
        <v>-0.3217177</v>
      </c>
      <c r="P1373">
        <v>-0.98760559999999997</v>
      </c>
      <c r="Q1373">
        <v>-4.382167E-2</v>
      </c>
      <c r="R1373">
        <v>-0.15071509999999999</v>
      </c>
      <c r="S1373">
        <v>-3.029846</v>
      </c>
      <c r="T1373">
        <v>-0.24368429999999999</v>
      </c>
      <c r="U1373">
        <v>-7.5378419999999899E-3</v>
      </c>
      <c r="V1373">
        <v>0.17466189999999901</v>
      </c>
      <c r="W1373">
        <v>-3.1807630000000003E-2</v>
      </c>
      <c r="X1373">
        <v>0.98411459999999995</v>
      </c>
      <c r="Y1373">
        <v>0.31736019999999998</v>
      </c>
      <c r="Z1373">
        <v>3.8221819999999997E-2</v>
      </c>
      <c r="AA1373">
        <v>0.94753449999999995</v>
      </c>
      <c r="AB1373">
        <v>19</v>
      </c>
      <c r="AC1373">
        <v>-13.550800000000001</v>
      </c>
      <c r="AD1373">
        <v>-1.104806430202</v>
      </c>
      <c r="AE1373">
        <v>1.7800000000022399E-2</v>
      </c>
      <c r="AF1373">
        <v>4.3479434414776597</v>
      </c>
      <c r="AG1373">
        <v>-1.104806430202</v>
      </c>
      <c r="AH1373">
        <v>12.739812309854599</v>
      </c>
      <c r="AI1373">
        <v>94.691897726554302</v>
      </c>
      <c r="AJ1373">
        <v>71.155849276103297</v>
      </c>
      <c r="AK1373">
        <v>13.5065919872048</v>
      </c>
      <c r="AL1373">
        <v>91.822750351149494</v>
      </c>
      <c r="AM1373">
        <v>79.935871532209006</v>
      </c>
      <c r="AN1373">
        <v>1.0000000252854899</v>
      </c>
    </row>
    <row r="1374" spans="1:40" x14ac:dyDescent="0.25">
      <c r="A1374" t="str">
        <f>"20190312161252417"</f>
        <v>20190312161252417</v>
      </c>
      <c r="B1374" t="str">
        <f>"1552378372406785"</f>
        <v>1552378372406785</v>
      </c>
      <c r="C1374" t="s">
        <v>40</v>
      </c>
      <c r="D1374">
        <v>5.8474300000000001</v>
      </c>
      <c r="E1374">
        <v>0.55925519999999995</v>
      </c>
      <c r="F1374" t="s">
        <v>69</v>
      </c>
      <c r="G1374">
        <v>-222.5907</v>
      </c>
      <c r="H1374" s="1">
        <v>-1.58154E-7</v>
      </c>
      <c r="I1374">
        <v>284.572</v>
      </c>
      <c r="J1374">
        <v>-206.83600000000001</v>
      </c>
      <c r="K1374">
        <v>1.1049020000000001</v>
      </c>
      <c r="L1374">
        <v>284.41239999999999</v>
      </c>
      <c r="M1374">
        <v>-0.94990280000000005</v>
      </c>
      <c r="N1374">
        <v>0</v>
      </c>
      <c r="O1374">
        <v>-0.31220910000000002</v>
      </c>
      <c r="P1374">
        <v>-0.98890840000000002</v>
      </c>
      <c r="Q1374">
        <v>-4.3977040000000002E-2</v>
      </c>
      <c r="R1374">
        <v>-0.14186750000000001</v>
      </c>
      <c r="S1374">
        <v>-3.0314640000000002</v>
      </c>
      <c r="T1374">
        <v>-0.21009549999999999</v>
      </c>
      <c r="U1374">
        <v>2.0690920000000002E-2</v>
      </c>
      <c r="V1374">
        <v>0.1736087</v>
      </c>
      <c r="W1374">
        <v>-3.1935909999999998E-2</v>
      </c>
      <c r="X1374">
        <v>0.98429670000000002</v>
      </c>
      <c r="Y1374">
        <v>0.31722719999999999</v>
      </c>
      <c r="Z1374">
        <v>3.2321509999999998E-2</v>
      </c>
      <c r="AA1374">
        <v>0.94779860000000005</v>
      </c>
      <c r="AB1374">
        <v>19</v>
      </c>
      <c r="AC1374">
        <v>-15.7547</v>
      </c>
      <c r="AD1374">
        <v>-1.1049021581539999</v>
      </c>
      <c r="AE1374">
        <v>0.15960000000001101</v>
      </c>
      <c r="AF1374">
        <v>5.04608174027973</v>
      </c>
      <c r="AG1374">
        <v>-1.1049021581539999</v>
      </c>
      <c r="AH1374">
        <v>14.844169897743001</v>
      </c>
      <c r="AI1374">
        <v>94.031133763183206</v>
      </c>
      <c r="AJ1374">
        <v>71.225205352730597</v>
      </c>
      <c r="AK1374">
        <v>15.7172876051097</v>
      </c>
      <c r="AL1374">
        <v>91.830104148622596</v>
      </c>
      <c r="AM1374">
        <v>79.997141458364695</v>
      </c>
      <c r="AN1374">
        <v>0.99999993834705203</v>
      </c>
    </row>
    <row r="1375" spans="1:40" x14ac:dyDescent="0.25">
      <c r="A1375" t="str">
        <f>"20190312161252439"</f>
        <v>20190312161252439</v>
      </c>
      <c r="B1375" t="str">
        <f>"1552378372426811"</f>
        <v>1552378372426811</v>
      </c>
      <c r="C1375" t="s">
        <v>40</v>
      </c>
      <c r="D1375">
        <v>5.8493620000000002</v>
      </c>
      <c r="E1375">
        <v>0.5583534</v>
      </c>
      <c r="F1375" t="s">
        <v>69</v>
      </c>
      <c r="G1375">
        <v>-224.32230000000001</v>
      </c>
      <c r="H1375" s="1">
        <v>7.6333439999999896E-7</v>
      </c>
      <c r="I1375">
        <v>284.65260000000001</v>
      </c>
      <c r="J1375">
        <v>-207.02359999999999</v>
      </c>
      <c r="K1375">
        <v>1.105</v>
      </c>
      <c r="L1375">
        <v>284.36329999999998</v>
      </c>
      <c r="M1375">
        <v>-0.95294909999999999</v>
      </c>
      <c r="N1375">
        <v>0</v>
      </c>
      <c r="O1375">
        <v>-0.30278460000000001</v>
      </c>
      <c r="P1375">
        <v>-0.99007219999999996</v>
      </c>
      <c r="Q1375">
        <v>-4.4091890000000002E-2</v>
      </c>
      <c r="R1375">
        <v>-0.13346549999999999</v>
      </c>
      <c r="S1375">
        <v>-3.0310969999999999</v>
      </c>
      <c r="T1375">
        <v>-0.19152469999999999</v>
      </c>
      <c r="U1375">
        <v>4.162598E-2</v>
      </c>
      <c r="V1375">
        <v>0.17222100000000001</v>
      </c>
      <c r="W1375">
        <v>-3.2020670000000001E-2</v>
      </c>
      <c r="X1375">
        <v>0.98453780000000002</v>
      </c>
      <c r="Y1375">
        <v>0.31465690000000002</v>
      </c>
      <c r="Z1375">
        <v>2.8824619999999999E-2</v>
      </c>
      <c r="AA1375">
        <v>0.94876769999999999</v>
      </c>
      <c r="AB1375">
        <v>19</v>
      </c>
      <c r="AC1375">
        <v>-17.2987</v>
      </c>
      <c r="AD1375">
        <v>-1.1049992366656001</v>
      </c>
      <c r="AE1375">
        <v>0.28930000000002498</v>
      </c>
      <c r="AF1375">
        <v>5.4916442132365804</v>
      </c>
      <c r="AG1375">
        <v>-1.1049992366656001</v>
      </c>
      <c r="AH1375">
        <v>16.332280151445001</v>
      </c>
      <c r="AI1375">
        <v>93.669307402767103</v>
      </c>
      <c r="AJ1375">
        <v>71.415049449357596</v>
      </c>
      <c r="AK1375">
        <v>17.266225830305</v>
      </c>
      <c r="AL1375">
        <v>91.834962841483303</v>
      </c>
      <c r="AM1375">
        <v>80.077883081144506</v>
      </c>
      <c r="AN1375">
        <v>1.0000000378885401</v>
      </c>
    </row>
    <row r="1376" spans="1:40" x14ac:dyDescent="0.25">
      <c r="A1376" t="str">
        <f>"20190312161252460"</f>
        <v>20190312161252460</v>
      </c>
      <c r="B1376" t="str">
        <f>"1552378372457068"</f>
        <v>1552378372457068</v>
      </c>
      <c r="C1376" t="s">
        <v>40</v>
      </c>
      <c r="D1376">
        <v>5.8500540000000001</v>
      </c>
      <c r="E1376">
        <v>0.55644769999999999</v>
      </c>
      <c r="F1376" t="s">
        <v>69</v>
      </c>
      <c r="G1376">
        <v>-226.3057</v>
      </c>
      <c r="H1376" s="1">
        <v>1.818775E-6</v>
      </c>
      <c r="I1376">
        <v>284.74770000000001</v>
      </c>
      <c r="J1376">
        <v>-207.2123</v>
      </c>
      <c r="K1376">
        <v>1.105089</v>
      </c>
      <c r="L1376">
        <v>284.31560000000002</v>
      </c>
      <c r="M1376">
        <v>-0.95586870000000002</v>
      </c>
      <c r="N1376">
        <v>0</v>
      </c>
      <c r="O1376">
        <v>-0.29343970000000003</v>
      </c>
      <c r="P1376">
        <v>-0.99117129999999998</v>
      </c>
      <c r="Q1376">
        <v>-4.3480339999999999E-2</v>
      </c>
      <c r="R1376">
        <v>-0.12525559999999999</v>
      </c>
      <c r="S1376">
        <v>-3.0304869999999999</v>
      </c>
      <c r="T1376">
        <v>-0.17366789999999999</v>
      </c>
      <c r="U1376">
        <v>6.0424800000000001E-2</v>
      </c>
      <c r="V1376">
        <v>0.1707639</v>
      </c>
      <c r="W1376">
        <v>-3.1378089999999997E-2</v>
      </c>
      <c r="X1376">
        <v>0.98481220000000003</v>
      </c>
      <c r="Y1376">
        <v>0.3114864</v>
      </c>
      <c r="Z1376">
        <v>2.5542410000000002E-2</v>
      </c>
      <c r="AA1376">
        <v>0.94990719999999995</v>
      </c>
      <c r="AB1376">
        <v>19</v>
      </c>
      <c r="AC1376">
        <v>-19.093399999999999</v>
      </c>
      <c r="AD1376">
        <v>-1.105087181225</v>
      </c>
      <c r="AE1376">
        <v>0.43209999999999099</v>
      </c>
      <c r="AF1376">
        <v>5.9963420685648003</v>
      </c>
      <c r="AG1376">
        <v>-1.105087181225</v>
      </c>
      <c r="AH1376">
        <v>18.065389348646601</v>
      </c>
      <c r="AI1376">
        <v>93.322684735684405</v>
      </c>
      <c r="AJ1376">
        <v>71.637739347847003</v>
      </c>
      <c r="AK1376">
        <v>19.066610296524701</v>
      </c>
      <c r="AL1376">
        <v>91.798127309554502</v>
      </c>
      <c r="AM1376">
        <v>80.162870979597798</v>
      </c>
      <c r="AN1376">
        <v>0.99999998167204796</v>
      </c>
    </row>
    <row r="1377" spans="1:40" x14ac:dyDescent="0.25">
      <c r="A1377" t="str">
        <f>"20190312161252484"</f>
        <v>20190312161252484</v>
      </c>
      <c r="B1377" t="str">
        <f>"1552378372477564"</f>
        <v>1552378372477564</v>
      </c>
      <c r="C1377" t="s">
        <v>40</v>
      </c>
      <c r="D1377">
        <v>5.7440579999999999</v>
      </c>
      <c r="E1377">
        <v>0.55584940000000005</v>
      </c>
      <c r="F1377" t="s">
        <v>69</v>
      </c>
      <c r="G1377">
        <v>-228.36439999999999</v>
      </c>
      <c r="H1377" s="1">
        <v>2.914338E-6</v>
      </c>
      <c r="I1377">
        <v>284.80900000000003</v>
      </c>
      <c r="J1377">
        <v>-207.41419999999999</v>
      </c>
      <c r="K1377">
        <v>1.1051979999999999</v>
      </c>
      <c r="L1377">
        <v>284.26650000000001</v>
      </c>
      <c r="M1377">
        <v>-0.95883529999999995</v>
      </c>
      <c r="N1377">
        <v>0</v>
      </c>
      <c r="O1377">
        <v>-0.28359770000000001</v>
      </c>
      <c r="P1377">
        <v>-0.99213600000000002</v>
      </c>
      <c r="Q1377">
        <v>-4.2947289999999999E-2</v>
      </c>
      <c r="R1377">
        <v>-0.1175689</v>
      </c>
      <c r="S1377">
        <v>-3.0286870000000001</v>
      </c>
      <c r="T1377">
        <v>-0.15823289999999901</v>
      </c>
      <c r="U1377">
        <v>7.064819E-2</v>
      </c>
      <c r="V1377">
        <v>0.16829569999999999</v>
      </c>
      <c r="W1377">
        <v>-3.0797729999999999E-2</v>
      </c>
      <c r="X1377">
        <v>0.9852554</v>
      </c>
      <c r="Y1377">
        <v>0.30511660000000002</v>
      </c>
      <c r="Z1377">
        <v>2.2626730000000001E-2</v>
      </c>
      <c r="AA1377">
        <v>0.95204619999999995</v>
      </c>
      <c r="AB1377">
        <v>19</v>
      </c>
      <c r="AC1377">
        <v>-20.950199999999899</v>
      </c>
      <c r="AD1377">
        <v>-1.1051950856620001</v>
      </c>
      <c r="AE1377">
        <v>0.54250000000001797</v>
      </c>
      <c r="AF1377">
        <v>6.4443441384533404</v>
      </c>
      <c r="AG1377">
        <v>-1.1051950856620001</v>
      </c>
      <c r="AH1377">
        <v>19.8807156745772</v>
      </c>
      <c r="AI1377">
        <v>93.027119865088295</v>
      </c>
      <c r="AJ1377">
        <v>72.039871678879294</v>
      </c>
      <c r="AK1377">
        <v>20.928303401985801</v>
      </c>
      <c r="AL1377">
        <v>91.764858888533297</v>
      </c>
      <c r="AM1377">
        <v>80.306615972482405</v>
      </c>
      <c r="AN1377">
        <v>1.00000007302039</v>
      </c>
    </row>
    <row r="1378" spans="1:40" x14ac:dyDescent="0.25">
      <c r="A1378" t="str">
        <f>"20190312161252517"</f>
        <v>20190312161252517</v>
      </c>
      <c r="B1378" t="str">
        <f>"1552378372506853"</f>
        <v>1552378372506853</v>
      </c>
      <c r="C1378" t="s">
        <v>40</v>
      </c>
      <c r="D1378">
        <v>5.6645979999999998</v>
      </c>
      <c r="E1378">
        <v>0.55203069999999999</v>
      </c>
      <c r="F1378" t="s">
        <v>69</v>
      </c>
      <c r="G1378">
        <v>-229.37549999999999</v>
      </c>
      <c r="H1378" s="1">
        <v>3.452369E-6</v>
      </c>
      <c r="I1378">
        <v>284.91590000000002</v>
      </c>
      <c r="J1378">
        <v>-207.69649999999999</v>
      </c>
      <c r="K1378">
        <v>1.1053710000000001</v>
      </c>
      <c r="L1378">
        <v>284.20119999999997</v>
      </c>
      <c r="M1378">
        <v>-0.96271739999999995</v>
      </c>
      <c r="N1378">
        <v>0</v>
      </c>
      <c r="O1378">
        <v>-0.27012819999999998</v>
      </c>
      <c r="P1378">
        <v>-0.99342319999999995</v>
      </c>
      <c r="Q1378">
        <v>-4.4378349999999997E-2</v>
      </c>
      <c r="R1378">
        <v>-0.1055508</v>
      </c>
      <c r="S1378">
        <v>-3.0278019999999999</v>
      </c>
      <c r="T1378">
        <v>-0.15237310000000001</v>
      </c>
      <c r="U1378">
        <v>8.9538569999999998E-2</v>
      </c>
      <c r="V1378">
        <v>0.16638849999999999</v>
      </c>
      <c r="W1378">
        <v>-3.2183049999999998E-2</v>
      </c>
      <c r="X1378">
        <v>0.98553500000000005</v>
      </c>
      <c r="Y1378">
        <v>0.29778510000000002</v>
      </c>
      <c r="Z1378">
        <v>2.0955379999999999E-2</v>
      </c>
      <c r="AA1378">
        <v>0.95440290000000005</v>
      </c>
      <c r="AB1378">
        <v>19</v>
      </c>
      <c r="AC1378">
        <v>-21.678999999999998</v>
      </c>
      <c r="AD1378">
        <v>-1.1053675476310001</v>
      </c>
      <c r="AE1378">
        <v>0.71470000000004996</v>
      </c>
      <c r="AF1378">
        <v>6.5278848321279597</v>
      </c>
      <c r="AG1378">
        <v>-1.1053675476310001</v>
      </c>
      <c r="AH1378">
        <v>20.6262543416493</v>
      </c>
      <c r="AI1378">
        <v>92.924846792357698</v>
      </c>
      <c r="AJ1378">
        <v>72.438240375506197</v>
      </c>
      <c r="AK1378">
        <v>21.662813436008001</v>
      </c>
      <c r="AL1378">
        <v>91.844271288564798</v>
      </c>
      <c r="AM1378">
        <v>80.417085007428298</v>
      </c>
      <c r="AN1378">
        <v>1.00000005893227</v>
      </c>
    </row>
    <row r="1379" spans="1:40" x14ac:dyDescent="0.25">
      <c r="A1379" t="str">
        <f>"20190312161252541"</f>
        <v>20190312161252541</v>
      </c>
      <c r="B1379" t="str">
        <f>"1552378372537099"</f>
        <v>1552378372537099</v>
      </c>
      <c r="C1379" t="s">
        <v>40</v>
      </c>
      <c r="D1379">
        <v>5.7681809999999896</v>
      </c>
      <c r="E1379">
        <v>0.5501627</v>
      </c>
      <c r="F1379" t="s">
        <v>72</v>
      </c>
      <c r="G1379">
        <v>-510.95679999999999</v>
      </c>
      <c r="H1379">
        <v>9.4722419999999996</v>
      </c>
      <c r="I1379">
        <v>293.95330000000001</v>
      </c>
      <c r="J1379">
        <v>-207.88900000000001</v>
      </c>
      <c r="K1379">
        <v>1.1054889999999999</v>
      </c>
      <c r="L1379">
        <v>284.15879999999999</v>
      </c>
      <c r="M1379">
        <v>-0.96519889999999997</v>
      </c>
      <c r="N1379">
        <v>0</v>
      </c>
      <c r="O1379">
        <v>-0.26112469999999999</v>
      </c>
      <c r="P1379">
        <v>-0.99421320000000002</v>
      </c>
      <c r="Q1379">
        <v>-4.504213E-2</v>
      </c>
      <c r="R1379">
        <v>-9.7526230000000005E-2</v>
      </c>
      <c r="S1379">
        <v>-3.0339659999999999</v>
      </c>
      <c r="T1379">
        <v>8.3707089999999998E-2</v>
      </c>
      <c r="U1379">
        <v>9.7564700000000004E-2</v>
      </c>
      <c r="V1379">
        <v>0.1651347</v>
      </c>
      <c r="W1379">
        <v>-3.2816819999999997E-2</v>
      </c>
      <c r="X1379">
        <v>0.98572490000000001</v>
      </c>
      <c r="Y1379">
        <v>0.29183310000000001</v>
      </c>
      <c r="Z1379">
        <v>-1.116994E-2</v>
      </c>
      <c r="AA1379">
        <v>0.95640400000000003</v>
      </c>
      <c r="AB1379">
        <v>19</v>
      </c>
      <c r="AC1379">
        <v>-303.06779999999998</v>
      </c>
      <c r="AD1379">
        <v>8.3667529999999992</v>
      </c>
      <c r="AE1379">
        <v>9.7945000000000206</v>
      </c>
      <c r="AF1379">
        <v>88.533805256235496</v>
      </c>
      <c r="AG1379">
        <v>8.3667529999999992</v>
      </c>
      <c r="AH1379">
        <v>289.77222704797902</v>
      </c>
      <c r="AI1379">
        <v>88.418266623414894</v>
      </c>
      <c r="AJ1379">
        <v>73.010570756037595</v>
      </c>
      <c r="AK1379">
        <v>303.11083912862199</v>
      </c>
      <c r="AL1379">
        <v>91.880602944853095</v>
      </c>
      <c r="AM1379">
        <v>80.489770508505202</v>
      </c>
      <c r="AN1379">
        <v>0.99999999564950603</v>
      </c>
    </row>
    <row r="1380" spans="1:40" x14ac:dyDescent="0.25">
      <c r="A1380" t="str">
        <f>"20190312161252563"</f>
        <v>20190312161252563</v>
      </c>
      <c r="B1380" t="str">
        <f>"1552378372556619"</f>
        <v>1552378372556619</v>
      </c>
      <c r="C1380" t="s">
        <v>40</v>
      </c>
      <c r="D1380">
        <v>5.8277380000000001</v>
      </c>
      <c r="E1380">
        <v>0.53239329999999996</v>
      </c>
      <c r="F1380" t="s">
        <v>54</v>
      </c>
      <c r="G1380">
        <v>-476.38560000000001</v>
      </c>
      <c r="H1380">
        <v>7.8917649999999897</v>
      </c>
      <c r="I1380">
        <v>293.65969999999999</v>
      </c>
      <c r="J1380">
        <v>-208.08760000000001</v>
      </c>
      <c r="K1380">
        <v>1.1055980000000001</v>
      </c>
      <c r="L1380">
        <v>284.11680000000001</v>
      </c>
      <c r="M1380">
        <v>-0.96762349999999997</v>
      </c>
      <c r="N1380">
        <v>0</v>
      </c>
      <c r="O1380">
        <v>-0.25199389999999999</v>
      </c>
      <c r="P1380">
        <v>-0.99498039999999999</v>
      </c>
      <c r="Q1380">
        <v>-4.5416739999999997E-2</v>
      </c>
      <c r="R1380">
        <v>-8.9170050000000001E-2</v>
      </c>
      <c r="S1380">
        <v>-3.0314480000000001</v>
      </c>
      <c r="T1380">
        <v>7.6620099999999997E-2</v>
      </c>
      <c r="U1380">
        <v>0.1072693</v>
      </c>
      <c r="V1380">
        <v>0.16410359999999999</v>
      </c>
      <c r="W1380">
        <v>-3.3166330000000001E-2</v>
      </c>
      <c r="X1380">
        <v>0.98588540000000002</v>
      </c>
      <c r="Y1380">
        <v>0.28591319999999998</v>
      </c>
      <c r="Z1380">
        <v>-9.9332199999999995E-3</v>
      </c>
      <c r="AA1380">
        <v>0.95820399999999994</v>
      </c>
      <c r="AB1380">
        <v>19</v>
      </c>
      <c r="AC1380">
        <v>-268.298</v>
      </c>
      <c r="AD1380">
        <v>6.7861669999999998</v>
      </c>
      <c r="AE1380">
        <v>9.5428999999999693</v>
      </c>
      <c r="AF1380">
        <v>76.802154086464895</v>
      </c>
      <c r="AG1380">
        <v>6.7861669999999998</v>
      </c>
      <c r="AH1380">
        <v>257.06866192981198</v>
      </c>
      <c r="AI1380">
        <v>88.551094659713101</v>
      </c>
      <c r="AJ1380">
        <v>73.365892900105493</v>
      </c>
      <c r="AK1380">
        <v>268.38204090672099</v>
      </c>
      <c r="AL1380">
        <v>91.900639273884096</v>
      </c>
      <c r="AM1380">
        <v>80.549588542136107</v>
      </c>
      <c r="AN1380">
        <v>1.0000000094558901</v>
      </c>
    </row>
    <row r="1381" spans="1:40" x14ac:dyDescent="0.25">
      <c r="A1381" t="str">
        <f>"20190312161252585"</f>
        <v>20190312161252585</v>
      </c>
      <c r="B1381" t="str">
        <f>"1552378372577115"</f>
        <v>1552378372577115</v>
      </c>
      <c r="C1381" t="s">
        <v>40</v>
      </c>
      <c r="D1381">
        <v>5.8608510000000003</v>
      </c>
      <c r="E1381">
        <v>0.53166800000000003</v>
      </c>
      <c r="F1381" t="s">
        <v>69</v>
      </c>
      <c r="G1381">
        <v>-240.8409</v>
      </c>
      <c r="H1381" s="1">
        <v>-1.0893239999999999E-6</v>
      </c>
      <c r="I1381">
        <v>284.00920000000002</v>
      </c>
      <c r="J1381">
        <v>-208.27760000000001</v>
      </c>
      <c r="K1381">
        <v>1.1057090000000001</v>
      </c>
      <c r="L1381">
        <v>284.07819999999998</v>
      </c>
      <c r="M1381">
        <v>-0.96981280000000003</v>
      </c>
      <c r="N1381">
        <v>0</v>
      </c>
      <c r="O1381">
        <v>-0.24343429999999999</v>
      </c>
      <c r="P1381">
        <v>-0.99559039999999999</v>
      </c>
      <c r="Q1381">
        <v>-4.5191000000000002E-2</v>
      </c>
      <c r="R1381">
        <v>-8.2206280000000007E-2</v>
      </c>
      <c r="S1381">
        <v>-3.0096280000000002</v>
      </c>
      <c r="T1381">
        <v>-0.1015911</v>
      </c>
      <c r="U1381">
        <v>-9.8876950000000002E-3</v>
      </c>
      <c r="V1381">
        <v>0.1623047</v>
      </c>
      <c r="W1381">
        <v>-3.2904919999999997E-2</v>
      </c>
      <c r="X1381">
        <v>0.98619190000000001</v>
      </c>
      <c r="Y1381">
        <v>0.23999809999999999</v>
      </c>
      <c r="Z1381">
        <v>1.220155E-2</v>
      </c>
      <c r="AA1381">
        <v>0.97069669999999997</v>
      </c>
      <c r="AB1381">
        <v>19</v>
      </c>
      <c r="AC1381">
        <v>-32.563299999999998</v>
      </c>
      <c r="AD1381">
        <v>-1.1057100893239999</v>
      </c>
      <c r="AE1381">
        <v>-6.8999999999959899E-2</v>
      </c>
      <c r="AF1381">
        <v>7.8518514177804803</v>
      </c>
      <c r="AG1381">
        <v>-1.1057100893239999</v>
      </c>
      <c r="AH1381">
        <v>31.563914998136401</v>
      </c>
      <c r="AI1381">
        <v>91.947008076937394</v>
      </c>
      <c r="AJ1381">
        <v>76.0306231805328</v>
      </c>
      <c r="AK1381">
        <v>32.544660015094898</v>
      </c>
      <c r="AL1381">
        <v>91.885653410144499</v>
      </c>
      <c r="AM1381">
        <v>80.654199211146505</v>
      </c>
      <c r="AN1381">
        <v>1.00000000651395</v>
      </c>
    </row>
    <row r="1382" spans="1:40" x14ac:dyDescent="0.25">
      <c r="A1382" t="str">
        <f>"20190312161252607"</f>
        <v>20190312161252607</v>
      </c>
      <c r="B1382" t="str">
        <f>"1552378372597611"</f>
        <v>1552378372597611</v>
      </c>
      <c r="C1382" t="s">
        <v>40</v>
      </c>
      <c r="D1382">
        <v>5.760453</v>
      </c>
      <c r="E1382">
        <v>0.53152109999999997</v>
      </c>
      <c r="F1382" t="s">
        <v>69</v>
      </c>
      <c r="G1382">
        <v>-236.28309999999999</v>
      </c>
      <c r="H1382" s="1">
        <v>1.828111E-6</v>
      </c>
      <c r="I1382">
        <v>284.12790000000001</v>
      </c>
      <c r="J1382">
        <v>-208.46170000000001</v>
      </c>
      <c r="K1382">
        <v>1.1058269999999999</v>
      </c>
      <c r="L1382">
        <v>284.04230000000001</v>
      </c>
      <c r="M1382">
        <v>-0.97180829999999996</v>
      </c>
      <c r="N1382">
        <v>0</v>
      </c>
      <c r="O1382">
        <v>-0.23534369999999999</v>
      </c>
      <c r="P1382">
        <v>-0.9961101</v>
      </c>
      <c r="Q1382">
        <v>-4.526082E-2</v>
      </c>
      <c r="R1382">
        <v>-7.5606960000000001E-2</v>
      </c>
      <c r="S1382">
        <v>-3.0083310000000001</v>
      </c>
      <c r="T1382">
        <v>-0.11877450000000001</v>
      </c>
      <c r="U1382">
        <v>5.3405759999999997E-3</v>
      </c>
      <c r="V1382">
        <v>0.16062969999999999</v>
      </c>
      <c r="W1382">
        <v>-3.2939129999999997E-2</v>
      </c>
      <c r="X1382">
        <v>0.98646500000000004</v>
      </c>
      <c r="Y1382">
        <v>0.2367273</v>
      </c>
      <c r="Z1382">
        <v>1.38947999999999E-2</v>
      </c>
      <c r="AA1382">
        <v>0.97147680000000003</v>
      </c>
      <c r="AB1382">
        <v>19</v>
      </c>
      <c r="AC1382">
        <v>-27.821399999999901</v>
      </c>
      <c r="AD1382">
        <v>-1.105825171889</v>
      </c>
      <c r="AE1382">
        <v>8.5599999999999399E-2</v>
      </c>
      <c r="AF1382">
        <v>6.6209876719307399</v>
      </c>
      <c r="AG1382">
        <v>-1.105825171889</v>
      </c>
      <c r="AH1382">
        <v>26.9770315722708</v>
      </c>
      <c r="AI1382">
        <v>92.279735011287499</v>
      </c>
      <c r="AJ1382">
        <v>76.210429872295407</v>
      </c>
      <c r="AK1382">
        <v>27.799650348771301</v>
      </c>
      <c r="AL1382">
        <v>91.887614495749304</v>
      </c>
      <c r="AM1382">
        <v>80.751489622867595</v>
      </c>
      <c r="AN1382">
        <v>1.0000000415161201</v>
      </c>
    </row>
    <row r="1383" spans="1:40" x14ac:dyDescent="0.25">
      <c r="A1383" t="str">
        <f>"20190312161252629"</f>
        <v>20190312161252629</v>
      </c>
      <c r="B1383" t="str">
        <f>"1552378372617131"</f>
        <v>1552378372617131</v>
      </c>
      <c r="C1383" t="s">
        <v>40</v>
      </c>
      <c r="D1383">
        <v>5.742985</v>
      </c>
      <c r="E1383">
        <v>0.53240980000000004</v>
      </c>
      <c r="F1383" t="s">
        <v>69</v>
      </c>
      <c r="G1383">
        <v>-247.89949999999999</v>
      </c>
      <c r="H1383" s="1">
        <v>2.6669190000000001E-6</v>
      </c>
      <c r="I1383">
        <v>284.35939999999999</v>
      </c>
      <c r="J1383">
        <v>-208.6551</v>
      </c>
      <c r="K1383">
        <v>1.105969</v>
      </c>
      <c r="L1383">
        <v>284.00599999999997</v>
      </c>
      <c r="M1383">
        <v>-0.97377709999999995</v>
      </c>
      <c r="N1383">
        <v>0</v>
      </c>
      <c r="O1383">
        <v>-0.22706209999999999</v>
      </c>
      <c r="P1383">
        <v>-0.99661160000000004</v>
      </c>
      <c r="Q1383">
        <v>-4.5465789999999999E-2</v>
      </c>
      <c r="R1383">
        <v>-6.8544949999999993E-2</v>
      </c>
      <c r="S1383">
        <v>-3.0097049999999999</v>
      </c>
      <c r="T1383">
        <v>-8.4391240000000006E-2</v>
      </c>
      <c r="U1383">
        <v>2.420044E-2</v>
      </c>
      <c r="V1383">
        <v>0.15923119999999999</v>
      </c>
      <c r="W1383">
        <v>-3.3107310000000001E-2</v>
      </c>
      <c r="X1383">
        <v>0.98668610000000001</v>
      </c>
      <c r="Y1383">
        <v>0.23472760000000001</v>
      </c>
      <c r="Z1383">
        <v>9.6155029999999992E-3</v>
      </c>
      <c r="AA1383">
        <v>0.97201369999999998</v>
      </c>
      <c r="AB1383">
        <v>19</v>
      </c>
      <c r="AC1383">
        <v>-39.244399999999899</v>
      </c>
      <c r="AD1383">
        <v>-1.1059663330809999</v>
      </c>
      <c r="AE1383">
        <v>0.35340000000002098</v>
      </c>
      <c r="AF1383">
        <v>9.2486341572944308</v>
      </c>
      <c r="AG1383">
        <v>-1.1059663330809999</v>
      </c>
      <c r="AH1383">
        <v>38.108623394985202</v>
      </c>
      <c r="AI1383">
        <v>91.6154699446585</v>
      </c>
      <c r="AJ1383">
        <v>76.358550103696402</v>
      </c>
      <c r="AK1383">
        <v>39.230441908882398</v>
      </c>
      <c r="AL1383">
        <v>91.897255714464194</v>
      </c>
      <c r="AM1383">
        <v>80.832656643044004</v>
      </c>
      <c r="AN1383">
        <v>1.0000000644810401</v>
      </c>
    </row>
    <row r="1384" spans="1:40" x14ac:dyDescent="0.25">
      <c r="A1384" t="str">
        <f>"20190312161252652"</f>
        <v>20190312161252652</v>
      </c>
      <c r="B1384" t="str">
        <f>"1552378372647387"</f>
        <v>1552378372647387</v>
      </c>
      <c r="C1384" t="s">
        <v>40</v>
      </c>
      <c r="D1384">
        <v>5.92021</v>
      </c>
      <c r="E1384">
        <v>0.53476040000000002</v>
      </c>
      <c r="F1384" t="s">
        <v>69</v>
      </c>
      <c r="G1384">
        <v>-261.81650000000002</v>
      </c>
      <c r="H1384" s="1">
        <v>-5.7012669999999897E-7</v>
      </c>
      <c r="I1384">
        <v>284.93920000000003</v>
      </c>
      <c r="J1384">
        <v>-208.83920000000001</v>
      </c>
      <c r="K1384">
        <v>1.10612</v>
      </c>
      <c r="L1384">
        <v>283.97280000000001</v>
      </c>
      <c r="M1384">
        <v>-0.97553299999999998</v>
      </c>
      <c r="N1384">
        <v>0</v>
      </c>
      <c r="O1384">
        <v>-0.2193977</v>
      </c>
      <c r="P1384">
        <v>-0.99705279999999996</v>
      </c>
      <c r="Q1384">
        <v>-4.5121599999999998E-2</v>
      </c>
      <c r="R1384">
        <v>-6.2046299999999999E-2</v>
      </c>
      <c r="S1384">
        <v>-3.011002</v>
      </c>
      <c r="T1384">
        <v>-6.2640909999999994E-2</v>
      </c>
      <c r="U1384">
        <v>5.2856449999999999E-2</v>
      </c>
      <c r="V1384">
        <v>0.157923799999999</v>
      </c>
      <c r="W1384">
        <v>-3.2725219999999999E-2</v>
      </c>
      <c r="X1384">
        <v>0.98690889999999998</v>
      </c>
      <c r="Y1384">
        <v>0.23641180000000001</v>
      </c>
      <c r="Z1384">
        <v>6.9967129999999999E-3</v>
      </c>
      <c r="AA1384">
        <v>0.97162780000000004</v>
      </c>
      <c r="AB1384">
        <v>19</v>
      </c>
      <c r="AC1384">
        <v>-52.9773</v>
      </c>
      <c r="AD1384">
        <v>-1.1061205701267001</v>
      </c>
      <c r="AE1384">
        <v>0.96640000000002102</v>
      </c>
      <c r="AF1384">
        <v>12.561635452627</v>
      </c>
      <c r="AG1384">
        <v>-1.1061205701267001</v>
      </c>
      <c r="AH1384">
        <v>51.451804168841697</v>
      </c>
      <c r="AI1384">
        <v>91.196435043696496</v>
      </c>
      <c r="AJ1384">
        <v>76.279990942070398</v>
      </c>
      <c r="AK1384">
        <v>52.974582019957403</v>
      </c>
      <c r="AL1384">
        <v>91.875351781984705</v>
      </c>
      <c r="AM1384">
        <v>80.908682878157506</v>
      </c>
      <c r="AN1384">
        <v>1.0000000217648399</v>
      </c>
    </row>
    <row r="1385" spans="1:40" x14ac:dyDescent="0.25">
      <c r="A1385" t="str">
        <f>"20190312161252672"</f>
        <v>20190312161252672</v>
      </c>
      <c r="B1385" t="str">
        <f>"1552378372666908"</f>
        <v>1552378372666908</v>
      </c>
      <c r="C1385" t="s">
        <v>40</v>
      </c>
      <c r="D1385">
        <v>5.7456559999999897</v>
      </c>
      <c r="E1385">
        <v>0.53551569999999904</v>
      </c>
      <c r="F1385" t="s">
        <v>69</v>
      </c>
      <c r="G1385">
        <v>-247.10659999999999</v>
      </c>
      <c r="H1385" s="1">
        <v>2.2449790000000002E-6</v>
      </c>
      <c r="I1385">
        <v>285.12759999999997</v>
      </c>
      <c r="J1385">
        <v>-209.024</v>
      </c>
      <c r="K1385">
        <v>1.1062620000000001</v>
      </c>
      <c r="L1385">
        <v>283.94069999999999</v>
      </c>
      <c r="M1385">
        <v>-0.9771938</v>
      </c>
      <c r="N1385">
        <v>0</v>
      </c>
      <c r="O1385">
        <v>-0.21188029999999999</v>
      </c>
      <c r="P1385">
        <v>-0.997417</v>
      </c>
      <c r="Q1385">
        <v>-4.5347419999999999E-2</v>
      </c>
      <c r="R1385">
        <v>-5.5704190000000001E-2</v>
      </c>
      <c r="S1385">
        <v>-3.0105900000000001</v>
      </c>
      <c r="T1385">
        <v>-8.7021109999999999E-2</v>
      </c>
      <c r="U1385">
        <v>9.0850829999999994E-2</v>
      </c>
      <c r="V1385">
        <v>0.15660869999999999</v>
      </c>
      <c r="W1385">
        <v>-3.2917160000000001E-2</v>
      </c>
      <c r="X1385">
        <v>0.98711199999999999</v>
      </c>
      <c r="Y1385">
        <v>0.241095</v>
      </c>
      <c r="Z1385">
        <v>9.5749800000000003E-3</v>
      </c>
      <c r="AA1385">
        <v>0.97045429999999999</v>
      </c>
      <c r="AB1385">
        <v>19</v>
      </c>
      <c r="AC1385">
        <v>-38.0825999999999</v>
      </c>
      <c r="AD1385">
        <v>-1.106259755021</v>
      </c>
      <c r="AE1385">
        <v>1.1868999999999801</v>
      </c>
      <c r="AF1385">
        <v>9.2219282104894997</v>
      </c>
      <c r="AG1385">
        <v>-1.106259755021</v>
      </c>
      <c r="AH1385">
        <v>36.935141326187903</v>
      </c>
      <c r="AI1385">
        <v>91.664508802047607</v>
      </c>
      <c r="AJ1385">
        <v>75.981069278778193</v>
      </c>
      <c r="AK1385">
        <v>38.085068404172198</v>
      </c>
      <c r="AL1385">
        <v>91.886355173759199</v>
      </c>
      <c r="AM1385">
        <v>80.984966069990605</v>
      </c>
      <c r="AN1385">
        <v>0.99999996244107703</v>
      </c>
    </row>
    <row r="1386" spans="1:40" x14ac:dyDescent="0.25">
      <c r="A1386" t="str">
        <f>"20190312161252696"</f>
        <v>20190312161252696</v>
      </c>
      <c r="B1386" t="str">
        <f>"1552378372687404"</f>
        <v>1552378372687404</v>
      </c>
      <c r="C1386" t="s">
        <v>40</v>
      </c>
      <c r="D1386">
        <v>5.7653049999999997</v>
      </c>
      <c r="E1386">
        <v>0.53486679999999998</v>
      </c>
      <c r="F1386" t="s">
        <v>69</v>
      </c>
      <c r="G1386">
        <v>-244.74289999999999</v>
      </c>
      <c r="H1386" s="1">
        <v>9.8716039999999998E-7</v>
      </c>
      <c r="I1386">
        <v>285.31720000000001</v>
      </c>
      <c r="J1386">
        <v>-209.22499999999999</v>
      </c>
      <c r="K1386">
        <v>1.1063940000000001</v>
      </c>
      <c r="L1386">
        <v>283.90730000000002</v>
      </c>
      <c r="M1386">
        <v>-0.97888589999999998</v>
      </c>
      <c r="N1386">
        <v>0</v>
      </c>
      <c r="O1386">
        <v>-0.20392299999999999</v>
      </c>
      <c r="P1386">
        <v>-0.99777499999999997</v>
      </c>
      <c r="Q1386">
        <v>-4.554478E-2</v>
      </c>
      <c r="R1386">
        <v>-4.8690980000000002E-2</v>
      </c>
      <c r="S1386">
        <v>-3.0100250000000002</v>
      </c>
      <c r="T1386">
        <v>-9.3224409999999994E-2</v>
      </c>
      <c r="U1386">
        <v>0.1159973</v>
      </c>
      <c r="V1386">
        <v>0.1555243</v>
      </c>
      <c r="W1386">
        <v>-3.3086110000000002E-2</v>
      </c>
      <c r="X1386">
        <v>0.98727779999999998</v>
      </c>
      <c r="Y1386">
        <v>0.2412784</v>
      </c>
      <c r="Z1386">
        <v>1.001929E-2</v>
      </c>
      <c r="AA1386">
        <v>0.97040420000000005</v>
      </c>
      <c r="AB1386">
        <v>19</v>
      </c>
      <c r="AC1386">
        <v>-35.517899999999997</v>
      </c>
      <c r="AD1386">
        <v>-1.1063930128396</v>
      </c>
      <c r="AE1386">
        <v>1.4098999999999899</v>
      </c>
      <c r="AF1386">
        <v>8.6155540479089705</v>
      </c>
      <c r="AG1386">
        <v>-1.1063930128396</v>
      </c>
      <c r="AH1386">
        <v>34.450495048286001</v>
      </c>
      <c r="AI1386">
        <v>91.784526346908805</v>
      </c>
      <c r="AJ1386">
        <v>75.959169840683998</v>
      </c>
      <c r="AK1386">
        <v>35.528699471318703</v>
      </c>
      <c r="AL1386">
        <v>91.896040545134596</v>
      </c>
      <c r="AM1386">
        <v>81.047853095935395</v>
      </c>
      <c r="AN1386">
        <v>0.99999997646912997</v>
      </c>
    </row>
    <row r="1387" spans="1:40" x14ac:dyDescent="0.25">
      <c r="A1387" t="str">
        <f>"20190312161252719"</f>
        <v>20190312161252719</v>
      </c>
      <c r="B1387" t="str">
        <f>"1552378372706924"</f>
        <v>1552378372706924</v>
      </c>
      <c r="C1387" t="s">
        <v>40</v>
      </c>
      <c r="D1387">
        <v>5.7855819999999998</v>
      </c>
      <c r="E1387">
        <v>0.5344641</v>
      </c>
      <c r="F1387" t="s">
        <v>69</v>
      </c>
      <c r="G1387">
        <v>-238.77789999999999</v>
      </c>
      <c r="H1387" s="1">
        <v>3.1087209999999999E-6</v>
      </c>
      <c r="I1387">
        <v>285.20319999999998</v>
      </c>
      <c r="J1387">
        <v>-209.41630000000001</v>
      </c>
      <c r="K1387">
        <v>1.1065100000000001</v>
      </c>
      <c r="L1387">
        <v>283.87670000000003</v>
      </c>
      <c r="M1387">
        <v>-0.98038879999999995</v>
      </c>
      <c r="N1387">
        <v>0</v>
      </c>
      <c r="O1387">
        <v>-0.19657269999999999</v>
      </c>
      <c r="P1387">
        <v>-0.9980445</v>
      </c>
      <c r="Q1387">
        <v>-4.5860600000000001E-2</v>
      </c>
      <c r="R1387">
        <v>-4.247538E-2</v>
      </c>
      <c r="S1387">
        <v>-3.0079799999999999</v>
      </c>
      <c r="T1387">
        <v>-0.1126117</v>
      </c>
      <c r="U1387">
        <v>0.13189699999999999</v>
      </c>
      <c r="V1387">
        <v>0.1542704</v>
      </c>
      <c r="W1387">
        <v>-3.3375420000000003E-2</v>
      </c>
      <c r="X1387">
        <v>0.98746480000000003</v>
      </c>
      <c r="Y1387">
        <v>0.2390515</v>
      </c>
      <c r="Z1387">
        <v>1.1796569999999999E-2</v>
      </c>
      <c r="AA1387">
        <v>0.9709352</v>
      </c>
      <c r="AB1387">
        <v>19</v>
      </c>
      <c r="AC1387">
        <v>-29.3615999999999</v>
      </c>
      <c r="AD1387">
        <v>-1.1065068912789999</v>
      </c>
      <c r="AE1387">
        <v>1.3264999999999501</v>
      </c>
      <c r="AF1387">
        <v>7.0628611254887401</v>
      </c>
      <c r="AG1387">
        <v>-1.1065068912789999</v>
      </c>
      <c r="AH1387">
        <v>28.487464446218301</v>
      </c>
      <c r="AI1387">
        <v>92.159055170651598</v>
      </c>
      <c r="AJ1387">
        <v>76.075504533953904</v>
      </c>
      <c r="AK1387">
        <v>29.370801748555301</v>
      </c>
      <c r="AL1387">
        <v>91.912625896610194</v>
      </c>
      <c r="AM1387">
        <v>81.120528883436606</v>
      </c>
      <c r="AN1387">
        <v>1.0000000031076799</v>
      </c>
    </row>
    <row r="1388" spans="1:40" x14ac:dyDescent="0.25">
      <c r="A1388" t="str">
        <f>"20190312161252741"</f>
        <v>20190312161252741</v>
      </c>
      <c r="B1388" t="str">
        <f>"1552378372737180"</f>
        <v>1552378372737180</v>
      </c>
      <c r="C1388" t="s">
        <v>40</v>
      </c>
      <c r="D1388">
        <v>5.9783819999999999</v>
      </c>
      <c r="E1388">
        <v>0.53287119999999999</v>
      </c>
      <c r="F1388" t="s">
        <v>69</v>
      </c>
      <c r="G1388">
        <v>-235.88229999999999</v>
      </c>
      <c r="H1388" s="1">
        <v>1.5691139999999999E-6</v>
      </c>
      <c r="I1388">
        <v>285.17349999999999</v>
      </c>
      <c r="J1388">
        <v>-209.60550000000001</v>
      </c>
      <c r="K1388">
        <v>1.106641</v>
      </c>
      <c r="L1388">
        <v>283.8476</v>
      </c>
      <c r="M1388">
        <v>-0.98177449999999999</v>
      </c>
      <c r="N1388">
        <v>0</v>
      </c>
      <c r="O1388">
        <v>-0.18953310000000001</v>
      </c>
      <c r="P1388">
        <v>-0.9982858</v>
      </c>
      <c r="Q1388">
        <v>-4.5837830000000003E-2</v>
      </c>
      <c r="R1388">
        <v>-3.6395129999999998E-2</v>
      </c>
      <c r="S1388">
        <v>-3.0063780000000002</v>
      </c>
      <c r="T1388">
        <v>-0.12569269999999999</v>
      </c>
      <c r="U1388">
        <v>0.147308299999999</v>
      </c>
      <c r="V1388">
        <v>0.15321089999999901</v>
      </c>
      <c r="W1388">
        <v>-3.3328660000000003E-2</v>
      </c>
      <c r="X1388">
        <v>0.98763129999999999</v>
      </c>
      <c r="Y1388">
        <v>0.2370061</v>
      </c>
      <c r="Z1388">
        <v>1.283901E-2</v>
      </c>
      <c r="AA1388">
        <v>0.97142329999999999</v>
      </c>
      <c r="AB1388">
        <v>19</v>
      </c>
      <c r="AC1388">
        <v>-26.276799999999898</v>
      </c>
      <c r="AD1388">
        <v>-1.1066394308859999</v>
      </c>
      <c r="AE1388">
        <v>1.3258999999999901</v>
      </c>
      <c r="AF1388">
        <v>6.2715786938087303</v>
      </c>
      <c r="AG1388">
        <v>-1.1066394308859999</v>
      </c>
      <c r="AH1388">
        <v>25.5039744457038</v>
      </c>
      <c r="AI1388">
        <v>92.412764593806997</v>
      </c>
      <c r="AJ1388">
        <v>76.184742545490096</v>
      </c>
      <c r="AK1388">
        <v>26.287070256491901</v>
      </c>
      <c r="AL1388">
        <v>91.909945294778197</v>
      </c>
      <c r="AM1388">
        <v>81.182012919694401</v>
      </c>
      <c r="AN1388">
        <v>0.99999998209794705</v>
      </c>
    </row>
    <row r="1389" spans="1:40" x14ac:dyDescent="0.25">
      <c r="A1389" t="str">
        <f>"20190312161252764"</f>
        <v>20190312161252764</v>
      </c>
      <c r="B1389" t="str">
        <f>"1552378372756699"</f>
        <v>1552378372756699</v>
      </c>
      <c r="C1389" t="s">
        <v>40</v>
      </c>
      <c r="D1389">
        <v>5.9589910000000001</v>
      </c>
      <c r="E1389">
        <v>0.49812499999999998</v>
      </c>
      <c r="F1389" t="s">
        <v>69</v>
      </c>
      <c r="G1389">
        <v>-235.92740000000001</v>
      </c>
      <c r="H1389" s="1">
        <v>1.592501E-6</v>
      </c>
      <c r="I1389">
        <v>285.18799999999999</v>
      </c>
      <c r="J1389">
        <v>-209.80109999999999</v>
      </c>
      <c r="K1389">
        <v>1.106786</v>
      </c>
      <c r="L1389">
        <v>283.81869999999998</v>
      </c>
      <c r="M1389">
        <v>-0.98310830000000005</v>
      </c>
      <c r="N1389">
        <v>0</v>
      </c>
      <c r="O1389">
        <v>-0.1824914</v>
      </c>
      <c r="P1389">
        <v>-0.9984961</v>
      </c>
      <c r="Q1389">
        <v>-4.5680289999999998E-2</v>
      </c>
      <c r="R1389">
        <v>-3.0315990000000001E-2</v>
      </c>
      <c r="S1389">
        <v>-3.0049290000000002</v>
      </c>
      <c r="T1389">
        <v>-0.1263348</v>
      </c>
      <c r="U1389">
        <v>0.15301509999999999</v>
      </c>
      <c r="V1389">
        <v>0.15215960000000001</v>
      </c>
      <c r="W1389">
        <v>-3.3143560000000002E-2</v>
      </c>
      <c r="X1389">
        <v>0.98780009999999996</v>
      </c>
      <c r="Y1389">
        <v>0.2319098</v>
      </c>
      <c r="Z1389">
        <v>1.251098E-2</v>
      </c>
      <c r="AA1389">
        <v>0.97265679999999999</v>
      </c>
      <c r="AB1389">
        <v>19</v>
      </c>
      <c r="AC1389">
        <v>-26.126300000000001</v>
      </c>
      <c r="AD1389">
        <v>-1.1067844074990001</v>
      </c>
      <c r="AE1389">
        <v>1.3693</v>
      </c>
      <c r="AF1389">
        <v>6.10366763573598</v>
      </c>
      <c r="AG1389">
        <v>-1.1067844074990001</v>
      </c>
      <c r="AH1389">
        <v>25.392132510671701</v>
      </c>
      <c r="AI1389">
        <v>92.426771254470793</v>
      </c>
      <c r="AJ1389">
        <v>76.483880651223501</v>
      </c>
      <c r="AK1389">
        <v>26.138862327418298</v>
      </c>
      <c r="AL1389">
        <v>91.899333876164206</v>
      </c>
      <c r="AM1389">
        <v>81.243052163971697</v>
      </c>
      <c r="AN1389">
        <v>1.0000000385008201</v>
      </c>
    </row>
    <row r="1390" spans="1:40" x14ac:dyDescent="0.25">
      <c r="A1390" t="str">
        <f>"20190312161252786"</f>
        <v>20190312161252786</v>
      </c>
      <c r="B1390" t="str">
        <f>"1552378372777196"</f>
        <v>1552378372777196</v>
      </c>
      <c r="C1390" t="s">
        <v>40</v>
      </c>
      <c r="D1390">
        <v>5.9099190000000004</v>
      </c>
      <c r="E1390">
        <v>0.49625469999999999</v>
      </c>
      <c r="F1390" t="s">
        <v>43</v>
      </c>
      <c r="G1390">
        <v>-210.5462</v>
      </c>
      <c r="H1390">
        <v>0.98114159999999995</v>
      </c>
      <c r="I1390">
        <v>283.79160000000002</v>
      </c>
      <c r="J1390">
        <v>-209.9948</v>
      </c>
      <c r="K1390">
        <v>1.10694</v>
      </c>
      <c r="L1390">
        <v>283.7912</v>
      </c>
      <c r="M1390">
        <v>-0.98433550000000003</v>
      </c>
      <c r="N1390">
        <v>0</v>
      </c>
      <c r="O1390">
        <v>-0.17575389999999999</v>
      </c>
      <c r="P1390">
        <v>-0.99864770000000003</v>
      </c>
      <c r="Q1390">
        <v>-4.5540190000000001E-2</v>
      </c>
      <c r="R1390">
        <v>-2.508341E-2</v>
      </c>
      <c r="S1390">
        <v>-2.9782410000000001</v>
      </c>
      <c r="T1390">
        <v>-0.50165409999999999</v>
      </c>
      <c r="U1390">
        <v>-0.1094055</v>
      </c>
      <c r="V1390">
        <v>0.15058540000000001</v>
      </c>
      <c r="W1390">
        <v>-3.2965700000000001E-2</v>
      </c>
      <c r="X1390">
        <v>0.98804720000000001</v>
      </c>
      <c r="Y1390">
        <v>0.13516619999999999</v>
      </c>
      <c r="Z1390">
        <v>4.0550780000000002E-2</v>
      </c>
      <c r="AA1390">
        <v>0.98999280000000001</v>
      </c>
      <c r="AB1390">
        <v>19</v>
      </c>
      <c r="AC1390">
        <v>-0.551400000000001</v>
      </c>
      <c r="AD1390">
        <v>-0.1257984</v>
      </c>
      <c r="AE1390">
        <v>4.0000000001327803E-4</v>
      </c>
      <c r="AF1390">
        <v>9.2499340279004402E-2</v>
      </c>
      <c r="AG1390">
        <v>-0.1257984</v>
      </c>
      <c r="AH1390">
        <v>0.51589302445820395</v>
      </c>
      <c r="AI1390">
        <v>103.496726372789</v>
      </c>
      <c r="AJ1390">
        <v>79.834909394675904</v>
      </c>
      <c r="AK1390">
        <v>0.53900554549952795</v>
      </c>
      <c r="AL1390">
        <v>91.889137779031799</v>
      </c>
      <c r="AM1390">
        <v>81.334400898796801</v>
      </c>
      <c r="AN1390">
        <v>0.99999998474874396</v>
      </c>
    </row>
    <row r="1391" spans="1:40" x14ac:dyDescent="0.25">
      <c r="A1391" t="str">
        <f>"20190312161252808"</f>
        <v>20190312161252808</v>
      </c>
      <c r="B1391" t="str">
        <f>"1552378372796719"</f>
        <v>1552378372796719</v>
      </c>
      <c r="C1391" t="s">
        <v>40</v>
      </c>
      <c r="D1391">
        <v>6.1267120000000004</v>
      </c>
      <c r="E1391">
        <v>0.49580629999999998</v>
      </c>
      <c r="F1391" t="s">
        <v>43</v>
      </c>
      <c r="G1391">
        <v>-210.70949999999999</v>
      </c>
      <c r="H1391">
        <v>0.97012569999999998</v>
      </c>
      <c r="I1391">
        <v>283.76499999999999</v>
      </c>
      <c r="J1391">
        <v>-210.17509999999999</v>
      </c>
      <c r="K1391">
        <v>1.107097</v>
      </c>
      <c r="L1391">
        <v>283.76650000000001</v>
      </c>
      <c r="M1391">
        <v>-0.98539560000000004</v>
      </c>
      <c r="N1391">
        <v>0</v>
      </c>
      <c r="O1391">
        <v>-0.16971259999999999</v>
      </c>
      <c r="P1391">
        <v>-0.9987568</v>
      </c>
      <c r="Q1391">
        <v>-4.5382829999999999E-2</v>
      </c>
      <c r="R1391">
        <v>-2.0620610000000001E-2</v>
      </c>
      <c r="S1391">
        <v>-2.9753419999999999</v>
      </c>
      <c r="T1391">
        <v>-0.5695751</v>
      </c>
      <c r="U1391">
        <v>-0.1088257</v>
      </c>
      <c r="V1391">
        <v>0.1489549</v>
      </c>
      <c r="W1391">
        <v>-3.2768329999999998E-2</v>
      </c>
      <c r="X1391">
        <v>0.98830090000000004</v>
      </c>
      <c r="Y1391">
        <v>0.12822249999999999</v>
      </c>
      <c r="Z1391">
        <v>4.4203899999999997E-2</v>
      </c>
      <c r="AA1391">
        <v>0.99075979999999997</v>
      </c>
      <c r="AB1391">
        <v>19</v>
      </c>
      <c r="AC1391">
        <v>-0.53440000000000498</v>
      </c>
      <c r="AD1391">
        <v>-0.13697129999999999</v>
      </c>
      <c r="AE1391">
        <v>-1.5000000000213701E-3</v>
      </c>
      <c r="AF1391">
        <v>8.3724759163035095E-2</v>
      </c>
      <c r="AG1391">
        <v>-0.13697129999999999</v>
      </c>
      <c r="AH1391">
        <v>0.49442061121575998</v>
      </c>
      <c r="AI1391">
        <v>105.277410348503</v>
      </c>
      <c r="AJ1391">
        <v>80.388759857612698</v>
      </c>
      <c r="AK1391">
        <v>0.51982950389100102</v>
      </c>
      <c r="AL1391">
        <v>91.877823174349899</v>
      </c>
      <c r="AM1391">
        <v>81.4289961589554</v>
      </c>
      <c r="AN1391">
        <v>0.99999999731290401</v>
      </c>
    </row>
    <row r="1392" spans="1:40" x14ac:dyDescent="0.25">
      <c r="A1392" t="str">
        <f>"20190312161252830"</f>
        <v>20190312161252830</v>
      </c>
      <c r="B1392" t="str">
        <f>"1552378372826971"</f>
        <v>1552378372826971</v>
      </c>
      <c r="C1392" t="s">
        <v>40</v>
      </c>
      <c r="D1392">
        <v>5.8871659999999997</v>
      </c>
      <c r="E1392">
        <v>0.49559219999999998</v>
      </c>
      <c r="F1392" t="s">
        <v>43</v>
      </c>
      <c r="G1392">
        <v>-210.87610000000001</v>
      </c>
      <c r="H1392">
        <v>0.96453949999999999</v>
      </c>
      <c r="I1392">
        <v>283.74329999999998</v>
      </c>
      <c r="J1392">
        <v>-210.36699999999999</v>
      </c>
      <c r="K1392">
        <v>1.1072649999999999</v>
      </c>
      <c r="L1392">
        <v>283.74119999999999</v>
      </c>
      <c r="M1392">
        <v>-0.98643769999999997</v>
      </c>
      <c r="N1392">
        <v>0</v>
      </c>
      <c r="O1392">
        <v>-0.16354959999999999</v>
      </c>
      <c r="P1392">
        <v>-0.99883319999999998</v>
      </c>
      <c r="Q1392">
        <v>-4.5828969999999997E-2</v>
      </c>
      <c r="R1392">
        <v>-1.5228820000000001E-2</v>
      </c>
      <c r="S1392">
        <v>-2.9741970000000002</v>
      </c>
      <c r="T1392">
        <v>-0.60447700000000004</v>
      </c>
      <c r="U1392">
        <v>-9.9182129999999993E-2</v>
      </c>
      <c r="V1392">
        <v>0.1481189</v>
      </c>
      <c r="W1392">
        <v>-3.3180679999999997E-2</v>
      </c>
      <c r="X1392">
        <v>0.98841279999999998</v>
      </c>
      <c r="Y1392">
        <v>0.12473770000000001</v>
      </c>
      <c r="Z1392">
        <v>4.5307269999999997E-2</v>
      </c>
      <c r="AA1392">
        <v>0.9911548</v>
      </c>
      <c r="AB1392">
        <v>19</v>
      </c>
      <c r="AC1392">
        <v>-0.50909999999998901</v>
      </c>
      <c r="AD1392">
        <v>-0.14272549999999901</v>
      </c>
      <c r="AE1392">
        <v>2.0999999999844398E-3</v>
      </c>
      <c r="AF1392">
        <v>7.9124137169869602E-2</v>
      </c>
      <c r="AG1392">
        <v>-0.14272549999999901</v>
      </c>
      <c r="AH1392">
        <v>0.46532819354710597</v>
      </c>
      <c r="AI1392">
        <v>106.824256858043</v>
      </c>
      <c r="AJ1392">
        <v>80.349759415485195</v>
      </c>
      <c r="AK1392">
        <v>0.49311410965712499</v>
      </c>
      <c r="AL1392">
        <v>91.901461911242905</v>
      </c>
      <c r="AM1392">
        <v>81.477342636573795</v>
      </c>
      <c r="AN1392">
        <v>1.00000001463315</v>
      </c>
    </row>
    <row r="1393" spans="1:40" x14ac:dyDescent="0.25">
      <c r="A1393" t="str">
        <f>"20190312161252852"</f>
        <v>20190312161252852</v>
      </c>
      <c r="B1393" t="str">
        <f>"1552378372846492"</f>
        <v>1552378372846492</v>
      </c>
      <c r="C1393" t="s">
        <v>40</v>
      </c>
      <c r="D1393">
        <v>5.9730530000000002</v>
      </c>
      <c r="E1393">
        <v>0.49526779999999998</v>
      </c>
      <c r="F1393" t="s">
        <v>43</v>
      </c>
      <c r="G1393">
        <v>-211.19800000000001</v>
      </c>
      <c r="H1393">
        <v>0.92600420000000006</v>
      </c>
      <c r="I1393">
        <v>283.71719999999999</v>
      </c>
      <c r="J1393">
        <v>-210.54589999999999</v>
      </c>
      <c r="K1393">
        <v>1.1074139999999999</v>
      </c>
      <c r="L1393">
        <v>283.71839999999997</v>
      </c>
      <c r="M1393">
        <v>-0.98733669999999996</v>
      </c>
      <c r="N1393">
        <v>0</v>
      </c>
      <c r="O1393">
        <v>-0.15803499999999901</v>
      </c>
      <c r="P1393">
        <v>-0.99889919999999999</v>
      </c>
      <c r="Q1393">
        <v>-4.5728999999999999E-2</v>
      </c>
      <c r="R1393">
        <v>-1.046216E-2</v>
      </c>
      <c r="S1393">
        <v>-2.972458</v>
      </c>
      <c r="T1393">
        <v>-0.64827440000000003</v>
      </c>
      <c r="U1393">
        <v>-8.6059570000000002E-2</v>
      </c>
      <c r="V1393">
        <v>0.1473257</v>
      </c>
      <c r="W1393">
        <v>-3.3051980000000002E-2</v>
      </c>
      <c r="X1393">
        <v>0.98853559999999996</v>
      </c>
      <c r="Y1393">
        <v>0.1228416</v>
      </c>
      <c r="Z1393">
        <v>4.7171459999999998E-2</v>
      </c>
      <c r="AA1393">
        <v>0.99130459999999998</v>
      </c>
      <c r="AB1393">
        <v>19</v>
      </c>
      <c r="AC1393">
        <v>-0.65209999999999002</v>
      </c>
      <c r="AD1393">
        <v>-0.18140979999999901</v>
      </c>
      <c r="AE1393">
        <v>-1.1999999999829901E-3</v>
      </c>
      <c r="AF1393">
        <v>9.4561342198753798E-2</v>
      </c>
      <c r="AG1393">
        <v>-0.18140979999999901</v>
      </c>
      <c r="AH1393">
        <v>0.59782692843174201</v>
      </c>
      <c r="AI1393">
        <v>106.684652330555</v>
      </c>
      <c r="AJ1393">
        <v>81.0117004244876</v>
      </c>
      <c r="AK1393">
        <v>0.63186106014898702</v>
      </c>
      <c r="AL1393">
        <v>91.894083993905397</v>
      </c>
      <c r="AM1393">
        <v>81.523355666459807</v>
      </c>
      <c r="AN1393">
        <v>0.99999996386488399</v>
      </c>
    </row>
    <row r="1394" spans="1:40" x14ac:dyDescent="0.25">
      <c r="A1394" t="str">
        <f>"20190312161252873"</f>
        <v>20190312161252873</v>
      </c>
      <c r="B1394" t="str">
        <f>"1552378372866988"</f>
        <v>1552378372866988</v>
      </c>
      <c r="C1394" t="s">
        <v>40</v>
      </c>
      <c r="D1394">
        <v>5.906981</v>
      </c>
      <c r="E1394">
        <v>0.50394490000000003</v>
      </c>
      <c r="F1394" t="s">
        <v>43</v>
      </c>
      <c r="G1394">
        <v>-211.36600000000001</v>
      </c>
      <c r="H1394">
        <v>0.92464040000000003</v>
      </c>
      <c r="I1394">
        <v>283.69779999999997</v>
      </c>
      <c r="J1394">
        <v>-210.73429999999999</v>
      </c>
      <c r="K1394">
        <v>1.1075440000000001</v>
      </c>
      <c r="L1394">
        <v>283.69529999999997</v>
      </c>
      <c r="M1394">
        <v>-0.98821780000000004</v>
      </c>
      <c r="N1394">
        <v>0</v>
      </c>
      <c r="O1394">
        <v>-0.1524305</v>
      </c>
      <c r="P1394">
        <v>-0.9989808</v>
      </c>
      <c r="Q1394">
        <v>-4.4704290000000001E-2</v>
      </c>
      <c r="R1394">
        <v>-6.2515260000000003E-3</v>
      </c>
      <c r="S1394">
        <v>-2.9721980000000001</v>
      </c>
      <c r="T1394">
        <v>-0.66228379999999998</v>
      </c>
      <c r="U1394">
        <v>-7.4981690000000004E-2</v>
      </c>
      <c r="V1394">
        <v>0.1459076</v>
      </c>
      <c r="W1394">
        <v>-3.200103E-2</v>
      </c>
      <c r="X1394">
        <v>0.98878049999999995</v>
      </c>
      <c r="Y1394">
        <v>0.1208032</v>
      </c>
      <c r="Z1394">
        <v>4.6730380000000002E-2</v>
      </c>
      <c r="AA1394">
        <v>0.99157600000000001</v>
      </c>
      <c r="AB1394">
        <v>19</v>
      </c>
      <c r="AC1394">
        <v>-0.63169999999999504</v>
      </c>
      <c r="AD1394">
        <v>-0.1829036</v>
      </c>
      <c r="AE1394">
        <v>2.4999999999977202E-3</v>
      </c>
      <c r="AF1394">
        <v>9.1130537805110504E-2</v>
      </c>
      <c r="AG1394">
        <v>-0.1829036</v>
      </c>
      <c r="AH1394">
        <v>0.57567488982279003</v>
      </c>
      <c r="AI1394">
        <v>107.422516051757</v>
      </c>
      <c r="AJ1394">
        <v>81.004602959169404</v>
      </c>
      <c r="AK1394">
        <v>0.61086830052482699</v>
      </c>
      <c r="AL1394">
        <v>91.833837071686503</v>
      </c>
      <c r="AM1394">
        <v>81.605829862120004</v>
      </c>
      <c r="AN1394">
        <v>0.99999998541953505</v>
      </c>
    </row>
    <row r="1395" spans="1:40" x14ac:dyDescent="0.25">
      <c r="A1395" t="str">
        <f>"20190312161252897"</f>
        <v>20190312161252897</v>
      </c>
      <c r="B1395" t="str">
        <f>"1552378372886507"</f>
        <v>1552378372886507</v>
      </c>
      <c r="C1395" t="s">
        <v>40</v>
      </c>
      <c r="D1395">
        <v>6.0935889999999997</v>
      </c>
      <c r="E1395">
        <v>0.50159480000000001</v>
      </c>
      <c r="F1395" t="s">
        <v>43</v>
      </c>
      <c r="G1395">
        <v>-211.51589999999999</v>
      </c>
      <c r="H1395">
        <v>0.8744267</v>
      </c>
      <c r="I1395">
        <v>283.69670000000002</v>
      </c>
      <c r="J1395">
        <v>-210.93029999999999</v>
      </c>
      <c r="K1395">
        <v>1.10764</v>
      </c>
      <c r="L1395">
        <v>283.6721</v>
      </c>
      <c r="M1395">
        <v>-0.98907040000000002</v>
      </c>
      <c r="N1395">
        <v>0</v>
      </c>
      <c r="O1395">
        <v>-0.14679890000000001</v>
      </c>
      <c r="P1395">
        <v>-0.99901569999999995</v>
      </c>
      <c r="Q1395">
        <v>-4.4310099999999998E-2</v>
      </c>
      <c r="R1395">
        <v>-2.0136490000000002E-3</v>
      </c>
      <c r="S1395">
        <v>-2.963562</v>
      </c>
      <c r="T1395">
        <v>-0.88376200000000005</v>
      </c>
      <c r="U1395">
        <v>4.8522950000000004E-3</v>
      </c>
      <c r="V1395">
        <v>0.14448279999999999</v>
      </c>
      <c r="W1395">
        <v>-3.1588529999999997E-2</v>
      </c>
      <c r="X1395">
        <v>0.98900299999999997</v>
      </c>
      <c r="Y1395">
        <v>0.136153</v>
      </c>
      <c r="Z1395">
        <v>6.2599409999999994E-2</v>
      </c>
      <c r="AA1395">
        <v>0.98870809999999998</v>
      </c>
      <c r="AB1395">
        <v>19</v>
      </c>
      <c r="AC1395">
        <v>-0.58559999999999901</v>
      </c>
      <c r="AD1395">
        <v>-0.23321330000000001</v>
      </c>
      <c r="AE1395">
        <v>2.46000000000208E-2</v>
      </c>
      <c r="AF1395">
        <v>9.5230103869935301E-2</v>
      </c>
      <c r="AG1395">
        <v>-0.23321330000000001</v>
      </c>
      <c r="AH1395">
        <v>0.49696324852740398</v>
      </c>
      <c r="AI1395">
        <v>114.74455696571</v>
      </c>
      <c r="AJ1395">
        <v>79.152251346207393</v>
      </c>
      <c r="AK1395">
        <v>0.55716217241201804</v>
      </c>
      <c r="AL1395">
        <v>91.810190536376993</v>
      </c>
      <c r="AM1395">
        <v>81.688492655887401</v>
      </c>
      <c r="AN1395">
        <v>1.0000000243661999</v>
      </c>
    </row>
    <row r="1396" spans="1:40" x14ac:dyDescent="0.25">
      <c r="A1396" t="str">
        <f>"20190312161252920"</f>
        <v>20190312161252920</v>
      </c>
      <c r="B1396" t="str">
        <f>"1552378372916764"</f>
        <v>1552378372916764</v>
      </c>
      <c r="C1396" t="s">
        <v>40</v>
      </c>
      <c r="D1396">
        <v>5.9649720000000004</v>
      </c>
      <c r="E1396">
        <v>0.50258389999999997</v>
      </c>
      <c r="F1396" t="s">
        <v>43</v>
      </c>
      <c r="G1396">
        <v>-211.6833</v>
      </c>
      <c r="H1396">
        <v>0.8754537</v>
      </c>
      <c r="I1396">
        <v>283.67180000000002</v>
      </c>
      <c r="J1396">
        <v>-211.1283</v>
      </c>
      <c r="K1396">
        <v>1.107726</v>
      </c>
      <c r="L1396">
        <v>283.64949999999999</v>
      </c>
      <c r="M1396">
        <v>-0.98986969999999996</v>
      </c>
      <c r="N1396">
        <v>0</v>
      </c>
      <c r="O1396">
        <v>-0.14131170000000001</v>
      </c>
      <c r="P1396">
        <v>-0.99901740000000006</v>
      </c>
      <c r="Q1396">
        <v>-4.4254670000000003E-2</v>
      </c>
      <c r="R1396">
        <v>2.416769E-3</v>
      </c>
      <c r="S1396">
        <v>-2.9624480000000002</v>
      </c>
      <c r="T1396">
        <v>-0.91335029999999995</v>
      </c>
      <c r="U1396">
        <v>-1.190186E-3</v>
      </c>
      <c r="V1396">
        <v>0.14339170000000001</v>
      </c>
      <c r="W1396">
        <v>-3.1521159999999999E-2</v>
      </c>
      <c r="X1396">
        <v>0.98916389999999998</v>
      </c>
      <c r="Y1396">
        <v>0.12843160000000001</v>
      </c>
      <c r="Z1396">
        <v>6.182174E-2</v>
      </c>
      <c r="AA1396">
        <v>0.98978960000000005</v>
      </c>
      <c r="AB1396">
        <v>19</v>
      </c>
      <c r="AC1396">
        <v>-0.55500000000000604</v>
      </c>
      <c r="AD1396">
        <v>-0.23227229999999999</v>
      </c>
      <c r="AE1396">
        <v>2.2300000000029699E-2</v>
      </c>
      <c r="AF1396">
        <v>8.5551445934587994E-2</v>
      </c>
      <c r="AG1396">
        <v>-0.23227229999999999</v>
      </c>
      <c r="AH1396">
        <v>0.46497005320025397</v>
      </c>
      <c r="AI1396">
        <v>116.16468561469399</v>
      </c>
      <c r="AJ1396">
        <v>79.574554269670301</v>
      </c>
      <c r="AK1396">
        <v>0.52675100533538199</v>
      </c>
      <c r="AL1396">
        <v>91.806328654927995</v>
      </c>
      <c r="AM1396">
        <v>81.751715533346299</v>
      </c>
      <c r="AN1396">
        <v>0.99999999210992196</v>
      </c>
    </row>
    <row r="1397" spans="1:40" x14ac:dyDescent="0.25">
      <c r="A1397" t="str">
        <f>"20190312161252942"</f>
        <v>20190312161252942</v>
      </c>
      <c r="B1397" t="str">
        <f>"1552378372937260"</f>
        <v>1552378372937260</v>
      </c>
      <c r="C1397" t="s">
        <v>40</v>
      </c>
      <c r="D1397">
        <v>6.0030039999999998</v>
      </c>
      <c r="E1397">
        <v>0.50336099999999995</v>
      </c>
      <c r="F1397" t="s">
        <v>43</v>
      </c>
      <c r="G1397">
        <v>-211.8563</v>
      </c>
      <c r="H1397">
        <v>0.887177199999999</v>
      </c>
      <c r="I1397">
        <v>283.65449999999998</v>
      </c>
      <c r="J1397">
        <v>-211.30789999999999</v>
      </c>
      <c r="K1397">
        <v>1.107801</v>
      </c>
      <c r="L1397">
        <v>283.62990000000002</v>
      </c>
      <c r="M1397">
        <v>-0.99054430000000004</v>
      </c>
      <c r="N1397">
        <v>0</v>
      </c>
      <c r="O1397">
        <v>-0.13650470000000001</v>
      </c>
      <c r="P1397">
        <v>-0.99902460000000004</v>
      </c>
      <c r="Q1397">
        <v>-4.3711380000000001E-2</v>
      </c>
      <c r="R1397">
        <v>6.2669639999999999E-3</v>
      </c>
      <c r="S1397">
        <v>-2.963165</v>
      </c>
      <c r="T1397">
        <v>-0.89750160000000001</v>
      </c>
      <c r="U1397">
        <v>1.9897459999999999E-2</v>
      </c>
      <c r="V1397">
        <v>0.14241479999999901</v>
      </c>
      <c r="W1397">
        <v>-3.096581E-2</v>
      </c>
      <c r="X1397">
        <v>0.98932249999999999</v>
      </c>
      <c r="Y1397">
        <v>0.13118360000000001</v>
      </c>
      <c r="Z1397">
        <v>5.9779779999999998E-2</v>
      </c>
      <c r="AA1397">
        <v>0.98955400000000004</v>
      </c>
      <c r="AB1397">
        <v>19</v>
      </c>
      <c r="AC1397">
        <v>-0.54840000000001499</v>
      </c>
      <c r="AD1397">
        <v>-0.22062380000000001</v>
      </c>
      <c r="AE1397">
        <v>2.4599999999963901E-2</v>
      </c>
      <c r="AF1397">
        <v>8.5435967290615603E-2</v>
      </c>
      <c r="AG1397">
        <v>-0.22062380000000001</v>
      </c>
      <c r="AH1397">
        <v>0.464826726474526</v>
      </c>
      <c r="AI1397">
        <v>115.02396088235101</v>
      </c>
      <c r="AJ1397">
        <v>79.585178595957601</v>
      </c>
      <c r="AK1397">
        <v>0.52157267113830597</v>
      </c>
      <c r="AL1397">
        <v>91.774494006718001</v>
      </c>
      <c r="AM1397">
        <v>81.808439665190505</v>
      </c>
      <c r="AN1397">
        <v>0.99999993282711996</v>
      </c>
    </row>
    <row r="1398" spans="1:40" x14ac:dyDescent="0.25">
      <c r="A1398" t="str">
        <f>"20190312161252965"</f>
        <v>20190312161252965</v>
      </c>
      <c r="B1398" t="str">
        <f>"1552378372956779"</f>
        <v>1552378372956779</v>
      </c>
      <c r="C1398" t="s">
        <v>40</v>
      </c>
      <c r="D1398">
        <v>6.103631</v>
      </c>
      <c r="E1398">
        <v>0.50391839999999999</v>
      </c>
      <c r="F1398" t="s">
        <v>43</v>
      </c>
      <c r="G1398">
        <v>-212.02610000000001</v>
      </c>
      <c r="H1398">
        <v>0.89117599999999997</v>
      </c>
      <c r="I1398">
        <v>283.63889999999998</v>
      </c>
      <c r="J1398">
        <v>-211.50399999999999</v>
      </c>
      <c r="K1398">
        <v>1.1078939999999999</v>
      </c>
      <c r="L1398">
        <v>283.60910000000001</v>
      </c>
      <c r="M1398">
        <v>-0.99123079999999997</v>
      </c>
      <c r="N1398">
        <v>0</v>
      </c>
      <c r="O1398">
        <v>-0.13142960000000001</v>
      </c>
      <c r="P1398">
        <v>-0.99898920000000002</v>
      </c>
      <c r="Q1398">
        <v>-4.3762990000000002E-2</v>
      </c>
      <c r="R1398">
        <v>1.026547E-2</v>
      </c>
      <c r="S1398">
        <v>-2.963562</v>
      </c>
      <c r="T1398">
        <v>-0.89384889999999995</v>
      </c>
      <c r="U1398">
        <v>3.7231449999999999E-2</v>
      </c>
      <c r="V1398">
        <v>0.14131450000000001</v>
      </c>
      <c r="W1398">
        <v>-3.1000050000000001E-2</v>
      </c>
      <c r="X1398">
        <v>0.9894792</v>
      </c>
      <c r="Y1398">
        <v>0.13217779999999901</v>
      </c>
      <c r="Z1398">
        <v>5.8200620000000002E-2</v>
      </c>
      <c r="AA1398">
        <v>0.9895159</v>
      </c>
      <c r="AB1398">
        <v>19</v>
      </c>
      <c r="AC1398">
        <v>-0.52209999999999401</v>
      </c>
      <c r="AD1398">
        <v>-0.21671799999999999</v>
      </c>
      <c r="AE1398">
        <v>2.9799999999966E-2</v>
      </c>
      <c r="AF1398">
        <v>8.3779111084810995E-2</v>
      </c>
      <c r="AG1398">
        <v>-0.21671799999999999</v>
      </c>
      <c r="AH1398">
        <v>0.43836812759971999</v>
      </c>
      <c r="AI1398">
        <v>115.90055571470999</v>
      </c>
      <c r="AJ1398">
        <v>79.180337911465102</v>
      </c>
      <c r="AK1398">
        <v>0.49613732602319499</v>
      </c>
      <c r="AL1398">
        <v>91.776456745444506</v>
      </c>
      <c r="AM1398">
        <v>81.872148888536302</v>
      </c>
      <c r="AN1398">
        <v>0.99999993912144403</v>
      </c>
    </row>
    <row r="1399" spans="1:40" x14ac:dyDescent="0.25">
      <c r="A1399" t="str">
        <f>"20190312161252987"</f>
        <v>20190312161252987</v>
      </c>
      <c r="B1399" t="str">
        <f>"1552378372977276"</f>
        <v>1552378372977276</v>
      </c>
      <c r="C1399" t="s">
        <v>40</v>
      </c>
      <c r="D1399">
        <v>5.9923120000000001</v>
      </c>
      <c r="E1399">
        <v>0.50282090000000002</v>
      </c>
      <c r="F1399" t="s">
        <v>43</v>
      </c>
      <c r="G1399">
        <v>-212.19669999999999</v>
      </c>
      <c r="H1399">
        <v>0.89835499999999902</v>
      </c>
      <c r="I1399">
        <v>283.6216</v>
      </c>
      <c r="J1399">
        <v>-211.68459999999999</v>
      </c>
      <c r="K1399">
        <v>1.107998</v>
      </c>
      <c r="L1399">
        <v>283.5908</v>
      </c>
      <c r="M1399">
        <v>-0.99181900000000001</v>
      </c>
      <c r="N1399">
        <v>0</v>
      </c>
      <c r="O1399">
        <v>-0.12691759999999999</v>
      </c>
      <c r="P1399">
        <v>-0.99897619999999998</v>
      </c>
      <c r="Q1399">
        <v>-4.3060090000000002E-2</v>
      </c>
      <c r="R1399">
        <v>1.388065E-2</v>
      </c>
      <c r="S1399">
        <v>-2.9632420000000002</v>
      </c>
      <c r="T1399">
        <v>-0.89631269999999996</v>
      </c>
      <c r="U1399">
        <v>5.3466800000000002E-2</v>
      </c>
      <c r="V1399">
        <v>0.14040839999999999</v>
      </c>
      <c r="W1399">
        <v>-3.0276979999999998E-2</v>
      </c>
      <c r="X1399">
        <v>0.98963060000000003</v>
      </c>
      <c r="Y1399">
        <v>0.13318489999999999</v>
      </c>
      <c r="Z1399">
        <v>5.7183280000000003E-2</v>
      </c>
      <c r="AA1399">
        <v>0.98944010000000004</v>
      </c>
      <c r="AB1399">
        <v>19</v>
      </c>
      <c r="AC1399">
        <v>-0.512100000000003</v>
      </c>
      <c r="AD1399">
        <v>-0.209643</v>
      </c>
      <c r="AE1399">
        <v>3.07999999999992E-2</v>
      </c>
      <c r="AF1399">
        <v>8.1878762376387498E-2</v>
      </c>
      <c r="AG1399">
        <v>-0.209643</v>
      </c>
      <c r="AH1399">
        <v>0.43192299364636599</v>
      </c>
      <c r="AI1399">
        <v>115.495462115591</v>
      </c>
      <c r="AJ1399">
        <v>79.265926181617303</v>
      </c>
      <c r="AK1399">
        <v>0.487043931917571</v>
      </c>
      <c r="AL1399">
        <v>91.735008371479694</v>
      </c>
      <c r="AM1399">
        <v>81.924793681432305</v>
      </c>
      <c r="AN1399">
        <v>0.99999996938241897</v>
      </c>
    </row>
    <row r="1400" spans="1:40" x14ac:dyDescent="0.25">
      <c r="A1400" t="str">
        <f>"20190312161253010"</f>
        <v>20190312161253010</v>
      </c>
      <c r="B1400" t="str">
        <f>"1552378373006556"</f>
        <v>1552378373006556</v>
      </c>
      <c r="C1400" t="s">
        <v>40</v>
      </c>
      <c r="D1400">
        <v>6.0993069999999996</v>
      </c>
      <c r="E1400">
        <v>0.50299020000000005</v>
      </c>
      <c r="F1400" t="s">
        <v>43</v>
      </c>
      <c r="G1400">
        <v>-212.3689</v>
      </c>
      <c r="H1400">
        <v>0.9094141</v>
      </c>
      <c r="I1400">
        <v>283.60359999999997</v>
      </c>
      <c r="J1400">
        <v>-211.88</v>
      </c>
      <c r="K1400">
        <v>1.1081179999999999</v>
      </c>
      <c r="L1400">
        <v>283.57159999999999</v>
      </c>
      <c r="M1400">
        <v>-0.99240799999999996</v>
      </c>
      <c r="N1400">
        <v>0</v>
      </c>
      <c r="O1400">
        <v>-0.1222302</v>
      </c>
      <c r="P1400">
        <v>-0.99891750000000001</v>
      </c>
      <c r="Q1400">
        <v>-4.2771690000000001E-2</v>
      </c>
      <c r="R1400">
        <v>1.8298120000000001E-2</v>
      </c>
      <c r="S1400">
        <v>-2.9652099999999999</v>
      </c>
      <c r="T1400">
        <v>-0.86047039999999997</v>
      </c>
      <c r="U1400">
        <v>5.5267330000000003E-2</v>
      </c>
      <c r="V1400">
        <v>0.14012069999999999</v>
      </c>
      <c r="W1400">
        <v>-2.9968140000000001E-2</v>
      </c>
      <c r="X1400">
        <v>0.98968080000000003</v>
      </c>
      <c r="Y1400">
        <v>0.13031389999999901</v>
      </c>
      <c r="Z1400">
        <v>5.322052E-2</v>
      </c>
      <c r="AA1400">
        <v>0.99004329999999996</v>
      </c>
      <c r="AB1400">
        <v>19</v>
      </c>
      <c r="AC1400">
        <v>-0.488900000000001</v>
      </c>
      <c r="AD1400">
        <v>-0.19870389999999999</v>
      </c>
      <c r="AE1400">
        <v>3.1999999999982202E-2</v>
      </c>
      <c r="AF1400">
        <v>7.85963085060849E-2</v>
      </c>
      <c r="AG1400">
        <v>-0.19870389999999999</v>
      </c>
      <c r="AH1400">
        <v>0.41333576386182003</v>
      </c>
      <c r="AI1400">
        <v>115.279968772462</v>
      </c>
      <c r="AJ1400">
        <v>79.2336695889081</v>
      </c>
      <c r="AK1400">
        <v>0.46530320574140499</v>
      </c>
      <c r="AL1400">
        <v>91.717305068345794</v>
      </c>
      <c r="AM1400">
        <v>81.941525780900506</v>
      </c>
      <c r="AN1400">
        <v>0.99999999293609398</v>
      </c>
    </row>
    <row r="1401" spans="1:40" x14ac:dyDescent="0.25">
      <c r="A1401" t="str">
        <f>"20190312161253031"</f>
        <v>20190312161253031</v>
      </c>
      <c r="B1401" t="str">
        <f>"1552378373027052"</f>
        <v>1552378373027052</v>
      </c>
      <c r="C1401" t="s">
        <v>40</v>
      </c>
      <c r="D1401">
        <v>6.0023860000000004</v>
      </c>
      <c r="E1401">
        <v>0.50306669999999998</v>
      </c>
      <c r="F1401" t="s">
        <v>43</v>
      </c>
      <c r="G1401">
        <v>-212.6909</v>
      </c>
      <c r="H1401">
        <v>0.87405089999999996</v>
      </c>
      <c r="I1401">
        <v>283.5908</v>
      </c>
      <c r="J1401">
        <v>-212.05420000000001</v>
      </c>
      <c r="K1401">
        <v>1.1082299999999901</v>
      </c>
      <c r="L1401">
        <v>283.55509999999998</v>
      </c>
      <c r="M1401">
        <v>-0.9928939</v>
      </c>
      <c r="N1401">
        <v>0</v>
      </c>
      <c r="O1401">
        <v>-0.11821950000000001</v>
      </c>
      <c r="P1401">
        <v>-0.99888069999999896</v>
      </c>
      <c r="Q1401">
        <v>-4.2176539999999998E-2</v>
      </c>
      <c r="R1401">
        <v>2.1413749999999999E-2</v>
      </c>
      <c r="S1401">
        <v>-2.9653170000000002</v>
      </c>
      <c r="T1401">
        <v>-0.85562320000000003</v>
      </c>
      <c r="U1401">
        <v>6.9488530000000007E-2</v>
      </c>
      <c r="V1401">
        <v>0.1392226</v>
      </c>
      <c r="W1401">
        <v>-2.9350190000000002E-2</v>
      </c>
      <c r="X1401">
        <v>0.98982610000000004</v>
      </c>
      <c r="Y1401">
        <v>0.13129679999999999</v>
      </c>
      <c r="Z1401">
        <v>5.1941090000000002E-2</v>
      </c>
      <c r="AA1401">
        <v>0.98998149999999996</v>
      </c>
      <c r="AB1401">
        <v>19</v>
      </c>
      <c r="AC1401">
        <v>-0.63669999999999005</v>
      </c>
      <c r="AD1401">
        <v>-0.234179099999999</v>
      </c>
      <c r="AE1401">
        <v>3.5700000000019799E-2</v>
      </c>
      <c r="AF1401">
        <v>9.7569355104763403E-2</v>
      </c>
      <c r="AG1401">
        <v>-0.234179099999999</v>
      </c>
      <c r="AH1401">
        <v>0.55338709418065601</v>
      </c>
      <c r="AI1401">
        <v>112.62374544178</v>
      </c>
      <c r="AJ1401">
        <v>80.000775239626506</v>
      </c>
      <c r="AK1401">
        <v>0.60876670896007401</v>
      </c>
      <c r="AL1401">
        <v>91.681883483264002</v>
      </c>
      <c r="AM1401">
        <v>81.993664512768106</v>
      </c>
      <c r="AN1401">
        <v>1.0000000371225</v>
      </c>
    </row>
    <row r="1402" spans="1:40" x14ac:dyDescent="0.25">
      <c r="A1402" t="str">
        <f>"20190312161253054"</f>
        <v>20190312161253054</v>
      </c>
      <c r="B1402" t="str">
        <f>"1552378373046572"</f>
        <v>1552378373046572</v>
      </c>
      <c r="C1402" t="s">
        <v>40</v>
      </c>
      <c r="D1402">
        <v>5.9620319999999998</v>
      </c>
      <c r="E1402">
        <v>0.50320659999999995</v>
      </c>
      <c r="F1402" t="s">
        <v>43</v>
      </c>
      <c r="G1402">
        <v>-212.85919999999999</v>
      </c>
      <c r="H1402">
        <v>0.87756369999999895</v>
      </c>
      <c r="I1402">
        <v>283.57679999999999</v>
      </c>
      <c r="J1402">
        <v>-212.2432</v>
      </c>
      <c r="K1402">
        <v>1.1083270000000001</v>
      </c>
      <c r="L1402">
        <v>283.5378</v>
      </c>
      <c r="M1402">
        <v>-0.99338349999999997</v>
      </c>
      <c r="N1402">
        <v>0</v>
      </c>
      <c r="O1402">
        <v>-0.1140341</v>
      </c>
      <c r="P1402">
        <v>-0.99884580000000001</v>
      </c>
      <c r="Q1402">
        <v>-4.1172210000000001E-2</v>
      </c>
      <c r="R1402">
        <v>2.4745349999999999E-2</v>
      </c>
      <c r="S1402">
        <v>-2.9657749999999998</v>
      </c>
      <c r="T1402">
        <v>-0.84971929999999996</v>
      </c>
      <c r="U1402">
        <v>7.9864500000000005E-2</v>
      </c>
      <c r="V1402">
        <v>0.13836879999999999</v>
      </c>
      <c r="W1402">
        <v>-2.83284E-2</v>
      </c>
      <c r="X1402">
        <v>0.98997559999999996</v>
      </c>
      <c r="Y1402">
        <v>0.13090589999999999</v>
      </c>
      <c r="Z1402">
        <v>5.0363430000000001E-2</v>
      </c>
      <c r="AA1402">
        <v>0.99011470000000001</v>
      </c>
      <c r="AB1402">
        <v>19</v>
      </c>
      <c r="AC1402">
        <v>-0.615999999999985</v>
      </c>
      <c r="AD1402">
        <v>-0.2307633</v>
      </c>
      <c r="AE1402">
        <v>3.8999999999987198E-2</v>
      </c>
      <c r="AF1402">
        <v>9.56301974864599E-2</v>
      </c>
      <c r="AG1402">
        <v>-0.2307633</v>
      </c>
      <c r="AH1402">
        <v>0.53302831255641603</v>
      </c>
      <c r="AI1402">
        <v>113.080071670574</v>
      </c>
      <c r="AJ1402">
        <v>79.828816172526601</v>
      </c>
      <c r="AK1402">
        <v>0.58865611122702999</v>
      </c>
      <c r="AL1402">
        <v>91.623314836992805</v>
      </c>
      <c r="AM1402">
        <v>82.043319805718099</v>
      </c>
      <c r="AN1402">
        <v>1.00000005582767</v>
      </c>
    </row>
    <row r="1403" spans="1:40" x14ac:dyDescent="0.25">
      <c r="A1403" t="str">
        <f>"20190312161253076"</f>
        <v>20190312161253076</v>
      </c>
      <c r="B1403" t="str">
        <f>"1552378373067068"</f>
        <v>1552378373067068</v>
      </c>
      <c r="C1403" t="s">
        <v>40</v>
      </c>
      <c r="D1403">
        <v>6.0329689999999996</v>
      </c>
      <c r="E1403">
        <v>0.50286419999999998</v>
      </c>
      <c r="F1403" t="s">
        <v>43</v>
      </c>
      <c r="G1403">
        <v>-213.02850000000001</v>
      </c>
      <c r="H1403">
        <v>0.88445069999999903</v>
      </c>
      <c r="I1403">
        <v>283.56189999999998</v>
      </c>
      <c r="J1403">
        <v>-212.4324</v>
      </c>
      <c r="K1403">
        <v>1.108403</v>
      </c>
      <c r="L1403">
        <v>283.52100000000002</v>
      </c>
      <c r="M1403">
        <v>-0.99383809999999995</v>
      </c>
      <c r="N1403">
        <v>0</v>
      </c>
      <c r="O1403">
        <v>-0.1100053</v>
      </c>
      <c r="P1403">
        <v>-0.99877950000000004</v>
      </c>
      <c r="Q1403">
        <v>-4.0418910000000002E-2</v>
      </c>
      <c r="R1403">
        <v>2.8388030000000002E-2</v>
      </c>
      <c r="S1403">
        <v>-2.9663849999999998</v>
      </c>
      <c r="T1403">
        <v>-0.84561039999999998</v>
      </c>
      <c r="U1403">
        <v>9.1278079999999998E-2</v>
      </c>
      <c r="V1403">
        <v>0.13797679999999901</v>
      </c>
      <c r="W1403">
        <v>-2.7565510000000001E-2</v>
      </c>
      <c r="X1403">
        <v>0.99005180000000004</v>
      </c>
      <c r="Y1403">
        <v>0.13094790000000001</v>
      </c>
      <c r="Z1403">
        <v>4.9002909999999997E-2</v>
      </c>
      <c r="AA1403">
        <v>0.99017750000000004</v>
      </c>
      <c r="AB1403">
        <v>19</v>
      </c>
      <c r="AC1403">
        <v>-0.59610000000000696</v>
      </c>
      <c r="AD1403">
        <v>-0.22395229999999999</v>
      </c>
      <c r="AE1403">
        <v>4.0900000000021898E-2</v>
      </c>
      <c r="AF1403">
        <v>9.3146207576618303E-2</v>
      </c>
      <c r="AG1403">
        <v>-0.22395229999999999</v>
      </c>
      <c r="AH1403">
        <v>0.515553861455464</v>
      </c>
      <c r="AI1403">
        <v>113.145295667132</v>
      </c>
      <c r="AJ1403">
        <v>79.758729736407204</v>
      </c>
      <c r="AK1403">
        <v>0.56976015368121002</v>
      </c>
      <c r="AL1403">
        <v>91.579587452856302</v>
      </c>
      <c r="AM1403">
        <v>82.066176567751697</v>
      </c>
      <c r="AN1403">
        <v>1.0000000106815199</v>
      </c>
    </row>
    <row r="1404" spans="1:40" x14ac:dyDescent="0.25">
      <c r="A1404" t="str">
        <f>"20190312161253099"</f>
        <v>20190312161253099</v>
      </c>
      <c r="B1404" t="str">
        <f>"1552378373086589"</f>
        <v>1552378373086589</v>
      </c>
      <c r="C1404" t="s">
        <v>40</v>
      </c>
      <c r="D1404">
        <v>6.0107419999999996</v>
      </c>
      <c r="E1404">
        <v>0.50260039999999995</v>
      </c>
      <c r="F1404" t="s">
        <v>43</v>
      </c>
      <c r="G1404">
        <v>-213.19880000000001</v>
      </c>
      <c r="H1404">
        <v>0.89454889999999998</v>
      </c>
      <c r="I1404">
        <v>283.54669999999999</v>
      </c>
      <c r="J1404">
        <v>-212.62280000000001</v>
      </c>
      <c r="K1404">
        <v>1.108474</v>
      </c>
      <c r="L1404">
        <v>283.50470000000001</v>
      </c>
      <c r="M1404">
        <v>-0.99426060000000005</v>
      </c>
      <c r="N1404">
        <v>0</v>
      </c>
      <c r="O1404">
        <v>-0.10612000000000001</v>
      </c>
      <c r="P1404">
        <v>-0.99867950000000005</v>
      </c>
      <c r="Q1404">
        <v>-4.021226E-2</v>
      </c>
      <c r="R1404">
        <v>3.1974570000000001E-2</v>
      </c>
      <c r="S1404">
        <v>-2.9673609999999999</v>
      </c>
      <c r="T1404">
        <v>-0.82777449999999997</v>
      </c>
      <c r="U1404">
        <v>9.9029539999999999E-2</v>
      </c>
      <c r="V1404">
        <v>0.13766900000000001</v>
      </c>
      <c r="W1404">
        <v>-2.735098E-2</v>
      </c>
      <c r="X1404">
        <v>0.9901006</v>
      </c>
      <c r="Y1404">
        <v>0.13022600000000001</v>
      </c>
      <c r="Z1404">
        <v>4.6833399999999997E-2</v>
      </c>
      <c r="AA1404">
        <v>0.99037759999999997</v>
      </c>
      <c r="AB1404">
        <v>19</v>
      </c>
      <c r="AC1404">
        <v>-0.57599999999999296</v>
      </c>
      <c r="AD1404">
        <v>-0.21392510000000001</v>
      </c>
      <c r="AE1404">
        <v>4.1999999999973101E-2</v>
      </c>
      <c r="AF1404">
        <v>9.0479194068176394E-2</v>
      </c>
      <c r="AG1404">
        <v>-0.21392510000000001</v>
      </c>
      <c r="AH1404">
        <v>0.49972395273477999</v>
      </c>
      <c r="AI1404">
        <v>112.84265986183701</v>
      </c>
      <c r="AJ1404">
        <v>79.737301221289599</v>
      </c>
      <c r="AK1404">
        <v>0.55106665831468105</v>
      </c>
      <c r="AL1404">
        <v>91.567291148045001</v>
      </c>
      <c r="AM1404">
        <v>82.084036018914503</v>
      </c>
      <c r="AN1404">
        <v>1.00000001389416</v>
      </c>
    </row>
    <row r="1405" spans="1:40" x14ac:dyDescent="0.25">
      <c r="A1405" t="str">
        <f>"20190312161253119"</f>
        <v>20190312161253119</v>
      </c>
      <c r="B1405" t="str">
        <f>"1552378373117350"</f>
        <v>1552378373117350</v>
      </c>
      <c r="C1405" t="s">
        <v>40</v>
      </c>
      <c r="D1405">
        <v>6.0420669999999896</v>
      </c>
      <c r="E1405">
        <v>0.50336769999999997</v>
      </c>
      <c r="F1405" t="s">
        <v>43</v>
      </c>
      <c r="G1405">
        <v>-213.36859999999999</v>
      </c>
      <c r="H1405">
        <v>0.90349789999999996</v>
      </c>
      <c r="I1405">
        <v>283.53179999999998</v>
      </c>
      <c r="J1405">
        <v>-212.79069999999999</v>
      </c>
      <c r="K1405">
        <v>1.1085419999999999</v>
      </c>
      <c r="L1405">
        <v>283.49079999999998</v>
      </c>
      <c r="M1405">
        <v>-0.99460570000000004</v>
      </c>
      <c r="N1405">
        <v>0</v>
      </c>
      <c r="O1405">
        <v>-0.10283730000000001</v>
      </c>
      <c r="P1405">
        <v>-0.998587</v>
      </c>
      <c r="Q1405">
        <v>-4.0011600000000001E-2</v>
      </c>
      <c r="R1405">
        <v>3.4978820000000001E-2</v>
      </c>
      <c r="S1405">
        <v>-2.9676819999999999</v>
      </c>
      <c r="T1405">
        <v>-0.81570010000000004</v>
      </c>
      <c r="U1405">
        <v>0.1074524</v>
      </c>
      <c r="V1405">
        <v>0.13738510000000001</v>
      </c>
      <c r="W1405">
        <v>-2.7141249999999999E-2</v>
      </c>
      <c r="X1405">
        <v>0.99014579999999996</v>
      </c>
      <c r="Y1405">
        <v>0.1301438</v>
      </c>
      <c r="Z1405">
        <v>4.527511E-2</v>
      </c>
      <c r="AA1405">
        <v>0.99046089999999998</v>
      </c>
      <c r="AB1405">
        <v>19</v>
      </c>
      <c r="AC1405">
        <v>-0.57789999999999897</v>
      </c>
      <c r="AD1405">
        <v>-0.20504409999999901</v>
      </c>
      <c r="AE1405">
        <v>4.0999999999996803E-2</v>
      </c>
      <c r="AF1405">
        <v>8.9061928337633794E-2</v>
      </c>
      <c r="AG1405">
        <v>-0.20504409999999901</v>
      </c>
      <c r="AH1405">
        <v>0.50710000241702402</v>
      </c>
      <c r="AI1405">
        <v>111.71496571988401</v>
      </c>
      <c r="AJ1405">
        <v>80.038739446653494</v>
      </c>
      <c r="AK1405">
        <v>0.55418906744483298</v>
      </c>
      <c r="AL1405">
        <v>91.555270048879194</v>
      </c>
      <c r="AM1405">
        <v>82.100510024846699</v>
      </c>
      <c r="AN1405">
        <v>1.0000000092056001</v>
      </c>
    </row>
    <row r="1406" spans="1:40" x14ac:dyDescent="0.25">
      <c r="A1406" t="str">
        <f>"20190312161253142"</f>
        <v>20190312161253142</v>
      </c>
      <c r="B1406" t="str">
        <f>"1552378373136870"</f>
        <v>1552378373136870</v>
      </c>
      <c r="C1406" t="s">
        <v>40</v>
      </c>
      <c r="D1406">
        <v>6.0570890000000004</v>
      </c>
      <c r="E1406">
        <v>0.50364600000000004</v>
      </c>
      <c r="F1406" t="s">
        <v>43</v>
      </c>
      <c r="G1406">
        <v>-213.53360000000001</v>
      </c>
      <c r="H1406">
        <v>0.90081659999999997</v>
      </c>
      <c r="I1406">
        <v>283.52170000000001</v>
      </c>
      <c r="J1406">
        <v>-212.97900000000001</v>
      </c>
      <c r="K1406">
        <v>1.1086279999999999</v>
      </c>
      <c r="L1406">
        <v>283.47579999999999</v>
      </c>
      <c r="M1406">
        <v>-0.99496430000000002</v>
      </c>
      <c r="N1406">
        <v>0</v>
      </c>
      <c r="O1406">
        <v>-9.9308640000000004E-2</v>
      </c>
      <c r="P1406">
        <v>-0.99848530000000002</v>
      </c>
      <c r="Q1406">
        <v>-3.9438290000000001E-2</v>
      </c>
      <c r="R1406">
        <v>3.8362350000000003E-2</v>
      </c>
      <c r="S1406">
        <v>-2.966736</v>
      </c>
      <c r="T1406">
        <v>-0.82918930000000002</v>
      </c>
      <c r="U1406">
        <v>0.12194820000000001</v>
      </c>
      <c r="V1406">
        <v>0.137238</v>
      </c>
      <c r="W1406">
        <v>-2.655416E-2</v>
      </c>
      <c r="X1406">
        <v>0.99018209999999995</v>
      </c>
      <c r="Y1406">
        <v>0.13127900000000001</v>
      </c>
      <c r="Z1406">
        <v>4.519919E-2</v>
      </c>
      <c r="AA1406">
        <v>0.99031449999999999</v>
      </c>
      <c r="AB1406">
        <v>19</v>
      </c>
      <c r="AC1406">
        <v>-0.55459999999999299</v>
      </c>
      <c r="AD1406">
        <v>-0.20781140000000001</v>
      </c>
      <c r="AE1406">
        <v>4.5900000000017302E-2</v>
      </c>
      <c r="AF1406">
        <v>8.8424074426027899E-2</v>
      </c>
      <c r="AG1406">
        <v>-0.20781140000000001</v>
      </c>
      <c r="AH1406">
        <v>0.48031934542237498</v>
      </c>
      <c r="AI1406">
        <v>113.04986696702299</v>
      </c>
      <c r="AJ1406">
        <v>79.568963108736696</v>
      </c>
      <c r="AK1406">
        <v>0.53076460742502296</v>
      </c>
      <c r="AL1406">
        <v>91.521620166691093</v>
      </c>
      <c r="AM1406">
        <v>82.109147145742</v>
      </c>
      <c r="AN1406">
        <v>0.999999991608857</v>
      </c>
    </row>
    <row r="1407" spans="1:40" x14ac:dyDescent="0.25">
      <c r="A1407" t="str">
        <f>"20190312161253166"</f>
        <v>20190312161253166</v>
      </c>
      <c r="B1407" t="str">
        <f>"1552378373157366"</f>
        <v>1552378373157366</v>
      </c>
      <c r="C1407" t="s">
        <v>40</v>
      </c>
      <c r="D1407">
        <v>6.0129330000000003</v>
      </c>
      <c r="E1407">
        <v>0.50349619999999995</v>
      </c>
      <c r="F1407" t="s">
        <v>43</v>
      </c>
      <c r="G1407">
        <v>-213.70189999999999</v>
      </c>
      <c r="H1407">
        <v>0.90676800000000002</v>
      </c>
      <c r="I1407">
        <v>283.50839999999999</v>
      </c>
      <c r="J1407">
        <v>-213.1722</v>
      </c>
      <c r="K1407">
        <v>1.108727</v>
      </c>
      <c r="L1407">
        <v>283.46080000000001</v>
      </c>
      <c r="M1407">
        <v>-0.99530370000000001</v>
      </c>
      <c r="N1407">
        <v>0</v>
      </c>
      <c r="O1407">
        <v>-9.5851720000000001E-2</v>
      </c>
      <c r="P1407">
        <v>-0.99835870000000004</v>
      </c>
      <c r="Q1407">
        <v>-3.9410069999999998E-2</v>
      </c>
      <c r="R1407">
        <v>4.1559690000000003E-2</v>
      </c>
      <c r="S1407">
        <v>-2.9667210000000002</v>
      </c>
      <c r="T1407">
        <v>-0.82834969999999997</v>
      </c>
      <c r="U1407">
        <v>0.13351440000000001</v>
      </c>
      <c r="V1407">
        <v>0.13697619999999999</v>
      </c>
      <c r="W1407">
        <v>-2.6506399999999999E-2</v>
      </c>
      <c r="X1407">
        <v>0.99021970000000004</v>
      </c>
      <c r="Y1407">
        <v>0.13182279999999999</v>
      </c>
      <c r="Z1407">
        <v>4.428319E-2</v>
      </c>
      <c r="AA1407">
        <v>0.99028369999999999</v>
      </c>
      <c r="AB1407">
        <v>19</v>
      </c>
      <c r="AC1407">
        <v>-0.52969999999999096</v>
      </c>
      <c r="AD1407">
        <v>-0.201959</v>
      </c>
      <c r="AE1407">
        <v>4.7599999999988499E-2</v>
      </c>
      <c r="AF1407">
        <v>8.5787325498807604E-2</v>
      </c>
      <c r="AG1407">
        <v>-0.201959</v>
      </c>
      <c r="AH1407">
        <v>0.45682258261174202</v>
      </c>
      <c r="AI1407">
        <v>113.484945161772</v>
      </c>
      <c r="AJ1407">
        <v>79.364219870862996</v>
      </c>
      <c r="AK1407">
        <v>0.50678770198308898</v>
      </c>
      <c r="AL1407">
        <v>91.518882650611204</v>
      </c>
      <c r="AM1407">
        <v>82.124306235916194</v>
      </c>
      <c r="AN1407">
        <v>1.00000006143774</v>
      </c>
    </row>
    <row r="1408" spans="1:40" x14ac:dyDescent="0.25">
      <c r="A1408" t="str">
        <f>"20190312161253189"</f>
        <v>20190312161253189</v>
      </c>
      <c r="B1408" t="str">
        <f>"1552378373176885"</f>
        <v>1552378373176885</v>
      </c>
      <c r="C1408" t="s">
        <v>40</v>
      </c>
      <c r="D1408">
        <v>6.0109589999999997</v>
      </c>
      <c r="E1408">
        <v>0.50373639999999997</v>
      </c>
      <c r="F1408" t="s">
        <v>43</v>
      </c>
      <c r="G1408">
        <v>-213.87020000000001</v>
      </c>
      <c r="H1408">
        <v>0.91377399999999998</v>
      </c>
      <c r="I1408">
        <v>283.49430000000001</v>
      </c>
      <c r="J1408">
        <v>-213.36510000000001</v>
      </c>
      <c r="K1408">
        <v>1.1088309999999999</v>
      </c>
      <c r="L1408">
        <v>283.44630000000001</v>
      </c>
      <c r="M1408">
        <v>-0.99561339999999998</v>
      </c>
      <c r="N1408">
        <v>0</v>
      </c>
      <c r="O1408">
        <v>-9.2579889999999998E-2</v>
      </c>
      <c r="P1408">
        <v>-0.99823669999999998</v>
      </c>
      <c r="Q1408">
        <v>-3.8883719999999997E-2</v>
      </c>
      <c r="R1408">
        <v>4.4852379999999997E-2</v>
      </c>
      <c r="S1408">
        <v>-2.9663390000000001</v>
      </c>
      <c r="T1408">
        <v>-0.8283722</v>
      </c>
      <c r="U1408">
        <v>0.141571</v>
      </c>
      <c r="V1408">
        <v>0.13699810000000001</v>
      </c>
      <c r="W1408">
        <v>-2.5959289999999999E-2</v>
      </c>
      <c r="X1408">
        <v>0.99023110000000003</v>
      </c>
      <c r="Y1408">
        <v>0.1313974</v>
      </c>
      <c r="Z1408">
        <v>4.3335739999999998E-2</v>
      </c>
      <c r="AA1408">
        <v>0.99038210000000004</v>
      </c>
      <c r="AB1408">
        <v>18</v>
      </c>
      <c r="AC1408">
        <v>-0.505099999999998</v>
      </c>
      <c r="AD1408">
        <v>-0.19505699999999901</v>
      </c>
      <c r="AE1408">
        <v>4.8000000000001798E-2</v>
      </c>
      <c r="AF1408">
        <v>8.2384117204486004E-2</v>
      </c>
      <c r="AG1408">
        <v>-0.19505699999999901</v>
      </c>
      <c r="AH1408">
        <v>0.43429834772487702</v>
      </c>
      <c r="AI1408">
        <v>113.81005955728401</v>
      </c>
      <c r="AJ1408">
        <v>79.258913928805498</v>
      </c>
      <c r="AK1408">
        <v>0.48316604894499898</v>
      </c>
      <c r="AL1408">
        <v>91.487524861428099</v>
      </c>
      <c r="AM1408">
        <v>82.123152405408106</v>
      </c>
      <c r="AN1408">
        <v>0.99999999777406201</v>
      </c>
    </row>
    <row r="1409" spans="1:40" x14ac:dyDescent="0.25">
      <c r="A1409" t="str">
        <f>"20190312161253209"</f>
        <v>20190312161253209</v>
      </c>
      <c r="B1409" t="str">
        <f>"1552378373197382"</f>
        <v>1552378373197382</v>
      </c>
      <c r="C1409" t="s">
        <v>40</v>
      </c>
      <c r="D1409">
        <v>5.9559199999999999</v>
      </c>
      <c r="E1409">
        <v>0.50369419999999998</v>
      </c>
      <c r="F1409" t="s">
        <v>43</v>
      </c>
      <c r="G1409">
        <v>-214.18729999999999</v>
      </c>
      <c r="H1409">
        <v>0.87814689999999995</v>
      </c>
      <c r="I1409">
        <v>283.48899999999998</v>
      </c>
      <c r="J1409">
        <v>-213.53229999999999</v>
      </c>
      <c r="K1409">
        <v>1.1089199999999999</v>
      </c>
      <c r="L1409">
        <v>283.4341</v>
      </c>
      <c r="M1409">
        <v>-0.9958591</v>
      </c>
      <c r="N1409">
        <v>0</v>
      </c>
      <c r="O1409">
        <v>-8.9901690000000006E-2</v>
      </c>
      <c r="P1409">
        <v>-0.99810920000000003</v>
      </c>
      <c r="Q1409">
        <v>-3.9249859999999998E-2</v>
      </c>
      <c r="R1409">
        <v>4.730446E-2</v>
      </c>
      <c r="S1409">
        <v>-2.9660190000000002</v>
      </c>
      <c r="T1409">
        <v>-0.83185949999999997</v>
      </c>
      <c r="U1409">
        <v>0.1530762</v>
      </c>
      <c r="V1409">
        <v>0.13677039999999999</v>
      </c>
      <c r="W1409">
        <v>-2.6306369999999999E-2</v>
      </c>
      <c r="X1409">
        <v>0.99025339999999995</v>
      </c>
      <c r="Y1409">
        <v>0.13255839999999999</v>
      </c>
      <c r="Z1409">
        <v>4.2937700000000002E-2</v>
      </c>
      <c r="AA1409">
        <v>0.99024469999999998</v>
      </c>
      <c r="AB1409">
        <v>18</v>
      </c>
      <c r="AC1409">
        <v>-0.65500000000000103</v>
      </c>
      <c r="AD1409">
        <v>-0.23077310000000001</v>
      </c>
      <c r="AE1409">
        <v>5.4900000000031902E-2</v>
      </c>
      <c r="AF1409">
        <v>0.101105622605586</v>
      </c>
      <c r="AG1409">
        <v>-0.23077310000000001</v>
      </c>
      <c r="AH1409">
        <v>0.57636433707865198</v>
      </c>
      <c r="AI1409">
        <v>111.52291906903</v>
      </c>
      <c r="AJ1409">
        <v>80.050427195557802</v>
      </c>
      <c r="AK1409">
        <v>0.62902656514823596</v>
      </c>
      <c r="AL1409">
        <v>91.5074178986644</v>
      </c>
      <c r="AM1409">
        <v>82.136255197808495</v>
      </c>
      <c r="AN1409">
        <v>0.99999998181514804</v>
      </c>
    </row>
    <row r="1410" spans="1:40" x14ac:dyDescent="0.25">
      <c r="A1410" t="str">
        <f>"20190312161253231"</f>
        <v>20190312161253231</v>
      </c>
      <c r="B1410" t="str">
        <f>"1552378373227171"</f>
        <v>1552378373227171</v>
      </c>
      <c r="C1410" t="s">
        <v>40</v>
      </c>
      <c r="D1410">
        <v>5.7446380000000001</v>
      </c>
      <c r="E1410">
        <v>0.48933710000000002</v>
      </c>
      <c r="F1410" t="s">
        <v>43</v>
      </c>
      <c r="G1410">
        <v>-214.3519</v>
      </c>
      <c r="H1410">
        <v>0.87789019999999995</v>
      </c>
      <c r="I1410">
        <v>283.47829999999999</v>
      </c>
      <c r="J1410">
        <v>-213.70920000000001</v>
      </c>
      <c r="K1410">
        <v>1.1089899999999999</v>
      </c>
      <c r="L1410">
        <v>283.42140000000001</v>
      </c>
      <c r="M1410">
        <v>-0.99609919999999996</v>
      </c>
      <c r="N1410">
        <v>0</v>
      </c>
      <c r="O1410">
        <v>-8.7201509999999996E-2</v>
      </c>
      <c r="P1410">
        <v>-0.99797970000000003</v>
      </c>
      <c r="Q1410">
        <v>-3.9527029999999998E-2</v>
      </c>
      <c r="R1410">
        <v>4.9742120000000001E-2</v>
      </c>
      <c r="S1410">
        <v>-2.965271</v>
      </c>
      <c r="T1410">
        <v>-0.83558330000000003</v>
      </c>
      <c r="U1410">
        <v>0.1591187</v>
      </c>
      <c r="V1410">
        <v>0.13650779999999901</v>
      </c>
      <c r="W1410">
        <v>-2.656888E-2</v>
      </c>
      <c r="X1410">
        <v>0.99028269999999996</v>
      </c>
      <c r="Y1410">
        <v>0.13194910000000001</v>
      </c>
      <c r="Z1410">
        <v>4.2302890000000003E-2</v>
      </c>
      <c r="AA1410">
        <v>0.99035340000000005</v>
      </c>
      <c r="AB1410">
        <v>18</v>
      </c>
      <c r="AC1410">
        <v>-0.64269999999998995</v>
      </c>
      <c r="AD1410">
        <v>-0.23109979999999999</v>
      </c>
      <c r="AE1410">
        <v>5.6899999999984602E-2</v>
      </c>
      <c r="AF1410">
        <v>9.9914702679718498E-2</v>
      </c>
      <c r="AG1410">
        <v>-0.23109979999999999</v>
      </c>
      <c r="AH1410">
        <v>0.56305494320594895</v>
      </c>
      <c r="AI1410">
        <v>112.004901694126</v>
      </c>
      <c r="AJ1410">
        <v>79.937548470076507</v>
      </c>
      <c r="AK1410">
        <v>0.61678272871431095</v>
      </c>
      <c r="AL1410">
        <v>91.522463761127796</v>
      </c>
      <c r="AM1410">
        <v>82.151394610495799</v>
      </c>
      <c r="AN1410">
        <v>1.0000000553822901</v>
      </c>
    </row>
    <row r="1411" spans="1:40" x14ac:dyDescent="0.25">
      <c r="A1411" t="str">
        <f>"20190312161253255"</f>
        <v>20190312161253255</v>
      </c>
      <c r="B1411" t="str">
        <f>"1552378373246690"</f>
        <v>1552378373246690</v>
      </c>
      <c r="C1411" t="s">
        <v>40</v>
      </c>
      <c r="D1411">
        <v>6.020149</v>
      </c>
      <c r="E1411">
        <v>0.48939709999999997</v>
      </c>
      <c r="F1411" t="s">
        <v>69</v>
      </c>
      <c r="G1411">
        <v>-234.3365</v>
      </c>
      <c r="H1411" s="1">
        <v>8.0398380000000005E-7</v>
      </c>
      <c r="I1411">
        <v>283.85860000000002</v>
      </c>
      <c r="J1411">
        <v>-213.9119</v>
      </c>
      <c r="K1411">
        <v>1.1090439999999999</v>
      </c>
      <c r="L1411">
        <v>283.4074</v>
      </c>
      <c r="M1411">
        <v>-0.99635269999999998</v>
      </c>
      <c r="N1411">
        <v>0</v>
      </c>
      <c r="O1411">
        <v>-8.4258970000000002E-2</v>
      </c>
      <c r="P1411">
        <v>-0.99786200000000003</v>
      </c>
      <c r="Q1411">
        <v>-3.9646830000000001E-2</v>
      </c>
      <c r="R1411">
        <v>5.1957200000000002E-2</v>
      </c>
      <c r="S1411">
        <v>-2.996521</v>
      </c>
      <c r="T1411">
        <v>-0.16110239999999901</v>
      </c>
      <c r="U1411">
        <v>6.3507079999999994E-2</v>
      </c>
      <c r="V1411">
        <v>0.13578409999999999</v>
      </c>
      <c r="W1411">
        <v>-2.6676890000000002E-2</v>
      </c>
      <c r="X1411">
        <v>0.99037920000000002</v>
      </c>
      <c r="Y1411">
        <v>0.105088</v>
      </c>
      <c r="Z1411">
        <v>7.3462140000000002E-3</v>
      </c>
      <c r="AA1411">
        <v>0.99443579999999998</v>
      </c>
      <c r="AB1411">
        <v>18</v>
      </c>
      <c r="AC1411">
        <v>-20.424600000000002</v>
      </c>
      <c r="AD1411">
        <v>-1.1090431960161999</v>
      </c>
      <c r="AE1411">
        <v>0.45120000000002802</v>
      </c>
      <c r="AF1411">
        <v>2.1643290945684099</v>
      </c>
      <c r="AG1411">
        <v>-1.1090431960161999</v>
      </c>
      <c r="AH1411">
        <v>20.254244595820499</v>
      </c>
      <c r="AI1411">
        <v>93.116455851140103</v>
      </c>
      <c r="AJ1411">
        <v>83.900629930587698</v>
      </c>
      <c r="AK1411">
        <v>20.399723561547301</v>
      </c>
      <c r="AL1411">
        <v>91.528654604271793</v>
      </c>
      <c r="AM1411">
        <v>82.193241058834701</v>
      </c>
      <c r="AN1411">
        <v>0.99999996903276001</v>
      </c>
    </row>
    <row r="1412" spans="1:40" x14ac:dyDescent="0.25">
      <c r="A1412" t="str">
        <f>"20190312161253276"</f>
        <v>20190312161253276</v>
      </c>
      <c r="B1412" t="str">
        <f>"1552378373267186"</f>
        <v>1552378373267186</v>
      </c>
      <c r="C1412" t="s">
        <v>40</v>
      </c>
      <c r="D1412">
        <v>5.9619010000000001</v>
      </c>
      <c r="E1412">
        <v>0.48999310000000001</v>
      </c>
      <c r="F1412" t="s">
        <v>69</v>
      </c>
      <c r="G1412">
        <v>-239.24430000000001</v>
      </c>
      <c r="H1412" s="1">
        <v>3.4090689999999999E-6</v>
      </c>
      <c r="I1412">
        <v>284.00990000000002</v>
      </c>
      <c r="J1412">
        <v>-214.0926</v>
      </c>
      <c r="K1412">
        <v>1.1090789999999999</v>
      </c>
      <c r="L1412">
        <v>283.39519999999999</v>
      </c>
      <c r="M1412">
        <v>-0.99656160000000005</v>
      </c>
      <c r="N1412">
        <v>0</v>
      </c>
      <c r="O1412">
        <v>-8.1752340000000007E-2</v>
      </c>
      <c r="P1412">
        <v>-0.99773369999999995</v>
      </c>
      <c r="Q1412">
        <v>-4.0283340000000001E-2</v>
      </c>
      <c r="R1412">
        <v>5.389762E-2</v>
      </c>
      <c r="S1412">
        <v>-2.9974820000000002</v>
      </c>
      <c r="T1412">
        <v>-0.13122819999999999</v>
      </c>
      <c r="U1412">
        <v>7.1289060000000001E-2</v>
      </c>
      <c r="V1412">
        <v>0.135217899999999</v>
      </c>
      <c r="W1412">
        <v>-2.7307419999999999E-2</v>
      </c>
      <c r="X1412">
        <v>0.99043950000000003</v>
      </c>
      <c r="Y1412">
        <v>0.1052543</v>
      </c>
      <c r="Z1412">
        <v>5.8776119999999999E-3</v>
      </c>
      <c r="AA1412">
        <v>0.99442799999999998</v>
      </c>
      <c r="AB1412">
        <v>18</v>
      </c>
      <c r="AC1412">
        <v>-25.151700000000002</v>
      </c>
      <c r="AD1412">
        <v>-1.1090755909309999</v>
      </c>
      <c r="AE1412">
        <v>0.614700000000027</v>
      </c>
      <c r="AF1412">
        <v>2.6638624688878001</v>
      </c>
      <c r="AG1412">
        <v>-1.1090755909309999</v>
      </c>
      <c r="AH1412">
        <v>24.968715640357502</v>
      </c>
      <c r="AI1412">
        <v>92.528993571335207</v>
      </c>
      <c r="AJ1412">
        <v>83.910262983776903</v>
      </c>
      <c r="AK1412">
        <v>25.134895516961699</v>
      </c>
      <c r="AL1412">
        <v>91.564794449678104</v>
      </c>
      <c r="AM1412">
        <v>82.225862721115604</v>
      </c>
      <c r="AN1412">
        <v>0.99999998941385804</v>
      </c>
    </row>
    <row r="1413" spans="1:40" x14ac:dyDescent="0.25">
      <c r="A1413" t="str">
        <f>"20190312161253299"</f>
        <v>20190312161253299</v>
      </c>
      <c r="B1413" t="str">
        <f>"1552378373286706"</f>
        <v>1552378373286706</v>
      </c>
      <c r="C1413" t="s">
        <v>40</v>
      </c>
      <c r="D1413">
        <v>5.9531510000000001</v>
      </c>
      <c r="E1413">
        <v>0.49076259999999999</v>
      </c>
      <c r="F1413" t="s">
        <v>69</v>
      </c>
      <c r="G1413">
        <v>-240.65029999999999</v>
      </c>
      <c r="H1413" s="1">
        <v>-1.1907220000000001E-6</v>
      </c>
      <c r="I1413">
        <v>284.12020000000001</v>
      </c>
      <c r="J1413">
        <v>-214.2732</v>
      </c>
      <c r="K1413">
        <v>1.1091089999999999</v>
      </c>
      <c r="L1413">
        <v>283.38339999999999</v>
      </c>
      <c r="M1413">
        <v>-0.99675599999999998</v>
      </c>
      <c r="N1413">
        <v>0</v>
      </c>
      <c r="O1413">
        <v>-7.9347799999999996E-2</v>
      </c>
      <c r="P1413">
        <v>-0.99756940000000005</v>
      </c>
      <c r="Q1413">
        <v>-4.1530499999999998E-2</v>
      </c>
      <c r="R1413">
        <v>5.5951939999999999E-2</v>
      </c>
      <c r="S1413">
        <v>-2.9973450000000001</v>
      </c>
      <c r="T1413">
        <v>-0.12517259999999999</v>
      </c>
      <c r="U1413">
        <v>8.1817630000000002E-2</v>
      </c>
      <c r="V1413">
        <v>0.13486289999999901</v>
      </c>
      <c r="W1413">
        <v>-2.8551030000000002E-2</v>
      </c>
      <c r="X1413">
        <v>0.99045280000000002</v>
      </c>
      <c r="Y1413">
        <v>0.10636420000000001</v>
      </c>
      <c r="Z1413">
        <v>5.529745E-3</v>
      </c>
      <c r="AA1413">
        <v>0.99431190000000003</v>
      </c>
      <c r="AB1413">
        <v>18</v>
      </c>
      <c r="AC1413">
        <v>-26.377099999999899</v>
      </c>
      <c r="AD1413">
        <v>-1.109110190722</v>
      </c>
      <c r="AE1413">
        <v>0.736800000000016</v>
      </c>
      <c r="AF1413">
        <v>2.8226444640646799</v>
      </c>
      <c r="AG1413">
        <v>-1.109110190722</v>
      </c>
      <c r="AH1413">
        <v>26.189181171227901</v>
      </c>
      <c r="AI1413">
        <v>92.4110767491686</v>
      </c>
      <c r="AJ1413">
        <v>83.848462700387898</v>
      </c>
      <c r="AK1413">
        <v>26.3641927167338</v>
      </c>
      <c r="AL1413">
        <v>91.636075920627505</v>
      </c>
      <c r="AM1413">
        <v>82.246127119323504</v>
      </c>
      <c r="AN1413">
        <v>0.99999995606915404</v>
      </c>
    </row>
    <row r="1414" spans="1:40" x14ac:dyDescent="0.25">
      <c r="A1414" t="str">
        <f>"20190312161253320"</f>
        <v>20190312161253320</v>
      </c>
      <c r="B1414" t="str">
        <f>"1552378373317468"</f>
        <v>1552378373317468</v>
      </c>
      <c r="C1414" t="s">
        <v>40</v>
      </c>
      <c r="D1414">
        <v>6.0549119999999998</v>
      </c>
      <c r="E1414">
        <v>0.49114340000000001</v>
      </c>
      <c r="F1414" t="s">
        <v>69</v>
      </c>
      <c r="G1414">
        <v>-238.6807</v>
      </c>
      <c r="H1414" s="1">
        <v>3.1030889999999999E-6</v>
      </c>
      <c r="I1414">
        <v>284.149</v>
      </c>
      <c r="J1414">
        <v>-214.4485</v>
      </c>
      <c r="K1414">
        <v>1.109146</v>
      </c>
      <c r="L1414">
        <v>283.3723</v>
      </c>
      <c r="M1414">
        <v>-0.99693299999999996</v>
      </c>
      <c r="N1414">
        <v>0</v>
      </c>
      <c r="O1414">
        <v>-7.7094430000000005E-2</v>
      </c>
      <c r="P1414">
        <v>-0.99741009999999997</v>
      </c>
      <c r="Q1414">
        <v>-4.2643739999999999E-2</v>
      </c>
      <c r="R1414">
        <v>5.7920510000000001E-2</v>
      </c>
      <c r="S1414">
        <v>-2.9963839999999999</v>
      </c>
      <c r="T1414">
        <v>-0.13615910000000001</v>
      </c>
      <c r="U1414">
        <v>9.3994140000000004E-2</v>
      </c>
      <c r="V1414">
        <v>0.13457479999999999</v>
      </c>
      <c r="W1414">
        <v>-2.9660220000000001E-2</v>
      </c>
      <c r="X1414">
        <v>0.99045939999999999</v>
      </c>
      <c r="Y1414">
        <v>0.10813300000000001</v>
      </c>
      <c r="Z1414">
        <v>5.9543309999999898E-3</v>
      </c>
      <c r="AA1414">
        <v>0.99411859999999996</v>
      </c>
      <c r="AB1414">
        <v>18</v>
      </c>
      <c r="AC1414">
        <v>-24.232199999999999</v>
      </c>
      <c r="AD1414">
        <v>-1.109142896911</v>
      </c>
      <c r="AE1414">
        <v>0.77670000000000505</v>
      </c>
      <c r="AF1414">
        <v>2.63720539890442</v>
      </c>
      <c r="AG1414">
        <v>-1.109142896911</v>
      </c>
      <c r="AH1414">
        <v>24.049848937947701</v>
      </c>
      <c r="AI1414">
        <v>92.624812730973801</v>
      </c>
      <c r="AJ1414">
        <v>83.742187734008596</v>
      </c>
      <c r="AK1414">
        <v>24.219419568187099</v>
      </c>
      <c r="AL1414">
        <v>91.699654754181097</v>
      </c>
      <c r="AM1414">
        <v>82.262541348983405</v>
      </c>
      <c r="AN1414">
        <v>0.99999996424692295</v>
      </c>
    </row>
    <row r="1415" spans="1:40" x14ac:dyDescent="0.25">
      <c r="A1415" t="str">
        <f>"20190312161253342"</f>
        <v>20190312161253342</v>
      </c>
      <c r="B1415" t="str">
        <f>"1552378373336989"</f>
        <v>1552378373336989</v>
      </c>
      <c r="C1415" t="s">
        <v>40</v>
      </c>
      <c r="D1415">
        <v>6.0434609999999997</v>
      </c>
      <c r="E1415">
        <v>0.49098320000000001</v>
      </c>
      <c r="F1415" t="s">
        <v>69</v>
      </c>
      <c r="G1415">
        <v>-238.56710000000001</v>
      </c>
      <c r="H1415" s="1">
        <v>3.0403389999999999E-6</v>
      </c>
      <c r="I1415">
        <v>284.20170000000002</v>
      </c>
      <c r="J1415">
        <v>-214.63239999999999</v>
      </c>
      <c r="K1415">
        <v>1.1091789999999999</v>
      </c>
      <c r="L1415">
        <v>283.36079999999998</v>
      </c>
      <c r="M1415">
        <v>-0.99710759999999998</v>
      </c>
      <c r="N1415">
        <v>0</v>
      </c>
      <c r="O1415">
        <v>-7.4802960000000002E-2</v>
      </c>
      <c r="P1415">
        <v>-0.99726219999999999</v>
      </c>
      <c r="Q1415">
        <v>-4.3346589999999997E-2</v>
      </c>
      <c r="R1415">
        <v>5.9911720000000002E-2</v>
      </c>
      <c r="S1415">
        <v>-2.9959259999999999</v>
      </c>
      <c r="T1415">
        <v>-0.13777349999999999</v>
      </c>
      <c r="U1415">
        <v>0.1030273</v>
      </c>
      <c r="V1415">
        <v>0.134274799999999</v>
      </c>
      <c r="W1415">
        <v>-3.0357579999999999E-2</v>
      </c>
      <c r="X1415">
        <v>0.99047909999999995</v>
      </c>
      <c r="Y1415">
        <v>0.1088442</v>
      </c>
      <c r="Z1415">
        <v>5.93678E-3</v>
      </c>
      <c r="AA1415">
        <v>0.99404110000000001</v>
      </c>
      <c r="AB1415">
        <v>18</v>
      </c>
      <c r="AC1415">
        <v>-23.934699999999999</v>
      </c>
      <c r="AD1415">
        <v>-1.109175959661</v>
      </c>
      <c r="AE1415">
        <v>0.84090000000003295</v>
      </c>
      <c r="AF1415">
        <v>2.6234649693000698</v>
      </c>
      <c r="AG1415">
        <v>-1.109175959661</v>
      </c>
      <c r="AH1415">
        <v>23.753773589095399</v>
      </c>
      <c r="AI1415">
        <v>92.657334341340601</v>
      </c>
      <c r="AJ1415">
        <v>83.697559911292601</v>
      </c>
      <c r="AK1415">
        <v>23.923933612109899</v>
      </c>
      <c r="AL1415">
        <v>91.739628349589793</v>
      </c>
      <c r="AM1415">
        <v>82.279733473947303</v>
      </c>
      <c r="AN1415">
        <v>1.00000007605765</v>
      </c>
    </row>
    <row r="1416" spans="1:40" x14ac:dyDescent="0.25">
      <c r="A1416" t="str">
        <f>"20190312161253367"</f>
        <v>20190312161253367</v>
      </c>
      <c r="B1416" t="str">
        <f>"1552378373357485"</f>
        <v>1552378373357485</v>
      </c>
      <c r="C1416" t="s">
        <v>40</v>
      </c>
      <c r="D1416">
        <v>6.0083570000000002</v>
      </c>
      <c r="E1416">
        <v>0.4905022</v>
      </c>
      <c r="F1416" t="s">
        <v>69</v>
      </c>
      <c r="G1416">
        <v>-238.0077</v>
      </c>
      <c r="H1416" s="1">
        <v>2.7426790000000001E-6</v>
      </c>
      <c r="I1416">
        <v>284.20049999999998</v>
      </c>
      <c r="J1416">
        <v>-214.82599999999999</v>
      </c>
      <c r="K1416">
        <v>1.1092120000000001</v>
      </c>
      <c r="L1416">
        <v>283.3492</v>
      </c>
      <c r="M1416">
        <v>-0.99728079999999997</v>
      </c>
      <c r="N1416">
        <v>0</v>
      </c>
      <c r="O1416">
        <v>-7.2459519999999999E-2</v>
      </c>
      <c r="P1416">
        <v>-0.99710149999999997</v>
      </c>
      <c r="Q1416">
        <v>-4.4004050000000003E-2</v>
      </c>
      <c r="R1416">
        <v>6.2066339999999998E-2</v>
      </c>
      <c r="S1416">
        <v>-2.99559</v>
      </c>
      <c r="T1416">
        <v>-0.14214299999999999</v>
      </c>
      <c r="U1416">
        <v>0.10760500000000001</v>
      </c>
      <c r="V1416">
        <v>0.1340865</v>
      </c>
      <c r="W1416">
        <v>-3.1009490000000001E-2</v>
      </c>
      <c r="X1416">
        <v>0.99048440000000004</v>
      </c>
      <c r="Y1416">
        <v>0.10802009999999999</v>
      </c>
      <c r="Z1416">
        <v>5.9949390000000003E-3</v>
      </c>
      <c r="AA1416">
        <v>0.99413059999999998</v>
      </c>
      <c r="AB1416">
        <v>18</v>
      </c>
      <c r="AC1416">
        <v>-23.181699999999999</v>
      </c>
      <c r="AD1416">
        <v>-1.109209257321</v>
      </c>
      <c r="AE1416">
        <v>0.85129999999997996</v>
      </c>
      <c r="AF1416">
        <v>2.5231794214195999</v>
      </c>
      <c r="AG1416">
        <v>-1.109209257321</v>
      </c>
      <c r="AH1416">
        <v>23.006460295819402</v>
      </c>
      <c r="AI1416">
        <v>92.743834140779498</v>
      </c>
      <c r="AJ1416">
        <v>83.741233824904299</v>
      </c>
      <c r="AK1416">
        <v>23.170973111035199</v>
      </c>
      <c r="AL1416">
        <v>91.776997658838397</v>
      </c>
      <c r="AM1416">
        <v>82.290470433444597</v>
      </c>
      <c r="AN1416">
        <v>1.00000006229783</v>
      </c>
    </row>
    <row r="1417" spans="1:40" x14ac:dyDescent="0.25">
      <c r="A1417" t="str">
        <f>"20190312161253389"</f>
        <v>20190312161253389</v>
      </c>
      <c r="B1417" t="str">
        <f>"1552378373377004"</f>
        <v>1552378373377004</v>
      </c>
      <c r="C1417" t="s">
        <v>40</v>
      </c>
      <c r="D1417">
        <v>6.0595689999999998</v>
      </c>
      <c r="E1417">
        <v>0.49006650000000002</v>
      </c>
      <c r="F1417" t="s">
        <v>69</v>
      </c>
      <c r="G1417">
        <v>-238.16919999999999</v>
      </c>
      <c r="H1417" s="1">
        <v>2.8282770000000001E-6</v>
      </c>
      <c r="I1417">
        <v>284.20890000000003</v>
      </c>
      <c r="J1417">
        <v>-215.0067</v>
      </c>
      <c r="K1417">
        <v>1.1092360000000001</v>
      </c>
      <c r="L1417">
        <v>283.33870000000002</v>
      </c>
      <c r="M1417">
        <v>-0.99743309999999996</v>
      </c>
      <c r="N1417">
        <v>0</v>
      </c>
      <c r="O1417">
        <v>-7.0334960000000002E-2</v>
      </c>
      <c r="P1417">
        <v>-0.99691969999999996</v>
      </c>
      <c r="Q1417">
        <v>-4.5430030000000003E-2</v>
      </c>
      <c r="R1417">
        <v>6.3932269999999999E-2</v>
      </c>
      <c r="S1417">
        <v>-2.9955599999999998</v>
      </c>
      <c r="T1417">
        <v>-0.142341</v>
      </c>
      <c r="U1417">
        <v>0.110321</v>
      </c>
      <c r="V1417">
        <v>0.13382469999999999</v>
      </c>
      <c r="W1417">
        <v>-3.2431649999999999E-2</v>
      </c>
      <c r="X1417">
        <v>0.99047419999999997</v>
      </c>
      <c r="Y1417">
        <v>0.1068061</v>
      </c>
      <c r="Z1417">
        <v>5.8737069999999997E-3</v>
      </c>
      <c r="AA1417">
        <v>0.99426250000000005</v>
      </c>
      <c r="AB1417">
        <v>18</v>
      </c>
      <c r="AC1417">
        <v>-23.162499999999898</v>
      </c>
      <c r="AD1417">
        <v>-1.109233171723</v>
      </c>
      <c r="AE1417">
        <v>0.87020000000001096</v>
      </c>
      <c r="AF1417">
        <v>2.49161866047017</v>
      </c>
      <c r="AG1417">
        <v>-1.109233171723</v>
      </c>
      <c r="AH1417">
        <v>22.991261859690301</v>
      </c>
      <c r="AI1417">
        <v>92.746088371812206</v>
      </c>
      <c r="AJ1417">
        <v>83.814856384764894</v>
      </c>
      <c r="AK1417">
        <v>23.152466038832699</v>
      </c>
      <c r="AL1417">
        <v>91.858522564592406</v>
      </c>
      <c r="AM1417">
        <v>82.305264263950505</v>
      </c>
      <c r="AN1417">
        <v>1.00000000155872</v>
      </c>
    </row>
    <row r="1418" spans="1:40" x14ac:dyDescent="0.25">
      <c r="A1418" t="str">
        <f>"20190312161253412"</f>
        <v>20190312161253412</v>
      </c>
      <c r="B1418" t="str">
        <f>"1552378373407261"</f>
        <v>1552378373407261</v>
      </c>
      <c r="C1418" t="s">
        <v>40</v>
      </c>
      <c r="D1418">
        <v>5.9512019999999897</v>
      </c>
      <c r="E1418">
        <v>0.48961640000000001</v>
      </c>
      <c r="F1418" t="s">
        <v>69</v>
      </c>
      <c r="G1418">
        <v>-237.8664</v>
      </c>
      <c r="H1418" s="1">
        <v>2.6676559999999999E-6</v>
      </c>
      <c r="I1418">
        <v>284.19670000000002</v>
      </c>
      <c r="J1418">
        <v>-215.1908</v>
      </c>
      <c r="K1418">
        <v>1.1092550000000001</v>
      </c>
      <c r="L1418">
        <v>283.32830000000001</v>
      </c>
      <c r="M1418">
        <v>-0.99757929999999995</v>
      </c>
      <c r="N1418">
        <v>0</v>
      </c>
      <c r="O1418">
        <v>-6.823005E-2</v>
      </c>
      <c r="P1418">
        <v>-0.99673429999999996</v>
      </c>
      <c r="Q1418">
        <v>-4.6443539999999998E-2</v>
      </c>
      <c r="R1418">
        <v>6.6059660000000006E-2</v>
      </c>
      <c r="S1418">
        <v>-2.995422</v>
      </c>
      <c r="T1418">
        <v>-0.14534830000000001</v>
      </c>
      <c r="U1418">
        <v>0.11242679999999999</v>
      </c>
      <c r="V1418">
        <v>0.13384480000000001</v>
      </c>
      <c r="W1418">
        <v>-3.3445210000000003E-2</v>
      </c>
      <c r="X1418">
        <v>0.99043780000000003</v>
      </c>
      <c r="Y1418">
        <v>0.1054032</v>
      </c>
      <c r="Z1418">
        <v>5.8619400000000004E-3</v>
      </c>
      <c r="AA1418">
        <v>0.99441230000000003</v>
      </c>
      <c r="AB1418">
        <v>18</v>
      </c>
      <c r="AC1418">
        <v>-22.675599999999999</v>
      </c>
      <c r="AD1418">
        <v>-1.10925233234399</v>
      </c>
      <c r="AE1418">
        <v>0.86840000000000805</v>
      </c>
      <c r="AF1418">
        <v>2.4079189510733499</v>
      </c>
      <c r="AG1418">
        <v>-1.10925233234399</v>
      </c>
      <c r="AH1418">
        <v>22.509704377440801</v>
      </c>
      <c r="AI1418">
        <v>92.805209181777997</v>
      </c>
      <c r="AJ1418">
        <v>83.894147583117103</v>
      </c>
      <c r="AK1418">
        <v>22.665288561399901</v>
      </c>
      <c r="AL1418">
        <v>91.916626762402203</v>
      </c>
      <c r="AM1418">
        <v>82.303842946455603</v>
      </c>
      <c r="AN1418">
        <v>1.00000002411391</v>
      </c>
    </row>
    <row r="1419" spans="1:40" x14ac:dyDescent="0.25">
      <c r="A1419" t="str">
        <f>"20190312161253433"</f>
        <v>20190312161253433</v>
      </c>
      <c r="B1419" t="str">
        <f>"1552378373427287"</f>
        <v>1552378373427287</v>
      </c>
      <c r="C1419" t="s">
        <v>40</v>
      </c>
      <c r="D1419">
        <v>5.9603539999999997</v>
      </c>
      <c r="E1419">
        <v>0.489176</v>
      </c>
      <c r="F1419" t="s">
        <v>69</v>
      </c>
      <c r="G1419">
        <v>-237.80109999999999</v>
      </c>
      <c r="H1419" s="1">
        <v>2.6328509999999999E-6</v>
      </c>
      <c r="I1419">
        <v>284.1986</v>
      </c>
      <c r="J1419">
        <v>-215.3656</v>
      </c>
      <c r="K1419">
        <v>1.1092599999999999</v>
      </c>
      <c r="L1419">
        <v>283.31869999999998</v>
      </c>
      <c r="M1419">
        <v>-0.99771160000000003</v>
      </c>
      <c r="N1419">
        <v>0</v>
      </c>
      <c r="O1419">
        <v>-6.626862E-2</v>
      </c>
      <c r="P1419">
        <v>-0.99656809999999996</v>
      </c>
      <c r="Q1419">
        <v>-4.7168469999999997E-2</v>
      </c>
      <c r="R1419">
        <v>6.8025240000000001E-2</v>
      </c>
      <c r="S1419">
        <v>-2.9953460000000001</v>
      </c>
      <c r="T1419">
        <v>-0.14695</v>
      </c>
      <c r="U1419">
        <v>0.11529540000000001</v>
      </c>
      <c r="V1419">
        <v>0.13384760000000001</v>
      </c>
      <c r="W1419">
        <v>-3.4173120000000001E-2</v>
      </c>
      <c r="X1419">
        <v>0.99041250000000003</v>
      </c>
      <c r="Y1419">
        <v>0.10439900000000001</v>
      </c>
      <c r="Z1419">
        <v>5.8058809999999997E-3</v>
      </c>
      <c r="AA1419">
        <v>0.99451849999999997</v>
      </c>
      <c r="AB1419">
        <v>18</v>
      </c>
      <c r="AC1419">
        <v>-22.435499999999902</v>
      </c>
      <c r="AD1419">
        <v>-1.109257367149</v>
      </c>
      <c r="AE1419">
        <v>0.87990000000002</v>
      </c>
      <c r="AF1419">
        <v>2.3591109168172699</v>
      </c>
      <c r="AG1419">
        <v>-1.109257367149</v>
      </c>
      <c r="AH1419">
        <v>22.2734944861059</v>
      </c>
      <c r="AI1419">
        <v>92.835237781222503</v>
      </c>
      <c r="AJ1419">
        <v>83.954023070142796</v>
      </c>
      <c r="AK1419">
        <v>22.425530380506299</v>
      </c>
      <c r="AL1419">
        <v>91.958356932892897</v>
      </c>
      <c r="AM1419">
        <v>82.3034896292246</v>
      </c>
      <c r="AN1419">
        <v>0.99999995115627105</v>
      </c>
    </row>
    <row r="1420" spans="1:40" x14ac:dyDescent="0.25">
      <c r="A1420" t="str">
        <f>"20190312161253454"</f>
        <v>20190312161253454</v>
      </c>
      <c r="B1420" t="str">
        <f>"1552378373446807"</f>
        <v>1552378373446807</v>
      </c>
      <c r="C1420" t="s">
        <v>40</v>
      </c>
      <c r="D1420">
        <v>5.8588339999999999</v>
      </c>
      <c r="E1420">
        <v>0.48918119999999998</v>
      </c>
      <c r="F1420" t="s">
        <v>69</v>
      </c>
      <c r="G1420">
        <v>-237.4468</v>
      </c>
      <c r="H1420" s="1">
        <v>2.4448599999999998E-6</v>
      </c>
      <c r="I1420">
        <v>284.18579999999997</v>
      </c>
      <c r="J1420">
        <v>-215.54519999999999</v>
      </c>
      <c r="K1420">
        <v>1.109259</v>
      </c>
      <c r="L1420">
        <v>283.30919999999998</v>
      </c>
      <c r="M1420">
        <v>-0.99784150000000005</v>
      </c>
      <c r="N1420">
        <v>0</v>
      </c>
      <c r="O1420">
        <v>-6.4283740000000006E-2</v>
      </c>
      <c r="P1420">
        <v>-0.99645399999999995</v>
      </c>
      <c r="Q1420">
        <v>-4.7075779999999998E-2</v>
      </c>
      <c r="R1420">
        <v>6.9738159999999993E-2</v>
      </c>
      <c r="S1420">
        <v>-2.9951780000000001</v>
      </c>
      <c r="T1420">
        <v>-0.15046379999999901</v>
      </c>
      <c r="U1420">
        <v>0.1176147</v>
      </c>
      <c r="V1420">
        <v>0.13358039999999999</v>
      </c>
      <c r="W1420">
        <v>-3.408394E-2</v>
      </c>
      <c r="X1420">
        <v>0.99045170000000005</v>
      </c>
      <c r="Y1420">
        <v>0.10318570000000001</v>
      </c>
      <c r="Z1420">
        <v>5.8148330000000002E-3</v>
      </c>
      <c r="AA1420">
        <v>0.99464509999999995</v>
      </c>
      <c r="AB1420">
        <v>18</v>
      </c>
      <c r="AC1420">
        <v>-21.901599999999998</v>
      </c>
      <c r="AD1420">
        <v>-1.10925655514</v>
      </c>
      <c r="AE1420">
        <v>0.87659999999999605</v>
      </c>
      <c r="AF1420">
        <v>2.2769985212540198</v>
      </c>
      <c r="AG1420">
        <v>-1.10925655514</v>
      </c>
      <c r="AH1420">
        <v>21.744247726198001</v>
      </c>
      <c r="AI1420">
        <v>92.904489433929896</v>
      </c>
      <c r="AJ1420">
        <v>84.021929426984698</v>
      </c>
      <c r="AK1420">
        <v>21.891264960005898</v>
      </c>
      <c r="AL1420">
        <v>91.953244213166599</v>
      </c>
      <c r="AM1420">
        <v>82.318970936174495</v>
      </c>
      <c r="AN1420">
        <v>1.00000000413148</v>
      </c>
    </row>
    <row r="1421" spans="1:40" x14ac:dyDescent="0.25">
      <c r="A1421" t="str">
        <f>"20190312161253478"</f>
        <v>20190312161253478</v>
      </c>
      <c r="B1421" t="str">
        <f>"1552378373467302"</f>
        <v>1552378373467302</v>
      </c>
      <c r="C1421" t="s">
        <v>40</v>
      </c>
      <c r="D1421">
        <v>5.9462320000000002</v>
      </c>
      <c r="E1421">
        <v>0.48880760000000001</v>
      </c>
      <c r="F1421" t="s">
        <v>69</v>
      </c>
      <c r="G1421">
        <v>-237.63140000000001</v>
      </c>
      <c r="H1421" s="1">
        <v>2.5418310000000002E-6</v>
      </c>
      <c r="I1421">
        <v>284.21480000000003</v>
      </c>
      <c r="J1421">
        <v>-215.73269999999999</v>
      </c>
      <c r="K1421">
        <v>1.109256</v>
      </c>
      <c r="L1421">
        <v>283.29969999999997</v>
      </c>
      <c r="M1421">
        <v>-0.99797119999999995</v>
      </c>
      <c r="N1421">
        <v>0</v>
      </c>
      <c r="O1421">
        <v>-6.2239219999999998E-2</v>
      </c>
      <c r="P1421">
        <v>-0.99629469999999998</v>
      </c>
      <c r="Q1421">
        <v>-4.7418929999999998E-2</v>
      </c>
      <c r="R1421">
        <v>7.1751869999999995E-2</v>
      </c>
      <c r="S1421">
        <v>-2.99498</v>
      </c>
      <c r="T1421">
        <v>-0.15041969999999999</v>
      </c>
      <c r="U1421">
        <v>0.1228027</v>
      </c>
      <c r="V1421">
        <v>0.133551</v>
      </c>
      <c r="W1421">
        <v>-3.44321E-2</v>
      </c>
      <c r="X1421">
        <v>0.99044359999999998</v>
      </c>
      <c r="Y1421">
        <v>0.1028737</v>
      </c>
      <c r="Z1421">
        <v>5.7030350000000004E-3</v>
      </c>
      <c r="AA1421">
        <v>0.99467810000000001</v>
      </c>
      <c r="AB1421">
        <v>18</v>
      </c>
      <c r="AC1421">
        <v>-21.898700000000002</v>
      </c>
      <c r="AD1421">
        <v>-1.1092534581689999</v>
      </c>
      <c r="AE1421">
        <v>0.91510000000005198</v>
      </c>
      <c r="AF1421">
        <v>2.2705903152836102</v>
      </c>
      <c r="AG1421">
        <v>-1.1092534581689999</v>
      </c>
      <c r="AH1421">
        <v>21.743583545839499</v>
      </c>
      <c r="AI1421">
        <v>92.904657345130602</v>
      </c>
      <c r="AJ1421">
        <v>84.038451528625302</v>
      </c>
      <c r="AK1421">
        <v>21.889939447819899</v>
      </c>
      <c r="AL1421">
        <v>91.973204071550796</v>
      </c>
      <c r="AM1421">
        <v>82.320579241513101</v>
      </c>
      <c r="AN1421">
        <v>0.999999981946184</v>
      </c>
    </row>
    <row r="1422" spans="1:40" x14ac:dyDescent="0.25">
      <c r="A1422" t="str">
        <f>"20190312161253499"</f>
        <v>20190312161253499</v>
      </c>
      <c r="B1422" t="str">
        <f>"1552378373486823"</f>
        <v>1552378373486823</v>
      </c>
      <c r="C1422" t="s">
        <v>40</v>
      </c>
      <c r="D1422">
        <v>6.0486690000000003</v>
      </c>
      <c r="E1422">
        <v>0.48839379999999999</v>
      </c>
      <c r="F1422" t="s">
        <v>69</v>
      </c>
      <c r="G1422">
        <v>-237.87280000000001</v>
      </c>
      <c r="H1422" s="1">
        <v>2.669567E-6</v>
      </c>
      <c r="I1422">
        <v>284.23070000000001</v>
      </c>
      <c r="J1422">
        <v>-215.90389999999999</v>
      </c>
      <c r="K1422">
        <v>1.109254</v>
      </c>
      <c r="L1422">
        <v>283.2912</v>
      </c>
      <c r="M1422">
        <v>-0.99808470000000005</v>
      </c>
      <c r="N1422">
        <v>0</v>
      </c>
      <c r="O1422">
        <v>-6.0393710000000003E-2</v>
      </c>
      <c r="P1422">
        <v>-0.99608890000000005</v>
      </c>
      <c r="Q1422">
        <v>-4.8215429999999997E-2</v>
      </c>
      <c r="R1422">
        <v>7.4045749999999994E-2</v>
      </c>
      <c r="S1422">
        <v>-2.9949650000000001</v>
      </c>
      <c r="T1422">
        <v>-0.15005250000000001</v>
      </c>
      <c r="U1422">
        <v>0.125946</v>
      </c>
      <c r="V1422">
        <v>0.133995899999999</v>
      </c>
      <c r="W1422">
        <v>-3.5233970000000003E-2</v>
      </c>
      <c r="X1422">
        <v>0.99035530000000005</v>
      </c>
      <c r="Y1422">
        <v>0.10208109999999999</v>
      </c>
      <c r="Z1422">
        <v>5.5769239999999996E-3</v>
      </c>
      <c r="AA1422">
        <v>0.99476050000000005</v>
      </c>
      <c r="AB1422">
        <v>18</v>
      </c>
      <c r="AC1422">
        <v>-21.968900000000001</v>
      </c>
      <c r="AD1422">
        <v>-1.1092513304330001</v>
      </c>
      <c r="AE1422">
        <v>0.93950000000000899</v>
      </c>
      <c r="AF1422">
        <v>2.2589387558681699</v>
      </c>
      <c r="AG1422">
        <v>-1.1092513304330001</v>
      </c>
      <c r="AH1422">
        <v>21.816528319899302</v>
      </c>
      <c r="AI1422">
        <v>92.895219063564696</v>
      </c>
      <c r="AJ1422">
        <v>84.088515187859102</v>
      </c>
      <c r="AK1422">
        <v>21.961196478102</v>
      </c>
      <c r="AL1422">
        <v>92.019175748333595</v>
      </c>
      <c r="AM1422">
        <v>82.294624789120405</v>
      </c>
      <c r="AN1422">
        <v>0.99999997704843002</v>
      </c>
    </row>
    <row r="1423" spans="1:40" x14ac:dyDescent="0.25">
      <c r="A1423" t="str">
        <f>"20190312161253522"</f>
        <v>20190312161253522</v>
      </c>
      <c r="B1423" t="str">
        <f>"1552378373517413"</f>
        <v>1552378373517413</v>
      </c>
      <c r="C1423" t="s">
        <v>40</v>
      </c>
      <c r="D1423">
        <v>5.906765</v>
      </c>
      <c r="E1423">
        <v>0.48768479999999997</v>
      </c>
      <c r="F1423" t="s">
        <v>69</v>
      </c>
      <c r="G1423">
        <v>-237.9759</v>
      </c>
      <c r="H1423" s="1">
        <v>2.723729E-6</v>
      </c>
      <c r="I1423">
        <v>284.24689999999998</v>
      </c>
      <c r="J1423">
        <v>-216.08609999999999</v>
      </c>
      <c r="K1423">
        <v>1.1092569999999999</v>
      </c>
      <c r="L1423">
        <v>283.28250000000003</v>
      </c>
      <c r="M1423">
        <v>-0.99820019999999998</v>
      </c>
      <c r="N1423">
        <v>0</v>
      </c>
      <c r="O1423">
        <v>-5.8454119999999998E-2</v>
      </c>
      <c r="P1423">
        <v>-0.9958475</v>
      </c>
      <c r="Q1423">
        <v>-4.9190440000000002E-2</v>
      </c>
      <c r="R1423">
        <v>7.6607120000000001E-2</v>
      </c>
      <c r="S1423">
        <v>-2.9948579999999998</v>
      </c>
      <c r="T1423">
        <v>-0.1505098</v>
      </c>
      <c r="U1423">
        <v>0.12966920000000001</v>
      </c>
      <c r="V1423">
        <v>0.13461389999999901</v>
      </c>
      <c r="W1423">
        <v>-3.621299E-2</v>
      </c>
      <c r="X1423">
        <v>0.99023620000000001</v>
      </c>
      <c r="Y1423">
        <v>0.101386</v>
      </c>
      <c r="Z1423">
        <v>5.4792219999999997E-3</v>
      </c>
      <c r="AA1423">
        <v>0.9948321</v>
      </c>
      <c r="AB1423">
        <v>18</v>
      </c>
      <c r="AC1423">
        <v>-21.889800000000001</v>
      </c>
      <c r="AD1423">
        <v>-1.109254276271</v>
      </c>
      <c r="AE1423">
        <v>0.96439999999995496</v>
      </c>
      <c r="AF1423">
        <v>2.2366820523201301</v>
      </c>
      <c r="AG1423">
        <v>-1.109254276271</v>
      </c>
      <c r="AH1423">
        <v>21.7402668589827</v>
      </c>
      <c r="AI1423">
        <v>92.905561032041007</v>
      </c>
      <c r="AJ1423">
        <v>84.125962638517606</v>
      </c>
      <c r="AK1423">
        <v>21.8831532177696</v>
      </c>
      <c r="AL1423">
        <v>92.075305229990306</v>
      </c>
      <c r="AM1423">
        <v>82.258597137376796</v>
      </c>
      <c r="AN1423">
        <v>1.0000000072541899</v>
      </c>
    </row>
    <row r="1424" spans="1:40" x14ac:dyDescent="0.25">
      <c r="A1424" t="str">
        <f>"20190312161253556"</f>
        <v>20190312161253556</v>
      </c>
      <c r="B1424" t="str">
        <f>"1552378373546692"</f>
        <v>1552378373546692</v>
      </c>
      <c r="C1424" t="s">
        <v>40</v>
      </c>
      <c r="D1424">
        <v>5.9417</v>
      </c>
      <c r="E1424">
        <v>0.48731740000000001</v>
      </c>
      <c r="F1424" t="s">
        <v>69</v>
      </c>
      <c r="G1424">
        <v>-237.82589999999999</v>
      </c>
      <c r="H1424" s="1">
        <v>2.6442419999999999E-6</v>
      </c>
      <c r="I1424">
        <v>284.2389</v>
      </c>
      <c r="J1424">
        <v>-216.36060000000001</v>
      </c>
      <c r="K1424">
        <v>1.109275</v>
      </c>
      <c r="L1424">
        <v>283.27010000000001</v>
      </c>
      <c r="M1424">
        <v>-0.99836360000000002</v>
      </c>
      <c r="N1424">
        <v>0</v>
      </c>
      <c r="O1424">
        <v>-5.5596810000000003E-2</v>
      </c>
      <c r="P1424">
        <v>-0.99564149999999996</v>
      </c>
      <c r="Q1424">
        <v>-4.9213319999999998E-2</v>
      </c>
      <c r="R1424">
        <v>7.922469E-2</v>
      </c>
      <c r="S1424">
        <v>-2.9948269999999999</v>
      </c>
      <c r="T1424">
        <v>-0.15280869999999999</v>
      </c>
      <c r="U1424">
        <v>0.13174439999999901</v>
      </c>
      <c r="V1424">
        <v>0.13438530000000001</v>
      </c>
      <c r="W1424">
        <v>-3.623113E-2</v>
      </c>
      <c r="X1424">
        <v>0.9902666</v>
      </c>
      <c r="Y1424">
        <v>9.9227129999999997E-2</v>
      </c>
      <c r="Z1424">
        <v>5.36222E-3</v>
      </c>
      <c r="AA1424">
        <v>0.9950504</v>
      </c>
      <c r="AB1424">
        <v>18</v>
      </c>
      <c r="AC1424">
        <v>-21.4652999999999</v>
      </c>
      <c r="AD1424">
        <v>-1.109272355758</v>
      </c>
      <c r="AE1424">
        <v>0.968799999999987</v>
      </c>
      <c r="AF1424">
        <v>2.15506685169944</v>
      </c>
      <c r="AG1424">
        <v>-1.109272355758</v>
      </c>
      <c r="AH1424">
        <v>21.321402333042499</v>
      </c>
      <c r="AI1424">
        <v>92.963128344737498</v>
      </c>
      <c r="AJ1424">
        <v>84.228413988581295</v>
      </c>
      <c r="AK1424">
        <v>21.458727728875601</v>
      </c>
      <c r="AL1424">
        <v>92.076345228631197</v>
      </c>
      <c r="AM1424">
        <v>82.271818884668804</v>
      </c>
      <c r="AN1424">
        <v>1.00000002135636</v>
      </c>
    </row>
    <row r="1425" spans="1:40" x14ac:dyDescent="0.25">
      <c r="A1425" t="str">
        <f>"20190312161253580"</f>
        <v>20190312161253580</v>
      </c>
      <c r="B1425" t="str">
        <f>"1552378373576949"</f>
        <v>1552378373576949</v>
      </c>
      <c r="C1425" t="s">
        <v>40</v>
      </c>
      <c r="D1425">
        <v>5.8928799999999999</v>
      </c>
      <c r="E1425">
        <v>0.48684630000000001</v>
      </c>
      <c r="F1425" t="s">
        <v>69</v>
      </c>
      <c r="G1425">
        <v>-237.86600000000001</v>
      </c>
      <c r="H1425" s="1">
        <v>2.6650479999999999E-6</v>
      </c>
      <c r="I1425">
        <v>284.25150000000002</v>
      </c>
      <c r="J1425">
        <v>-216.5564</v>
      </c>
      <c r="K1425">
        <v>1.109299</v>
      </c>
      <c r="L1425">
        <v>283.26159999999999</v>
      </c>
      <c r="M1425">
        <v>-0.99847169999999996</v>
      </c>
      <c r="N1425">
        <v>0</v>
      </c>
      <c r="O1425">
        <v>-5.3616709999999998E-2</v>
      </c>
      <c r="P1425">
        <v>-0.9952976</v>
      </c>
      <c r="Q1425">
        <v>-5.1055650000000001E-2</v>
      </c>
      <c r="R1425">
        <v>8.2316849999999997E-2</v>
      </c>
      <c r="S1425">
        <v>-2.9946440000000001</v>
      </c>
      <c r="T1425">
        <v>-0.15446689999999999</v>
      </c>
      <c r="U1425">
        <v>0.13665769999999999</v>
      </c>
      <c r="V1425">
        <v>0.1354901</v>
      </c>
      <c r="W1425">
        <v>-3.8073839999999998E-2</v>
      </c>
      <c r="X1425">
        <v>0.99004689999999995</v>
      </c>
      <c r="Y1425">
        <v>9.8884399999999997E-2</v>
      </c>
      <c r="Z1425">
        <v>5.3096949999999997E-3</v>
      </c>
      <c r="AA1425">
        <v>0.99508479999999999</v>
      </c>
      <c r="AB1425">
        <v>18</v>
      </c>
      <c r="AC1425">
        <v>-21.3095999999999</v>
      </c>
      <c r="AD1425">
        <v>-1.109296334952</v>
      </c>
      <c r="AE1425">
        <v>0.98990000000003397</v>
      </c>
      <c r="AF1425">
        <v>2.1253820145100302</v>
      </c>
      <c r="AG1425">
        <v>-1.109296334952</v>
      </c>
      <c r="AH1425">
        <v>21.168622417239</v>
      </c>
      <c r="AI1425">
        <v>92.984739852387605</v>
      </c>
      <c r="AJ1425">
        <v>84.266576156257301</v>
      </c>
      <c r="AK1425">
        <v>21.303951795616999</v>
      </c>
      <c r="AL1425">
        <v>92.181997682337695</v>
      </c>
      <c r="AM1425">
        <v>82.207353962048799</v>
      </c>
      <c r="AN1425">
        <v>1.00000002434498</v>
      </c>
    </row>
    <row r="1426" spans="1:40" x14ac:dyDescent="0.25">
      <c r="A1426" t="str">
        <f>"20190312161253645"</f>
        <v>20190312161253645</v>
      </c>
      <c r="B1426" t="str">
        <f>"1552378373636990"</f>
        <v>1552378373636990</v>
      </c>
      <c r="C1426" t="s">
        <v>40</v>
      </c>
      <c r="D1426">
        <v>5.891667</v>
      </c>
      <c r="E1426">
        <v>0.48618519999999998</v>
      </c>
      <c r="F1426" t="s">
        <v>69</v>
      </c>
      <c r="G1426">
        <v>-237.04929999999999</v>
      </c>
      <c r="H1426" s="1">
        <v>2.2312330000000002E-6</v>
      </c>
      <c r="I1426">
        <v>284.23349999999999</v>
      </c>
      <c r="J1426">
        <v>-217.08160000000001</v>
      </c>
      <c r="K1426">
        <v>1.109378</v>
      </c>
      <c r="L1426">
        <v>283.24040000000002</v>
      </c>
      <c r="M1426">
        <v>-0.99872740000000004</v>
      </c>
      <c r="N1426">
        <v>0</v>
      </c>
      <c r="O1426">
        <v>-4.8624960000000002E-2</v>
      </c>
      <c r="P1426">
        <v>-0.99478060000000001</v>
      </c>
      <c r="Q1426">
        <v>-5.1021919999999998E-2</v>
      </c>
      <c r="R1426">
        <v>8.8365920000000001E-2</v>
      </c>
      <c r="S1426">
        <v>-2.99411</v>
      </c>
      <c r="T1426">
        <v>-0.16207369999999999</v>
      </c>
      <c r="U1426">
        <v>0.14199829999999999</v>
      </c>
      <c r="V1426">
        <v>0.1365672</v>
      </c>
      <c r="W1426">
        <v>-3.8026560000000001E-2</v>
      </c>
      <c r="X1426">
        <v>0.98990069999999997</v>
      </c>
      <c r="Y1426">
        <v>9.5680420000000002E-2</v>
      </c>
      <c r="Z1426">
        <v>5.2152129999999998E-3</v>
      </c>
      <c r="AA1426">
        <v>0.99539849999999996</v>
      </c>
      <c r="AB1426">
        <v>18</v>
      </c>
      <c r="AC1426">
        <v>-19.967699999999901</v>
      </c>
      <c r="AD1426">
        <v>-1.1093757687670001</v>
      </c>
      <c r="AE1426">
        <v>0.99309999999997001</v>
      </c>
      <c r="AF1426">
        <v>1.9569150759587799</v>
      </c>
      <c r="AG1426">
        <v>-1.1093757687670001</v>
      </c>
      <c r="AH1426">
        <v>19.834708649141898</v>
      </c>
      <c r="AI1426">
        <v>93.185840944368394</v>
      </c>
      <c r="AJ1426">
        <v>84.3653680877092</v>
      </c>
      <c r="AK1426">
        <v>19.961861095779199</v>
      </c>
      <c r="AL1426">
        <v>92.179286811251401</v>
      </c>
      <c r="AM1426">
        <v>82.145029719772495</v>
      </c>
      <c r="AN1426">
        <v>1.0000000076208799</v>
      </c>
    </row>
    <row r="1427" spans="1:40" x14ac:dyDescent="0.25">
      <c r="A1427" t="str">
        <f>"20190312161253667"</f>
        <v>20190312161253667</v>
      </c>
      <c r="B1427" t="str">
        <f>"1552378373657487"</f>
        <v>1552378373657487</v>
      </c>
      <c r="C1427" t="s">
        <v>40</v>
      </c>
      <c r="D1427">
        <v>5.7901910000000001</v>
      </c>
      <c r="E1427">
        <v>0.48577809999999999</v>
      </c>
      <c r="F1427" t="s">
        <v>69</v>
      </c>
      <c r="G1427">
        <v>-237.64529999999999</v>
      </c>
      <c r="H1427" s="1">
        <v>2.545286E-6</v>
      </c>
      <c r="I1427">
        <v>284.30509999999998</v>
      </c>
      <c r="J1427">
        <v>-217.25810000000001</v>
      </c>
      <c r="K1427">
        <v>1.1094170000000001</v>
      </c>
      <c r="L1427">
        <v>283.2337</v>
      </c>
      <c r="M1427">
        <v>-0.99880190000000002</v>
      </c>
      <c r="N1427">
        <v>0</v>
      </c>
      <c r="O1427">
        <v>-4.7073289999999997E-2</v>
      </c>
      <c r="P1427">
        <v>-0.99467910000000004</v>
      </c>
      <c r="Q1427">
        <v>-5.1092600000000002E-2</v>
      </c>
      <c r="R1427">
        <v>8.9460960000000006E-2</v>
      </c>
      <c r="S1427">
        <v>-2.9936980000000002</v>
      </c>
      <c r="T1427">
        <v>-0.1615046</v>
      </c>
      <c r="U1427">
        <v>0.15499879999999999</v>
      </c>
      <c r="V1427">
        <v>0.1361222</v>
      </c>
      <c r="W1427">
        <v>-3.8087490000000002E-2</v>
      </c>
      <c r="X1427">
        <v>0.9899597</v>
      </c>
      <c r="Y1427">
        <v>9.8451800000000006E-2</v>
      </c>
      <c r="Z1427">
        <v>5.1882209999999998E-3</v>
      </c>
      <c r="AA1427">
        <v>0.99512829999999997</v>
      </c>
      <c r="AB1427">
        <v>18</v>
      </c>
      <c r="AC1427">
        <v>-20.387199999999901</v>
      </c>
      <c r="AD1427">
        <v>-1.1094144547139999</v>
      </c>
      <c r="AE1427">
        <v>1.0713999999999799</v>
      </c>
      <c r="AF1427">
        <v>2.02401342722347</v>
      </c>
      <c r="AG1427">
        <v>-1.1094144547139999</v>
      </c>
      <c r="AH1427">
        <v>20.2543440217094</v>
      </c>
      <c r="AI1427">
        <v>93.1196877048733</v>
      </c>
      <c r="AJ1427">
        <v>84.293386765740195</v>
      </c>
      <c r="AK1427">
        <v>20.385433096592799</v>
      </c>
      <c r="AL1427">
        <v>92.182780261874697</v>
      </c>
      <c r="AM1427">
        <v>82.170767778911895</v>
      </c>
      <c r="AN1427">
        <v>1.0000000589257101</v>
      </c>
    </row>
    <row r="1428" spans="1:40" x14ac:dyDescent="0.25">
      <c r="A1428" t="str">
        <f>"20190312161253690"</f>
        <v>20190312161253690</v>
      </c>
      <c r="B1428" t="str">
        <f>"1552378373686767"</f>
        <v>1552378373686767</v>
      </c>
      <c r="C1428" t="s">
        <v>40</v>
      </c>
      <c r="D1428">
        <v>5.8158649999999996</v>
      </c>
      <c r="E1428">
        <v>0.48537629999999998</v>
      </c>
      <c r="F1428" t="s">
        <v>69</v>
      </c>
      <c r="G1428">
        <v>-237.94649999999999</v>
      </c>
      <c r="H1428" s="1">
        <v>2.7055589999999999E-6</v>
      </c>
      <c r="I1428">
        <v>284.30500000000001</v>
      </c>
      <c r="J1428">
        <v>-217.43360000000001</v>
      </c>
      <c r="K1428">
        <v>1.1094520000000001</v>
      </c>
      <c r="L1428">
        <v>283.22730000000001</v>
      </c>
      <c r="M1428">
        <v>-0.99887040000000005</v>
      </c>
      <c r="N1428">
        <v>0</v>
      </c>
      <c r="O1428">
        <v>-4.5596989999999997E-2</v>
      </c>
      <c r="P1428">
        <v>-0.99454569999999998</v>
      </c>
      <c r="Q1428">
        <v>-5.1664340000000003E-2</v>
      </c>
      <c r="R1428">
        <v>9.0607880000000002E-2</v>
      </c>
      <c r="S1428">
        <v>-2.993881</v>
      </c>
      <c r="T1428">
        <v>-0.1605463</v>
      </c>
      <c r="U1428">
        <v>0.15502929999999901</v>
      </c>
      <c r="V1428">
        <v>0.13580210000000001</v>
      </c>
      <c r="W1428">
        <v>-3.8649379999999997E-2</v>
      </c>
      <c r="X1428">
        <v>0.98998180000000002</v>
      </c>
      <c r="Y1428">
        <v>9.6994609999999995E-2</v>
      </c>
      <c r="Z1428">
        <v>5.0391009999999998E-3</v>
      </c>
      <c r="AA1428">
        <v>0.99527220000000005</v>
      </c>
      <c r="AB1428">
        <v>18</v>
      </c>
      <c r="AC1428">
        <v>-20.512899999999899</v>
      </c>
      <c r="AD1428">
        <v>-1.1094492944409999</v>
      </c>
      <c r="AE1428">
        <v>1.0776999999999901</v>
      </c>
      <c r="AF1428">
        <v>2.0061367764089901</v>
      </c>
      <c r="AG1428">
        <v>-1.1094492944409999</v>
      </c>
      <c r="AH1428">
        <v>20.382955963287301</v>
      </c>
      <c r="AI1428">
        <v>93.100596986325996</v>
      </c>
      <c r="AJ1428">
        <v>84.378923073170498</v>
      </c>
      <c r="AK1428">
        <v>20.511468896788099</v>
      </c>
      <c r="AL1428">
        <v>92.214998095874506</v>
      </c>
      <c r="AM1428">
        <v>82.189123401093198</v>
      </c>
      <c r="AN1428">
        <v>0.999999974635016</v>
      </c>
    </row>
    <row r="1429" spans="1:40" x14ac:dyDescent="0.25">
      <c r="A1429" t="str">
        <f>"20190312161253712"</f>
        <v>20190312161253712</v>
      </c>
      <c r="B1429" t="str">
        <f>"1552378373707263"</f>
        <v>1552378373707263</v>
      </c>
      <c r="C1429" t="s">
        <v>40</v>
      </c>
      <c r="D1429">
        <v>5.8482760000000003</v>
      </c>
      <c r="E1429">
        <v>0.45527119999999999</v>
      </c>
      <c r="F1429" t="s">
        <v>69</v>
      </c>
      <c r="G1429">
        <v>-238.05600000000001</v>
      </c>
      <c r="H1429" s="1">
        <v>2.7641220000000001E-6</v>
      </c>
      <c r="I1429">
        <v>284.29809999999998</v>
      </c>
      <c r="J1429">
        <v>-217.60759999999999</v>
      </c>
      <c r="K1429">
        <v>1.109486</v>
      </c>
      <c r="L1429">
        <v>283.22109999999998</v>
      </c>
      <c r="M1429">
        <v>-0.99893339999999997</v>
      </c>
      <c r="N1429">
        <v>0</v>
      </c>
      <c r="O1429">
        <v>-4.4197100000000003E-2</v>
      </c>
      <c r="P1429">
        <v>-0.99447949999999996</v>
      </c>
      <c r="Q1429">
        <v>-5.1763940000000001E-2</v>
      </c>
      <c r="R1429">
        <v>9.1275679999999998E-2</v>
      </c>
      <c r="S1429">
        <v>-2.9939119999999999</v>
      </c>
      <c r="T1429">
        <v>-0.16106719999999999</v>
      </c>
      <c r="U1429">
        <v>0.1554565</v>
      </c>
      <c r="V1429">
        <v>0.13508299999999901</v>
      </c>
      <c r="W1429">
        <v>-3.8737540000000001E-2</v>
      </c>
      <c r="X1429">
        <v>0.99007679999999998</v>
      </c>
      <c r="Y1429">
        <v>9.5743369999999994E-2</v>
      </c>
      <c r="Z1429">
        <v>4.9465500000000001E-3</v>
      </c>
      <c r="AA1429">
        <v>0.9953938</v>
      </c>
      <c r="AB1429">
        <v>18</v>
      </c>
      <c r="AC1429">
        <v>-20.4483999999999</v>
      </c>
      <c r="AD1429">
        <v>-1.109483235878</v>
      </c>
      <c r="AE1429">
        <v>1.07699999999999</v>
      </c>
      <c r="AF1429">
        <v>1.97399297348909</v>
      </c>
      <c r="AG1429">
        <v>-1.109483235878</v>
      </c>
      <c r="AH1429">
        <v>20.321152433999099</v>
      </c>
      <c r="AI1429">
        <v>93.110489007557803</v>
      </c>
      <c r="AJ1429">
        <v>84.451706419416794</v>
      </c>
      <c r="AK1429">
        <v>20.446927337766599</v>
      </c>
      <c r="AL1429">
        <v>92.220052928063893</v>
      </c>
      <c r="AM1429">
        <v>82.230713487653304</v>
      </c>
      <c r="AN1429">
        <v>1.00000004189624</v>
      </c>
    </row>
    <row r="1430" spans="1:40" x14ac:dyDescent="0.25">
      <c r="A1430" t="str">
        <f>"20190312161253734"</f>
        <v>20190312161253734</v>
      </c>
      <c r="B1430" t="str">
        <f>"1552378373727290"</f>
        <v>1552378373727290</v>
      </c>
      <c r="C1430" t="s">
        <v>40</v>
      </c>
      <c r="D1430">
        <v>5.8556739999999996</v>
      </c>
      <c r="E1430">
        <v>0.4528722</v>
      </c>
      <c r="F1430" t="s">
        <v>69</v>
      </c>
      <c r="G1430">
        <v>-240.02680000000001</v>
      </c>
      <c r="H1430" s="1">
        <v>-1.5225269999999999E-6</v>
      </c>
      <c r="I1430">
        <v>282.6155</v>
      </c>
      <c r="J1430">
        <v>-217.78800000000001</v>
      </c>
      <c r="K1430">
        <v>1.109524</v>
      </c>
      <c r="L1430">
        <v>283.21480000000003</v>
      </c>
      <c r="M1430">
        <v>-0.99899420000000005</v>
      </c>
      <c r="N1430">
        <v>0</v>
      </c>
      <c r="O1430">
        <v>-4.2799049999999998E-2</v>
      </c>
      <c r="P1430">
        <v>-0.99447580000000002</v>
      </c>
      <c r="Q1430">
        <v>-5.1498269999999999E-2</v>
      </c>
      <c r="R1430">
        <v>9.1464840000000006E-2</v>
      </c>
      <c r="S1430">
        <v>-3.0163880000000001</v>
      </c>
      <c r="T1430">
        <v>-0.14927570000000001</v>
      </c>
      <c r="U1430">
        <v>-8.1481929999999994E-2</v>
      </c>
      <c r="V1430">
        <v>0.1338906</v>
      </c>
      <c r="W1430">
        <v>-3.846049E-2</v>
      </c>
      <c r="X1430">
        <v>0.9902495</v>
      </c>
      <c r="Y1430">
        <v>1.573724E-2</v>
      </c>
      <c r="Z1430">
        <v>2.5048610000000002E-3</v>
      </c>
      <c r="AA1430">
        <v>0.99987300000000001</v>
      </c>
      <c r="AB1430">
        <v>18</v>
      </c>
      <c r="AC1430">
        <v>-22.238800000000001</v>
      </c>
      <c r="AD1430">
        <v>-1.109525522527</v>
      </c>
      <c r="AE1430">
        <v>-0.59930000000002703</v>
      </c>
      <c r="AF1430">
        <v>0.35225767833321098</v>
      </c>
      <c r="AG1430">
        <v>-1.109525522527</v>
      </c>
      <c r="AH1430">
        <v>22.188879251647698</v>
      </c>
      <c r="AI1430">
        <v>92.862255240877104</v>
      </c>
      <c r="AJ1430">
        <v>89.090482095044507</v>
      </c>
      <c r="AK1430">
        <v>22.219394564237898</v>
      </c>
      <c r="AL1430">
        <v>92.204167415397293</v>
      </c>
      <c r="AM1430">
        <v>82.299794609832006</v>
      </c>
      <c r="AN1430">
        <v>0.99999998715482497</v>
      </c>
    </row>
    <row r="1431" spans="1:40" x14ac:dyDescent="0.25">
      <c r="A1431" t="str">
        <f>"20190312161253756"</f>
        <v>20190312161253756</v>
      </c>
      <c r="B1431" t="str">
        <f>"1552378373746809"</f>
        <v>1552378373746809</v>
      </c>
      <c r="C1431" t="s">
        <v>40</v>
      </c>
      <c r="D1431">
        <v>5.8368129999999896</v>
      </c>
      <c r="E1431">
        <v>0.4522062</v>
      </c>
      <c r="F1431" t="s">
        <v>69</v>
      </c>
      <c r="G1431">
        <v>-239.0633</v>
      </c>
      <c r="H1431" s="1">
        <v>3.3783879999999998E-6</v>
      </c>
      <c r="I1431">
        <v>282.50869999999998</v>
      </c>
      <c r="J1431">
        <v>-217.96559999999999</v>
      </c>
      <c r="K1431">
        <v>1.1095520000000001</v>
      </c>
      <c r="L1431">
        <v>283.20890000000003</v>
      </c>
      <c r="M1431">
        <v>-0.99905029999999995</v>
      </c>
      <c r="N1431">
        <v>0</v>
      </c>
      <c r="O1431">
        <v>-4.14729E-2</v>
      </c>
      <c r="P1431">
        <v>-0.99447479999999999</v>
      </c>
      <c r="Q1431">
        <v>-5.0895089999999997E-2</v>
      </c>
      <c r="R1431">
        <v>9.1813909999999999E-2</v>
      </c>
      <c r="S1431">
        <v>-3.0177309999999999</v>
      </c>
      <c r="T1431">
        <v>-0.1573764</v>
      </c>
      <c r="U1431">
        <v>-0.1001587</v>
      </c>
      <c r="V1431">
        <v>0.13292860000000001</v>
      </c>
      <c r="W1431">
        <v>-3.7848989999999999E-2</v>
      </c>
      <c r="X1431">
        <v>0.99040260000000002</v>
      </c>
      <c r="Y1431">
        <v>8.2430699999999999E-3</v>
      </c>
      <c r="Z1431">
        <v>2.3748649999999999E-3</v>
      </c>
      <c r="AA1431">
        <v>0.99996320000000005</v>
      </c>
      <c r="AB1431">
        <v>18</v>
      </c>
      <c r="AC1431">
        <v>-21.0977</v>
      </c>
      <c r="AD1431">
        <v>-1.1095486216120001</v>
      </c>
      <c r="AE1431">
        <v>-0.700200000000052</v>
      </c>
      <c r="AF1431">
        <v>0.174980013677276</v>
      </c>
      <c r="AG1431">
        <v>-1.1095486216120001</v>
      </c>
      <c r="AH1431">
        <v>21.0504293850158</v>
      </c>
      <c r="AI1431">
        <v>93.017111268353403</v>
      </c>
      <c r="AJ1431">
        <v>89.5237443760427</v>
      </c>
      <c r="AK1431">
        <v>21.080376975814399</v>
      </c>
      <c r="AL1431">
        <v>92.169105629104195</v>
      </c>
      <c r="AM1431">
        <v>82.355631507492603</v>
      </c>
      <c r="AN1431">
        <v>0.99999993441436796</v>
      </c>
    </row>
    <row r="1432" spans="1:40" x14ac:dyDescent="0.25">
      <c r="A1432" t="str">
        <f>"20190312161253779"</f>
        <v>20190312161253779</v>
      </c>
      <c r="B1432" t="str">
        <f>"1552378373777065"</f>
        <v>1552378373777065</v>
      </c>
      <c r="C1432" t="s">
        <v>40</v>
      </c>
      <c r="D1432">
        <v>5.8562729999999998</v>
      </c>
      <c r="E1432">
        <v>0.45209759999999999</v>
      </c>
      <c r="F1432" t="s">
        <v>69</v>
      </c>
      <c r="G1432">
        <v>-237.7336</v>
      </c>
      <c r="H1432" s="1">
        <v>2.670183E-6</v>
      </c>
      <c r="I1432">
        <v>282.5222</v>
      </c>
      <c r="J1432">
        <v>-218.14920000000001</v>
      </c>
      <c r="K1432">
        <v>1.1095759999999999</v>
      </c>
      <c r="L1432">
        <v>283.20299999999997</v>
      </c>
      <c r="M1432">
        <v>-0.99910429999999995</v>
      </c>
      <c r="N1432">
        <v>0</v>
      </c>
      <c r="O1432">
        <v>-4.0149770000000001E-2</v>
      </c>
      <c r="P1432">
        <v>-0.99452359999999995</v>
      </c>
      <c r="Q1432">
        <v>-5.030722E-2</v>
      </c>
      <c r="R1432">
        <v>9.1607910000000001E-2</v>
      </c>
      <c r="S1432">
        <v>-3.0176699999999999</v>
      </c>
      <c r="T1432">
        <v>-0.16937729999999901</v>
      </c>
      <c r="U1432">
        <v>-0.1048279</v>
      </c>
      <c r="V1432">
        <v>0.13141659999999999</v>
      </c>
      <c r="W1432">
        <v>-3.7252680000000003E-2</v>
      </c>
      <c r="X1432">
        <v>0.99062709999999998</v>
      </c>
      <c r="Y1432">
        <v>5.3685540000000002E-3</v>
      </c>
      <c r="Z1432">
        <v>2.4009529999999999E-3</v>
      </c>
      <c r="AA1432">
        <v>0.9999827</v>
      </c>
      <c r="AB1432">
        <v>18</v>
      </c>
      <c r="AC1432">
        <v>-19.584399999999899</v>
      </c>
      <c r="AD1432">
        <v>-1.1095733298170001</v>
      </c>
      <c r="AE1432">
        <v>-0.68079999999997598</v>
      </c>
      <c r="AF1432">
        <v>0.10578926242348601</v>
      </c>
      <c r="AG1432">
        <v>-1.1095733298170001</v>
      </c>
      <c r="AH1432">
        <v>19.533317833671099</v>
      </c>
      <c r="AI1432">
        <v>93.2510961010545</v>
      </c>
      <c r="AJ1432">
        <v>89.689698440089799</v>
      </c>
      <c r="AK1432">
        <v>19.565092637999399</v>
      </c>
      <c r="AL1432">
        <v>92.134915180871502</v>
      </c>
      <c r="AM1432">
        <v>82.443264749578205</v>
      </c>
      <c r="AN1432">
        <v>1.0000000680885699</v>
      </c>
    </row>
    <row r="1433" spans="1:40" x14ac:dyDescent="0.25">
      <c r="A1433" t="str">
        <f>"20190312161253803"</f>
        <v>20190312161253803</v>
      </c>
      <c r="B1433" t="str">
        <f>"1552378373797562"</f>
        <v>1552378373797562</v>
      </c>
      <c r="C1433" t="s">
        <v>40</v>
      </c>
      <c r="D1433">
        <v>5.8764370000000001</v>
      </c>
      <c r="E1433">
        <v>0.45192369999999998</v>
      </c>
      <c r="F1433" t="s">
        <v>69</v>
      </c>
      <c r="G1433">
        <v>-236.6379</v>
      </c>
      <c r="H1433" s="1">
        <v>2.0859019999999999E-6</v>
      </c>
      <c r="I1433">
        <v>282.5496</v>
      </c>
      <c r="J1433">
        <v>-218.33340000000001</v>
      </c>
      <c r="K1433">
        <v>1.1095950000000001</v>
      </c>
      <c r="L1433">
        <v>283.19709999999998</v>
      </c>
      <c r="M1433">
        <v>-0.99915520000000002</v>
      </c>
      <c r="N1433">
        <v>0</v>
      </c>
      <c r="O1433">
        <v>-3.8865240000000002E-2</v>
      </c>
      <c r="P1433">
        <v>-0.99454520000000002</v>
      </c>
      <c r="Q1433">
        <v>-4.984922E-2</v>
      </c>
      <c r="R1433">
        <v>9.1624709999999998E-2</v>
      </c>
      <c r="S1433">
        <v>-3.0171809999999999</v>
      </c>
      <c r="T1433">
        <v>-0.18107190000000001</v>
      </c>
      <c r="U1433">
        <v>-0.106628399999999</v>
      </c>
      <c r="V1433">
        <v>0.13016340000000001</v>
      </c>
      <c r="W1433">
        <v>-3.6788069999999999E-2</v>
      </c>
      <c r="X1433">
        <v>0.99080979999999996</v>
      </c>
      <c r="Y1433">
        <v>3.4767420000000001E-3</v>
      </c>
      <c r="Z1433">
        <v>2.4331880000000002E-3</v>
      </c>
      <c r="AA1433">
        <v>0.99999099999999996</v>
      </c>
      <c r="AB1433">
        <v>18</v>
      </c>
      <c r="AC1433">
        <v>-18.304499999999901</v>
      </c>
      <c r="AD1433">
        <v>-1.1095929140979901</v>
      </c>
      <c r="AE1433">
        <v>-0.64749999999997898</v>
      </c>
      <c r="AF1433">
        <v>6.4225833007153593E-2</v>
      </c>
      <c r="AG1433">
        <v>-1.1095929140979901</v>
      </c>
      <c r="AH1433">
        <v>18.248861558801</v>
      </c>
      <c r="AI1433">
        <v>93.479473230585398</v>
      </c>
      <c r="AJ1433">
        <v>89.798351586934004</v>
      </c>
      <c r="AK1433">
        <v>18.2826767620315</v>
      </c>
      <c r="AL1433">
        <v>92.108276944687503</v>
      </c>
      <c r="AM1433">
        <v>82.515870005336296</v>
      </c>
      <c r="AN1433">
        <v>0.99999996628496102</v>
      </c>
    </row>
    <row r="1434" spans="1:40" x14ac:dyDescent="0.25">
      <c r="A1434" t="str">
        <f>"20190312161253823"</f>
        <v>20190312161253823</v>
      </c>
      <c r="B1434" t="str">
        <f>"1552378373817486"</f>
        <v>1552378373817486</v>
      </c>
      <c r="C1434" t="s">
        <v>40</v>
      </c>
      <c r="D1434">
        <v>5.8978950000000001</v>
      </c>
      <c r="E1434">
        <v>0.45184679999999999</v>
      </c>
      <c r="F1434" t="s">
        <v>69</v>
      </c>
      <c r="G1434">
        <v>-236.58439999999999</v>
      </c>
      <c r="H1434" s="1">
        <v>2.0576879999999999E-6</v>
      </c>
      <c r="I1434">
        <v>282.54329999999999</v>
      </c>
      <c r="J1434">
        <v>-218.49549999999999</v>
      </c>
      <c r="K1434">
        <v>1.1096079999999999</v>
      </c>
      <c r="L1434">
        <v>283.19220000000001</v>
      </c>
      <c r="M1434">
        <v>-0.99919740000000001</v>
      </c>
      <c r="N1434">
        <v>0</v>
      </c>
      <c r="O1434">
        <v>-3.7764939999999997E-2</v>
      </c>
      <c r="P1434">
        <v>-0.99459200000000003</v>
      </c>
      <c r="Q1434">
        <v>-4.8838640000000003E-2</v>
      </c>
      <c r="R1434">
        <v>9.1660140000000001E-2</v>
      </c>
      <c r="S1434">
        <v>-3.0172270000000001</v>
      </c>
      <c r="T1434">
        <v>-0.18343699999999999</v>
      </c>
      <c r="U1434">
        <v>-0.1080933</v>
      </c>
      <c r="V1434">
        <v>0.1291127</v>
      </c>
      <c r="W1434">
        <v>-3.5771850000000001E-2</v>
      </c>
      <c r="X1434">
        <v>0.99098450000000005</v>
      </c>
      <c r="Y1434">
        <v>1.8941540000000001E-3</v>
      </c>
      <c r="Z1434">
        <v>2.3500420000000001E-3</v>
      </c>
      <c r="AA1434">
        <v>0.99999550000000004</v>
      </c>
      <c r="AB1434">
        <v>18</v>
      </c>
      <c r="AC1434">
        <v>-18.088899999999899</v>
      </c>
      <c r="AD1434">
        <v>-1.1096059423119999</v>
      </c>
      <c r="AE1434">
        <v>-0.64890000000002601</v>
      </c>
      <c r="AF1434">
        <v>3.4620028101733501E-2</v>
      </c>
      <c r="AG1434">
        <v>-1.1096059423119999</v>
      </c>
      <c r="AH1434">
        <v>18.032735142556799</v>
      </c>
      <c r="AI1434">
        <v>93.521127725471999</v>
      </c>
      <c r="AJ1434">
        <v>89.8900012092369</v>
      </c>
      <c r="AK1434">
        <v>18.066874677573999</v>
      </c>
      <c r="AL1434">
        <v>92.050013403509496</v>
      </c>
      <c r="AM1434">
        <v>82.576900664926896</v>
      </c>
      <c r="AN1434">
        <v>0.99999999689698105</v>
      </c>
    </row>
    <row r="1435" spans="1:40" x14ac:dyDescent="0.25">
      <c r="A1435" t="str">
        <f>"20190312161253846"</f>
        <v>20190312161253846</v>
      </c>
      <c r="B1435" t="str">
        <f>"1552378373837006"</f>
        <v>1552378373837006</v>
      </c>
      <c r="C1435" t="s">
        <v>40</v>
      </c>
      <c r="D1435">
        <v>5.9059179999999998</v>
      </c>
      <c r="E1435">
        <v>0.45161040000000002</v>
      </c>
      <c r="F1435" t="s">
        <v>69</v>
      </c>
      <c r="G1435">
        <v>-236.65170000000001</v>
      </c>
      <c r="H1435" s="1">
        <v>2.0937840000000002E-6</v>
      </c>
      <c r="I1435">
        <v>282.53750000000002</v>
      </c>
      <c r="J1435">
        <v>-218.67910000000001</v>
      </c>
      <c r="K1435">
        <v>1.1096269999999999</v>
      </c>
      <c r="L1435">
        <v>283.18669999999997</v>
      </c>
      <c r="M1435">
        <v>-0.99924290000000004</v>
      </c>
      <c r="N1435">
        <v>0</v>
      </c>
      <c r="O1435">
        <v>-3.6544609999999998E-2</v>
      </c>
      <c r="P1435">
        <v>-0.99462969999999895</v>
      </c>
      <c r="Q1435">
        <v>-4.7944819999999999E-2</v>
      </c>
      <c r="R1435">
        <v>9.172495E-2</v>
      </c>
      <c r="S1435">
        <v>-3.0172880000000002</v>
      </c>
      <c r="T1435">
        <v>-0.18440019999999999</v>
      </c>
      <c r="U1435">
        <v>-0.10879519999999999</v>
      </c>
      <c r="V1435">
        <v>0.12797169999999999</v>
      </c>
      <c r="W1435">
        <v>-3.4872630000000002E-2</v>
      </c>
      <c r="X1435">
        <v>0.99116459999999995</v>
      </c>
      <c r="Y1435">
        <v>4.454684E-4</v>
      </c>
      <c r="Z1435">
        <v>2.243657E-3</v>
      </c>
      <c r="AA1435">
        <v>0.99999740000000004</v>
      </c>
      <c r="AB1435">
        <v>18</v>
      </c>
      <c r="AC1435">
        <v>-17.9726</v>
      </c>
      <c r="AD1435">
        <v>-1.109624906216</v>
      </c>
      <c r="AE1435">
        <v>-0.64919999999995004</v>
      </c>
      <c r="AF1435">
        <v>8.0631926124048407E-3</v>
      </c>
      <c r="AG1435">
        <v>-1.109624906216</v>
      </c>
      <c r="AH1435">
        <v>17.916115711485599</v>
      </c>
      <c r="AI1435">
        <v>93.544055765215305</v>
      </c>
      <c r="AJ1435">
        <v>89.974213893103794</v>
      </c>
      <c r="AK1435">
        <v>17.950446641655301</v>
      </c>
      <c r="AL1435">
        <v>91.9984595931857</v>
      </c>
      <c r="AM1435">
        <v>82.643100695262504</v>
      </c>
      <c r="AN1435">
        <v>1.0000000603085799</v>
      </c>
    </row>
    <row r="1436" spans="1:40" x14ac:dyDescent="0.25">
      <c r="A1436" t="str">
        <f>"20190312161253869"</f>
        <v>20190312161253869</v>
      </c>
      <c r="B1436" t="str">
        <f>"1552378373857502"</f>
        <v>1552378373857502</v>
      </c>
      <c r="C1436" t="s">
        <v>40</v>
      </c>
      <c r="D1436">
        <v>5.9239699999999997</v>
      </c>
      <c r="E1436">
        <v>0.4513683</v>
      </c>
      <c r="F1436" t="s">
        <v>69</v>
      </c>
      <c r="G1436">
        <v>-237.48830000000001</v>
      </c>
      <c r="H1436" s="1">
        <v>2.5406319999999999E-6</v>
      </c>
      <c r="I1436">
        <v>282.49979999999999</v>
      </c>
      <c r="J1436">
        <v>-218.8519</v>
      </c>
      <c r="K1436">
        <v>1.10965</v>
      </c>
      <c r="L1436">
        <v>283.18180000000001</v>
      </c>
      <c r="M1436">
        <v>-0.99928349999999999</v>
      </c>
      <c r="N1436">
        <v>0</v>
      </c>
      <c r="O1436">
        <v>-3.5417810000000001E-2</v>
      </c>
      <c r="P1436">
        <v>-0.99465650000000005</v>
      </c>
      <c r="Q1436">
        <v>-4.7133609999999999E-2</v>
      </c>
      <c r="R1436">
        <v>9.1854249999999998E-2</v>
      </c>
      <c r="S1436">
        <v>-3.017776</v>
      </c>
      <c r="T1436">
        <v>-0.17802999999999999</v>
      </c>
      <c r="U1436">
        <v>-0.11019900000000001</v>
      </c>
      <c r="V1436">
        <v>0.12698660000000001</v>
      </c>
      <c r="W1436">
        <v>-3.4057360000000002E-2</v>
      </c>
      <c r="X1436">
        <v>0.99131959999999997</v>
      </c>
      <c r="Y1436">
        <v>-1.131525E-3</v>
      </c>
      <c r="Z1436">
        <v>2.0531059999999999E-3</v>
      </c>
      <c r="AA1436">
        <v>0.99999729999999998</v>
      </c>
      <c r="AB1436">
        <v>18</v>
      </c>
      <c r="AC1436">
        <v>-18.636399999999998</v>
      </c>
      <c r="AD1436">
        <v>-1.1096474593679999</v>
      </c>
      <c r="AE1436">
        <v>-0.68200000000001604</v>
      </c>
      <c r="AF1436">
        <v>-2.13770971553018E-2</v>
      </c>
      <c r="AG1436">
        <v>-1.1096474593679999</v>
      </c>
      <c r="AH1436">
        <v>18.583069014261898</v>
      </c>
      <c r="AI1436">
        <v>93.4172326595382</v>
      </c>
      <c r="AJ1436">
        <v>90.0659103673364</v>
      </c>
      <c r="AK1436">
        <v>18.616181897832501</v>
      </c>
      <c r="AL1436">
        <v>91.951720366225899</v>
      </c>
      <c r="AM1436">
        <v>82.700248472608706</v>
      </c>
      <c r="AN1436">
        <v>1.0000000248469401</v>
      </c>
    </row>
    <row r="1437" spans="1:40" x14ac:dyDescent="0.25">
      <c r="A1437" t="str">
        <f>"20190312161253890"</f>
        <v>20190312161253890</v>
      </c>
      <c r="B1437" t="str">
        <f>"1552378373886783"</f>
        <v>1552378373886783</v>
      </c>
      <c r="C1437" t="s">
        <v>40</v>
      </c>
      <c r="D1437">
        <v>5.9412060000000002</v>
      </c>
      <c r="E1437">
        <v>0.45110919999999999</v>
      </c>
      <c r="F1437" t="s">
        <v>69</v>
      </c>
      <c r="G1437">
        <v>-238.2602</v>
      </c>
      <c r="H1437" s="1">
        <v>2.953034E-6</v>
      </c>
      <c r="I1437">
        <v>282.46269999999998</v>
      </c>
      <c r="J1437">
        <v>-219.02379999999999</v>
      </c>
      <c r="K1437">
        <v>1.1096569999999999</v>
      </c>
      <c r="L1437">
        <v>283.1771</v>
      </c>
      <c r="M1437">
        <v>-0.99932189999999999</v>
      </c>
      <c r="N1437">
        <v>0</v>
      </c>
      <c r="O1437">
        <v>-3.4316810000000003E-2</v>
      </c>
      <c r="P1437">
        <v>-0.99467119999999998</v>
      </c>
      <c r="Q1437">
        <v>-4.7041189999999997E-2</v>
      </c>
      <c r="R1437">
        <v>9.1741230000000007E-2</v>
      </c>
      <c r="S1437">
        <v>-3.018265</v>
      </c>
      <c r="T1437">
        <v>-0.17256550000000001</v>
      </c>
      <c r="U1437">
        <v>-0.1118164</v>
      </c>
      <c r="V1437">
        <v>0.12578319999999901</v>
      </c>
      <c r="W1437">
        <v>-3.396159E-2</v>
      </c>
      <c r="X1437">
        <v>0.99147629999999998</v>
      </c>
      <c r="Y1437">
        <v>-2.7544879999999998E-3</v>
      </c>
      <c r="Z1437">
        <v>1.880673E-3</v>
      </c>
      <c r="AA1437">
        <v>0.99999450000000001</v>
      </c>
      <c r="AB1437">
        <v>18</v>
      </c>
      <c r="AC1437">
        <v>-19.2364</v>
      </c>
      <c r="AD1437">
        <v>-1.1096540469659999</v>
      </c>
      <c r="AE1437">
        <v>-0.71440000000001103</v>
      </c>
      <c r="AF1437">
        <v>-5.3610324894242702E-2</v>
      </c>
      <c r="AG1437">
        <v>-1.1096540469659999</v>
      </c>
      <c r="AH1437">
        <v>19.1858316211732</v>
      </c>
      <c r="AI1437">
        <v>93.3101247058121</v>
      </c>
      <c r="AJ1437">
        <v>90.160099255589202</v>
      </c>
      <c r="AK1437">
        <v>19.217969225880601</v>
      </c>
      <c r="AL1437">
        <v>91.946229966835602</v>
      </c>
      <c r="AM1437">
        <v>82.769820303023494</v>
      </c>
      <c r="AN1437">
        <v>1.00000002822962</v>
      </c>
    </row>
    <row r="1438" spans="1:40" x14ac:dyDescent="0.25">
      <c r="A1438" t="str">
        <f>"20190312161253912"</f>
        <v>20190312161253912</v>
      </c>
      <c r="B1438" t="str">
        <f>"1552378373907279"</f>
        <v>1552378373907279</v>
      </c>
      <c r="C1438" t="s">
        <v>40</v>
      </c>
      <c r="D1438">
        <v>5.9757800000000003</v>
      </c>
      <c r="E1438">
        <v>0.45099489999999998</v>
      </c>
      <c r="F1438" t="s">
        <v>69</v>
      </c>
      <c r="G1438">
        <v>-239.0762</v>
      </c>
      <c r="H1438" s="1">
        <v>3.389157E-6</v>
      </c>
      <c r="I1438">
        <v>282.41969999999998</v>
      </c>
      <c r="J1438">
        <v>-219.1926</v>
      </c>
      <c r="K1438">
        <v>1.109656</v>
      </c>
      <c r="L1438">
        <v>283.17250000000001</v>
      </c>
      <c r="M1438">
        <v>-0.99935810000000003</v>
      </c>
      <c r="N1438">
        <v>0</v>
      </c>
      <c r="O1438">
        <v>-3.324949E-2</v>
      </c>
      <c r="P1438">
        <v>-0.99457930000000005</v>
      </c>
      <c r="Q1438">
        <v>-4.7270720000000002E-2</v>
      </c>
      <c r="R1438">
        <v>9.2616390000000007E-2</v>
      </c>
      <c r="S1438">
        <v>-3.0186769999999998</v>
      </c>
      <c r="T1438">
        <v>-0.16704649999999999</v>
      </c>
      <c r="U1438">
        <v>-0.1140137</v>
      </c>
      <c r="V1438">
        <v>0.1255964</v>
      </c>
      <c r="W1438">
        <v>-3.419204E-2</v>
      </c>
      <c r="X1438">
        <v>0.99149200000000004</v>
      </c>
      <c r="Y1438">
        <v>-4.5367289999999998E-3</v>
      </c>
      <c r="Z1438">
        <v>1.7121250000000001E-3</v>
      </c>
      <c r="AA1438">
        <v>0.99998830000000005</v>
      </c>
      <c r="AB1438">
        <v>18</v>
      </c>
      <c r="AC1438">
        <v>-19.883600000000001</v>
      </c>
      <c r="AD1438">
        <v>-1.109652610843</v>
      </c>
      <c r="AE1438">
        <v>-0.752800000000036</v>
      </c>
      <c r="AF1438">
        <v>-9.0922559350399196E-2</v>
      </c>
      <c r="AG1438">
        <v>-1.109652610843</v>
      </c>
      <c r="AH1438">
        <v>19.835946484634601</v>
      </c>
      <c r="AI1438">
        <v>93.201841059780605</v>
      </c>
      <c r="AJ1438">
        <v>90.262626360336498</v>
      </c>
      <c r="AK1438">
        <v>19.867168111480701</v>
      </c>
      <c r="AL1438">
        <v>91.959441568623802</v>
      </c>
      <c r="AM1438">
        <v>82.780557542866802</v>
      </c>
      <c r="AN1438">
        <v>0.99999996867815999</v>
      </c>
    </row>
    <row r="1439" spans="1:40" x14ac:dyDescent="0.25">
      <c r="A1439" t="str">
        <f>"20190312161253936"</f>
        <v>20190312161253936</v>
      </c>
      <c r="B1439" t="str">
        <f>"1552378373927305"</f>
        <v>1552378373927305</v>
      </c>
      <c r="C1439" t="s">
        <v>40</v>
      </c>
      <c r="D1439">
        <v>5.9720110000000002</v>
      </c>
      <c r="E1439">
        <v>0.45101059999999998</v>
      </c>
      <c r="F1439" t="s">
        <v>69</v>
      </c>
      <c r="G1439">
        <v>-239.2456</v>
      </c>
      <c r="H1439" s="1">
        <v>3.4789829999999998E-6</v>
      </c>
      <c r="I1439">
        <v>282.42700000000002</v>
      </c>
      <c r="J1439">
        <v>-219.38030000000001</v>
      </c>
      <c r="K1439">
        <v>1.10965</v>
      </c>
      <c r="L1439">
        <v>283.16770000000002</v>
      </c>
      <c r="M1439">
        <v>-0.99939650000000002</v>
      </c>
      <c r="N1439">
        <v>0</v>
      </c>
      <c r="O1439">
        <v>-3.2075680000000002E-2</v>
      </c>
      <c r="P1439">
        <v>-0.99446769999999995</v>
      </c>
      <c r="Q1439">
        <v>-4.7194680000000003E-2</v>
      </c>
      <c r="R1439">
        <v>9.3843880000000005E-2</v>
      </c>
      <c r="S1439">
        <v>-3.018875</v>
      </c>
      <c r="T1439">
        <v>-0.16705200000000001</v>
      </c>
      <c r="U1439">
        <v>-0.1122437</v>
      </c>
      <c r="V1439">
        <v>0.12565560000000001</v>
      </c>
      <c r="W1439">
        <v>-3.411844E-2</v>
      </c>
      <c r="X1439">
        <v>0.99148709999999995</v>
      </c>
      <c r="Y1439">
        <v>-5.120604E-3</v>
      </c>
      <c r="Z1439">
        <v>1.63111299999999E-3</v>
      </c>
      <c r="AA1439">
        <v>0.99998560000000003</v>
      </c>
      <c r="AB1439">
        <v>18</v>
      </c>
      <c r="AC1439">
        <v>-19.865299999999898</v>
      </c>
      <c r="AD1439">
        <v>-1.1096465210169999</v>
      </c>
      <c r="AE1439">
        <v>-0.74070000000000302</v>
      </c>
      <c r="AF1439">
        <v>-0.10274899437691699</v>
      </c>
      <c r="AG1439">
        <v>-1.1096465210169999</v>
      </c>
      <c r="AH1439">
        <v>19.817089961684498</v>
      </c>
      <c r="AI1439">
        <v>93.204854412418996</v>
      </c>
      <c r="AJ1439">
        <v>90.297068388212907</v>
      </c>
      <c r="AK1439">
        <v>19.848398608123201</v>
      </c>
      <c r="AL1439">
        <v>91.955222010236099</v>
      </c>
      <c r="AM1439">
        <v>82.777155260953094</v>
      </c>
      <c r="AN1439">
        <v>1.0000000336129</v>
      </c>
    </row>
    <row r="1440" spans="1:40" x14ac:dyDescent="0.25">
      <c r="A1440" t="str">
        <f>"20190312161253958"</f>
        <v>20190312161253958</v>
      </c>
      <c r="B1440" t="str">
        <f>"1552378373946825"</f>
        <v>1552378373946825</v>
      </c>
      <c r="C1440" t="s">
        <v>40</v>
      </c>
      <c r="D1440">
        <v>5.7736769999999904</v>
      </c>
      <c r="E1440">
        <v>0.45073220000000003</v>
      </c>
      <c r="F1440" t="s">
        <v>69</v>
      </c>
      <c r="G1440">
        <v>-239.4863</v>
      </c>
      <c r="H1440" s="1">
        <v>3.6062770000000001E-6</v>
      </c>
      <c r="I1440">
        <v>282.4452</v>
      </c>
      <c r="J1440">
        <v>-219.55629999999999</v>
      </c>
      <c r="K1440">
        <v>1.1096490000000001</v>
      </c>
      <c r="L1440">
        <v>283.16340000000002</v>
      </c>
      <c r="M1440">
        <v>-0.99943079999999995</v>
      </c>
      <c r="N1440">
        <v>0</v>
      </c>
      <c r="O1440">
        <v>-3.098685E-2</v>
      </c>
      <c r="P1440">
        <v>-0.99437120000000001</v>
      </c>
      <c r="Q1440">
        <v>-4.6788389999999999E-2</v>
      </c>
      <c r="R1440">
        <v>9.5064300000000004E-2</v>
      </c>
      <c r="S1440">
        <v>-3.019028</v>
      </c>
      <c r="T1440">
        <v>-0.1666192</v>
      </c>
      <c r="U1440">
        <v>-0.10849</v>
      </c>
      <c r="V1440">
        <v>0.1257934</v>
      </c>
      <c r="W1440">
        <v>-3.3714540000000001E-2</v>
      </c>
      <c r="X1440">
        <v>0.99148340000000001</v>
      </c>
      <c r="Y1440">
        <v>-4.9648909999999999E-3</v>
      </c>
      <c r="Z1440">
        <v>1.5711569999999999E-3</v>
      </c>
      <c r="AA1440">
        <v>0.9999865</v>
      </c>
      <c r="AB1440">
        <v>18</v>
      </c>
      <c r="AC1440">
        <v>-19.93</v>
      </c>
      <c r="AD1440">
        <v>-1.109645393723</v>
      </c>
      <c r="AE1440">
        <v>-0.71820000000002404</v>
      </c>
      <c r="AF1440">
        <v>-9.9922842190052305E-2</v>
      </c>
      <c r="AG1440">
        <v>-1.109645393723</v>
      </c>
      <c r="AH1440">
        <v>19.881134021790299</v>
      </c>
      <c r="AI1440">
        <v>93.194551223416397</v>
      </c>
      <c r="AJ1440">
        <v>90.287966919871394</v>
      </c>
      <c r="AK1440">
        <v>19.912327525093399</v>
      </c>
      <c r="AL1440">
        <v>91.932067005904898</v>
      </c>
      <c r="AM1440">
        <v>82.769291430512695</v>
      </c>
      <c r="AN1440">
        <v>0.99999999108326498</v>
      </c>
    </row>
    <row r="1441" spans="1:40" x14ac:dyDescent="0.25">
      <c r="A1441" t="str">
        <f>"20190312161253980"</f>
        <v>20190312161253980</v>
      </c>
      <c r="B1441" t="str">
        <f>"1552378373977081"</f>
        <v>1552378373977081</v>
      </c>
      <c r="C1441" t="s">
        <v>40</v>
      </c>
      <c r="D1441">
        <v>5.9954859999999996</v>
      </c>
      <c r="E1441">
        <v>0.45063910000000001</v>
      </c>
      <c r="F1441" t="s">
        <v>69</v>
      </c>
      <c r="G1441">
        <v>-240.1225</v>
      </c>
      <c r="H1441" s="1">
        <v>-1.471607E-6</v>
      </c>
      <c r="I1441">
        <v>282.43470000000002</v>
      </c>
      <c r="J1441">
        <v>-219.7337</v>
      </c>
      <c r="K1441">
        <v>1.1096549999999901</v>
      </c>
      <c r="L1441">
        <v>283.1592</v>
      </c>
      <c r="M1441">
        <v>-0.99946389999999996</v>
      </c>
      <c r="N1441">
        <v>0</v>
      </c>
      <c r="O1441">
        <v>-2.9900800000000002E-2</v>
      </c>
      <c r="P1441">
        <v>-0.99424670000000004</v>
      </c>
      <c r="Q1441">
        <v>-4.6769539999999998E-2</v>
      </c>
      <c r="R1441">
        <v>9.6365530000000005E-2</v>
      </c>
      <c r="S1441">
        <v>-3.0195620000000001</v>
      </c>
      <c r="T1441">
        <v>-0.16292039999999999</v>
      </c>
      <c r="U1441">
        <v>-0.1069946</v>
      </c>
      <c r="V1441">
        <v>0.1260136</v>
      </c>
      <c r="W1441">
        <v>-3.3697860000000003E-2</v>
      </c>
      <c r="X1441">
        <v>0.991456</v>
      </c>
      <c r="Y1441">
        <v>-5.5464260000000001E-3</v>
      </c>
      <c r="Z1441">
        <v>1.4618960000000001E-3</v>
      </c>
      <c r="AA1441">
        <v>0.99998350000000003</v>
      </c>
      <c r="AB1441">
        <v>17</v>
      </c>
      <c r="AC1441">
        <v>-20.3888</v>
      </c>
      <c r="AD1441">
        <v>-1.1096564716070001</v>
      </c>
      <c r="AE1441">
        <v>-0.72449999999997705</v>
      </c>
      <c r="AF1441">
        <v>-0.114142674384173</v>
      </c>
      <c r="AG1441">
        <v>-1.1096564716070001</v>
      </c>
      <c r="AH1441">
        <v>20.341171237405302</v>
      </c>
      <c r="AI1441">
        <v>93.122469070241607</v>
      </c>
      <c r="AJ1441">
        <v>90.321506799531804</v>
      </c>
      <c r="AK1441">
        <v>20.371735648798801</v>
      </c>
      <c r="AL1441">
        <v>91.931110777713201</v>
      </c>
      <c r="AM1441">
        <v>82.756570413363704</v>
      </c>
      <c r="AN1441">
        <v>0.99999998654476896</v>
      </c>
    </row>
    <row r="1442" spans="1:40" x14ac:dyDescent="0.25">
      <c r="A1442" t="str">
        <f>"20190312161254004"</f>
        <v>20190312161254004</v>
      </c>
      <c r="B1442" t="str">
        <f>"1552378373997577"</f>
        <v>1552378373997577</v>
      </c>
      <c r="C1442" t="s">
        <v>40</v>
      </c>
      <c r="D1442">
        <v>6.0074519999999998</v>
      </c>
      <c r="E1442">
        <v>0.45051229999999998</v>
      </c>
      <c r="F1442" t="s">
        <v>69</v>
      </c>
      <c r="G1442">
        <v>-240.07480000000001</v>
      </c>
      <c r="H1442" s="1">
        <v>-1.497007E-6</v>
      </c>
      <c r="I1442">
        <v>282.46030000000002</v>
      </c>
      <c r="J1442">
        <v>-219.91300000000001</v>
      </c>
      <c r="K1442">
        <v>1.1096699999999999</v>
      </c>
      <c r="L1442">
        <v>283.15519999999998</v>
      </c>
      <c r="M1442">
        <v>-0.99949569999999999</v>
      </c>
      <c r="N1442">
        <v>0</v>
      </c>
      <c r="O1442">
        <v>-2.881827E-2</v>
      </c>
      <c r="P1442">
        <v>-0.99406220000000001</v>
      </c>
      <c r="Q1442">
        <v>-4.6945430000000003E-2</v>
      </c>
      <c r="R1442">
        <v>9.8166320000000001E-2</v>
      </c>
      <c r="S1442">
        <v>-3.0196529999999999</v>
      </c>
      <c r="T1442">
        <v>-0.16472970000000001</v>
      </c>
      <c r="U1442">
        <v>-0.1037598</v>
      </c>
      <c r="V1442">
        <v>0.12673519999999999</v>
      </c>
      <c r="W1442">
        <v>-3.3876249999999997E-2</v>
      </c>
      <c r="X1442">
        <v>0.99135790000000001</v>
      </c>
      <c r="Y1442">
        <v>-5.5576499999999999E-3</v>
      </c>
      <c r="Z1442">
        <v>1.4188269999999999E-3</v>
      </c>
      <c r="AA1442">
        <v>0.99998350000000003</v>
      </c>
      <c r="AB1442">
        <v>17</v>
      </c>
      <c r="AC1442">
        <v>-20.161799999999999</v>
      </c>
      <c r="AD1442">
        <v>-1.1096714970070001</v>
      </c>
      <c r="AE1442">
        <v>-0.69489999999996099</v>
      </c>
      <c r="AF1442">
        <v>-0.11318899514364</v>
      </c>
      <c r="AG1442">
        <v>-1.1096714970070001</v>
      </c>
      <c r="AH1442">
        <v>20.112599133545501</v>
      </c>
      <c r="AI1442">
        <v>93.157925719327295</v>
      </c>
      <c r="AJ1442">
        <v>90.322443817473797</v>
      </c>
      <c r="AK1442">
        <v>20.143505814196999</v>
      </c>
      <c r="AL1442">
        <v>91.941337684700699</v>
      </c>
      <c r="AM1442">
        <v>82.714823076736593</v>
      </c>
      <c r="AN1442">
        <v>0.99999994856275498</v>
      </c>
    </row>
    <row r="1443" spans="1:40" x14ac:dyDescent="0.25">
      <c r="A1443" t="str">
        <f>"20190312161254025"</f>
        <v>20190312161254025</v>
      </c>
      <c r="B1443" t="str">
        <f>"1552378374016628"</f>
        <v>1552378374016628</v>
      </c>
      <c r="C1443" t="s">
        <v>40</v>
      </c>
      <c r="D1443">
        <v>6.0372969999999997</v>
      </c>
      <c r="E1443">
        <v>0.45039810000000002</v>
      </c>
      <c r="F1443" t="s">
        <v>69</v>
      </c>
      <c r="G1443">
        <v>-239.94220000000001</v>
      </c>
      <c r="H1443" s="1">
        <v>3.8466310000000004E-6</v>
      </c>
      <c r="I1443">
        <v>282.4966</v>
      </c>
      <c r="J1443">
        <v>-220.07919999999999</v>
      </c>
      <c r="K1443">
        <v>1.109675</v>
      </c>
      <c r="L1443">
        <v>283.15159999999997</v>
      </c>
      <c r="M1443">
        <v>-0.99952379999999996</v>
      </c>
      <c r="N1443">
        <v>0</v>
      </c>
      <c r="O1443">
        <v>-2.7830779999999999E-2</v>
      </c>
      <c r="P1443">
        <v>-0.9939443</v>
      </c>
      <c r="Q1443">
        <v>-4.7014069999999998E-2</v>
      </c>
      <c r="R1443">
        <v>9.9320629999999993E-2</v>
      </c>
      <c r="S1443">
        <v>-3.0198360000000002</v>
      </c>
      <c r="T1443">
        <v>-0.1673058</v>
      </c>
      <c r="U1443">
        <v>-9.9304199999999995E-2</v>
      </c>
      <c r="V1443">
        <v>0.12690750000000001</v>
      </c>
      <c r="W1443">
        <v>-3.394461E-2</v>
      </c>
      <c r="X1443">
        <v>0.99133349999999998</v>
      </c>
      <c r="Y1443">
        <v>-5.0701019999999999E-3</v>
      </c>
      <c r="Z1443">
        <v>1.3998019999999999E-3</v>
      </c>
      <c r="AA1443">
        <v>0.99998620000000005</v>
      </c>
      <c r="AB1443">
        <v>17</v>
      </c>
      <c r="AC1443">
        <v>-19.863</v>
      </c>
      <c r="AD1443">
        <v>-1.109671153369</v>
      </c>
      <c r="AE1443">
        <v>-0.65499999999997205</v>
      </c>
      <c r="AF1443">
        <v>-0.101577672244199</v>
      </c>
      <c r="AG1443">
        <v>-1.109671153369</v>
      </c>
      <c r="AH1443">
        <v>19.811769357672301</v>
      </c>
      <c r="AI1443">
        <v>93.205785271443105</v>
      </c>
      <c r="AJ1443">
        <v>90.293760784839705</v>
      </c>
      <c r="AK1443">
        <v>19.8430817458812</v>
      </c>
      <c r="AL1443">
        <v>91.945256716049499</v>
      </c>
      <c r="AM1443">
        <v>82.704847679150205</v>
      </c>
      <c r="AN1443">
        <v>0.99999992916327296</v>
      </c>
    </row>
    <row r="1444" spans="1:40" x14ac:dyDescent="0.25">
      <c r="A1444" t="str">
        <f>"20190312161254048"</f>
        <v>20190312161254048</v>
      </c>
      <c r="B1444" t="str">
        <f>"1552378374037124"</f>
        <v>1552378374037124</v>
      </c>
      <c r="C1444" t="s">
        <v>40</v>
      </c>
      <c r="D1444">
        <v>6.0224949999999904</v>
      </c>
      <c r="E1444">
        <v>0.45028829999999997</v>
      </c>
      <c r="F1444" t="s">
        <v>69</v>
      </c>
      <c r="G1444">
        <v>-240.02619999999999</v>
      </c>
      <c r="H1444" s="1">
        <v>-1.5228249999999999E-6</v>
      </c>
      <c r="I1444">
        <v>282.51299999999998</v>
      </c>
      <c r="J1444">
        <v>-220.25970000000001</v>
      </c>
      <c r="K1444">
        <v>1.1096889999999999</v>
      </c>
      <c r="L1444">
        <v>283.14780000000002</v>
      </c>
      <c r="M1444">
        <v>-0.99955249999999995</v>
      </c>
      <c r="N1444">
        <v>0</v>
      </c>
      <c r="O1444">
        <v>-2.6780660000000001E-2</v>
      </c>
      <c r="P1444">
        <v>-0.99385080000000003</v>
      </c>
      <c r="Q1444">
        <v>-4.6712200000000002E-2</v>
      </c>
      <c r="R1444">
        <v>0.1003935</v>
      </c>
      <c r="S1444">
        <v>-3.0199739999999999</v>
      </c>
      <c r="T1444">
        <v>-0.1680046</v>
      </c>
      <c r="U1444">
        <v>-9.6679689999999999E-2</v>
      </c>
      <c r="V1444">
        <v>0.12693789999999999</v>
      </c>
      <c r="W1444">
        <v>-3.3640879999999998E-2</v>
      </c>
      <c r="X1444">
        <v>0.99134</v>
      </c>
      <c r="Y1444">
        <v>-5.2494769999999998E-3</v>
      </c>
      <c r="Z1444">
        <v>1.3422799999999999E-3</v>
      </c>
      <c r="AA1444">
        <v>0.99998529999999997</v>
      </c>
      <c r="AB1444">
        <v>17</v>
      </c>
      <c r="AC1444">
        <v>-19.766499999999901</v>
      </c>
      <c r="AD1444">
        <v>-1.109690522825</v>
      </c>
      <c r="AE1444">
        <v>-0.634800000000041</v>
      </c>
      <c r="AF1444">
        <v>-0.104835281573379</v>
      </c>
      <c r="AG1444">
        <v>-1.109690522825</v>
      </c>
      <c r="AH1444">
        <v>19.714341460603102</v>
      </c>
      <c r="AI1444">
        <v>93.221647827025507</v>
      </c>
      <c r="AJ1444">
        <v>90.304679848047201</v>
      </c>
      <c r="AK1444">
        <v>19.745826463279901</v>
      </c>
      <c r="AL1444">
        <v>91.927844248955196</v>
      </c>
      <c r="AM1444">
        <v>82.703166325673806</v>
      </c>
      <c r="AN1444">
        <v>0.99999996743179098</v>
      </c>
    </row>
    <row r="1445" spans="1:40" x14ac:dyDescent="0.25">
      <c r="A1445" t="str">
        <f>"20190312161254092"</f>
        <v>20190312161254092</v>
      </c>
      <c r="B1445" t="str">
        <f>"1552378374086899"</f>
        <v>1552378374086899</v>
      </c>
      <c r="C1445" t="s">
        <v>40</v>
      </c>
      <c r="D1445">
        <v>6.0315200000000004</v>
      </c>
      <c r="E1445">
        <v>0.44976250000000001</v>
      </c>
      <c r="F1445" t="s">
        <v>69</v>
      </c>
      <c r="G1445">
        <v>-240.23230000000001</v>
      </c>
      <c r="H1445" s="1">
        <v>-1.4131559999999999E-6</v>
      </c>
      <c r="I1445">
        <v>282.524</v>
      </c>
      <c r="J1445">
        <v>-220.59790000000001</v>
      </c>
      <c r="K1445">
        <v>1.109721</v>
      </c>
      <c r="L1445">
        <v>283.14120000000003</v>
      </c>
      <c r="M1445">
        <v>-0.99960150000000003</v>
      </c>
      <c r="N1445">
        <v>0</v>
      </c>
      <c r="O1445">
        <v>-2.489179E-2</v>
      </c>
      <c r="P1445">
        <v>-0.99364949999999996</v>
      </c>
      <c r="Q1445">
        <v>-4.6355399999999998E-2</v>
      </c>
      <c r="R1445">
        <v>0.10252790000000001</v>
      </c>
      <c r="S1445">
        <v>-3.020203</v>
      </c>
      <c r="T1445">
        <v>-0.16780390000000001</v>
      </c>
      <c r="U1445">
        <v>-9.4329830000000003E-2</v>
      </c>
      <c r="V1445">
        <v>0.1271967</v>
      </c>
      <c r="W1445">
        <v>-3.3280089999999998E-2</v>
      </c>
      <c r="X1445">
        <v>0.99131910000000001</v>
      </c>
      <c r="Y1445">
        <v>-6.3547409999999997E-3</v>
      </c>
      <c r="Z1445">
        <v>1.2051220000000001E-3</v>
      </c>
      <c r="AA1445">
        <v>0.99997910000000001</v>
      </c>
      <c r="AB1445">
        <v>17</v>
      </c>
      <c r="AC1445">
        <v>-19.634399999999999</v>
      </c>
      <c r="AD1445">
        <v>-1.109722413156</v>
      </c>
      <c r="AE1445">
        <v>-0.61720000000002495</v>
      </c>
      <c r="AF1445">
        <v>-0.12782213262837699</v>
      </c>
      <c r="AG1445">
        <v>-1.109722413156</v>
      </c>
      <c r="AH1445">
        <v>19.581190798436801</v>
      </c>
      <c r="AI1445">
        <v>93.2435779968486</v>
      </c>
      <c r="AJ1445">
        <v>90.374010180491197</v>
      </c>
      <c r="AK1445">
        <v>19.613027696320501</v>
      </c>
      <c r="AL1445">
        <v>91.907160742687097</v>
      </c>
      <c r="AM1445">
        <v>82.6882979369407</v>
      </c>
      <c r="AN1445">
        <v>1.00000006145305</v>
      </c>
    </row>
    <row r="1446" spans="1:40" x14ac:dyDescent="0.25">
      <c r="A1446" t="str">
        <f>"20190312161254113"</f>
        <v>20190312161254113</v>
      </c>
      <c r="B1446" t="str">
        <f>"1552378374107396"</f>
        <v>1552378374107396</v>
      </c>
      <c r="C1446" t="s">
        <v>40</v>
      </c>
      <c r="D1446">
        <v>6.0553780000000001</v>
      </c>
      <c r="E1446">
        <v>0.44948389999999999</v>
      </c>
      <c r="F1446" t="s">
        <v>69</v>
      </c>
      <c r="G1446">
        <v>-240.31710000000001</v>
      </c>
      <c r="H1446" s="1">
        <v>-1.3680639999999999E-6</v>
      </c>
      <c r="I1446">
        <v>282.53899999999999</v>
      </c>
      <c r="J1446">
        <v>-220.7679</v>
      </c>
      <c r="K1446">
        <v>1.1097300000000001</v>
      </c>
      <c r="L1446">
        <v>283.13810000000001</v>
      </c>
      <c r="M1446">
        <v>-0.99962379999999995</v>
      </c>
      <c r="N1446">
        <v>0</v>
      </c>
      <c r="O1446">
        <v>-2.3977780000000001E-2</v>
      </c>
      <c r="P1446">
        <v>-0.99362790000000001</v>
      </c>
      <c r="Q1446">
        <v>-4.5885519999999999E-2</v>
      </c>
      <c r="R1446">
        <v>0.10294830000000001</v>
      </c>
      <c r="S1446">
        <v>-3.0207519999999999</v>
      </c>
      <c r="T1446">
        <v>-0.1699966</v>
      </c>
      <c r="U1446">
        <v>-9.2254639999999999E-2</v>
      </c>
      <c r="V1446">
        <v>0.12671189999999999</v>
      </c>
      <c r="W1446">
        <v>-3.2807009999999998E-2</v>
      </c>
      <c r="X1446">
        <v>0.99139690000000003</v>
      </c>
      <c r="Y1446">
        <v>-6.5760469999999998E-3</v>
      </c>
      <c r="Z1446">
        <v>1.1630500000000001E-3</v>
      </c>
      <c r="AA1446">
        <v>0.99997769999999997</v>
      </c>
      <c r="AB1446">
        <v>17</v>
      </c>
      <c r="AC1446">
        <v>-19.549199999999999</v>
      </c>
      <c r="AD1446">
        <v>-1.109731368064</v>
      </c>
      <c r="AE1446">
        <v>-0.59910000000002095</v>
      </c>
      <c r="AF1446">
        <v>-0.12972211810272299</v>
      </c>
      <c r="AG1446">
        <v>-1.109731368064</v>
      </c>
      <c r="AH1446">
        <v>19.495182721099699</v>
      </c>
      <c r="AI1446">
        <v>93.257880657604105</v>
      </c>
      <c r="AJ1446">
        <v>90.381243935515599</v>
      </c>
      <c r="AK1446">
        <v>19.527172884630701</v>
      </c>
      <c r="AL1446">
        <v>91.880040544544897</v>
      </c>
      <c r="AM1446">
        <v>82.716431514129795</v>
      </c>
      <c r="AN1446">
        <v>1.00000000941818</v>
      </c>
    </row>
    <row r="1447" spans="1:40" x14ac:dyDescent="0.25">
      <c r="A1447" t="str">
        <f>"20190312161254136"</f>
        <v>20190312161254136</v>
      </c>
      <c r="B1447" t="str">
        <f>"1552378374127423"</f>
        <v>1552378374127423</v>
      </c>
      <c r="C1447" t="s">
        <v>40</v>
      </c>
      <c r="D1447">
        <v>6.0639240000000001</v>
      </c>
      <c r="E1447">
        <v>0.44914860000000001</v>
      </c>
      <c r="F1447" t="s">
        <v>69</v>
      </c>
      <c r="G1447">
        <v>-240.7543</v>
      </c>
      <c r="H1447" s="1">
        <v>-1.13537E-6</v>
      </c>
      <c r="I1447">
        <v>282.52280000000002</v>
      </c>
      <c r="J1447">
        <v>-220.9418</v>
      </c>
      <c r="K1447">
        <v>1.109739</v>
      </c>
      <c r="L1447">
        <v>283.13510000000002</v>
      </c>
      <c r="M1447">
        <v>-0.99964520000000001</v>
      </c>
      <c r="N1447">
        <v>0</v>
      </c>
      <c r="O1447">
        <v>-2.3068060000000001E-2</v>
      </c>
      <c r="P1447">
        <v>-0.99358380000000002</v>
      </c>
      <c r="Q1447">
        <v>-4.5871090000000003E-2</v>
      </c>
      <c r="R1447">
        <v>0.1033791</v>
      </c>
      <c r="S1447">
        <v>-3.0211329999999998</v>
      </c>
      <c r="T1447">
        <v>-0.167745799999999</v>
      </c>
      <c r="U1447">
        <v>-9.3017580000000002E-2</v>
      </c>
      <c r="V1447">
        <v>0.12624079999999999</v>
      </c>
      <c r="W1447">
        <v>-3.2789659999999998E-2</v>
      </c>
      <c r="X1447">
        <v>0.99145760000000005</v>
      </c>
      <c r="Y1447">
        <v>-7.730603E-3</v>
      </c>
      <c r="Z1447">
        <v>1.0650589999999999E-3</v>
      </c>
      <c r="AA1447">
        <v>0.99996949999999996</v>
      </c>
      <c r="AB1447">
        <v>17</v>
      </c>
      <c r="AC1447">
        <v>-19.8125</v>
      </c>
      <c r="AD1447">
        <v>-1.10974013537</v>
      </c>
      <c r="AE1447">
        <v>-0.61230000000000395</v>
      </c>
      <c r="AF1447">
        <v>-0.154576069275561</v>
      </c>
      <c r="AG1447">
        <v>-1.10974013537</v>
      </c>
      <c r="AH1447">
        <v>19.759419509745701</v>
      </c>
      <c r="AI1447">
        <v>93.214404176041796</v>
      </c>
      <c r="AJ1447">
        <v>90.448210319036804</v>
      </c>
      <c r="AK1447">
        <v>19.791161570038401</v>
      </c>
      <c r="AL1447">
        <v>91.879045875833498</v>
      </c>
      <c r="AM1447">
        <v>82.743661317789304</v>
      </c>
      <c r="AN1447">
        <v>1.0000000369926501</v>
      </c>
    </row>
    <row r="1448" spans="1:40" x14ac:dyDescent="0.25">
      <c r="A1448" t="str">
        <f>"20190312161254159"</f>
        <v>20190312161254159</v>
      </c>
      <c r="B1448" t="str">
        <f>"1552378374146943"</f>
        <v>1552378374146943</v>
      </c>
      <c r="C1448" t="s">
        <v>40</v>
      </c>
      <c r="D1448">
        <v>6.0852789999999999</v>
      </c>
      <c r="E1448">
        <v>0.44888650000000002</v>
      </c>
      <c r="F1448" t="s">
        <v>69</v>
      </c>
      <c r="G1448">
        <v>-241.09569999999999</v>
      </c>
      <c r="H1448" s="1">
        <v>-9.5372480000000004E-7</v>
      </c>
      <c r="I1448">
        <v>282.50529999999998</v>
      </c>
      <c r="J1448">
        <v>-221.12010000000001</v>
      </c>
      <c r="K1448">
        <v>1.1097570000000001</v>
      </c>
      <c r="L1448">
        <v>283.13209999999998</v>
      </c>
      <c r="M1448">
        <v>-0.99966560000000004</v>
      </c>
      <c r="N1448">
        <v>0</v>
      </c>
      <c r="O1448">
        <v>-2.2161340000000002E-2</v>
      </c>
      <c r="P1448">
        <v>-0.99355740000000003</v>
      </c>
      <c r="Q1448">
        <v>-4.5365210000000003E-2</v>
      </c>
      <c r="R1448">
        <v>0.1038548</v>
      </c>
      <c r="S1448">
        <v>-3.0215299999999998</v>
      </c>
      <c r="T1448">
        <v>-0.16637560000000001</v>
      </c>
      <c r="U1448">
        <v>-9.4421389999999994E-2</v>
      </c>
      <c r="V1448">
        <v>0.12581869999999901</v>
      </c>
      <c r="W1448">
        <v>-3.2280719999999999E-2</v>
      </c>
      <c r="X1448">
        <v>0.99152790000000002</v>
      </c>
      <c r="Y1448">
        <v>-9.0938900000000003E-3</v>
      </c>
      <c r="Z1448">
        <v>9.6886569999999998E-4</v>
      </c>
      <c r="AA1448">
        <v>0.99995820000000002</v>
      </c>
      <c r="AB1448">
        <v>17</v>
      </c>
      <c r="AC1448">
        <v>-19.975599999999901</v>
      </c>
      <c r="AD1448">
        <v>-1.1097579537247999</v>
      </c>
      <c r="AE1448">
        <v>-0.62680000000000202</v>
      </c>
      <c r="AF1448">
        <v>-0.18335530703194899</v>
      </c>
      <c r="AG1448">
        <v>-1.1097579537247999</v>
      </c>
      <c r="AH1448">
        <v>19.923154231572902</v>
      </c>
      <c r="AI1448">
        <v>93.188055615133905</v>
      </c>
      <c r="AJ1448">
        <v>90.527285415802396</v>
      </c>
      <c r="AK1448">
        <v>19.954880516292601</v>
      </c>
      <c r="AL1448">
        <v>91.849870416085295</v>
      </c>
      <c r="AM1448">
        <v>82.768173705855304</v>
      </c>
      <c r="AN1448">
        <v>0.999999983315909</v>
      </c>
    </row>
    <row r="1449" spans="1:40" x14ac:dyDescent="0.25">
      <c r="A1449" t="str">
        <f>"20190312161254181"</f>
        <v>20190312161254181</v>
      </c>
      <c r="B1449" t="str">
        <f>"1552378374177198"</f>
        <v>1552378374177198</v>
      </c>
      <c r="C1449" t="s">
        <v>40</v>
      </c>
      <c r="D1449">
        <v>6.0798420000000002</v>
      </c>
      <c r="E1449">
        <v>0.4485518</v>
      </c>
      <c r="F1449" t="s">
        <v>69</v>
      </c>
      <c r="G1449">
        <v>-241.46940000000001</v>
      </c>
      <c r="H1449" s="1">
        <v>-7.5486579999999999E-7</v>
      </c>
      <c r="I1449">
        <v>282.49130000000002</v>
      </c>
      <c r="J1449">
        <v>-221.28569999999999</v>
      </c>
      <c r="K1449">
        <v>1.109769</v>
      </c>
      <c r="L1449">
        <v>283.12939999999998</v>
      </c>
      <c r="M1449">
        <v>-0.99968360000000001</v>
      </c>
      <c r="N1449">
        <v>0</v>
      </c>
      <c r="O1449">
        <v>-2.1338860000000001E-2</v>
      </c>
      <c r="P1449">
        <v>-0.99357079999999998</v>
      </c>
      <c r="Q1449">
        <v>-4.4993789999999999E-2</v>
      </c>
      <c r="R1449">
        <v>0.1038881</v>
      </c>
      <c r="S1449">
        <v>-3.0218660000000002</v>
      </c>
      <c r="T1449">
        <v>-0.1647991</v>
      </c>
      <c r="U1449">
        <v>-9.5153810000000005E-2</v>
      </c>
      <c r="V1449">
        <v>0.1250378</v>
      </c>
      <c r="W1449">
        <v>-3.1905780000000002E-2</v>
      </c>
      <c r="X1449">
        <v>0.99163880000000004</v>
      </c>
      <c r="Y1449">
        <v>-1.0152080000000001E-2</v>
      </c>
      <c r="Z1449">
        <v>8.8596379999999998E-4</v>
      </c>
      <c r="AA1449">
        <v>0.99994810000000001</v>
      </c>
      <c r="AB1449">
        <v>17</v>
      </c>
      <c r="AC1449">
        <v>-20.183700000000002</v>
      </c>
      <c r="AD1449">
        <v>-1.1097697548658001</v>
      </c>
      <c r="AE1449">
        <v>-0.63809999999995104</v>
      </c>
      <c r="AF1449">
        <v>-0.206595381192094</v>
      </c>
      <c r="AG1449">
        <v>-1.1097697548658001</v>
      </c>
      <c r="AH1449">
        <v>20.131919229463101</v>
      </c>
      <c r="AI1449">
        <v>93.155064127866197</v>
      </c>
      <c r="AJ1449">
        <v>90.587953278555901</v>
      </c>
      <c r="AK1449">
        <v>20.1635424075724</v>
      </c>
      <c r="AL1449">
        <v>91.828376888702905</v>
      </c>
      <c r="AM1449">
        <v>82.813382956768805</v>
      </c>
      <c r="AN1449">
        <v>0.99999996994584295</v>
      </c>
    </row>
    <row r="1450" spans="1:40" x14ac:dyDescent="0.25">
      <c r="A1450" t="str">
        <f>"20190312161254204"</f>
        <v>20190312161254204</v>
      </c>
      <c r="B1450" t="str">
        <f>"1552378374196719"</f>
        <v>1552378374196719</v>
      </c>
      <c r="C1450" t="s">
        <v>40</v>
      </c>
      <c r="D1450">
        <v>6.1281589999999904</v>
      </c>
      <c r="E1450">
        <v>0.44824809999999998</v>
      </c>
      <c r="F1450" t="s">
        <v>69</v>
      </c>
      <c r="G1450">
        <v>-241.55119999999999</v>
      </c>
      <c r="H1450" s="1">
        <v>-7.1133700000000004E-7</v>
      </c>
      <c r="I1450">
        <v>282.47480000000002</v>
      </c>
      <c r="J1450">
        <v>-221.4657</v>
      </c>
      <c r="K1450">
        <v>1.1097790000000001</v>
      </c>
      <c r="L1450">
        <v>283.1266</v>
      </c>
      <c r="M1450">
        <v>-0.99970219999999999</v>
      </c>
      <c r="N1450">
        <v>0</v>
      </c>
      <c r="O1450">
        <v>-2.0458299999999999E-2</v>
      </c>
      <c r="P1450">
        <v>-0.9935406</v>
      </c>
      <c r="Q1450">
        <v>-4.4811570000000002E-2</v>
      </c>
      <c r="R1450">
        <v>0.1042574</v>
      </c>
      <c r="S1450">
        <v>-3.022125</v>
      </c>
      <c r="T1450">
        <v>-0.16549610000000001</v>
      </c>
      <c r="U1450">
        <v>-9.7625729999999994E-2</v>
      </c>
      <c r="V1450">
        <v>0.1245346</v>
      </c>
      <c r="W1450">
        <v>-3.1721760000000002E-2</v>
      </c>
      <c r="X1450">
        <v>0.99170800000000003</v>
      </c>
      <c r="Y1450">
        <v>-1.184351E-2</v>
      </c>
      <c r="Z1450">
        <v>7.9518839999999998E-4</v>
      </c>
      <c r="AA1450">
        <v>0.99992950000000003</v>
      </c>
      <c r="AB1450">
        <v>17</v>
      </c>
      <c r="AC1450">
        <v>-20.0855</v>
      </c>
      <c r="AD1450">
        <v>-1.109779711337</v>
      </c>
      <c r="AE1450">
        <v>-0.65179999999997995</v>
      </c>
      <c r="AF1450">
        <v>-0.23998015214276899</v>
      </c>
      <c r="AG1450">
        <v>-1.109779711337</v>
      </c>
      <c r="AH1450">
        <v>20.033535966844301</v>
      </c>
      <c r="AI1450">
        <v>93.170494874400205</v>
      </c>
      <c r="AJ1450">
        <v>90.686308811777096</v>
      </c>
      <c r="AK1450">
        <v>20.065686253302299</v>
      </c>
      <c r="AL1450">
        <v>91.817828021113101</v>
      </c>
      <c r="AM1450">
        <v>82.842498359734194</v>
      </c>
      <c r="AN1450">
        <v>0.99999994695932704</v>
      </c>
    </row>
    <row r="1451" spans="1:40" x14ac:dyDescent="0.25">
      <c r="A1451" t="str">
        <f>"20190312161254225"</f>
        <v>20190312161254225</v>
      </c>
      <c r="B1451" t="str">
        <f>"1552378374217215"</f>
        <v>1552378374217215</v>
      </c>
      <c r="C1451" t="s">
        <v>40</v>
      </c>
      <c r="D1451">
        <v>6.112533</v>
      </c>
      <c r="E1451">
        <v>0.44812940000000001</v>
      </c>
      <c r="F1451" t="s">
        <v>69</v>
      </c>
      <c r="G1451">
        <v>-241.93969999999999</v>
      </c>
      <c r="H1451" s="1">
        <v>-5.0456370000000004E-7</v>
      </c>
      <c r="I1451">
        <v>282.45580000000001</v>
      </c>
      <c r="J1451">
        <v>-221.63229999999999</v>
      </c>
      <c r="K1451">
        <v>1.1097840000000001</v>
      </c>
      <c r="L1451">
        <v>283.12419999999997</v>
      </c>
      <c r="M1451">
        <v>-0.9997182</v>
      </c>
      <c r="N1451">
        <v>0</v>
      </c>
      <c r="O1451">
        <v>-1.965039E-2</v>
      </c>
      <c r="P1451">
        <v>-0.99346979999999996</v>
      </c>
      <c r="Q1451">
        <v>-4.4656059999999997E-2</v>
      </c>
      <c r="R1451">
        <v>0.1049943</v>
      </c>
      <c r="S1451">
        <v>-3.0225070000000001</v>
      </c>
      <c r="T1451">
        <v>-0.1638327</v>
      </c>
      <c r="U1451">
        <v>-9.9029539999999999E-2</v>
      </c>
      <c r="V1451">
        <v>0.1244691</v>
      </c>
      <c r="W1451">
        <v>-3.1566629999999998E-2</v>
      </c>
      <c r="X1451">
        <v>0.99172119999999997</v>
      </c>
      <c r="Y1451">
        <v>-1.3108150000000001E-2</v>
      </c>
      <c r="Z1451">
        <v>7.0912290000000005E-4</v>
      </c>
      <c r="AA1451">
        <v>0.99991379999999996</v>
      </c>
      <c r="AB1451">
        <v>17</v>
      </c>
      <c r="AC1451">
        <v>-20.307400000000001</v>
      </c>
      <c r="AD1451">
        <v>-1.1097845045637</v>
      </c>
      <c r="AE1451">
        <v>-0.66839999999996202</v>
      </c>
      <c r="AF1451">
        <v>-0.26838651038487399</v>
      </c>
      <c r="AG1451">
        <v>-1.1097845045637</v>
      </c>
      <c r="AH1451">
        <v>20.256183202992201</v>
      </c>
      <c r="AI1451">
        <v>93.135679454044606</v>
      </c>
      <c r="AJ1451">
        <v>90.759102266106296</v>
      </c>
      <c r="AK1451">
        <v>20.288336819924702</v>
      </c>
      <c r="AL1451">
        <v>91.808935224350705</v>
      </c>
      <c r="AM1451">
        <v>82.846318125787803</v>
      </c>
      <c r="AN1451">
        <v>0.99999997375690297</v>
      </c>
    </row>
    <row r="1452" spans="1:40" x14ac:dyDescent="0.25">
      <c r="A1452" t="str">
        <f>"20190312161254249"</f>
        <v>20190312161254249</v>
      </c>
      <c r="B1452" t="str">
        <f>"1552378374236735"</f>
        <v>1552378374236735</v>
      </c>
      <c r="C1452" t="s">
        <v>40</v>
      </c>
      <c r="D1452">
        <v>6.1123820000000002</v>
      </c>
      <c r="E1452">
        <v>0.44787709999999997</v>
      </c>
      <c r="F1452" t="s">
        <v>69</v>
      </c>
      <c r="G1452">
        <v>-242.0325</v>
      </c>
      <c r="H1452" s="1">
        <v>-4.5521449999999998E-7</v>
      </c>
      <c r="I1452">
        <v>282.46429999999998</v>
      </c>
      <c r="J1452">
        <v>-221.80600000000001</v>
      </c>
      <c r="K1452">
        <v>1.109783</v>
      </c>
      <c r="L1452">
        <v>283.12180000000001</v>
      </c>
      <c r="M1452">
        <v>-0.99973440000000002</v>
      </c>
      <c r="N1452">
        <v>0</v>
      </c>
      <c r="O1452">
        <v>-1.8812240000000001E-2</v>
      </c>
      <c r="P1452">
        <v>-0.99337509999999996</v>
      </c>
      <c r="Q1452">
        <v>-4.4788990000000001E-2</v>
      </c>
      <c r="R1452">
        <v>0.10582950000000001</v>
      </c>
      <c r="S1452">
        <v>-3.0226440000000001</v>
      </c>
      <c r="T1452">
        <v>-0.16443440000000001</v>
      </c>
      <c r="U1452">
        <v>-9.7778320000000002E-2</v>
      </c>
      <c r="V1452">
        <v>0.1244712</v>
      </c>
      <c r="W1452">
        <v>-3.1701890000000003E-2</v>
      </c>
      <c r="X1452">
        <v>0.99171659999999995</v>
      </c>
      <c r="Y1452">
        <v>-1.35297E-2</v>
      </c>
      <c r="Z1452">
        <v>6.5470139999999997E-4</v>
      </c>
      <c r="AA1452">
        <v>0.99990829999999997</v>
      </c>
      <c r="AB1452">
        <v>17</v>
      </c>
      <c r="AC1452">
        <v>-20.226500000000001</v>
      </c>
      <c r="AD1452">
        <v>-1.1097834552145001</v>
      </c>
      <c r="AE1452">
        <v>-0.65750000000002695</v>
      </c>
      <c r="AF1452">
        <v>-0.27601407281428297</v>
      </c>
      <c r="AG1452">
        <v>-1.1097834552145001</v>
      </c>
      <c r="AH1452">
        <v>20.174619035932501</v>
      </c>
      <c r="AI1452">
        <v>93.148310042276705</v>
      </c>
      <c r="AJ1452">
        <v>90.783829168859697</v>
      </c>
      <c r="AK1452">
        <v>20.207005130173702</v>
      </c>
      <c r="AL1452">
        <v>91.816688971718605</v>
      </c>
      <c r="AM1452">
        <v>82.846165843211395</v>
      </c>
      <c r="AN1452">
        <v>0.99999995208728398</v>
      </c>
    </row>
    <row r="1453" spans="1:40" x14ac:dyDescent="0.25">
      <c r="A1453" t="str">
        <f>"20190312161254270"</f>
        <v>20190312161254270</v>
      </c>
      <c r="B1453" t="str">
        <f>"1552378374266990"</f>
        <v>1552378374266990</v>
      </c>
      <c r="C1453" t="s">
        <v>40</v>
      </c>
      <c r="D1453">
        <v>6.4500919999999997</v>
      </c>
      <c r="E1453">
        <v>0.44764470000000001</v>
      </c>
      <c r="F1453" t="s">
        <v>69</v>
      </c>
      <c r="G1453">
        <v>-242.1036</v>
      </c>
      <c r="H1453" s="1">
        <v>-4.1735229999999999E-7</v>
      </c>
      <c r="I1453">
        <v>282.46980000000002</v>
      </c>
      <c r="J1453">
        <v>-221.97460000000001</v>
      </c>
      <c r="K1453">
        <v>1.1097779999999999</v>
      </c>
      <c r="L1453">
        <v>283.11959999999999</v>
      </c>
      <c r="M1453">
        <v>-0.99974940000000001</v>
      </c>
      <c r="N1453">
        <v>0</v>
      </c>
      <c r="O1453">
        <v>-1.7998480000000001E-2</v>
      </c>
      <c r="P1453">
        <v>-0.99331689999999995</v>
      </c>
      <c r="Q1453">
        <v>-4.4685889999999999E-2</v>
      </c>
      <c r="R1453">
        <v>0.10641829999999999</v>
      </c>
      <c r="S1453">
        <v>-3.0229339999999998</v>
      </c>
      <c r="T1453">
        <v>-0.1652806</v>
      </c>
      <c r="U1453">
        <v>-9.7106929999999994E-2</v>
      </c>
      <c r="V1453">
        <v>0.1242518</v>
      </c>
      <c r="W1453">
        <v>-3.1601289999999997E-2</v>
      </c>
      <c r="X1453">
        <v>0.99174739999999995</v>
      </c>
      <c r="Y1453">
        <v>-1.411664E-2</v>
      </c>
      <c r="Z1453">
        <v>5.9753559999999896E-4</v>
      </c>
      <c r="AA1453">
        <v>0.99990020000000002</v>
      </c>
      <c r="AB1453">
        <v>17</v>
      </c>
      <c r="AC1453">
        <v>-20.128999999999898</v>
      </c>
      <c r="AD1453">
        <v>-1.1097784173523</v>
      </c>
      <c r="AE1453">
        <v>-0.64979999999996996</v>
      </c>
      <c r="AF1453">
        <v>-0.28650125116845498</v>
      </c>
      <c r="AG1453">
        <v>-1.1097784173523</v>
      </c>
      <c r="AH1453">
        <v>20.076472696891798</v>
      </c>
      <c r="AI1453">
        <v>93.163629432532005</v>
      </c>
      <c r="AJ1453">
        <v>90.817583775341504</v>
      </c>
      <c r="AK1453">
        <v>20.109163260851599</v>
      </c>
      <c r="AL1453">
        <v>91.810921988429598</v>
      </c>
      <c r="AM1453">
        <v>82.858864787202407</v>
      </c>
      <c r="AN1453">
        <v>1.00000002836983</v>
      </c>
    </row>
    <row r="1454" spans="1:40" x14ac:dyDescent="0.25">
      <c r="A1454" t="str">
        <f>"20190312161254291"</f>
        <v>20190312161254291</v>
      </c>
      <c r="B1454" t="str">
        <f>"1552378374287487"</f>
        <v>1552378374287487</v>
      </c>
      <c r="C1454" t="s">
        <v>40</v>
      </c>
      <c r="D1454">
        <v>6.1152499999999996</v>
      </c>
      <c r="E1454">
        <v>0.44751590000000002</v>
      </c>
      <c r="F1454" t="s">
        <v>69</v>
      </c>
      <c r="G1454">
        <v>-242.42140000000001</v>
      </c>
      <c r="H1454" s="1">
        <v>-2.4823689999999998E-7</v>
      </c>
      <c r="I1454">
        <v>282.46269999999998</v>
      </c>
      <c r="J1454">
        <v>-222.13229999999999</v>
      </c>
      <c r="K1454">
        <v>1.109772</v>
      </c>
      <c r="L1454">
        <v>283.11770000000001</v>
      </c>
      <c r="M1454">
        <v>-0.99976299999999996</v>
      </c>
      <c r="N1454">
        <v>0</v>
      </c>
      <c r="O1454">
        <v>-1.7234530000000001E-2</v>
      </c>
      <c r="P1454">
        <v>-0.99320909999999996</v>
      </c>
      <c r="Q1454">
        <v>-4.4907120000000002E-2</v>
      </c>
      <c r="R1454">
        <v>0.1073277</v>
      </c>
      <c r="S1454">
        <v>-3.0232239999999999</v>
      </c>
      <c r="T1454">
        <v>-0.16408979999999901</v>
      </c>
      <c r="U1454">
        <v>-9.713745E-2</v>
      </c>
      <c r="V1454">
        <v>0.124401</v>
      </c>
      <c r="W1454">
        <v>-3.182637E-2</v>
      </c>
      <c r="X1454">
        <v>0.99172150000000003</v>
      </c>
      <c r="Y1454">
        <v>-1.488536E-2</v>
      </c>
      <c r="Z1454">
        <v>5.3092259999999996E-4</v>
      </c>
      <c r="AA1454">
        <v>0.99988909999999998</v>
      </c>
      <c r="AB1454">
        <v>17</v>
      </c>
      <c r="AC1454">
        <v>-20.289100000000001</v>
      </c>
      <c r="AD1454">
        <v>-1.1097722482368999</v>
      </c>
      <c r="AE1454">
        <v>-0.655000000000029</v>
      </c>
      <c r="AF1454">
        <v>-0.30428921589392</v>
      </c>
      <c r="AG1454">
        <v>-1.1097722482368999</v>
      </c>
      <c r="AH1454">
        <v>20.236892596037599</v>
      </c>
      <c r="AI1454">
        <v>93.138548803053396</v>
      </c>
      <c r="AJ1454">
        <v>90.861455086742197</v>
      </c>
      <c r="AK1454">
        <v>20.269583328559701</v>
      </c>
      <c r="AL1454">
        <v>91.823824609144594</v>
      </c>
      <c r="AM1454">
        <v>82.850193698982807</v>
      </c>
      <c r="AN1454">
        <v>1.00000003009531</v>
      </c>
    </row>
    <row r="1455" spans="1:40" x14ac:dyDescent="0.25">
      <c r="A1455" t="str">
        <f>"20190312161254315"</f>
        <v>20190312161254315</v>
      </c>
      <c r="B1455" t="str">
        <f>"1552378374307007"</f>
        <v>1552378374307007</v>
      </c>
      <c r="C1455" t="s">
        <v>40</v>
      </c>
      <c r="D1455">
        <v>5.8739179999999998</v>
      </c>
      <c r="E1455">
        <v>0.44727869999999997</v>
      </c>
      <c r="F1455" t="s">
        <v>69</v>
      </c>
      <c r="G1455">
        <v>-242.22020000000001</v>
      </c>
      <c r="H1455" s="1">
        <v>-3.55317E-7</v>
      </c>
      <c r="I1455">
        <v>282.48320000000001</v>
      </c>
      <c r="J1455">
        <v>-222.31180000000001</v>
      </c>
      <c r="K1455">
        <v>1.109769</v>
      </c>
      <c r="L1455">
        <v>283.1157</v>
      </c>
      <c r="M1455">
        <v>-0.99977780000000005</v>
      </c>
      <c r="N1455">
        <v>0</v>
      </c>
      <c r="O1455">
        <v>-1.635781E-2</v>
      </c>
      <c r="P1455">
        <v>-0.99302690000000005</v>
      </c>
      <c r="Q1455">
        <v>-4.6037300000000003E-2</v>
      </c>
      <c r="R1455">
        <v>0.108529399999999</v>
      </c>
      <c r="S1455">
        <v>-3.0232700000000001</v>
      </c>
      <c r="T1455">
        <v>-0.16702330000000001</v>
      </c>
      <c r="U1455">
        <v>-9.5489500000000005E-2</v>
      </c>
      <c r="V1455">
        <v>0.1247289</v>
      </c>
      <c r="W1455">
        <v>-3.2961780000000003E-2</v>
      </c>
      <c r="X1455">
        <v>0.99164319999999895</v>
      </c>
      <c r="Y1455">
        <v>-1.521552E-2</v>
      </c>
      <c r="Z1455">
        <v>4.8290730000000002E-4</v>
      </c>
      <c r="AA1455">
        <v>0.99988410000000005</v>
      </c>
      <c r="AB1455">
        <v>17</v>
      </c>
      <c r="AC1455">
        <v>-19.9084</v>
      </c>
      <c r="AD1455">
        <v>-1.1097693553170001</v>
      </c>
      <c r="AE1455">
        <v>-0.63249999999999296</v>
      </c>
      <c r="AF1455">
        <v>-0.30577953417439602</v>
      </c>
      <c r="AG1455">
        <v>-1.1097693553170001</v>
      </c>
      <c r="AH1455">
        <v>19.854450175476199</v>
      </c>
      <c r="AI1455">
        <v>93.198854073819902</v>
      </c>
      <c r="AJ1455">
        <v>90.882345852794302</v>
      </c>
      <c r="AK1455">
        <v>19.887792258468199</v>
      </c>
      <c r="AL1455">
        <v>91.888913015834007</v>
      </c>
      <c r="AM1455">
        <v>82.830983683869803</v>
      </c>
      <c r="AN1455">
        <v>1.0000000067710999</v>
      </c>
    </row>
    <row r="1456" spans="1:40" x14ac:dyDescent="0.25">
      <c r="A1456" t="str">
        <f>"20190312161254337"</f>
        <v>20190312161254337</v>
      </c>
      <c r="B1456" t="str">
        <f>"1552378374327033"</f>
        <v>1552378374327033</v>
      </c>
      <c r="C1456" t="s">
        <v>40</v>
      </c>
      <c r="D1456">
        <v>6.1069199999999997</v>
      </c>
      <c r="E1456">
        <v>0.4471465</v>
      </c>
      <c r="F1456" t="s">
        <v>69</v>
      </c>
      <c r="G1456">
        <v>-241.95150000000001</v>
      </c>
      <c r="H1456" s="1">
        <v>-4.9829200000000005E-7</v>
      </c>
      <c r="I1456">
        <v>282.50650000000002</v>
      </c>
      <c r="J1456">
        <v>-222.48240000000001</v>
      </c>
      <c r="K1456">
        <v>1.1097669999999999</v>
      </c>
      <c r="L1456">
        <v>283.1139</v>
      </c>
      <c r="M1456">
        <v>-0.99979110000000004</v>
      </c>
      <c r="N1456">
        <v>0</v>
      </c>
      <c r="O1456">
        <v>-1.551758E-2</v>
      </c>
      <c r="P1456">
        <v>-0.99285579999999996</v>
      </c>
      <c r="Q1456">
        <v>-4.6090890000000002E-2</v>
      </c>
      <c r="R1456">
        <v>0.1100593</v>
      </c>
      <c r="S1456">
        <v>-3.0233919999999999</v>
      </c>
      <c r="T1456">
        <v>-0.17084089999999999</v>
      </c>
      <c r="U1456">
        <v>-9.3780520000000006E-2</v>
      </c>
      <c r="V1456">
        <v>0.12542249999999999</v>
      </c>
      <c r="W1456">
        <v>-3.3020460000000001E-2</v>
      </c>
      <c r="X1456">
        <v>0.99155380000000004</v>
      </c>
      <c r="Y1456">
        <v>-1.548823E-2</v>
      </c>
      <c r="Z1456">
        <v>4.3879379999999999E-4</v>
      </c>
      <c r="AA1456">
        <v>0.99987999999999999</v>
      </c>
      <c r="AB1456">
        <v>17</v>
      </c>
      <c r="AC1456">
        <v>-19.469100000000001</v>
      </c>
      <c r="AD1456">
        <v>-1.1097674982920001</v>
      </c>
      <c r="AE1456">
        <v>-0.60739999999998395</v>
      </c>
      <c r="AF1456">
        <v>-0.30419936770010497</v>
      </c>
      <c r="AG1456">
        <v>-1.1097674982920001</v>
      </c>
      <c r="AH1456">
        <v>19.413166305764801</v>
      </c>
      <c r="AI1456">
        <v>93.271392484438607</v>
      </c>
      <c r="AJ1456">
        <v>90.897736788359197</v>
      </c>
      <c r="AK1456">
        <v>19.447240091356399</v>
      </c>
      <c r="AL1456">
        <v>91.8922768885285</v>
      </c>
      <c r="AM1456">
        <v>82.790892905142599</v>
      </c>
      <c r="AN1456">
        <v>1.0000000462896399</v>
      </c>
    </row>
    <row r="1457" spans="1:40" x14ac:dyDescent="0.25">
      <c r="A1457" t="str">
        <f>"20190312161254382"</f>
        <v>20190312161254382</v>
      </c>
      <c r="B1457" t="str">
        <f>"1552378374376810"</f>
        <v>1552378374376810</v>
      </c>
      <c r="C1457" t="s">
        <v>40</v>
      </c>
      <c r="D1457">
        <v>6.1270720000000001</v>
      </c>
      <c r="E1457">
        <v>0.44666099999999997</v>
      </c>
      <c r="F1457" t="s">
        <v>69</v>
      </c>
      <c r="G1457">
        <v>-241.821</v>
      </c>
      <c r="H1457" s="1">
        <v>-5.6776369999999897E-7</v>
      </c>
      <c r="I1457">
        <v>282.53730000000002</v>
      </c>
      <c r="J1457">
        <v>-222.82579999999999</v>
      </c>
      <c r="K1457">
        <v>1.1097589999999999</v>
      </c>
      <c r="L1457">
        <v>283.11079999999998</v>
      </c>
      <c r="M1457">
        <v>-0.99981620000000004</v>
      </c>
      <c r="N1457">
        <v>0</v>
      </c>
      <c r="O1457">
        <v>-1.381073E-2</v>
      </c>
      <c r="P1457">
        <v>-0.99272579999999999</v>
      </c>
      <c r="Q1457">
        <v>-4.5363979999999998E-2</v>
      </c>
      <c r="R1457">
        <v>0.11152529999999999</v>
      </c>
      <c r="S1457">
        <v>-3.0235289999999999</v>
      </c>
      <c r="T1457">
        <v>-0.1735091</v>
      </c>
      <c r="U1457">
        <v>-9.0148930000000002E-2</v>
      </c>
      <c r="V1457">
        <v>0.12519479999999999</v>
      </c>
      <c r="W1457">
        <v>-3.2297859999999998E-2</v>
      </c>
      <c r="X1457">
        <v>0.9916064</v>
      </c>
      <c r="Y1457">
        <v>-1.5990319999999999E-2</v>
      </c>
      <c r="Z1457">
        <v>3.3339630000000001E-4</v>
      </c>
      <c r="AA1457">
        <v>0.99987210000000004</v>
      </c>
      <c r="AB1457">
        <v>17</v>
      </c>
      <c r="AC1457">
        <v>-18.995200000000001</v>
      </c>
      <c r="AD1457">
        <v>-1.1097595677637</v>
      </c>
      <c r="AE1457">
        <v>-0.57349999999996704</v>
      </c>
      <c r="AF1457">
        <v>-0.31002727630954702</v>
      </c>
      <c r="AG1457">
        <v>-1.1097595677637</v>
      </c>
      <c r="AH1457">
        <v>18.9367319841372</v>
      </c>
      <c r="AI1457">
        <v>93.3534512500174</v>
      </c>
      <c r="AJ1457">
        <v>90.937947882718404</v>
      </c>
      <c r="AK1457">
        <v>18.971755360254502</v>
      </c>
      <c r="AL1457">
        <v>91.850852815546403</v>
      </c>
      <c r="AM1457">
        <v>82.804221172477696</v>
      </c>
      <c r="AN1457">
        <v>1.00000007111428</v>
      </c>
    </row>
    <row r="1458" spans="1:40" x14ac:dyDescent="0.25">
      <c r="A1458" t="str">
        <f>"20190312161254405"</f>
        <v>20190312161254405</v>
      </c>
      <c r="B1458" t="str">
        <f>"1552378374397307"</f>
        <v>1552378374397307</v>
      </c>
      <c r="C1458" t="s">
        <v>40</v>
      </c>
      <c r="D1458">
        <v>6.1419949999999996</v>
      </c>
      <c r="E1458">
        <v>0.4464978</v>
      </c>
      <c r="F1458" t="s">
        <v>69</v>
      </c>
      <c r="G1458">
        <v>-242.48320000000001</v>
      </c>
      <c r="H1458" s="1">
        <v>-2.153264E-7</v>
      </c>
      <c r="I1458">
        <v>282.52800000000002</v>
      </c>
      <c r="J1458">
        <v>-222.9948</v>
      </c>
      <c r="K1458">
        <v>1.109756</v>
      </c>
      <c r="L1458">
        <v>283.10939999999999</v>
      </c>
      <c r="M1458">
        <v>-0.99982740000000003</v>
      </c>
      <c r="N1458">
        <v>0</v>
      </c>
      <c r="O1458">
        <v>-1.296841E-2</v>
      </c>
      <c r="P1458">
        <v>-0.992641</v>
      </c>
      <c r="Q1458">
        <v>-4.5177170000000003E-2</v>
      </c>
      <c r="R1458">
        <v>0.1123511</v>
      </c>
      <c r="S1458">
        <v>-3.0242610000000001</v>
      </c>
      <c r="T1458">
        <v>-0.17073459999999999</v>
      </c>
      <c r="U1458">
        <v>-8.966064E-2</v>
      </c>
      <c r="V1458">
        <v>0.1251845</v>
      </c>
      <c r="W1458">
        <v>-3.2113179999999998E-2</v>
      </c>
      <c r="X1458">
        <v>0.99161359999999998</v>
      </c>
      <c r="Y1458">
        <v>-1.666188E-2</v>
      </c>
      <c r="Z1458">
        <v>2.6155690000000001E-4</v>
      </c>
      <c r="AA1458">
        <v>0.99986109999999995</v>
      </c>
      <c r="AB1458">
        <v>17</v>
      </c>
      <c r="AC1458">
        <v>-19.488399999999999</v>
      </c>
      <c r="AD1458">
        <v>-1.1097562153264</v>
      </c>
      <c r="AE1458">
        <v>-0.58139999999997305</v>
      </c>
      <c r="AF1458">
        <v>-0.32753402886657201</v>
      </c>
      <c r="AG1458">
        <v>-1.1097562153264</v>
      </c>
      <c r="AH1458">
        <v>19.4313479391298</v>
      </c>
      <c r="AI1458">
        <v>93.268242075643798</v>
      </c>
      <c r="AJ1458">
        <v>90.965683932275397</v>
      </c>
      <c r="AK1458">
        <v>19.465767904941401</v>
      </c>
      <c r="AL1458">
        <v>91.840266119598894</v>
      </c>
      <c r="AM1458">
        <v>82.804858673305105</v>
      </c>
      <c r="AN1458">
        <v>0.99999997353745995</v>
      </c>
    </row>
    <row r="1459" spans="1:40" x14ac:dyDescent="0.25">
      <c r="A1459" t="str">
        <f>"20190312161254427"</f>
        <v>20190312161254427</v>
      </c>
      <c r="B1459" t="str">
        <f>"1552378374416826"</f>
        <v>1552378374416826</v>
      </c>
      <c r="C1459" t="s">
        <v>40</v>
      </c>
      <c r="D1459">
        <v>6.0890979999999999</v>
      </c>
      <c r="E1459">
        <v>0.4462913</v>
      </c>
      <c r="F1459" t="s">
        <v>69</v>
      </c>
      <c r="G1459">
        <v>-242.6337</v>
      </c>
      <c r="H1459" s="1">
        <v>-1.3529129999999999E-7</v>
      </c>
      <c r="I1459">
        <v>282.53539999999998</v>
      </c>
      <c r="J1459">
        <v>-223.17070000000001</v>
      </c>
      <c r="K1459">
        <v>1.1097549999999901</v>
      </c>
      <c r="L1459">
        <v>283.10820000000001</v>
      </c>
      <c r="M1459">
        <v>-0.99983849999999996</v>
      </c>
      <c r="N1459">
        <v>0</v>
      </c>
      <c r="O1459">
        <v>-1.2092840000000001E-2</v>
      </c>
      <c r="P1459">
        <v>-0.99266600000000005</v>
      </c>
      <c r="Q1459">
        <v>-4.4697380000000002E-2</v>
      </c>
      <c r="R1459">
        <v>0.1123228</v>
      </c>
      <c r="S1459">
        <v>-3.0244599999999999</v>
      </c>
      <c r="T1459">
        <v>-0.170907</v>
      </c>
      <c r="U1459">
        <v>-8.8409420000000002E-2</v>
      </c>
      <c r="V1459">
        <v>0.1242891</v>
      </c>
      <c r="W1459">
        <v>-3.1632830000000001E-2</v>
      </c>
      <c r="X1459">
        <v>0.99174169999999995</v>
      </c>
      <c r="Y1459">
        <v>-1.7120099999999999E-2</v>
      </c>
      <c r="Z1459">
        <v>1.9944790000000001E-4</v>
      </c>
      <c r="AA1459">
        <v>0.9998534</v>
      </c>
      <c r="AB1459">
        <v>17</v>
      </c>
      <c r="AC1459">
        <v>-19.462999999999901</v>
      </c>
      <c r="AD1459">
        <v>-1.10975513529129</v>
      </c>
      <c r="AE1459">
        <v>-0.57280000000002895</v>
      </c>
      <c r="AF1459">
        <v>-0.33628201100639699</v>
      </c>
      <c r="AG1459">
        <v>-1.10975513529129</v>
      </c>
      <c r="AH1459">
        <v>19.405468817489499</v>
      </c>
      <c r="AI1459">
        <v>93.272561547791398</v>
      </c>
      <c r="AJ1459">
        <v>90.992792897119202</v>
      </c>
      <c r="AK1459">
        <v>19.440083900996701</v>
      </c>
      <c r="AL1459">
        <v>91.8127300382599</v>
      </c>
      <c r="AM1459">
        <v>82.856702551258707</v>
      </c>
      <c r="AN1459">
        <v>1.0000000079157501</v>
      </c>
    </row>
    <row r="1460" spans="1:40" x14ac:dyDescent="0.25">
      <c r="A1460" t="str">
        <f>"20190312161254449"</f>
        <v>20190312161254449</v>
      </c>
      <c r="B1460" t="str">
        <f>"1552378374437322"</f>
        <v>1552378374437322</v>
      </c>
      <c r="C1460" t="s">
        <v>40</v>
      </c>
      <c r="D1460">
        <v>6.1420769999999996</v>
      </c>
      <c r="E1460">
        <v>0.44609650000000001</v>
      </c>
      <c r="F1460" t="s">
        <v>69</v>
      </c>
      <c r="G1460">
        <v>-242.85679999999999</v>
      </c>
      <c r="H1460" s="1">
        <v>-1.656775E-8</v>
      </c>
      <c r="I1460">
        <v>282.5215</v>
      </c>
      <c r="J1460">
        <v>-223.33019999999999</v>
      </c>
      <c r="K1460">
        <v>1.109753</v>
      </c>
      <c r="L1460">
        <v>283.10719999999998</v>
      </c>
      <c r="M1460">
        <v>-0.99984779999999995</v>
      </c>
      <c r="N1460">
        <v>0</v>
      </c>
      <c r="O1460">
        <v>-1.129989E-2</v>
      </c>
      <c r="P1460">
        <v>-0.99273129999999998</v>
      </c>
      <c r="Q1460">
        <v>-4.400482E-2</v>
      </c>
      <c r="R1460">
        <v>0.1120183</v>
      </c>
      <c r="S1460">
        <v>-3.0247039999999998</v>
      </c>
      <c r="T1460">
        <v>-0.17051040000000001</v>
      </c>
      <c r="U1460">
        <v>-9.0148930000000002E-2</v>
      </c>
      <c r="V1460">
        <v>0.1231999</v>
      </c>
      <c r="W1460">
        <v>-3.0938790000000001E-2</v>
      </c>
      <c r="X1460">
        <v>0.99189950000000005</v>
      </c>
      <c r="Y1460">
        <v>-1.8481819999999999E-2</v>
      </c>
      <c r="Z1460">
        <v>1.1597140000000001E-4</v>
      </c>
      <c r="AA1460">
        <v>0.99982919999999997</v>
      </c>
      <c r="AB1460">
        <v>17</v>
      </c>
      <c r="AC1460">
        <v>-19.526599999999998</v>
      </c>
      <c r="AD1460">
        <v>-1.1097530165677501</v>
      </c>
      <c r="AE1460">
        <v>-0.58569999999997402</v>
      </c>
      <c r="AF1460">
        <v>-0.36382059535760197</v>
      </c>
      <c r="AG1460">
        <v>-1.1097530165677501</v>
      </c>
      <c r="AH1460">
        <v>19.469143662148301</v>
      </c>
      <c r="AI1460">
        <v>93.261795842198893</v>
      </c>
      <c r="AJ1460">
        <v>91.070563710664402</v>
      </c>
      <c r="AK1460">
        <v>19.504139871339099</v>
      </c>
      <c r="AL1460">
        <v>91.772944975986803</v>
      </c>
      <c r="AM1460">
        <v>82.919779232079193</v>
      </c>
      <c r="AN1460">
        <v>1.0000000210934601</v>
      </c>
    </row>
    <row r="1461" spans="1:40" x14ac:dyDescent="0.25">
      <c r="A1461" t="str">
        <f>"20190312161254471"</f>
        <v>20190312161254471</v>
      </c>
      <c r="B1461" t="str">
        <f>"1552378374467578"</f>
        <v>1552378374467578</v>
      </c>
      <c r="C1461" t="s">
        <v>40</v>
      </c>
      <c r="D1461">
        <v>6.0150589999999999</v>
      </c>
      <c r="E1461">
        <v>0.44633590000000001</v>
      </c>
      <c r="F1461" t="s">
        <v>69</v>
      </c>
      <c r="G1461">
        <v>-243.1463</v>
      </c>
      <c r="H1461" s="1">
        <v>1.3752400000000001E-7</v>
      </c>
      <c r="I1461">
        <v>282.50029999999998</v>
      </c>
      <c r="J1461">
        <v>-223.50210000000001</v>
      </c>
      <c r="K1461">
        <v>1.1097619999999999</v>
      </c>
      <c r="L1461">
        <v>283.10629999999998</v>
      </c>
      <c r="M1461">
        <v>-0.99985710000000005</v>
      </c>
      <c r="N1461">
        <v>0</v>
      </c>
      <c r="O1461">
        <v>-1.0446749999999999E-2</v>
      </c>
      <c r="P1461">
        <v>-0.99268529999999999</v>
      </c>
      <c r="Q1461">
        <v>-4.4020589999999998E-2</v>
      </c>
      <c r="R1461">
        <v>0.1124188</v>
      </c>
      <c r="S1461">
        <v>-3.024902</v>
      </c>
      <c r="T1461">
        <v>-0.1694022</v>
      </c>
      <c r="U1461">
        <v>-9.2651369999999997E-2</v>
      </c>
      <c r="V1461">
        <v>0.1227538</v>
      </c>
      <c r="W1461">
        <v>-3.095498E-2</v>
      </c>
      <c r="X1461">
        <v>0.99195429999999996</v>
      </c>
      <c r="Y1461">
        <v>-2.015554E-2</v>
      </c>
      <c r="Z1461" s="1">
        <v>2.0663140000000002E-5</v>
      </c>
      <c r="AA1461">
        <v>0.99979689999999999</v>
      </c>
      <c r="AB1461">
        <v>17</v>
      </c>
      <c r="AC1461">
        <v>-19.644199999999898</v>
      </c>
      <c r="AD1461">
        <v>-1.1097618624759999</v>
      </c>
      <c r="AE1461">
        <v>-0.60599999999999399</v>
      </c>
      <c r="AF1461">
        <v>-0.399457107653723</v>
      </c>
      <c r="AG1461">
        <v>-1.1097618624759999</v>
      </c>
      <c r="AH1461">
        <v>19.587007207742801</v>
      </c>
      <c r="AI1461">
        <v>93.242128115666006</v>
      </c>
      <c r="AJ1461">
        <v>91.168327242290701</v>
      </c>
      <c r="AK1461">
        <v>19.622486813052799</v>
      </c>
      <c r="AL1461">
        <v>91.773873041544505</v>
      </c>
      <c r="AM1461">
        <v>82.945543331862496</v>
      </c>
      <c r="AN1461">
        <v>1.00000001974486</v>
      </c>
    </row>
    <row r="1462" spans="1:40" x14ac:dyDescent="0.25">
      <c r="A1462" t="str">
        <f>"20190312161254516"</f>
        <v>20190312161254516</v>
      </c>
      <c r="B1462" t="str">
        <f>"1552378374507594"</f>
        <v>1552378374507594</v>
      </c>
      <c r="C1462" t="s">
        <v>40</v>
      </c>
      <c r="D1462">
        <v>5.9915419999999999</v>
      </c>
      <c r="E1462">
        <v>0.44665840000000001</v>
      </c>
      <c r="F1462" t="s">
        <v>69</v>
      </c>
      <c r="G1462">
        <v>-243.2824</v>
      </c>
      <c r="H1462" s="1">
        <v>2.0993079999999999E-7</v>
      </c>
      <c r="I1462">
        <v>282.52019999999999</v>
      </c>
      <c r="J1462">
        <v>-223.83760000000001</v>
      </c>
      <c r="K1462">
        <v>1.109774</v>
      </c>
      <c r="L1462">
        <v>283.10500000000002</v>
      </c>
      <c r="M1462">
        <v>-0.99987320000000002</v>
      </c>
      <c r="N1462">
        <v>0</v>
      </c>
      <c r="O1462">
        <v>-8.784956E-3</v>
      </c>
      <c r="P1462">
        <v>-0.99255150000000003</v>
      </c>
      <c r="Q1462">
        <v>-4.3551840000000001E-2</v>
      </c>
      <c r="R1462">
        <v>0.1137764</v>
      </c>
      <c r="S1462">
        <v>-3.02475</v>
      </c>
      <c r="T1462">
        <v>-0.16970189999999999</v>
      </c>
      <c r="U1462">
        <v>-8.9630130000000002E-2</v>
      </c>
      <c r="V1462">
        <v>0.122463</v>
      </c>
      <c r="W1462">
        <v>-3.0487980000000001E-2</v>
      </c>
      <c r="X1462">
        <v>0.99200469999999996</v>
      </c>
      <c r="Y1462">
        <v>-2.0817329999999998E-2</v>
      </c>
      <c r="Z1462" s="1">
        <v>-9.0983000000000006E-5</v>
      </c>
      <c r="AA1462">
        <v>0.99978330000000004</v>
      </c>
      <c r="AB1462">
        <v>17</v>
      </c>
      <c r="AC1462">
        <v>-19.444799999999901</v>
      </c>
      <c r="AD1462">
        <v>-1.1097737900692</v>
      </c>
      <c r="AE1462">
        <v>-0.58480000000002896</v>
      </c>
      <c r="AF1462">
        <v>-0.41259789423827498</v>
      </c>
      <c r="AG1462">
        <v>-1.1097737900692</v>
      </c>
      <c r="AH1462">
        <v>19.386097535477301</v>
      </c>
      <c r="AI1462">
        <v>93.275630017802101</v>
      </c>
      <c r="AJ1462">
        <v>91.219252582932</v>
      </c>
      <c r="AK1462">
        <v>19.422219557571001</v>
      </c>
      <c r="AL1462">
        <v>91.747103286976696</v>
      </c>
      <c r="AM1462">
        <v>82.962441316322597</v>
      </c>
      <c r="AN1462">
        <v>1.0000000140577801</v>
      </c>
    </row>
    <row r="1463" spans="1:40" x14ac:dyDescent="0.25">
      <c r="A1463" t="str">
        <f>"20190312161254537"</f>
        <v>20190312161254537</v>
      </c>
      <c r="B1463" t="str">
        <f>"1552378374527113"</f>
        <v>1552378374527113</v>
      </c>
      <c r="C1463" t="s">
        <v>40</v>
      </c>
      <c r="D1463">
        <v>6.0396409999999996</v>
      </c>
      <c r="E1463">
        <v>0.44681330000000002</v>
      </c>
      <c r="F1463" t="s">
        <v>69</v>
      </c>
      <c r="G1463">
        <v>-244.24539999999999</v>
      </c>
      <c r="H1463" s="1">
        <v>7.2240060000000002E-7</v>
      </c>
      <c r="I1463">
        <v>282.54660000000001</v>
      </c>
      <c r="J1463">
        <v>-224.0034</v>
      </c>
      <c r="K1463">
        <v>1.1097809999999999</v>
      </c>
      <c r="L1463">
        <v>283.10449999999997</v>
      </c>
      <c r="M1463">
        <v>-0.99987999999999999</v>
      </c>
      <c r="N1463">
        <v>0</v>
      </c>
      <c r="O1463">
        <v>-7.9647280000000008E-3</v>
      </c>
      <c r="P1463">
        <v>-0.99253519999999895</v>
      </c>
      <c r="Q1463">
        <v>-4.2813110000000001E-2</v>
      </c>
      <c r="R1463">
        <v>0.11419749999999999</v>
      </c>
      <c r="S1463">
        <v>-3.0247649999999999</v>
      </c>
      <c r="T1463">
        <v>-0.16448660000000001</v>
      </c>
      <c r="U1463">
        <v>-8.2763669999999998E-2</v>
      </c>
      <c r="V1463">
        <v>0.1220716</v>
      </c>
      <c r="W1463">
        <v>-2.9749230000000002E-2</v>
      </c>
      <c r="X1463">
        <v>0.99207529999999999</v>
      </c>
      <c r="Y1463">
        <v>-1.9371619999999999E-2</v>
      </c>
      <c r="Z1463" s="1">
        <v>-9.3482929999999994E-5</v>
      </c>
      <c r="AA1463">
        <v>0.99981240000000005</v>
      </c>
      <c r="AB1463">
        <v>17</v>
      </c>
      <c r="AC1463">
        <v>-20.241999999999901</v>
      </c>
      <c r="AD1463">
        <v>-1.1097802775993999</v>
      </c>
      <c r="AE1463">
        <v>-0.55789999999996098</v>
      </c>
      <c r="AF1463">
        <v>-0.39545825750890501</v>
      </c>
      <c r="AG1463">
        <v>-1.1097802775993999</v>
      </c>
      <c r="AH1463">
        <v>20.185174214297799</v>
      </c>
      <c r="AI1463">
        <v>93.146349382056997</v>
      </c>
      <c r="AJ1463">
        <v>91.122367863751293</v>
      </c>
      <c r="AK1463">
        <v>20.219526640342799</v>
      </c>
      <c r="AL1463">
        <v>91.704756933382896</v>
      </c>
      <c r="AM1463">
        <v>82.985203611135603</v>
      </c>
      <c r="AN1463">
        <v>0.99999994654112001</v>
      </c>
    </row>
    <row r="1464" spans="1:40" x14ac:dyDescent="0.25">
      <c r="A1464" t="str">
        <f>"20190312161254560"</f>
        <v>20190312161254560</v>
      </c>
      <c r="B1464" t="str">
        <f>"1552378374557370"</f>
        <v>1552378374557370</v>
      </c>
      <c r="C1464" t="s">
        <v>40</v>
      </c>
      <c r="D1464">
        <v>6.0688139999999997</v>
      </c>
      <c r="E1464">
        <v>0.44708949999999997</v>
      </c>
      <c r="F1464" t="s">
        <v>69</v>
      </c>
      <c r="G1464">
        <v>-244.68039999999999</v>
      </c>
      <c r="H1464" s="1">
        <v>9.5390770000000007E-7</v>
      </c>
      <c r="I1464">
        <v>282.55549999999999</v>
      </c>
      <c r="J1464">
        <v>-224.1686</v>
      </c>
      <c r="K1464">
        <v>1.1097870000000001</v>
      </c>
      <c r="L1464">
        <v>283.10419999999999</v>
      </c>
      <c r="M1464">
        <v>-0.99988630000000001</v>
      </c>
      <c r="N1464">
        <v>0</v>
      </c>
      <c r="O1464">
        <v>-7.1484319999999997E-3</v>
      </c>
      <c r="P1464">
        <v>-0.99244710000000003</v>
      </c>
      <c r="Q1464">
        <v>-4.2237419999999998E-2</v>
      </c>
      <c r="R1464">
        <v>0.1151737</v>
      </c>
      <c r="S1464">
        <v>-3.0247959999999998</v>
      </c>
      <c r="T1464">
        <v>-0.1623474</v>
      </c>
      <c r="U1464">
        <v>-8.0322270000000001E-2</v>
      </c>
      <c r="V1464">
        <v>0.1222381</v>
      </c>
      <c r="W1464">
        <v>-2.9175030000000001E-2</v>
      </c>
      <c r="X1464">
        <v>0.99207190000000001</v>
      </c>
      <c r="Y1464">
        <v>-1.9380439999999999E-2</v>
      </c>
      <c r="Z1464">
        <v>-1.3627919999999999E-4</v>
      </c>
      <c r="AA1464">
        <v>0.99981220000000004</v>
      </c>
      <c r="AB1464">
        <v>17</v>
      </c>
      <c r="AC1464">
        <v>-20.511799999999901</v>
      </c>
      <c r="AD1464">
        <v>-1.1097860460922999</v>
      </c>
      <c r="AE1464">
        <v>-0.54869999999999597</v>
      </c>
      <c r="AF1464">
        <v>-0.40087319751345601</v>
      </c>
      <c r="AG1464">
        <v>-1.1097860460922999</v>
      </c>
      <c r="AH1464">
        <v>20.455361835908899</v>
      </c>
      <c r="AI1464">
        <v>93.1048879708258</v>
      </c>
      <c r="AJ1464">
        <v>91.122708206659894</v>
      </c>
      <c r="AK1464">
        <v>20.489366808824201</v>
      </c>
      <c r="AL1464">
        <v>91.671843325482797</v>
      </c>
      <c r="AM1464">
        <v>82.975707439023196</v>
      </c>
      <c r="AN1464">
        <v>0.99999999511836002</v>
      </c>
    </row>
    <row r="1465" spans="1:40" x14ac:dyDescent="0.25">
      <c r="A1465" t="str">
        <f>"20190312161254594"</f>
        <v>20190312161254594</v>
      </c>
      <c r="B1465" t="str">
        <f>"1552378374587625"</f>
        <v>1552378374587625</v>
      </c>
      <c r="C1465" t="s">
        <v>40</v>
      </c>
      <c r="D1465">
        <v>6.0946629999999997</v>
      </c>
      <c r="E1465">
        <v>0.4473916</v>
      </c>
      <c r="F1465" t="s">
        <v>69</v>
      </c>
      <c r="G1465">
        <v>-245.69970000000001</v>
      </c>
      <c r="H1465" s="1">
        <v>1.496324E-6</v>
      </c>
      <c r="I1465">
        <v>282.5711</v>
      </c>
      <c r="J1465">
        <v>-224.422</v>
      </c>
      <c r="K1465">
        <v>1.109793</v>
      </c>
      <c r="L1465">
        <v>283.10399999999998</v>
      </c>
      <c r="M1465">
        <v>-0.99989439999999996</v>
      </c>
      <c r="N1465">
        <v>0</v>
      </c>
      <c r="O1465">
        <v>-5.8966799999999996E-3</v>
      </c>
      <c r="P1465">
        <v>-0.99213499999999999</v>
      </c>
      <c r="Q1465">
        <v>-4.2127489999999997E-2</v>
      </c>
      <c r="R1465">
        <v>0.1178722</v>
      </c>
      <c r="S1465">
        <v>-3.0248870000000001</v>
      </c>
      <c r="T1465">
        <v>-0.15591289999999999</v>
      </c>
      <c r="U1465">
        <v>-7.4890139999999994E-2</v>
      </c>
      <c r="V1465">
        <v>0.1236935</v>
      </c>
      <c r="W1465">
        <v>-2.9070990000000001E-2</v>
      </c>
      <c r="X1465">
        <v>0.99189450000000001</v>
      </c>
      <c r="Y1465">
        <v>-1.8837420000000001E-2</v>
      </c>
      <c r="Z1465">
        <v>-1.8136930000000001E-4</v>
      </c>
      <c r="AA1465">
        <v>0.99982260000000001</v>
      </c>
      <c r="AB1465">
        <v>17</v>
      </c>
      <c r="AC1465">
        <v>-21.277699999999999</v>
      </c>
      <c r="AD1465">
        <v>-1.109791503676</v>
      </c>
      <c r="AE1465">
        <v>-0.53290000000004001</v>
      </c>
      <c r="AF1465">
        <v>-0.406307249658033</v>
      </c>
      <c r="AG1465">
        <v>-1.109791503676</v>
      </c>
      <c r="AH1465">
        <v>21.222774295953201</v>
      </c>
      <c r="AI1465">
        <v>92.992864467640004</v>
      </c>
      <c r="AJ1465">
        <v>91.096786248934507</v>
      </c>
      <c r="AK1465">
        <v>21.2556550494151</v>
      </c>
      <c r="AL1465">
        <v>91.665879815248701</v>
      </c>
      <c r="AM1465">
        <v>82.891666496810601</v>
      </c>
      <c r="AN1465">
        <v>0.99999995176603795</v>
      </c>
    </row>
    <row r="1466" spans="1:40" x14ac:dyDescent="0.25">
      <c r="A1466" t="str">
        <f>"20190312161254617"</f>
        <v>20190312161254617</v>
      </c>
      <c r="B1466" t="str">
        <f>"1552378374607146"</f>
        <v>1552378374607146</v>
      </c>
      <c r="C1466" t="s">
        <v>40</v>
      </c>
      <c r="D1466">
        <v>6.0327970000000004</v>
      </c>
      <c r="E1466">
        <v>0.4475518</v>
      </c>
      <c r="F1466" t="s">
        <v>69</v>
      </c>
      <c r="G1466">
        <v>-246.42949999999999</v>
      </c>
      <c r="H1466" s="1">
        <v>1.8846459999999999E-6</v>
      </c>
      <c r="I1466">
        <v>282.63749999999999</v>
      </c>
      <c r="J1466">
        <v>-224.59780000000001</v>
      </c>
      <c r="K1466">
        <v>1.1097939999999999</v>
      </c>
      <c r="L1466">
        <v>283.10399999999998</v>
      </c>
      <c r="M1466">
        <v>-0.99989930000000005</v>
      </c>
      <c r="N1466">
        <v>0</v>
      </c>
      <c r="O1466">
        <v>-5.0274500000000001E-3</v>
      </c>
      <c r="P1466">
        <v>-0.99200929999999998</v>
      </c>
      <c r="Q1466">
        <v>-4.1927100000000002E-2</v>
      </c>
      <c r="R1466">
        <v>0.1189959</v>
      </c>
      <c r="S1466">
        <v>-3.0249480000000002</v>
      </c>
      <c r="T1466">
        <v>-0.15254210000000001</v>
      </c>
      <c r="U1466">
        <v>-6.4117430000000003E-2</v>
      </c>
      <c r="V1466">
        <v>0.12395490000000001</v>
      </c>
      <c r="W1466">
        <v>-2.8872760000000001E-2</v>
      </c>
      <c r="X1466">
        <v>0.99186770000000002</v>
      </c>
      <c r="Y1466">
        <v>-1.6150290000000001E-2</v>
      </c>
      <c r="Z1466">
        <v>-1.535563E-4</v>
      </c>
      <c r="AA1466">
        <v>0.99986960000000003</v>
      </c>
      <c r="AB1466">
        <v>17</v>
      </c>
      <c r="AC1466">
        <v>-21.831699999999898</v>
      </c>
      <c r="AD1466">
        <v>-1.109792115354</v>
      </c>
      <c r="AE1466">
        <v>-0.46650000000005298</v>
      </c>
      <c r="AF1466">
        <v>-0.35580763660595499</v>
      </c>
      <c r="AG1466">
        <v>-1.109792115354</v>
      </c>
      <c r="AH1466">
        <v>21.777520103863399</v>
      </c>
      <c r="AI1466">
        <v>92.916906172951599</v>
      </c>
      <c r="AJ1466">
        <v>90.936032299286595</v>
      </c>
      <c r="AK1466">
        <v>21.808682204290601</v>
      </c>
      <c r="AL1466">
        <v>91.654517232897405</v>
      </c>
      <c r="AM1466">
        <v>82.876608201756596</v>
      </c>
      <c r="AN1466">
        <v>0.99999999390365801</v>
      </c>
    </row>
    <row r="1467" spans="1:40" x14ac:dyDescent="0.25">
      <c r="A1467" t="str">
        <f>"20190312161254659"</f>
        <v>20190312161254659</v>
      </c>
      <c r="B1467" t="str">
        <f>"1552378374647162"</f>
        <v>1552378374647162</v>
      </c>
      <c r="C1467" t="s">
        <v>40</v>
      </c>
      <c r="D1467">
        <v>5.8208260000000003</v>
      </c>
      <c r="E1467">
        <v>0.44778689999999999</v>
      </c>
      <c r="F1467" t="s">
        <v>69</v>
      </c>
      <c r="G1467">
        <v>-247.02959999999999</v>
      </c>
      <c r="H1467" s="1">
        <v>2.2040340000000001E-6</v>
      </c>
      <c r="I1467">
        <v>282.66309999999999</v>
      </c>
      <c r="J1467">
        <v>-224.91380000000001</v>
      </c>
      <c r="K1467">
        <v>1.1097900000000001</v>
      </c>
      <c r="L1467">
        <v>283.1044</v>
      </c>
      <c r="M1467">
        <v>-0.99990610000000002</v>
      </c>
      <c r="N1467">
        <v>0</v>
      </c>
      <c r="O1467">
        <v>-3.4625770000000001E-3</v>
      </c>
      <c r="P1467">
        <v>-0.99185699999999999</v>
      </c>
      <c r="Q1467">
        <v>-4.1358939999999997E-2</v>
      </c>
      <c r="R1467">
        <v>0.1204546</v>
      </c>
      <c r="S1467">
        <v>-3.0249630000000001</v>
      </c>
      <c r="T1467">
        <v>-0.14965699999999901</v>
      </c>
      <c r="U1467">
        <v>-5.9448239999999999E-2</v>
      </c>
      <c r="V1467">
        <v>0.12386179999999999</v>
      </c>
      <c r="W1467">
        <v>-2.832028E-2</v>
      </c>
      <c r="X1467">
        <v>0.99189530000000004</v>
      </c>
      <c r="Y1467">
        <v>-1.617089E-2</v>
      </c>
      <c r="Z1467">
        <v>-2.285365E-4</v>
      </c>
      <c r="AA1467">
        <v>0.99986920000000001</v>
      </c>
      <c r="AB1467">
        <v>17</v>
      </c>
      <c r="AC1467">
        <v>-22.115799999999901</v>
      </c>
      <c r="AD1467">
        <v>-1.1097877959659901</v>
      </c>
      <c r="AE1467">
        <v>-0.44130000000001202</v>
      </c>
      <c r="AF1467">
        <v>-0.363797244879972</v>
      </c>
      <c r="AG1467">
        <v>-1.1097877959659901</v>
      </c>
      <c r="AH1467">
        <v>22.061663996643102</v>
      </c>
      <c r="AI1467">
        <v>92.879383077586695</v>
      </c>
      <c r="AJ1467">
        <v>90.944722833788205</v>
      </c>
      <c r="AK1467">
        <v>22.092555209577601</v>
      </c>
      <c r="AL1467">
        <v>91.622849442426201</v>
      </c>
      <c r="AM1467">
        <v>82.882099567863804</v>
      </c>
      <c r="AN1467">
        <v>1.0000000349603</v>
      </c>
    </row>
    <row r="1468" spans="1:40" x14ac:dyDescent="0.25">
      <c r="A1468" t="str">
        <f>"20190312161254683"</f>
        <v>20190312161254683</v>
      </c>
      <c r="B1468" t="str">
        <f>"1552378374677419"</f>
        <v>1552378374677419</v>
      </c>
      <c r="C1468" t="s">
        <v>40</v>
      </c>
      <c r="D1468">
        <v>6.0479649999999996</v>
      </c>
      <c r="E1468">
        <v>0.41886630000000002</v>
      </c>
      <c r="F1468" t="s">
        <v>69</v>
      </c>
      <c r="G1468">
        <v>-247.9888</v>
      </c>
      <c r="H1468" s="1">
        <v>2.714438E-6</v>
      </c>
      <c r="I1468">
        <v>282.70049999999998</v>
      </c>
      <c r="J1468">
        <v>-225.08430000000001</v>
      </c>
      <c r="K1468">
        <v>1.109782</v>
      </c>
      <c r="L1468">
        <v>283.10480000000001</v>
      </c>
      <c r="M1468">
        <v>-0.99990889999999999</v>
      </c>
      <c r="N1468">
        <v>0</v>
      </c>
      <c r="O1468">
        <v>-2.6187210000000001E-3</v>
      </c>
      <c r="P1468">
        <v>-0.99181739999999996</v>
      </c>
      <c r="Q1468">
        <v>-4.0948119999999998E-2</v>
      </c>
      <c r="R1468">
        <v>0.12092070000000001</v>
      </c>
      <c r="S1468">
        <v>-3.0249630000000001</v>
      </c>
      <c r="T1468">
        <v>-0.14548529999999901</v>
      </c>
      <c r="U1468">
        <v>-5.2948000000000002E-2</v>
      </c>
      <c r="V1468">
        <v>0.12349160000000001</v>
      </c>
      <c r="W1468">
        <v>-2.79282E-2</v>
      </c>
      <c r="X1468">
        <v>0.99195250000000001</v>
      </c>
      <c r="Y1468">
        <v>-1.486824E-2</v>
      </c>
      <c r="Z1468">
        <v>-2.3143440000000001E-4</v>
      </c>
      <c r="AA1468">
        <v>0.99988940000000004</v>
      </c>
      <c r="AB1468">
        <v>17</v>
      </c>
      <c r="AC1468">
        <v>-22.904499999999899</v>
      </c>
      <c r="AD1468">
        <v>-1.1097792855619999</v>
      </c>
      <c r="AE1468">
        <v>-0.40430000000003402</v>
      </c>
      <c r="AF1468">
        <v>-0.34350668030904702</v>
      </c>
      <c r="AG1468">
        <v>-1.1097792855619999</v>
      </c>
      <c r="AH1468">
        <v>22.8518490750997</v>
      </c>
      <c r="AI1468">
        <v>92.780019490596104</v>
      </c>
      <c r="AJ1468">
        <v>90.861199492281202</v>
      </c>
      <c r="AK1468">
        <v>22.881359510597601</v>
      </c>
      <c r="AL1468">
        <v>91.600376142635398</v>
      </c>
      <c r="AM1468">
        <v>82.903561469254896</v>
      </c>
      <c r="AN1468">
        <v>0.99999996094102395</v>
      </c>
    </row>
    <row r="1469" spans="1:40" x14ac:dyDescent="0.25">
      <c r="A1469" t="str">
        <f>"20190312161254705"</f>
        <v>20190312161254705</v>
      </c>
      <c r="B1469" t="str">
        <f>"1552378374696938"</f>
        <v>1552378374696938</v>
      </c>
      <c r="C1469" t="s">
        <v>40</v>
      </c>
      <c r="D1469">
        <v>6.0883789999999998</v>
      </c>
      <c r="E1469">
        <v>0.41623520000000003</v>
      </c>
      <c r="F1469" t="s">
        <v>69</v>
      </c>
      <c r="G1469">
        <v>-247.4555</v>
      </c>
      <c r="H1469" s="1">
        <v>2.4306530000000001E-6</v>
      </c>
      <c r="I1469">
        <v>281.04599999999999</v>
      </c>
      <c r="J1469">
        <v>-225.25649999999999</v>
      </c>
      <c r="K1469">
        <v>1.1097699999999999</v>
      </c>
      <c r="L1469">
        <v>283.10539999999997</v>
      </c>
      <c r="M1469">
        <v>-0.99991110000000005</v>
      </c>
      <c r="N1469">
        <v>0</v>
      </c>
      <c r="O1469">
        <v>-1.767656E-3</v>
      </c>
      <c r="P1469">
        <v>-0.99173509999999998</v>
      </c>
      <c r="Q1469">
        <v>-4.1001309999999999E-2</v>
      </c>
      <c r="R1469">
        <v>0.12157569999999999</v>
      </c>
      <c r="S1469">
        <v>-3.052765</v>
      </c>
      <c r="T1469">
        <v>-0.151440299999999</v>
      </c>
      <c r="U1469">
        <v>-0.28094479999999999</v>
      </c>
      <c r="V1469">
        <v>0.12330240000000001</v>
      </c>
      <c r="W1469">
        <v>-2.8008970000000001E-2</v>
      </c>
      <c r="X1469">
        <v>0.99197380000000002</v>
      </c>
      <c r="Y1469">
        <v>-8.9774569999999998E-2</v>
      </c>
      <c r="Z1469">
        <v>-2.1332410000000001E-3</v>
      </c>
      <c r="AA1469">
        <v>0.99595979999999995</v>
      </c>
      <c r="AB1469">
        <v>17</v>
      </c>
      <c r="AC1469">
        <v>-22.199000000000002</v>
      </c>
      <c r="AD1469">
        <v>-1.1097675693469999</v>
      </c>
      <c r="AE1469">
        <v>-2.0593999999999801</v>
      </c>
      <c r="AF1469">
        <v>-2.0151598886311701</v>
      </c>
      <c r="AG1469">
        <v>-1.1097675693469999</v>
      </c>
      <c r="AH1469">
        <v>22.147727124193899</v>
      </c>
      <c r="AI1469">
        <v>92.856768903337894</v>
      </c>
      <c r="AJ1469">
        <v>95.198868056734895</v>
      </c>
      <c r="AK1469">
        <v>22.266887303852702</v>
      </c>
      <c r="AL1469">
        <v>91.605005667989303</v>
      </c>
      <c r="AM1469">
        <v>82.914473838689602</v>
      </c>
      <c r="AN1469">
        <v>1.00000000206633</v>
      </c>
    </row>
    <row r="1470" spans="1:40" x14ac:dyDescent="0.25">
      <c r="A1470" t="str">
        <f>"20190312161254728"</f>
        <v>20190312161254728</v>
      </c>
      <c r="B1470" t="str">
        <f>"1552378374717436"</f>
        <v>1552378374717436</v>
      </c>
      <c r="C1470" t="s">
        <v>40</v>
      </c>
      <c r="D1470">
        <v>5.9271289999999999</v>
      </c>
      <c r="E1470">
        <v>0.41396709999999898</v>
      </c>
      <c r="F1470" t="s">
        <v>69</v>
      </c>
      <c r="G1470">
        <v>-251.30090000000001</v>
      </c>
      <c r="H1470" s="1">
        <v>-8.4450039999999999E-7</v>
      </c>
      <c r="I1470">
        <v>280.55680000000001</v>
      </c>
      <c r="J1470">
        <v>-225.41929999999999</v>
      </c>
      <c r="K1470">
        <v>1.1097649999999999</v>
      </c>
      <c r="L1470">
        <v>283.10610000000003</v>
      </c>
      <c r="M1470">
        <v>-0.99991269999999999</v>
      </c>
      <c r="N1470">
        <v>0</v>
      </c>
      <c r="O1470">
        <v>-9.6279950000000003E-4</v>
      </c>
      <c r="P1470">
        <v>-0.99165250000000005</v>
      </c>
      <c r="Q1470">
        <v>-4.1054569999999999E-2</v>
      </c>
      <c r="R1470">
        <v>0.12222860000000001</v>
      </c>
      <c r="S1470">
        <v>-3.0562740000000002</v>
      </c>
      <c r="T1470">
        <v>-0.13022990000000001</v>
      </c>
      <c r="U1470">
        <v>-0.29907230000000001</v>
      </c>
      <c r="V1470">
        <v>0.1231568</v>
      </c>
      <c r="W1470">
        <v>-2.8097239999999999E-2</v>
      </c>
      <c r="X1470">
        <v>0.99198940000000002</v>
      </c>
      <c r="Y1470">
        <v>-9.6345920000000002E-2</v>
      </c>
      <c r="Z1470">
        <v>-2.005958E-3</v>
      </c>
      <c r="AA1470">
        <v>0.99534590000000001</v>
      </c>
      <c r="AB1470">
        <v>17</v>
      </c>
      <c r="AC1470">
        <v>-25.881599999999999</v>
      </c>
      <c r="AD1470">
        <v>-1.10976584450039</v>
      </c>
      <c r="AE1470">
        <v>-2.5493000000000099</v>
      </c>
      <c r="AF1470">
        <v>-2.5197895654484501</v>
      </c>
      <c r="AG1470">
        <v>-1.10976584450039</v>
      </c>
      <c r="AH1470">
        <v>25.836995967236199</v>
      </c>
      <c r="AI1470">
        <v>92.447890577423706</v>
      </c>
      <c r="AJ1470">
        <v>95.570236233996695</v>
      </c>
      <c r="AK1470">
        <v>25.9832884811516</v>
      </c>
      <c r="AL1470">
        <v>91.610065143297305</v>
      </c>
      <c r="AM1470">
        <v>82.922865961268101</v>
      </c>
      <c r="AN1470">
        <v>1.0000000109970999</v>
      </c>
    </row>
    <row r="1471" spans="1:40" x14ac:dyDescent="0.25">
      <c r="A1471" t="str">
        <f>"20190312161254749"</f>
        <v>20190312161254749</v>
      </c>
      <c r="B1471" t="str">
        <f>"1552378374746715"</f>
        <v>1552378374746715</v>
      </c>
      <c r="C1471" t="s">
        <v>40</v>
      </c>
      <c r="D1471">
        <v>5.81806</v>
      </c>
      <c r="E1471">
        <v>0.41133920000000002</v>
      </c>
      <c r="F1471" t="s">
        <v>69</v>
      </c>
      <c r="G1471">
        <v>-254.32429999999999</v>
      </c>
      <c r="H1471" s="1">
        <v>7.6436669999999995E-7</v>
      </c>
      <c r="I1471">
        <v>280.13470000000001</v>
      </c>
      <c r="J1471">
        <v>-225.57749999999999</v>
      </c>
      <c r="K1471">
        <v>1.1097520000000001</v>
      </c>
      <c r="L1471">
        <v>283.1069</v>
      </c>
      <c r="M1471">
        <v>-0.99991379999999996</v>
      </c>
      <c r="N1471">
        <v>0</v>
      </c>
      <c r="O1471">
        <v>-1.8002949999999999E-4</v>
      </c>
      <c r="P1471">
        <v>-0.99154379999999998</v>
      </c>
      <c r="Q1471">
        <v>-4.1176770000000001E-2</v>
      </c>
      <c r="R1471">
        <v>0.1230667</v>
      </c>
      <c r="S1471">
        <v>-3.059158</v>
      </c>
      <c r="T1471">
        <v>-0.1174519</v>
      </c>
      <c r="U1471">
        <v>-0.31448359999999997</v>
      </c>
      <c r="V1471">
        <v>0.1232183</v>
      </c>
      <c r="W1471">
        <v>-2.826801E-2</v>
      </c>
      <c r="X1471">
        <v>0.99197690000000005</v>
      </c>
      <c r="Y1471">
        <v>-0.1020085</v>
      </c>
      <c r="Z1471">
        <v>-1.945481E-3</v>
      </c>
      <c r="AA1471">
        <v>0.99478160000000004</v>
      </c>
      <c r="AB1471">
        <v>17</v>
      </c>
      <c r="AC1471">
        <v>-28.7468</v>
      </c>
      <c r="AD1471">
        <v>-1.1097512356332999</v>
      </c>
      <c r="AE1471">
        <v>-2.97219999999998</v>
      </c>
      <c r="AF1471">
        <v>-2.9626557021304198</v>
      </c>
      <c r="AG1471">
        <v>-1.1097512356332999</v>
      </c>
      <c r="AH1471">
        <v>28.705008201370699</v>
      </c>
      <c r="AI1471">
        <v>92.202296241435207</v>
      </c>
      <c r="AJ1471">
        <v>95.892656452029001</v>
      </c>
      <c r="AK1471">
        <v>28.878822213780001</v>
      </c>
      <c r="AL1471">
        <v>91.619853449302198</v>
      </c>
      <c r="AM1471">
        <v>82.919279444524804</v>
      </c>
      <c r="AN1471">
        <v>0.99999999998892997</v>
      </c>
    </row>
    <row r="1472" spans="1:40" x14ac:dyDescent="0.25">
      <c r="A1472" t="str">
        <f>"20190312161255465"</f>
        <v>20190312161255465</v>
      </c>
      <c r="B1472" t="str">
        <f>"1552378375456690"</f>
        <v>1552378375456690</v>
      </c>
      <c r="C1472" t="s">
        <v>40</v>
      </c>
      <c r="D1472">
        <v>6.074986</v>
      </c>
      <c r="E1472">
        <v>0.39301570000000002</v>
      </c>
      <c r="F1472" t="s">
        <v>69</v>
      </c>
      <c r="G1472">
        <v>-257.76749999999998</v>
      </c>
      <c r="H1472">
        <v>2.5746729999999999E-2</v>
      </c>
      <c r="I1472">
        <v>279.61630000000002</v>
      </c>
      <c r="J1472">
        <v>-230.8981</v>
      </c>
      <c r="K1472">
        <v>1.1095219999999999</v>
      </c>
      <c r="L1472">
        <v>283.20030000000003</v>
      </c>
      <c r="M1472">
        <v>-0.99964710000000001</v>
      </c>
      <c r="N1472">
        <v>0</v>
      </c>
      <c r="O1472">
        <v>2.4194210000000001E-2</v>
      </c>
      <c r="P1472">
        <v>-0.98771690000000001</v>
      </c>
      <c r="Q1472">
        <v>-4.3534580000000003E-2</v>
      </c>
      <c r="R1472">
        <v>0.1500676</v>
      </c>
      <c r="S1472">
        <v>-3.0625309999999999</v>
      </c>
      <c r="T1472">
        <v>-0.10313120000000001</v>
      </c>
      <c r="U1472">
        <v>-0.33209229999999901</v>
      </c>
      <c r="V1472">
        <v>0.1260976</v>
      </c>
      <c r="W1472">
        <v>-3.2774940000000002E-2</v>
      </c>
      <c r="X1472">
        <v>0.99147629999999998</v>
      </c>
      <c r="Y1472">
        <v>-0.13174089999999999</v>
      </c>
      <c r="Z1472">
        <v>-3.023483E-3</v>
      </c>
      <c r="AA1472">
        <v>0.99127949999999998</v>
      </c>
      <c r="AB1472">
        <v>17</v>
      </c>
      <c r="AC1472">
        <v>-26.869399999999899</v>
      </c>
      <c r="AD1472">
        <v>-1.0837752699999901</v>
      </c>
      <c r="AE1472">
        <v>-3.5840000000000001</v>
      </c>
      <c r="AF1472">
        <v>-4.2263181440743001</v>
      </c>
      <c r="AG1472">
        <v>-1.0837752699999901</v>
      </c>
      <c r="AH1472">
        <v>26.732086154659701</v>
      </c>
      <c r="AI1472">
        <v>92.293169175274897</v>
      </c>
      <c r="AJ1472">
        <v>98.984049291956197</v>
      </c>
      <c r="AK1472">
        <v>27.085803736846099</v>
      </c>
      <c r="AL1472">
        <v>91.878202046384502</v>
      </c>
      <c r="AM1472">
        <v>82.751940140001196</v>
      </c>
      <c r="AN1472">
        <v>1.0000000274397201</v>
      </c>
    </row>
    <row r="1473" spans="1:40" x14ac:dyDescent="0.25">
      <c r="A1473" t="str">
        <f>"20190312161255488"</f>
        <v>20190312161255488</v>
      </c>
      <c r="B1473" t="str">
        <f>"1552378375477186"</f>
        <v>1552378375477186</v>
      </c>
      <c r="C1473" t="s">
        <v>40</v>
      </c>
      <c r="D1473">
        <v>5.8241360000000002</v>
      </c>
      <c r="E1473">
        <v>0.42702079999999998</v>
      </c>
      <c r="F1473" t="s">
        <v>68</v>
      </c>
      <c r="G1473">
        <v>-360.98919999999998</v>
      </c>
      <c r="H1473">
        <v>27.234369999999998</v>
      </c>
      <c r="I1473">
        <v>267.85000000000002</v>
      </c>
      <c r="J1473">
        <v>-231.07390000000001</v>
      </c>
      <c r="K1473">
        <v>1.109518</v>
      </c>
      <c r="L1473">
        <v>283.2054</v>
      </c>
      <c r="M1473">
        <v>-0.99962930000000005</v>
      </c>
      <c r="N1473">
        <v>0</v>
      </c>
      <c r="O1473">
        <v>2.4954939999999998E-2</v>
      </c>
      <c r="P1473">
        <v>-0.98754779999999998</v>
      </c>
      <c r="Q1473">
        <v>-4.3702100000000001E-2</v>
      </c>
      <c r="R1473">
        <v>0.15112809999999999</v>
      </c>
      <c r="S1473">
        <v>-3.120895</v>
      </c>
      <c r="T1473">
        <v>0.6267395</v>
      </c>
      <c r="U1473">
        <v>-0.36825560000000002</v>
      </c>
      <c r="V1473">
        <v>0.12640750000000001</v>
      </c>
      <c r="W1473">
        <v>-3.3002690000000001E-2</v>
      </c>
      <c r="X1473">
        <v>0.99142929999999996</v>
      </c>
      <c r="Y1473">
        <v>-0.13870639999999901</v>
      </c>
      <c r="Z1473">
        <v>1.869057E-2</v>
      </c>
      <c r="AA1473">
        <v>0.99015719999999996</v>
      </c>
      <c r="AB1473">
        <v>17</v>
      </c>
      <c r="AC1473">
        <v>-129.91529999999901</v>
      </c>
      <c r="AD1473">
        <v>26.124852000000001</v>
      </c>
      <c r="AE1473">
        <v>-15.3553999999999</v>
      </c>
      <c r="AF1473">
        <v>-17.879781295792601</v>
      </c>
      <c r="AG1473">
        <v>26.124852000000001</v>
      </c>
      <c r="AH1473">
        <v>124.52546796427499</v>
      </c>
      <c r="AI1473">
        <v>78.268386166743696</v>
      </c>
      <c r="AJ1473">
        <v>98.170873482479394</v>
      </c>
      <c r="AK1473">
        <v>128.48652319573799</v>
      </c>
      <c r="AL1473">
        <v>91.891258189315494</v>
      </c>
      <c r="AM1473">
        <v>82.733976525991906</v>
      </c>
      <c r="AN1473">
        <v>1.0000000452509801</v>
      </c>
    </row>
    <row r="1474" spans="1:40" x14ac:dyDescent="0.25">
      <c r="A1474" t="str">
        <f>"20190312161255509"</f>
        <v>20190312161255509</v>
      </c>
      <c r="B1474" t="str">
        <f>"1552378375497682"</f>
        <v>1552378375497682</v>
      </c>
      <c r="C1474" t="s">
        <v>40</v>
      </c>
      <c r="D1474">
        <v>5.8714409999999999</v>
      </c>
      <c r="E1474">
        <v>0.43188910000000003</v>
      </c>
      <c r="F1474" t="s">
        <v>73</v>
      </c>
      <c r="G1474">
        <v>-512.82539999999995</v>
      </c>
      <c r="H1474">
        <v>0.60210649999999999</v>
      </c>
      <c r="I1474">
        <v>272.32400000000001</v>
      </c>
      <c r="J1474">
        <v>-231.23330000000001</v>
      </c>
      <c r="K1474">
        <v>1.10951</v>
      </c>
      <c r="L1474">
        <v>283.21030000000002</v>
      </c>
      <c r="M1474">
        <v>-0.99961250000000001</v>
      </c>
      <c r="N1474">
        <v>0</v>
      </c>
      <c r="O1474">
        <v>2.5640219999999998E-2</v>
      </c>
      <c r="P1474">
        <v>-0.98738349999999997</v>
      </c>
      <c r="Q1474">
        <v>-4.3892760000000003E-2</v>
      </c>
      <c r="R1474">
        <v>0.15214269999999999</v>
      </c>
      <c r="S1474">
        <v>-3.0556489999999998</v>
      </c>
      <c r="T1474">
        <v>-5.5021050000000002E-3</v>
      </c>
      <c r="U1474">
        <v>-0.11801150000000001</v>
      </c>
      <c r="V1474">
        <v>0.12674630000000001</v>
      </c>
      <c r="W1474">
        <v>-3.324717E-2</v>
      </c>
      <c r="X1474">
        <v>0.99137779999999998</v>
      </c>
      <c r="Y1474">
        <v>-6.4201770000000005E-2</v>
      </c>
      <c r="Z1474">
        <v>-1.039364E-4</v>
      </c>
      <c r="AA1474">
        <v>0.99793690000000002</v>
      </c>
      <c r="AB1474">
        <v>17</v>
      </c>
      <c r="AC1474">
        <v>-281.59210000000002</v>
      </c>
      <c r="AD1474">
        <v>-0.50740350000000001</v>
      </c>
      <c r="AE1474">
        <v>-10.8863</v>
      </c>
      <c r="AF1474">
        <v>-18.103169214785002</v>
      </c>
      <c r="AG1474">
        <v>-0.50740350000000001</v>
      </c>
      <c r="AH1474">
        <v>281.21945640435501</v>
      </c>
      <c r="AI1474">
        <v>90.103164971146796</v>
      </c>
      <c r="AJ1474">
        <v>93.683265708408697</v>
      </c>
      <c r="AK1474">
        <v>281.801995830924</v>
      </c>
      <c r="AL1474">
        <v>91.905273694531203</v>
      </c>
      <c r="AM1474">
        <v>82.714336543403306</v>
      </c>
      <c r="AN1474">
        <v>0.99999997060476897</v>
      </c>
    </row>
    <row r="1475" spans="1:40" x14ac:dyDescent="0.25">
      <c r="A1475" t="str">
        <f>"20190312161255530"</f>
        <v>20190312161255530</v>
      </c>
      <c r="B1475" t="str">
        <f>"1552378375526963"</f>
        <v>1552378375526963</v>
      </c>
      <c r="C1475" t="s">
        <v>40</v>
      </c>
      <c r="D1475">
        <v>5.865596</v>
      </c>
      <c r="E1475">
        <v>0.43933109999999997</v>
      </c>
      <c r="F1475" t="s">
        <v>69</v>
      </c>
      <c r="G1475">
        <v>-271.9323</v>
      </c>
      <c r="H1475" s="1">
        <v>-4.0096190000000002E-7</v>
      </c>
      <c r="I1475">
        <v>282.15609999999998</v>
      </c>
      <c r="J1475">
        <v>-231.39449999999999</v>
      </c>
      <c r="K1475">
        <v>1.1095060000000001</v>
      </c>
      <c r="L1475">
        <v>283.21519999999998</v>
      </c>
      <c r="M1475">
        <v>-0.99959500000000001</v>
      </c>
      <c r="N1475">
        <v>0</v>
      </c>
      <c r="O1475">
        <v>2.6330610000000001E-2</v>
      </c>
      <c r="P1475">
        <v>-0.98727960000000003</v>
      </c>
      <c r="Q1475">
        <v>-4.3279909999999998E-2</v>
      </c>
      <c r="R1475">
        <v>0.15298999999999999</v>
      </c>
      <c r="S1475">
        <v>-3.046799</v>
      </c>
      <c r="T1475">
        <v>-8.3059789999999994E-2</v>
      </c>
      <c r="U1475">
        <v>-7.8918459999999996E-2</v>
      </c>
      <c r="V1475">
        <v>0.12691250000000001</v>
      </c>
      <c r="W1475">
        <v>-3.2684339999999999E-2</v>
      </c>
      <c r="X1475">
        <v>0.99137529999999996</v>
      </c>
      <c r="Y1475">
        <v>-5.2178589999999997E-2</v>
      </c>
      <c r="Z1475">
        <v>-1.4285719999999999E-3</v>
      </c>
      <c r="AA1475">
        <v>0.99863670000000004</v>
      </c>
      <c r="AB1475">
        <v>17</v>
      </c>
      <c r="AC1475">
        <v>-40.537799999999997</v>
      </c>
      <c r="AD1475">
        <v>-1.10950640096189</v>
      </c>
      <c r="AE1475">
        <v>-1.0590999999999999</v>
      </c>
      <c r="AF1475">
        <v>-2.1245895148270399</v>
      </c>
      <c r="AG1475">
        <v>-1.10950640096189</v>
      </c>
      <c r="AH1475">
        <v>40.465563062005202</v>
      </c>
      <c r="AI1475">
        <v>91.568413561342297</v>
      </c>
      <c r="AJ1475">
        <v>93.005477568141202</v>
      </c>
      <c r="AK1475">
        <v>40.536485774983099</v>
      </c>
      <c r="AL1475">
        <v>91.873008285676207</v>
      </c>
      <c r="AM1475">
        <v>82.704867644030202</v>
      </c>
      <c r="AN1475">
        <v>1.0000000170937799</v>
      </c>
    </row>
    <row r="1476" spans="1:40" x14ac:dyDescent="0.25">
      <c r="A1476" t="str">
        <f>"20190312161255611"</f>
        <v>20190312161255611</v>
      </c>
      <c r="B1476" t="str">
        <f>"1552378375606994"</f>
        <v>1552378375606994</v>
      </c>
      <c r="C1476" t="s">
        <v>40</v>
      </c>
      <c r="D1476">
        <v>5.6120150000000004</v>
      </c>
      <c r="E1476">
        <v>0.43933109999999997</v>
      </c>
      <c r="F1476" t="s">
        <v>69</v>
      </c>
      <c r="G1476">
        <v>-260.99759999999998</v>
      </c>
      <c r="H1476" s="1">
        <v>-1.005938E-6</v>
      </c>
      <c r="I1476">
        <v>283.0326</v>
      </c>
      <c r="J1476">
        <v>-232.00309999999999</v>
      </c>
      <c r="K1476">
        <v>1.1095139999999999</v>
      </c>
      <c r="L1476">
        <v>283.23480000000001</v>
      </c>
      <c r="M1476">
        <v>-0.99952750000000001</v>
      </c>
      <c r="N1476">
        <v>0</v>
      </c>
      <c r="O1476">
        <v>2.8839770000000001E-2</v>
      </c>
      <c r="P1476">
        <v>-0.98683710000000002</v>
      </c>
      <c r="Q1476">
        <v>-4.2956050000000003E-2</v>
      </c>
      <c r="R1476">
        <v>0.15590909999999999</v>
      </c>
      <c r="S1476">
        <v>-3.0365449999999998</v>
      </c>
      <c r="T1476">
        <v>-0.1138079</v>
      </c>
      <c r="U1476">
        <v>-1.8737790000000001E-2</v>
      </c>
      <c r="V1476">
        <v>0.12735739999999901</v>
      </c>
      <c r="W1476">
        <v>-3.2510879999999999E-2</v>
      </c>
      <c r="X1476">
        <v>0.99132390000000004</v>
      </c>
      <c r="Y1476">
        <v>-3.4964139999999998E-2</v>
      </c>
      <c r="Z1476">
        <v>-1.73546299999999E-3</v>
      </c>
      <c r="AA1476">
        <v>0.99938709999999997</v>
      </c>
      <c r="AB1476">
        <v>17</v>
      </c>
      <c r="AC1476">
        <v>-28.994499999999899</v>
      </c>
      <c r="AD1476">
        <v>-1.1095150059379999</v>
      </c>
      <c r="AE1476">
        <v>-0.20220000000000399</v>
      </c>
      <c r="AF1476">
        <v>-1.03683967554082</v>
      </c>
      <c r="AG1476">
        <v>-1.1095150059379999</v>
      </c>
      <c r="AH1476">
        <v>28.934239725723199</v>
      </c>
      <c r="AI1476">
        <v>92.194586079125202</v>
      </c>
      <c r="AJ1476">
        <v>92.052278877391601</v>
      </c>
      <c r="AK1476">
        <v>28.974062341459799</v>
      </c>
      <c r="AL1476">
        <v>91.863064563709997</v>
      </c>
      <c r="AM1476">
        <v>82.679195564672099</v>
      </c>
      <c r="AN1476">
        <v>0.99999996968217097</v>
      </c>
    </row>
    <row r="1477" spans="1:40" x14ac:dyDescent="0.25">
      <c r="A1477" t="str">
        <f>"20190312161255632"</f>
        <v>20190312161255632</v>
      </c>
      <c r="B1477" t="str">
        <f>"1552378375627491"</f>
        <v>1552378375627491</v>
      </c>
      <c r="C1477" t="s">
        <v>40</v>
      </c>
      <c r="D1477">
        <v>5.8524820000000002</v>
      </c>
      <c r="E1477">
        <v>0.4709043</v>
      </c>
      <c r="F1477" t="s">
        <v>69</v>
      </c>
      <c r="G1477">
        <v>-261.82530000000003</v>
      </c>
      <c r="H1477" s="1">
        <v>-5.6543260000000001E-7</v>
      </c>
      <c r="I1477">
        <v>283.13740000000001</v>
      </c>
      <c r="J1477">
        <v>-232.1677</v>
      </c>
      <c r="K1477">
        <v>1.1095219999999999</v>
      </c>
      <c r="L1477">
        <v>283.24040000000002</v>
      </c>
      <c r="M1477">
        <v>-0.99950930000000004</v>
      </c>
      <c r="N1477">
        <v>0</v>
      </c>
      <c r="O1477">
        <v>2.9473030000000001E-2</v>
      </c>
      <c r="P1477">
        <v>-0.98678650000000001</v>
      </c>
      <c r="Q1477">
        <v>-4.3043539999999998E-2</v>
      </c>
      <c r="R1477">
        <v>0.1562045</v>
      </c>
      <c r="S1477">
        <v>-3.0366520000000001</v>
      </c>
      <c r="T1477">
        <v>-0.1129764</v>
      </c>
      <c r="U1477">
        <v>-9.9182130000000004E-3</v>
      </c>
      <c r="V1477">
        <v>0.12702749999999999</v>
      </c>
      <c r="W1477">
        <v>-3.2633019999999999E-2</v>
      </c>
      <c r="X1477">
        <v>0.99136230000000003</v>
      </c>
      <c r="Y1477">
        <v>-3.2696250000000003E-2</v>
      </c>
      <c r="Z1477">
        <v>-1.704105E-3</v>
      </c>
      <c r="AA1477">
        <v>0.99946389999999996</v>
      </c>
      <c r="AB1477">
        <v>17</v>
      </c>
      <c r="AC1477">
        <v>-29.657599999999999</v>
      </c>
      <c r="AD1477">
        <v>-1.1095225654326</v>
      </c>
      <c r="AE1477">
        <v>-0.103000000000008</v>
      </c>
      <c r="AF1477">
        <v>-0.97573814080628196</v>
      </c>
      <c r="AG1477">
        <v>-1.1095225654326</v>
      </c>
      <c r="AH1477">
        <v>29.6002510183908</v>
      </c>
      <c r="AI1477">
        <v>92.145480134066503</v>
      </c>
      <c r="AJ1477">
        <v>91.888005652909698</v>
      </c>
      <c r="AK1477">
        <v>29.637104541340999</v>
      </c>
      <c r="AL1477">
        <v>91.870066226406806</v>
      </c>
      <c r="AM1477">
        <v>82.698233852428899</v>
      </c>
      <c r="AN1477">
        <v>1.00000005480592</v>
      </c>
    </row>
    <row r="1478" spans="1:40" x14ac:dyDescent="0.25">
      <c r="A1478" t="str">
        <f>"20190312161255654"</f>
        <v>20190312161255654</v>
      </c>
      <c r="B1478" t="str">
        <f>"1552378375647011"</f>
        <v>1552378375647011</v>
      </c>
      <c r="C1478" t="s">
        <v>40</v>
      </c>
      <c r="D1478">
        <v>5.8987740000000004</v>
      </c>
      <c r="E1478">
        <v>0.45601449999999999</v>
      </c>
      <c r="F1478" t="s">
        <v>43</v>
      </c>
      <c r="G1478">
        <v>-232.91229999999999</v>
      </c>
      <c r="H1478">
        <v>0.81300099999999997</v>
      </c>
      <c r="I1478">
        <v>283.29169999999999</v>
      </c>
      <c r="J1478">
        <v>-232.33600000000001</v>
      </c>
      <c r="K1478">
        <v>1.109524</v>
      </c>
      <c r="L1478">
        <v>283.24610000000001</v>
      </c>
      <c r="M1478">
        <v>-0.99949129999999997</v>
      </c>
      <c r="N1478">
        <v>0</v>
      </c>
      <c r="O1478">
        <v>3.009804E-2</v>
      </c>
      <c r="P1478">
        <v>-0.98678650000000001</v>
      </c>
      <c r="Q1478">
        <v>-4.3235469999999998E-2</v>
      </c>
      <c r="R1478">
        <v>0.15615090000000001</v>
      </c>
      <c r="S1478">
        <v>-2.9566650000000001</v>
      </c>
      <c r="T1478">
        <v>-1.177379</v>
      </c>
      <c r="U1478">
        <v>0.20315549999999999</v>
      </c>
      <c r="V1478">
        <v>0.12635489999999999</v>
      </c>
      <c r="W1478">
        <v>-3.2855349999999998E-2</v>
      </c>
      <c r="X1478">
        <v>0.99144080000000001</v>
      </c>
      <c r="Y1478">
        <v>3.7896480000000003E-2</v>
      </c>
      <c r="Z1478">
        <v>-4.2685889999999997E-3</v>
      </c>
      <c r="AA1478">
        <v>0.99927250000000001</v>
      </c>
      <c r="AB1478">
        <v>17</v>
      </c>
      <c r="AC1478">
        <v>-0.57630000000000303</v>
      </c>
      <c r="AD1478">
        <v>-0.29652299999999998</v>
      </c>
      <c r="AE1478">
        <v>4.55999999999789E-2</v>
      </c>
      <c r="AF1478">
        <v>2.2352176614512501E-2</v>
      </c>
      <c r="AG1478">
        <v>-0.29652299999999998</v>
      </c>
      <c r="AH1478">
        <v>0.45714093742358602</v>
      </c>
      <c r="AI1478">
        <v>122.93810394501701</v>
      </c>
      <c r="AJ1478">
        <v>87.200718360870994</v>
      </c>
      <c r="AK1478">
        <v>0.54534699595479696</v>
      </c>
      <c r="AL1478">
        <v>91.8828118333291</v>
      </c>
      <c r="AM1478">
        <v>82.737051077905704</v>
      </c>
      <c r="AN1478">
        <v>0.99999994734113395</v>
      </c>
    </row>
    <row r="1479" spans="1:40" x14ac:dyDescent="0.25">
      <c r="A1479" t="str">
        <f>"20190312161255678"</f>
        <v>20190312161255678</v>
      </c>
      <c r="B1479" t="str">
        <f>"1552378375667510"</f>
        <v>1552378375667510</v>
      </c>
      <c r="C1479" t="s">
        <v>40</v>
      </c>
      <c r="D1479">
        <v>5.5497249999999996</v>
      </c>
      <c r="E1479">
        <v>0.4576498</v>
      </c>
      <c r="F1479" t="s">
        <v>43</v>
      </c>
      <c r="G1479">
        <v>-233.15649999999999</v>
      </c>
      <c r="H1479">
        <v>1.0156829999999999</v>
      </c>
      <c r="I1479">
        <v>283.27730000000003</v>
      </c>
      <c r="J1479">
        <v>-232.5146</v>
      </c>
      <c r="K1479">
        <v>1.109531</v>
      </c>
      <c r="L1479">
        <v>283.25220000000002</v>
      </c>
      <c r="M1479">
        <v>-0.99947229999999998</v>
      </c>
      <c r="N1479">
        <v>0</v>
      </c>
      <c r="O1479">
        <v>3.0734339999999999E-2</v>
      </c>
      <c r="P1479">
        <v>-0.98682700000000001</v>
      </c>
      <c r="Q1479">
        <v>-4.3242129999999997E-2</v>
      </c>
      <c r="R1479">
        <v>0.15589359999999999</v>
      </c>
      <c r="S1479">
        <v>-3.0069889999999999</v>
      </c>
      <c r="T1479">
        <v>-0.34393550000000001</v>
      </c>
      <c r="U1479">
        <v>0.1143494</v>
      </c>
      <c r="V1479">
        <v>0.12546689999999999</v>
      </c>
      <c r="W1479">
        <v>-3.2894819999999998E-2</v>
      </c>
      <c r="X1479">
        <v>0.99155230000000005</v>
      </c>
      <c r="Y1479">
        <v>7.4203209999999997E-3</v>
      </c>
      <c r="Z1479">
        <v>-3.0791130000000001E-3</v>
      </c>
      <c r="AA1479">
        <v>0.99996779999999996</v>
      </c>
      <c r="AB1479">
        <v>17</v>
      </c>
      <c r="AC1479">
        <v>-0.64189999999999203</v>
      </c>
      <c r="AD1479">
        <v>-9.3848000000000098E-2</v>
      </c>
      <c r="AE1479">
        <v>2.5100000000009001E-2</v>
      </c>
      <c r="AF1479">
        <v>5.2466986841594098E-3</v>
      </c>
      <c r="AG1479">
        <v>-9.3848000000000098E-2</v>
      </c>
      <c r="AH1479">
        <v>0.62894474706655901</v>
      </c>
      <c r="AI1479">
        <v>98.486482953819007</v>
      </c>
      <c r="AJ1479">
        <v>89.522045903984306</v>
      </c>
      <c r="AK1479">
        <v>0.63592961073824905</v>
      </c>
      <c r="AL1479">
        <v>91.885074444423196</v>
      </c>
      <c r="AM1479">
        <v>82.788356925305294</v>
      </c>
      <c r="AN1479">
        <v>0.99999998790686595</v>
      </c>
    </row>
    <row r="1480" spans="1:40" x14ac:dyDescent="0.25">
      <c r="A1480" t="str">
        <f>"20190312161255699"</f>
        <v>20190312161255699</v>
      </c>
      <c r="B1480" t="str">
        <f>"1552378375687026"</f>
        <v>1552378375687026</v>
      </c>
      <c r="C1480" t="s">
        <v>40</v>
      </c>
      <c r="D1480">
        <v>5.8174780000000004</v>
      </c>
      <c r="E1480">
        <v>0.45473920000000001</v>
      </c>
      <c r="F1480" t="s">
        <v>43</v>
      </c>
      <c r="G1480">
        <v>-233.3141</v>
      </c>
      <c r="H1480">
        <v>1.0255030000000001</v>
      </c>
      <c r="I1480">
        <v>283.28640000000001</v>
      </c>
      <c r="J1480">
        <v>-232.67959999999999</v>
      </c>
      <c r="K1480">
        <v>1.1095379999999999</v>
      </c>
      <c r="L1480">
        <v>283.25790000000001</v>
      </c>
      <c r="M1480">
        <v>-0.99945519999999999</v>
      </c>
      <c r="N1480">
        <v>0</v>
      </c>
      <c r="O1480">
        <v>3.1298609999999998E-2</v>
      </c>
      <c r="P1480">
        <v>-0.98684110000000003</v>
      </c>
      <c r="Q1480">
        <v>-4.3034650000000001E-2</v>
      </c>
      <c r="R1480">
        <v>0.1558619</v>
      </c>
      <c r="S1480">
        <v>-3.0060579999999999</v>
      </c>
      <c r="T1480">
        <v>-0.31610050000000001</v>
      </c>
      <c r="U1480">
        <v>0.12744140000000001</v>
      </c>
      <c r="V1480">
        <v>0.1248761</v>
      </c>
      <c r="W1480">
        <v>-3.2721729999999997E-2</v>
      </c>
      <c r="X1480">
        <v>0.99163259999999998</v>
      </c>
      <c r="Y1480">
        <v>1.117452E-2</v>
      </c>
      <c r="Z1480">
        <v>-2.6942659999999998E-3</v>
      </c>
      <c r="AA1480">
        <v>0.99993399999999999</v>
      </c>
      <c r="AB1480">
        <v>17</v>
      </c>
      <c r="AC1480">
        <v>-0.63450000000000195</v>
      </c>
      <c r="AD1480">
        <v>-8.4034999999999804E-2</v>
      </c>
      <c r="AE1480">
        <v>2.8500000000008099E-2</v>
      </c>
      <c r="AF1480">
        <v>8.4775716769993799E-3</v>
      </c>
      <c r="AG1480">
        <v>-8.4034999999999804E-2</v>
      </c>
      <c r="AH1480">
        <v>0.62415484364179896</v>
      </c>
      <c r="AI1480">
        <v>97.6673817751673</v>
      </c>
      <c r="AJ1480">
        <v>89.221828980181797</v>
      </c>
      <c r="AK1480">
        <v>0.629843646699764</v>
      </c>
      <c r="AL1480">
        <v>91.875151785897401</v>
      </c>
      <c r="AM1480">
        <v>82.822535361164498</v>
      </c>
      <c r="AN1480">
        <v>0.99999998267408097</v>
      </c>
    </row>
    <row r="1481" spans="1:40" x14ac:dyDescent="0.25">
      <c r="A1481" t="str">
        <f>"20190312161255720"</f>
        <v>20190312161255720</v>
      </c>
      <c r="B1481" t="str">
        <f>"1552378375707523"</f>
        <v>1552378375707523</v>
      </c>
      <c r="C1481" t="s">
        <v>40</v>
      </c>
      <c r="D1481">
        <v>5.764259</v>
      </c>
      <c r="E1481">
        <v>0.45718229999999999</v>
      </c>
      <c r="F1481" t="s">
        <v>43</v>
      </c>
      <c r="G1481">
        <v>-233.4725</v>
      </c>
      <c r="H1481">
        <v>1.034756</v>
      </c>
      <c r="I1481">
        <v>283.28579999999999</v>
      </c>
      <c r="J1481">
        <v>-232.84139999999999</v>
      </c>
      <c r="K1481">
        <v>1.109534</v>
      </c>
      <c r="L1481">
        <v>283.2636</v>
      </c>
      <c r="M1481">
        <v>-0.99943879999999996</v>
      </c>
      <c r="N1481">
        <v>0</v>
      </c>
      <c r="O1481">
        <v>3.1832470000000002E-2</v>
      </c>
      <c r="P1481">
        <v>-0.98683940000000003</v>
      </c>
      <c r="Q1481">
        <v>-4.2971570000000001E-2</v>
      </c>
      <c r="R1481">
        <v>0.15589020000000001</v>
      </c>
      <c r="S1481">
        <v>-3.0109710000000001</v>
      </c>
      <c r="T1481">
        <v>-0.28401789999999999</v>
      </c>
      <c r="U1481">
        <v>0.1053772</v>
      </c>
      <c r="V1481">
        <v>0.12437570000000001</v>
      </c>
      <c r="W1481">
        <v>-3.2697900000000002E-2</v>
      </c>
      <c r="X1481">
        <v>0.99169629999999998</v>
      </c>
      <c r="Y1481">
        <v>3.2704460000000002E-3</v>
      </c>
      <c r="Z1481">
        <v>-2.8406310000000001E-3</v>
      </c>
      <c r="AA1481">
        <v>0.99999059999999995</v>
      </c>
      <c r="AB1481">
        <v>17</v>
      </c>
      <c r="AC1481">
        <v>-0.63110000000000299</v>
      </c>
      <c r="AD1481">
        <v>-7.4777999999999997E-2</v>
      </c>
      <c r="AE1481">
        <v>2.2199999999997999E-2</v>
      </c>
      <c r="AF1481">
        <v>2.06916948309819E-3</v>
      </c>
      <c r="AG1481">
        <v>-7.4777999999999997E-2</v>
      </c>
      <c r="AH1481">
        <v>0.62275450446073599</v>
      </c>
      <c r="AI1481">
        <v>96.847040404673294</v>
      </c>
      <c r="AJ1481">
        <v>89.809629249789396</v>
      </c>
      <c r="AK1481">
        <v>0.62723137961400299</v>
      </c>
      <c r="AL1481">
        <v>91.873785646298799</v>
      </c>
      <c r="AM1481">
        <v>82.8514529758951</v>
      </c>
      <c r="AN1481">
        <v>1.00000000942429</v>
      </c>
    </row>
    <row r="1482" spans="1:40" x14ac:dyDescent="0.25">
      <c r="A1482" t="str">
        <f>"20190312161255743"</f>
        <v>20190312161255743</v>
      </c>
      <c r="B1482" t="str">
        <f>"1552378375736803"</f>
        <v>1552378375736803</v>
      </c>
      <c r="C1482" t="s">
        <v>40</v>
      </c>
      <c r="D1482">
        <v>5.6898910000000003</v>
      </c>
      <c r="E1482">
        <v>0.45991720000000003</v>
      </c>
      <c r="F1482" t="s">
        <v>43</v>
      </c>
      <c r="G1482">
        <v>-233.62469999999999</v>
      </c>
      <c r="H1482">
        <v>1.033396</v>
      </c>
      <c r="I1482">
        <v>283.2962</v>
      </c>
      <c r="J1482">
        <v>-233.01689999999999</v>
      </c>
      <c r="K1482">
        <v>1.109529</v>
      </c>
      <c r="L1482">
        <v>283.26990000000001</v>
      </c>
      <c r="M1482">
        <v>-0.99942120000000001</v>
      </c>
      <c r="N1482">
        <v>0</v>
      </c>
      <c r="O1482">
        <v>3.2394989999999999E-2</v>
      </c>
      <c r="P1482">
        <v>-0.9866646</v>
      </c>
      <c r="Q1482">
        <v>-4.3529720000000001E-2</v>
      </c>
      <c r="R1482">
        <v>0.15683810000000001</v>
      </c>
      <c r="S1482">
        <v>-3.0076139999999998</v>
      </c>
      <c r="T1482">
        <v>-0.29243970000000002</v>
      </c>
      <c r="U1482">
        <v>0.1245728</v>
      </c>
      <c r="V1482">
        <v>0.1247709</v>
      </c>
      <c r="W1482">
        <v>-3.3304670000000001E-2</v>
      </c>
      <c r="X1482">
        <v>0.99162640000000002</v>
      </c>
      <c r="Y1482">
        <v>9.1025280000000004E-3</v>
      </c>
      <c r="Z1482">
        <v>-2.6990450000000002E-3</v>
      </c>
      <c r="AA1482">
        <v>0.99995489999999998</v>
      </c>
      <c r="AB1482">
        <v>17</v>
      </c>
      <c r="AC1482">
        <v>-0.60779999999999701</v>
      </c>
      <c r="AD1482">
        <v>-7.6133000000000006E-2</v>
      </c>
      <c r="AE1482">
        <v>2.6299999999992E-2</v>
      </c>
      <c r="AF1482">
        <v>6.4937611773697003E-3</v>
      </c>
      <c r="AG1482">
        <v>-7.6133000000000006E-2</v>
      </c>
      <c r="AH1482">
        <v>0.59895295011955896</v>
      </c>
      <c r="AI1482">
        <v>97.243606786465193</v>
      </c>
      <c r="AJ1482">
        <v>89.378831790794806</v>
      </c>
      <c r="AK1482">
        <v>0.60380712075972798</v>
      </c>
      <c r="AL1482">
        <v>91.908570070886995</v>
      </c>
      <c r="AM1482">
        <v>82.828474556203801</v>
      </c>
      <c r="AN1482">
        <v>0.99999994785378798</v>
      </c>
    </row>
    <row r="1483" spans="1:40" x14ac:dyDescent="0.25">
      <c r="A1483" t="str">
        <f>"20190312161255767"</f>
        <v>20190312161255767</v>
      </c>
      <c r="B1483" t="str">
        <f>"1552378375757299"</f>
        <v>1552378375757299</v>
      </c>
      <c r="C1483" t="s">
        <v>40</v>
      </c>
      <c r="D1483">
        <v>5.7289269999999997</v>
      </c>
      <c r="E1483">
        <v>0.46066820000000003</v>
      </c>
      <c r="F1483" t="s">
        <v>43</v>
      </c>
      <c r="G1483">
        <v>-233.7774</v>
      </c>
      <c r="H1483">
        <v>1.0317609999999999</v>
      </c>
      <c r="I1483">
        <v>283.3075</v>
      </c>
      <c r="J1483">
        <v>-233.1952</v>
      </c>
      <c r="K1483">
        <v>1.1095250000000001</v>
      </c>
      <c r="L1483">
        <v>283.27640000000002</v>
      </c>
      <c r="M1483">
        <v>-0.99940340000000005</v>
      </c>
      <c r="N1483">
        <v>0</v>
      </c>
      <c r="O1483">
        <v>3.2955180000000001E-2</v>
      </c>
      <c r="P1483">
        <v>-0.98657709999999998</v>
      </c>
      <c r="Q1483">
        <v>-4.3588590000000003E-2</v>
      </c>
      <c r="R1483">
        <v>0.1573716</v>
      </c>
      <c r="S1483">
        <v>-3.0033569999999998</v>
      </c>
      <c r="T1483">
        <v>-0.30711359999999999</v>
      </c>
      <c r="U1483">
        <v>0.1485901</v>
      </c>
      <c r="V1483">
        <v>0.1247516</v>
      </c>
      <c r="W1483">
        <v>-3.341388E-2</v>
      </c>
      <c r="X1483">
        <v>0.99162519999999998</v>
      </c>
      <c r="Y1483">
        <v>1.6555940000000002E-2</v>
      </c>
      <c r="Z1483">
        <v>-2.5143639999999998E-3</v>
      </c>
      <c r="AA1483">
        <v>0.99985979999999997</v>
      </c>
      <c r="AB1483">
        <v>17</v>
      </c>
      <c r="AC1483">
        <v>-0.58220000000000005</v>
      </c>
      <c r="AD1483">
        <v>-7.7763999999999903E-2</v>
      </c>
      <c r="AE1483">
        <v>3.1099999999980799E-2</v>
      </c>
      <c r="AF1483">
        <v>1.16876521683759E-2</v>
      </c>
      <c r="AG1483">
        <v>-7.7763999999999903E-2</v>
      </c>
      <c r="AH1483">
        <v>0.57272002005127598</v>
      </c>
      <c r="AI1483">
        <v>97.730751331360196</v>
      </c>
      <c r="AJ1483">
        <v>88.830911822639706</v>
      </c>
      <c r="AK1483">
        <v>0.578093471920193</v>
      </c>
      <c r="AL1483">
        <v>91.914830741062502</v>
      </c>
      <c r="AM1483">
        <v>82.829563738689501</v>
      </c>
      <c r="AN1483">
        <v>0.99999999317712696</v>
      </c>
    </row>
    <row r="1484" spans="1:40" x14ac:dyDescent="0.25">
      <c r="A1484" t="str">
        <f>"20190312161255787"</f>
        <v>20190312161255787</v>
      </c>
      <c r="B1484" t="str">
        <f>"1552378375776823"</f>
        <v>1552378375776823</v>
      </c>
      <c r="C1484" t="s">
        <v>40</v>
      </c>
      <c r="D1484">
        <v>5.7301919999999997</v>
      </c>
      <c r="E1484">
        <v>0.4617677</v>
      </c>
      <c r="F1484" t="s">
        <v>43</v>
      </c>
      <c r="G1484">
        <v>-233.9324</v>
      </c>
      <c r="H1484">
        <v>1.0337149999999999</v>
      </c>
      <c r="I1484">
        <v>283.31490000000002</v>
      </c>
      <c r="J1484">
        <v>-233.3614</v>
      </c>
      <c r="K1484">
        <v>1.1095170000000001</v>
      </c>
      <c r="L1484">
        <v>283.28250000000003</v>
      </c>
      <c r="M1484">
        <v>-0.99938680000000002</v>
      </c>
      <c r="N1484">
        <v>0</v>
      </c>
      <c r="O1484">
        <v>3.3471050000000002E-2</v>
      </c>
      <c r="P1484">
        <v>-0.98647989999999997</v>
      </c>
      <c r="Q1484">
        <v>-4.3439319999999997E-2</v>
      </c>
      <c r="R1484">
        <v>0.1580211</v>
      </c>
      <c r="S1484">
        <v>-3.002243</v>
      </c>
      <c r="T1484">
        <v>-0.30880990000000003</v>
      </c>
      <c r="U1484">
        <v>0.15618899999999999</v>
      </c>
      <c r="V1484">
        <v>0.1248924</v>
      </c>
      <c r="W1484">
        <v>-3.3312370000000001E-2</v>
      </c>
      <c r="X1484">
        <v>0.99161089999999996</v>
      </c>
      <c r="Y1484">
        <v>1.8575410000000001E-2</v>
      </c>
      <c r="Z1484">
        <v>-2.4782390000000001E-3</v>
      </c>
      <c r="AA1484">
        <v>0.99982439999999995</v>
      </c>
      <c r="AB1484">
        <v>17</v>
      </c>
      <c r="AC1484">
        <v>-0.57099999999999795</v>
      </c>
      <c r="AD1484">
        <v>-7.5802000000000105E-2</v>
      </c>
      <c r="AE1484">
        <v>3.2399999999995502E-2</v>
      </c>
      <c r="AF1484">
        <v>1.3039796428067E-2</v>
      </c>
      <c r="AG1484">
        <v>-7.5802000000000105E-2</v>
      </c>
      <c r="AH1484">
        <v>0.56189386095340799</v>
      </c>
      <c r="AI1484">
        <v>97.681029489281997</v>
      </c>
      <c r="AJ1484">
        <v>88.670583053740998</v>
      </c>
      <c r="AK1484">
        <v>0.56713375007313205</v>
      </c>
      <c r="AL1484">
        <v>91.909011391309903</v>
      </c>
      <c r="AM1484">
        <v>82.821452813470998</v>
      </c>
      <c r="AN1484">
        <v>1.0000000012857899</v>
      </c>
    </row>
    <row r="1485" spans="1:40" x14ac:dyDescent="0.25">
      <c r="A1485" t="str">
        <f>"20190312161255811"</f>
        <v>20190312161255811</v>
      </c>
      <c r="B1485" t="str">
        <f>"1552378375807076"</f>
        <v>1552378375807076</v>
      </c>
      <c r="C1485" t="s">
        <v>40</v>
      </c>
      <c r="D1485">
        <v>5.6615149999999996</v>
      </c>
      <c r="E1485">
        <v>0.46313209999999999</v>
      </c>
      <c r="F1485" t="s">
        <v>43</v>
      </c>
      <c r="G1485">
        <v>-234.08760000000001</v>
      </c>
      <c r="H1485">
        <v>1.03572999999999</v>
      </c>
      <c r="I1485">
        <v>283.32279999999997</v>
      </c>
      <c r="J1485">
        <v>-233.54320000000001</v>
      </c>
      <c r="K1485">
        <v>1.1095060000000001</v>
      </c>
      <c r="L1485">
        <v>283.28919999999999</v>
      </c>
      <c r="M1485">
        <v>-0.99936840000000005</v>
      </c>
      <c r="N1485">
        <v>0</v>
      </c>
      <c r="O1485">
        <v>3.4033290000000001E-2</v>
      </c>
      <c r="P1485">
        <v>-0.98634049999999995</v>
      </c>
      <c r="Q1485">
        <v>-4.3249870000000003E-2</v>
      </c>
      <c r="R1485">
        <v>0.15894040000000001</v>
      </c>
      <c r="S1485">
        <v>-3.001007</v>
      </c>
      <c r="T1485">
        <v>-0.30492200000000003</v>
      </c>
      <c r="U1485">
        <v>0.166687</v>
      </c>
      <c r="V1485">
        <v>0.12525819999999999</v>
      </c>
      <c r="W1485">
        <v>-3.3178649999999997E-2</v>
      </c>
      <c r="X1485">
        <v>0.99156920000000004</v>
      </c>
      <c r="Y1485">
        <v>2.150761E-2</v>
      </c>
      <c r="Z1485">
        <v>-2.3563400000000002E-3</v>
      </c>
      <c r="AA1485">
        <v>0.99976589999999999</v>
      </c>
      <c r="AB1485">
        <v>17</v>
      </c>
      <c r="AC1485">
        <v>-0.544399999999996</v>
      </c>
      <c r="AD1485">
        <v>-7.3775999999999994E-2</v>
      </c>
      <c r="AE1485">
        <v>3.3599999999978501E-2</v>
      </c>
      <c r="AF1485">
        <v>1.47814095776633E-2</v>
      </c>
      <c r="AG1485">
        <v>-7.3775999999999994E-2</v>
      </c>
      <c r="AH1485">
        <v>0.53543220840228201</v>
      </c>
      <c r="AI1485">
        <v>97.842306279844394</v>
      </c>
      <c r="AJ1485">
        <v>88.418665668984403</v>
      </c>
      <c r="AK1485">
        <v>0.54069310892561595</v>
      </c>
      <c r="AL1485">
        <v>91.901345642675494</v>
      </c>
      <c r="AM1485">
        <v>82.800348117923093</v>
      </c>
      <c r="AN1485">
        <v>0.99999995893585003</v>
      </c>
    </row>
    <row r="1486" spans="1:40" x14ac:dyDescent="0.25">
      <c r="A1486" t="str">
        <f>"20190312161255834"</f>
        <v>20190312161255834</v>
      </c>
      <c r="B1486" t="str">
        <f>"1552378375827803"</f>
        <v>1552378375827803</v>
      </c>
      <c r="C1486" t="s">
        <v>40</v>
      </c>
      <c r="D1486">
        <v>5.5512139999999999</v>
      </c>
      <c r="E1486">
        <v>0.4636074</v>
      </c>
      <c r="F1486" t="s">
        <v>43</v>
      </c>
      <c r="G1486">
        <v>-234.39169999999999</v>
      </c>
      <c r="H1486">
        <v>1.024907</v>
      </c>
      <c r="I1486">
        <v>283.34039999999999</v>
      </c>
      <c r="J1486">
        <v>-233.71940000000001</v>
      </c>
      <c r="K1486">
        <v>1.10949599999999</v>
      </c>
      <c r="L1486">
        <v>283.29590000000002</v>
      </c>
      <c r="M1486">
        <v>-0.99935010000000002</v>
      </c>
      <c r="N1486">
        <v>0</v>
      </c>
      <c r="O1486">
        <v>3.4578320000000003E-2</v>
      </c>
      <c r="P1486">
        <v>-0.9861086</v>
      </c>
      <c r="Q1486">
        <v>-4.3464269999999999E-2</v>
      </c>
      <c r="R1486">
        <v>0.16031489999999901</v>
      </c>
      <c r="S1486">
        <v>-2.9993129999999999</v>
      </c>
      <c r="T1486">
        <v>-0.29912280000000002</v>
      </c>
      <c r="U1486">
        <v>0.18054200000000001</v>
      </c>
      <c r="V1486">
        <v>0.12609899999999999</v>
      </c>
      <c r="W1486">
        <v>-3.3448480000000003E-2</v>
      </c>
      <c r="X1486">
        <v>0.99145360000000005</v>
      </c>
      <c r="Y1486">
        <v>2.5576539999999998E-2</v>
      </c>
      <c r="Z1486">
        <v>-2.1645800000000001E-3</v>
      </c>
      <c r="AA1486">
        <v>0.99967050000000002</v>
      </c>
      <c r="AB1486">
        <v>17</v>
      </c>
      <c r="AC1486">
        <v>-0.67229999999997803</v>
      </c>
      <c r="AD1486">
        <v>-8.4588999999999803E-2</v>
      </c>
      <c r="AE1486">
        <v>4.4499999999970799E-2</v>
      </c>
      <c r="AF1486">
        <v>2.0895822032304098E-2</v>
      </c>
      <c r="AG1486">
        <v>-8.4588999999999803E-2</v>
      </c>
      <c r="AH1486">
        <v>0.66298693263005604</v>
      </c>
      <c r="AI1486">
        <v>97.267384657685497</v>
      </c>
      <c r="AJ1486">
        <v>88.194766508817693</v>
      </c>
      <c r="AK1486">
        <v>0.66868797442276195</v>
      </c>
      <c r="AL1486">
        <v>91.916814271135195</v>
      </c>
      <c r="AM1486">
        <v>82.751696337980107</v>
      </c>
      <c r="AN1486">
        <v>0.99999999978413501</v>
      </c>
    </row>
    <row r="1487" spans="1:40" x14ac:dyDescent="0.25">
      <c r="A1487" t="str">
        <f>"20190312161255857"</f>
        <v>20190312161255857</v>
      </c>
      <c r="B1487" t="str">
        <f>"1552378375847323"</f>
        <v>1552378375847323</v>
      </c>
      <c r="C1487" t="s">
        <v>40</v>
      </c>
      <c r="D1487">
        <v>5.5173860000000001</v>
      </c>
      <c r="E1487">
        <v>0.46368559999999998</v>
      </c>
      <c r="F1487" t="s">
        <v>43</v>
      </c>
      <c r="G1487">
        <v>-234.5489</v>
      </c>
      <c r="H1487">
        <v>1.0290870000000001</v>
      </c>
      <c r="I1487">
        <v>283.34829999999999</v>
      </c>
      <c r="J1487">
        <v>-233.89320000000001</v>
      </c>
      <c r="K1487">
        <v>1.1094889999999999</v>
      </c>
      <c r="L1487">
        <v>283.30259999999998</v>
      </c>
      <c r="M1487">
        <v>-0.999332</v>
      </c>
      <c r="N1487">
        <v>0</v>
      </c>
      <c r="O1487">
        <v>3.511802E-2</v>
      </c>
      <c r="P1487">
        <v>-0.98604639999999999</v>
      </c>
      <c r="Q1487">
        <v>-4.3136420000000002E-2</v>
      </c>
      <c r="R1487">
        <v>0.16078580000000001</v>
      </c>
      <c r="S1487">
        <v>-2.9988100000000002</v>
      </c>
      <c r="T1487">
        <v>-0.29077589999999998</v>
      </c>
      <c r="U1487">
        <v>0.188446</v>
      </c>
      <c r="V1487">
        <v>0.12603619999999999</v>
      </c>
      <c r="W1487">
        <v>-3.3171180000000001E-2</v>
      </c>
      <c r="X1487">
        <v>0.99147090000000004</v>
      </c>
      <c r="Y1487">
        <v>2.7661959999999999E-2</v>
      </c>
      <c r="Z1487">
        <v>-2.055945E-3</v>
      </c>
      <c r="AA1487">
        <v>0.99961520000000004</v>
      </c>
      <c r="AB1487">
        <v>17</v>
      </c>
      <c r="AC1487">
        <v>-0.65569999999999595</v>
      </c>
      <c r="AD1487">
        <v>-8.0401999999999793E-2</v>
      </c>
      <c r="AE1487">
        <v>4.5700000000010697E-2</v>
      </c>
      <c r="AF1487">
        <v>2.2309921241731E-2</v>
      </c>
      <c r="AG1487">
        <v>-8.0401999999999793E-2</v>
      </c>
      <c r="AH1487">
        <v>0.64721618136042702</v>
      </c>
      <c r="AI1487">
        <v>97.077267194366996</v>
      </c>
      <c r="AJ1487">
        <v>88.025762583066097</v>
      </c>
      <c r="AK1487">
        <v>0.65257260102197501</v>
      </c>
      <c r="AL1487">
        <v>91.900917332764394</v>
      </c>
      <c r="AM1487">
        <v>82.755392854493607</v>
      </c>
      <c r="AN1487">
        <v>0.99999999821992103</v>
      </c>
    </row>
    <row r="1488" spans="1:40" x14ac:dyDescent="0.25">
      <c r="A1488" t="str">
        <f>"20190312161255878"</f>
        <v>20190312161255878</v>
      </c>
      <c r="B1488" t="str">
        <f>"1552378375866850"</f>
        <v>1552378375866850</v>
      </c>
      <c r="C1488" t="s">
        <v>40</v>
      </c>
      <c r="D1488">
        <v>5.407991</v>
      </c>
      <c r="E1488">
        <v>0.46374019999999999</v>
      </c>
      <c r="F1488" t="s">
        <v>43</v>
      </c>
      <c r="G1488">
        <v>-234.7064</v>
      </c>
      <c r="H1488">
        <v>1.0328170000000001</v>
      </c>
      <c r="I1488">
        <v>283.35430000000002</v>
      </c>
      <c r="J1488">
        <v>-234.0626</v>
      </c>
      <c r="K1488">
        <v>1.1094820000000001</v>
      </c>
      <c r="L1488">
        <v>283.3091</v>
      </c>
      <c r="M1488">
        <v>-0.99931369999999997</v>
      </c>
      <c r="N1488">
        <v>0</v>
      </c>
      <c r="O1488">
        <v>3.5646160000000003E-2</v>
      </c>
      <c r="P1488">
        <v>-0.98603680000000005</v>
      </c>
      <c r="Q1488">
        <v>-4.2319950000000002E-2</v>
      </c>
      <c r="R1488">
        <v>0.16106099999999901</v>
      </c>
      <c r="S1488">
        <v>-2.9989620000000001</v>
      </c>
      <c r="T1488">
        <v>-0.28270380000000001</v>
      </c>
      <c r="U1488">
        <v>0.1910095</v>
      </c>
      <c r="V1488">
        <v>0.12578800000000001</v>
      </c>
      <c r="W1488">
        <v>-3.2403109999999999E-2</v>
      </c>
      <c r="X1488">
        <v>0.99152779999999996</v>
      </c>
      <c r="Y1488">
        <v>2.7980580000000001E-2</v>
      </c>
      <c r="Z1488">
        <v>-2.0335639999999999E-3</v>
      </c>
      <c r="AA1488">
        <v>0.99960640000000001</v>
      </c>
      <c r="AB1488">
        <v>17</v>
      </c>
      <c r="AC1488">
        <v>-0.64379999999999804</v>
      </c>
      <c r="AD1488">
        <v>-7.66649999999999E-2</v>
      </c>
      <c r="AE1488">
        <v>4.52000000000225E-2</v>
      </c>
      <c r="AF1488">
        <v>2.1911910642847102E-2</v>
      </c>
      <c r="AG1488">
        <v>-7.66649999999999E-2</v>
      </c>
      <c r="AH1488">
        <v>0.63602713481925699</v>
      </c>
      <c r="AI1488">
        <v>96.869083832413097</v>
      </c>
      <c r="AJ1488">
        <v>88.026870884246705</v>
      </c>
      <c r="AK1488">
        <v>0.64100559301726301</v>
      </c>
      <c r="AL1488">
        <v>91.856886522591907</v>
      </c>
      <c r="AM1488">
        <v>82.769918888670801</v>
      </c>
      <c r="AN1488">
        <v>0.99999998032725501</v>
      </c>
    </row>
    <row r="1489" spans="1:40" x14ac:dyDescent="0.25">
      <c r="A1489" t="str">
        <f>"20190312161255900"</f>
        <v>20190312161255900</v>
      </c>
      <c r="B1489" t="str">
        <f>"1552378375897098"</f>
        <v>1552378375897098</v>
      </c>
      <c r="C1489" t="s">
        <v>40</v>
      </c>
      <c r="D1489">
        <v>5.5250719999999998</v>
      </c>
      <c r="E1489">
        <v>0.46401439999999999</v>
      </c>
      <c r="F1489" t="s">
        <v>43</v>
      </c>
      <c r="G1489">
        <v>-234.86359999999999</v>
      </c>
      <c r="H1489">
        <v>1.0355829999999999</v>
      </c>
      <c r="I1489">
        <v>283.36079999999998</v>
      </c>
      <c r="J1489">
        <v>-234.23320000000001</v>
      </c>
      <c r="K1489">
        <v>1.1094809999999999</v>
      </c>
      <c r="L1489">
        <v>283.3159</v>
      </c>
      <c r="M1489">
        <v>-0.99929509999999999</v>
      </c>
      <c r="N1489">
        <v>0</v>
      </c>
      <c r="O1489">
        <v>3.6177439999999998E-2</v>
      </c>
      <c r="P1489">
        <v>-0.98600549999999998</v>
      </c>
      <c r="Q1489">
        <v>-4.263691E-2</v>
      </c>
      <c r="R1489">
        <v>0.16116929999999999</v>
      </c>
      <c r="S1489">
        <v>-2.999161</v>
      </c>
      <c r="T1489">
        <v>-0.2768774</v>
      </c>
      <c r="U1489">
        <v>0.1925354</v>
      </c>
      <c r="V1489">
        <v>0.12536989999999901</v>
      </c>
      <c r="W1489">
        <v>-3.2769800000000002E-2</v>
      </c>
      <c r="X1489">
        <v>0.99156869999999997</v>
      </c>
      <c r="Y1489">
        <v>2.7952439999999999E-2</v>
      </c>
      <c r="Z1489">
        <v>-2.041799E-3</v>
      </c>
      <c r="AA1489">
        <v>0.99960709999999997</v>
      </c>
      <c r="AB1489">
        <v>17</v>
      </c>
      <c r="AC1489">
        <v>-0.63039999999997998</v>
      </c>
      <c r="AD1489">
        <v>-7.3898000000000005E-2</v>
      </c>
      <c r="AE1489">
        <v>4.4899999999984098E-2</v>
      </c>
      <c r="AF1489">
        <v>2.1765618654773E-2</v>
      </c>
      <c r="AG1489">
        <v>-7.3898000000000005E-2</v>
      </c>
      <c r="AH1489">
        <v>0.62309274680044002</v>
      </c>
      <c r="AI1489">
        <v>96.759527836266898</v>
      </c>
      <c r="AJ1489">
        <v>87.999380942791504</v>
      </c>
      <c r="AK1489">
        <v>0.62783694354087105</v>
      </c>
      <c r="AL1489">
        <v>91.877907478394306</v>
      </c>
      <c r="AM1489">
        <v>82.793991635497903</v>
      </c>
      <c r="AN1489">
        <v>0.99999997921886896</v>
      </c>
    </row>
    <row r="1490" spans="1:40" x14ac:dyDescent="0.25">
      <c r="A1490" t="str">
        <f>"20190312161255923"</f>
        <v>20190312161255923</v>
      </c>
      <c r="B1490" t="str">
        <f>"1552378375917594"</f>
        <v>1552378375917594</v>
      </c>
      <c r="C1490" t="s">
        <v>40</v>
      </c>
      <c r="D1490">
        <v>5.4168890000000003</v>
      </c>
      <c r="E1490">
        <v>0.4637174</v>
      </c>
      <c r="F1490" t="s">
        <v>43</v>
      </c>
      <c r="G1490">
        <v>-235.0215</v>
      </c>
      <c r="H1490">
        <v>1.038913</v>
      </c>
      <c r="I1490">
        <v>283.36720000000003</v>
      </c>
      <c r="J1490">
        <v>-234.4135</v>
      </c>
      <c r="K1490">
        <v>1.109478</v>
      </c>
      <c r="L1490">
        <v>283.32310000000001</v>
      </c>
      <c r="M1490">
        <v>-0.99927529999999998</v>
      </c>
      <c r="N1490">
        <v>0</v>
      </c>
      <c r="O1490">
        <v>3.6734870000000003E-2</v>
      </c>
      <c r="P1490">
        <v>-0.98596450000000002</v>
      </c>
      <c r="Q1490">
        <v>-4.2484399999999999E-2</v>
      </c>
      <c r="R1490">
        <v>0.16145970000000001</v>
      </c>
      <c r="S1490">
        <v>-2.999069</v>
      </c>
      <c r="T1490">
        <v>-0.26851799999999998</v>
      </c>
      <c r="U1490">
        <v>0.19503780000000001</v>
      </c>
      <c r="V1490">
        <v>0.12510869999999999</v>
      </c>
      <c r="W1490">
        <v>-3.2670360000000002E-2</v>
      </c>
      <c r="X1490">
        <v>0.99160499999999996</v>
      </c>
      <c r="Y1490">
        <v>2.822647E-2</v>
      </c>
      <c r="Z1490">
        <v>-2.0178700000000002E-3</v>
      </c>
      <c r="AA1490">
        <v>0.99959949999999997</v>
      </c>
      <c r="AB1490">
        <v>17</v>
      </c>
      <c r="AC1490">
        <v>-0.60800000000000398</v>
      </c>
      <c r="AD1490">
        <v>-7.0564999999999906E-2</v>
      </c>
      <c r="AE1490">
        <v>4.4100000000014399E-2</v>
      </c>
      <c r="AF1490">
        <v>2.14469392808571E-2</v>
      </c>
      <c r="AG1490">
        <v>-7.0564999999999906E-2</v>
      </c>
      <c r="AH1490">
        <v>0.601154431199316</v>
      </c>
      <c r="AI1490">
        <v>96.690666296199097</v>
      </c>
      <c r="AJ1490">
        <v>87.956767690188698</v>
      </c>
      <c r="AK1490">
        <v>0.60566165520040205</v>
      </c>
      <c r="AL1490">
        <v>91.872206880416101</v>
      </c>
      <c r="AM1490">
        <v>82.809108046184505</v>
      </c>
      <c r="AN1490">
        <v>1.0000000076316</v>
      </c>
    </row>
    <row r="1491" spans="1:40" x14ac:dyDescent="0.25">
      <c r="A1491" t="str">
        <f>"20190312161255945"</f>
        <v>20190312161255945</v>
      </c>
      <c r="B1491" t="str">
        <f>"1552378375937622"</f>
        <v>1552378375937622</v>
      </c>
      <c r="C1491" t="s">
        <v>40</v>
      </c>
      <c r="D1491">
        <v>5.4405489999999999</v>
      </c>
      <c r="E1491">
        <v>0.43726619999999999</v>
      </c>
      <c r="F1491" t="s">
        <v>43</v>
      </c>
      <c r="G1491">
        <v>-235.18010000000001</v>
      </c>
      <c r="H1491">
        <v>1.0416920000000001</v>
      </c>
      <c r="I1491">
        <v>283.37270000000001</v>
      </c>
      <c r="J1491">
        <v>-234.58879999999999</v>
      </c>
      <c r="K1491">
        <v>1.109475</v>
      </c>
      <c r="L1491">
        <v>283.33010000000002</v>
      </c>
      <c r="M1491">
        <v>-0.99925589999999997</v>
      </c>
      <c r="N1491">
        <v>0</v>
      </c>
      <c r="O1491">
        <v>3.7269410000000003E-2</v>
      </c>
      <c r="P1491">
        <v>-0.98591329999999999</v>
      </c>
      <c r="Q1491">
        <v>-4.1946959999999998E-2</v>
      </c>
      <c r="R1491">
        <v>0.16191150000000001</v>
      </c>
      <c r="S1491">
        <v>-2.9995880000000001</v>
      </c>
      <c r="T1491">
        <v>-0.26525890000000002</v>
      </c>
      <c r="U1491">
        <v>0.19360350000000001</v>
      </c>
      <c r="V1491">
        <v>0.12503249999999999</v>
      </c>
      <c r="W1491">
        <v>-3.2180720000000003E-2</v>
      </c>
      <c r="X1491">
        <v>0.99163060000000003</v>
      </c>
      <c r="Y1491">
        <v>2.720976E-2</v>
      </c>
      <c r="Z1491">
        <v>-2.0850690000000002E-3</v>
      </c>
      <c r="AA1491">
        <v>0.99962759999999995</v>
      </c>
      <c r="AB1491">
        <v>17</v>
      </c>
      <c r="AC1491">
        <v>-0.59130000000001803</v>
      </c>
      <c r="AD1491">
        <v>-6.7782999999999899E-2</v>
      </c>
      <c r="AE1491">
        <v>4.2599999999992998E-2</v>
      </c>
      <c r="AF1491">
        <v>2.0266960517382901E-2</v>
      </c>
      <c r="AG1491">
        <v>-6.7782999999999899E-2</v>
      </c>
      <c r="AH1491">
        <v>0.58483137205304603</v>
      </c>
      <c r="AI1491">
        <v>96.6072541337997</v>
      </c>
      <c r="AJ1491">
        <v>88.015245336121794</v>
      </c>
      <c r="AK1491">
        <v>0.58909508444313297</v>
      </c>
      <c r="AL1491">
        <v>91.844137855086203</v>
      </c>
      <c r="AM1491">
        <v>82.813625588583406</v>
      </c>
      <c r="AN1491">
        <v>0.99999998582616401</v>
      </c>
    </row>
    <row r="1492" spans="1:40" x14ac:dyDescent="0.25">
      <c r="A1492" t="str">
        <f>"20190312161255968"</f>
        <v>20190312161255968</v>
      </c>
      <c r="B1492" t="str">
        <f>"1552378375957141"</f>
        <v>1552378375957141</v>
      </c>
      <c r="C1492" t="s">
        <v>40</v>
      </c>
      <c r="D1492">
        <v>5.4399290000000002</v>
      </c>
      <c r="E1492">
        <v>0.43673620000000002</v>
      </c>
      <c r="F1492" t="s">
        <v>69</v>
      </c>
      <c r="G1492">
        <v>-271.0462</v>
      </c>
      <c r="H1492" s="1">
        <v>-9.2014940000000004E-7</v>
      </c>
      <c r="I1492">
        <v>283.24590000000001</v>
      </c>
      <c r="J1492">
        <v>-234.76820000000001</v>
      </c>
      <c r="K1492">
        <v>1.1094630000000001</v>
      </c>
      <c r="L1492">
        <v>283.3374</v>
      </c>
      <c r="M1492">
        <v>-0.99923629999999997</v>
      </c>
      <c r="N1492">
        <v>0</v>
      </c>
      <c r="O1492">
        <v>3.7802669999999997E-2</v>
      </c>
      <c r="P1492">
        <v>-0.98585339999999999</v>
      </c>
      <c r="Q1492">
        <v>-4.1490140000000002E-2</v>
      </c>
      <c r="R1492">
        <v>0.1623925</v>
      </c>
      <c r="S1492">
        <v>-3.0400700000000001</v>
      </c>
      <c r="T1492">
        <v>-9.2515829999999993E-2</v>
      </c>
      <c r="U1492">
        <v>-7.019043E-3</v>
      </c>
      <c r="V1492">
        <v>0.1249871</v>
      </c>
      <c r="W1492">
        <v>-3.1770350000000003E-2</v>
      </c>
      <c r="X1492">
        <v>0.99164960000000002</v>
      </c>
      <c r="Y1492">
        <v>-4.0075560000000003E-2</v>
      </c>
      <c r="Z1492">
        <v>-1.7596619999999999E-3</v>
      </c>
      <c r="AA1492">
        <v>0.9991951</v>
      </c>
      <c r="AB1492">
        <v>18</v>
      </c>
      <c r="AC1492">
        <v>-36.277999999999899</v>
      </c>
      <c r="AD1492">
        <v>-1.1094639201494001</v>
      </c>
      <c r="AE1492">
        <v>-9.1499999999996307E-2</v>
      </c>
      <c r="AF1492">
        <v>-1.46153996899054</v>
      </c>
      <c r="AG1492">
        <v>-1.1094639201494001</v>
      </c>
      <c r="AH1492">
        <v>36.2147371409283</v>
      </c>
      <c r="AI1492">
        <v>91.753321257498399</v>
      </c>
      <c r="AJ1492">
        <v>92.3110661378564</v>
      </c>
      <c r="AK1492">
        <v>36.261194071039696</v>
      </c>
      <c r="AL1492">
        <v>91.820613276356895</v>
      </c>
      <c r="AM1492">
        <v>82.816343938517903</v>
      </c>
      <c r="AN1492">
        <v>1.00000002974284</v>
      </c>
    </row>
    <row r="1493" spans="1:40" x14ac:dyDescent="0.25">
      <c r="A1493" t="str">
        <f>"20190312161255991"</f>
        <v>20190312161255991</v>
      </c>
      <c r="B1493" t="str">
        <f>"1552378375987398"</f>
        <v>1552378375987398</v>
      </c>
      <c r="C1493" t="s">
        <v>40</v>
      </c>
      <c r="D1493">
        <v>5.387035</v>
      </c>
      <c r="E1493">
        <v>0.43599490000000002</v>
      </c>
      <c r="F1493" t="s">
        <v>69</v>
      </c>
      <c r="G1493">
        <v>-276.85559999999998</v>
      </c>
      <c r="H1493" s="1">
        <v>2.1729329999999998E-6</v>
      </c>
      <c r="I1493">
        <v>283.209</v>
      </c>
      <c r="J1493">
        <v>-234.9469</v>
      </c>
      <c r="K1493">
        <v>1.1094660000000001</v>
      </c>
      <c r="L1493">
        <v>283.34480000000002</v>
      </c>
      <c r="M1493">
        <v>-0.99921729999999997</v>
      </c>
      <c r="N1493">
        <v>0</v>
      </c>
      <c r="O1493">
        <v>3.83142E-2</v>
      </c>
      <c r="P1493">
        <v>-0.9857205</v>
      </c>
      <c r="Q1493">
        <v>-4.1433190000000002E-2</v>
      </c>
      <c r="R1493">
        <v>0.163213</v>
      </c>
      <c r="S1493">
        <v>-3.0412140000000001</v>
      </c>
      <c r="T1493">
        <v>-8.0169199999999996E-2</v>
      </c>
      <c r="U1493">
        <v>-9.2773439999999999E-3</v>
      </c>
      <c r="V1493">
        <v>0.12530549999999999</v>
      </c>
      <c r="W1493">
        <v>-3.1759759999999998E-2</v>
      </c>
      <c r="X1493">
        <v>0.99160979999999999</v>
      </c>
      <c r="Y1493">
        <v>-4.1336499999999998E-2</v>
      </c>
      <c r="Z1493">
        <v>-1.554436E-3</v>
      </c>
      <c r="AA1493">
        <v>0.99914409999999998</v>
      </c>
      <c r="AB1493">
        <v>18</v>
      </c>
      <c r="AC1493">
        <v>-41.908699999999897</v>
      </c>
      <c r="AD1493">
        <v>-1.1094638270669901</v>
      </c>
      <c r="AE1493">
        <v>-0.13580000000001699</v>
      </c>
      <c r="AF1493">
        <v>-1.74025669462605</v>
      </c>
      <c r="AG1493">
        <v>-1.1094638270669901</v>
      </c>
      <c r="AH1493">
        <v>41.843396725927903</v>
      </c>
      <c r="AI1493">
        <v>91.517511544038399</v>
      </c>
      <c r="AJ1493">
        <v>92.381545044184705</v>
      </c>
      <c r="AK1493">
        <v>41.894262768428803</v>
      </c>
      <c r="AL1493">
        <v>91.820006128837207</v>
      </c>
      <c r="AM1493">
        <v>82.797949722850205</v>
      </c>
      <c r="AN1493">
        <v>1.0000000730707701</v>
      </c>
    </row>
    <row r="1494" spans="1:40" x14ac:dyDescent="0.25">
      <c r="A1494" t="str">
        <f>"20190312161256012"</f>
        <v>20190312161256012</v>
      </c>
      <c r="B1494" t="str">
        <f>"1552378376006917"</f>
        <v>1552378376006917</v>
      </c>
      <c r="C1494" t="s">
        <v>40</v>
      </c>
      <c r="D1494">
        <v>5.3239219999999996</v>
      </c>
      <c r="E1494">
        <v>0.43623679999999898</v>
      </c>
      <c r="F1494" t="s">
        <v>74</v>
      </c>
      <c r="G1494">
        <v>-292.99119999999999</v>
      </c>
      <c r="H1494" s="1">
        <v>2.8670400000000001E-6</v>
      </c>
      <c r="I1494">
        <v>283.12130000000002</v>
      </c>
      <c r="J1494">
        <v>-235.11590000000001</v>
      </c>
      <c r="K1494">
        <v>1.1094710000000001</v>
      </c>
      <c r="L1494">
        <v>283.3519</v>
      </c>
      <c r="M1494">
        <v>-0.99919990000000003</v>
      </c>
      <c r="N1494">
        <v>0</v>
      </c>
      <c r="O1494">
        <v>3.8782079999999997E-2</v>
      </c>
      <c r="P1494">
        <v>-0.9855853</v>
      </c>
      <c r="Q1494">
        <v>-4.1764019999999999E-2</v>
      </c>
      <c r="R1494">
        <v>0.163943899999999</v>
      </c>
      <c r="S1494">
        <v>-3.0429689999999998</v>
      </c>
      <c r="T1494">
        <v>-5.8163520000000003E-2</v>
      </c>
      <c r="U1494">
        <v>-1.171875E-2</v>
      </c>
      <c r="V1494">
        <v>0.1255773</v>
      </c>
      <c r="W1494">
        <v>-3.2131939999999998E-2</v>
      </c>
      <c r="X1494">
        <v>0.99156339999999998</v>
      </c>
      <c r="Y1494">
        <v>-4.2616939999999999E-2</v>
      </c>
      <c r="Z1494">
        <v>-1.148376E-3</v>
      </c>
      <c r="AA1494">
        <v>0.9990909</v>
      </c>
      <c r="AB1494">
        <v>18</v>
      </c>
      <c r="AC1494">
        <v>-57.875299999999903</v>
      </c>
      <c r="AD1494">
        <v>-1.10946813295999</v>
      </c>
      <c r="AE1494">
        <v>-0.23059999999998099</v>
      </c>
      <c r="AF1494">
        <v>-2.4741490053085098</v>
      </c>
      <c r="AG1494">
        <v>-1.10946813295999</v>
      </c>
      <c r="AH1494">
        <v>57.801571176151597</v>
      </c>
      <c r="AI1494">
        <v>91.098618984461297</v>
      </c>
      <c r="AJ1494">
        <v>92.4510028297574</v>
      </c>
      <c r="AK1494">
        <v>57.865135991115103</v>
      </c>
      <c r="AL1494">
        <v>91.841341406220806</v>
      </c>
      <c r="AM1494">
        <v>82.782158148076107</v>
      </c>
      <c r="AN1494">
        <v>1.0000000480315001</v>
      </c>
    </row>
    <row r="1495" spans="1:40" x14ac:dyDescent="0.25">
      <c r="A1495" t="str">
        <f>"20190312161256036"</f>
        <v>20190312161256036</v>
      </c>
      <c r="B1495" t="str">
        <f>"1552378376026810"</f>
        <v>1552378376026810</v>
      </c>
      <c r="C1495" t="s">
        <v>40</v>
      </c>
      <c r="D1495">
        <v>5.3476369999999998</v>
      </c>
      <c r="E1495">
        <v>0.43619920000000001</v>
      </c>
      <c r="F1495" t="s">
        <v>74</v>
      </c>
      <c r="G1495">
        <v>-301.04809999999998</v>
      </c>
      <c r="H1495" s="1">
        <v>3.9029219999999997E-6</v>
      </c>
      <c r="I1495">
        <v>283.1952</v>
      </c>
      <c r="J1495">
        <v>-235.30199999999999</v>
      </c>
      <c r="K1495">
        <v>1.109477</v>
      </c>
      <c r="L1495">
        <v>283.35969999999998</v>
      </c>
      <c r="M1495">
        <v>-0.99918090000000004</v>
      </c>
      <c r="N1495">
        <v>0</v>
      </c>
      <c r="O1495">
        <v>3.927713E-2</v>
      </c>
      <c r="P1495">
        <v>-0.9856009</v>
      </c>
      <c r="Q1495">
        <v>-4.095613E-2</v>
      </c>
      <c r="R1495">
        <v>0.16405310000000001</v>
      </c>
      <c r="S1495">
        <v>-3.0428920000000002</v>
      </c>
      <c r="T1495">
        <v>-5.1203970000000001E-2</v>
      </c>
      <c r="U1495">
        <v>-7.2326659999999996E-3</v>
      </c>
      <c r="V1495">
        <v>0.125195899999999</v>
      </c>
      <c r="W1495">
        <v>-3.1363920000000003E-2</v>
      </c>
      <c r="X1495">
        <v>0.99163619999999997</v>
      </c>
      <c r="Y1495">
        <v>-4.1642499999999999E-2</v>
      </c>
      <c r="Z1495">
        <v>-1.011138E-3</v>
      </c>
      <c r="AA1495">
        <v>0.99913200000000002</v>
      </c>
      <c r="AB1495">
        <v>18</v>
      </c>
      <c r="AC1495">
        <v>-65.746099999999899</v>
      </c>
      <c r="AD1495">
        <v>-1.109473097078</v>
      </c>
      <c r="AE1495">
        <v>-0.164499999999975</v>
      </c>
      <c r="AF1495">
        <v>-2.7460316451043698</v>
      </c>
      <c r="AG1495">
        <v>-1.109473097078</v>
      </c>
      <c r="AH1495">
        <v>65.670200439367605</v>
      </c>
      <c r="AI1495">
        <v>90.967053420828904</v>
      </c>
      <c r="AJ1495">
        <v>92.394456179227205</v>
      </c>
      <c r="AK1495">
        <v>65.736951907551799</v>
      </c>
      <c r="AL1495">
        <v>91.7973149398549</v>
      </c>
      <c r="AM1495">
        <v>82.804372588946407</v>
      </c>
      <c r="AN1495">
        <v>1.0000000310024999</v>
      </c>
    </row>
    <row r="1496" spans="1:40" x14ac:dyDescent="0.25">
      <c r="A1496" t="str">
        <f>"20190312161256081"</f>
        <v>20190312161256081</v>
      </c>
      <c r="B1496" t="str">
        <f>"1552378376077561"</f>
        <v>1552378376077561</v>
      </c>
      <c r="C1496" t="s">
        <v>40</v>
      </c>
      <c r="D1496">
        <v>5.1356229999999998</v>
      </c>
      <c r="E1496">
        <v>0.4362608</v>
      </c>
      <c r="F1496" t="s">
        <v>74</v>
      </c>
      <c r="G1496">
        <v>-314.84629999999999</v>
      </c>
      <c r="H1496" s="1">
        <v>4.4918150000000001E-6</v>
      </c>
      <c r="I1496">
        <v>283.17860000000002</v>
      </c>
      <c r="J1496">
        <v>-235.65989999999999</v>
      </c>
      <c r="K1496">
        <v>1.1094790000000001</v>
      </c>
      <c r="L1496">
        <v>283.37490000000003</v>
      </c>
      <c r="M1496">
        <v>-0.9991466</v>
      </c>
      <c r="N1496">
        <v>0</v>
      </c>
      <c r="O1496">
        <v>4.0163160000000003E-2</v>
      </c>
      <c r="P1496">
        <v>-0.98562799999999995</v>
      </c>
      <c r="Q1496">
        <v>-4.1072539999999998E-2</v>
      </c>
      <c r="R1496">
        <v>0.16386229999999999</v>
      </c>
      <c r="S1496">
        <v>-3.043228</v>
      </c>
      <c r="T1496">
        <v>-4.2446490000000003E-2</v>
      </c>
      <c r="U1496">
        <v>-6.9274899999999997E-3</v>
      </c>
      <c r="V1496">
        <v>0.1241265</v>
      </c>
      <c r="W1496">
        <v>-3.156047E-2</v>
      </c>
      <c r="X1496">
        <v>0.99176439999999999</v>
      </c>
      <c r="Y1496">
        <v>-4.2431419999999997E-2</v>
      </c>
      <c r="Z1496">
        <v>-8.5598009999999895E-4</v>
      </c>
      <c r="AA1496">
        <v>0.99909899999999996</v>
      </c>
      <c r="AB1496">
        <v>18</v>
      </c>
      <c r="AC1496">
        <v>-79.186399999999907</v>
      </c>
      <c r="AD1496">
        <v>-1.1094745081849999</v>
      </c>
      <c r="AE1496">
        <v>-0.196300000000007</v>
      </c>
      <c r="AF1496">
        <v>-3.3760028108222002</v>
      </c>
      <c r="AG1496">
        <v>-1.1094745081849999</v>
      </c>
      <c r="AH1496">
        <v>79.099089381783301</v>
      </c>
      <c r="AI1496">
        <v>90.802869288804402</v>
      </c>
      <c r="AJ1496">
        <v>92.443939477366797</v>
      </c>
      <c r="AK1496">
        <v>79.178875147922795</v>
      </c>
      <c r="AL1496">
        <v>91.808581989829705</v>
      </c>
      <c r="AM1496">
        <v>82.866112954907805</v>
      </c>
      <c r="AN1496">
        <v>1.00000003818811</v>
      </c>
    </row>
    <row r="1497" spans="1:40" x14ac:dyDescent="0.25">
      <c r="A1497" t="str">
        <f>"20190312161256101"</f>
        <v>20190312161256101</v>
      </c>
      <c r="B1497" t="str">
        <f>"1552378376097081"</f>
        <v>1552378376097081</v>
      </c>
      <c r="C1497" t="s">
        <v>40</v>
      </c>
      <c r="D1497">
        <v>5.3321149999999999</v>
      </c>
      <c r="E1497">
        <v>0.43625989999999998</v>
      </c>
      <c r="F1497" t="s">
        <v>69</v>
      </c>
      <c r="G1497">
        <v>-336.63560000000001</v>
      </c>
      <c r="H1497" s="1">
        <v>2.0581779999999999E-6</v>
      </c>
      <c r="I1497">
        <v>283.15629999999999</v>
      </c>
      <c r="J1497">
        <v>-235.8279</v>
      </c>
      <c r="K1497">
        <v>1.109483</v>
      </c>
      <c r="L1497">
        <v>283.38220000000001</v>
      </c>
      <c r="M1497">
        <v>-0.9991314</v>
      </c>
      <c r="N1497">
        <v>0</v>
      </c>
      <c r="O1497">
        <v>4.0545909999999998E-2</v>
      </c>
      <c r="P1497">
        <v>-0.98561449999999995</v>
      </c>
      <c r="Q1497">
        <v>-4.0514880000000003E-2</v>
      </c>
      <c r="R1497">
        <v>0.1640819</v>
      </c>
      <c r="S1497">
        <v>-3.0434420000000002</v>
      </c>
      <c r="T1497">
        <v>-3.3439990000000003E-2</v>
      </c>
      <c r="U1497">
        <v>-6.5917969999999999E-3</v>
      </c>
      <c r="V1497">
        <v>0.1239677</v>
      </c>
      <c r="W1497">
        <v>-3.1042819999999999E-2</v>
      </c>
      <c r="X1497">
        <v>0.99180049999999997</v>
      </c>
      <c r="Y1497">
        <v>-4.2706769999999998E-2</v>
      </c>
      <c r="Z1497">
        <v>-6.8003460000000003E-4</v>
      </c>
      <c r="AA1497">
        <v>0.99908739999999996</v>
      </c>
      <c r="AB1497">
        <v>18</v>
      </c>
      <c r="AC1497">
        <v>-100.8077</v>
      </c>
      <c r="AD1497">
        <v>-1.109480941822</v>
      </c>
      <c r="AE1497">
        <v>-0.225900000000024</v>
      </c>
      <c r="AF1497">
        <v>-4.3127207544267101</v>
      </c>
      <c r="AG1497">
        <v>-1.109480941822</v>
      </c>
      <c r="AH1497">
        <v>100.703437881306</v>
      </c>
      <c r="AI1497">
        <v>90.630641790302903</v>
      </c>
      <c r="AJ1497">
        <v>92.452247933531694</v>
      </c>
      <c r="AK1497">
        <v>100.801849731937</v>
      </c>
      <c r="AL1497">
        <v>91.7789084652714</v>
      </c>
      <c r="AM1497">
        <v>82.875402435629198</v>
      </c>
      <c r="AN1497">
        <v>0.99999993955854405</v>
      </c>
    </row>
    <row r="1498" spans="1:40" x14ac:dyDescent="0.25">
      <c r="A1498" t="str">
        <f>"20190312161256125"</f>
        <v>20190312161256125</v>
      </c>
      <c r="B1498" t="str">
        <f>"1552378376117577"</f>
        <v>1552378376117577</v>
      </c>
      <c r="C1498" t="s">
        <v>40</v>
      </c>
      <c r="D1498">
        <v>5.2658389999999997</v>
      </c>
      <c r="E1498">
        <v>0.43630920000000001</v>
      </c>
      <c r="F1498" t="s">
        <v>69</v>
      </c>
      <c r="G1498">
        <v>-354.76350000000002</v>
      </c>
      <c r="H1498" s="1">
        <v>9.9809449999999998E-7</v>
      </c>
      <c r="I1498">
        <v>283.15320000000003</v>
      </c>
      <c r="J1498">
        <v>-236.01490000000001</v>
      </c>
      <c r="K1498">
        <v>1.1095010000000001</v>
      </c>
      <c r="L1498">
        <v>283.39019999999999</v>
      </c>
      <c r="M1498">
        <v>-0.99911559999999999</v>
      </c>
      <c r="N1498">
        <v>0</v>
      </c>
      <c r="O1498">
        <v>4.0947530000000003E-2</v>
      </c>
      <c r="P1498">
        <v>-0.98565910000000001</v>
      </c>
      <c r="Q1498">
        <v>-3.9884250000000003E-2</v>
      </c>
      <c r="R1498">
        <v>0.16396810000000001</v>
      </c>
      <c r="S1498">
        <v>-3.0436100000000001</v>
      </c>
      <c r="T1498">
        <v>-2.839208E-2</v>
      </c>
      <c r="U1498">
        <v>-5.859375E-3</v>
      </c>
      <c r="V1498">
        <v>0.1234548</v>
      </c>
      <c r="W1498">
        <v>-3.0456480000000001E-2</v>
      </c>
      <c r="X1498">
        <v>0.99188270000000001</v>
      </c>
      <c r="Y1498">
        <v>-4.2869209999999998E-2</v>
      </c>
      <c r="Z1498">
        <v>-5.8185479999999998E-4</v>
      </c>
      <c r="AA1498">
        <v>0.99908050000000004</v>
      </c>
      <c r="AB1498">
        <v>18</v>
      </c>
      <c r="AC1498">
        <v>-118.7486</v>
      </c>
      <c r="AD1498">
        <v>-1.1095000019054999</v>
      </c>
      <c r="AE1498">
        <v>-0.23699999999996599</v>
      </c>
      <c r="AF1498">
        <v>-5.0990399725279802</v>
      </c>
      <c r="AG1498">
        <v>-1.1095000019054999</v>
      </c>
      <c r="AH1498">
        <v>118.62893535792701</v>
      </c>
      <c r="AI1498">
        <v>90.535359912244104</v>
      </c>
      <c r="AJ1498">
        <v>92.461235497456897</v>
      </c>
      <c r="AK1498">
        <v>118.743654580154</v>
      </c>
      <c r="AL1498">
        <v>91.745297677462901</v>
      </c>
      <c r="AM1498">
        <v>82.905160478001605</v>
      </c>
      <c r="AN1498">
        <v>0.99999998768816001</v>
      </c>
    </row>
    <row r="1499" spans="1:40" x14ac:dyDescent="0.25">
      <c r="A1499" t="str">
        <f>"20190312161256146"</f>
        <v>20190312161256146</v>
      </c>
      <c r="B1499" t="str">
        <f>"1552378376137097"</f>
        <v>1552378376137097</v>
      </c>
      <c r="C1499" t="s">
        <v>40</v>
      </c>
      <c r="D1499">
        <v>5.2282659999999996</v>
      </c>
      <c r="E1499">
        <v>0.43625849999999999</v>
      </c>
      <c r="F1499" t="s">
        <v>69</v>
      </c>
      <c r="G1499">
        <v>-370.3929</v>
      </c>
      <c r="H1499" s="1">
        <v>-1.3277359999999999E-6</v>
      </c>
      <c r="I1499">
        <v>283.13560000000001</v>
      </c>
      <c r="J1499">
        <v>-236.18700000000001</v>
      </c>
      <c r="K1499">
        <v>1.109513</v>
      </c>
      <c r="L1499">
        <v>283.39769999999999</v>
      </c>
      <c r="M1499">
        <v>-0.99910189999999999</v>
      </c>
      <c r="N1499">
        <v>0</v>
      </c>
      <c r="O1499">
        <v>4.129323E-2</v>
      </c>
      <c r="P1499">
        <v>-0.98563979999999995</v>
      </c>
      <c r="Q1499">
        <v>-3.947784E-2</v>
      </c>
      <c r="R1499">
        <v>0.1641831</v>
      </c>
      <c r="S1499">
        <v>-3.0435940000000001</v>
      </c>
      <c r="T1499">
        <v>-2.5129680000000001E-2</v>
      </c>
      <c r="U1499">
        <v>-5.7678219999999997E-3</v>
      </c>
      <c r="V1499">
        <v>0.1233288</v>
      </c>
      <c r="W1499">
        <v>-3.0091159999999999E-2</v>
      </c>
      <c r="X1499">
        <v>0.99190959999999995</v>
      </c>
      <c r="Y1499">
        <v>-4.3185599999999998E-2</v>
      </c>
      <c r="Z1499">
        <v>-5.1916009999999999E-4</v>
      </c>
      <c r="AA1499">
        <v>0.99906689999999998</v>
      </c>
      <c r="AB1499">
        <v>18</v>
      </c>
      <c r="AC1499">
        <v>-134.20590000000001</v>
      </c>
      <c r="AD1499">
        <v>-1.109514327736</v>
      </c>
      <c r="AE1499">
        <v>-0.26209999999997502</v>
      </c>
      <c r="AF1499">
        <v>-5.8035249935155999</v>
      </c>
      <c r="AG1499">
        <v>-1.109514327736</v>
      </c>
      <c r="AH1499">
        <v>134.07143468006299</v>
      </c>
      <c r="AI1499">
        <v>90.473699467699802</v>
      </c>
      <c r="AJ1499">
        <v>92.4786043181156</v>
      </c>
      <c r="AK1499">
        <v>134.201570488442</v>
      </c>
      <c r="AL1499">
        <v>91.724356655129597</v>
      </c>
      <c r="AM1499">
        <v>82.912518164008901</v>
      </c>
      <c r="AN1499">
        <v>1.0000000626958701</v>
      </c>
    </row>
    <row r="1500" spans="1:40" x14ac:dyDescent="0.25">
      <c r="A1500" t="str">
        <f>"20190312161256169"</f>
        <v>20190312161256169</v>
      </c>
      <c r="B1500" t="str">
        <f>"1552378376157597"</f>
        <v>1552378376157597</v>
      </c>
      <c r="C1500" t="s">
        <v>40</v>
      </c>
      <c r="D1500">
        <v>5.2092390000000002</v>
      </c>
      <c r="E1500">
        <v>0.43646190000000001</v>
      </c>
      <c r="F1500" t="s">
        <v>69</v>
      </c>
      <c r="G1500">
        <v>-391.91</v>
      </c>
      <c r="H1500" s="1">
        <v>-5.2038829999999898E-7</v>
      </c>
      <c r="I1500">
        <v>283.1182</v>
      </c>
      <c r="J1500">
        <v>-236.36179999999999</v>
      </c>
      <c r="K1500">
        <v>1.109526</v>
      </c>
      <c r="L1500">
        <v>283.40539999999999</v>
      </c>
      <c r="M1500">
        <v>-0.99908869999999905</v>
      </c>
      <c r="N1500">
        <v>0</v>
      </c>
      <c r="O1500">
        <v>4.1619160000000002E-2</v>
      </c>
      <c r="P1500">
        <v>-0.98563149999999999</v>
      </c>
      <c r="Q1500">
        <v>-3.8562730000000003E-2</v>
      </c>
      <c r="R1500">
        <v>0.1644495</v>
      </c>
      <c r="S1500">
        <v>-3.0437620000000001</v>
      </c>
      <c r="T1500">
        <v>-2.1686549999999999E-2</v>
      </c>
      <c r="U1500">
        <v>-5.4626459999999998E-3</v>
      </c>
      <c r="V1500">
        <v>0.1232731</v>
      </c>
      <c r="W1500">
        <v>-2.9219439999999999E-2</v>
      </c>
      <c r="X1500">
        <v>0.99194249999999995</v>
      </c>
      <c r="Y1500">
        <v>-4.3411940000000003E-2</v>
      </c>
      <c r="Z1500">
        <v>-4.5113199999999998E-4</v>
      </c>
      <c r="AA1500">
        <v>0.99905719999999998</v>
      </c>
      <c r="AB1500">
        <v>18</v>
      </c>
      <c r="AC1500">
        <v>-155.54820000000001</v>
      </c>
      <c r="AD1500">
        <v>-1.1095265203883</v>
      </c>
      <c r="AE1500">
        <v>-0.28719999999998402</v>
      </c>
      <c r="AF1500">
        <v>-6.7606826688117803</v>
      </c>
      <c r="AG1500">
        <v>-1.1095265203883</v>
      </c>
      <c r="AH1500">
        <v>155.39355284768399</v>
      </c>
      <c r="AI1500">
        <v>90.408704406092795</v>
      </c>
      <c r="AJ1500">
        <v>92.491187377895102</v>
      </c>
      <c r="AK1500">
        <v>155.54450856868499</v>
      </c>
      <c r="AL1500">
        <v>91.674388944859501</v>
      </c>
      <c r="AM1500">
        <v>82.915919189554899</v>
      </c>
      <c r="AN1500">
        <v>0.99999997808188601</v>
      </c>
    </row>
    <row r="1501" spans="1:40" x14ac:dyDescent="0.25">
      <c r="A1501" t="str">
        <f>"20190312161256189"</f>
        <v>20190312161256189</v>
      </c>
      <c r="B1501" t="str">
        <f>"1552378376186873"</f>
        <v>1552378376186873</v>
      </c>
      <c r="C1501" t="s">
        <v>40</v>
      </c>
      <c r="D1501">
        <v>5.1722650000000003</v>
      </c>
      <c r="E1501">
        <v>0.43642170000000002</v>
      </c>
      <c r="F1501" t="s">
        <v>74</v>
      </c>
      <c r="G1501">
        <v>-406.85359999999997</v>
      </c>
      <c r="H1501" s="1">
        <v>5.6464120000000002E-6</v>
      </c>
      <c r="I1501">
        <v>283.24470000000002</v>
      </c>
      <c r="J1501">
        <v>-236.53380000000001</v>
      </c>
      <c r="K1501">
        <v>1.1095349999999999</v>
      </c>
      <c r="L1501">
        <v>283.41289999999998</v>
      </c>
      <c r="M1501">
        <v>-0.99907699999999999</v>
      </c>
      <c r="N1501">
        <v>0</v>
      </c>
      <c r="O1501">
        <v>4.1914439999999997E-2</v>
      </c>
      <c r="P1501">
        <v>-0.98562910000000004</v>
      </c>
      <c r="Q1501">
        <v>-3.815085E-2</v>
      </c>
      <c r="R1501">
        <v>0.16455999999999901</v>
      </c>
      <c r="S1501">
        <v>-3.0434269999999999</v>
      </c>
      <c r="T1501">
        <v>-1.9805909999999999E-2</v>
      </c>
      <c r="U1501">
        <v>-2.8686520000000002E-3</v>
      </c>
      <c r="V1501">
        <v>0.1230919</v>
      </c>
      <c r="W1501">
        <v>-2.8850580000000001E-2</v>
      </c>
      <c r="X1501">
        <v>0.99197579999999996</v>
      </c>
      <c r="Y1501">
        <v>-4.285622E-2</v>
      </c>
      <c r="Z1501">
        <v>-4.1216750000000002E-4</v>
      </c>
      <c r="AA1501">
        <v>0.9990812</v>
      </c>
      <c r="AB1501">
        <v>18</v>
      </c>
      <c r="AC1501">
        <v>-170.31979999999899</v>
      </c>
      <c r="AD1501">
        <v>-1.109529353588</v>
      </c>
      <c r="AE1501">
        <v>-0.168199999999956</v>
      </c>
      <c r="AF1501">
        <v>-7.30691642682892</v>
      </c>
      <c r="AG1501">
        <v>-1.109529353588</v>
      </c>
      <c r="AH1501">
        <v>170.155839105089</v>
      </c>
      <c r="AI1501">
        <v>90.373257346721005</v>
      </c>
      <c r="AJ1501">
        <v>92.458913061216194</v>
      </c>
      <c r="AK1501">
        <v>170.31626952411801</v>
      </c>
      <c r="AL1501">
        <v>91.653245906200297</v>
      </c>
      <c r="AM1501">
        <v>82.926461619186497</v>
      </c>
      <c r="AN1501">
        <v>0.99999997979879296</v>
      </c>
    </row>
    <row r="1502" spans="1:40" x14ac:dyDescent="0.25">
      <c r="A1502" t="str">
        <f>"20190312161256204"</f>
        <v>20190312161256204</v>
      </c>
      <c r="B1502" t="str">
        <f>"1552378376197609"</f>
        <v>1552378376197609</v>
      </c>
      <c r="C1502" t="s">
        <v>40</v>
      </c>
      <c r="D1502">
        <v>5.1658439999999999</v>
      </c>
      <c r="E1502">
        <v>0.43651830000000003</v>
      </c>
      <c r="F1502" t="s">
        <v>74</v>
      </c>
      <c r="G1502">
        <v>-423.7133</v>
      </c>
      <c r="H1502" s="1">
        <v>3.426726E-6</v>
      </c>
      <c r="I1502">
        <v>283.2346</v>
      </c>
      <c r="J1502">
        <v>-236.65289999999999</v>
      </c>
      <c r="K1502">
        <v>1.1095389999999901</v>
      </c>
      <c r="L1502">
        <v>283.41809999999998</v>
      </c>
      <c r="M1502">
        <v>-0.99906899999999998</v>
      </c>
      <c r="N1502">
        <v>0</v>
      </c>
      <c r="O1502">
        <v>4.2106539999999998E-2</v>
      </c>
      <c r="P1502">
        <v>-0.98561370000000004</v>
      </c>
      <c r="Q1502">
        <v>-3.7851070000000001E-2</v>
      </c>
      <c r="R1502">
        <v>0.164720899999999</v>
      </c>
      <c r="S1502">
        <v>-3.0435029999999998</v>
      </c>
      <c r="T1502">
        <v>-1.8040779999999999E-2</v>
      </c>
      <c r="U1502">
        <v>-2.89917E-3</v>
      </c>
      <c r="V1502">
        <v>0.1230632</v>
      </c>
      <c r="W1502">
        <v>-2.8579489999999999E-2</v>
      </c>
      <c r="X1502">
        <v>0.99198719999999996</v>
      </c>
      <c r="Y1502">
        <v>-4.3058619999999999E-2</v>
      </c>
      <c r="Z1502">
        <v>-3.7716360000000001E-4</v>
      </c>
      <c r="AA1502">
        <v>0.99907250000000003</v>
      </c>
      <c r="AB1502">
        <v>18</v>
      </c>
      <c r="AC1502">
        <v>-187.06039999999999</v>
      </c>
      <c r="AD1502">
        <v>-1.10953557327399</v>
      </c>
      <c r="AE1502">
        <v>-0.18349999999998001</v>
      </c>
      <c r="AF1502">
        <v>-8.0598671654712604</v>
      </c>
      <c r="AG1502">
        <v>-1.10953557327399</v>
      </c>
      <c r="AH1502">
        <v>186.88018475278699</v>
      </c>
      <c r="AI1502">
        <v>90.339853683424295</v>
      </c>
      <c r="AJ1502">
        <v>92.469552174553598</v>
      </c>
      <c r="AK1502">
        <v>187.05719975758501</v>
      </c>
      <c r="AL1502">
        <v>91.637707198659498</v>
      </c>
      <c r="AM1502">
        <v>82.928174625901903</v>
      </c>
      <c r="AN1502">
        <v>0.99999997170336896</v>
      </c>
    </row>
    <row r="1503" spans="1:40" x14ac:dyDescent="0.25">
      <c r="A1503" t="str">
        <f>"20190312161256224"</f>
        <v>20190312161256224</v>
      </c>
      <c r="B1503" t="str">
        <f>"1552378376217129"</f>
        <v>1552378376217129</v>
      </c>
      <c r="C1503" t="s">
        <v>40</v>
      </c>
      <c r="D1503">
        <v>5.1308379999999998</v>
      </c>
      <c r="E1503">
        <v>0.43654530000000002</v>
      </c>
      <c r="F1503" t="s">
        <v>74</v>
      </c>
      <c r="G1503">
        <v>-425.9941</v>
      </c>
      <c r="H1503" s="1">
        <v>3.0157319999999998E-6</v>
      </c>
      <c r="I1503">
        <v>283.30799999999999</v>
      </c>
      <c r="J1503">
        <v>-236.81809999999999</v>
      </c>
      <c r="K1503">
        <v>1.1095379999999999</v>
      </c>
      <c r="L1503">
        <v>283.42540000000002</v>
      </c>
      <c r="M1503">
        <v>-0.99905880000000002</v>
      </c>
      <c r="N1503">
        <v>0</v>
      </c>
      <c r="O1503">
        <v>4.2360259999999997E-2</v>
      </c>
      <c r="P1503">
        <v>-0.98548939999999996</v>
      </c>
      <c r="Q1503">
        <v>-3.8116909999999997E-2</v>
      </c>
      <c r="R1503">
        <v>0.16540179999999999</v>
      </c>
      <c r="S1503">
        <v>-3.0433650000000001</v>
      </c>
      <c r="T1503">
        <v>-1.783407E-2</v>
      </c>
      <c r="U1503">
        <v>-1.77002E-3</v>
      </c>
      <c r="V1503">
        <v>0.1234972</v>
      </c>
      <c r="W1503">
        <v>-2.888661E-2</v>
      </c>
      <c r="X1503">
        <v>0.99192440000000004</v>
      </c>
      <c r="Y1503">
        <v>-4.2941710000000001E-2</v>
      </c>
      <c r="Z1503">
        <v>-3.740018E-4</v>
      </c>
      <c r="AA1503">
        <v>0.99907749999999995</v>
      </c>
      <c r="AB1503">
        <v>18</v>
      </c>
      <c r="AC1503">
        <v>-189.17599999999999</v>
      </c>
      <c r="AD1503">
        <v>-1.109534984268</v>
      </c>
      <c r="AE1503">
        <v>-0.11740000000003099</v>
      </c>
      <c r="AF1503">
        <v>-8.1309085637214</v>
      </c>
      <c r="AG1503">
        <v>-1.109534984268</v>
      </c>
      <c r="AH1503">
        <v>188.99470647603701</v>
      </c>
      <c r="AI1503">
        <v>90.336052762505801</v>
      </c>
      <c r="AJ1503">
        <v>92.463453343253406</v>
      </c>
      <c r="AK1503">
        <v>189.17278297344001</v>
      </c>
      <c r="AL1503">
        <v>91.655311092238705</v>
      </c>
      <c r="AM1503">
        <v>82.903043954335701</v>
      </c>
      <c r="AN1503">
        <v>1.00000000498024</v>
      </c>
    </row>
    <row r="1504" spans="1:40" x14ac:dyDescent="0.25">
      <c r="A1504" t="str">
        <f>"20190312161256249"</f>
        <v>20190312161256249</v>
      </c>
      <c r="B1504" t="str">
        <f>"1552378376237625"</f>
        <v>1552378376237625</v>
      </c>
      <c r="C1504" t="s">
        <v>40</v>
      </c>
      <c r="D1504">
        <v>5.1442449999999997</v>
      </c>
      <c r="E1504">
        <v>0.4367316</v>
      </c>
      <c r="F1504" t="s">
        <v>74</v>
      </c>
      <c r="G1504">
        <v>-419.42509999999999</v>
      </c>
      <c r="H1504" s="1">
        <v>3.9790170000000002E-6</v>
      </c>
      <c r="I1504">
        <v>283.45650000000001</v>
      </c>
      <c r="J1504">
        <v>-237.00890000000001</v>
      </c>
      <c r="K1504">
        <v>1.1095349999999999</v>
      </c>
      <c r="L1504">
        <v>283.43380000000002</v>
      </c>
      <c r="M1504">
        <v>-0.99904780000000004</v>
      </c>
      <c r="N1504">
        <v>0</v>
      </c>
      <c r="O1504">
        <v>4.2631450000000001E-2</v>
      </c>
      <c r="P1504">
        <v>-0.98537030000000003</v>
      </c>
      <c r="Q1504">
        <v>-3.8055789999999999E-2</v>
      </c>
      <c r="R1504">
        <v>0.16612479999999999</v>
      </c>
      <c r="S1504">
        <v>-3.0433500000000002</v>
      </c>
      <c r="T1504">
        <v>-1.8491629999999998E-2</v>
      </c>
      <c r="U1504">
        <v>5.1879879999999995E-4</v>
      </c>
      <c r="V1504">
        <v>0.12395630000000001</v>
      </c>
      <c r="W1504">
        <v>-2.8878270000000001E-2</v>
      </c>
      <c r="X1504">
        <v>0.99186739999999995</v>
      </c>
      <c r="Y1504">
        <v>-4.2461400000000003E-2</v>
      </c>
      <c r="Z1504">
        <v>-3.8797970000000002E-4</v>
      </c>
      <c r="AA1504">
        <v>0.99909809999999999</v>
      </c>
      <c r="AB1504">
        <v>18</v>
      </c>
      <c r="AC1504">
        <v>-182.4162</v>
      </c>
      <c r="AD1504">
        <v>-1.1095310209829901</v>
      </c>
      <c r="AE1504">
        <v>2.2699999999986099E-2</v>
      </c>
      <c r="AF1504">
        <v>-7.7540355056082904</v>
      </c>
      <c r="AG1504">
        <v>-1.1095310209829901</v>
      </c>
      <c r="AH1504">
        <v>182.24457053520101</v>
      </c>
      <c r="AI1504">
        <v>90.3485052977517</v>
      </c>
      <c r="AJ1504">
        <v>92.436317917777401</v>
      </c>
      <c r="AK1504">
        <v>182.412827441681</v>
      </c>
      <c r="AL1504">
        <v>91.654833006270906</v>
      </c>
      <c r="AM1504">
        <v>82.876526441192794</v>
      </c>
      <c r="AN1504">
        <v>1.0000000289853199</v>
      </c>
    </row>
    <row r="1505" spans="1:40" x14ac:dyDescent="0.25">
      <c r="A1505" t="str">
        <f>"20190312161256268"</f>
        <v>20190312161256268</v>
      </c>
      <c r="B1505" t="str">
        <f>"1552378376257145"</f>
        <v>1552378376257145</v>
      </c>
      <c r="C1505" t="s">
        <v>40</v>
      </c>
      <c r="D1505">
        <v>5.1071109999999997</v>
      </c>
      <c r="E1505">
        <v>0.43688549999999998</v>
      </c>
      <c r="F1505" t="s">
        <v>74</v>
      </c>
      <c r="G1505">
        <v>-417.733</v>
      </c>
      <c r="H1505" s="1">
        <v>3.6592909999999998E-6</v>
      </c>
      <c r="I1505">
        <v>283.68029999999999</v>
      </c>
      <c r="J1505">
        <v>-237.17529999999999</v>
      </c>
      <c r="K1505">
        <v>1.109531</v>
      </c>
      <c r="L1505">
        <v>283.44119999999998</v>
      </c>
      <c r="M1505">
        <v>-0.99903900000000001</v>
      </c>
      <c r="N1505">
        <v>0</v>
      </c>
      <c r="O1505">
        <v>4.2847499999999997E-2</v>
      </c>
      <c r="P1505">
        <v>-0.98533740000000003</v>
      </c>
      <c r="Q1505">
        <v>-3.7855189999999997E-2</v>
      </c>
      <c r="R1505">
        <v>0.16636500000000001</v>
      </c>
      <c r="S1505">
        <v>-3.0431210000000002</v>
      </c>
      <c r="T1505">
        <v>-1.8682839999999999E-2</v>
      </c>
      <c r="U1505">
        <v>4.1503909999999998E-3</v>
      </c>
      <c r="V1505">
        <v>0.1239836</v>
      </c>
      <c r="W1505">
        <v>-2.8726519999999998E-2</v>
      </c>
      <c r="X1505">
        <v>0.99186839999999998</v>
      </c>
      <c r="Y1505">
        <v>-4.1485080000000001E-2</v>
      </c>
      <c r="Z1505">
        <v>-3.9034760000000002E-4</v>
      </c>
      <c r="AA1505">
        <v>0.99913909999999995</v>
      </c>
      <c r="AB1505">
        <v>18</v>
      </c>
      <c r="AC1505">
        <v>-180.55770000000001</v>
      </c>
      <c r="AD1505">
        <v>-1.1095273407089901</v>
      </c>
      <c r="AE1505">
        <v>0.239100000000007</v>
      </c>
      <c r="AF1505">
        <v>-7.4976120066917797</v>
      </c>
      <c r="AG1505">
        <v>-1.1095273407089901</v>
      </c>
      <c r="AH1505">
        <v>180.39529941189599</v>
      </c>
      <c r="AI1505">
        <v>90.352091206332403</v>
      </c>
      <c r="AJ1505">
        <v>92.379964596387197</v>
      </c>
      <c r="AK1505">
        <v>180.55444964505901</v>
      </c>
      <c r="AL1505">
        <v>91.646134754259705</v>
      </c>
      <c r="AM1505">
        <v>82.874980807257899</v>
      </c>
      <c r="AN1505">
        <v>1.00000003446941</v>
      </c>
    </row>
    <row r="1506" spans="1:40" x14ac:dyDescent="0.25">
      <c r="A1506" t="str">
        <f>"20190312161256291"</f>
        <v>20190312161256291</v>
      </c>
      <c r="B1506" t="str">
        <f>"1552378376287402"</f>
        <v>1552378376287402</v>
      </c>
      <c r="C1506" t="s">
        <v>40</v>
      </c>
      <c r="D1506">
        <v>5.0252790000000003</v>
      </c>
      <c r="E1506">
        <v>0.43715130000000002</v>
      </c>
      <c r="F1506" t="s">
        <v>74</v>
      </c>
      <c r="G1506">
        <v>-410.86430000000001</v>
      </c>
      <c r="H1506" s="1">
        <v>2.4310410000000002E-6</v>
      </c>
      <c r="I1506">
        <v>283.79309999999998</v>
      </c>
      <c r="J1506">
        <v>-237.35489999999999</v>
      </c>
      <c r="K1506">
        <v>1.109524</v>
      </c>
      <c r="L1506">
        <v>283.44920000000002</v>
      </c>
      <c r="M1506">
        <v>-0.99903019999999998</v>
      </c>
      <c r="N1506">
        <v>0</v>
      </c>
      <c r="O1506">
        <v>4.306654E-2</v>
      </c>
      <c r="P1506">
        <v>-0.98529060000000002</v>
      </c>
      <c r="Q1506">
        <v>-3.8505980000000002E-2</v>
      </c>
      <c r="R1506">
        <v>0.16649359999999999</v>
      </c>
      <c r="S1506">
        <v>-3.0428310000000001</v>
      </c>
      <c r="T1506">
        <v>-1.9437670000000001E-2</v>
      </c>
      <c r="U1506">
        <v>6.1645509999999999E-3</v>
      </c>
      <c r="V1506">
        <v>0.1238971</v>
      </c>
      <c r="W1506">
        <v>-2.942676E-2</v>
      </c>
      <c r="X1506">
        <v>0.99185869999999998</v>
      </c>
      <c r="Y1506">
        <v>-4.1042500000000003E-2</v>
      </c>
      <c r="Z1506">
        <v>-4.0614029999999998E-4</v>
      </c>
      <c r="AA1506">
        <v>0.99915730000000003</v>
      </c>
      <c r="AB1506">
        <v>18</v>
      </c>
      <c r="AC1506">
        <v>-173.5094</v>
      </c>
      <c r="AD1506">
        <v>-1.1095215689589999</v>
      </c>
      <c r="AE1506">
        <v>0.34389999999996201</v>
      </c>
      <c r="AF1506">
        <v>-7.1288907166310498</v>
      </c>
      <c r="AG1506">
        <v>-1.1095215689589999</v>
      </c>
      <c r="AH1506">
        <v>173.356128093303</v>
      </c>
      <c r="AI1506">
        <v>90.366392317619102</v>
      </c>
      <c r="AJ1506">
        <v>92.3548365103522</v>
      </c>
      <c r="AK1506">
        <v>173.50619374668801</v>
      </c>
      <c r="AL1506">
        <v>91.686272489630795</v>
      </c>
      <c r="AM1506">
        <v>82.879831786478107</v>
      </c>
      <c r="AN1506">
        <v>1.00000005317909</v>
      </c>
    </row>
    <row r="1507" spans="1:40" x14ac:dyDescent="0.25">
      <c r="A1507" t="str">
        <f>"20190312161256312"</f>
        <v>20190312161256312</v>
      </c>
      <c r="B1507" t="str">
        <f>"1552378376306922"</f>
        <v>1552378376306922</v>
      </c>
      <c r="C1507" t="s">
        <v>40</v>
      </c>
      <c r="D1507">
        <v>5.0672040000000003</v>
      </c>
      <c r="E1507">
        <v>0.43713780000000002</v>
      </c>
      <c r="F1507" t="s">
        <v>69</v>
      </c>
      <c r="G1507">
        <v>-383.78309999999999</v>
      </c>
      <c r="H1507" s="1">
        <v>4.7637449999999999E-7</v>
      </c>
      <c r="I1507">
        <v>283.85890000000001</v>
      </c>
      <c r="J1507">
        <v>-237.53720000000001</v>
      </c>
      <c r="K1507">
        <v>1.1095189999999999</v>
      </c>
      <c r="L1507">
        <v>283.45729999999998</v>
      </c>
      <c r="M1507">
        <v>-0.99902139999999995</v>
      </c>
      <c r="N1507">
        <v>0</v>
      </c>
      <c r="O1507">
        <v>4.3277959999999997E-2</v>
      </c>
      <c r="P1507">
        <v>-0.98520339999999995</v>
      </c>
      <c r="Q1507">
        <v>-3.9265370000000001E-2</v>
      </c>
      <c r="R1507">
        <v>0.1668316</v>
      </c>
      <c r="S1507">
        <v>-3.0424500000000001</v>
      </c>
      <c r="T1507">
        <v>-2.305341E-2</v>
      </c>
      <c r="U1507">
        <v>8.5144039999999997E-3</v>
      </c>
      <c r="V1507">
        <v>0.124029</v>
      </c>
      <c r="W1507">
        <v>-3.02353E-2</v>
      </c>
      <c r="X1507">
        <v>0.99181779999999997</v>
      </c>
      <c r="Y1507">
        <v>-4.0481290000000003E-2</v>
      </c>
      <c r="Z1507">
        <v>-4.812204E-4</v>
      </c>
      <c r="AA1507">
        <v>0.99918019999999996</v>
      </c>
      <c r="AB1507">
        <v>18</v>
      </c>
      <c r="AC1507">
        <v>-146.24589999999901</v>
      </c>
      <c r="AD1507">
        <v>-1.1095185236255001</v>
      </c>
      <c r="AE1507">
        <v>0.40160000000002999</v>
      </c>
      <c r="AF1507">
        <v>-5.9279228227517899</v>
      </c>
      <c r="AG1507">
        <v>-1.1095185236255001</v>
      </c>
      <c r="AH1507">
        <v>146.11783748131501</v>
      </c>
      <c r="AI1507">
        <v>90.434698874469305</v>
      </c>
      <c r="AJ1507">
        <v>92.323185246933306</v>
      </c>
      <c r="AK1507">
        <v>146.24224331759601</v>
      </c>
      <c r="AL1507">
        <v>91.732619210433796</v>
      </c>
      <c r="AM1507">
        <v>82.872038723185298</v>
      </c>
      <c r="AN1507">
        <v>0.999999957301964</v>
      </c>
    </row>
    <row r="1508" spans="1:40" x14ac:dyDescent="0.25">
      <c r="A1508" t="str">
        <f>"20190312161256336"</f>
        <v>20190312161256336</v>
      </c>
      <c r="B1508" t="str">
        <f>"1552378376327421"</f>
        <v>1552378376327421</v>
      </c>
      <c r="C1508" t="s">
        <v>40</v>
      </c>
      <c r="D1508">
        <v>5.2278279999999997</v>
      </c>
      <c r="E1508">
        <v>0.43725930000000002</v>
      </c>
      <c r="F1508" t="s">
        <v>69</v>
      </c>
      <c r="G1508">
        <v>-375.27870000000001</v>
      </c>
      <c r="H1508" s="1">
        <v>1.2722559999999999E-6</v>
      </c>
      <c r="I1508">
        <v>283.8897</v>
      </c>
      <c r="J1508">
        <v>-237.72669999999999</v>
      </c>
      <c r="K1508">
        <v>1.1095170000000001</v>
      </c>
      <c r="L1508">
        <v>283.4658</v>
      </c>
      <c r="M1508">
        <v>-0.99901300000000004</v>
      </c>
      <c r="N1508">
        <v>0</v>
      </c>
      <c r="O1508">
        <v>4.3484269999999998E-2</v>
      </c>
      <c r="P1508">
        <v>-0.98513450000000002</v>
      </c>
      <c r="Q1508">
        <v>-3.9631E-2</v>
      </c>
      <c r="R1508">
        <v>0.16715139999999901</v>
      </c>
      <c r="S1508">
        <v>-3.0424799999999999</v>
      </c>
      <c r="T1508">
        <v>-2.4507399999999999E-2</v>
      </c>
      <c r="U1508">
        <v>9.5520020000000004E-3</v>
      </c>
      <c r="V1508">
        <v>0.1241466</v>
      </c>
      <c r="W1508">
        <v>-3.065288E-2</v>
      </c>
      <c r="X1508">
        <v>0.99179030000000001</v>
      </c>
      <c r="Y1508">
        <v>-4.0346559999999997E-2</v>
      </c>
      <c r="Z1508">
        <v>-5.1268210000000002E-4</v>
      </c>
      <c r="AA1508">
        <v>0.99918560000000001</v>
      </c>
      <c r="AB1508">
        <v>18</v>
      </c>
      <c r="AC1508">
        <v>-137.55199999999999</v>
      </c>
      <c r="AD1508">
        <v>-1.109515727744</v>
      </c>
      <c r="AE1508">
        <v>0.423900000000003</v>
      </c>
      <c r="AF1508">
        <v>-5.5577333848061201</v>
      </c>
      <c r="AG1508">
        <v>-1.109515727744</v>
      </c>
      <c r="AH1508">
        <v>137.431372636644</v>
      </c>
      <c r="AI1508">
        <v>90.462174477795102</v>
      </c>
      <c r="AJ1508">
        <v>92.315783080838202</v>
      </c>
      <c r="AK1508">
        <v>137.548179233019</v>
      </c>
      <c r="AL1508">
        <v>91.756555824178704</v>
      </c>
      <c r="AM1508">
        <v>82.865154065056501</v>
      </c>
      <c r="AN1508">
        <v>0.99999998825897196</v>
      </c>
    </row>
    <row r="1509" spans="1:40" x14ac:dyDescent="0.25">
      <c r="A1509" t="str">
        <f>"20190312161256359"</f>
        <v>20190312161256359</v>
      </c>
      <c r="B1509" t="str">
        <f>"1552378376346937"</f>
        <v>1552378376346937</v>
      </c>
      <c r="C1509" t="s">
        <v>40</v>
      </c>
      <c r="D1509">
        <v>5.1351190000000004</v>
      </c>
      <c r="E1509">
        <v>0.48025669999999998</v>
      </c>
      <c r="F1509" t="s">
        <v>69</v>
      </c>
      <c r="G1509">
        <v>-364.21370000000002</v>
      </c>
      <c r="H1509" s="1">
        <v>7.0551789999999999E-7</v>
      </c>
      <c r="I1509">
        <v>283.94279999999998</v>
      </c>
      <c r="J1509">
        <v>-237.91499999999999</v>
      </c>
      <c r="K1509">
        <v>1.109513</v>
      </c>
      <c r="L1509">
        <v>283.4742</v>
      </c>
      <c r="M1509">
        <v>-0.99900509999999998</v>
      </c>
      <c r="N1509">
        <v>0</v>
      </c>
      <c r="O1509">
        <v>4.3676220000000002E-2</v>
      </c>
      <c r="P1509">
        <v>-0.9850759</v>
      </c>
      <c r="Q1509">
        <v>-3.9374729999999997E-2</v>
      </c>
      <c r="R1509">
        <v>0.1675567</v>
      </c>
      <c r="S1509">
        <v>-3.0422359999999999</v>
      </c>
      <c r="T1509">
        <v>-2.6685830000000001E-2</v>
      </c>
      <c r="U1509">
        <v>1.147461E-2</v>
      </c>
      <c r="V1509">
        <v>0.12436410000000001</v>
      </c>
      <c r="W1509">
        <v>-3.0450540000000002E-2</v>
      </c>
      <c r="X1509">
        <v>0.99176929999999996</v>
      </c>
      <c r="Y1509">
        <v>-3.9906329999999997E-2</v>
      </c>
      <c r="Z1509">
        <v>-5.580467E-4</v>
      </c>
      <c r="AA1509">
        <v>0.99920330000000002</v>
      </c>
      <c r="AB1509">
        <v>18</v>
      </c>
      <c r="AC1509">
        <v>-126.2987</v>
      </c>
      <c r="AD1509">
        <v>-1.1095122944821001</v>
      </c>
      <c r="AE1509">
        <v>0.46859999999997998</v>
      </c>
      <c r="AF1509">
        <v>-5.0479314183188002</v>
      </c>
      <c r="AG1509">
        <v>-1.1095122944821001</v>
      </c>
      <c r="AH1509">
        <v>126.188897474992</v>
      </c>
      <c r="AI1509">
        <v>90.503355968755002</v>
      </c>
      <c r="AJ1509">
        <v>92.290780273933805</v>
      </c>
      <c r="AK1509">
        <v>126.294696939696</v>
      </c>
      <c r="AL1509">
        <v>91.744957153101495</v>
      </c>
      <c r="AM1509">
        <v>82.852633479194495</v>
      </c>
      <c r="AN1509">
        <v>1.00000000458879</v>
      </c>
    </row>
    <row r="1510" spans="1:40" x14ac:dyDescent="0.25">
      <c r="A1510" t="str">
        <f>"20190312161256381"</f>
        <v>20190312161256381</v>
      </c>
      <c r="B1510" t="str">
        <f>"1552378376377194"</f>
        <v>1552378376377194</v>
      </c>
      <c r="C1510" t="s">
        <v>40</v>
      </c>
      <c r="D1510">
        <v>5.5464989999999998</v>
      </c>
      <c r="E1510">
        <v>0.50304479999999996</v>
      </c>
      <c r="F1510" t="s">
        <v>43</v>
      </c>
      <c r="G1510">
        <v>-238.7115</v>
      </c>
      <c r="H1510">
        <v>1.027199</v>
      </c>
      <c r="I1510">
        <v>283.56540000000001</v>
      </c>
      <c r="J1510">
        <v>-238.10059999999999</v>
      </c>
      <c r="K1510">
        <v>1.1095120000000001</v>
      </c>
      <c r="L1510">
        <v>283.48250000000002</v>
      </c>
      <c r="M1510">
        <v>-0.99899769999999999</v>
      </c>
      <c r="N1510">
        <v>0</v>
      </c>
      <c r="O1510">
        <v>4.3851649999999999E-2</v>
      </c>
      <c r="P1510">
        <v>-0.98501150000000004</v>
      </c>
      <c r="Q1510">
        <v>-3.913258E-2</v>
      </c>
      <c r="R1510">
        <v>0.16799210000000001</v>
      </c>
      <c r="S1510">
        <v>-2.9753419999999999</v>
      </c>
      <c r="T1510">
        <v>-0.30765039999999999</v>
      </c>
      <c r="U1510">
        <v>0.33990479999999901</v>
      </c>
      <c r="V1510">
        <v>0.1246285</v>
      </c>
      <c r="W1510">
        <v>-3.0259640000000001E-2</v>
      </c>
      <c r="X1510">
        <v>0.99174200000000001</v>
      </c>
      <c r="Y1510">
        <v>6.9687199999999894E-2</v>
      </c>
      <c r="Z1510">
        <v>-9.2226009999999998E-4</v>
      </c>
      <c r="AA1510">
        <v>0.99756849999999997</v>
      </c>
      <c r="AB1510">
        <v>18</v>
      </c>
      <c r="AC1510">
        <v>-0.61090000000001499</v>
      </c>
      <c r="AD1510">
        <v>-8.2312999999999997E-2</v>
      </c>
      <c r="AE1510">
        <v>8.2899999999995005E-2</v>
      </c>
      <c r="AF1510">
        <v>5.5048853717847297E-2</v>
      </c>
      <c r="AG1510">
        <v>-8.2312999999999997E-2</v>
      </c>
      <c r="AH1510">
        <v>0.60319475327608796</v>
      </c>
      <c r="AI1510">
        <v>97.738914830252199</v>
      </c>
      <c r="AJ1510">
        <v>84.785508400440904</v>
      </c>
      <c r="AK1510">
        <v>0.611268939702035</v>
      </c>
      <c r="AL1510">
        <v>91.734014264433597</v>
      </c>
      <c r="AM1510">
        <v>82.837400599294298</v>
      </c>
      <c r="AN1510">
        <v>1.00000005169458</v>
      </c>
    </row>
    <row r="1511" spans="1:40" x14ac:dyDescent="0.25">
      <c r="A1511" t="str">
        <f>"20190312161256402"</f>
        <v>20190312161256402</v>
      </c>
      <c r="B1511" t="str">
        <f>"1552378376396714"</f>
        <v>1552378376396714</v>
      </c>
      <c r="C1511" t="s">
        <v>40</v>
      </c>
      <c r="D1511">
        <v>5.8010359999999999</v>
      </c>
      <c r="E1511">
        <v>0.50692780000000004</v>
      </c>
      <c r="F1511" t="s">
        <v>43</v>
      </c>
      <c r="G1511">
        <v>-238.8518</v>
      </c>
      <c r="H1511">
        <v>0.97793839999999999</v>
      </c>
      <c r="I1511">
        <v>283.61360000000002</v>
      </c>
      <c r="J1511">
        <v>-238.2757</v>
      </c>
      <c r="K1511">
        <v>1.109515</v>
      </c>
      <c r="L1511">
        <v>283.49040000000002</v>
      </c>
      <c r="M1511">
        <v>-0.99899150000000003</v>
      </c>
      <c r="N1511">
        <v>0</v>
      </c>
      <c r="O1511">
        <v>4.400511E-2</v>
      </c>
      <c r="P1511">
        <v>-0.98491910000000005</v>
      </c>
      <c r="Q1511">
        <v>-3.9359739999999997E-2</v>
      </c>
      <c r="R1511">
        <v>0.16847980000000001</v>
      </c>
      <c r="S1511">
        <v>-2.9377749999999998</v>
      </c>
      <c r="T1511">
        <v>-0.51464750000000004</v>
      </c>
      <c r="U1511">
        <v>0.51235959999999903</v>
      </c>
      <c r="V1511">
        <v>0.1249676</v>
      </c>
      <c r="W1511">
        <v>-3.0532810000000001E-2</v>
      </c>
      <c r="X1511">
        <v>0.99169090000000004</v>
      </c>
      <c r="Y1511">
        <v>0.12706589999999901</v>
      </c>
      <c r="Z1511">
        <v>3.3789369999999998E-3</v>
      </c>
      <c r="AA1511">
        <v>0.99188849999999995</v>
      </c>
      <c r="AB1511">
        <v>19</v>
      </c>
      <c r="AC1511">
        <v>-0.57609999999999595</v>
      </c>
      <c r="AD1511">
        <v>-0.13157659999999999</v>
      </c>
      <c r="AE1511">
        <v>0.12319999999999701</v>
      </c>
      <c r="AF1511">
        <v>9.3085057760625201E-2</v>
      </c>
      <c r="AG1511">
        <v>-0.13157659999999999</v>
      </c>
      <c r="AH1511">
        <v>0.55336097016292096</v>
      </c>
      <c r="AI1511">
        <v>103.196460322367</v>
      </c>
      <c r="AJ1511">
        <v>80.451238991681507</v>
      </c>
      <c r="AK1511">
        <v>0.57635543976395998</v>
      </c>
      <c r="AL1511">
        <v>91.7496730823528</v>
      </c>
      <c r="AM1511">
        <v>82.817748999524198</v>
      </c>
      <c r="AN1511">
        <v>0.99999999733953304</v>
      </c>
    </row>
    <row r="1512" spans="1:40" x14ac:dyDescent="0.25">
      <c r="A1512" t="str">
        <f>"20190312161256416"</f>
        <v>20190312161256416</v>
      </c>
      <c r="B1512" t="str">
        <f>"1552378376407451"</f>
        <v>1552378376407451</v>
      </c>
      <c r="C1512" t="s">
        <v>40</v>
      </c>
      <c r="D1512">
        <v>5.3650659999999997</v>
      </c>
      <c r="E1512">
        <v>0.50787209999999905</v>
      </c>
      <c r="F1512" t="s">
        <v>43</v>
      </c>
      <c r="G1512">
        <v>-239.01589999999999</v>
      </c>
      <c r="H1512">
        <v>0.97352959999999999</v>
      </c>
      <c r="I1512">
        <v>283.62779999999998</v>
      </c>
      <c r="J1512">
        <v>-238.39320000000001</v>
      </c>
      <c r="K1512">
        <v>1.1095139999999999</v>
      </c>
      <c r="L1512">
        <v>283.4957</v>
      </c>
      <c r="M1512">
        <v>-0.99898759999999998</v>
      </c>
      <c r="N1512">
        <v>0</v>
      </c>
      <c r="O1512">
        <v>4.4101179999999997E-2</v>
      </c>
      <c r="P1512">
        <v>-0.98494340000000002</v>
      </c>
      <c r="Q1512">
        <v>-3.915619E-2</v>
      </c>
      <c r="R1512">
        <v>0.16838429999999999</v>
      </c>
      <c r="S1512">
        <v>-2.9314580000000001</v>
      </c>
      <c r="T1512">
        <v>-0.53870490000000004</v>
      </c>
      <c r="U1512">
        <v>0.54339599999999999</v>
      </c>
      <c r="V1512">
        <v>0.124776</v>
      </c>
      <c r="W1512">
        <v>-3.0359199999999999E-2</v>
      </c>
      <c r="X1512">
        <v>0.99172039999999995</v>
      </c>
      <c r="Y1512">
        <v>0.1372157</v>
      </c>
      <c r="Z1512">
        <v>4.4389490000000002E-3</v>
      </c>
      <c r="AA1512">
        <v>0.9905313</v>
      </c>
      <c r="AB1512">
        <v>19</v>
      </c>
      <c r="AC1512">
        <v>-0.62269999999998005</v>
      </c>
      <c r="AD1512">
        <v>-0.13598439999999901</v>
      </c>
      <c r="AE1512">
        <v>0.13209999999997901</v>
      </c>
      <c r="AF1512">
        <v>9.9947429073682897E-2</v>
      </c>
      <c r="AG1512">
        <v>-0.13598439999999901</v>
      </c>
      <c r="AH1512">
        <v>0.60051529950951799</v>
      </c>
      <c r="AI1512">
        <v>102.591650967413</v>
      </c>
      <c r="AJ1512">
        <v>80.550531298673505</v>
      </c>
      <c r="AK1512">
        <v>0.62377870320074702</v>
      </c>
      <c r="AL1512">
        <v>91.739721271706998</v>
      </c>
      <c r="AM1512">
        <v>82.828857174619102</v>
      </c>
      <c r="AN1512">
        <v>1.0000000414883901</v>
      </c>
    </row>
    <row r="1513" spans="1:40" x14ac:dyDescent="0.25">
      <c r="A1513" t="str">
        <f>"20190312161256437"</f>
        <v>20190312161256437</v>
      </c>
      <c r="B1513" t="str">
        <f>"1552378376426969"</f>
        <v>1552378376426969</v>
      </c>
      <c r="C1513" t="s">
        <v>40</v>
      </c>
      <c r="D1513">
        <v>5.4857009999999997</v>
      </c>
      <c r="E1513">
        <v>0.50927869999999997</v>
      </c>
      <c r="F1513" t="s">
        <v>43</v>
      </c>
      <c r="G1513">
        <v>-239.17789999999999</v>
      </c>
      <c r="H1513">
        <v>0.96345449999999999</v>
      </c>
      <c r="I1513">
        <v>283.64319999999998</v>
      </c>
      <c r="J1513">
        <v>-238.57300000000001</v>
      </c>
      <c r="K1513">
        <v>1.1095139999999999</v>
      </c>
      <c r="L1513">
        <v>283.50380000000001</v>
      </c>
      <c r="M1513">
        <v>-0.99898200000000004</v>
      </c>
      <c r="N1513">
        <v>0</v>
      </c>
      <c r="O1513">
        <v>4.4237940000000003E-2</v>
      </c>
      <c r="P1513">
        <v>-0.98497769999999996</v>
      </c>
      <c r="Q1513">
        <v>-3.8944470000000002E-2</v>
      </c>
      <c r="R1513">
        <v>0.16823299999999999</v>
      </c>
      <c r="S1513">
        <v>-2.9300989999999998</v>
      </c>
      <c r="T1513">
        <v>-0.54546790000000001</v>
      </c>
      <c r="U1513">
        <v>0.55020139999999995</v>
      </c>
      <c r="V1513">
        <v>0.1244881</v>
      </c>
      <c r="W1513">
        <v>-3.0192320000000002E-2</v>
      </c>
      <c r="X1513">
        <v>0.99176160000000002</v>
      </c>
      <c r="Y1513">
        <v>0.13931450000000001</v>
      </c>
      <c r="Z1513">
        <v>4.6620589999999996E-3</v>
      </c>
      <c r="AA1513">
        <v>0.99023720000000004</v>
      </c>
      <c r="AB1513">
        <v>19</v>
      </c>
      <c r="AC1513">
        <v>-0.60490000000001398</v>
      </c>
      <c r="AD1513">
        <v>-0.14605949999999901</v>
      </c>
      <c r="AE1513">
        <v>0.139399999999966</v>
      </c>
      <c r="AF1513">
        <v>0.10660118536386499</v>
      </c>
      <c r="AG1513">
        <v>-0.14605949999999901</v>
      </c>
      <c r="AH1513">
        <v>0.57845004971813596</v>
      </c>
      <c r="AI1513">
        <v>103.945612157141</v>
      </c>
      <c r="AJ1513">
        <v>79.558252303588105</v>
      </c>
      <c r="AK1513">
        <v>0.60605416447719096</v>
      </c>
      <c r="AL1513">
        <v>91.730155495760101</v>
      </c>
      <c r="AM1513">
        <v>82.845525877365105</v>
      </c>
      <c r="AN1513">
        <v>0.99999996723157503</v>
      </c>
    </row>
    <row r="1514" spans="1:40" x14ac:dyDescent="0.25">
      <c r="A1514" t="str">
        <f>"20190312161256460"</f>
        <v>20190312161256460</v>
      </c>
      <c r="B1514" t="str">
        <f>"1552378376457225"</f>
        <v>1552378376457225</v>
      </c>
      <c r="C1514" t="s">
        <v>40</v>
      </c>
      <c r="D1514">
        <v>5.0813899999999999</v>
      </c>
      <c r="E1514">
        <v>0.51079169999999996</v>
      </c>
      <c r="F1514" t="s">
        <v>43</v>
      </c>
      <c r="G1514">
        <v>-239.34530000000001</v>
      </c>
      <c r="H1514">
        <v>0.96330329999999997</v>
      </c>
      <c r="I1514">
        <v>283.65199999999999</v>
      </c>
      <c r="J1514">
        <v>-238.75980000000001</v>
      </c>
      <c r="K1514">
        <v>1.1095090000000001</v>
      </c>
      <c r="L1514">
        <v>283.51220000000001</v>
      </c>
      <c r="M1514">
        <v>-0.99897659999999999</v>
      </c>
      <c r="N1514">
        <v>0</v>
      </c>
      <c r="O1514">
        <v>4.4366469999999998E-2</v>
      </c>
      <c r="P1514">
        <v>-0.98501649999999996</v>
      </c>
      <c r="Q1514">
        <v>-3.8915909999999998E-2</v>
      </c>
      <c r="R1514">
        <v>0.16801269999999999</v>
      </c>
      <c r="S1514">
        <v>-2.9280400000000002</v>
      </c>
      <c r="T1514">
        <v>-0.5544424</v>
      </c>
      <c r="U1514">
        <v>0.56091309999999905</v>
      </c>
      <c r="V1514">
        <v>0.1241394</v>
      </c>
      <c r="W1514">
        <v>-3.020668E-2</v>
      </c>
      <c r="X1514">
        <v>0.99180489999999999</v>
      </c>
      <c r="Y1514">
        <v>0.14270099999999999</v>
      </c>
      <c r="Z1514">
        <v>5.0304629999999998E-3</v>
      </c>
      <c r="AA1514">
        <v>0.98975310000000005</v>
      </c>
      <c r="AB1514">
        <v>19</v>
      </c>
      <c r="AC1514">
        <v>-0.58549999999999602</v>
      </c>
      <c r="AD1514">
        <v>-0.14620569999999999</v>
      </c>
      <c r="AE1514">
        <v>0.139799999999979</v>
      </c>
      <c r="AF1514">
        <v>0.107351828974627</v>
      </c>
      <c r="AG1514">
        <v>-0.14620569999999999</v>
      </c>
      <c r="AH1514">
        <v>0.55819679644655196</v>
      </c>
      <c r="AI1514">
        <v>104.42446252634601</v>
      </c>
      <c r="AJ1514">
        <v>79.113850220329695</v>
      </c>
      <c r="AK1514">
        <v>0.58692775148214005</v>
      </c>
      <c r="AL1514">
        <v>91.730978587241395</v>
      </c>
      <c r="AM1514">
        <v>82.865667534328594</v>
      </c>
      <c r="AN1514">
        <v>0.99999999690649599</v>
      </c>
    </row>
    <row r="1515" spans="1:40" x14ac:dyDescent="0.25">
      <c r="A1515" t="str">
        <f>"20190312161256480"</f>
        <v>20190312161256480</v>
      </c>
      <c r="B1515" t="str">
        <f>"1552378376476746"</f>
        <v>1552378376476746</v>
      </c>
      <c r="C1515" t="s">
        <v>40</v>
      </c>
      <c r="D1515">
        <v>5.4219379999999999</v>
      </c>
      <c r="E1515">
        <v>0.51121430000000001</v>
      </c>
      <c r="F1515" t="s">
        <v>43</v>
      </c>
      <c r="G1515">
        <v>-239.5128</v>
      </c>
      <c r="H1515">
        <v>0.96219849999999996</v>
      </c>
      <c r="I1515">
        <v>283.65940000000001</v>
      </c>
      <c r="J1515">
        <v>-238.9323</v>
      </c>
      <c r="K1515">
        <v>1.10951</v>
      </c>
      <c r="L1515">
        <v>283.52</v>
      </c>
      <c r="M1515">
        <v>-0.99897239999999998</v>
      </c>
      <c r="N1515">
        <v>0</v>
      </c>
      <c r="O1515">
        <v>4.4472739999999997E-2</v>
      </c>
      <c r="P1515">
        <v>-0.98501530000000004</v>
      </c>
      <c r="Q1515">
        <v>-3.9101700000000003E-2</v>
      </c>
      <c r="R1515">
        <v>0.1679776</v>
      </c>
      <c r="S1515">
        <v>-2.9256129999999998</v>
      </c>
      <c r="T1515">
        <v>-0.57244119999999998</v>
      </c>
      <c r="U1515">
        <v>0.57119750000000002</v>
      </c>
      <c r="V1515">
        <v>0.1239992</v>
      </c>
      <c r="W1515">
        <v>-3.0427940000000001E-2</v>
      </c>
      <c r="X1515">
        <v>0.99181569999999997</v>
      </c>
      <c r="Y1515">
        <v>0.14593210000000001</v>
      </c>
      <c r="Z1515">
        <v>5.4834339999999997E-3</v>
      </c>
      <c r="AA1515">
        <v>0.98927940000000003</v>
      </c>
      <c r="AB1515">
        <v>19</v>
      </c>
      <c r="AC1515">
        <v>-0.58050000000000002</v>
      </c>
      <c r="AD1515">
        <v>-0.14731149999999901</v>
      </c>
      <c r="AE1515">
        <v>0.13940000000002301</v>
      </c>
      <c r="AF1515">
        <v>0.106933840324762</v>
      </c>
      <c r="AG1515">
        <v>-0.14731149999999901</v>
      </c>
      <c r="AH1515">
        <v>0.55248643884386395</v>
      </c>
      <c r="AI1515">
        <v>104.669462239834</v>
      </c>
      <c r="AJ1515">
        <v>79.045839275836997</v>
      </c>
      <c r="AK1515">
        <v>0.58170163257913099</v>
      </c>
      <c r="AL1515">
        <v>91.743661637906101</v>
      </c>
      <c r="AM1515">
        <v>82.873718789423506</v>
      </c>
      <c r="AN1515">
        <v>1.0000000219498799</v>
      </c>
    </row>
    <row r="1516" spans="1:40" x14ac:dyDescent="0.25">
      <c r="A1516" t="str">
        <f>"20190312161256496"</f>
        <v>20190312161256496</v>
      </c>
      <c r="B1516" t="str">
        <f>"1552378376487482"</f>
        <v>1552378376487482</v>
      </c>
      <c r="C1516" t="s">
        <v>40</v>
      </c>
      <c r="D1516">
        <v>5.0884</v>
      </c>
      <c r="E1516">
        <v>0.51131439999999995</v>
      </c>
      <c r="F1516" t="s">
        <v>43</v>
      </c>
      <c r="G1516">
        <v>-239.68129999999999</v>
      </c>
      <c r="H1516">
        <v>0.96228720000000001</v>
      </c>
      <c r="I1516">
        <v>283.6671</v>
      </c>
      <c r="J1516">
        <v>-239.0625</v>
      </c>
      <c r="K1516">
        <v>1.109505</v>
      </c>
      <c r="L1516">
        <v>283.52589999999998</v>
      </c>
      <c r="M1516">
        <v>-0.9989692</v>
      </c>
      <c r="N1516">
        <v>0</v>
      </c>
      <c r="O1516">
        <v>4.4545109999999999E-2</v>
      </c>
      <c r="P1516">
        <v>-0.98501340000000004</v>
      </c>
      <c r="Q1516">
        <v>-3.9313540000000001E-2</v>
      </c>
      <c r="R1516">
        <v>0.16793739999999999</v>
      </c>
      <c r="S1516">
        <v>-2.9248810000000001</v>
      </c>
      <c r="T1516">
        <v>-0.57494489999999998</v>
      </c>
      <c r="U1516">
        <v>0.57415769999999899</v>
      </c>
      <c r="V1516">
        <v>0.1238875</v>
      </c>
      <c r="W1516">
        <v>-3.066381E-2</v>
      </c>
      <c r="X1516">
        <v>0.99182239999999999</v>
      </c>
      <c r="Y1516">
        <v>0.14683940000000001</v>
      </c>
      <c r="Z1516">
        <v>5.5814360000000004E-3</v>
      </c>
      <c r="AA1516">
        <v>0.98914460000000004</v>
      </c>
      <c r="AB1516">
        <v>19</v>
      </c>
      <c r="AC1516">
        <v>-0.61879999999999302</v>
      </c>
      <c r="AD1516">
        <v>-0.14721780000000001</v>
      </c>
      <c r="AE1516">
        <v>0.141200000000026</v>
      </c>
      <c r="AF1516">
        <v>0.107700080202144</v>
      </c>
      <c r="AG1516">
        <v>-0.14721780000000001</v>
      </c>
      <c r="AH1516">
        <v>0.59259457390435599</v>
      </c>
      <c r="AI1516">
        <v>103.73523017573299</v>
      </c>
      <c r="AJ1516">
        <v>79.699307942365195</v>
      </c>
      <c r="AK1516">
        <v>0.62003283536702603</v>
      </c>
      <c r="AL1516">
        <v>91.757182292565403</v>
      </c>
      <c r="AM1516">
        <v>82.880119922370397</v>
      </c>
      <c r="AN1516">
        <v>1.00000002752086</v>
      </c>
    </row>
    <row r="1517" spans="1:40" x14ac:dyDescent="0.25">
      <c r="A1517" t="str">
        <f>"20190312161256515"</f>
        <v>20190312161256515</v>
      </c>
      <c r="B1517" t="str">
        <f>"1552378376507002"</f>
        <v>1552378376507002</v>
      </c>
      <c r="C1517" t="s">
        <v>40</v>
      </c>
      <c r="D1517">
        <v>5.3841570000000001</v>
      </c>
      <c r="E1517">
        <v>0.51197020000000004</v>
      </c>
      <c r="F1517" t="s">
        <v>43</v>
      </c>
      <c r="G1517">
        <v>-239.8467</v>
      </c>
      <c r="H1517">
        <v>0.95499940000000005</v>
      </c>
      <c r="I1517">
        <v>283.68009999999998</v>
      </c>
      <c r="J1517">
        <v>-239.2294</v>
      </c>
      <c r="K1517">
        <v>1.1095060000000001</v>
      </c>
      <c r="L1517">
        <v>283.53339999999997</v>
      </c>
      <c r="M1517">
        <v>-0.99896580000000001</v>
      </c>
      <c r="N1517">
        <v>0</v>
      </c>
      <c r="O1517">
        <v>4.4626909999999999E-2</v>
      </c>
      <c r="P1517">
        <v>-0.98501399999999995</v>
      </c>
      <c r="Q1517">
        <v>-3.9541119999999999E-2</v>
      </c>
      <c r="R1517">
        <v>0.1678808</v>
      </c>
      <c r="S1517">
        <v>-2.924652</v>
      </c>
      <c r="T1517">
        <v>-0.5762389</v>
      </c>
      <c r="U1517">
        <v>0.57470699999999997</v>
      </c>
      <c r="V1517">
        <v>0.1237502</v>
      </c>
      <c r="W1517">
        <v>-3.092075E-2</v>
      </c>
      <c r="X1517">
        <v>0.99183149999999998</v>
      </c>
      <c r="Y1517">
        <v>0.14694289999999999</v>
      </c>
      <c r="Z1517">
        <v>5.588343E-3</v>
      </c>
      <c r="AA1517">
        <v>0.98912920000000004</v>
      </c>
      <c r="AB1517">
        <v>19</v>
      </c>
      <c r="AC1517">
        <v>-0.61729999999999996</v>
      </c>
      <c r="AD1517">
        <v>-0.15450659999999899</v>
      </c>
      <c r="AE1517">
        <v>0.14670000000000899</v>
      </c>
      <c r="AF1517">
        <v>0.112342867405091</v>
      </c>
      <c r="AG1517">
        <v>-0.15450659999999899</v>
      </c>
      <c r="AH1517">
        <v>0.58834420153089395</v>
      </c>
      <c r="AI1517">
        <v>104.464255675187</v>
      </c>
      <c r="AJ1517">
        <v>79.189644562125906</v>
      </c>
      <c r="AK1517">
        <v>0.61858072130917796</v>
      </c>
      <c r="AL1517">
        <v>91.771910965543896</v>
      </c>
      <c r="AM1517">
        <v>82.887994362468305</v>
      </c>
      <c r="AN1517">
        <v>0.99999996458642504</v>
      </c>
    </row>
    <row r="1518" spans="1:40" x14ac:dyDescent="0.25">
      <c r="A1518" t="str">
        <f>"20190312161256538"</f>
        <v>20190312161256538</v>
      </c>
      <c r="B1518" t="str">
        <f>"1552378376527501"</f>
        <v>1552378376527501</v>
      </c>
      <c r="C1518" t="s">
        <v>40</v>
      </c>
      <c r="D1518">
        <v>5.3221759999999998</v>
      </c>
      <c r="E1518">
        <v>0.51260550000000005</v>
      </c>
      <c r="F1518" t="s">
        <v>43</v>
      </c>
      <c r="G1518">
        <v>-240.0153</v>
      </c>
      <c r="H1518">
        <v>0.95316820000000002</v>
      </c>
      <c r="I1518">
        <v>283.68950000000001</v>
      </c>
      <c r="J1518">
        <v>-239.41749999999999</v>
      </c>
      <c r="K1518">
        <v>1.1095120000000001</v>
      </c>
      <c r="L1518">
        <v>283.5419</v>
      </c>
      <c r="M1518">
        <v>-0.99896280000000004</v>
      </c>
      <c r="N1518">
        <v>0</v>
      </c>
      <c r="O1518">
        <v>4.4703819999999998E-2</v>
      </c>
      <c r="P1518">
        <v>-0.98505180000000003</v>
      </c>
      <c r="Q1518">
        <v>-3.9448160000000003E-2</v>
      </c>
      <c r="R1518">
        <v>0.16768139999999901</v>
      </c>
      <c r="S1518">
        <v>-2.9235380000000002</v>
      </c>
      <c r="T1518">
        <v>-0.58171569999999995</v>
      </c>
      <c r="U1518">
        <v>0.57934569999999996</v>
      </c>
      <c r="V1518">
        <v>0.1234735</v>
      </c>
      <c r="W1518">
        <v>-3.086206E-2</v>
      </c>
      <c r="X1518">
        <v>0.99186779999999997</v>
      </c>
      <c r="Y1518">
        <v>0.1483864</v>
      </c>
      <c r="Z1518">
        <v>5.7676940000000003E-3</v>
      </c>
      <c r="AA1518">
        <v>0.98891260000000003</v>
      </c>
      <c r="AB1518">
        <v>19</v>
      </c>
      <c r="AC1518">
        <v>-0.59780000000000599</v>
      </c>
      <c r="AD1518">
        <v>-0.1563438</v>
      </c>
      <c r="AE1518">
        <v>0.147600000000011</v>
      </c>
      <c r="AF1518">
        <v>0.113415711848471</v>
      </c>
      <c r="AG1518">
        <v>-0.1563438</v>
      </c>
      <c r="AH1518">
        <v>0.56723208499326705</v>
      </c>
      <c r="AI1518">
        <v>105.124321323115</v>
      </c>
      <c r="AJ1518">
        <v>78.693049777380494</v>
      </c>
      <c r="AK1518">
        <v>0.599215108069168</v>
      </c>
      <c r="AL1518">
        <v>91.768546692216105</v>
      </c>
      <c r="AM1518">
        <v>82.903991250629701</v>
      </c>
      <c r="AN1518">
        <v>0.99999995231326499</v>
      </c>
    </row>
    <row r="1519" spans="1:40" x14ac:dyDescent="0.25">
      <c r="A1519" t="str">
        <f>"20190312161256558"</f>
        <v>20190312161256558</v>
      </c>
      <c r="B1519" t="str">
        <f>"1552378376547018"</f>
        <v>1552378376547018</v>
      </c>
      <c r="C1519" t="s">
        <v>40</v>
      </c>
      <c r="D1519">
        <v>5.0920439999999996</v>
      </c>
      <c r="E1519">
        <v>0.51280999999999999</v>
      </c>
      <c r="F1519" t="s">
        <v>43</v>
      </c>
      <c r="G1519">
        <v>-240.1865</v>
      </c>
      <c r="H1519">
        <v>0.95545610000000003</v>
      </c>
      <c r="I1519">
        <v>283.69529999999997</v>
      </c>
      <c r="J1519">
        <v>-239.5932</v>
      </c>
      <c r="K1519">
        <v>1.109518</v>
      </c>
      <c r="L1519">
        <v>283.54989999999998</v>
      </c>
      <c r="M1519">
        <v>-0.99896059999999998</v>
      </c>
      <c r="N1519">
        <v>0</v>
      </c>
      <c r="O1519">
        <v>4.4760220000000003E-2</v>
      </c>
      <c r="P1519">
        <v>-0.98501209999999995</v>
      </c>
      <c r="Q1519">
        <v>-3.9908180000000001E-2</v>
      </c>
      <c r="R1519">
        <v>0.16780599999999901</v>
      </c>
      <c r="S1519">
        <v>-2.9226990000000002</v>
      </c>
      <c r="T1519">
        <v>-0.58548459999999902</v>
      </c>
      <c r="U1519">
        <v>0.58367919999999995</v>
      </c>
      <c r="V1519">
        <v>0.1235444</v>
      </c>
      <c r="W1519">
        <v>-3.1354409999999999E-2</v>
      </c>
      <c r="X1519">
        <v>0.99184360000000005</v>
      </c>
      <c r="Y1519">
        <v>0.14974460000000001</v>
      </c>
      <c r="Z1519">
        <v>5.9276060000000002E-3</v>
      </c>
      <c r="AA1519">
        <v>0.98870690000000006</v>
      </c>
      <c r="AB1519">
        <v>19</v>
      </c>
      <c r="AC1519">
        <v>-0.59329999999999905</v>
      </c>
      <c r="AD1519">
        <v>-0.1540619</v>
      </c>
      <c r="AE1519">
        <v>0.14539999999999501</v>
      </c>
      <c r="AF1519">
        <v>0.11159848406556799</v>
      </c>
      <c r="AG1519">
        <v>-0.1540619</v>
      </c>
      <c r="AH1519">
        <v>0.56337834175935997</v>
      </c>
      <c r="AI1519">
        <v>105.016002823105</v>
      </c>
      <c r="AJ1519">
        <v>78.795442718847497</v>
      </c>
      <c r="AK1519">
        <v>0.594629671846998</v>
      </c>
      <c r="AL1519">
        <v>91.796769804481499</v>
      </c>
      <c r="AM1519">
        <v>82.8997867427464</v>
      </c>
      <c r="AN1519">
        <v>1.0000000223293799</v>
      </c>
    </row>
    <row r="1520" spans="1:40" x14ac:dyDescent="0.25">
      <c r="A1520" t="str">
        <f>"20190312161256582"</f>
        <v>20190312161256582</v>
      </c>
      <c r="B1520" t="str">
        <f>"1552378376577274"</f>
        <v>1552378376577274</v>
      </c>
      <c r="C1520" t="s">
        <v>40</v>
      </c>
      <c r="D1520">
        <v>4.9984599999999997</v>
      </c>
      <c r="E1520">
        <v>0.51303359999999998</v>
      </c>
      <c r="F1520" t="s">
        <v>43</v>
      </c>
      <c r="G1520">
        <v>-240.357</v>
      </c>
      <c r="H1520">
        <v>0.95555290000000004</v>
      </c>
      <c r="I1520">
        <v>283.70319999999998</v>
      </c>
      <c r="J1520">
        <v>-239.79040000000001</v>
      </c>
      <c r="K1520">
        <v>1.109523</v>
      </c>
      <c r="L1520">
        <v>283.55880000000002</v>
      </c>
      <c r="M1520">
        <v>-0.99895880000000004</v>
      </c>
      <c r="N1520">
        <v>0</v>
      </c>
      <c r="O1520">
        <v>4.4803290000000003E-2</v>
      </c>
      <c r="P1520">
        <v>-0.98499460000000005</v>
      </c>
      <c r="Q1520">
        <v>-3.9969669999999999E-2</v>
      </c>
      <c r="R1520">
        <v>0.16789289999999901</v>
      </c>
      <c r="S1520">
        <v>-2.9220579999999998</v>
      </c>
      <c r="T1520">
        <v>-0.58907969999999998</v>
      </c>
      <c r="U1520">
        <v>0.58551030000000004</v>
      </c>
      <c r="V1520">
        <v>0.12359009999999999</v>
      </c>
      <c r="W1520">
        <v>-3.1447559999999999E-2</v>
      </c>
      <c r="X1520">
        <v>0.99183489999999996</v>
      </c>
      <c r="Y1520">
        <v>0.15030439999999901</v>
      </c>
      <c r="Z1520">
        <v>6.0110909999999997E-3</v>
      </c>
      <c r="AA1520">
        <v>0.98862150000000004</v>
      </c>
      <c r="AB1520">
        <v>19</v>
      </c>
      <c r="AC1520">
        <v>-0.566599999999994</v>
      </c>
      <c r="AD1520">
        <v>-0.1539701</v>
      </c>
      <c r="AE1520">
        <v>0.144399999999961</v>
      </c>
      <c r="AF1520">
        <v>0.11116051867079201</v>
      </c>
      <c r="AG1520">
        <v>-0.1539701</v>
      </c>
      <c r="AH1520">
        <v>0.53537721998730303</v>
      </c>
      <c r="AI1520">
        <v>105.726487535766</v>
      </c>
      <c r="AJ1520">
        <v>78.270323198570296</v>
      </c>
      <c r="AK1520">
        <v>0.56806004989481795</v>
      </c>
      <c r="AL1520">
        <v>91.802109642134297</v>
      </c>
      <c r="AM1520">
        <v>82.897125474789704</v>
      </c>
      <c r="AN1520">
        <v>0.99999996535298596</v>
      </c>
    </row>
    <row r="1521" spans="1:40" x14ac:dyDescent="0.25">
      <c r="A1521" t="str">
        <f>"20190312161256617"</f>
        <v>20190312161256617</v>
      </c>
      <c r="B1521" t="str">
        <f>"1552378376607530"</f>
        <v>1552378376607530</v>
      </c>
      <c r="C1521" t="s">
        <v>40</v>
      </c>
      <c r="D1521">
        <v>4.9754909999999999</v>
      </c>
      <c r="E1521">
        <v>0.51340220000000003</v>
      </c>
      <c r="F1521" t="s">
        <v>43</v>
      </c>
      <c r="G1521">
        <v>-240.5299</v>
      </c>
      <c r="H1521">
        <v>0.95933780000000002</v>
      </c>
      <c r="I1521">
        <v>283.70760000000001</v>
      </c>
      <c r="J1521">
        <v>-240.08930000000001</v>
      </c>
      <c r="K1521">
        <v>1.1095330000000001</v>
      </c>
      <c r="L1521">
        <v>283.57220000000001</v>
      </c>
      <c r="M1521">
        <v>-0.99895829999999997</v>
      </c>
      <c r="N1521">
        <v>0</v>
      </c>
      <c r="O1521">
        <v>4.4828369999999999E-2</v>
      </c>
      <c r="P1521">
        <v>-0.98505350000000003</v>
      </c>
      <c r="Q1521">
        <v>-3.933126E-2</v>
      </c>
      <c r="R1521">
        <v>0.16769899999999999</v>
      </c>
      <c r="S1521">
        <v>-2.9215390000000001</v>
      </c>
      <c r="T1521">
        <v>-0.59339140000000001</v>
      </c>
      <c r="U1521">
        <v>0.58715819999999996</v>
      </c>
      <c r="V1521">
        <v>0.12337040000000001</v>
      </c>
      <c r="W1521">
        <v>-3.0854650000000001E-2</v>
      </c>
      <c r="X1521">
        <v>0.99188089999999995</v>
      </c>
      <c r="Y1521">
        <v>0.15081</v>
      </c>
      <c r="Z1521">
        <v>6.1003359999999996E-3</v>
      </c>
      <c r="AA1521">
        <v>0.98854390000000003</v>
      </c>
      <c r="AB1521">
        <v>19</v>
      </c>
      <c r="AC1521">
        <v>-0.440599999999989</v>
      </c>
      <c r="AD1521">
        <v>-0.1501952</v>
      </c>
      <c r="AE1521">
        <v>0.13540000000000399</v>
      </c>
      <c r="AF1521">
        <v>0.104424282678808</v>
      </c>
      <c r="AG1521">
        <v>-0.1501952</v>
      </c>
      <c r="AH1521">
        <v>0.40339555127596799</v>
      </c>
      <c r="AI1521">
        <v>109.821514467341</v>
      </c>
      <c r="AJ1521">
        <v>75.486807684152396</v>
      </c>
      <c r="AK1521">
        <v>0.44293453207586497</v>
      </c>
      <c r="AL1521">
        <v>91.768121857275801</v>
      </c>
      <c r="AM1521">
        <v>82.909948756397995</v>
      </c>
      <c r="AN1521">
        <v>0.999999992403796</v>
      </c>
    </row>
    <row r="1522" spans="1:40" x14ac:dyDescent="0.25">
      <c r="A1522" t="str">
        <f>"20190312161256639"</f>
        <v>20190312161256639</v>
      </c>
      <c r="B1522" t="str">
        <f>"1552378376627050"</f>
        <v>1552378376627050</v>
      </c>
      <c r="C1522" t="s">
        <v>40</v>
      </c>
      <c r="D1522">
        <v>5.0788479999999998</v>
      </c>
      <c r="E1522">
        <v>0.52248339999999904</v>
      </c>
      <c r="F1522" t="s">
        <v>43</v>
      </c>
      <c r="G1522">
        <v>-240.86949999999999</v>
      </c>
      <c r="H1522">
        <v>0.95075699999999996</v>
      </c>
      <c r="I1522">
        <v>283.72980000000001</v>
      </c>
      <c r="J1522">
        <v>-240.28210000000001</v>
      </c>
      <c r="K1522">
        <v>1.109532</v>
      </c>
      <c r="L1522">
        <v>283.58089999999999</v>
      </c>
      <c r="M1522">
        <v>-0.99895849999999997</v>
      </c>
      <c r="N1522">
        <v>0</v>
      </c>
      <c r="O1522">
        <v>4.4826119999999997E-2</v>
      </c>
      <c r="P1522">
        <v>-0.98510960000000003</v>
      </c>
      <c r="Q1522">
        <v>-3.94025E-2</v>
      </c>
      <c r="R1522">
        <v>0.16735129999999901</v>
      </c>
      <c r="S1522">
        <v>-2.9213710000000002</v>
      </c>
      <c r="T1522">
        <v>-0.59458089999999997</v>
      </c>
      <c r="U1522">
        <v>0.58963009999999905</v>
      </c>
      <c r="V1522">
        <v>0.1230233</v>
      </c>
      <c r="W1522">
        <v>-3.0957930000000002E-2</v>
      </c>
      <c r="X1522">
        <v>0.99192080000000005</v>
      </c>
      <c r="Y1522">
        <v>0.1516034</v>
      </c>
      <c r="Z1522">
        <v>6.1918069999999997E-3</v>
      </c>
      <c r="AA1522">
        <v>0.98842200000000002</v>
      </c>
      <c r="AB1522">
        <v>19</v>
      </c>
      <c r="AC1522">
        <v>-0.58739999999997305</v>
      </c>
      <c r="AD1522">
        <v>-0.158775</v>
      </c>
      <c r="AE1522">
        <v>0.14890000000002601</v>
      </c>
      <c r="AF1522">
        <v>0.114554185506862</v>
      </c>
      <c r="AG1522">
        <v>-0.158775</v>
      </c>
      <c r="AH1522">
        <v>0.55535820485387599</v>
      </c>
      <c r="AI1522">
        <v>105.642347217676</v>
      </c>
      <c r="AJ1522">
        <v>78.345015868085696</v>
      </c>
      <c r="AK1522">
        <v>0.58885897950244404</v>
      </c>
      <c r="AL1522">
        <v>91.774042180845299</v>
      </c>
      <c r="AM1522">
        <v>82.929975821678994</v>
      </c>
      <c r="AN1522">
        <v>0.99999999962270703</v>
      </c>
    </row>
    <row r="1523" spans="1:40" x14ac:dyDescent="0.25">
      <c r="A1523" t="str">
        <f>"20190312161256749"</f>
        <v>20190312161256749</v>
      </c>
      <c r="B1523" t="str">
        <f>"1552378376737338"</f>
        <v>1552378376737338</v>
      </c>
      <c r="C1523" t="s">
        <v>40</v>
      </c>
      <c r="D1523">
        <v>4.7265769999999998</v>
      </c>
      <c r="E1523">
        <v>0.42333979999999999</v>
      </c>
      <c r="F1523" t="s">
        <v>43</v>
      </c>
      <c r="G1523">
        <v>-241.68360000000001</v>
      </c>
      <c r="H1523">
        <v>0.81776579999999999</v>
      </c>
      <c r="I1523">
        <v>283.71129999999999</v>
      </c>
      <c r="J1523">
        <v>-241.23750000000001</v>
      </c>
      <c r="K1523">
        <v>1.10955</v>
      </c>
      <c r="L1523">
        <v>283.62349999999998</v>
      </c>
      <c r="M1523">
        <v>-0.99897100000000005</v>
      </c>
      <c r="N1523">
        <v>0</v>
      </c>
      <c r="O1523">
        <v>4.457846E-2</v>
      </c>
      <c r="P1523">
        <v>-0.98526449999999999</v>
      </c>
      <c r="Q1523">
        <v>-3.9299729999999998E-2</v>
      </c>
      <c r="R1523">
        <v>0.1664612</v>
      </c>
      <c r="S1523">
        <v>-2.9184109999999999</v>
      </c>
      <c r="T1523">
        <v>-1.338716</v>
      </c>
      <c r="U1523">
        <v>0.4405212</v>
      </c>
      <c r="V1523">
        <v>0.1223764</v>
      </c>
      <c r="W1523">
        <v>-3.100642E-2</v>
      </c>
      <c r="X1523">
        <v>0.99199930000000003</v>
      </c>
      <c r="Y1523">
        <v>9.9634420000000001E-2</v>
      </c>
      <c r="Z1523">
        <v>2.297066E-3</v>
      </c>
      <c r="AA1523">
        <v>0.9950215</v>
      </c>
      <c r="AB1523">
        <v>20</v>
      </c>
      <c r="AC1523">
        <v>-0.446100000000001</v>
      </c>
      <c r="AD1523">
        <v>-0.29178419999999999</v>
      </c>
      <c r="AE1523">
        <v>8.7800000000015602E-2</v>
      </c>
      <c r="AF1523">
        <v>4.8039740136577601E-2</v>
      </c>
      <c r="AG1523">
        <v>-0.29178419999999999</v>
      </c>
      <c r="AH1523">
        <v>0.31842352139284202</v>
      </c>
      <c r="AI1523">
        <v>132.179292452808</v>
      </c>
      <c r="AJ1523">
        <v>81.420633834006694</v>
      </c>
      <c r="AK1523">
        <v>0.43455652679283002</v>
      </c>
      <c r="AL1523">
        <v>91.776821793523496</v>
      </c>
      <c r="AM1523">
        <v>82.967330192102693</v>
      </c>
      <c r="AN1523">
        <v>0.999999996279333</v>
      </c>
    </row>
    <row r="1524" spans="1:40" x14ac:dyDescent="0.25">
      <c r="A1524" t="str">
        <f>"20190312161256770"</f>
        <v>20190312161256770</v>
      </c>
      <c r="B1524" t="str">
        <f>"1552378376756858"</f>
        <v>1552378376756858</v>
      </c>
      <c r="C1524" t="s">
        <v>40</v>
      </c>
      <c r="D1524">
        <v>4.6119539999999999</v>
      </c>
      <c r="E1524">
        <v>0.42583140000000003</v>
      </c>
      <c r="F1524" t="s">
        <v>54</v>
      </c>
      <c r="G1524">
        <v>-455.34370000000001</v>
      </c>
      <c r="H1524">
        <v>5.6315910000000002</v>
      </c>
      <c r="I1524">
        <v>276.87990000000002</v>
      </c>
      <c r="J1524">
        <v>-241.428</v>
      </c>
      <c r="K1524">
        <v>1.1095549999999901</v>
      </c>
      <c r="L1524">
        <v>283.63189999999997</v>
      </c>
      <c r="M1524">
        <v>-0.99897590000000003</v>
      </c>
      <c r="N1524">
        <v>0</v>
      </c>
      <c r="O1524">
        <v>4.4474899999999998E-2</v>
      </c>
      <c r="P1524">
        <v>-0.98530189999999995</v>
      </c>
      <c r="Q1524">
        <v>-3.955173E-2</v>
      </c>
      <c r="R1524">
        <v>0.166181</v>
      </c>
      <c r="S1524">
        <v>-3.063736</v>
      </c>
      <c r="T1524">
        <v>6.4708710000000003E-2</v>
      </c>
      <c r="U1524">
        <v>-9.6496579999999998E-2</v>
      </c>
      <c r="V1524">
        <v>0.1221986</v>
      </c>
      <c r="W1524">
        <v>-3.127957E-2</v>
      </c>
      <c r="X1524">
        <v>0.99201260000000002</v>
      </c>
      <c r="Y1524">
        <v>-7.5877199999999895E-2</v>
      </c>
      <c r="Z1524">
        <v>1.7399830000000001E-3</v>
      </c>
      <c r="AA1524">
        <v>0.99711570000000005</v>
      </c>
      <c r="AB1524">
        <v>20</v>
      </c>
      <c r="AC1524">
        <v>-213.91569999999999</v>
      </c>
      <c r="AD1524">
        <v>4.5220359999999999</v>
      </c>
      <c r="AE1524">
        <v>-6.75199999999995</v>
      </c>
      <c r="AF1524">
        <v>-16.252271250189601</v>
      </c>
      <c r="AG1524">
        <v>4.5220359999999999</v>
      </c>
      <c r="AH1524">
        <v>213.30848469042701</v>
      </c>
      <c r="AI1524">
        <v>88.789048018240194</v>
      </c>
      <c r="AJ1524">
        <v>94.357027409019295</v>
      </c>
      <c r="AK1524">
        <v>213.97451897667901</v>
      </c>
      <c r="AL1524">
        <v>91.792479806754002</v>
      </c>
      <c r="AM1524">
        <v>82.977539034181007</v>
      </c>
      <c r="AN1524">
        <v>0.99999995395005103</v>
      </c>
    </row>
    <row r="1525" spans="1:40" x14ac:dyDescent="0.25">
      <c r="A1525" t="str">
        <f>"20190312161256792"</f>
        <v>20190312161256792</v>
      </c>
      <c r="B1525" t="str">
        <f>"1552378376787114"</f>
        <v>1552378376787114</v>
      </c>
      <c r="C1525" t="s">
        <v>40</v>
      </c>
      <c r="D1525">
        <v>4.6020599999999998</v>
      </c>
      <c r="E1525">
        <v>0.42804419999999999</v>
      </c>
      <c r="F1525" t="s">
        <v>73</v>
      </c>
      <c r="G1525">
        <v>-511.96039999999999</v>
      </c>
      <c r="H1525">
        <v>5.4641489999999999</v>
      </c>
      <c r="I1525">
        <v>276.69240000000002</v>
      </c>
      <c r="J1525">
        <v>-241.62909999999999</v>
      </c>
      <c r="K1525">
        <v>1.1095600000000001</v>
      </c>
      <c r="L1525">
        <v>283.64069999999998</v>
      </c>
      <c r="M1525">
        <v>-0.99898149999999997</v>
      </c>
      <c r="N1525">
        <v>0</v>
      </c>
      <c r="O1525">
        <v>4.435219E-2</v>
      </c>
      <c r="P1525">
        <v>-0.9853113</v>
      </c>
      <c r="Q1525">
        <v>-3.9845499999999999E-2</v>
      </c>
      <c r="R1525">
        <v>0.16605420000000001</v>
      </c>
      <c r="S1525">
        <v>-3.0599669999999999</v>
      </c>
      <c r="T1525">
        <v>4.925525E-2</v>
      </c>
      <c r="U1525">
        <v>-7.8491210000000006E-2</v>
      </c>
      <c r="V1525">
        <v>0.1221941</v>
      </c>
      <c r="W1525">
        <v>-3.159468E-2</v>
      </c>
      <c r="X1525">
        <v>0.99200319999999997</v>
      </c>
      <c r="Y1525">
        <v>-6.9941660000000003E-2</v>
      </c>
      <c r="Z1525">
        <v>1.276494E-3</v>
      </c>
      <c r="AA1525">
        <v>0.99755020000000005</v>
      </c>
      <c r="AB1525">
        <v>20</v>
      </c>
      <c r="AC1525">
        <v>-270.3313</v>
      </c>
      <c r="AD1525">
        <v>4.3545889999999998</v>
      </c>
      <c r="AE1525">
        <v>-6.9482999999999597</v>
      </c>
      <c r="AF1525">
        <v>-18.926752185481099</v>
      </c>
      <c r="AG1525">
        <v>4.3545889999999998</v>
      </c>
      <c r="AH1525">
        <v>269.68714937827201</v>
      </c>
      <c r="AI1525">
        <v>89.077205262087105</v>
      </c>
      <c r="AJ1525">
        <v>94.014458605112694</v>
      </c>
      <c r="AK1525">
        <v>270.38554497869802</v>
      </c>
      <c r="AL1525">
        <v>91.810543152055203</v>
      </c>
      <c r="AM1525">
        <v>82.977729179963404</v>
      </c>
      <c r="AN1525">
        <v>0.99999998534467605</v>
      </c>
    </row>
    <row r="1526" spans="1:40" x14ac:dyDescent="0.25">
      <c r="A1526" t="str">
        <f>"20190312161256816"</f>
        <v>20190312161256816</v>
      </c>
      <c r="B1526" t="str">
        <f>"1552378376807613"</f>
        <v>1552378376807613</v>
      </c>
      <c r="C1526" t="s">
        <v>40</v>
      </c>
      <c r="D1526">
        <v>4.5938379999999999</v>
      </c>
      <c r="E1526">
        <v>0.42947220000000003</v>
      </c>
      <c r="F1526" t="s">
        <v>73</v>
      </c>
      <c r="G1526">
        <v>-511.96030000000002</v>
      </c>
      <c r="H1526">
        <v>4.9441850000000001</v>
      </c>
      <c r="I1526">
        <v>278.15949999999998</v>
      </c>
      <c r="J1526">
        <v>-241.83580000000001</v>
      </c>
      <c r="K1526">
        <v>1.109553</v>
      </c>
      <c r="L1526">
        <v>283.6497</v>
      </c>
      <c r="M1526">
        <v>-0.99898799999999999</v>
      </c>
      <c r="N1526">
        <v>0</v>
      </c>
      <c r="O1526">
        <v>4.4213790000000003E-2</v>
      </c>
      <c r="P1526">
        <v>-0.98528079999999996</v>
      </c>
      <c r="Q1526">
        <v>-4.0443319999999998E-2</v>
      </c>
      <c r="R1526">
        <v>0.16609189999999999</v>
      </c>
      <c r="S1526">
        <v>-3.056915</v>
      </c>
      <c r="T1526">
        <v>4.3362980000000002E-2</v>
      </c>
      <c r="U1526">
        <v>-6.19812E-2</v>
      </c>
      <c r="V1526">
        <v>0.12237089999999901</v>
      </c>
      <c r="W1526">
        <v>-3.2213800000000001E-2</v>
      </c>
      <c r="X1526">
        <v>0.99196150000000005</v>
      </c>
      <c r="Y1526">
        <v>-6.4447030000000002E-2</v>
      </c>
      <c r="Z1526">
        <v>1.0840509999999999E-3</v>
      </c>
      <c r="AA1526">
        <v>0.99792049999999999</v>
      </c>
      <c r="AB1526">
        <v>20</v>
      </c>
      <c r="AC1526">
        <v>-270.12450000000001</v>
      </c>
      <c r="AD1526">
        <v>3.834632</v>
      </c>
      <c r="AE1526">
        <v>-5.4902000000000104</v>
      </c>
      <c r="AF1526">
        <v>-17.4249553913596</v>
      </c>
      <c r="AG1526">
        <v>3.834632</v>
      </c>
      <c r="AH1526">
        <v>269.56327421295902</v>
      </c>
      <c r="AI1526">
        <v>89.186699631607993</v>
      </c>
      <c r="AJ1526">
        <v>93.698535359710604</v>
      </c>
      <c r="AK1526">
        <v>270.153090445727</v>
      </c>
      <c r="AL1526">
        <v>91.846034171686895</v>
      </c>
      <c r="AM1526">
        <v>82.967377804831202</v>
      </c>
      <c r="AN1526">
        <v>0.99999999177974996</v>
      </c>
    </row>
    <row r="1527" spans="1:40" x14ac:dyDescent="0.25">
      <c r="A1527" t="str">
        <f>"20190312161256838"</f>
        <v>20190312161256838</v>
      </c>
      <c r="B1527" t="str">
        <f>"1552378376827130"</f>
        <v>1552378376827130</v>
      </c>
      <c r="C1527" t="s">
        <v>40</v>
      </c>
      <c r="D1527">
        <v>4.5957480000000004</v>
      </c>
      <c r="E1527">
        <v>0.43044729999999998</v>
      </c>
      <c r="F1527" t="s">
        <v>73</v>
      </c>
      <c r="G1527">
        <v>-511.96019999999999</v>
      </c>
      <c r="H1527">
        <v>4.8239150000000004</v>
      </c>
      <c r="I1527">
        <v>279.1866</v>
      </c>
      <c r="J1527">
        <v>-242.03620000000001</v>
      </c>
      <c r="K1527">
        <v>1.1095489999999999</v>
      </c>
      <c r="L1527">
        <v>283.65839999999997</v>
      </c>
      <c r="M1527">
        <v>-0.99899420000000005</v>
      </c>
      <c r="N1527">
        <v>0</v>
      </c>
      <c r="O1527">
        <v>4.4073759999999997E-2</v>
      </c>
      <c r="P1527">
        <v>-0.98520350000000001</v>
      </c>
      <c r="Q1527">
        <v>-4.1041679999999997E-2</v>
      </c>
      <c r="R1527">
        <v>0.16640239999999901</v>
      </c>
      <c r="S1527">
        <v>-3.0550540000000002</v>
      </c>
      <c r="T1527">
        <v>4.2009589999999999E-2</v>
      </c>
      <c r="U1527">
        <v>-5.0476069999999998E-2</v>
      </c>
      <c r="V1527">
        <v>0.1228235</v>
      </c>
      <c r="W1527">
        <v>-3.2831659999999999E-2</v>
      </c>
      <c r="X1527">
        <v>0.99188529999999997</v>
      </c>
      <c r="Y1527">
        <v>-6.0563209999999999E-2</v>
      </c>
      <c r="Z1527">
        <v>1.0222600000000001E-3</v>
      </c>
      <c r="AA1527">
        <v>0.99816380000000005</v>
      </c>
      <c r="AB1527">
        <v>20</v>
      </c>
      <c r="AC1527">
        <v>-269.92399999999998</v>
      </c>
      <c r="AD1527">
        <v>3.7143660000000001</v>
      </c>
      <c r="AE1527">
        <v>-4.4717999999999698</v>
      </c>
      <c r="AF1527">
        <v>-16.361327693200501</v>
      </c>
      <c r="AG1527">
        <v>3.7143660000000001</v>
      </c>
      <c r="AH1527">
        <v>269.41359381284798</v>
      </c>
      <c r="AI1527">
        <v>89.211573831670094</v>
      </c>
      <c r="AJ1527">
        <v>93.475270550121806</v>
      </c>
      <c r="AK1527">
        <v>269.935499869544</v>
      </c>
      <c r="AL1527">
        <v>91.881453684780993</v>
      </c>
      <c r="AM1527">
        <v>82.941092119115694</v>
      </c>
      <c r="AN1527">
        <v>0.99999998920334698</v>
      </c>
    </row>
    <row r="1528" spans="1:40" x14ac:dyDescent="0.25">
      <c r="A1528" t="str">
        <f>"20190312161256861"</f>
        <v>20190312161256861</v>
      </c>
      <c r="B1528" t="str">
        <f>"1552378376857386"</f>
        <v>1552378376857386</v>
      </c>
      <c r="C1528" t="s">
        <v>40</v>
      </c>
      <c r="D1528">
        <v>4.4849519999999998</v>
      </c>
      <c r="E1528">
        <v>0.43048160000000002</v>
      </c>
      <c r="F1528" t="s">
        <v>44</v>
      </c>
      <c r="G1528">
        <v>0</v>
      </c>
      <c r="H1528">
        <v>0</v>
      </c>
      <c r="I1528">
        <v>0</v>
      </c>
      <c r="J1528">
        <v>-242.23050000000001</v>
      </c>
      <c r="K1528">
        <v>1.1095469999999901</v>
      </c>
      <c r="L1528">
        <v>283.66680000000002</v>
      </c>
      <c r="M1528">
        <v>-0.99900040000000001</v>
      </c>
      <c r="N1528">
        <v>0</v>
      </c>
      <c r="O1528">
        <v>4.3936419999999997E-2</v>
      </c>
      <c r="P1528">
        <v>-0.98526139999999995</v>
      </c>
      <c r="Q1528">
        <v>-4.1263830000000001E-2</v>
      </c>
      <c r="R1528">
        <v>0.1660046</v>
      </c>
      <c r="S1528">
        <v>-3.0537109999999998</v>
      </c>
      <c r="T1528">
        <v>3.9052610000000001E-2</v>
      </c>
      <c r="U1528">
        <v>-4.1656489999999997E-2</v>
      </c>
      <c r="V1528">
        <v>0.1225596</v>
      </c>
      <c r="W1528">
        <v>-3.3070469999999998E-2</v>
      </c>
      <c r="X1528">
        <v>0.99190999999999996</v>
      </c>
      <c r="Y1528">
        <v>-5.7552359999999997E-2</v>
      </c>
      <c r="Z1528">
        <v>9.2973470000000001E-4</v>
      </c>
      <c r="AA1528">
        <v>0.99834199999999995</v>
      </c>
      <c r="AB1528">
        <v>20</v>
      </c>
      <c r="AC1528">
        <v>-3.0537109999999998</v>
      </c>
      <c r="AD1528">
        <v>3.9052610000000001E-2</v>
      </c>
      <c r="AE1528">
        <v>-4.1656489999999997E-2</v>
      </c>
      <c r="AF1528">
        <v>-0.175761197906385</v>
      </c>
      <c r="AG1528">
        <v>3.9052610000000001E-2</v>
      </c>
      <c r="AH1528">
        <v>3.04843315020607</v>
      </c>
      <c r="AI1528">
        <v>89.267256979216697</v>
      </c>
      <c r="AJ1528">
        <v>93.299806084719506</v>
      </c>
      <c r="AK1528">
        <v>3.0537455323442702</v>
      </c>
      <c r="AL1528">
        <v>91.895143942120697</v>
      </c>
      <c r="AM1528">
        <v>82.956280090247901</v>
      </c>
      <c r="AN1528">
        <v>0.99999997981908995</v>
      </c>
    </row>
    <row r="1529" spans="1:40" x14ac:dyDescent="0.25">
      <c r="A1529" t="str">
        <f>"20190312161256882"</f>
        <v>20190312161256882</v>
      </c>
      <c r="B1529" t="str">
        <f>"1552378376876906"</f>
        <v>1552378376876906</v>
      </c>
      <c r="C1529" t="s">
        <v>40</v>
      </c>
      <c r="D1529">
        <v>4.5038589999999896</v>
      </c>
      <c r="E1529">
        <v>0.43037189999999997</v>
      </c>
      <c r="F1529" t="s">
        <v>44</v>
      </c>
      <c r="G1529">
        <v>0</v>
      </c>
      <c r="H1529">
        <v>0</v>
      </c>
      <c r="I1529">
        <v>0</v>
      </c>
      <c r="J1529">
        <v>-242.42679999999999</v>
      </c>
      <c r="K1529">
        <v>1.1095389999999901</v>
      </c>
      <c r="L1529">
        <v>283.67529999999999</v>
      </c>
      <c r="M1529">
        <v>-0.99900650000000002</v>
      </c>
      <c r="N1529">
        <v>0</v>
      </c>
      <c r="O1529">
        <v>4.3800390000000002E-2</v>
      </c>
      <c r="P1529">
        <v>-0.98535530000000005</v>
      </c>
      <c r="Q1529">
        <v>-4.1009129999999998E-2</v>
      </c>
      <c r="R1529">
        <v>0.16550889999999999</v>
      </c>
      <c r="S1529">
        <v>-3.053696</v>
      </c>
      <c r="T1529">
        <v>3.856039E-2</v>
      </c>
      <c r="U1529">
        <v>-4.2602540000000001E-2</v>
      </c>
      <c r="V1529">
        <v>0.122195</v>
      </c>
      <c r="W1529">
        <v>-3.2830659999999998E-2</v>
      </c>
      <c r="X1529">
        <v>0.99196300000000004</v>
      </c>
      <c r="Y1529">
        <v>-5.772592E-2</v>
      </c>
      <c r="Z1529">
        <v>9.1739990000000004E-4</v>
      </c>
      <c r="AA1529">
        <v>0.998332</v>
      </c>
      <c r="AB1529">
        <v>20</v>
      </c>
      <c r="AC1529">
        <v>-3.053696</v>
      </c>
      <c r="AD1529">
        <v>3.856039E-2</v>
      </c>
      <c r="AE1529">
        <v>-4.2602540000000001E-2</v>
      </c>
      <c r="AF1529">
        <v>-0.176291139826488</v>
      </c>
      <c r="AG1529">
        <v>3.856039E-2</v>
      </c>
      <c r="AH1529">
        <v>3.0484131239838601</v>
      </c>
      <c r="AI1529">
        <v>89.276494002299202</v>
      </c>
      <c r="AJ1529">
        <v>93.309755020727593</v>
      </c>
      <c r="AK1529">
        <v>3.0537498332599702</v>
      </c>
      <c r="AL1529">
        <v>91.881396277898503</v>
      </c>
      <c r="AM1529">
        <v>82.977396232029605</v>
      </c>
      <c r="AN1529">
        <v>1.00000003181501</v>
      </c>
    </row>
    <row r="1530" spans="1:40" x14ac:dyDescent="0.25">
      <c r="A1530" t="str">
        <f>"20190312161256906"</f>
        <v>20190312161256906</v>
      </c>
      <c r="B1530" t="str">
        <f>"1552378376897402"</f>
        <v>1552378376897402</v>
      </c>
      <c r="C1530" t="s">
        <v>40</v>
      </c>
      <c r="D1530">
        <v>4.5567219999999997</v>
      </c>
      <c r="E1530">
        <v>0.43069679999999999</v>
      </c>
      <c r="F1530" t="s">
        <v>73</v>
      </c>
      <c r="G1530">
        <v>-551.06359999999995</v>
      </c>
      <c r="H1530">
        <v>5.1844519999999896</v>
      </c>
      <c r="I1530">
        <v>279.11369999999999</v>
      </c>
      <c r="J1530">
        <v>-242.63669999999999</v>
      </c>
      <c r="K1530">
        <v>1.1095250000000001</v>
      </c>
      <c r="L1530">
        <v>283.68439999999998</v>
      </c>
      <c r="M1530">
        <v>-0.99901260000000003</v>
      </c>
      <c r="N1530">
        <v>0</v>
      </c>
      <c r="O1530">
        <v>4.366101E-2</v>
      </c>
      <c r="P1530">
        <v>-0.98541429999999997</v>
      </c>
      <c r="Q1530">
        <v>-4.0718749999999998E-2</v>
      </c>
      <c r="R1530">
        <v>0.1652285</v>
      </c>
      <c r="S1530">
        <v>-3.0538639999999999</v>
      </c>
      <c r="T1530">
        <v>4.0320750000000002E-2</v>
      </c>
      <c r="U1530">
        <v>-4.5135500000000002E-2</v>
      </c>
      <c r="V1530">
        <v>0.12205009999999999</v>
      </c>
      <c r="W1530">
        <v>-3.2554340000000001E-2</v>
      </c>
      <c r="X1530">
        <v>0.99198989999999998</v>
      </c>
      <c r="Y1530">
        <v>-5.841292E-2</v>
      </c>
      <c r="Z1530">
        <v>9.6191759999999995E-4</v>
      </c>
      <c r="AA1530">
        <v>0.99829199999999996</v>
      </c>
      <c r="AB1530">
        <v>20</v>
      </c>
      <c r="AC1530">
        <v>-308.42689999999902</v>
      </c>
      <c r="AD1530">
        <v>4.07492699999999</v>
      </c>
      <c r="AE1530">
        <v>-4.57069999999998</v>
      </c>
      <c r="AF1530">
        <v>-18.029879317404799</v>
      </c>
      <c r="AG1530">
        <v>4.07492699999999</v>
      </c>
      <c r="AH1530">
        <v>307.87946671609598</v>
      </c>
      <c r="AI1530">
        <v>89.243004935887797</v>
      </c>
      <c r="AJ1530">
        <v>93.351498268806196</v>
      </c>
      <c r="AK1530">
        <v>308.43386260857199</v>
      </c>
      <c r="AL1530">
        <v>91.865555925115302</v>
      </c>
      <c r="AM1530">
        <v>82.985829012854694</v>
      </c>
      <c r="AN1530">
        <v>0.99999998683242697</v>
      </c>
    </row>
    <row r="1531" spans="1:40" x14ac:dyDescent="0.25">
      <c r="A1531" t="str">
        <f>"20190312161256927"</f>
        <v>20190312161256927</v>
      </c>
      <c r="B1531" t="str">
        <f>"1552378376916922"</f>
        <v>1552378376916922</v>
      </c>
      <c r="C1531" t="s">
        <v>40</v>
      </c>
      <c r="D1531">
        <v>4.5537780000000003</v>
      </c>
      <c r="E1531">
        <v>0.43077510000000002</v>
      </c>
      <c r="F1531" t="s">
        <v>73</v>
      </c>
      <c r="G1531">
        <v>-552.8605</v>
      </c>
      <c r="H1531">
        <v>5.4295119999999999</v>
      </c>
      <c r="I1531">
        <v>279.27539999999999</v>
      </c>
      <c r="J1531">
        <v>-242.83600000000001</v>
      </c>
      <c r="K1531">
        <v>1.109529</v>
      </c>
      <c r="L1531">
        <v>283.69290000000001</v>
      </c>
      <c r="M1531">
        <v>-0.99901839999999997</v>
      </c>
      <c r="N1531">
        <v>0</v>
      </c>
      <c r="O1531">
        <v>4.353431E-2</v>
      </c>
      <c r="P1531">
        <v>-0.98549379999999998</v>
      </c>
      <c r="Q1531">
        <v>-4.0373249999999999E-2</v>
      </c>
      <c r="R1531">
        <v>0.16483999999999999</v>
      </c>
      <c r="S1531">
        <v>-3.0534669999999999</v>
      </c>
      <c r="T1531">
        <v>4.252148E-2</v>
      </c>
      <c r="U1531">
        <v>-4.3395999999999997E-2</v>
      </c>
      <c r="V1531">
        <v>0.121784199999999</v>
      </c>
      <c r="W1531">
        <v>-3.2220110000000003E-2</v>
      </c>
      <c r="X1531">
        <v>0.99203350000000001</v>
      </c>
      <c r="Y1531">
        <v>-5.7718690000000003E-2</v>
      </c>
      <c r="Z1531">
        <v>1.0079519999999999E-3</v>
      </c>
      <c r="AA1531">
        <v>0.99833240000000001</v>
      </c>
      <c r="AB1531">
        <v>20</v>
      </c>
      <c r="AC1531">
        <v>-310.02449999999999</v>
      </c>
      <c r="AD1531">
        <v>4.3199829999999997</v>
      </c>
      <c r="AE1531">
        <v>-4.4175000000000102</v>
      </c>
      <c r="AF1531">
        <v>-17.906990272315799</v>
      </c>
      <c r="AG1531">
        <v>4.3199829999999997</v>
      </c>
      <c r="AH1531">
        <v>309.47815910872299</v>
      </c>
      <c r="AI1531">
        <v>89.201599574100698</v>
      </c>
      <c r="AJ1531">
        <v>93.311549526653096</v>
      </c>
      <c r="AK1531">
        <v>310.02589169141498</v>
      </c>
      <c r="AL1531">
        <v>91.846395888053195</v>
      </c>
      <c r="AM1531">
        <v>83.001263010139496</v>
      </c>
      <c r="AN1531">
        <v>0.99999999599015099</v>
      </c>
    </row>
    <row r="1532" spans="1:40" x14ac:dyDescent="0.25">
      <c r="A1532" t="str">
        <f>"20190312161256949"</f>
        <v>20190312161256949</v>
      </c>
      <c r="B1532" t="str">
        <f>"1552378376937422"</f>
        <v>1552378376937422</v>
      </c>
      <c r="C1532" t="s">
        <v>40</v>
      </c>
      <c r="D1532">
        <v>4.5318829999999997</v>
      </c>
      <c r="E1532">
        <v>0.43087910000000001</v>
      </c>
      <c r="F1532" t="s">
        <v>73</v>
      </c>
      <c r="G1532">
        <v>-549.69740000000002</v>
      </c>
      <c r="H1532">
        <v>5.5128349999999999</v>
      </c>
      <c r="I1532">
        <v>279.27940000000001</v>
      </c>
      <c r="J1532">
        <v>-243.0284</v>
      </c>
      <c r="K1532">
        <v>1.109529</v>
      </c>
      <c r="L1532">
        <v>283.70119999999997</v>
      </c>
      <c r="M1532">
        <v>-0.99902340000000001</v>
      </c>
      <c r="N1532">
        <v>0</v>
      </c>
      <c r="O1532">
        <v>4.3416589999999998E-2</v>
      </c>
      <c r="P1532">
        <v>-0.98556330000000003</v>
      </c>
      <c r="Q1532">
        <v>-3.965395E-2</v>
      </c>
      <c r="R1532">
        <v>0.1645982</v>
      </c>
      <c r="S1532">
        <v>-3.053299</v>
      </c>
      <c r="T1532">
        <v>4.3814060000000002E-2</v>
      </c>
      <c r="U1532">
        <v>-4.3914790000000002E-2</v>
      </c>
      <c r="V1532">
        <v>0.121656399999999</v>
      </c>
      <c r="W1532">
        <v>-3.1510009999999998E-2</v>
      </c>
      <c r="X1532">
        <v>0.99207199999999995</v>
      </c>
      <c r="Y1532">
        <v>-5.7770830000000002E-2</v>
      </c>
      <c r="Z1532">
        <v>1.0373310000000001E-3</v>
      </c>
      <c r="AA1532">
        <v>0.99832929999999998</v>
      </c>
      <c r="AB1532">
        <v>20</v>
      </c>
      <c r="AC1532">
        <v>-306.66899999999998</v>
      </c>
      <c r="AD1532">
        <v>4.4033059999999997</v>
      </c>
      <c r="AE1532">
        <v>-4.4217999999999602</v>
      </c>
      <c r="AF1532">
        <v>-17.7289457877994</v>
      </c>
      <c r="AG1532">
        <v>4.4033059999999997</v>
      </c>
      <c r="AH1532">
        <v>306.124723170793</v>
      </c>
      <c r="AI1532">
        <v>89.177291201674805</v>
      </c>
      <c r="AJ1532">
        <v>93.314532604032706</v>
      </c>
      <c r="AK1532">
        <v>306.66928564639602</v>
      </c>
      <c r="AL1532">
        <v>91.805689462970605</v>
      </c>
      <c r="AM1532">
        <v>83.008803376408395</v>
      </c>
      <c r="AN1532">
        <v>1.0000000067875801</v>
      </c>
    </row>
    <row r="1533" spans="1:40" x14ac:dyDescent="0.25">
      <c r="A1533" t="str">
        <f>"20190312161256971"</f>
        <v>20190312161256971</v>
      </c>
      <c r="B1533" t="str">
        <f>"1552378376967674"</f>
        <v>1552378376967674</v>
      </c>
      <c r="C1533" t="s">
        <v>40</v>
      </c>
      <c r="D1533">
        <v>4.5621499999999999</v>
      </c>
      <c r="E1533">
        <v>0.43112060000000002</v>
      </c>
      <c r="F1533" t="s">
        <v>73</v>
      </c>
      <c r="G1533">
        <v>-532.29880000000003</v>
      </c>
      <c r="H1533">
        <v>5.518605</v>
      </c>
      <c r="I1533">
        <v>279.53469999999999</v>
      </c>
      <c r="J1533">
        <v>-243.227</v>
      </c>
      <c r="K1533">
        <v>1.1095280000000001</v>
      </c>
      <c r="L1533">
        <v>283.7097</v>
      </c>
      <c r="M1533">
        <v>-0.99902880000000005</v>
      </c>
      <c r="N1533">
        <v>0</v>
      </c>
      <c r="O1533">
        <v>4.3297130000000003E-2</v>
      </c>
      <c r="P1533">
        <v>-0.98570069999999999</v>
      </c>
      <c r="Q1533">
        <v>-3.8757220000000002E-2</v>
      </c>
      <c r="R1533">
        <v>0.163988299999999</v>
      </c>
      <c r="S1533">
        <v>-3.0531619999999999</v>
      </c>
      <c r="T1533">
        <v>4.653728E-2</v>
      </c>
      <c r="U1533">
        <v>-4.397583E-2</v>
      </c>
      <c r="V1533">
        <v>0.1211594</v>
      </c>
      <c r="W1533">
        <v>-3.0620939999999999E-2</v>
      </c>
      <c r="X1533">
        <v>0.99216059999999995</v>
      </c>
      <c r="Y1533">
        <v>-5.7670730000000003E-2</v>
      </c>
      <c r="Z1533">
        <v>1.0992650000000001E-3</v>
      </c>
      <c r="AA1533">
        <v>0.99833510000000003</v>
      </c>
      <c r="AB1533">
        <v>20</v>
      </c>
      <c r="AC1533">
        <v>-289.0718</v>
      </c>
      <c r="AD1533">
        <v>4.4090769999999999</v>
      </c>
      <c r="AE1533">
        <v>-4.1750000000000096</v>
      </c>
      <c r="AF1533">
        <v>-16.683601583462298</v>
      </c>
      <c r="AG1533">
        <v>4.4090769999999999</v>
      </c>
      <c r="AH1533">
        <v>288.55281537172198</v>
      </c>
      <c r="AI1533">
        <v>89.126049940523799</v>
      </c>
      <c r="AJ1533">
        <v>93.309054236448901</v>
      </c>
      <c r="AK1533">
        <v>289.068347939955</v>
      </c>
      <c r="AL1533">
        <v>91.754725006092102</v>
      </c>
      <c r="AM1533">
        <v>83.037699092791101</v>
      </c>
      <c r="AN1533">
        <v>0.99999994918360002</v>
      </c>
    </row>
    <row r="1534" spans="1:40" x14ac:dyDescent="0.25">
      <c r="A1534" t="str">
        <f>"20190312161256995"</f>
        <v>20190312161256995</v>
      </c>
      <c r="B1534" t="str">
        <f>"1552378376987194"</f>
        <v>1552378376987194</v>
      </c>
      <c r="C1534" t="s">
        <v>40</v>
      </c>
      <c r="D1534">
        <v>4.6535960000000003</v>
      </c>
      <c r="E1534">
        <v>0.4308071</v>
      </c>
      <c r="F1534" t="s">
        <v>73</v>
      </c>
      <c r="G1534">
        <v>-520.13279999999997</v>
      </c>
      <c r="H1534">
        <v>5.5226410000000001</v>
      </c>
      <c r="I1534">
        <v>279.73180000000002</v>
      </c>
      <c r="J1534">
        <v>-243.4451</v>
      </c>
      <c r="K1534">
        <v>1.1095200000000001</v>
      </c>
      <c r="L1534">
        <v>283.71899999999999</v>
      </c>
      <c r="M1534">
        <v>-0.99903439999999999</v>
      </c>
      <c r="N1534">
        <v>0</v>
      </c>
      <c r="O1534">
        <v>4.3167539999999997E-2</v>
      </c>
      <c r="P1534">
        <v>-0.98563020000000001</v>
      </c>
      <c r="Q1534">
        <v>-3.8732000000000003E-2</v>
      </c>
      <c r="R1534">
        <v>0.16441689999999901</v>
      </c>
      <c r="S1534">
        <v>-3.0527500000000001</v>
      </c>
      <c r="T1534">
        <v>4.865324E-2</v>
      </c>
      <c r="U1534">
        <v>-4.3853759999999999E-2</v>
      </c>
      <c r="V1534">
        <v>0.1217191</v>
      </c>
      <c r="W1534">
        <v>-3.0605609999999998E-2</v>
      </c>
      <c r="X1534">
        <v>0.99209259999999999</v>
      </c>
      <c r="Y1534">
        <v>-5.7502209999999998E-2</v>
      </c>
      <c r="Z1534">
        <v>1.145989E-3</v>
      </c>
      <c r="AA1534">
        <v>0.99834469999999997</v>
      </c>
      <c r="AB1534">
        <v>20</v>
      </c>
      <c r="AC1534">
        <v>-276.68769999999898</v>
      </c>
      <c r="AD1534">
        <v>4.4131210000000003</v>
      </c>
      <c r="AE1534">
        <v>-3.9871999999999699</v>
      </c>
      <c r="AF1534">
        <v>-15.923759447026701</v>
      </c>
      <c r="AG1534">
        <v>4.4131210000000003</v>
      </c>
      <c r="AH1534">
        <v>276.18739754338498</v>
      </c>
      <c r="AI1534">
        <v>89.086082197125904</v>
      </c>
      <c r="AJ1534">
        <v>93.299771380185206</v>
      </c>
      <c r="AK1534">
        <v>276.68126122611801</v>
      </c>
      <c r="AL1534">
        <v>91.753846187354796</v>
      </c>
      <c r="AM1534">
        <v>83.005379698975304</v>
      </c>
      <c r="AN1534">
        <v>0.99999998482151997</v>
      </c>
    </row>
    <row r="1535" spans="1:40" x14ac:dyDescent="0.25">
      <c r="A1535" t="str">
        <f>"20190312161257017"</f>
        <v>20190312161257017</v>
      </c>
      <c r="B1535" t="str">
        <f>"1552378377007692"</f>
        <v>1552378377007692</v>
      </c>
      <c r="C1535" t="s">
        <v>40</v>
      </c>
      <c r="D1535">
        <v>4.5729059999999997</v>
      </c>
      <c r="E1535">
        <v>0.39354090000000003</v>
      </c>
      <c r="F1535" t="s">
        <v>73</v>
      </c>
      <c r="G1535">
        <v>-511.07549999999998</v>
      </c>
      <c r="H1535">
        <v>5.5262279999999997</v>
      </c>
      <c r="I1535">
        <v>279.7946</v>
      </c>
      <c r="J1535">
        <v>-243.64789999999999</v>
      </c>
      <c r="K1535">
        <v>1.109518</v>
      </c>
      <c r="L1535">
        <v>283.7276</v>
      </c>
      <c r="M1535">
        <v>-0.99903980000000003</v>
      </c>
      <c r="N1535">
        <v>0</v>
      </c>
      <c r="O1535">
        <v>4.3047080000000001E-2</v>
      </c>
      <c r="P1535">
        <v>-0.98554410000000003</v>
      </c>
      <c r="Q1535">
        <v>-3.8766189999999999E-2</v>
      </c>
      <c r="R1535">
        <v>0.16492490000000001</v>
      </c>
      <c r="S1535">
        <v>-3.0531769999999998</v>
      </c>
      <c r="T1535">
        <v>5.0387500000000002E-2</v>
      </c>
      <c r="U1535">
        <v>-4.4769290000000003E-2</v>
      </c>
      <c r="V1535">
        <v>0.1223501</v>
      </c>
      <c r="W1535">
        <v>-3.0653440000000001E-2</v>
      </c>
      <c r="X1535">
        <v>0.99201349999999999</v>
      </c>
      <c r="Y1535">
        <v>-5.7678189999999997E-2</v>
      </c>
      <c r="Z1535">
        <v>1.1861300000000001E-3</v>
      </c>
      <c r="AA1535">
        <v>0.99833450000000001</v>
      </c>
      <c r="AB1535">
        <v>20</v>
      </c>
      <c r="AC1535">
        <v>-267.42759999999998</v>
      </c>
      <c r="AD1535">
        <v>4.4167100000000001</v>
      </c>
      <c r="AE1535">
        <v>-3.9329999999999901</v>
      </c>
      <c r="AF1535">
        <v>-15.4375038381386</v>
      </c>
      <c r="AG1535">
        <v>4.4167100000000001</v>
      </c>
      <c r="AH1535">
        <v>266.93758541077</v>
      </c>
      <c r="AI1535">
        <v>89.053659882086393</v>
      </c>
      <c r="AJ1535">
        <v>93.309836292132999</v>
      </c>
      <c r="AK1535">
        <v>267.42007844757802</v>
      </c>
      <c r="AL1535">
        <v>91.756587935427206</v>
      </c>
      <c r="AM1535">
        <v>82.968926097432302</v>
      </c>
      <c r="AN1535">
        <v>0.99999998226804598</v>
      </c>
    </row>
    <row r="1536" spans="1:40" x14ac:dyDescent="0.25">
      <c r="A1536" t="str">
        <f>"20190312161257040"</f>
        <v>20190312161257040</v>
      </c>
      <c r="B1536" t="str">
        <f>"1552378377036971"</f>
        <v>1552378377036971</v>
      </c>
      <c r="C1536" t="s">
        <v>40</v>
      </c>
      <c r="D1536">
        <v>4.589207</v>
      </c>
      <c r="E1536">
        <v>0.38990039999999998</v>
      </c>
      <c r="F1536" t="s">
        <v>68</v>
      </c>
      <c r="G1536">
        <v>-385.33960000000002</v>
      </c>
      <c r="H1536">
        <v>3.618484</v>
      </c>
      <c r="I1536">
        <v>268.36970000000002</v>
      </c>
      <c r="J1536">
        <v>-243.86</v>
      </c>
      <c r="K1536">
        <v>1.1095139999999999</v>
      </c>
      <c r="L1536">
        <v>283.73660000000001</v>
      </c>
      <c r="M1536">
        <v>-0.99904530000000002</v>
      </c>
      <c r="N1536">
        <v>0</v>
      </c>
      <c r="O1536">
        <v>4.2920310000000003E-2</v>
      </c>
      <c r="P1536">
        <v>-0.98550409999999999</v>
      </c>
      <c r="Q1536">
        <v>-3.8110709999999999E-2</v>
      </c>
      <c r="R1536">
        <v>0.16531599999999999</v>
      </c>
      <c r="S1536">
        <v>-3.1024479999999999</v>
      </c>
      <c r="T1536">
        <v>5.4937359999999998E-2</v>
      </c>
      <c r="U1536">
        <v>-0.33627319999999999</v>
      </c>
      <c r="V1536">
        <v>0.1228682</v>
      </c>
      <c r="W1536">
        <v>-3.0014450000000002E-2</v>
      </c>
      <c r="X1536">
        <v>0.99196899999999999</v>
      </c>
      <c r="Y1536">
        <v>-0.15030109999999999</v>
      </c>
      <c r="Z1536">
        <v>2.0847930000000001E-3</v>
      </c>
      <c r="AA1536">
        <v>0.98863800000000002</v>
      </c>
      <c r="AB1536">
        <v>20</v>
      </c>
      <c r="AC1536">
        <v>-141.4796</v>
      </c>
      <c r="AD1536">
        <v>2.5089700000000001</v>
      </c>
      <c r="AE1536">
        <v>-15.3668999999999</v>
      </c>
      <c r="AF1536">
        <v>-21.418630801071298</v>
      </c>
      <c r="AG1536">
        <v>2.5089700000000001</v>
      </c>
      <c r="AH1536">
        <v>140.64592810602599</v>
      </c>
      <c r="AI1536">
        <v>88.9896602142924</v>
      </c>
      <c r="AJ1536">
        <v>98.658908025218196</v>
      </c>
      <c r="AK1536">
        <v>142.289598244773</v>
      </c>
      <c r="AL1536">
        <v>91.719959653381494</v>
      </c>
      <c r="AM1536">
        <v>82.939138867246797</v>
      </c>
      <c r="AN1536">
        <v>0.99999997937052099</v>
      </c>
    </row>
    <row r="1537" spans="1:40" x14ac:dyDescent="0.25">
      <c r="A1537" t="str">
        <f>"20190312161257062"</f>
        <v>20190312161257062</v>
      </c>
      <c r="B1537" t="str">
        <f>"1552378377057466"</f>
        <v>1552378377057466</v>
      </c>
      <c r="C1537" t="s">
        <v>40</v>
      </c>
      <c r="D1537">
        <v>4.6884690000000004</v>
      </c>
      <c r="E1537">
        <v>0.38922440000000003</v>
      </c>
      <c r="F1537" t="s">
        <v>68</v>
      </c>
      <c r="G1537">
        <v>-379.37709999999998</v>
      </c>
      <c r="H1537">
        <v>3.0748669999999998</v>
      </c>
      <c r="I1537">
        <v>267.85000000000002</v>
      </c>
      <c r="J1537">
        <v>-244.06200000000001</v>
      </c>
      <c r="K1537">
        <v>1.109513</v>
      </c>
      <c r="L1537">
        <v>283.74509999999998</v>
      </c>
      <c r="M1537">
        <v>-0.99905069999999996</v>
      </c>
      <c r="N1537">
        <v>0</v>
      </c>
      <c r="O1537">
        <v>4.2798490000000002E-2</v>
      </c>
      <c r="P1537">
        <v>-0.98539639999999995</v>
      </c>
      <c r="Q1537">
        <v>-3.8156599999999999E-2</v>
      </c>
      <c r="R1537">
        <v>0.16594610000000001</v>
      </c>
      <c r="S1537">
        <v>-3.1069490000000002</v>
      </c>
      <c r="T1537">
        <v>4.506052E-2</v>
      </c>
      <c r="U1537">
        <v>-0.36422729999999998</v>
      </c>
      <c r="V1537">
        <v>0.12362330000000001</v>
      </c>
      <c r="W1537">
        <v>-3.007518E-2</v>
      </c>
      <c r="X1537">
        <v>0.99187340000000002</v>
      </c>
      <c r="Y1537">
        <v>-0.1588137</v>
      </c>
      <c r="Z1537">
        <v>1.766487E-3</v>
      </c>
      <c r="AA1537">
        <v>0.98730700000000005</v>
      </c>
      <c r="AB1537">
        <v>21</v>
      </c>
      <c r="AC1537">
        <v>-135.31509999999901</v>
      </c>
      <c r="AD1537">
        <v>1.965354</v>
      </c>
      <c r="AE1537">
        <v>-15.8950999999999</v>
      </c>
      <c r="AF1537">
        <v>-21.667499148427101</v>
      </c>
      <c r="AG1537">
        <v>1.965354</v>
      </c>
      <c r="AH1537">
        <v>134.482813588027</v>
      </c>
      <c r="AI1537">
        <v>89.173388301982698</v>
      </c>
      <c r="AJ1537">
        <v>99.152681073226702</v>
      </c>
      <c r="AK1537">
        <v>136.231311695382</v>
      </c>
      <c r="AL1537">
        <v>91.723440694568495</v>
      </c>
      <c r="AM1537">
        <v>82.895509883055595</v>
      </c>
      <c r="AN1537">
        <v>1.00000003919124</v>
      </c>
    </row>
    <row r="1538" spans="1:40" x14ac:dyDescent="0.25">
      <c r="A1538" t="str">
        <f>"20190312161257084"</f>
        <v>20190312161257084</v>
      </c>
      <c r="B1538" t="str">
        <f>"1552378377076987"</f>
        <v>1552378377076987</v>
      </c>
      <c r="C1538" t="s">
        <v>40</v>
      </c>
      <c r="D1538">
        <v>4.687589</v>
      </c>
      <c r="E1538">
        <v>0.38855129999999999</v>
      </c>
      <c r="F1538" t="s">
        <v>68</v>
      </c>
      <c r="G1538">
        <v>-378.33240000000001</v>
      </c>
      <c r="H1538">
        <v>2.7494540000000001</v>
      </c>
      <c r="I1538">
        <v>267.85000000000002</v>
      </c>
      <c r="J1538">
        <v>-244.27090000000001</v>
      </c>
      <c r="K1538">
        <v>1.10951</v>
      </c>
      <c r="L1538">
        <v>283.75400000000002</v>
      </c>
      <c r="M1538">
        <v>-0.99905619999999995</v>
      </c>
      <c r="N1538">
        <v>0</v>
      </c>
      <c r="O1538">
        <v>4.2671889999999997E-2</v>
      </c>
      <c r="P1538">
        <v>-0.98517129999999997</v>
      </c>
      <c r="Q1538">
        <v>-3.8849250000000002E-2</v>
      </c>
      <c r="R1538">
        <v>0.1671184</v>
      </c>
      <c r="S1538">
        <v>-3.10791</v>
      </c>
      <c r="T1538">
        <v>3.7960889999999997E-2</v>
      </c>
      <c r="U1538">
        <v>-0.36791990000000002</v>
      </c>
      <c r="V1538">
        <v>0.1249299</v>
      </c>
      <c r="W1538">
        <v>-3.0781429999999999E-2</v>
      </c>
      <c r="X1538">
        <v>0.99168800000000001</v>
      </c>
      <c r="Y1538">
        <v>-0.159816299999999</v>
      </c>
      <c r="Z1538">
        <v>1.4921890000000001E-3</v>
      </c>
      <c r="AA1538">
        <v>0.98714570000000001</v>
      </c>
      <c r="AB1538">
        <v>21</v>
      </c>
      <c r="AC1538">
        <v>-134.0615</v>
      </c>
      <c r="AD1538">
        <v>1.6399439999999901</v>
      </c>
      <c r="AE1538">
        <v>-15.9039999999999</v>
      </c>
      <c r="AF1538">
        <v>-21.607170143864298</v>
      </c>
      <c r="AG1538">
        <v>1.6399439999999901</v>
      </c>
      <c r="AH1538">
        <v>133.24104305478301</v>
      </c>
      <c r="AI1538">
        <v>89.303925768234095</v>
      </c>
      <c r="AJ1538">
        <v>99.211242120645494</v>
      </c>
      <c r="AK1538">
        <v>134.991610006976</v>
      </c>
      <c r="AL1538">
        <v>91.763924595290703</v>
      </c>
      <c r="AM1538">
        <v>82.819872333600401</v>
      </c>
      <c r="AN1538">
        <v>1.0000000328454199</v>
      </c>
    </row>
    <row r="1539" spans="1:40" x14ac:dyDescent="0.25">
      <c r="A1539" t="str">
        <f>"20190312161257107"</f>
        <v>20190312161257107</v>
      </c>
      <c r="B1539" t="str">
        <f>"1552378377097482"</f>
        <v>1552378377097482</v>
      </c>
      <c r="C1539" t="s">
        <v>40</v>
      </c>
      <c r="D1539">
        <v>4.7574379999999996</v>
      </c>
      <c r="E1539">
        <v>0.38797520000000002</v>
      </c>
      <c r="F1539" t="s">
        <v>68</v>
      </c>
      <c r="G1539">
        <v>-378.226</v>
      </c>
      <c r="H1539">
        <v>2.643818</v>
      </c>
      <c r="I1539">
        <v>267.85000000000002</v>
      </c>
      <c r="J1539">
        <v>-244.48079999999999</v>
      </c>
      <c r="K1539">
        <v>1.1095079999999999</v>
      </c>
      <c r="L1539">
        <v>283.76280000000003</v>
      </c>
      <c r="M1539">
        <v>-0.9990618</v>
      </c>
      <c r="N1539">
        <v>0</v>
      </c>
      <c r="O1539">
        <v>4.2544079999999998E-2</v>
      </c>
      <c r="P1539">
        <v>-0.98505160000000003</v>
      </c>
      <c r="Q1539">
        <v>-3.9055350000000003E-2</v>
      </c>
      <c r="R1539">
        <v>0.16777439999999999</v>
      </c>
      <c r="S1539">
        <v>-3.1091769999999999</v>
      </c>
      <c r="T1539">
        <v>3.5614010000000001E-2</v>
      </c>
      <c r="U1539">
        <v>-0.36914059999999999</v>
      </c>
      <c r="V1539">
        <v>0.1257172</v>
      </c>
      <c r="W1539">
        <v>-3.0999309999999999E-2</v>
      </c>
      <c r="X1539">
        <v>0.99158170000000001</v>
      </c>
      <c r="Y1539">
        <v>-0.160027</v>
      </c>
      <c r="Z1539">
        <v>1.3990879999999999E-3</v>
      </c>
      <c r="AA1539">
        <v>0.98711159999999998</v>
      </c>
      <c r="AB1539">
        <v>21</v>
      </c>
      <c r="AC1539">
        <v>-133.74520000000001</v>
      </c>
      <c r="AD1539">
        <v>1.5343100000000001</v>
      </c>
      <c r="AE1539">
        <v>-15.912800000000001</v>
      </c>
      <c r="AF1539">
        <v>-21.585843230659702</v>
      </c>
      <c r="AG1539">
        <v>1.5343100000000001</v>
      </c>
      <c r="AH1539">
        <v>132.92983036492799</v>
      </c>
      <c r="AI1539">
        <v>89.347256205915798</v>
      </c>
      <c r="AJ1539">
        <v>99.223480370757599</v>
      </c>
      <c r="AK1539">
        <v>134.679777754507</v>
      </c>
      <c r="AL1539">
        <v>91.776414183016996</v>
      </c>
      <c r="AM1539">
        <v>82.774333965070298</v>
      </c>
      <c r="AN1539">
        <v>1.0000000196856</v>
      </c>
    </row>
    <row r="1540" spans="1:40" x14ac:dyDescent="0.25">
      <c r="A1540" t="str">
        <f>"20190312161257128"</f>
        <v>20190312161257128</v>
      </c>
      <c r="B1540" t="str">
        <f>"1552378377117003"</f>
        <v>1552378377117003</v>
      </c>
      <c r="C1540" t="s">
        <v>40</v>
      </c>
      <c r="D1540">
        <v>4.8268060000000004</v>
      </c>
      <c r="E1540">
        <v>0.38762799999999997</v>
      </c>
      <c r="F1540" t="s">
        <v>68</v>
      </c>
      <c r="G1540">
        <v>-377.70350000000002</v>
      </c>
      <c r="H1540">
        <v>2.5468459999999999</v>
      </c>
      <c r="I1540">
        <v>267.85000000000002</v>
      </c>
      <c r="J1540">
        <v>-244.6763</v>
      </c>
      <c r="K1540">
        <v>1.109504</v>
      </c>
      <c r="L1540">
        <v>283.77089999999998</v>
      </c>
      <c r="M1540">
        <v>-0.99906689999999998</v>
      </c>
      <c r="N1540">
        <v>0</v>
      </c>
      <c r="O1540">
        <v>4.2423710000000003E-2</v>
      </c>
      <c r="P1540">
        <v>-0.98506590000000005</v>
      </c>
      <c r="Q1540">
        <v>-3.8274280000000001E-2</v>
      </c>
      <c r="R1540">
        <v>0.1678704</v>
      </c>
      <c r="S1540">
        <v>-3.1101380000000001</v>
      </c>
      <c r="T1540">
        <v>3.3556820000000001E-2</v>
      </c>
      <c r="U1540">
        <v>-0.3714905</v>
      </c>
      <c r="V1540">
        <v>0.12593199999999999</v>
      </c>
      <c r="W1540">
        <v>-3.0227730000000001E-2</v>
      </c>
      <c r="X1540">
        <v>0.99157819999999997</v>
      </c>
      <c r="Y1540">
        <v>-0.16060920000000001</v>
      </c>
      <c r="Z1540">
        <v>1.319649E-3</v>
      </c>
      <c r="AA1540">
        <v>0.98701719999999904</v>
      </c>
      <c r="AB1540">
        <v>21</v>
      </c>
      <c r="AC1540">
        <v>-133.02719999999999</v>
      </c>
      <c r="AD1540">
        <v>1.4373419999999999</v>
      </c>
      <c r="AE1540">
        <v>-15.9208999999999</v>
      </c>
      <c r="AF1540">
        <v>-21.547777894711899</v>
      </c>
      <c r="AG1540">
        <v>1.4373419999999999</v>
      </c>
      <c r="AH1540">
        <v>132.216765478676</v>
      </c>
      <c r="AI1540">
        <v>89.385265855153605</v>
      </c>
      <c r="AJ1540">
        <v>99.256294267464995</v>
      </c>
      <c r="AK1540">
        <v>133.96882382803901</v>
      </c>
      <c r="AL1540">
        <v>91.732185286148393</v>
      </c>
      <c r="AM1540">
        <v>82.762093752447399</v>
      </c>
      <c r="AN1540">
        <v>0.99999995550009502</v>
      </c>
    </row>
    <row r="1541" spans="1:40" x14ac:dyDescent="0.25">
      <c r="A1541" t="str">
        <f>"20190312161257150"</f>
        <v>20190312161257150</v>
      </c>
      <c r="B1541" t="str">
        <f>"1552378377147258"</f>
        <v>1552378377147258</v>
      </c>
      <c r="C1541" t="s">
        <v>40</v>
      </c>
      <c r="D1541">
        <v>4.8835240000000004</v>
      </c>
      <c r="E1541">
        <v>0.38712790000000002</v>
      </c>
      <c r="F1541" t="s">
        <v>68</v>
      </c>
      <c r="G1541">
        <v>-376.95460000000003</v>
      </c>
      <c r="H1541">
        <v>2.525957</v>
      </c>
      <c r="I1541">
        <v>267.85000000000002</v>
      </c>
      <c r="J1541">
        <v>-244.88210000000001</v>
      </c>
      <c r="K1541">
        <v>1.109505</v>
      </c>
      <c r="L1541">
        <v>283.77960000000002</v>
      </c>
      <c r="M1541">
        <v>-0.99907259999999998</v>
      </c>
      <c r="N1541">
        <v>0</v>
      </c>
      <c r="O1541">
        <v>4.2293730000000002E-2</v>
      </c>
      <c r="P1541">
        <v>-0.98510120000000001</v>
      </c>
      <c r="Q1541">
        <v>-3.8332600000000001E-2</v>
      </c>
      <c r="R1541">
        <v>0.16764999999999999</v>
      </c>
      <c r="S1541">
        <v>-3.1105960000000001</v>
      </c>
      <c r="T1541">
        <v>3.3310409999999999E-2</v>
      </c>
      <c r="U1541">
        <v>-0.37438959999999999</v>
      </c>
      <c r="V1541">
        <v>0.12583939999999999</v>
      </c>
      <c r="W1541">
        <v>-3.0294660000000001E-2</v>
      </c>
      <c r="X1541">
        <v>0.99158789999999997</v>
      </c>
      <c r="Y1541">
        <v>-0.1613706</v>
      </c>
      <c r="Z1541">
        <v>1.3123729999999999E-3</v>
      </c>
      <c r="AA1541">
        <v>0.98689300000000002</v>
      </c>
      <c r="AB1541">
        <v>21</v>
      </c>
      <c r="AC1541">
        <v>-132.07249999999999</v>
      </c>
      <c r="AD1541">
        <v>1.416452</v>
      </c>
      <c r="AE1541">
        <v>-15.929599999999899</v>
      </c>
      <c r="AF1541">
        <v>-21.498928907940002</v>
      </c>
      <c r="AG1541">
        <v>1.416452</v>
      </c>
      <c r="AH1541">
        <v>131.26569040678399</v>
      </c>
      <c r="AI1541">
        <v>89.389889152514797</v>
      </c>
      <c r="AJ1541">
        <v>99.301423079460903</v>
      </c>
      <c r="AK1541">
        <v>133.02214762372</v>
      </c>
      <c r="AL1541">
        <v>91.736021872951099</v>
      </c>
      <c r="AM1541">
        <v>82.767429534877195</v>
      </c>
      <c r="AN1541">
        <v>0.99999994222164101</v>
      </c>
    </row>
    <row r="1542" spans="1:40" x14ac:dyDescent="0.25">
      <c r="A1542" t="str">
        <f>"20190312161257162"</f>
        <v>20190312161257162</v>
      </c>
      <c r="B1542" t="str">
        <f>"1552378377157019"</f>
        <v>1552378377157019</v>
      </c>
      <c r="C1542" t="s">
        <v>40</v>
      </c>
      <c r="D1542">
        <v>4.9148610000000001</v>
      </c>
      <c r="E1542">
        <v>0.38692690000000002</v>
      </c>
      <c r="F1542" t="s">
        <v>68</v>
      </c>
      <c r="G1542">
        <v>-371.33359999999999</v>
      </c>
      <c r="H1542">
        <v>2.252739</v>
      </c>
      <c r="I1542">
        <v>268.36970000000002</v>
      </c>
      <c r="J1542">
        <v>-245.0025</v>
      </c>
      <c r="K1542">
        <v>1.1095090000000001</v>
      </c>
      <c r="L1542">
        <v>283.78460000000001</v>
      </c>
      <c r="M1542">
        <v>-0.99907590000000002</v>
      </c>
      <c r="N1542">
        <v>0</v>
      </c>
      <c r="O1542">
        <v>4.221602E-2</v>
      </c>
      <c r="P1542">
        <v>-0.98506919999999998</v>
      </c>
      <c r="Q1542">
        <v>-3.8394869999999998E-2</v>
      </c>
      <c r="R1542">
        <v>0.167824</v>
      </c>
      <c r="S1542">
        <v>-3.111008</v>
      </c>
      <c r="T1542">
        <v>2.8128029999999998E-2</v>
      </c>
      <c r="U1542">
        <v>-0.37911990000000001</v>
      </c>
      <c r="V1542">
        <v>0.12609189999999901</v>
      </c>
      <c r="W1542">
        <v>-3.0361570000000001E-2</v>
      </c>
      <c r="X1542">
        <v>0.99155380000000004</v>
      </c>
      <c r="Y1542">
        <v>-0.1627603</v>
      </c>
      <c r="Z1542">
        <v>1.11352E-3</v>
      </c>
      <c r="AA1542">
        <v>0.98666500000000001</v>
      </c>
      <c r="AB1542">
        <v>21</v>
      </c>
      <c r="AC1542">
        <v>-126.33110000000001</v>
      </c>
      <c r="AD1542">
        <v>1.14323</v>
      </c>
      <c r="AE1542">
        <v>-15.4148999999999</v>
      </c>
      <c r="AF1542">
        <v>-20.7328538450164</v>
      </c>
      <c r="AG1542">
        <v>1.14323</v>
      </c>
      <c r="AH1542">
        <v>125.557560932613</v>
      </c>
      <c r="AI1542">
        <v>89.485292983749005</v>
      </c>
      <c r="AJ1542">
        <v>99.376428895913605</v>
      </c>
      <c r="AK1542">
        <v>127.262953410403</v>
      </c>
      <c r="AL1542">
        <v>91.739857258033297</v>
      </c>
      <c r="AM1542">
        <v>82.752824751757203</v>
      </c>
      <c r="AN1542">
        <v>0.99999996523645596</v>
      </c>
    </row>
    <row r="1543" spans="1:40" x14ac:dyDescent="0.25">
      <c r="A1543" t="str">
        <f>"20190312161257184"</f>
        <v>20190312161257184</v>
      </c>
      <c r="B1543" t="str">
        <f>"1552378377177515"</f>
        <v>1552378377177515</v>
      </c>
      <c r="C1543" t="s">
        <v>40</v>
      </c>
      <c r="D1543">
        <v>4.9380629999999996</v>
      </c>
      <c r="E1543">
        <v>0.38668360000000002</v>
      </c>
      <c r="F1543" t="s">
        <v>68</v>
      </c>
      <c r="G1543">
        <v>-371.22</v>
      </c>
      <c r="H1543">
        <v>2.208704</v>
      </c>
      <c r="I1543">
        <v>268.36970000000002</v>
      </c>
      <c r="J1543">
        <v>-245.19929999999999</v>
      </c>
      <c r="K1543">
        <v>1.109513</v>
      </c>
      <c r="L1543">
        <v>283.79270000000002</v>
      </c>
      <c r="M1543">
        <v>-0.99908140000000001</v>
      </c>
      <c r="N1543">
        <v>0</v>
      </c>
      <c r="O1543">
        <v>4.2086140000000001E-2</v>
      </c>
      <c r="P1543">
        <v>-0.98502829999999997</v>
      </c>
      <c r="Q1543">
        <v>-3.8663610000000001E-2</v>
      </c>
      <c r="R1543">
        <v>0.1680015</v>
      </c>
      <c r="S1543">
        <v>-3.111237</v>
      </c>
      <c r="T1543">
        <v>2.7096749999999999E-2</v>
      </c>
      <c r="U1543">
        <v>-0.37997439999999999</v>
      </c>
      <c r="V1543">
        <v>0.12640000000000001</v>
      </c>
      <c r="W1543">
        <v>-3.0636739999999999E-2</v>
      </c>
      <c r="X1543">
        <v>0.9915062</v>
      </c>
      <c r="Y1543">
        <v>-0.16289100000000001</v>
      </c>
      <c r="Z1543">
        <v>1.0720390000000001E-3</v>
      </c>
      <c r="AA1543">
        <v>0.98664350000000001</v>
      </c>
      <c r="AB1543">
        <v>21</v>
      </c>
      <c r="AC1543">
        <v>-126.02070000000001</v>
      </c>
      <c r="AD1543">
        <v>1.099191</v>
      </c>
      <c r="AE1543">
        <v>-15.423</v>
      </c>
      <c r="AF1543">
        <v>-20.711679153633899</v>
      </c>
      <c r="AG1543">
        <v>1.099191</v>
      </c>
      <c r="AH1543">
        <v>125.250532669848</v>
      </c>
      <c r="AI1543">
        <v>89.503925055177803</v>
      </c>
      <c r="AJ1543">
        <v>99.389575537929503</v>
      </c>
      <c r="AK1543">
        <v>126.95620429226</v>
      </c>
      <c r="AL1543">
        <v>91.755630514620407</v>
      </c>
      <c r="AM1543">
        <v>82.734960516104096</v>
      </c>
      <c r="AN1543">
        <v>1.00000005723813</v>
      </c>
    </row>
    <row r="1544" spans="1:40" x14ac:dyDescent="0.25">
      <c r="A1544" t="str">
        <f>"20190312161257206"</f>
        <v>20190312161257206</v>
      </c>
      <c r="B1544" t="str">
        <f>"1552378377197036"</f>
        <v>1552378377197036</v>
      </c>
      <c r="C1544" t="s">
        <v>40</v>
      </c>
      <c r="D1544">
        <v>4.9360379999999999</v>
      </c>
      <c r="E1544">
        <v>0.38639319999999999</v>
      </c>
      <c r="F1544" t="s">
        <v>68</v>
      </c>
      <c r="G1544">
        <v>-371.03339999999997</v>
      </c>
      <c r="H1544">
        <v>2.1169129999999998</v>
      </c>
      <c r="I1544">
        <v>268.36970000000002</v>
      </c>
      <c r="J1544">
        <v>-245.4151</v>
      </c>
      <c r="K1544">
        <v>1.109521</v>
      </c>
      <c r="L1544">
        <v>283.80169999999998</v>
      </c>
      <c r="M1544">
        <v>-0.99908790000000003</v>
      </c>
      <c r="N1544">
        <v>0</v>
      </c>
      <c r="O1544">
        <v>4.1934470000000001E-2</v>
      </c>
      <c r="P1544">
        <v>-0.98502699999999999</v>
      </c>
      <c r="Q1544">
        <v>-3.8168580000000001E-2</v>
      </c>
      <c r="R1544">
        <v>0.1681232</v>
      </c>
      <c r="S1544">
        <v>-3.1116030000000001</v>
      </c>
      <c r="T1544">
        <v>2.49126E-2</v>
      </c>
      <c r="U1544">
        <v>-0.3813782</v>
      </c>
      <c r="V1544">
        <v>0.1266726</v>
      </c>
      <c r="W1544">
        <v>-3.01465E-2</v>
      </c>
      <c r="X1544">
        <v>0.99148639999999999</v>
      </c>
      <c r="Y1544">
        <v>-0.163166899999999</v>
      </c>
      <c r="Z1544">
        <v>9.8537790000000004E-4</v>
      </c>
      <c r="AA1544">
        <v>0.98659799999999997</v>
      </c>
      <c r="AB1544">
        <v>21</v>
      </c>
      <c r="AC1544">
        <v>-125.618299999999</v>
      </c>
      <c r="AD1544">
        <v>1.0073920000000001</v>
      </c>
      <c r="AE1544">
        <v>-15.431999999999899</v>
      </c>
      <c r="AF1544">
        <v>-20.685021745459299</v>
      </c>
      <c r="AG1544">
        <v>1.0073920000000001</v>
      </c>
      <c r="AH1544">
        <v>124.85273048623201</v>
      </c>
      <c r="AI1544">
        <v>89.543927466349402</v>
      </c>
      <c r="AJ1544">
        <v>99.407051026156097</v>
      </c>
      <c r="AK1544">
        <v>126.558639662093</v>
      </c>
      <c r="AL1544">
        <v>91.727528915913297</v>
      </c>
      <c r="AM1544">
        <v>82.719316505005693</v>
      </c>
      <c r="AN1544">
        <v>1.00000002021898</v>
      </c>
    </row>
    <row r="1545" spans="1:40" x14ac:dyDescent="0.25">
      <c r="A1545" t="str">
        <f>"20190312161257219"</f>
        <v>20190312161257219</v>
      </c>
      <c r="B1545" t="str">
        <f>"1552378377217530"</f>
        <v>1552378377217530</v>
      </c>
      <c r="C1545" t="s">
        <v>40</v>
      </c>
      <c r="D1545">
        <v>4.9898600000000002</v>
      </c>
      <c r="E1545">
        <v>0.38626559999999999</v>
      </c>
      <c r="F1545" t="s">
        <v>68</v>
      </c>
      <c r="G1545">
        <v>-370.69600000000003</v>
      </c>
      <c r="H1545">
        <v>2.11286</v>
      </c>
      <c r="I1545">
        <v>268.36970000000002</v>
      </c>
      <c r="J1545">
        <v>-245.53120000000001</v>
      </c>
      <c r="K1545">
        <v>1.1095269999999999</v>
      </c>
      <c r="L1545">
        <v>283.80650000000003</v>
      </c>
      <c r="M1545">
        <v>-0.99909159999999997</v>
      </c>
      <c r="N1545">
        <v>0</v>
      </c>
      <c r="O1545">
        <v>4.1845319999999998E-2</v>
      </c>
      <c r="P1545">
        <v>-0.98506899999999997</v>
      </c>
      <c r="Q1545">
        <v>-3.7467029999999998E-2</v>
      </c>
      <c r="R1545">
        <v>0.16803370000000001</v>
      </c>
      <c r="S1545">
        <v>-3.1119840000000001</v>
      </c>
      <c r="T1545">
        <v>2.4924760000000001E-2</v>
      </c>
      <c r="U1545">
        <v>-0.38333129999999999</v>
      </c>
      <c r="V1545">
        <v>0.12667010000000001</v>
      </c>
      <c r="W1545">
        <v>-2.9446159999999999E-2</v>
      </c>
      <c r="X1545">
        <v>0.99150780000000005</v>
      </c>
      <c r="Y1545">
        <v>-0.16367429999999999</v>
      </c>
      <c r="Z1545">
        <v>9.8701480000000009E-4</v>
      </c>
      <c r="AA1545">
        <v>0.986514</v>
      </c>
      <c r="AB1545">
        <v>21</v>
      </c>
      <c r="AC1545">
        <v>-125.164799999999</v>
      </c>
      <c r="AD1545">
        <v>1.00333299999999</v>
      </c>
      <c r="AE1545">
        <v>-15.4368</v>
      </c>
      <c r="AF1545">
        <v>-20.659701578517101</v>
      </c>
      <c r="AG1545">
        <v>1.00333299999999</v>
      </c>
      <c r="AH1545">
        <v>124.401308356808</v>
      </c>
      <c r="AI1545">
        <v>89.544146028266098</v>
      </c>
      <c r="AJ1545">
        <v>99.429225131793999</v>
      </c>
      <c r="AK1545">
        <v>126.10914109337099</v>
      </c>
      <c r="AL1545">
        <v>91.687384508170197</v>
      </c>
      <c r="AM1545">
        <v>82.719614106237003</v>
      </c>
      <c r="AN1545">
        <v>1.0000000540167899</v>
      </c>
    </row>
    <row r="1546" spans="1:40" x14ac:dyDescent="0.25">
      <c r="A1546" t="str">
        <f>"20190312161257240"</f>
        <v>20190312161257240</v>
      </c>
      <c r="B1546" t="str">
        <f>"1552378377237051"</f>
        <v>1552378377237051</v>
      </c>
      <c r="C1546" t="s">
        <v>40</v>
      </c>
      <c r="D1546">
        <v>5.010459</v>
      </c>
      <c r="E1546">
        <v>0.38611060000000003</v>
      </c>
      <c r="F1546" t="s">
        <v>68</v>
      </c>
      <c r="G1546">
        <v>-370.40269999999998</v>
      </c>
      <c r="H1546">
        <v>2.0485820000000001</v>
      </c>
      <c r="I1546">
        <v>268.36970000000002</v>
      </c>
      <c r="J1546">
        <v>-245.73249999999999</v>
      </c>
      <c r="K1546">
        <v>1.10954</v>
      </c>
      <c r="L1546">
        <v>283.81470000000002</v>
      </c>
      <c r="M1546">
        <v>-0.9990985</v>
      </c>
      <c r="N1546">
        <v>0</v>
      </c>
      <c r="O1546">
        <v>4.1679889999999997E-2</v>
      </c>
      <c r="P1546">
        <v>-0.98514360000000001</v>
      </c>
      <c r="Q1546">
        <v>-3.6889320000000003E-2</v>
      </c>
      <c r="R1546">
        <v>0.16772379999999901</v>
      </c>
      <c r="S1546">
        <v>-3.1119539999999999</v>
      </c>
      <c r="T1546">
        <v>2.340424E-2</v>
      </c>
      <c r="U1546">
        <v>-0.38470460000000001</v>
      </c>
      <c r="V1546">
        <v>0.1265222</v>
      </c>
      <c r="W1546">
        <v>-2.8869559999999999E-2</v>
      </c>
      <c r="X1546">
        <v>0.99154359999999997</v>
      </c>
      <c r="Y1546">
        <v>-0.1639417</v>
      </c>
      <c r="Z1546">
        <v>9.2655050000000001E-4</v>
      </c>
      <c r="AA1546">
        <v>0.98646959999999995</v>
      </c>
      <c r="AB1546">
        <v>21</v>
      </c>
      <c r="AC1546">
        <v>-124.67019999999999</v>
      </c>
      <c r="AD1546">
        <v>0.93904200000000004</v>
      </c>
      <c r="AE1546">
        <v>-15.444999999999901</v>
      </c>
      <c r="AF1546">
        <v>-20.626834150795698</v>
      </c>
      <c r="AG1546">
        <v>0.93904200000000004</v>
      </c>
      <c r="AH1546">
        <v>123.911165977908</v>
      </c>
      <c r="AI1546">
        <v>89.571694431579402</v>
      </c>
      <c r="AJ1546">
        <v>99.451062340076106</v>
      </c>
      <c r="AK1546">
        <v>125.619764133543</v>
      </c>
      <c r="AL1546">
        <v>91.654333775619094</v>
      </c>
      <c r="AM1546">
        <v>82.728283383651998</v>
      </c>
      <c r="AN1546">
        <v>1.0000000146441901</v>
      </c>
    </row>
    <row r="1547" spans="1:40" x14ac:dyDescent="0.25">
      <c r="A1547" t="str">
        <f>"20190312161257263"</f>
        <v>20190312161257263</v>
      </c>
      <c r="B1547" t="str">
        <f>"1552378377257548"</f>
        <v>1552378377257548</v>
      </c>
      <c r="C1547" t="s">
        <v>40</v>
      </c>
      <c r="D1547">
        <v>5.0524809999999896</v>
      </c>
      <c r="E1547">
        <v>0.38597530000000002</v>
      </c>
      <c r="F1547" t="s">
        <v>68</v>
      </c>
      <c r="G1547">
        <v>-369.87209999999999</v>
      </c>
      <c r="H1547">
        <v>1.92811</v>
      </c>
      <c r="I1547">
        <v>268.36970000000002</v>
      </c>
      <c r="J1547">
        <v>-245.9444</v>
      </c>
      <c r="K1547">
        <v>1.1095549999999901</v>
      </c>
      <c r="L1547">
        <v>283.82330000000002</v>
      </c>
      <c r="M1547">
        <v>-0.99910659999999896</v>
      </c>
      <c r="N1547">
        <v>0</v>
      </c>
      <c r="O1547">
        <v>4.1487490000000002E-2</v>
      </c>
      <c r="P1547">
        <v>-0.98505229999999999</v>
      </c>
      <c r="Q1547">
        <v>-3.7193299999999999E-2</v>
      </c>
      <c r="R1547">
        <v>0.16819249999999999</v>
      </c>
      <c r="S1547">
        <v>-3.1119379999999999</v>
      </c>
      <c r="T1547">
        <v>2.052176E-2</v>
      </c>
      <c r="U1547">
        <v>-0.38717649999999998</v>
      </c>
      <c r="V1547">
        <v>0.1271861</v>
      </c>
      <c r="W1547">
        <v>-2.9174309999999998E-2</v>
      </c>
      <c r="X1547">
        <v>0.99144969999999999</v>
      </c>
      <c r="Y1547">
        <v>-0.16452530000000001</v>
      </c>
      <c r="Z1547">
        <v>8.1305639999999996E-4</v>
      </c>
      <c r="AA1547">
        <v>0.98637249999999999</v>
      </c>
      <c r="AB1547">
        <v>21</v>
      </c>
      <c r="AC1547">
        <v>-123.9277</v>
      </c>
      <c r="AD1547">
        <v>0.81855499999999903</v>
      </c>
      <c r="AE1547">
        <v>-15.4535999999999</v>
      </c>
      <c r="AF1547">
        <v>-20.581025582497499</v>
      </c>
      <c r="AG1547">
        <v>0.81855499999999903</v>
      </c>
      <c r="AH1547">
        <v>123.17455089422501</v>
      </c>
      <c r="AI1547">
        <v>89.624453299734299</v>
      </c>
      <c r="AJ1547">
        <v>99.485825166222497</v>
      </c>
      <c r="AK1547">
        <v>124.884821472865</v>
      </c>
      <c r="AL1547">
        <v>91.671802086902005</v>
      </c>
      <c r="AM1547">
        <v>82.689853314334698</v>
      </c>
      <c r="AN1547">
        <v>0.99999997601363699</v>
      </c>
    </row>
    <row r="1548" spans="1:40" x14ac:dyDescent="0.25">
      <c r="A1548" t="str">
        <f>"20190312161257285"</f>
        <v>20190312161257285</v>
      </c>
      <c r="B1548" t="str">
        <f>"1552378377277067"</f>
        <v>1552378377277067</v>
      </c>
      <c r="C1548" t="s">
        <v>40</v>
      </c>
      <c r="D1548">
        <v>5.0619360000000002</v>
      </c>
      <c r="E1548">
        <v>0.3858047</v>
      </c>
      <c r="F1548" t="s">
        <v>68</v>
      </c>
      <c r="G1548">
        <v>-370.27390000000003</v>
      </c>
      <c r="H1548">
        <v>1.815968</v>
      </c>
      <c r="I1548">
        <v>268.36970000000002</v>
      </c>
      <c r="J1548">
        <v>-246.15530000000001</v>
      </c>
      <c r="K1548">
        <v>1.109569</v>
      </c>
      <c r="L1548">
        <v>283.83179999999999</v>
      </c>
      <c r="M1548">
        <v>-0.99911530000000004</v>
      </c>
      <c r="N1548">
        <v>0</v>
      </c>
      <c r="O1548">
        <v>4.127774E-2</v>
      </c>
      <c r="P1548">
        <v>-0.98509749999999996</v>
      </c>
      <c r="Q1548">
        <v>-3.7222039999999998E-2</v>
      </c>
      <c r="R1548">
        <v>0.1679213</v>
      </c>
      <c r="S1548">
        <v>-3.1122589999999999</v>
      </c>
      <c r="T1548">
        <v>1.768494E-2</v>
      </c>
      <c r="U1548">
        <v>-0.38684079999999998</v>
      </c>
      <c r="V1548">
        <v>0.1271226</v>
      </c>
      <c r="W1548">
        <v>-2.9202240000000001E-2</v>
      </c>
      <c r="X1548">
        <v>0.99145700000000003</v>
      </c>
      <c r="Y1548">
        <v>-0.16420209999999999</v>
      </c>
      <c r="Z1548">
        <v>6.9849579999999999E-4</v>
      </c>
      <c r="AA1548">
        <v>0.98642649999999998</v>
      </c>
      <c r="AB1548">
        <v>21</v>
      </c>
      <c r="AC1548">
        <v>-124.1186</v>
      </c>
      <c r="AD1548">
        <v>0.706399</v>
      </c>
      <c r="AE1548">
        <v>-15.4620999999999</v>
      </c>
      <c r="AF1548">
        <v>-20.571766022052799</v>
      </c>
      <c r="AG1548">
        <v>0.706399</v>
      </c>
      <c r="AH1548">
        <v>123.370611953398</v>
      </c>
      <c r="AI1548">
        <v>89.676405559532299</v>
      </c>
      <c r="AJ1548">
        <v>99.466839638220307</v>
      </c>
      <c r="AK1548">
        <v>125.075994701498</v>
      </c>
      <c r="AL1548">
        <v>91.673403076104904</v>
      </c>
      <c r="AM1548">
        <v>82.693516806075607</v>
      </c>
      <c r="AN1548">
        <v>0.99999995455038704</v>
      </c>
    </row>
    <row r="1549" spans="1:40" x14ac:dyDescent="0.25">
      <c r="A1549" t="str">
        <f>"20190312161257308"</f>
        <v>20190312161257308</v>
      </c>
      <c r="B1549" t="str">
        <f>"1552378377297566"</f>
        <v>1552378377297566</v>
      </c>
      <c r="C1549" t="s">
        <v>40</v>
      </c>
      <c r="D1549">
        <v>5.1059159999999997</v>
      </c>
      <c r="E1549">
        <v>0.38569360000000003</v>
      </c>
      <c r="F1549" t="s">
        <v>68</v>
      </c>
      <c r="G1549">
        <v>-369.82350000000002</v>
      </c>
      <c r="H1549">
        <v>1.7292289999999999</v>
      </c>
      <c r="I1549">
        <v>268.36970000000002</v>
      </c>
      <c r="J1549">
        <v>-246.3707</v>
      </c>
      <c r="K1549">
        <v>1.1095820000000001</v>
      </c>
      <c r="L1549">
        <v>283.84050000000002</v>
      </c>
      <c r="M1549">
        <v>-0.99912489999999998</v>
      </c>
      <c r="N1549">
        <v>0</v>
      </c>
      <c r="O1549">
        <v>4.1045699999999997E-2</v>
      </c>
      <c r="P1549">
        <v>-0.98527229999999999</v>
      </c>
      <c r="Q1549">
        <v>-3.6651009999999998E-2</v>
      </c>
      <c r="R1549">
        <v>0.16701930000000001</v>
      </c>
      <c r="S1549">
        <v>-3.1123050000000001</v>
      </c>
      <c r="T1549">
        <v>1.5596509999999999E-2</v>
      </c>
      <c r="U1549">
        <v>-0.38912960000000002</v>
      </c>
      <c r="V1549">
        <v>0.126445</v>
      </c>
      <c r="W1549">
        <v>-2.8629470000000001E-2</v>
      </c>
      <c r="X1549">
        <v>0.99156040000000001</v>
      </c>
      <c r="Y1549">
        <v>-0.16468629999999901</v>
      </c>
      <c r="Z1549">
        <v>6.1602420000000002E-4</v>
      </c>
      <c r="AA1549">
        <v>0.98634580000000005</v>
      </c>
      <c r="AB1549">
        <v>21</v>
      </c>
      <c r="AC1549">
        <v>-123.4528</v>
      </c>
      <c r="AD1549">
        <v>0.61964699999999995</v>
      </c>
      <c r="AE1549">
        <v>-15.470799999999899</v>
      </c>
      <c r="AF1549">
        <v>-20.5246228476597</v>
      </c>
      <c r="AG1549">
        <v>0.61964699999999995</v>
      </c>
      <c r="AH1549">
        <v>122.710681854524</v>
      </c>
      <c r="AI1549">
        <v>89.714642339506398</v>
      </c>
      <c r="AJ1549">
        <v>99.495411255112202</v>
      </c>
      <c r="AK1549">
        <v>124.416861986813</v>
      </c>
      <c r="AL1549">
        <v>91.640571958249893</v>
      </c>
      <c r="AM1549">
        <v>82.732794728312996</v>
      </c>
      <c r="AN1549">
        <v>1.00000000571282</v>
      </c>
    </row>
    <row r="1550" spans="1:40" x14ac:dyDescent="0.25">
      <c r="A1550" t="str">
        <f>"20190312161257320"</f>
        <v>20190312161257320</v>
      </c>
      <c r="B1550" t="str">
        <f>"1552378377317082"</f>
        <v>1552378377317082</v>
      </c>
      <c r="C1550" t="s">
        <v>40</v>
      </c>
      <c r="D1550">
        <v>4.9582329999999999</v>
      </c>
      <c r="E1550">
        <v>0.38560410000000001</v>
      </c>
      <c r="F1550" t="s">
        <v>68</v>
      </c>
      <c r="G1550">
        <v>-368.88310000000001</v>
      </c>
      <c r="H1550">
        <v>1.639273</v>
      </c>
      <c r="I1550">
        <v>268.36970000000002</v>
      </c>
      <c r="J1550">
        <v>-246.49100000000001</v>
      </c>
      <c r="K1550">
        <v>1.109586</v>
      </c>
      <c r="L1550">
        <v>283.84530000000001</v>
      </c>
      <c r="M1550">
        <v>-0.99913050000000003</v>
      </c>
      <c r="N1550">
        <v>0</v>
      </c>
      <c r="O1550">
        <v>4.0907800000000001E-2</v>
      </c>
      <c r="P1550">
        <v>-0.98533899999999996</v>
      </c>
      <c r="Q1550">
        <v>-3.6266590000000001E-2</v>
      </c>
      <c r="R1550">
        <v>0.16670979999999999</v>
      </c>
      <c r="S1550">
        <v>-3.1119379999999999</v>
      </c>
      <c r="T1550">
        <v>1.345646E-2</v>
      </c>
      <c r="U1550">
        <v>-0.39297490000000002</v>
      </c>
      <c r="V1550">
        <v>0.1262701</v>
      </c>
      <c r="W1550">
        <v>-2.8247069999999999E-2</v>
      </c>
      <c r="X1550">
        <v>0.99159370000000002</v>
      </c>
      <c r="Y1550">
        <v>-0.16576479999999999</v>
      </c>
      <c r="Z1550">
        <v>5.332491E-4</v>
      </c>
      <c r="AA1550">
        <v>0.98616519999999996</v>
      </c>
      <c r="AB1550">
        <v>21</v>
      </c>
      <c r="AC1550">
        <v>-122.3921</v>
      </c>
      <c r="AD1550">
        <v>0.52968700000000002</v>
      </c>
      <c r="AE1550">
        <v>-15.475599999999901</v>
      </c>
      <c r="AF1550">
        <v>-20.469221347346</v>
      </c>
      <c r="AG1550">
        <v>0.52968700000000002</v>
      </c>
      <c r="AH1550">
        <v>121.6543061058</v>
      </c>
      <c r="AI1550">
        <v>89.753991759465805</v>
      </c>
      <c r="AJ1550">
        <v>99.550970987742502</v>
      </c>
      <c r="AK1550">
        <v>123.365472418211</v>
      </c>
      <c r="AL1550">
        <v>91.618653114609899</v>
      </c>
      <c r="AM1550">
        <v>82.742980674906306</v>
      </c>
      <c r="AN1550">
        <v>1.0000000504986399</v>
      </c>
    </row>
    <row r="1551" spans="1:40" x14ac:dyDescent="0.25">
      <c r="A1551" t="str">
        <f>"20190312161257339"</f>
        <v>20190312161257339</v>
      </c>
      <c r="B1551" t="str">
        <f>"1552378377337578"</f>
        <v>1552378377337578</v>
      </c>
      <c r="C1551" t="s">
        <v>40</v>
      </c>
      <c r="D1551">
        <v>5.1974309999999999</v>
      </c>
      <c r="E1551">
        <v>0.38551760000000002</v>
      </c>
      <c r="F1551" t="s">
        <v>68</v>
      </c>
      <c r="G1551">
        <v>-368.71910000000003</v>
      </c>
      <c r="H1551">
        <v>1.565825</v>
      </c>
      <c r="I1551">
        <v>268.33690000000001</v>
      </c>
      <c r="J1551">
        <v>-246.6754</v>
      </c>
      <c r="K1551">
        <v>1.1095889999999999</v>
      </c>
      <c r="L1551">
        <v>283.8526</v>
      </c>
      <c r="M1551">
        <v>-0.99913940000000001</v>
      </c>
      <c r="N1551">
        <v>0</v>
      </c>
      <c r="O1551">
        <v>4.0691169999999999E-2</v>
      </c>
      <c r="P1551">
        <v>-0.98545990000000006</v>
      </c>
      <c r="Q1551">
        <v>-3.6577999999999999E-2</v>
      </c>
      <c r="R1551">
        <v>0.1659243</v>
      </c>
      <c r="S1551">
        <v>-3.1118619999999999</v>
      </c>
      <c r="T1551">
        <v>1.161742E-2</v>
      </c>
      <c r="U1551">
        <v>-0.39483639999999998</v>
      </c>
      <c r="V1551">
        <v>0.125695899999999</v>
      </c>
      <c r="W1551">
        <v>-2.8564510000000001E-2</v>
      </c>
      <c r="X1551">
        <v>0.99165749999999997</v>
      </c>
      <c r="Y1551">
        <v>-0.16613510000000001</v>
      </c>
      <c r="Z1551">
        <v>4.6024940000000001E-4</v>
      </c>
      <c r="AA1551">
        <v>0.9861029</v>
      </c>
      <c r="AB1551">
        <v>21</v>
      </c>
      <c r="AC1551">
        <v>-122.0437</v>
      </c>
      <c r="AD1551">
        <v>0.45623599999999997</v>
      </c>
      <c r="AE1551">
        <v>-15.515699999999899</v>
      </c>
      <c r="AF1551">
        <v>-20.468828697011201</v>
      </c>
      <c r="AG1551">
        <v>0.45623599999999997</v>
      </c>
      <c r="AH1551">
        <v>121.309572639444</v>
      </c>
      <c r="AI1551">
        <v>89.787519446108107</v>
      </c>
      <c r="AJ1551">
        <v>99.577430198895101</v>
      </c>
      <c r="AK1551">
        <v>123.025174307862</v>
      </c>
      <c r="AL1551">
        <v>91.636848520952299</v>
      </c>
      <c r="AM1551">
        <v>82.776091645386501</v>
      </c>
      <c r="AN1551">
        <v>0.99999999390729999</v>
      </c>
    </row>
    <row r="1552" spans="1:40" x14ac:dyDescent="0.25">
      <c r="A1552" t="str">
        <f>"20190312161257352"</f>
        <v>20190312161257352</v>
      </c>
      <c r="B1552" t="str">
        <f>"1552378377347339"</f>
        <v>1552378377347339</v>
      </c>
      <c r="C1552" t="s">
        <v>40</v>
      </c>
      <c r="D1552">
        <v>5.1716759999999997</v>
      </c>
      <c r="E1552">
        <v>0.38544129999999999</v>
      </c>
      <c r="F1552" t="s">
        <v>68</v>
      </c>
      <c r="G1552">
        <v>-368.71910000000003</v>
      </c>
      <c r="H1552">
        <v>1.4616990000000001</v>
      </c>
      <c r="I1552">
        <v>268.2371</v>
      </c>
      <c r="J1552">
        <v>-246.79499999999999</v>
      </c>
      <c r="K1552">
        <v>1.109588</v>
      </c>
      <c r="L1552">
        <v>283.85730000000001</v>
      </c>
      <c r="M1552">
        <v>-0.99914539999999996</v>
      </c>
      <c r="N1552">
        <v>0</v>
      </c>
      <c r="O1552">
        <v>4.054746E-2</v>
      </c>
      <c r="P1552">
        <v>-0.98554410000000003</v>
      </c>
      <c r="Q1552">
        <v>-3.6580880000000003E-2</v>
      </c>
      <c r="R1552">
        <v>0.1654224</v>
      </c>
      <c r="S1552">
        <v>-3.111618</v>
      </c>
      <c r="T1552">
        <v>8.9792009999999992E-3</v>
      </c>
      <c r="U1552">
        <v>-0.39813229999999999</v>
      </c>
      <c r="V1552">
        <v>0.12533359999999999</v>
      </c>
      <c r="W1552">
        <v>-2.8572750000000001E-2</v>
      </c>
      <c r="X1552">
        <v>0.99170309999999995</v>
      </c>
      <c r="Y1552">
        <v>-0.16703119999999999</v>
      </c>
      <c r="Z1552">
        <v>3.5660999999999999E-4</v>
      </c>
      <c r="AA1552">
        <v>0.98595149999999998</v>
      </c>
      <c r="AB1552">
        <v>21</v>
      </c>
      <c r="AC1552">
        <v>-121.9241</v>
      </c>
      <c r="AD1552">
        <v>0.35211100000000001</v>
      </c>
      <c r="AE1552">
        <v>-15.620200000000001</v>
      </c>
      <c r="AF1552">
        <v>-20.551056395498399</v>
      </c>
      <c r="AG1552">
        <v>0.35211100000000001</v>
      </c>
      <c r="AH1552">
        <v>121.18945056653401</v>
      </c>
      <c r="AI1552">
        <v>89.835873054294694</v>
      </c>
      <c r="AJ1552">
        <v>99.624540207910897</v>
      </c>
      <c r="AK1552">
        <v>122.920107507867</v>
      </c>
      <c r="AL1552">
        <v>91.637320860384904</v>
      </c>
      <c r="AM1552">
        <v>82.797022218556705</v>
      </c>
      <c r="AN1552">
        <v>0.999999975940566</v>
      </c>
    </row>
    <row r="1553" spans="1:40" x14ac:dyDescent="0.25">
      <c r="A1553" t="str">
        <f>"20190312161257364"</f>
        <v>20190312161257364</v>
      </c>
      <c r="B1553" t="str">
        <f>"1552378377357098"</f>
        <v>1552378377357098</v>
      </c>
      <c r="C1553" t="s">
        <v>40</v>
      </c>
      <c r="D1553">
        <v>5.3040589999999996</v>
      </c>
      <c r="E1553">
        <v>0.38544129999999999</v>
      </c>
      <c r="F1553" t="s">
        <v>68</v>
      </c>
      <c r="G1553">
        <v>-368.71910000000003</v>
      </c>
      <c r="H1553">
        <v>1.4348559999999999</v>
      </c>
      <c r="I1553">
        <v>268.16930000000002</v>
      </c>
      <c r="J1553">
        <v>-246.9211</v>
      </c>
      <c r="K1553">
        <v>1.10958</v>
      </c>
      <c r="L1553">
        <v>283.86219999999997</v>
      </c>
      <c r="M1553">
        <v>-0.99915160000000003</v>
      </c>
      <c r="N1553">
        <v>0</v>
      </c>
      <c r="O1553">
        <v>4.0393579999999998E-2</v>
      </c>
      <c r="P1553">
        <v>-0.98557019999999995</v>
      </c>
      <c r="Q1553">
        <v>-3.685107E-2</v>
      </c>
      <c r="R1553">
        <v>0.16520739999999901</v>
      </c>
      <c r="S1553">
        <v>-3.111526</v>
      </c>
      <c r="T1553">
        <v>8.3026890000000002E-3</v>
      </c>
      <c r="U1553">
        <v>-0.4003601</v>
      </c>
      <c r="V1553">
        <v>0.12527069999999901</v>
      </c>
      <c r="W1553">
        <v>-2.884952E-2</v>
      </c>
      <c r="X1553">
        <v>0.991703</v>
      </c>
      <c r="Y1553">
        <v>-0.16757759999999999</v>
      </c>
      <c r="Z1553">
        <v>3.3005429999999997E-4</v>
      </c>
      <c r="AA1553">
        <v>0.98585880000000004</v>
      </c>
      <c r="AB1553">
        <v>22</v>
      </c>
      <c r="AC1553">
        <v>-121.798</v>
      </c>
      <c r="AD1553">
        <v>0.32527599999999901</v>
      </c>
      <c r="AE1553">
        <v>-15.6928999999999</v>
      </c>
      <c r="AF1553">
        <v>-20.5999626114913</v>
      </c>
      <c r="AG1553">
        <v>0.32527599999999901</v>
      </c>
      <c r="AH1553">
        <v>121.063825514022</v>
      </c>
      <c r="AI1553">
        <v>89.848238598823698</v>
      </c>
      <c r="AJ1553">
        <v>99.656836272092804</v>
      </c>
      <c r="AK1553">
        <v>122.804373342974</v>
      </c>
      <c r="AL1553">
        <v>91.653185210473396</v>
      </c>
      <c r="AM1553">
        <v>82.8005984521035</v>
      </c>
      <c r="AN1553">
        <v>0.99999994164585804</v>
      </c>
    </row>
    <row r="1554" spans="1:40" x14ac:dyDescent="0.25">
      <c r="A1554" t="str">
        <f>"20190312161257385"</f>
        <v>20190312161257385</v>
      </c>
      <c r="B1554" t="str">
        <f>"1552378377377595"</f>
        <v>1552378377377595</v>
      </c>
      <c r="C1554" t="s">
        <v>40</v>
      </c>
      <c r="D1554">
        <v>8.7823510000000002</v>
      </c>
      <c r="E1554">
        <v>0.41514990000000002</v>
      </c>
      <c r="F1554" t="s">
        <v>68</v>
      </c>
      <c r="G1554">
        <v>-368.71910000000003</v>
      </c>
      <c r="H1554">
        <v>1.401564</v>
      </c>
      <c r="I1554">
        <v>268.16840000000002</v>
      </c>
      <c r="J1554">
        <v>-247.11680000000001</v>
      </c>
      <c r="K1554">
        <v>1.1095759999999999</v>
      </c>
      <c r="L1554">
        <v>283.86989999999997</v>
      </c>
      <c r="M1554">
        <v>-0.99916150000000004</v>
      </c>
      <c r="N1554">
        <v>0</v>
      </c>
      <c r="O1554">
        <v>4.015299E-2</v>
      </c>
      <c r="P1554">
        <v>-0.98571690000000001</v>
      </c>
      <c r="Q1554">
        <v>-3.6397329999999999E-2</v>
      </c>
      <c r="R1554">
        <v>0.16443239999999901</v>
      </c>
      <c r="S1554">
        <v>-3.1114039999999998</v>
      </c>
      <c r="T1554">
        <v>7.4607129999999999E-3</v>
      </c>
      <c r="U1554">
        <v>-0.40090940000000003</v>
      </c>
      <c r="V1554">
        <v>0.1247292</v>
      </c>
      <c r="W1554">
        <v>-2.8404680000000002E-2</v>
      </c>
      <c r="X1554">
        <v>0.9917842</v>
      </c>
      <c r="Y1554">
        <v>-0.16751649999999901</v>
      </c>
      <c r="Z1554">
        <v>2.9594389999999999E-4</v>
      </c>
      <c r="AA1554">
        <v>0.9858692</v>
      </c>
      <c r="AB1554">
        <v>22</v>
      </c>
      <c r="AC1554">
        <v>-121.6023</v>
      </c>
      <c r="AD1554">
        <v>0.29198799999999903</v>
      </c>
      <c r="AE1554">
        <v>-15.7014999999999</v>
      </c>
      <c r="AF1554">
        <v>-20.571572222714199</v>
      </c>
      <c r="AG1554">
        <v>0.29198799999999903</v>
      </c>
      <c r="AH1554">
        <v>120.873058914266</v>
      </c>
      <c r="AI1554">
        <v>89.863555207030402</v>
      </c>
      <c r="AJ1554">
        <v>99.658711243059599</v>
      </c>
      <c r="AK1554">
        <v>122.61146443949799</v>
      </c>
      <c r="AL1554">
        <v>91.627687128936302</v>
      </c>
      <c r="AM1554">
        <v>82.831975225355094</v>
      </c>
      <c r="AN1554">
        <v>1.0000000492740899</v>
      </c>
    </row>
    <row r="1555" spans="1:40" x14ac:dyDescent="0.25">
      <c r="A1555" t="str">
        <f>"20190312161257398"</f>
        <v>20190312161257398</v>
      </c>
      <c r="B1555" t="str">
        <f>"1552378377387355"</f>
        <v>1552378377387355</v>
      </c>
      <c r="C1555" t="s">
        <v>40</v>
      </c>
      <c r="D1555">
        <v>5.0944719999999997</v>
      </c>
      <c r="E1555">
        <v>0.42605579999999998</v>
      </c>
      <c r="F1555" t="s">
        <v>74</v>
      </c>
      <c r="G1555">
        <v>-300.11320000000001</v>
      </c>
      <c r="H1555" s="1">
        <v>4.270599E-6</v>
      </c>
      <c r="I1555">
        <v>280.88650000000001</v>
      </c>
      <c r="J1555">
        <v>-247.23869999999999</v>
      </c>
      <c r="K1555">
        <v>1.1095740000000001</v>
      </c>
      <c r="L1555">
        <v>283.87459999999999</v>
      </c>
      <c r="M1555">
        <v>-0.99916760000000004</v>
      </c>
      <c r="N1555">
        <v>0</v>
      </c>
      <c r="O1555">
        <v>4.0003530000000002E-2</v>
      </c>
      <c r="P1555">
        <v>-0.98577320000000002</v>
      </c>
      <c r="Q1555">
        <v>-3.6273029999999998E-2</v>
      </c>
      <c r="R1555">
        <v>0.16412019999999999</v>
      </c>
      <c r="S1555">
        <v>-3.0699459999999998</v>
      </c>
      <c r="T1555">
        <v>-6.4274670000000006E-2</v>
      </c>
      <c r="U1555">
        <v>-0.172821</v>
      </c>
      <c r="V1555">
        <v>0.12456299999999999</v>
      </c>
      <c r="W1555">
        <v>-2.828545E-2</v>
      </c>
      <c r="X1555">
        <v>0.99180849999999998</v>
      </c>
      <c r="Y1555">
        <v>-9.6072350000000001E-2</v>
      </c>
      <c r="Z1555">
        <v>-1.8416999999999999E-3</v>
      </c>
      <c r="AA1555">
        <v>0.9953727</v>
      </c>
      <c r="AB1555">
        <v>22</v>
      </c>
      <c r="AC1555">
        <v>-52.874499999999998</v>
      </c>
      <c r="AD1555">
        <v>-1.1095697294010001</v>
      </c>
      <c r="AE1555">
        <v>-2.98809999999997</v>
      </c>
      <c r="AF1555">
        <v>-5.0987039755402197</v>
      </c>
      <c r="AG1555">
        <v>-1.1095697294010001</v>
      </c>
      <c r="AH1555">
        <v>52.689505976129198</v>
      </c>
      <c r="AI1555">
        <v>91.200785855529901</v>
      </c>
      <c r="AJ1555">
        <v>95.5272379877253</v>
      </c>
      <c r="AK1555">
        <v>52.947256465497297</v>
      </c>
      <c r="AL1555">
        <v>91.620852999589701</v>
      </c>
      <c r="AM1555">
        <v>82.8416009401666</v>
      </c>
      <c r="AN1555">
        <v>1.00000005416147</v>
      </c>
    </row>
    <row r="1556" spans="1:40" x14ac:dyDescent="0.25">
      <c r="A1556" t="str">
        <f>"20190312161257418"</f>
        <v>20190312161257418</v>
      </c>
      <c r="B1556" t="str">
        <f>"1552378377406878"</f>
        <v>1552378377406878</v>
      </c>
      <c r="C1556" t="s">
        <v>40</v>
      </c>
      <c r="D1556">
        <v>5.2171789999999998</v>
      </c>
      <c r="E1556">
        <v>0.43715999999999999</v>
      </c>
      <c r="F1556" t="s">
        <v>74</v>
      </c>
      <c r="G1556">
        <v>-312.28030000000001</v>
      </c>
      <c r="H1556" s="1">
        <v>3.4554899999999999E-6</v>
      </c>
      <c r="I1556">
        <v>282.0163</v>
      </c>
      <c r="J1556">
        <v>-247.43940000000001</v>
      </c>
      <c r="K1556">
        <v>1.1095729999999999</v>
      </c>
      <c r="L1556">
        <v>283.88240000000002</v>
      </c>
      <c r="M1556">
        <v>-0.99917730000000005</v>
      </c>
      <c r="N1556">
        <v>0</v>
      </c>
      <c r="O1556">
        <v>3.9758790000000002E-2</v>
      </c>
      <c r="P1556">
        <v>-0.98582150000000002</v>
      </c>
      <c r="Q1556">
        <v>-3.6347270000000001E-2</v>
      </c>
      <c r="R1556">
        <v>0.16381309999999999</v>
      </c>
      <c r="S1556">
        <v>-3.0559080000000001</v>
      </c>
      <c r="T1556">
        <v>-5.2132009999999999E-2</v>
      </c>
      <c r="U1556">
        <v>-8.7310789999999999E-2</v>
      </c>
      <c r="V1556">
        <v>0.1244971</v>
      </c>
      <c r="W1556">
        <v>-2.836779E-2</v>
      </c>
      <c r="X1556">
        <v>0.99181439999999998</v>
      </c>
      <c r="Y1556">
        <v>-6.8265049999999994E-2</v>
      </c>
      <c r="Z1556">
        <v>-1.260178E-3</v>
      </c>
      <c r="AA1556">
        <v>0.99766639999999995</v>
      </c>
      <c r="AB1556">
        <v>22</v>
      </c>
      <c r="AC1556">
        <v>-64.840900000000005</v>
      </c>
      <c r="AD1556">
        <v>-1.10956954451</v>
      </c>
      <c r="AE1556">
        <v>-1.8661000000000101</v>
      </c>
      <c r="AF1556">
        <v>-4.4414030838779901</v>
      </c>
      <c r="AG1556">
        <v>-1.10956954451</v>
      </c>
      <c r="AH1556">
        <v>64.696502005430006</v>
      </c>
      <c r="AI1556">
        <v>90.980241347955797</v>
      </c>
      <c r="AJ1556">
        <v>93.927183226614503</v>
      </c>
      <c r="AK1556">
        <v>64.858265299545295</v>
      </c>
      <c r="AL1556">
        <v>91.625572664178605</v>
      </c>
      <c r="AM1556">
        <v>82.8453909513279</v>
      </c>
      <c r="AN1556">
        <v>1.0000000317326201</v>
      </c>
    </row>
    <row r="1557" spans="1:40" x14ac:dyDescent="0.25">
      <c r="A1557" t="str">
        <f>"20190312161257441"</f>
        <v>20190312161257441</v>
      </c>
      <c r="B1557" t="str">
        <f>"1552378377437056"</f>
        <v>1552378377437056</v>
      </c>
      <c r="C1557" t="s">
        <v>40</v>
      </c>
      <c r="D1557">
        <v>5.2183630000000001</v>
      </c>
      <c r="E1557">
        <v>0.44493280000000002</v>
      </c>
      <c r="F1557" t="s">
        <v>69</v>
      </c>
      <c r="G1557">
        <v>-321.98939999999999</v>
      </c>
      <c r="H1557" s="1">
        <v>-4.45302E-7</v>
      </c>
      <c r="I1557">
        <v>283.86520000000002</v>
      </c>
      <c r="J1557">
        <v>-247.6617</v>
      </c>
      <c r="K1557">
        <v>1.1095710000000001</v>
      </c>
      <c r="L1557">
        <v>283.89089999999999</v>
      </c>
      <c r="M1557">
        <v>-0.99918799999999997</v>
      </c>
      <c r="N1557">
        <v>0</v>
      </c>
      <c r="O1557">
        <v>3.949068E-2</v>
      </c>
      <c r="P1557">
        <v>-0.98577490000000001</v>
      </c>
      <c r="Q1557">
        <v>-3.6320320000000003E-2</v>
      </c>
      <c r="R1557">
        <v>0.1641001</v>
      </c>
      <c r="S1557">
        <v>-3.0415800000000002</v>
      </c>
      <c r="T1557">
        <v>-4.5269730000000001E-2</v>
      </c>
      <c r="U1557">
        <v>-7.0190429999999896E-4</v>
      </c>
      <c r="V1557">
        <v>0.12505179999999999</v>
      </c>
      <c r="W1557">
        <v>-2.834977E-2</v>
      </c>
      <c r="X1557">
        <v>0.99174510000000005</v>
      </c>
      <c r="Y1557">
        <v>-3.9713760000000001E-2</v>
      </c>
      <c r="Z1557">
        <v>-8.8316250000000001E-4</v>
      </c>
      <c r="AA1557">
        <v>0.99921070000000001</v>
      </c>
      <c r="AB1557">
        <v>22</v>
      </c>
      <c r="AC1557">
        <v>-74.327699999999993</v>
      </c>
      <c r="AD1557">
        <v>-1.10957144530199</v>
      </c>
      <c r="AE1557">
        <v>-2.5699999999971999E-2</v>
      </c>
      <c r="AF1557">
        <v>-2.9603653333490998</v>
      </c>
      <c r="AG1557">
        <v>-1.10957144530199</v>
      </c>
      <c r="AH1557">
        <v>74.252154245664599</v>
      </c>
      <c r="AI1557">
        <v>90.855444194052097</v>
      </c>
      <c r="AJ1557">
        <v>92.283121019643602</v>
      </c>
      <c r="AK1557">
        <v>74.319427620381305</v>
      </c>
      <c r="AL1557">
        <v>91.6245398259301</v>
      </c>
      <c r="AM1557">
        <v>82.813349039714694</v>
      </c>
      <c r="AN1557">
        <v>1.0000000027581499</v>
      </c>
    </row>
    <row r="1558" spans="1:40" x14ac:dyDescent="0.25">
      <c r="A1558" t="str">
        <f>"20190312161257464"</f>
        <v>20190312161257464</v>
      </c>
      <c r="B1558" t="str">
        <f>"1552378377457551"</f>
        <v>1552378377457551</v>
      </c>
      <c r="C1558" t="s">
        <v>40</v>
      </c>
      <c r="D1558">
        <v>5.2724520000000004</v>
      </c>
      <c r="E1558">
        <v>0.44753860000000001</v>
      </c>
      <c r="F1558" t="s">
        <v>69</v>
      </c>
      <c r="G1558">
        <v>-327.00839999999999</v>
      </c>
      <c r="H1558" s="1">
        <v>2.1539240000000001E-6</v>
      </c>
      <c r="I1558">
        <v>285.50369999999998</v>
      </c>
      <c r="J1558">
        <v>-247.88659999999999</v>
      </c>
      <c r="K1558">
        <v>1.1095710000000001</v>
      </c>
      <c r="L1558">
        <v>283.89949999999999</v>
      </c>
      <c r="M1558">
        <v>-0.99919849999999999</v>
      </c>
      <c r="N1558">
        <v>0</v>
      </c>
      <c r="O1558">
        <v>3.9223760000000003E-2</v>
      </c>
      <c r="P1558">
        <v>-0.98583560000000003</v>
      </c>
      <c r="Q1558">
        <v>-3.6128239999999999E-2</v>
      </c>
      <c r="R1558">
        <v>0.16377749999999999</v>
      </c>
      <c r="S1558">
        <v>-3.0314640000000002</v>
      </c>
      <c r="T1558">
        <v>-4.2391419999999999E-2</v>
      </c>
      <c r="U1558">
        <v>6.1614990000000001E-2</v>
      </c>
      <c r="V1558">
        <v>0.1249918</v>
      </c>
      <c r="W1558">
        <v>-2.816546E-2</v>
      </c>
      <c r="X1558">
        <v>0.99175789999999997</v>
      </c>
      <c r="Y1558">
        <v>-1.8905910000000001E-2</v>
      </c>
      <c r="Z1558">
        <v>-6.8043979999999997E-4</v>
      </c>
      <c r="AA1558">
        <v>0.99982099999999996</v>
      </c>
      <c r="AB1558">
        <v>22</v>
      </c>
      <c r="AC1558">
        <v>-79.121799999999993</v>
      </c>
      <c r="AD1558">
        <v>-1.10956884607599</v>
      </c>
      <c r="AE1558">
        <v>1.6041999999999901</v>
      </c>
      <c r="AF1558">
        <v>-1.5002932439607599</v>
      </c>
      <c r="AG1558">
        <v>-1.10956884607599</v>
      </c>
      <c r="AH1558">
        <v>79.108281822291303</v>
      </c>
      <c r="AI1558">
        <v>90.803430621412701</v>
      </c>
      <c r="AJ1558">
        <v>91.086487599708704</v>
      </c>
      <c r="AK1558">
        <v>79.130286715752007</v>
      </c>
      <c r="AL1558">
        <v>91.613975446476104</v>
      </c>
      <c r="AM1558">
        <v>82.816852917352804</v>
      </c>
      <c r="AN1558">
        <v>0.99999998770832998</v>
      </c>
    </row>
    <row r="1559" spans="1:40" x14ac:dyDescent="0.25">
      <c r="A1559" t="str">
        <f>"20190312161257486"</f>
        <v>20190312161257486</v>
      </c>
      <c r="B1559" t="str">
        <f>"1552378377477071"</f>
        <v>1552378377477071</v>
      </c>
      <c r="C1559" t="s">
        <v>40</v>
      </c>
      <c r="D1559">
        <v>5.2052310000000004</v>
      </c>
      <c r="E1559">
        <v>0.44941920000000002</v>
      </c>
      <c r="F1559" t="s">
        <v>69</v>
      </c>
      <c r="G1559">
        <v>-328.2946</v>
      </c>
      <c r="H1559" s="1">
        <v>2.8144090000000001E-6</v>
      </c>
      <c r="I1559">
        <v>286.05259999999998</v>
      </c>
      <c r="J1559">
        <v>-248.1054</v>
      </c>
      <c r="K1559">
        <v>1.1095710000000001</v>
      </c>
      <c r="L1559">
        <v>283.90780000000001</v>
      </c>
      <c r="M1559">
        <v>-0.99920869999999995</v>
      </c>
      <c r="N1559">
        <v>0</v>
      </c>
      <c r="O1559">
        <v>3.8967799999999997E-2</v>
      </c>
      <c r="P1559">
        <v>-0.98591770000000001</v>
      </c>
      <c r="Q1559">
        <v>-3.5390739999999997E-2</v>
      </c>
      <c r="R1559">
        <v>0.16344359999999999</v>
      </c>
      <c r="S1559">
        <v>-3.0281220000000002</v>
      </c>
      <c r="T1559">
        <v>-4.1785719999999998E-2</v>
      </c>
      <c r="U1559">
        <v>8.1085210000000005E-2</v>
      </c>
      <c r="V1559">
        <v>0.12490850000000001</v>
      </c>
      <c r="W1559">
        <v>-2.7434050000000001E-2</v>
      </c>
      <c r="X1559">
        <v>0.99178889999999997</v>
      </c>
      <c r="Y1559">
        <v>-1.220274E-2</v>
      </c>
      <c r="Z1559">
        <v>-6.216231E-4</v>
      </c>
      <c r="AA1559">
        <v>0.99992539999999996</v>
      </c>
      <c r="AB1559">
        <v>22</v>
      </c>
      <c r="AC1559">
        <v>-80.1892</v>
      </c>
      <c r="AD1559">
        <v>-1.10956818559099</v>
      </c>
      <c r="AE1559">
        <v>2.1447999999999698</v>
      </c>
      <c r="AF1559">
        <v>-0.98153726061953905</v>
      </c>
      <c r="AG1559">
        <v>-1.10956818559099</v>
      </c>
      <c r="AH1559">
        <v>80.196527179320199</v>
      </c>
      <c r="AI1559">
        <v>90.792612351166397</v>
      </c>
      <c r="AJ1559">
        <v>90.7012165814551</v>
      </c>
      <c r="AK1559">
        <v>80.210208381327007</v>
      </c>
      <c r="AL1559">
        <v>91.572052530558295</v>
      </c>
      <c r="AM1559">
        <v>82.821812158386507</v>
      </c>
      <c r="AN1559">
        <v>0.999999991317431</v>
      </c>
    </row>
    <row r="1560" spans="1:40" x14ac:dyDescent="0.25">
      <c r="A1560" t="str">
        <f>"20190312161257498"</f>
        <v>20190312161257498</v>
      </c>
      <c r="B1560" t="str">
        <f>"1552378377486832"</f>
        <v>1552378377486832</v>
      </c>
      <c r="C1560" t="s">
        <v>40</v>
      </c>
      <c r="D1560">
        <v>5.2359710000000002</v>
      </c>
      <c r="E1560">
        <v>0.45003100000000001</v>
      </c>
      <c r="F1560" t="s">
        <v>69</v>
      </c>
      <c r="G1560">
        <v>-324.34570000000002</v>
      </c>
      <c r="H1560" s="1">
        <v>7.0239539999999998E-7</v>
      </c>
      <c r="I1560">
        <v>286.29559999999998</v>
      </c>
      <c r="J1560">
        <v>-248.22540000000001</v>
      </c>
      <c r="K1560">
        <v>1.1095710000000001</v>
      </c>
      <c r="L1560">
        <v>283.91230000000002</v>
      </c>
      <c r="M1560">
        <v>-0.99921409999999999</v>
      </c>
      <c r="N1560">
        <v>0</v>
      </c>
      <c r="O1560">
        <v>3.8828639999999998E-2</v>
      </c>
      <c r="P1560">
        <v>-0.98588480000000001</v>
      </c>
      <c r="Q1560">
        <v>-3.5455170000000001E-2</v>
      </c>
      <c r="R1560">
        <v>0.16362850000000001</v>
      </c>
      <c r="S1560">
        <v>-3.0255740000000002</v>
      </c>
      <c r="T1560">
        <v>-4.4032929999999998E-2</v>
      </c>
      <c r="U1560">
        <v>9.4757079999999994E-2</v>
      </c>
      <c r="V1560">
        <v>0.1252327</v>
      </c>
      <c r="W1560">
        <v>-2.7501569999999999E-2</v>
      </c>
      <c r="X1560">
        <v>0.99174609999999996</v>
      </c>
      <c r="Y1560">
        <v>-7.526179E-3</v>
      </c>
      <c r="Z1560">
        <v>-6.1950299999999998E-4</v>
      </c>
      <c r="AA1560">
        <v>0.99997150000000001</v>
      </c>
      <c r="AB1560">
        <v>22</v>
      </c>
      <c r="AC1560">
        <v>-76.1203</v>
      </c>
      <c r="AD1560">
        <v>-1.10957029760459</v>
      </c>
      <c r="AE1560">
        <v>2.3832999999999598</v>
      </c>
      <c r="AF1560">
        <v>-0.57411713241274298</v>
      </c>
      <c r="AG1560">
        <v>-1.10957029760459</v>
      </c>
      <c r="AH1560">
        <v>76.139274174253302</v>
      </c>
      <c r="AI1560">
        <v>90.834883037361905</v>
      </c>
      <c r="AJ1560">
        <v>90.432022311542298</v>
      </c>
      <c r="AK1560">
        <v>76.149522838355196</v>
      </c>
      <c r="AL1560">
        <v>91.5759226729933</v>
      </c>
      <c r="AM1560">
        <v>82.803068939285794</v>
      </c>
      <c r="AN1560">
        <v>0.99999994618347998</v>
      </c>
    </row>
    <row r="1561" spans="1:40" x14ac:dyDescent="0.25">
      <c r="A1561" t="str">
        <f>"20190312161257519"</f>
        <v>20190312161257519</v>
      </c>
      <c r="B1561" t="str">
        <f>"1552378377507327"</f>
        <v>1552378377507327</v>
      </c>
      <c r="C1561" t="s">
        <v>40</v>
      </c>
      <c r="D1561">
        <v>5.3053150000000002</v>
      </c>
      <c r="E1561">
        <v>0.45101279999999999</v>
      </c>
      <c r="F1561" t="s">
        <v>69</v>
      </c>
      <c r="G1561">
        <v>-321.89100000000002</v>
      </c>
      <c r="H1561" s="1">
        <v>-6.0624049999999997E-7</v>
      </c>
      <c r="I1561">
        <v>286.34870000000001</v>
      </c>
      <c r="J1561">
        <v>-248.4246</v>
      </c>
      <c r="K1561">
        <v>1.109567</v>
      </c>
      <c r="L1561">
        <v>283.91980000000001</v>
      </c>
      <c r="M1561">
        <v>-0.99922299999999997</v>
      </c>
      <c r="N1561">
        <v>0</v>
      </c>
      <c r="O1561">
        <v>3.859812E-2</v>
      </c>
      <c r="P1561">
        <v>-0.98590109999999997</v>
      </c>
      <c r="Q1561">
        <v>-3.5421250000000001E-2</v>
      </c>
      <c r="R1561">
        <v>0.16353760000000001</v>
      </c>
      <c r="S1561">
        <v>-3.024734</v>
      </c>
      <c r="T1561">
        <v>-4.5559410000000002E-2</v>
      </c>
      <c r="U1561">
        <v>0.1000366</v>
      </c>
      <c r="V1561">
        <v>0.12537010000000001</v>
      </c>
      <c r="W1561">
        <v>-2.7474370000000001E-2</v>
      </c>
      <c r="X1561">
        <v>0.99172959999999999</v>
      </c>
      <c r="Y1561">
        <v>-5.5431019999999899E-3</v>
      </c>
      <c r="Z1561">
        <v>-6.2273359999999998E-4</v>
      </c>
      <c r="AA1561">
        <v>0.9999844</v>
      </c>
      <c r="AB1561">
        <v>22</v>
      </c>
      <c r="AC1561">
        <v>-73.466399999999894</v>
      </c>
      <c r="AD1561">
        <v>-1.1095676062405</v>
      </c>
      <c r="AE1561">
        <v>2.4288999999999898</v>
      </c>
      <c r="AF1561">
        <v>-0.40857207587792699</v>
      </c>
      <c r="AG1561">
        <v>-1.1095676062405</v>
      </c>
      <c r="AH1561">
        <v>73.488659763164605</v>
      </c>
      <c r="AI1561">
        <v>90.865000514055794</v>
      </c>
      <c r="AJ1561">
        <v>90.318541860206295</v>
      </c>
      <c r="AK1561">
        <v>73.498171305143202</v>
      </c>
      <c r="AL1561">
        <v>91.574363473148793</v>
      </c>
      <c r="AM1561">
        <v>82.7951370917189</v>
      </c>
      <c r="AN1561">
        <v>1.0000000512485301</v>
      </c>
    </row>
    <row r="1562" spans="1:40" x14ac:dyDescent="0.25">
      <c r="A1562" t="str">
        <f>"20190312161257532"</f>
        <v>20190312161257532</v>
      </c>
      <c r="B1562" t="str">
        <f>"1552378377526847"</f>
        <v>1552378377526847</v>
      </c>
      <c r="C1562" t="s">
        <v>40</v>
      </c>
      <c r="D1562">
        <v>5.4422459999999999</v>
      </c>
      <c r="E1562">
        <v>0.4515652</v>
      </c>
      <c r="F1562" t="s">
        <v>69</v>
      </c>
      <c r="G1562">
        <v>-324.83150000000001</v>
      </c>
      <c r="H1562" s="1">
        <v>9.4602219999999998E-7</v>
      </c>
      <c r="I1562">
        <v>286.6352</v>
      </c>
      <c r="J1562">
        <v>-248.55410000000001</v>
      </c>
      <c r="K1562">
        <v>1.1095649999999999</v>
      </c>
      <c r="L1562">
        <v>283.9246</v>
      </c>
      <c r="M1562">
        <v>-0.99922880000000003</v>
      </c>
      <c r="N1562">
        <v>0</v>
      </c>
      <c r="O1562">
        <v>3.8448549999999998E-2</v>
      </c>
      <c r="P1562">
        <v>-0.98590149999999999</v>
      </c>
      <c r="Q1562">
        <v>-3.5489670000000001E-2</v>
      </c>
      <c r="R1562">
        <v>0.1635201</v>
      </c>
      <c r="S1562">
        <v>-3.023514</v>
      </c>
      <c r="T1562">
        <v>-4.3906929999999997E-2</v>
      </c>
      <c r="U1562">
        <v>0.1074524</v>
      </c>
      <c r="V1562">
        <v>0.125501</v>
      </c>
      <c r="W1562">
        <v>-2.7549009999999999E-2</v>
      </c>
      <c r="X1562">
        <v>0.99171089999999995</v>
      </c>
      <c r="Y1562">
        <v>-2.930921E-3</v>
      </c>
      <c r="Z1562">
        <v>-5.7923000000000002E-4</v>
      </c>
      <c r="AA1562">
        <v>0.99999550000000004</v>
      </c>
      <c r="AB1562">
        <v>22</v>
      </c>
      <c r="AC1562">
        <v>-76.2774</v>
      </c>
      <c r="AD1562">
        <v>-1.1095640539778</v>
      </c>
      <c r="AE1562">
        <v>2.7105999999999901</v>
      </c>
      <c r="AF1562">
        <v>-0.22420558245747199</v>
      </c>
      <c r="AG1562">
        <v>-1.1095640539778</v>
      </c>
      <c r="AH1562">
        <v>76.309090877231199</v>
      </c>
      <c r="AI1562">
        <v>90.833040763566004</v>
      </c>
      <c r="AJ1562">
        <v>90.168341628839002</v>
      </c>
      <c r="AK1562">
        <v>76.317486535148802</v>
      </c>
      <c r="AL1562">
        <v>91.578641763260094</v>
      </c>
      <c r="AM1562">
        <v>82.787559041327498</v>
      </c>
      <c r="AN1562">
        <v>0.999999979065894</v>
      </c>
    </row>
    <row r="1563" spans="1:40" x14ac:dyDescent="0.25">
      <c r="A1563" t="str">
        <f>"20190312161257599"</f>
        <v>20190312161257599</v>
      </c>
      <c r="B1563" t="str">
        <f>"1552378377587359"</f>
        <v>1552378377587359</v>
      </c>
      <c r="C1563" t="s">
        <v>40</v>
      </c>
      <c r="D1563">
        <v>5.1269210000000003</v>
      </c>
      <c r="E1563">
        <v>0.45794119999999999</v>
      </c>
      <c r="F1563" t="s">
        <v>74</v>
      </c>
      <c r="G1563">
        <v>-319.82740000000001</v>
      </c>
      <c r="H1563" s="1">
        <v>6.4055849999999999E-6</v>
      </c>
      <c r="I1563">
        <v>286.55470000000003</v>
      </c>
      <c r="J1563">
        <v>-249.21879999999999</v>
      </c>
      <c r="K1563">
        <v>1.1095539999999999</v>
      </c>
      <c r="L1563">
        <v>283.94920000000002</v>
      </c>
      <c r="M1563">
        <v>-0.99925830000000004</v>
      </c>
      <c r="N1563">
        <v>0</v>
      </c>
      <c r="O1563">
        <v>3.7680640000000001E-2</v>
      </c>
      <c r="P1563">
        <v>-0.98614409999999997</v>
      </c>
      <c r="Q1563">
        <v>-3.5490910000000001E-2</v>
      </c>
      <c r="R1563">
        <v>0.16204979999999999</v>
      </c>
      <c r="S1563">
        <v>-3.022751</v>
      </c>
      <c r="T1563">
        <v>-4.7057149999999999E-2</v>
      </c>
      <c r="U1563">
        <v>0.11154169999999999</v>
      </c>
      <c r="V1563">
        <v>0.12478450000000001</v>
      </c>
      <c r="W1563">
        <v>-2.7586119999999999E-2</v>
      </c>
      <c r="X1563">
        <v>0.99180029999999997</v>
      </c>
      <c r="Y1563">
        <v>-8.0209249999999997E-4</v>
      </c>
      <c r="Z1563">
        <v>-5.9241779999999998E-4</v>
      </c>
      <c r="AA1563">
        <v>0.99999950000000004</v>
      </c>
      <c r="AB1563">
        <v>22</v>
      </c>
      <c r="AC1563">
        <v>-70.608599999999996</v>
      </c>
      <c r="AD1563">
        <v>-1.1095475944149999</v>
      </c>
      <c r="AE1563">
        <v>2.6055000000000001</v>
      </c>
      <c r="AF1563">
        <v>-5.6997477954406198E-2</v>
      </c>
      <c r="AG1563">
        <v>-1.1095475944149999</v>
      </c>
      <c r="AH1563">
        <v>70.639213573049403</v>
      </c>
      <c r="AI1563">
        <v>90.899884682382194</v>
      </c>
      <c r="AJ1563">
        <v>90.046230897199493</v>
      </c>
      <c r="AK1563">
        <v>70.647949997120605</v>
      </c>
      <c r="AL1563">
        <v>91.580768784560803</v>
      </c>
      <c r="AM1563">
        <v>82.828945483210305</v>
      </c>
      <c r="AN1563">
        <v>1.0000000002684899</v>
      </c>
    </row>
    <row r="1564" spans="1:40" x14ac:dyDescent="0.25">
      <c r="A1564" t="str">
        <f>"20190312161257619"</f>
        <v>20190312161257619</v>
      </c>
      <c r="B1564" t="str">
        <f>"1552378377617616"</f>
        <v>1552378377617616</v>
      </c>
      <c r="C1564" t="s">
        <v>40</v>
      </c>
      <c r="D1564">
        <v>5.278823</v>
      </c>
      <c r="E1564">
        <v>0.44782230000000001</v>
      </c>
      <c r="F1564" t="s">
        <v>43</v>
      </c>
      <c r="G1564">
        <v>-249.99600000000001</v>
      </c>
      <c r="H1564">
        <v>0.94696270000000005</v>
      </c>
      <c r="I1564">
        <v>283.98399999999998</v>
      </c>
      <c r="J1564">
        <v>-249.42400000000001</v>
      </c>
      <c r="K1564">
        <v>1.1095569999999999</v>
      </c>
      <c r="L1564">
        <v>283.95659999999998</v>
      </c>
      <c r="M1564">
        <v>-0.99926760000000003</v>
      </c>
      <c r="N1564">
        <v>0</v>
      </c>
      <c r="O1564">
        <v>3.7440880000000003E-2</v>
      </c>
      <c r="P1564">
        <v>-0.98619590000000001</v>
      </c>
      <c r="Q1564">
        <v>-3.5294970000000002E-2</v>
      </c>
      <c r="R1564">
        <v>0.16177800000000001</v>
      </c>
      <c r="S1564">
        <v>-2.9976039999999999</v>
      </c>
      <c r="T1564">
        <v>-0.62708640000000004</v>
      </c>
      <c r="U1564">
        <v>0.13378909999999999</v>
      </c>
      <c r="V1564">
        <v>0.12474880000000001</v>
      </c>
      <c r="W1564">
        <v>-2.739815E-2</v>
      </c>
      <c r="X1564">
        <v>0.99180999999999997</v>
      </c>
      <c r="Y1564">
        <v>7.791554E-3</v>
      </c>
      <c r="Z1564">
        <v>-6.9362819999999898E-3</v>
      </c>
      <c r="AA1564">
        <v>0.99994559999999999</v>
      </c>
      <c r="AB1564">
        <v>22</v>
      </c>
      <c r="AC1564">
        <v>-0.57199999999997397</v>
      </c>
      <c r="AD1564">
        <v>-0.162594299999999</v>
      </c>
      <c r="AE1564">
        <v>2.74000000000569E-2</v>
      </c>
      <c r="AF1564">
        <v>5.5190124031415499E-3</v>
      </c>
      <c r="AG1564">
        <v>-0.162594299999999</v>
      </c>
      <c r="AH1564">
        <v>0.529905753561703</v>
      </c>
      <c r="AI1564">
        <v>107.05704090352199</v>
      </c>
      <c r="AJ1564">
        <v>89.403281276601305</v>
      </c>
      <c r="AK1564">
        <v>0.55431712362887797</v>
      </c>
      <c r="AL1564">
        <v>91.569994826658998</v>
      </c>
      <c r="AM1564">
        <v>82.831045108704899</v>
      </c>
      <c r="AN1564">
        <v>0.99999999891243097</v>
      </c>
    </row>
    <row r="1565" spans="1:40" x14ac:dyDescent="0.25">
      <c r="A1565" t="str">
        <f>"20190312161257642"</f>
        <v>20190312161257642</v>
      </c>
      <c r="B1565" t="str">
        <f>"1552378377637135"</f>
        <v>1552378377637135</v>
      </c>
      <c r="C1565" t="s">
        <v>40</v>
      </c>
      <c r="D1565">
        <v>5.4480579999999996</v>
      </c>
      <c r="E1565">
        <v>0.45012930000000001</v>
      </c>
      <c r="F1565" t="s">
        <v>43</v>
      </c>
      <c r="G1565">
        <v>-250.22800000000001</v>
      </c>
      <c r="H1565">
        <v>1.0103009999999999</v>
      </c>
      <c r="I1565">
        <v>283.97359999999998</v>
      </c>
      <c r="J1565">
        <v>-249.65430000000001</v>
      </c>
      <c r="K1565">
        <v>1.1095549999999901</v>
      </c>
      <c r="L1565">
        <v>283.9649</v>
      </c>
      <c r="M1565">
        <v>-0.99927770000000005</v>
      </c>
      <c r="N1565">
        <v>0</v>
      </c>
      <c r="O1565">
        <v>3.7170620000000001E-2</v>
      </c>
      <c r="P1565">
        <v>-0.98619469999999998</v>
      </c>
      <c r="Q1565">
        <v>-3.4956710000000002E-2</v>
      </c>
      <c r="R1565">
        <v>0.1618579</v>
      </c>
      <c r="S1565">
        <v>-3.0182039999999999</v>
      </c>
      <c r="T1565">
        <v>-0.37259730000000002</v>
      </c>
      <c r="U1565">
        <v>6.3720700000000005E-2</v>
      </c>
      <c r="V1565">
        <v>0.12509680000000001</v>
      </c>
      <c r="W1565">
        <v>-2.7071080000000001E-2</v>
      </c>
      <c r="X1565">
        <v>0.99177519999999997</v>
      </c>
      <c r="Y1565">
        <v>-1.5669880000000001E-2</v>
      </c>
      <c r="Z1565">
        <v>-5.5332230000000003E-3</v>
      </c>
      <c r="AA1565">
        <v>0.99986189999999997</v>
      </c>
      <c r="AB1565">
        <v>22</v>
      </c>
      <c r="AC1565">
        <v>-0.57369999999997301</v>
      </c>
      <c r="AD1565">
        <v>-9.9253999999999704E-2</v>
      </c>
      <c r="AE1565">
        <v>8.6999999999761695E-3</v>
      </c>
      <c r="AF1565">
        <v>-1.2264455619116099E-2</v>
      </c>
      <c r="AG1565">
        <v>-9.9253999999999704E-2</v>
      </c>
      <c r="AH1565">
        <v>0.55696016694347095</v>
      </c>
      <c r="AI1565">
        <v>100.102016960821</v>
      </c>
      <c r="AJ1565">
        <v>91.261469025545395</v>
      </c>
      <c r="AK1565">
        <v>0.56586782992968598</v>
      </c>
      <c r="AL1565">
        <v>91.551248062895397</v>
      </c>
      <c r="AM1565">
        <v>82.811005877959005</v>
      </c>
      <c r="AN1565">
        <v>1.00000005003882</v>
      </c>
    </row>
    <row r="1566" spans="1:40" x14ac:dyDescent="0.25">
      <c r="A1566" t="str">
        <f>"20190312161257666"</f>
        <v>20190312161257666</v>
      </c>
      <c r="B1566" t="str">
        <f>"1552378377657631"</f>
        <v>1552378377657631</v>
      </c>
      <c r="C1566" t="s">
        <v>40</v>
      </c>
      <c r="D1566">
        <v>5.3602169999999996</v>
      </c>
      <c r="E1566">
        <v>0.45127620000000002</v>
      </c>
      <c r="F1566" t="s">
        <v>43</v>
      </c>
      <c r="G1566">
        <v>-250.44470000000001</v>
      </c>
      <c r="H1566">
        <v>1.038279</v>
      </c>
      <c r="I1566">
        <v>283.98770000000002</v>
      </c>
      <c r="J1566">
        <v>-249.89330000000001</v>
      </c>
      <c r="K1566">
        <v>1.1095520000000001</v>
      </c>
      <c r="L1566">
        <v>283.97359999999998</v>
      </c>
      <c r="M1566">
        <v>-0.99928810000000001</v>
      </c>
      <c r="N1566">
        <v>0</v>
      </c>
      <c r="O1566">
        <v>3.6889089999999999E-2</v>
      </c>
      <c r="P1566">
        <v>-0.98609709999999995</v>
      </c>
      <c r="Q1566">
        <v>-3.5633619999999998E-2</v>
      </c>
      <c r="R1566">
        <v>0.162304799999999</v>
      </c>
      <c r="S1566">
        <v>-3.0181879999999999</v>
      </c>
      <c r="T1566">
        <v>-0.27238299999999999</v>
      </c>
      <c r="U1566">
        <v>8.6151119999999998E-2</v>
      </c>
      <c r="V1566">
        <v>0.12582689999999999</v>
      </c>
      <c r="W1566">
        <v>-2.7764670000000002E-2</v>
      </c>
      <c r="X1566">
        <v>0.99166359999999998</v>
      </c>
      <c r="Y1566">
        <v>-8.1793730000000002E-3</v>
      </c>
      <c r="Z1566">
        <v>-3.6890740000000001E-3</v>
      </c>
      <c r="AA1566">
        <v>0.99995979999999995</v>
      </c>
      <c r="AB1566">
        <v>22</v>
      </c>
      <c r="AC1566">
        <v>-0.551400000000001</v>
      </c>
      <c r="AD1566">
        <v>-7.1272999999999906E-2</v>
      </c>
      <c r="AE1566">
        <v>1.4100000000041701E-2</v>
      </c>
      <c r="AF1566">
        <v>-6.1482218285351404E-3</v>
      </c>
      <c r="AG1566">
        <v>-7.1272999999999906E-2</v>
      </c>
      <c r="AH1566">
        <v>0.54248704172481499</v>
      </c>
      <c r="AI1566">
        <v>97.484286569870704</v>
      </c>
      <c r="AJ1566">
        <v>90.649328101738206</v>
      </c>
      <c r="AK1566">
        <v>0.547183544708714</v>
      </c>
      <c r="AL1566">
        <v>91.5910028814003</v>
      </c>
      <c r="AM1566">
        <v>82.768686570864205</v>
      </c>
      <c r="AN1566">
        <v>0.99999999061438904</v>
      </c>
    </row>
    <row r="1567" spans="1:40" x14ac:dyDescent="0.25">
      <c r="A1567" t="str">
        <f>"20190312161257689"</f>
        <v>20190312161257689</v>
      </c>
      <c r="B1567" t="str">
        <f>"1552378377677151"</f>
        <v>1552378377677151</v>
      </c>
      <c r="C1567" t="s">
        <v>40</v>
      </c>
      <c r="D1567">
        <v>5.2375790000000002</v>
      </c>
      <c r="E1567">
        <v>0.45206859999999999</v>
      </c>
      <c r="F1567" t="s">
        <v>69</v>
      </c>
      <c r="G1567">
        <v>-265.351</v>
      </c>
      <c r="H1567" s="1">
        <v>1.31077E-6</v>
      </c>
      <c r="I1567">
        <v>284.47899999999998</v>
      </c>
      <c r="J1567">
        <v>-250.1266</v>
      </c>
      <c r="K1567">
        <v>1.1095410000000001</v>
      </c>
      <c r="L1567">
        <v>283.98180000000002</v>
      </c>
      <c r="M1567">
        <v>-0.99929849999999998</v>
      </c>
      <c r="N1567">
        <v>0</v>
      </c>
      <c r="O1567">
        <v>3.6613E-2</v>
      </c>
      <c r="P1567">
        <v>-0.98608949999999995</v>
      </c>
      <c r="Q1567">
        <v>-3.5780600000000003E-2</v>
      </c>
      <c r="R1567">
        <v>0.1623174</v>
      </c>
      <c r="S1567">
        <v>-3.0182039999999999</v>
      </c>
      <c r="T1567">
        <v>-0.21664539999999999</v>
      </c>
      <c r="U1567">
        <v>9.869385E-2</v>
      </c>
      <c r="V1567">
        <v>0.12611359999999999</v>
      </c>
      <c r="W1567">
        <v>-2.7928339999999999E-2</v>
      </c>
      <c r="X1567">
        <v>0.99162260000000002</v>
      </c>
      <c r="Y1567">
        <v>-3.8305420000000001E-3</v>
      </c>
      <c r="Z1567">
        <v>-2.7605030000000001E-3</v>
      </c>
      <c r="AA1567">
        <v>0.99998889999999996</v>
      </c>
      <c r="AB1567">
        <v>23</v>
      </c>
      <c r="AC1567">
        <v>-15.224399999999999</v>
      </c>
      <c r="AD1567">
        <v>-1.10953968922999</v>
      </c>
      <c r="AE1567">
        <v>0.49720000000002001</v>
      </c>
      <c r="AF1567">
        <v>-6.0241994613107398E-2</v>
      </c>
      <c r="AG1567">
        <v>-1.10953968922999</v>
      </c>
      <c r="AH1567">
        <v>15.152004320622501</v>
      </c>
      <c r="AI1567">
        <v>94.188104446939903</v>
      </c>
      <c r="AJ1567">
        <v>90.227797839876004</v>
      </c>
      <c r="AK1567">
        <v>15.1926937161273</v>
      </c>
      <c r="AL1567">
        <v>91.600384094155402</v>
      </c>
      <c r="AM1567">
        <v>82.752088355948203</v>
      </c>
      <c r="AN1567">
        <v>1.00000000655543</v>
      </c>
    </row>
    <row r="1568" spans="1:40" x14ac:dyDescent="0.25">
      <c r="A1568" t="str">
        <f>"20190312161257710"</f>
        <v>20190312161257710</v>
      </c>
      <c r="B1568" t="str">
        <f>"1552378377707408"</f>
        <v>1552378377707408</v>
      </c>
      <c r="C1568" t="s">
        <v>40</v>
      </c>
      <c r="D1568">
        <v>5.2507630000000001</v>
      </c>
      <c r="E1568">
        <v>0.45387060000000001</v>
      </c>
      <c r="F1568" t="s">
        <v>69</v>
      </c>
      <c r="G1568">
        <v>-266.2679</v>
      </c>
      <c r="H1568" s="1">
        <v>1.798677E-6</v>
      </c>
      <c r="I1568">
        <v>284.5462</v>
      </c>
      <c r="J1568">
        <v>-250.34620000000001</v>
      </c>
      <c r="K1568">
        <v>1.1095389999999901</v>
      </c>
      <c r="L1568">
        <v>283.9896</v>
      </c>
      <c r="M1568">
        <v>-0.99930819999999998</v>
      </c>
      <c r="N1568">
        <v>0</v>
      </c>
      <c r="O1568">
        <v>3.6351620000000001E-2</v>
      </c>
      <c r="P1568">
        <v>-0.98610399999999998</v>
      </c>
      <c r="Q1568">
        <v>-3.5885300000000002E-2</v>
      </c>
      <c r="R1568">
        <v>0.16220780000000001</v>
      </c>
      <c r="S1568">
        <v>-3.0174409999999998</v>
      </c>
      <c r="T1568">
        <v>-0.20741580000000001</v>
      </c>
      <c r="U1568">
        <v>0.1054993</v>
      </c>
      <c r="V1568">
        <v>0.12626319999999999</v>
      </c>
      <c r="W1568">
        <v>-2.8046250000000002E-2</v>
      </c>
      <c r="X1568">
        <v>0.99160020000000004</v>
      </c>
      <c r="Y1568">
        <v>-1.32309299999999E-3</v>
      </c>
      <c r="Z1568">
        <v>-2.539744E-3</v>
      </c>
      <c r="AA1568">
        <v>0.99999590000000005</v>
      </c>
      <c r="AB1568">
        <v>23</v>
      </c>
      <c r="AC1568">
        <v>-15.9216999999999</v>
      </c>
      <c r="AD1568">
        <v>-1.1095372013229901</v>
      </c>
      <c r="AE1568">
        <v>0.55660000000000298</v>
      </c>
      <c r="AF1568">
        <v>-2.24564181446519E-2</v>
      </c>
      <c r="AG1568">
        <v>-1.1095372013229901</v>
      </c>
      <c r="AH1568">
        <v>15.8545098588421</v>
      </c>
      <c r="AI1568">
        <v>94.0031674283303</v>
      </c>
      <c r="AJ1568">
        <v>90.081154014453404</v>
      </c>
      <c r="AK1568">
        <v>15.8933023615596</v>
      </c>
      <c r="AL1568">
        <v>91.607142542067905</v>
      </c>
      <c r="AM1568">
        <v>82.743420066361196</v>
      </c>
      <c r="AN1568">
        <v>0.99999997222667103</v>
      </c>
    </row>
    <row r="1569" spans="1:40" x14ac:dyDescent="0.25">
      <c r="A1569" t="str">
        <f>"20190312161257732"</f>
        <v>20190312161257732</v>
      </c>
      <c r="B1569" t="str">
        <f>"1552378377726928"</f>
        <v>1552378377726928</v>
      </c>
      <c r="C1569" t="s">
        <v>40</v>
      </c>
      <c r="D1569">
        <v>5.339766</v>
      </c>
      <c r="E1569">
        <v>0.45471529999999999</v>
      </c>
      <c r="F1569" t="s">
        <v>69</v>
      </c>
      <c r="G1569">
        <v>-269.14089999999999</v>
      </c>
      <c r="H1569" s="1">
        <v>3.3275450000000001E-6</v>
      </c>
      <c r="I1569">
        <v>284.74160000000001</v>
      </c>
      <c r="J1569">
        <v>-250.571</v>
      </c>
      <c r="K1569">
        <v>1.109537</v>
      </c>
      <c r="L1569">
        <v>283.9975</v>
      </c>
      <c r="M1569">
        <v>-0.99931809999999999</v>
      </c>
      <c r="N1569">
        <v>0</v>
      </c>
      <c r="O1569">
        <v>3.608302E-2</v>
      </c>
      <c r="P1569">
        <v>-0.98615909999999996</v>
      </c>
      <c r="Q1569">
        <v>-3.5713960000000003E-2</v>
      </c>
      <c r="R1569">
        <v>0.16191050000000001</v>
      </c>
      <c r="S1569">
        <v>-3.0159449999999999</v>
      </c>
      <c r="T1569">
        <v>-0.17804500000000001</v>
      </c>
      <c r="U1569">
        <v>0.1206665</v>
      </c>
      <c r="V1569">
        <v>0.1262307</v>
      </c>
      <c r="W1569">
        <v>-2.788618E-2</v>
      </c>
      <c r="X1569">
        <v>0.99160890000000002</v>
      </c>
      <c r="Y1569">
        <v>3.9520190000000002E-3</v>
      </c>
      <c r="Z1569">
        <v>-2.0102750000000002E-3</v>
      </c>
      <c r="AA1569">
        <v>0.99999020000000005</v>
      </c>
      <c r="AB1569">
        <v>23</v>
      </c>
      <c r="AC1569">
        <v>-18.569899999999901</v>
      </c>
      <c r="AD1569">
        <v>-1.109533672455</v>
      </c>
      <c r="AE1569">
        <v>0.74410000000000298</v>
      </c>
      <c r="AF1569">
        <v>7.3275610164119695E-2</v>
      </c>
      <c r="AG1569">
        <v>-1.109533672455</v>
      </c>
      <c r="AH1569">
        <v>18.5186520206653</v>
      </c>
      <c r="AI1569">
        <v>93.428715857200899</v>
      </c>
      <c r="AJ1569">
        <v>89.773290124560205</v>
      </c>
      <c r="AK1569">
        <v>18.5520054697019</v>
      </c>
      <c r="AL1569">
        <v>91.597967542044401</v>
      </c>
      <c r="AM1569">
        <v>82.745330971216106</v>
      </c>
      <c r="AN1569">
        <v>1.0000000196083401</v>
      </c>
    </row>
    <row r="1570" spans="1:40" x14ac:dyDescent="0.25">
      <c r="A1570" t="str">
        <f>"20190312161257753"</f>
        <v>20190312161257753</v>
      </c>
      <c r="B1570" t="str">
        <f>"1552378377746955"</f>
        <v>1552378377746955</v>
      </c>
      <c r="C1570" t="s">
        <v>40</v>
      </c>
      <c r="D1570">
        <v>5.4566600000000003</v>
      </c>
      <c r="E1570">
        <v>0.4553722</v>
      </c>
      <c r="F1570" t="s">
        <v>69</v>
      </c>
      <c r="G1570">
        <v>-270.70440000000002</v>
      </c>
      <c r="H1570" s="1">
        <v>-1.1718909999999999E-6</v>
      </c>
      <c r="I1570">
        <v>284.84379999999999</v>
      </c>
      <c r="J1570">
        <v>-250.78970000000001</v>
      </c>
      <c r="K1570">
        <v>1.1095379999999999</v>
      </c>
      <c r="L1570">
        <v>284.00510000000003</v>
      </c>
      <c r="M1570">
        <v>-0.99932770000000004</v>
      </c>
      <c r="N1570">
        <v>0</v>
      </c>
      <c r="O1570">
        <v>3.5817380000000003E-2</v>
      </c>
      <c r="P1570">
        <v>-0.98625240000000003</v>
      </c>
      <c r="Q1570">
        <v>-3.5463010000000003E-2</v>
      </c>
      <c r="R1570">
        <v>0.16139629999999999</v>
      </c>
      <c r="S1570">
        <v>-3.0152589999999999</v>
      </c>
      <c r="T1570">
        <v>-0.16616929999999999</v>
      </c>
      <c r="U1570">
        <v>0.1267395</v>
      </c>
      <c r="V1570">
        <v>0.12597719999999901</v>
      </c>
      <c r="W1570">
        <v>-2.7644490000000001E-2</v>
      </c>
      <c r="X1570">
        <v>0.99164790000000003</v>
      </c>
      <c r="Y1570">
        <v>6.2265899999999997E-3</v>
      </c>
      <c r="Z1570">
        <v>-1.7995190000000001E-3</v>
      </c>
      <c r="AA1570">
        <v>0.99997899999999995</v>
      </c>
      <c r="AB1570">
        <v>23</v>
      </c>
      <c r="AC1570">
        <v>-19.9147</v>
      </c>
      <c r="AD1570">
        <v>-1.1095391718909999</v>
      </c>
      <c r="AE1570">
        <v>0.83869999999996003</v>
      </c>
      <c r="AF1570">
        <v>0.12446192878663</v>
      </c>
      <c r="AG1570">
        <v>-1.1095391718909999</v>
      </c>
      <c r="AH1570">
        <v>19.8703911757855</v>
      </c>
      <c r="AI1570">
        <v>93.195947150897993</v>
      </c>
      <c r="AJ1570">
        <v>89.641121812446499</v>
      </c>
      <c r="AK1570">
        <v>19.901733930098001</v>
      </c>
      <c r="AL1570">
        <v>91.584114391554195</v>
      </c>
      <c r="AM1570">
        <v>82.760026971139993</v>
      </c>
      <c r="AN1570">
        <v>1.0000000151607999</v>
      </c>
    </row>
    <row r="1571" spans="1:40" x14ac:dyDescent="0.25">
      <c r="A1571" t="str">
        <f>"20190312161257777"</f>
        <v>20190312161257777</v>
      </c>
      <c r="B1571" t="str">
        <f>"1552378377767450"</f>
        <v>1552378377767450</v>
      </c>
      <c r="C1571" t="s">
        <v>40</v>
      </c>
      <c r="D1571">
        <v>5.2223389999999998</v>
      </c>
      <c r="E1571">
        <v>0.45560889999999998</v>
      </c>
      <c r="F1571" t="s">
        <v>69</v>
      </c>
      <c r="G1571">
        <v>-273.04759999999999</v>
      </c>
      <c r="H1571" s="1">
        <v>6.9488729999999994E-8</v>
      </c>
      <c r="I1571">
        <v>284.97160000000002</v>
      </c>
      <c r="J1571">
        <v>-251.03380000000001</v>
      </c>
      <c r="K1571">
        <v>1.1095429999999999</v>
      </c>
      <c r="L1571">
        <v>284.01350000000002</v>
      </c>
      <c r="M1571">
        <v>-0.99933879999999997</v>
      </c>
      <c r="N1571">
        <v>0</v>
      </c>
      <c r="O1571">
        <v>3.5510769999999997E-2</v>
      </c>
      <c r="P1571">
        <v>-0.9863326</v>
      </c>
      <c r="Q1571">
        <v>-3.5308440000000003E-2</v>
      </c>
      <c r="R1571">
        <v>0.16093950000000001</v>
      </c>
      <c r="S1571">
        <v>-3.0149840000000001</v>
      </c>
      <c r="T1571">
        <v>-0.15029419999999999</v>
      </c>
      <c r="U1571">
        <v>0.13092039999999999</v>
      </c>
      <c r="V1571">
        <v>0.1258222</v>
      </c>
      <c r="W1571">
        <v>-2.749998E-2</v>
      </c>
      <c r="X1571">
        <v>0.99167159999999999</v>
      </c>
      <c r="Y1571">
        <v>7.9107729999999994E-3</v>
      </c>
      <c r="Z1571">
        <v>-1.5707259999999999E-3</v>
      </c>
      <c r="AA1571">
        <v>0.99996750000000001</v>
      </c>
      <c r="AB1571">
        <v>23</v>
      </c>
      <c r="AC1571">
        <v>-22.0137999999999</v>
      </c>
      <c r="AD1571">
        <v>-1.1095429305112601</v>
      </c>
      <c r="AE1571">
        <v>0.95810000000000095</v>
      </c>
      <c r="AF1571">
        <v>0.17530038426521199</v>
      </c>
      <c r="AG1571">
        <v>-1.1095429305112601</v>
      </c>
      <c r="AH1571">
        <v>21.9782114322926</v>
      </c>
      <c r="AI1571">
        <v>92.889961539099204</v>
      </c>
      <c r="AJ1571">
        <v>89.543012896590298</v>
      </c>
      <c r="AK1571">
        <v>22.006898770656601</v>
      </c>
      <c r="AL1571">
        <v>91.575831424117098</v>
      </c>
      <c r="AM1571">
        <v>82.769011539050595</v>
      </c>
      <c r="AN1571">
        <v>1.0000000185797</v>
      </c>
    </row>
    <row r="1572" spans="1:40" x14ac:dyDescent="0.25">
      <c r="A1572" t="str">
        <f>"20190312161257799"</f>
        <v>20190312161257799</v>
      </c>
      <c r="B1572" t="str">
        <f>"1552378377786970"</f>
        <v>1552378377786970</v>
      </c>
      <c r="C1572" t="s">
        <v>40</v>
      </c>
      <c r="D1572">
        <v>5.3090659999999996</v>
      </c>
      <c r="E1572">
        <v>0.45580419999999999</v>
      </c>
      <c r="F1572" t="s">
        <v>69</v>
      </c>
      <c r="G1572">
        <v>-276.71199999999999</v>
      </c>
      <c r="H1572" s="1">
        <v>2.0121300000000002E-6</v>
      </c>
      <c r="I1572">
        <v>285.13929999999999</v>
      </c>
      <c r="J1572">
        <v>-251.25989999999999</v>
      </c>
      <c r="K1572">
        <v>1.109558</v>
      </c>
      <c r="L1572">
        <v>284.02120000000002</v>
      </c>
      <c r="M1572">
        <v>-0.99934940000000005</v>
      </c>
      <c r="N1572">
        <v>0</v>
      </c>
      <c r="O1572">
        <v>3.5213189999999998E-2</v>
      </c>
      <c r="P1572">
        <v>-0.98634549999999999</v>
      </c>
      <c r="Q1572">
        <v>-3.5404249999999998E-2</v>
      </c>
      <c r="R1572">
        <v>0.16083929999999999</v>
      </c>
      <c r="S1572">
        <v>-3.0152890000000001</v>
      </c>
      <c r="T1572">
        <v>-0.1302893</v>
      </c>
      <c r="U1572">
        <v>0.13220209999999999</v>
      </c>
      <c r="V1572">
        <v>0.12601760000000001</v>
      </c>
      <c r="W1572">
        <v>-2.7607969999999999E-2</v>
      </c>
      <c r="X1572">
        <v>0.99164379999999996</v>
      </c>
      <c r="Y1572">
        <v>8.6189769999999999E-3</v>
      </c>
      <c r="Z1572">
        <v>-1.3335899999999999E-3</v>
      </c>
      <c r="AA1572">
        <v>0.99996200000000002</v>
      </c>
      <c r="AB1572">
        <v>23</v>
      </c>
      <c r="AC1572">
        <v>-25.452100000000002</v>
      </c>
      <c r="AD1572">
        <v>-1.1095559878700001</v>
      </c>
      <c r="AE1572">
        <v>1.1180999999999699</v>
      </c>
      <c r="AF1572">
        <v>0.220711016970559</v>
      </c>
      <c r="AG1572">
        <v>-1.1095559878700001</v>
      </c>
      <c r="AH1572">
        <v>25.427457352679301</v>
      </c>
      <c r="AI1572">
        <v>92.498487372611294</v>
      </c>
      <c r="AJ1572">
        <v>89.502683574968302</v>
      </c>
      <c r="AK1572">
        <v>25.452611167924498</v>
      </c>
      <c r="AL1572">
        <v>91.582021126031407</v>
      </c>
      <c r="AM1572">
        <v>82.757700185305893</v>
      </c>
      <c r="AN1572">
        <v>1.00000003079785</v>
      </c>
    </row>
    <row r="1573" spans="1:40" x14ac:dyDescent="0.25">
      <c r="A1573" t="str">
        <f>"20190312161257821"</f>
        <v>20190312161257821</v>
      </c>
      <c r="B1573" t="str">
        <f>"1552378377817226"</f>
        <v>1552378377817226</v>
      </c>
      <c r="C1573" t="s">
        <v>40</v>
      </c>
      <c r="D1573">
        <v>5.3419379999999999</v>
      </c>
      <c r="E1573">
        <v>0.45613880000000001</v>
      </c>
      <c r="F1573" t="s">
        <v>74</v>
      </c>
      <c r="G1573">
        <v>-280.36219999999997</v>
      </c>
      <c r="H1573" s="1">
        <v>8.0970079999999906E-6</v>
      </c>
      <c r="I1573">
        <v>285.31619999999998</v>
      </c>
      <c r="J1573">
        <v>-251.4787</v>
      </c>
      <c r="K1573">
        <v>1.1095710000000001</v>
      </c>
      <c r="L1573">
        <v>284.02859999999998</v>
      </c>
      <c r="M1573">
        <v>-0.99936029999999998</v>
      </c>
      <c r="N1573">
        <v>0</v>
      </c>
      <c r="O1573">
        <v>3.4907229999999997E-2</v>
      </c>
      <c r="P1573">
        <v>-0.98635209999999995</v>
      </c>
      <c r="Q1573">
        <v>-3.4919550000000001E-2</v>
      </c>
      <c r="R1573">
        <v>0.16090550000000001</v>
      </c>
      <c r="S1573">
        <v>-3.0155180000000001</v>
      </c>
      <c r="T1573">
        <v>-0.1149694</v>
      </c>
      <c r="U1573">
        <v>0.13418579999999999</v>
      </c>
      <c r="V1573">
        <v>0.1263879</v>
      </c>
      <c r="W1573">
        <v>-2.713484E-2</v>
      </c>
      <c r="X1573">
        <v>0.99160970000000004</v>
      </c>
      <c r="Y1573">
        <v>9.5719150000000003E-3</v>
      </c>
      <c r="Z1573">
        <v>-1.146996E-3</v>
      </c>
      <c r="AA1573">
        <v>0.99995350000000005</v>
      </c>
      <c r="AB1573">
        <v>23</v>
      </c>
      <c r="AC1573">
        <v>-28.883499999999898</v>
      </c>
      <c r="AD1573">
        <v>-1.10956290299199</v>
      </c>
      <c r="AE1573">
        <v>1.2875999999999901</v>
      </c>
      <c r="AF1573">
        <v>0.27813213591939301</v>
      </c>
      <c r="AG1573">
        <v>-1.10956290299199</v>
      </c>
      <c r="AH1573">
        <v>28.868326896327201</v>
      </c>
      <c r="AI1573">
        <v>92.200995172963999</v>
      </c>
      <c r="AJ1573">
        <v>89.448000414214206</v>
      </c>
      <c r="AK1573">
        <v>28.890981034120902</v>
      </c>
      <c r="AL1573">
        <v>91.554902663537803</v>
      </c>
      <c r="AM1573">
        <v>82.736398677090904</v>
      </c>
      <c r="AN1573">
        <v>0.99999999897116199</v>
      </c>
    </row>
    <row r="1574" spans="1:40" x14ac:dyDescent="0.25">
      <c r="A1574" t="str">
        <f>"20190312161257844"</f>
        <v>20190312161257844</v>
      </c>
      <c r="B1574" t="str">
        <f>"1552378377837256"</f>
        <v>1552378377837256</v>
      </c>
      <c r="C1574" t="s">
        <v>40</v>
      </c>
      <c r="D1574">
        <v>5.3200440000000002</v>
      </c>
      <c r="E1574">
        <v>0.45636939999999998</v>
      </c>
      <c r="F1574" t="s">
        <v>74</v>
      </c>
      <c r="G1574">
        <v>-286.29239999999999</v>
      </c>
      <c r="H1574" s="1">
        <v>5.405018E-6</v>
      </c>
      <c r="I1574">
        <v>285.61709999999999</v>
      </c>
      <c r="J1574">
        <v>-251.71770000000001</v>
      </c>
      <c r="K1574">
        <v>1.1095900000000001</v>
      </c>
      <c r="L1574">
        <v>284.03660000000002</v>
      </c>
      <c r="M1574">
        <v>-0.99937299999999996</v>
      </c>
      <c r="N1574">
        <v>0</v>
      </c>
      <c r="O1574">
        <v>3.4545720000000002E-2</v>
      </c>
      <c r="P1574">
        <v>-0.98647309999999999</v>
      </c>
      <c r="Q1574">
        <v>-3.3933360000000003E-2</v>
      </c>
      <c r="R1574">
        <v>0.16037279999999901</v>
      </c>
      <c r="S1574">
        <v>-3.0156559999999999</v>
      </c>
      <c r="T1574">
        <v>-9.6113439999999994E-2</v>
      </c>
      <c r="U1574">
        <v>0.137603799999999</v>
      </c>
      <c r="V1574">
        <v>0.12621070000000001</v>
      </c>
      <c r="W1574">
        <v>-2.6157710000000001E-2</v>
      </c>
      <c r="X1574">
        <v>0.9916585</v>
      </c>
      <c r="Y1574">
        <v>1.105621E-2</v>
      </c>
      <c r="Z1574">
        <v>-9.2377180000000004E-4</v>
      </c>
      <c r="AA1574">
        <v>0.99993840000000001</v>
      </c>
      <c r="AB1574">
        <v>23</v>
      </c>
      <c r="AC1574">
        <v>-34.574699999999901</v>
      </c>
      <c r="AD1574">
        <v>-1.10958459498199</v>
      </c>
      <c r="AE1574">
        <v>1.58049999999997</v>
      </c>
      <c r="AF1574">
        <v>0.38471731103907503</v>
      </c>
      <c r="AG1574">
        <v>-1.10958459498199</v>
      </c>
      <c r="AH1574">
        <v>34.573129564803601</v>
      </c>
      <c r="AI1574">
        <v>91.838097082918793</v>
      </c>
      <c r="AJ1574">
        <v>89.362459552652297</v>
      </c>
      <c r="AK1574">
        <v>34.593069729174502</v>
      </c>
      <c r="AL1574">
        <v>91.498897388153495</v>
      </c>
      <c r="AM1574">
        <v>82.746827096215497</v>
      </c>
      <c r="AN1574">
        <v>0.99999997360459103</v>
      </c>
    </row>
    <row r="1575" spans="1:40" x14ac:dyDescent="0.25">
      <c r="A1575" t="str">
        <f>"20190312161257867"</f>
        <v>20190312161257867</v>
      </c>
      <c r="B1575" t="str">
        <f>"1552378377857753"</f>
        <v>1552378377857753</v>
      </c>
      <c r="C1575" t="s">
        <v>40</v>
      </c>
      <c r="D1575">
        <v>5.467848</v>
      </c>
      <c r="E1575">
        <v>0.45652090000000001</v>
      </c>
      <c r="F1575" t="s">
        <v>74</v>
      </c>
      <c r="G1575">
        <v>-291.43020000000001</v>
      </c>
      <c r="H1575" s="1">
        <v>2.3510870000000001E-6</v>
      </c>
      <c r="I1575">
        <v>285.85579999999999</v>
      </c>
      <c r="J1575">
        <v>-251.96010000000001</v>
      </c>
      <c r="K1575">
        <v>1.1096109999999999</v>
      </c>
      <c r="L1575">
        <v>284.04450000000003</v>
      </c>
      <c r="M1575">
        <v>-0.99938680000000002</v>
      </c>
      <c r="N1575">
        <v>0</v>
      </c>
      <c r="O1575">
        <v>3.4147440000000001E-2</v>
      </c>
      <c r="P1575">
        <v>-0.98662660000000002</v>
      </c>
      <c r="Q1575">
        <v>-3.3363879999999999E-2</v>
      </c>
      <c r="R1575">
        <v>0.1595471</v>
      </c>
      <c r="S1575">
        <v>-3.0157780000000001</v>
      </c>
      <c r="T1575">
        <v>-8.4262489999999995E-2</v>
      </c>
      <c r="U1575">
        <v>0.1381531</v>
      </c>
      <c r="V1575">
        <v>0.12577659999999999</v>
      </c>
      <c r="W1575">
        <v>-2.5593749999999998E-2</v>
      </c>
      <c r="X1575">
        <v>0.99172839999999995</v>
      </c>
      <c r="Y1575">
        <v>1.163149E-2</v>
      </c>
      <c r="Z1575">
        <v>-7.9073749999999997E-4</v>
      </c>
      <c r="AA1575">
        <v>0.99993209999999999</v>
      </c>
      <c r="AB1575">
        <v>23</v>
      </c>
      <c r="AC1575">
        <v>-39.470100000000002</v>
      </c>
      <c r="AD1575">
        <v>-1.1096086489129999</v>
      </c>
      <c r="AE1575">
        <v>1.8112999999999599</v>
      </c>
      <c r="AF1575">
        <v>0.462035916990229</v>
      </c>
      <c r="AG1575">
        <v>-1.1096086489129999</v>
      </c>
      <c r="AH1575">
        <v>39.477798467124501</v>
      </c>
      <c r="AI1575">
        <v>91.609887346020997</v>
      </c>
      <c r="AJ1575">
        <v>89.3294585705776</v>
      </c>
      <c r="AK1575">
        <v>39.496091963044101</v>
      </c>
      <c r="AL1575">
        <v>91.466573988242303</v>
      </c>
      <c r="AM1575">
        <v>82.772014061535899</v>
      </c>
      <c r="AN1575">
        <v>1.0000000062565899</v>
      </c>
    </row>
    <row r="1576" spans="1:40" x14ac:dyDescent="0.25">
      <c r="A1576" t="str">
        <f>"20190312161257890"</f>
        <v>20190312161257890</v>
      </c>
      <c r="B1576" t="str">
        <f>"1552378377877271"</f>
        <v>1552378377877271</v>
      </c>
      <c r="C1576" t="s">
        <v>40</v>
      </c>
      <c r="D1576">
        <v>5.3300559999999999</v>
      </c>
      <c r="E1576">
        <v>0.45663049999999999</v>
      </c>
      <c r="F1576" t="s">
        <v>74</v>
      </c>
      <c r="G1576">
        <v>-294.44130000000001</v>
      </c>
      <c r="H1576" s="1">
        <v>2.8748509999999999E-6</v>
      </c>
      <c r="I1576">
        <v>285.9742</v>
      </c>
      <c r="J1576">
        <v>-252.1961</v>
      </c>
      <c r="K1576">
        <v>1.1096360000000001</v>
      </c>
      <c r="L1576">
        <v>284.0521</v>
      </c>
      <c r="M1576">
        <v>-0.99940099999999998</v>
      </c>
      <c r="N1576">
        <v>0</v>
      </c>
      <c r="O1576">
        <v>3.372725E-2</v>
      </c>
      <c r="P1576">
        <v>-0.98673379999999999</v>
      </c>
      <c r="Q1576">
        <v>-3.3397169999999997E-2</v>
      </c>
      <c r="R1576">
        <v>0.15887479999999901</v>
      </c>
      <c r="S1576">
        <v>-3.015854</v>
      </c>
      <c r="T1576">
        <v>-7.8774090000000005E-2</v>
      </c>
      <c r="U1576">
        <v>0.13699339999999999</v>
      </c>
      <c r="V1576">
        <v>0.1255194</v>
      </c>
      <c r="W1576">
        <v>-2.5635930000000001E-2</v>
      </c>
      <c r="X1576">
        <v>0.99175990000000003</v>
      </c>
      <c r="Y1576">
        <v>1.1665790000000001E-2</v>
      </c>
      <c r="Z1576">
        <v>-7.2783369999999904E-4</v>
      </c>
      <c r="AA1576">
        <v>0.99993169999999998</v>
      </c>
      <c r="AB1576">
        <v>23</v>
      </c>
      <c r="AC1576">
        <v>-42.245199999999997</v>
      </c>
      <c r="AD1576">
        <v>-1.1096331251489999</v>
      </c>
      <c r="AE1576">
        <v>1.9220999999999999</v>
      </c>
      <c r="AF1576">
        <v>0.49580778807790099</v>
      </c>
      <c r="AG1576">
        <v>-1.1096331251489999</v>
      </c>
      <c r="AH1576">
        <v>42.256899266772301</v>
      </c>
      <c r="AI1576">
        <v>91.504093202772495</v>
      </c>
      <c r="AJ1576">
        <v>89.3277691761174</v>
      </c>
      <c r="AK1576">
        <v>42.274373403721697</v>
      </c>
      <c r="AL1576">
        <v>91.468991511982196</v>
      </c>
      <c r="AM1576">
        <v>82.7868653897428</v>
      </c>
      <c r="AN1576">
        <v>1.0000000099656601</v>
      </c>
    </row>
    <row r="1577" spans="1:40" x14ac:dyDescent="0.25">
      <c r="A1577" t="str">
        <f>"20190312161257910"</f>
        <v>20190312161257910</v>
      </c>
      <c r="B1577" t="str">
        <f>"1552378377907527"</f>
        <v>1552378377907527</v>
      </c>
      <c r="C1577" t="s">
        <v>40</v>
      </c>
      <c r="D1577">
        <v>5.4032539999999996</v>
      </c>
      <c r="E1577">
        <v>0.4226261</v>
      </c>
      <c r="F1577" t="s">
        <v>74</v>
      </c>
      <c r="G1577">
        <v>-295.86320000000001</v>
      </c>
      <c r="H1577" s="1">
        <v>3.123085E-6</v>
      </c>
      <c r="I1577">
        <v>286.01979999999998</v>
      </c>
      <c r="J1577">
        <v>-252.4101</v>
      </c>
      <c r="K1577">
        <v>1.1096509999999999</v>
      </c>
      <c r="L1577">
        <v>284.05889999999999</v>
      </c>
      <c r="M1577">
        <v>-0.99941469999999999</v>
      </c>
      <c r="N1577">
        <v>0</v>
      </c>
      <c r="O1577">
        <v>3.3324230000000003E-2</v>
      </c>
      <c r="P1577">
        <v>-0.98678489999999996</v>
      </c>
      <c r="Q1577">
        <v>-3.386339E-2</v>
      </c>
      <c r="R1577">
        <v>0.15845780000000001</v>
      </c>
      <c r="S1577">
        <v>-3.015854</v>
      </c>
      <c r="T1577">
        <v>-7.6636430000000005E-2</v>
      </c>
      <c r="U1577">
        <v>0.13589479999999901</v>
      </c>
      <c r="V1577">
        <v>0.12550219999999901</v>
      </c>
      <c r="W1577">
        <v>-2.6114490000000001E-2</v>
      </c>
      <c r="X1577">
        <v>0.99174960000000001</v>
      </c>
      <c r="Y1577">
        <v>1.170497E-2</v>
      </c>
      <c r="Z1577">
        <v>-6.9737259999999904E-4</v>
      </c>
      <c r="AA1577">
        <v>0.99993129999999997</v>
      </c>
      <c r="AB1577">
        <v>23</v>
      </c>
      <c r="AC1577">
        <v>-43.453099999999999</v>
      </c>
      <c r="AD1577">
        <v>-1.109647876915</v>
      </c>
      <c r="AE1577">
        <v>1.9608999999999801</v>
      </c>
      <c r="AF1577">
        <v>0.51139366217156301</v>
      </c>
      <c r="AG1577">
        <v>-1.109647876915</v>
      </c>
      <c r="AH1577">
        <v>43.466024318429298</v>
      </c>
      <c r="AI1577">
        <v>91.462290085850597</v>
      </c>
      <c r="AJ1577">
        <v>89.325925314949103</v>
      </c>
      <c r="AK1577">
        <v>43.483193442279997</v>
      </c>
      <c r="AL1577">
        <v>91.496420150414707</v>
      </c>
      <c r="AM1577">
        <v>82.787769287006299</v>
      </c>
      <c r="AN1577">
        <v>1.0000000189464799</v>
      </c>
    </row>
    <row r="1578" spans="1:40" x14ac:dyDescent="0.25">
      <c r="A1578" t="str">
        <f>"20190312161257932"</f>
        <v>20190312161257932</v>
      </c>
      <c r="B1578" t="str">
        <f>"1552378377927047"</f>
        <v>1552378377927047</v>
      </c>
      <c r="C1578" t="s">
        <v>40</v>
      </c>
      <c r="D1578">
        <v>8.6513309999999901</v>
      </c>
      <c r="E1578">
        <v>0.41417890000000002</v>
      </c>
      <c r="F1578" t="s">
        <v>73</v>
      </c>
      <c r="G1578">
        <v>-512.82560000000001</v>
      </c>
      <c r="H1578">
        <v>1.368277</v>
      </c>
      <c r="I1578">
        <v>273.01209999999998</v>
      </c>
      <c r="J1578">
        <v>-252.64760000000001</v>
      </c>
      <c r="K1578">
        <v>1.1096539999999999</v>
      </c>
      <c r="L1578">
        <v>284.06630000000001</v>
      </c>
      <c r="M1578">
        <v>-0.99943040000000005</v>
      </c>
      <c r="N1578">
        <v>0</v>
      </c>
      <c r="O1578">
        <v>3.2858850000000002E-2</v>
      </c>
      <c r="P1578">
        <v>-0.98686249999999998</v>
      </c>
      <c r="Q1578">
        <v>-3.3954169999999999E-2</v>
      </c>
      <c r="R1578">
        <v>0.15795429999999999</v>
      </c>
      <c r="S1578">
        <v>-3.0611269999999999</v>
      </c>
      <c r="T1578">
        <v>3.0410290000000002E-3</v>
      </c>
      <c r="U1578">
        <v>-0.1298523</v>
      </c>
      <c r="V1578">
        <v>0.12545899999999999</v>
      </c>
      <c r="W1578">
        <v>-2.6219969999999999E-2</v>
      </c>
      <c r="X1578">
        <v>0.99175230000000003</v>
      </c>
      <c r="Y1578">
        <v>-7.5189030000000004E-2</v>
      </c>
      <c r="Z1578" s="1">
        <v>6.9961580000000003E-5</v>
      </c>
      <c r="AA1578">
        <v>0.99716930000000004</v>
      </c>
      <c r="AB1578">
        <v>23</v>
      </c>
      <c r="AC1578">
        <v>-260.178</v>
      </c>
      <c r="AD1578">
        <v>0.25862299999999899</v>
      </c>
      <c r="AE1578">
        <v>-11.0542</v>
      </c>
      <c r="AF1578">
        <v>-19.597613893388399</v>
      </c>
      <c r="AG1578">
        <v>0.25862299999999899</v>
      </c>
      <c r="AH1578">
        <v>259.67400097008402</v>
      </c>
      <c r="AI1578">
        <v>89.943097956663394</v>
      </c>
      <c r="AJ1578">
        <v>94.3159345147197</v>
      </c>
      <c r="AK1578">
        <v>260.41259596260198</v>
      </c>
      <c r="AL1578">
        <v>91.502465753598202</v>
      </c>
      <c r="AM1578">
        <v>82.790245153647305</v>
      </c>
      <c r="AN1578">
        <v>1.00000003603154</v>
      </c>
    </row>
    <row r="1579" spans="1:40" x14ac:dyDescent="0.25">
      <c r="A1579" t="str">
        <f>"20190312161257955"</f>
        <v>20190312161257955</v>
      </c>
      <c r="B1579" t="str">
        <f>"1552378377947544"</f>
        <v>1552378377947544</v>
      </c>
      <c r="C1579" t="s">
        <v>40</v>
      </c>
      <c r="D1579">
        <v>5.4656779999999996</v>
      </c>
      <c r="E1579">
        <v>0.41682029999999998</v>
      </c>
      <c r="F1579" t="s">
        <v>73</v>
      </c>
      <c r="G1579">
        <v>-512.82650000000001</v>
      </c>
      <c r="H1579">
        <v>3.999485</v>
      </c>
      <c r="I1579">
        <v>267.39870000000002</v>
      </c>
      <c r="J1579">
        <v>-252.88249999999999</v>
      </c>
      <c r="K1579">
        <v>1.10965</v>
      </c>
      <c r="L1579">
        <v>284.07350000000002</v>
      </c>
      <c r="M1579">
        <v>-0.99944580000000005</v>
      </c>
      <c r="N1579">
        <v>0</v>
      </c>
      <c r="O1579">
        <v>3.2387619999999999E-2</v>
      </c>
      <c r="P1579">
        <v>-0.98697409999999997</v>
      </c>
      <c r="Q1579">
        <v>-3.3756380000000002E-2</v>
      </c>
      <c r="R1579">
        <v>0.15729849999999901</v>
      </c>
      <c r="S1579">
        <v>-3.072632</v>
      </c>
      <c r="T1579">
        <v>3.4128899999999997E-2</v>
      </c>
      <c r="U1579">
        <v>-0.1968384</v>
      </c>
      <c r="V1579">
        <v>0.12526760000000001</v>
      </c>
      <c r="W1579">
        <v>-2.6035599999999999E-2</v>
      </c>
      <c r="X1579">
        <v>0.99178129999999998</v>
      </c>
      <c r="Y1579">
        <v>-9.6211640000000001E-2</v>
      </c>
      <c r="Z1579">
        <v>8.9318539999999895E-4</v>
      </c>
      <c r="AA1579">
        <v>0.99536049999999998</v>
      </c>
      <c r="AB1579">
        <v>24</v>
      </c>
      <c r="AC1579">
        <v>-259.94400000000002</v>
      </c>
      <c r="AD1579">
        <v>2.8898350000000002</v>
      </c>
      <c r="AE1579">
        <v>-16.674800000000001</v>
      </c>
      <c r="AF1579">
        <v>-25.082180812278299</v>
      </c>
      <c r="AG1579">
        <v>2.8898350000000002</v>
      </c>
      <c r="AH1579">
        <v>259.23564007918998</v>
      </c>
      <c r="AI1579">
        <v>89.364288891042605</v>
      </c>
      <c r="AJ1579">
        <v>95.526414832966594</v>
      </c>
      <c r="AK1579">
        <v>260.46225067731899</v>
      </c>
      <c r="AL1579">
        <v>91.491898598886095</v>
      </c>
      <c r="AM1579">
        <v>82.801337150032296</v>
      </c>
      <c r="AN1579">
        <v>0.99999998555340497</v>
      </c>
    </row>
    <row r="1580" spans="1:40" x14ac:dyDescent="0.25">
      <c r="A1580" t="str">
        <f>"20190312161257968"</f>
        <v>20190312161257968</v>
      </c>
      <c r="B1580" t="str">
        <f>"1552378377957304"</f>
        <v>1552378377957304</v>
      </c>
      <c r="C1580" t="s">
        <v>40</v>
      </c>
      <c r="D1580">
        <v>5.427136</v>
      </c>
      <c r="E1580">
        <v>0.41749740000000002</v>
      </c>
      <c r="F1580" t="s">
        <v>73</v>
      </c>
      <c r="G1580">
        <v>-512.82579999999996</v>
      </c>
      <c r="H1580">
        <v>1.945117</v>
      </c>
      <c r="I1580">
        <v>268.91590000000002</v>
      </c>
      <c r="J1580">
        <v>-253.02170000000001</v>
      </c>
      <c r="K1580">
        <v>1.10965</v>
      </c>
      <c r="L1580">
        <v>284.07769999999999</v>
      </c>
      <c r="M1580">
        <v>-0.99945499999999998</v>
      </c>
      <c r="N1580">
        <v>0</v>
      </c>
      <c r="O1580">
        <v>3.2105889999999998E-2</v>
      </c>
      <c r="P1580">
        <v>-0.98698319999999995</v>
      </c>
      <c r="Q1580">
        <v>-3.3884259999999999E-2</v>
      </c>
      <c r="R1580">
        <v>0.15721370000000001</v>
      </c>
      <c r="S1580">
        <v>-3.068451</v>
      </c>
      <c r="T1580">
        <v>9.8630190000000006E-3</v>
      </c>
      <c r="U1580">
        <v>-0.17892459999999999</v>
      </c>
      <c r="V1580">
        <v>0.1254623</v>
      </c>
      <c r="W1580">
        <v>-2.6171159999999999E-2</v>
      </c>
      <c r="X1580">
        <v>0.9917532</v>
      </c>
      <c r="Y1580">
        <v>-9.0233910000000001E-2</v>
      </c>
      <c r="Z1580">
        <v>2.4802240000000001E-4</v>
      </c>
      <c r="AA1580">
        <v>0.99592060000000004</v>
      </c>
      <c r="AB1580">
        <v>24</v>
      </c>
      <c r="AC1580">
        <v>-259.80409999999898</v>
      </c>
      <c r="AD1580">
        <v>0.83546699999999896</v>
      </c>
      <c r="AE1580">
        <v>-15.1617999999999</v>
      </c>
      <c r="AF1580">
        <v>-23.495228659088099</v>
      </c>
      <c r="AG1580">
        <v>0.83546699999999896</v>
      </c>
      <c r="AH1580">
        <v>259.18068754764801</v>
      </c>
      <c r="AI1580">
        <v>89.816062351940701</v>
      </c>
      <c r="AJ1580">
        <v>95.179814912645497</v>
      </c>
      <c r="AK1580">
        <v>260.24479355507202</v>
      </c>
      <c r="AL1580">
        <v>91.499668144691697</v>
      </c>
      <c r="AM1580">
        <v>82.7900639821585</v>
      </c>
      <c r="AN1580">
        <v>1.00000006402363</v>
      </c>
    </row>
    <row r="1581" spans="1:40" x14ac:dyDescent="0.25">
      <c r="A1581" t="str">
        <f>"20190312161257990"</f>
        <v>20190312161257990</v>
      </c>
      <c r="B1581" t="str">
        <f>"1552378377977800"</f>
        <v>1552378377977800</v>
      </c>
      <c r="C1581" t="s">
        <v>40</v>
      </c>
      <c r="D1581">
        <v>5.4203890000000001</v>
      </c>
      <c r="E1581">
        <v>0.41876550000000001</v>
      </c>
      <c r="F1581" t="s">
        <v>73</v>
      </c>
      <c r="G1581">
        <v>-512.82569999999998</v>
      </c>
      <c r="H1581">
        <v>1.5623959999999999</v>
      </c>
      <c r="I1581">
        <v>269.31920000000002</v>
      </c>
      <c r="J1581">
        <v>-253.2508</v>
      </c>
      <c r="K1581">
        <v>1.10965</v>
      </c>
      <c r="L1581">
        <v>284.08460000000002</v>
      </c>
      <c r="M1581">
        <v>-0.99946990000000002</v>
      </c>
      <c r="N1581">
        <v>0</v>
      </c>
      <c r="O1581">
        <v>3.1640509999999997E-2</v>
      </c>
      <c r="P1581">
        <v>-0.98705180000000003</v>
      </c>
      <c r="Q1581">
        <v>-3.4469149999999997E-2</v>
      </c>
      <c r="R1581">
        <v>0.15665499999999999</v>
      </c>
      <c r="S1581">
        <v>-3.0675349999999999</v>
      </c>
      <c r="T1581">
        <v>5.3465369999999898E-3</v>
      </c>
      <c r="U1581">
        <v>-0.17425539999999901</v>
      </c>
      <c r="V1581">
        <v>0.1253638</v>
      </c>
      <c r="W1581">
        <v>-2.6772899999999999E-2</v>
      </c>
      <c r="X1581">
        <v>0.99174949999999995</v>
      </c>
      <c r="Y1581">
        <v>-8.8276830000000001E-2</v>
      </c>
      <c r="Z1581">
        <v>1.319789E-4</v>
      </c>
      <c r="AA1581">
        <v>0.99609599999999998</v>
      </c>
      <c r="AB1581">
        <v>24</v>
      </c>
      <c r="AC1581">
        <v>-259.57490000000001</v>
      </c>
      <c r="AD1581">
        <v>0.45274599999999898</v>
      </c>
      <c r="AE1581">
        <v>-14.7654</v>
      </c>
      <c r="AF1581">
        <v>-22.971260757479602</v>
      </c>
      <c r="AG1581">
        <v>0.45274599999999898</v>
      </c>
      <c r="AH1581">
        <v>258.97694293192501</v>
      </c>
      <c r="AI1581">
        <v>89.900226788125096</v>
      </c>
      <c r="AJ1581">
        <v>95.068871285563205</v>
      </c>
      <c r="AK1581">
        <v>259.99411679900402</v>
      </c>
      <c r="AL1581">
        <v>91.534157535276506</v>
      </c>
      <c r="AM1581">
        <v>82.7956383838996</v>
      </c>
      <c r="AN1581">
        <v>0.99999997063754897</v>
      </c>
    </row>
    <row r="1582" spans="1:40" x14ac:dyDescent="0.25">
      <c r="A1582" t="str">
        <f>"20190312161258010"</f>
        <v>20190312161258010</v>
      </c>
      <c r="B1582" t="str">
        <f>"1552378377997320"</f>
        <v>1552378377997320</v>
      </c>
      <c r="C1582" t="s">
        <v>40</v>
      </c>
      <c r="D1582">
        <v>5.5435249999999998</v>
      </c>
      <c r="E1582">
        <v>0.41940100000000002</v>
      </c>
      <c r="F1582" t="s">
        <v>73</v>
      </c>
      <c r="G1582">
        <v>-512.82550000000003</v>
      </c>
      <c r="H1582">
        <v>1.110984</v>
      </c>
      <c r="I1582">
        <v>270.02019999999999</v>
      </c>
      <c r="J1582">
        <v>-253.46299999999999</v>
      </c>
      <c r="K1582">
        <v>1.1096440000000001</v>
      </c>
      <c r="L1582">
        <v>284.0908</v>
      </c>
      <c r="M1582">
        <v>-0.99948360000000003</v>
      </c>
      <c r="N1582">
        <v>0</v>
      </c>
      <c r="O1582">
        <v>3.1210849999999998E-2</v>
      </c>
      <c r="P1582">
        <v>-0.98702270000000003</v>
      </c>
      <c r="Q1582">
        <v>-3.5260890000000003E-2</v>
      </c>
      <c r="R1582">
        <v>0.15666229999999901</v>
      </c>
      <c r="S1582">
        <v>-3.0657040000000002</v>
      </c>
      <c r="T1582" s="1">
        <v>1.66893E-5</v>
      </c>
      <c r="U1582">
        <v>-0.16610720000000001</v>
      </c>
      <c r="V1582">
        <v>0.12579889999999999</v>
      </c>
      <c r="W1582">
        <v>-2.7583409999999999E-2</v>
      </c>
      <c r="X1582">
        <v>0.9916722</v>
      </c>
      <c r="Y1582">
        <v>-8.5242709999999999E-2</v>
      </c>
      <c r="Z1582" s="1">
        <v>4.0165860000000002E-7</v>
      </c>
      <c r="AA1582">
        <v>0.99636020000000003</v>
      </c>
      <c r="AB1582">
        <v>24</v>
      </c>
      <c r="AC1582">
        <v>-259.36250000000001</v>
      </c>
      <c r="AD1582">
        <v>1.3399999999998901E-3</v>
      </c>
      <c r="AE1582">
        <v>-14.070600000000001</v>
      </c>
      <c r="AF1582">
        <v>-22.158905253372399</v>
      </c>
      <c r="AG1582">
        <v>1.3399999999998901E-3</v>
      </c>
      <c r="AH1582">
        <v>258.79696888679098</v>
      </c>
      <c r="AI1582">
        <v>89.999704415204206</v>
      </c>
      <c r="AJ1582">
        <v>94.893885413424101</v>
      </c>
      <c r="AK1582">
        <v>259.74388960823399</v>
      </c>
      <c r="AL1582">
        <v>91.580613485933895</v>
      </c>
      <c r="AM1582">
        <v>82.770340746084898</v>
      </c>
      <c r="AN1582">
        <v>0.99999998000063794</v>
      </c>
    </row>
    <row r="1583" spans="1:40" x14ac:dyDescent="0.25">
      <c r="A1583" t="str">
        <f>"20190312161258022"</f>
        <v>20190312161258022</v>
      </c>
      <c r="B1583" t="str">
        <f>"1552378378017816"</f>
        <v>1552378378017816</v>
      </c>
      <c r="C1583" t="s">
        <v>40</v>
      </c>
      <c r="D1583">
        <v>5.4112419999999997</v>
      </c>
      <c r="E1583">
        <v>0.41952020000000001</v>
      </c>
      <c r="F1583" t="s">
        <v>73</v>
      </c>
      <c r="G1583">
        <v>-512.82529999999997</v>
      </c>
      <c r="H1583">
        <v>0.57205399999999995</v>
      </c>
      <c r="I1583">
        <v>270.4522</v>
      </c>
      <c r="J1583">
        <v>-253.6045</v>
      </c>
      <c r="K1583">
        <v>1.1096410000000001</v>
      </c>
      <c r="L1583">
        <v>284.0949</v>
      </c>
      <c r="M1583">
        <v>-0.99949250000000001</v>
      </c>
      <c r="N1583">
        <v>0</v>
      </c>
      <c r="O1583">
        <v>3.0927010000000001E-2</v>
      </c>
      <c r="P1583">
        <v>-0.9870428</v>
      </c>
      <c r="Q1583">
        <v>-3.5370770000000003E-2</v>
      </c>
      <c r="R1583">
        <v>0.15651019999999999</v>
      </c>
      <c r="S1583">
        <v>-3.0648040000000001</v>
      </c>
      <c r="T1583">
        <v>-6.3515899999999998E-3</v>
      </c>
      <c r="U1583">
        <v>-0.16116329999999901</v>
      </c>
      <c r="V1583">
        <v>0.12592780000000001</v>
      </c>
      <c r="W1583">
        <v>-2.770533E-2</v>
      </c>
      <c r="X1583">
        <v>0.99165250000000005</v>
      </c>
      <c r="Y1583">
        <v>-8.3372520000000006E-2</v>
      </c>
      <c r="Z1583">
        <v>-1.5038900000000001E-4</v>
      </c>
      <c r="AA1583">
        <v>0.99651840000000003</v>
      </c>
      <c r="AB1583">
        <v>24</v>
      </c>
      <c r="AC1583">
        <v>-259.22079999999897</v>
      </c>
      <c r="AD1583">
        <v>-0.53758699999999904</v>
      </c>
      <c r="AE1583">
        <v>-13.6426999999999</v>
      </c>
      <c r="AF1583">
        <v>-21.653238530469299</v>
      </c>
      <c r="AG1583">
        <v>-0.53758699999999904</v>
      </c>
      <c r="AH1583">
        <v>258.67374370280697</v>
      </c>
      <c r="AI1583">
        <v>90.118659399251399</v>
      </c>
      <c r="AJ1583">
        <v>94.784998687198495</v>
      </c>
      <c r="AK1583">
        <v>259.57900034453002</v>
      </c>
      <c r="AL1583">
        <v>91.587601565444601</v>
      </c>
      <c r="AM1583">
        <v>82.762869122049295</v>
      </c>
      <c r="AN1583">
        <v>1.0000000384397401</v>
      </c>
    </row>
    <row r="1584" spans="1:40" x14ac:dyDescent="0.25">
      <c r="A1584" t="str">
        <f>"20190312161258036"</f>
        <v>20190312161258036</v>
      </c>
      <c r="B1584" t="str">
        <f>"1552378378027576"</f>
        <v>1552378378027576</v>
      </c>
      <c r="C1584" t="s">
        <v>40</v>
      </c>
      <c r="D1584">
        <v>5.5334149999999998</v>
      </c>
      <c r="E1584">
        <v>0.41985739999999999</v>
      </c>
      <c r="F1584" t="s">
        <v>73</v>
      </c>
      <c r="G1584">
        <v>-512.82529999999997</v>
      </c>
      <c r="H1584">
        <v>0.30380079999999998</v>
      </c>
      <c r="I1584">
        <v>270.49349999999998</v>
      </c>
      <c r="J1584">
        <v>-253.75229999999999</v>
      </c>
      <c r="K1584">
        <v>1.109639</v>
      </c>
      <c r="L1584">
        <v>284.0992</v>
      </c>
      <c r="M1584">
        <v>-0.99950159999999999</v>
      </c>
      <c r="N1584">
        <v>0</v>
      </c>
      <c r="O1584">
        <v>3.063244E-2</v>
      </c>
      <c r="P1584">
        <v>-0.98707780000000001</v>
      </c>
      <c r="Q1584">
        <v>-3.55199E-2</v>
      </c>
      <c r="R1584">
        <v>0.1562558</v>
      </c>
      <c r="S1584">
        <v>-3.0645289999999998</v>
      </c>
      <c r="T1584">
        <v>-9.5257759999999997E-3</v>
      </c>
      <c r="U1584">
        <v>-0.1607971</v>
      </c>
      <c r="V1584">
        <v>0.12596479999999999</v>
      </c>
      <c r="W1584">
        <v>-2.7865879999999999E-2</v>
      </c>
      <c r="X1584">
        <v>0.99164319999999895</v>
      </c>
      <c r="Y1584">
        <v>-8.296444E-2</v>
      </c>
      <c r="Z1584">
        <v>-2.240171E-4</v>
      </c>
      <c r="AA1584">
        <v>0.99655249999999995</v>
      </c>
      <c r="AB1584">
        <v>24</v>
      </c>
      <c r="AC1584">
        <v>-259.07299999999998</v>
      </c>
      <c r="AD1584">
        <v>-0.80583819999999995</v>
      </c>
      <c r="AE1584">
        <v>-13.605700000000001</v>
      </c>
      <c r="AF1584">
        <v>-21.5353760161276</v>
      </c>
      <c r="AG1584">
        <v>-0.80583819999999995</v>
      </c>
      <c r="AH1584">
        <v>258.532131948276</v>
      </c>
      <c r="AI1584">
        <v>90.177972561202907</v>
      </c>
      <c r="AJ1584">
        <v>94.7616678386931</v>
      </c>
      <c r="AK1584">
        <v>259.42876680329999</v>
      </c>
      <c r="AL1584">
        <v>91.596804117344107</v>
      </c>
      <c r="AM1584">
        <v>82.760698097530906</v>
      </c>
      <c r="AN1584">
        <v>0.99999993710672497</v>
      </c>
    </row>
    <row r="1585" spans="1:40" x14ac:dyDescent="0.25">
      <c r="A1585" t="str">
        <f>"20190312161258057"</f>
        <v>20190312161258057</v>
      </c>
      <c r="B1585" t="str">
        <f>"1552378378047096"</f>
        <v>1552378378047096</v>
      </c>
      <c r="C1585" t="s">
        <v>40</v>
      </c>
      <c r="D1585">
        <v>5.4587309999999896</v>
      </c>
      <c r="E1585">
        <v>0.42029060000000001</v>
      </c>
      <c r="F1585" t="s">
        <v>73</v>
      </c>
      <c r="G1585">
        <v>-512.8252</v>
      </c>
      <c r="H1585">
        <v>7.2891059999999994E-2</v>
      </c>
      <c r="I1585">
        <v>270.64769999999999</v>
      </c>
      <c r="J1585">
        <v>-253.96680000000001</v>
      </c>
      <c r="K1585">
        <v>1.109632</v>
      </c>
      <c r="L1585">
        <v>284.1053</v>
      </c>
      <c r="M1585">
        <v>-0.99951469999999998</v>
      </c>
      <c r="N1585">
        <v>0</v>
      </c>
      <c r="O1585">
        <v>3.0208539999999999E-2</v>
      </c>
      <c r="P1585">
        <v>-0.98714179999999996</v>
      </c>
      <c r="Q1585">
        <v>-3.5329600000000003E-2</v>
      </c>
      <c r="R1585">
        <v>0.15589529999999999</v>
      </c>
      <c r="S1585">
        <v>-3.0639949999999998</v>
      </c>
      <c r="T1585">
        <v>-1.2260439999999999E-2</v>
      </c>
      <c r="U1585">
        <v>-0.15908810000000001</v>
      </c>
      <c r="V1585">
        <v>0.12602289999999999</v>
      </c>
      <c r="W1585">
        <v>-2.769195E-2</v>
      </c>
      <c r="X1585">
        <v>0.99164070000000004</v>
      </c>
      <c r="Y1585">
        <v>-8.1996169999999993E-2</v>
      </c>
      <c r="Z1585">
        <v>-2.8475050000000002E-4</v>
      </c>
      <c r="AA1585">
        <v>0.99663259999999998</v>
      </c>
      <c r="AB1585">
        <v>24</v>
      </c>
      <c r="AC1585">
        <v>-258.85840000000002</v>
      </c>
      <c r="AD1585">
        <v>-1.0367409400000001</v>
      </c>
      <c r="AE1585">
        <v>-13.457599999999999</v>
      </c>
      <c r="AF1585">
        <v>-21.271077924227001</v>
      </c>
      <c r="AG1585">
        <v>-1.0367409400000001</v>
      </c>
      <c r="AH1585">
        <v>258.32957608506598</v>
      </c>
      <c r="AI1585">
        <v>90.229165449298705</v>
      </c>
      <c r="AJ1585">
        <v>94.707164368202399</v>
      </c>
      <c r="AK1585">
        <v>259.20590940046998</v>
      </c>
      <c r="AL1585">
        <v>91.586834799374699</v>
      </c>
      <c r="AM1585">
        <v>82.757376424794998</v>
      </c>
      <c r="AN1585">
        <v>0.99999994665784997</v>
      </c>
    </row>
    <row r="1586" spans="1:40" x14ac:dyDescent="0.25">
      <c r="A1586" t="str">
        <f>"20190312161258081"</f>
        <v>20190312161258081</v>
      </c>
      <c r="B1586" t="str">
        <f>"1552378378077352"</f>
        <v>1552378378077352</v>
      </c>
      <c r="C1586" t="s">
        <v>40</v>
      </c>
      <c r="D1586">
        <v>5.5540190000000003</v>
      </c>
      <c r="E1586">
        <v>0.42034179999999999</v>
      </c>
      <c r="F1586" t="s">
        <v>41</v>
      </c>
      <c r="G1586">
        <v>-477.5444</v>
      </c>
      <c r="H1586">
        <v>-0.05</v>
      </c>
      <c r="I1586">
        <v>272.66090000000003</v>
      </c>
      <c r="J1586">
        <v>-254.2149</v>
      </c>
      <c r="K1586">
        <v>1.109629</v>
      </c>
      <c r="L1586">
        <v>284.1123</v>
      </c>
      <c r="M1586">
        <v>-0.99952949999999996</v>
      </c>
      <c r="N1586">
        <v>0</v>
      </c>
      <c r="O1586">
        <v>2.9721790000000001E-2</v>
      </c>
      <c r="P1586">
        <v>-0.98724319999999999</v>
      </c>
      <c r="Q1586">
        <v>-3.5032250000000001E-2</v>
      </c>
      <c r="R1586">
        <v>0.15531909999999999</v>
      </c>
      <c r="S1586">
        <v>-3.0632320000000002</v>
      </c>
      <c r="T1586">
        <v>-1.5888090000000001E-2</v>
      </c>
      <c r="U1586">
        <v>-0.1567993</v>
      </c>
      <c r="V1586">
        <v>0.1259266</v>
      </c>
      <c r="W1586">
        <v>-2.7416220000000002E-2</v>
      </c>
      <c r="X1586">
        <v>0.99166069999999995</v>
      </c>
      <c r="Y1586">
        <v>-8.0780329999999997E-2</v>
      </c>
      <c r="Z1586">
        <v>-3.6342679999999997E-4</v>
      </c>
      <c r="AA1586">
        <v>0.9967319</v>
      </c>
      <c r="AB1586">
        <v>24</v>
      </c>
      <c r="AC1586">
        <v>-223.3295</v>
      </c>
      <c r="AD1586">
        <v>-1.159629</v>
      </c>
      <c r="AE1586">
        <v>-11.4513999999999</v>
      </c>
      <c r="AF1586">
        <v>-18.083797296817</v>
      </c>
      <c r="AG1586">
        <v>-1.159629</v>
      </c>
      <c r="AH1586">
        <v>222.884470157035</v>
      </c>
      <c r="AI1586">
        <v>90.297120909482501</v>
      </c>
      <c r="AJ1586">
        <v>94.638549370000902</v>
      </c>
      <c r="AK1586">
        <v>223.61989066554901</v>
      </c>
      <c r="AL1586">
        <v>91.5710304689011</v>
      </c>
      <c r="AM1586">
        <v>82.762996563926606</v>
      </c>
      <c r="AN1586">
        <v>1.00000005081556</v>
      </c>
    </row>
    <row r="1587" spans="1:40" x14ac:dyDescent="0.25">
      <c r="A1587" t="str">
        <f>"20190312161258101"</f>
        <v>20190312161258101</v>
      </c>
      <c r="B1587" t="str">
        <f>"1552378378096872"</f>
        <v>1552378378096872</v>
      </c>
      <c r="C1587" t="s">
        <v>40</v>
      </c>
      <c r="D1587">
        <v>5.4851320000000001</v>
      </c>
      <c r="E1587">
        <v>0.42061209999999999</v>
      </c>
      <c r="F1587" t="s">
        <v>74</v>
      </c>
      <c r="G1587">
        <v>-431.90910000000002</v>
      </c>
      <c r="H1587">
        <v>8.0001379999999997E-2</v>
      </c>
      <c r="I1587">
        <v>274.92039999999997</v>
      </c>
      <c r="J1587">
        <v>-254.44499999999999</v>
      </c>
      <c r="K1587">
        <v>1.1096299999999999</v>
      </c>
      <c r="L1587">
        <v>284.11860000000001</v>
      </c>
      <c r="M1587">
        <v>-0.99954290000000001</v>
      </c>
      <c r="N1587">
        <v>0</v>
      </c>
      <c r="O1587">
        <v>2.9273299999999999E-2</v>
      </c>
      <c r="P1587">
        <v>-0.98733510000000002</v>
      </c>
      <c r="Q1587">
        <v>-3.4985299999999997E-2</v>
      </c>
      <c r="R1587">
        <v>0.15474299999999999</v>
      </c>
      <c r="S1587">
        <v>-3.0630489999999999</v>
      </c>
      <c r="T1587">
        <v>-1.7748480000000001E-2</v>
      </c>
      <c r="U1587">
        <v>-0.15844730000000001</v>
      </c>
      <c r="V1587">
        <v>0.12579280000000001</v>
      </c>
      <c r="W1587">
        <v>-2.73902E-2</v>
      </c>
      <c r="X1587">
        <v>0.99167839999999996</v>
      </c>
      <c r="Y1587">
        <v>-8.0870600000000001E-2</v>
      </c>
      <c r="Z1587">
        <v>-4.0366369999999998E-4</v>
      </c>
      <c r="AA1587">
        <v>0.99672450000000001</v>
      </c>
      <c r="AB1587">
        <v>24</v>
      </c>
      <c r="AC1587">
        <v>-177.4641</v>
      </c>
      <c r="AD1587">
        <v>-1.02962862</v>
      </c>
      <c r="AE1587">
        <v>-9.1982000000000408</v>
      </c>
      <c r="AF1587">
        <v>-14.3888828503675</v>
      </c>
      <c r="AG1587">
        <v>-1.02962862</v>
      </c>
      <c r="AH1587">
        <v>177.11282720047501</v>
      </c>
      <c r="AI1587">
        <v>90.331986073603204</v>
      </c>
      <c r="AJ1587">
        <v>94.644585317384198</v>
      </c>
      <c r="AK1587">
        <v>177.699334955767</v>
      </c>
      <c r="AL1587">
        <v>91.569539073515301</v>
      </c>
      <c r="AM1587">
        <v>82.770732323602004</v>
      </c>
      <c r="AN1587">
        <v>1.00000005030721</v>
      </c>
    </row>
    <row r="1588" spans="1:40" x14ac:dyDescent="0.25">
      <c r="A1588" t="str">
        <f>"20190312161258122"</f>
        <v>20190312161258122</v>
      </c>
      <c r="B1588" t="str">
        <f>"1552378378117368"</f>
        <v>1552378378117368</v>
      </c>
      <c r="C1588" t="s">
        <v>40</v>
      </c>
      <c r="D1588">
        <v>5.557531</v>
      </c>
      <c r="E1588">
        <v>0.42048049999999998</v>
      </c>
      <c r="F1588" t="s">
        <v>74</v>
      </c>
      <c r="G1588">
        <v>-402.96249999999998</v>
      </c>
      <c r="H1588">
        <v>8.0001530000000001E-2</v>
      </c>
      <c r="I1588">
        <v>276.44349999999997</v>
      </c>
      <c r="J1588">
        <v>-254.6644</v>
      </c>
      <c r="K1588">
        <v>1.109626</v>
      </c>
      <c r="L1588">
        <v>284.12459999999999</v>
      </c>
      <c r="M1588">
        <v>-0.99955550000000004</v>
      </c>
      <c r="N1588">
        <v>0</v>
      </c>
      <c r="O1588">
        <v>2.8847149999999998E-2</v>
      </c>
      <c r="P1588">
        <v>-0.98750910000000003</v>
      </c>
      <c r="Q1588">
        <v>-3.4888469999999998E-2</v>
      </c>
      <c r="R1588">
        <v>0.15365109999999901</v>
      </c>
      <c r="S1588">
        <v>-3.0625149999999999</v>
      </c>
      <c r="T1588">
        <v>-2.1231529999999998E-2</v>
      </c>
      <c r="U1588">
        <v>-0.15826419999999999</v>
      </c>
      <c r="V1588">
        <v>0.12511900000000001</v>
      </c>
      <c r="W1588">
        <v>-2.7314129999999999E-2</v>
      </c>
      <c r="X1588">
        <v>0.99176569999999997</v>
      </c>
      <c r="Y1588">
        <v>-8.0394409999999999E-2</v>
      </c>
      <c r="Z1588">
        <v>-4.7836180000000001E-4</v>
      </c>
      <c r="AA1588">
        <v>0.99676299999999995</v>
      </c>
      <c r="AB1588">
        <v>24</v>
      </c>
      <c r="AC1588">
        <v>-148.29809999999901</v>
      </c>
      <c r="AD1588">
        <v>-1.0296244699999999</v>
      </c>
      <c r="AE1588">
        <v>-7.6811000000000096</v>
      </c>
      <c r="AF1588">
        <v>-11.9554271492044</v>
      </c>
      <c r="AG1588">
        <v>-1.0296244699999999</v>
      </c>
      <c r="AH1588">
        <v>148.007680281429</v>
      </c>
      <c r="AI1588">
        <v>90.397281236164702</v>
      </c>
      <c r="AJ1588">
        <v>94.618081448381702</v>
      </c>
      <c r="AK1588">
        <v>148.49331899839399</v>
      </c>
      <c r="AL1588">
        <v>91.565179008112594</v>
      </c>
      <c r="AM1588">
        <v>82.809675298080293</v>
      </c>
      <c r="AN1588">
        <v>1.0000000147775701</v>
      </c>
    </row>
    <row r="1589" spans="1:40" x14ac:dyDescent="0.25">
      <c r="A1589" t="str">
        <f>"20190312161258145"</f>
        <v>20190312161258145</v>
      </c>
      <c r="B1589" t="str">
        <f>"1552378378137864"</f>
        <v>1552378378137864</v>
      </c>
      <c r="C1589" t="s">
        <v>40</v>
      </c>
      <c r="D1589">
        <v>5.5855329999999999</v>
      </c>
      <c r="E1589">
        <v>0.42083419999999999</v>
      </c>
      <c r="F1589" t="s">
        <v>74</v>
      </c>
      <c r="G1589">
        <v>-402.85079999999999</v>
      </c>
      <c r="H1589">
        <v>8.0001559999999999E-2</v>
      </c>
      <c r="I1589">
        <v>276.24799999999999</v>
      </c>
      <c r="J1589">
        <v>-254.92410000000001</v>
      </c>
      <c r="K1589">
        <v>1.1096189999999999</v>
      </c>
      <c r="L1589">
        <v>284.13150000000002</v>
      </c>
      <c r="M1589">
        <v>-0.99957010000000002</v>
      </c>
      <c r="N1589">
        <v>0</v>
      </c>
      <c r="O1589">
        <v>2.834279E-2</v>
      </c>
      <c r="P1589">
        <v>-0.98770170000000002</v>
      </c>
      <c r="Q1589">
        <v>-3.469763E-2</v>
      </c>
      <c r="R1589">
        <v>0.15245149999999999</v>
      </c>
      <c r="S1589">
        <v>-3.0625149999999999</v>
      </c>
      <c r="T1589">
        <v>-2.127886E-2</v>
      </c>
      <c r="U1589">
        <v>-0.1627808</v>
      </c>
      <c r="V1589">
        <v>0.1244147</v>
      </c>
      <c r="W1589">
        <v>-2.715364E-2</v>
      </c>
      <c r="X1589">
        <v>0.99185869999999998</v>
      </c>
      <c r="Y1589">
        <v>-8.1357369999999998E-2</v>
      </c>
      <c r="Z1589">
        <v>-4.7925129999999998E-4</v>
      </c>
      <c r="AA1589">
        <v>0.99668489999999998</v>
      </c>
      <c r="AB1589">
        <v>24</v>
      </c>
      <c r="AC1589">
        <v>-147.92669999999899</v>
      </c>
      <c r="AD1589">
        <v>-1.02961744</v>
      </c>
      <c r="AE1589">
        <v>-7.8835000000000202</v>
      </c>
      <c r="AF1589">
        <v>-12.072522938269101</v>
      </c>
      <c r="AG1589">
        <v>-1.02961744</v>
      </c>
      <c r="AH1589">
        <v>147.63669010286</v>
      </c>
      <c r="AI1589">
        <v>90.398244766780707</v>
      </c>
      <c r="AJ1589">
        <v>94.674779981899405</v>
      </c>
      <c r="AK1589">
        <v>148.13304218402999</v>
      </c>
      <c r="AL1589">
        <v>91.555980205241397</v>
      </c>
      <c r="AM1589">
        <v>82.850393333619294</v>
      </c>
      <c r="AN1589">
        <v>1.00000000925351</v>
      </c>
    </row>
    <row r="1590" spans="1:40" x14ac:dyDescent="0.25">
      <c r="A1590" t="str">
        <f>"20190312161258167"</f>
        <v>20190312161258167</v>
      </c>
      <c r="B1590" t="str">
        <f>"1552378378157383"</f>
        <v>1552378378157383</v>
      </c>
      <c r="C1590" t="s">
        <v>40</v>
      </c>
      <c r="D1590">
        <v>5.6345320000000001</v>
      </c>
      <c r="E1590">
        <v>0.42082629999999999</v>
      </c>
      <c r="F1590" t="s">
        <v>69</v>
      </c>
      <c r="G1590">
        <v>-382.18130000000002</v>
      </c>
      <c r="H1590">
        <v>8.000082E-2</v>
      </c>
      <c r="I1590">
        <v>277.3202</v>
      </c>
      <c r="J1590">
        <v>-255.16370000000001</v>
      </c>
      <c r="K1590">
        <v>1.109607</v>
      </c>
      <c r="L1590">
        <v>284.13780000000003</v>
      </c>
      <c r="M1590">
        <v>-0.99958349999999996</v>
      </c>
      <c r="N1590">
        <v>0</v>
      </c>
      <c r="O1590">
        <v>2.787777E-2</v>
      </c>
      <c r="P1590">
        <v>-0.98800759999999999</v>
      </c>
      <c r="Q1590">
        <v>-3.4595149999999998E-2</v>
      </c>
      <c r="R1590">
        <v>0.1504807</v>
      </c>
      <c r="S1590">
        <v>-3.0617679999999998</v>
      </c>
      <c r="T1590">
        <v>-2.4772289999999999E-2</v>
      </c>
      <c r="U1590">
        <v>-0.16387939999999901</v>
      </c>
      <c r="V1590">
        <v>0.1228976</v>
      </c>
      <c r="W1590">
        <v>-2.7083679999999999E-2</v>
      </c>
      <c r="X1590">
        <v>0.99204979999999998</v>
      </c>
      <c r="Y1590">
        <v>-8.1262290000000001E-2</v>
      </c>
      <c r="Z1590">
        <v>-5.5391589999999997E-4</v>
      </c>
      <c r="AA1590">
        <v>0.99669260000000004</v>
      </c>
      <c r="AB1590">
        <v>24</v>
      </c>
      <c r="AC1590">
        <v>-127.0176</v>
      </c>
      <c r="AD1590">
        <v>-1.02960618</v>
      </c>
      <c r="AE1590">
        <v>-6.8176000000000201</v>
      </c>
      <c r="AF1590">
        <v>-10.3553376340139</v>
      </c>
      <c r="AG1590">
        <v>-1.02960618</v>
      </c>
      <c r="AH1590">
        <v>126.76985995331199</v>
      </c>
      <c r="AI1590">
        <v>90.463792955686301</v>
      </c>
      <c r="AJ1590">
        <v>94.669901347992294</v>
      </c>
      <c r="AK1590">
        <v>127.196267629922</v>
      </c>
      <c r="AL1590">
        <v>91.551970214576002</v>
      </c>
      <c r="AM1590">
        <v>82.938035816370501</v>
      </c>
      <c r="AN1590">
        <v>1.0000000757440599</v>
      </c>
    </row>
    <row r="1591" spans="1:40" x14ac:dyDescent="0.25">
      <c r="A1591" t="str">
        <f>"20190312161258188"</f>
        <v>20190312161258188</v>
      </c>
      <c r="B1591" t="str">
        <f>"1552378378176908"</f>
        <v>1552378378176908</v>
      </c>
      <c r="C1591" t="s">
        <v>40</v>
      </c>
      <c r="D1591">
        <v>5.5745209999999998</v>
      </c>
      <c r="E1591">
        <v>0.4390985</v>
      </c>
      <c r="F1591" t="s">
        <v>69</v>
      </c>
      <c r="G1591">
        <v>-382.64179999999999</v>
      </c>
      <c r="H1591">
        <v>8.0000680000000005E-2</v>
      </c>
      <c r="I1591">
        <v>277.05340000000001</v>
      </c>
      <c r="J1591">
        <v>-255.39689999999999</v>
      </c>
      <c r="K1591">
        <v>1.109599</v>
      </c>
      <c r="L1591">
        <v>284.1438</v>
      </c>
      <c r="M1591">
        <v>-0.99959609999999999</v>
      </c>
      <c r="N1591">
        <v>0</v>
      </c>
      <c r="O1591">
        <v>2.7425100000000001E-2</v>
      </c>
      <c r="P1591">
        <v>-0.98825549999999995</v>
      </c>
      <c r="Q1591">
        <v>-3.4386119999999999E-2</v>
      </c>
      <c r="R1591">
        <v>0.148891</v>
      </c>
      <c r="S1591">
        <v>-3.0614620000000001</v>
      </c>
      <c r="T1591">
        <v>-2.4726629999999999E-2</v>
      </c>
      <c r="U1591">
        <v>-0.1701355</v>
      </c>
      <c r="V1591">
        <v>0.1217506</v>
      </c>
      <c r="W1591">
        <v>-2.690963E-2</v>
      </c>
      <c r="X1591">
        <v>0.99219590000000002</v>
      </c>
      <c r="Y1591">
        <v>-8.2846799999999998E-2</v>
      </c>
      <c r="Z1591">
        <v>-5.5566099999999896E-4</v>
      </c>
      <c r="AA1591">
        <v>0.99656210000000001</v>
      </c>
      <c r="AB1591">
        <v>24</v>
      </c>
      <c r="AC1591">
        <v>-127.2449</v>
      </c>
      <c r="AD1591">
        <v>-1.0295983200000001</v>
      </c>
      <c r="AE1591">
        <v>-7.0903999999999803</v>
      </c>
      <c r="AF1591">
        <v>-10.576843486629199</v>
      </c>
      <c r="AG1591">
        <v>-1.0295983200000001</v>
      </c>
      <c r="AH1591">
        <v>126.994286454866</v>
      </c>
      <c r="AI1591">
        <v>90.462909157408404</v>
      </c>
      <c r="AJ1591">
        <v>94.760947193774896</v>
      </c>
      <c r="AK1591">
        <v>127.43813590531499</v>
      </c>
      <c r="AL1591">
        <v>91.541994334282506</v>
      </c>
      <c r="AM1591">
        <v>83.004308677178102</v>
      </c>
      <c r="AN1591">
        <v>1.0000000203819499</v>
      </c>
    </row>
    <row r="1592" spans="1:40" x14ac:dyDescent="0.25">
      <c r="A1592" t="str">
        <f>"20190312161258210"</f>
        <v>20190312161258210</v>
      </c>
      <c r="B1592" t="str">
        <f>"1552378378207160"</f>
        <v>1552378378207160</v>
      </c>
      <c r="C1592" t="s">
        <v>40</v>
      </c>
      <c r="D1592">
        <v>5.5151190000000003</v>
      </c>
      <c r="E1592">
        <v>0.4405596</v>
      </c>
      <c r="F1592" t="s">
        <v>74</v>
      </c>
      <c r="G1592">
        <v>-289.66000000000003</v>
      </c>
      <c r="H1592" s="1">
        <v>4.29484699999999E-6</v>
      </c>
      <c r="I1592">
        <v>283.7627</v>
      </c>
      <c r="J1592">
        <v>-255.63640000000001</v>
      </c>
      <c r="K1592">
        <v>1.1095919999999999</v>
      </c>
      <c r="L1592">
        <v>284.14980000000003</v>
      </c>
      <c r="M1592">
        <v>-0.99960919999999998</v>
      </c>
      <c r="N1592">
        <v>0</v>
      </c>
      <c r="O1592">
        <v>2.6959339999999998E-2</v>
      </c>
      <c r="P1592">
        <v>-0.98848630000000004</v>
      </c>
      <c r="Q1592">
        <v>-3.4448329999999999E-2</v>
      </c>
      <c r="R1592">
        <v>0.14733740000000001</v>
      </c>
      <c r="S1592">
        <v>-3.0373230000000002</v>
      </c>
      <c r="T1592">
        <v>-9.8362450000000004E-2</v>
      </c>
      <c r="U1592">
        <v>-3.3782960000000001E-2</v>
      </c>
      <c r="V1592">
        <v>0.1206537</v>
      </c>
      <c r="W1592">
        <v>-2.7013309999999999E-2</v>
      </c>
      <c r="X1592">
        <v>0.99232699999999996</v>
      </c>
      <c r="Y1592">
        <v>-3.8042220000000002E-2</v>
      </c>
      <c r="Z1592">
        <v>-1.488599E-3</v>
      </c>
      <c r="AA1592">
        <v>0.99927500000000002</v>
      </c>
      <c r="AB1592">
        <v>25</v>
      </c>
      <c r="AC1592">
        <v>-34.023600000000002</v>
      </c>
      <c r="AD1592">
        <v>-1.1095877051530001</v>
      </c>
      <c r="AE1592">
        <v>-0.38710000000003197</v>
      </c>
      <c r="AF1592">
        <v>-1.30285266981084</v>
      </c>
      <c r="AG1592">
        <v>-1.1095877051530001</v>
      </c>
      <c r="AH1592">
        <v>33.964677693058597</v>
      </c>
      <c r="AI1592">
        <v>91.869748909280901</v>
      </c>
      <c r="AJ1592">
        <v>92.1967344876726</v>
      </c>
      <c r="AK1592">
        <v>34.007762948303601</v>
      </c>
      <c r="AL1592">
        <v>91.547937022746098</v>
      </c>
      <c r="AM1592">
        <v>83.067626516160601</v>
      </c>
      <c r="AN1592">
        <v>0.99999995458492197</v>
      </c>
    </row>
    <row r="1593" spans="1:40" x14ac:dyDescent="0.25">
      <c r="A1593" t="str">
        <f>"20190312161258234"</f>
        <v>20190312161258234</v>
      </c>
      <c r="B1593" t="str">
        <f>"1552378378227657"</f>
        <v>1552378378227657</v>
      </c>
      <c r="C1593" t="s">
        <v>40</v>
      </c>
      <c r="D1593">
        <v>5.4795449999999999</v>
      </c>
      <c r="E1593">
        <v>0.44127929999999999</v>
      </c>
      <c r="F1593" t="s">
        <v>74</v>
      </c>
      <c r="G1593">
        <v>-286.6884</v>
      </c>
      <c r="H1593" s="1">
        <v>5.5902570000000004E-6</v>
      </c>
      <c r="I1593">
        <v>283.87099999999998</v>
      </c>
      <c r="J1593">
        <v>-255.89410000000001</v>
      </c>
      <c r="K1593">
        <v>1.1095870000000001</v>
      </c>
      <c r="L1593">
        <v>284.15620000000001</v>
      </c>
      <c r="M1593">
        <v>-0.99962289999999998</v>
      </c>
      <c r="N1593">
        <v>0</v>
      </c>
      <c r="O1593">
        <v>2.6458079999999998E-2</v>
      </c>
      <c r="P1593">
        <v>-0.98859980000000003</v>
      </c>
      <c r="Q1593">
        <v>-3.4529379999999998E-2</v>
      </c>
      <c r="R1593">
        <v>0.1465552</v>
      </c>
      <c r="S1593">
        <v>-3.0352169999999998</v>
      </c>
      <c r="T1593">
        <v>-0.108458</v>
      </c>
      <c r="U1593">
        <v>-2.7252200000000001E-2</v>
      </c>
      <c r="V1593">
        <v>0.1203666</v>
      </c>
      <c r="W1593">
        <v>-2.7140600000000001E-2</v>
      </c>
      <c r="X1593">
        <v>0.99235839999999997</v>
      </c>
      <c r="Y1593">
        <v>-3.539341E-2</v>
      </c>
      <c r="Z1593">
        <v>-1.5772270000000001E-3</v>
      </c>
      <c r="AA1593">
        <v>0.99937220000000004</v>
      </c>
      <c r="AB1593">
        <v>25</v>
      </c>
      <c r="AC1593">
        <v>-30.7943</v>
      </c>
      <c r="AD1593">
        <v>-1.1095814097429999</v>
      </c>
      <c r="AE1593">
        <v>-0.28520000000003098</v>
      </c>
      <c r="AF1593">
        <v>-1.09845420711367</v>
      </c>
      <c r="AG1593">
        <v>-1.1095814097429999</v>
      </c>
      <c r="AH1593">
        <v>30.7360715559767</v>
      </c>
      <c r="AI1593">
        <v>92.066179087550594</v>
      </c>
      <c r="AJ1593">
        <v>92.046781276385801</v>
      </c>
      <c r="AK1593">
        <v>30.775702546718499</v>
      </c>
      <c r="AL1593">
        <v>91.555232865854194</v>
      </c>
      <c r="AM1593">
        <v>83.084179120503293</v>
      </c>
      <c r="AN1593">
        <v>0.99999996230723898</v>
      </c>
    </row>
    <row r="1594" spans="1:40" x14ac:dyDescent="0.25">
      <c r="A1594" t="str">
        <f>"20190312161258257"</f>
        <v>20190312161258257</v>
      </c>
      <c r="B1594" t="str">
        <f>"1552378378247176"</f>
        <v>1552378378247176</v>
      </c>
      <c r="C1594" t="s">
        <v>40</v>
      </c>
      <c r="D1594">
        <v>5.5426409999999997</v>
      </c>
      <c r="E1594">
        <v>0.44169969999999997</v>
      </c>
      <c r="F1594" t="s">
        <v>74</v>
      </c>
      <c r="G1594">
        <v>-286.10700000000003</v>
      </c>
      <c r="H1594" s="1">
        <v>5.8386839999999899E-6</v>
      </c>
      <c r="I1594">
        <v>283.91649999999998</v>
      </c>
      <c r="J1594">
        <v>-256.1549</v>
      </c>
      <c r="K1594">
        <v>1.109586</v>
      </c>
      <c r="L1594">
        <v>284.16250000000002</v>
      </c>
      <c r="M1594">
        <v>-0.99963650000000004</v>
      </c>
      <c r="N1594">
        <v>0</v>
      </c>
      <c r="O1594">
        <v>2.595101E-2</v>
      </c>
      <c r="P1594">
        <v>-0.98865130000000001</v>
      </c>
      <c r="Q1594">
        <v>-3.453676E-2</v>
      </c>
      <c r="R1594">
        <v>0.14620529999999901</v>
      </c>
      <c r="S1594">
        <v>-3.0342709999999999</v>
      </c>
      <c r="T1594">
        <v>-0.111435199999999</v>
      </c>
      <c r="U1594">
        <v>-2.4078370000000002E-2</v>
      </c>
      <c r="V1594">
        <v>0.12051870000000001</v>
      </c>
      <c r="W1594">
        <v>-2.7191130000000001E-2</v>
      </c>
      <c r="X1594">
        <v>0.99233859999999996</v>
      </c>
      <c r="Y1594">
        <v>-3.3843119999999997E-2</v>
      </c>
      <c r="Z1594">
        <v>-1.573931E-3</v>
      </c>
      <c r="AA1594">
        <v>0.99942589999999998</v>
      </c>
      <c r="AB1594">
        <v>25</v>
      </c>
      <c r="AC1594">
        <v>-29.952100000000002</v>
      </c>
      <c r="AD1594">
        <v>-1.1095801613159999</v>
      </c>
      <c r="AE1594">
        <v>-0.24600000000003699</v>
      </c>
      <c r="AF1594">
        <v>-1.0218229552724201</v>
      </c>
      <c r="AG1594">
        <v>-1.1095801613159999</v>
      </c>
      <c r="AH1594">
        <v>29.894605050850501</v>
      </c>
      <c r="AI1594">
        <v>92.124397899018902</v>
      </c>
      <c r="AJ1594">
        <v>91.957656179249895</v>
      </c>
      <c r="AK1594">
        <v>29.932636058867999</v>
      </c>
      <c r="AL1594">
        <v>91.558129022760596</v>
      </c>
      <c r="AM1594">
        <v>83.075387987898395</v>
      </c>
      <c r="AN1594">
        <v>1.0000000058251599</v>
      </c>
    </row>
    <row r="1595" spans="1:40" x14ac:dyDescent="0.25">
      <c r="A1595" t="str">
        <f>"20190312161258279"</f>
        <v>20190312161258279</v>
      </c>
      <c r="B1595" t="str">
        <f>"1552378378267673"</f>
        <v>1552378378267673</v>
      </c>
      <c r="C1595" t="s">
        <v>40</v>
      </c>
      <c r="D1595">
        <v>5.5036779999999998</v>
      </c>
      <c r="E1595">
        <v>0.44215719999999997</v>
      </c>
      <c r="F1595" t="s">
        <v>74</v>
      </c>
      <c r="G1595">
        <v>-285.50259999999997</v>
      </c>
      <c r="H1595" s="1">
        <v>6.09972099999999E-6</v>
      </c>
      <c r="I1595">
        <v>283.9502</v>
      </c>
      <c r="J1595">
        <v>-256.39929999999998</v>
      </c>
      <c r="K1595">
        <v>1.1095820000000001</v>
      </c>
      <c r="L1595">
        <v>284.16829999999999</v>
      </c>
      <c r="M1595">
        <v>-0.99964889999999995</v>
      </c>
      <c r="N1595">
        <v>0</v>
      </c>
      <c r="O1595">
        <v>2.5475859999999999E-2</v>
      </c>
      <c r="P1595">
        <v>-0.98861770000000004</v>
      </c>
      <c r="Q1595">
        <v>-3.4625990000000002E-2</v>
      </c>
      <c r="R1595">
        <v>0.1464115</v>
      </c>
      <c r="S1595">
        <v>-3.0336609999999999</v>
      </c>
      <c r="T1595">
        <v>-0.11469699999999999</v>
      </c>
      <c r="U1595">
        <v>-2.1942139999999999E-2</v>
      </c>
      <c r="V1595">
        <v>0.12119770000000001</v>
      </c>
      <c r="W1595">
        <v>-2.7316300000000002E-2</v>
      </c>
      <c r="X1595">
        <v>0.99225249999999998</v>
      </c>
      <c r="Y1595">
        <v>-3.2664690000000003E-2</v>
      </c>
      <c r="Z1595">
        <v>-1.580073E-3</v>
      </c>
      <c r="AA1595">
        <v>0.9994651</v>
      </c>
      <c r="AB1595">
        <v>25</v>
      </c>
      <c r="AC1595">
        <v>-29.103299999999901</v>
      </c>
      <c r="AD1595">
        <v>-1.109575900279</v>
      </c>
      <c r="AE1595">
        <v>-0.21809999999999199</v>
      </c>
      <c r="AF1595">
        <v>-0.95808792631750905</v>
      </c>
      <c r="AG1595">
        <v>-1.109575900279</v>
      </c>
      <c r="AH1595">
        <v>29.046079711885099</v>
      </c>
      <c r="AI1595">
        <v>92.186477948462496</v>
      </c>
      <c r="AJ1595">
        <v>91.889222209430798</v>
      </c>
      <c r="AK1595">
        <v>29.083050695933199</v>
      </c>
      <c r="AL1595">
        <v>91.5653033417925</v>
      </c>
      <c r="AM1595">
        <v>83.0361585330606</v>
      </c>
      <c r="AN1595">
        <v>1.00000004324361</v>
      </c>
    </row>
    <row r="1596" spans="1:40" x14ac:dyDescent="0.25">
      <c r="A1596" t="str">
        <f>"20190312161258301"</f>
        <v>20190312161258301</v>
      </c>
      <c r="B1596" t="str">
        <f>"1552378378296951"</f>
        <v>1552378378296951</v>
      </c>
      <c r="C1596" t="s">
        <v>40</v>
      </c>
      <c r="D1596">
        <v>5.5240869999999997</v>
      </c>
      <c r="E1596">
        <v>0.4425191</v>
      </c>
      <c r="F1596" t="s">
        <v>74</v>
      </c>
      <c r="G1596">
        <v>-284.50400000000002</v>
      </c>
      <c r="H1596" s="1">
        <v>6.53179E-6</v>
      </c>
      <c r="I1596">
        <v>284.00229999999999</v>
      </c>
      <c r="J1596">
        <v>-256.64600000000002</v>
      </c>
      <c r="K1596">
        <v>1.1095870000000001</v>
      </c>
      <c r="L1596">
        <v>284.17410000000001</v>
      </c>
      <c r="M1596">
        <v>-0.99966129999999997</v>
      </c>
      <c r="N1596">
        <v>0</v>
      </c>
      <c r="O1596">
        <v>2.4996460000000002E-2</v>
      </c>
      <c r="P1596">
        <v>-0.98862430000000001</v>
      </c>
      <c r="Q1596">
        <v>-3.4379989999999999E-2</v>
      </c>
      <c r="R1596">
        <v>0.14642569999999999</v>
      </c>
      <c r="S1596">
        <v>-3.0329899999999999</v>
      </c>
      <c r="T1596">
        <v>-0.1197428</v>
      </c>
      <c r="U1596">
        <v>-1.791382E-2</v>
      </c>
      <c r="V1596">
        <v>0.1216875</v>
      </c>
      <c r="W1596">
        <v>-2.710243E-2</v>
      </c>
      <c r="X1596">
        <v>0.99219829999999998</v>
      </c>
      <c r="Y1596">
        <v>-3.0857539999999999E-2</v>
      </c>
      <c r="Z1596">
        <v>-1.595324E-3</v>
      </c>
      <c r="AA1596">
        <v>0.99952249999999998</v>
      </c>
      <c r="AB1596">
        <v>25</v>
      </c>
      <c r="AC1596">
        <v>-27.858000000000001</v>
      </c>
      <c r="AD1596">
        <v>-1.1095804682099999</v>
      </c>
      <c r="AE1596">
        <v>-0.17180000000001799</v>
      </c>
      <c r="AF1596">
        <v>-0.86674100440003499</v>
      </c>
      <c r="AG1596">
        <v>-1.1095804682099999</v>
      </c>
      <c r="AH1596">
        <v>27.800898339722799</v>
      </c>
      <c r="AI1596">
        <v>92.2844487777257</v>
      </c>
      <c r="AJ1596">
        <v>91.785716433065005</v>
      </c>
      <c r="AK1596">
        <v>27.8365291888149</v>
      </c>
      <c r="AL1596">
        <v>91.553045134456298</v>
      </c>
      <c r="AM1596">
        <v>83.007915198665899</v>
      </c>
      <c r="AN1596">
        <v>0.99999992794551895</v>
      </c>
    </row>
    <row r="1597" spans="1:40" x14ac:dyDescent="0.25">
      <c r="A1597" t="str">
        <f>"20190312161258322"</f>
        <v>20190312161258322</v>
      </c>
      <c r="B1597" t="str">
        <f>"1552378378317448"</f>
        <v>1552378378317448</v>
      </c>
      <c r="C1597" t="s">
        <v>40</v>
      </c>
      <c r="D1597">
        <v>5.5124129999999996</v>
      </c>
      <c r="E1597">
        <v>0.44276379999999999</v>
      </c>
      <c r="F1597" t="s">
        <v>74</v>
      </c>
      <c r="G1597">
        <v>-284.22320000000002</v>
      </c>
      <c r="H1597" s="1">
        <v>6.6494500000000003E-6</v>
      </c>
      <c r="I1597">
        <v>284.03559999999999</v>
      </c>
      <c r="J1597">
        <v>-256.88330000000002</v>
      </c>
      <c r="K1597">
        <v>1.109588</v>
      </c>
      <c r="L1597">
        <v>284.17950000000002</v>
      </c>
      <c r="M1597">
        <v>-0.99967289999999998</v>
      </c>
      <c r="N1597">
        <v>0</v>
      </c>
      <c r="O1597">
        <v>2.453557E-2</v>
      </c>
      <c r="P1597">
        <v>-0.98881149999999995</v>
      </c>
      <c r="Q1597">
        <v>-3.2974259999999998E-2</v>
      </c>
      <c r="R1597">
        <v>0.14548039999999901</v>
      </c>
      <c r="S1597">
        <v>-3.032562</v>
      </c>
      <c r="T1597">
        <v>-0.1220164</v>
      </c>
      <c r="U1597">
        <v>-1.522827E-2</v>
      </c>
      <c r="V1597">
        <v>0.1211943</v>
      </c>
      <c r="W1597">
        <v>-2.5723670000000001E-2</v>
      </c>
      <c r="X1597">
        <v>0.99229540000000005</v>
      </c>
      <c r="Y1597">
        <v>-2.9512190000000001E-2</v>
      </c>
      <c r="Z1597">
        <v>-1.580234E-3</v>
      </c>
      <c r="AA1597">
        <v>0.99956319999999999</v>
      </c>
      <c r="AB1597">
        <v>25</v>
      </c>
      <c r="AC1597">
        <v>-27.3399</v>
      </c>
      <c r="AD1597">
        <v>-1.1095813505500001</v>
      </c>
      <c r="AE1597">
        <v>-0.14390000000003</v>
      </c>
      <c r="AF1597">
        <v>-0.81333456252115299</v>
      </c>
      <c r="AG1597">
        <v>-1.1095813505500001</v>
      </c>
      <c r="AH1597">
        <v>27.2832009615522</v>
      </c>
      <c r="AI1597">
        <v>92.327847449649994</v>
      </c>
      <c r="AJ1597">
        <v>91.7075284076153</v>
      </c>
      <c r="AK1597">
        <v>27.317864824918601</v>
      </c>
      <c r="AL1597">
        <v>91.474020370964794</v>
      </c>
      <c r="AM1597">
        <v>83.036650078077699</v>
      </c>
      <c r="AN1597">
        <v>0.99999996320595796</v>
      </c>
    </row>
    <row r="1598" spans="1:40" x14ac:dyDescent="0.25">
      <c r="A1598" t="str">
        <f>"20190312161258347"</f>
        <v>20190312161258347</v>
      </c>
      <c r="B1598" t="str">
        <f>"1552378378336968"</f>
        <v>1552378378336968</v>
      </c>
      <c r="C1598" t="s">
        <v>40</v>
      </c>
      <c r="D1598">
        <v>5.5068279999999996</v>
      </c>
      <c r="E1598">
        <v>0.44288460000000002</v>
      </c>
      <c r="F1598" t="s">
        <v>74</v>
      </c>
      <c r="G1598">
        <v>-284.7901</v>
      </c>
      <c r="H1598" s="1">
        <v>6.3991019999999999E-6</v>
      </c>
      <c r="I1598">
        <v>284.03039999999999</v>
      </c>
      <c r="J1598">
        <v>-257.15940000000001</v>
      </c>
      <c r="K1598">
        <v>1.1095889999999999</v>
      </c>
      <c r="L1598">
        <v>284.1857</v>
      </c>
      <c r="M1598">
        <v>-0.99968619999999997</v>
      </c>
      <c r="N1598">
        <v>0</v>
      </c>
      <c r="O1598">
        <v>2.3999650000000001E-2</v>
      </c>
      <c r="P1598">
        <v>-0.98899570000000003</v>
      </c>
      <c r="Q1598">
        <v>-3.2647830000000003E-2</v>
      </c>
      <c r="R1598">
        <v>0.144297799999999</v>
      </c>
      <c r="S1598">
        <v>-3.0322879999999999</v>
      </c>
      <c r="T1598">
        <v>-0.1205643</v>
      </c>
      <c r="U1598">
        <v>-1.620483E-2</v>
      </c>
      <c r="V1598">
        <v>0.12053949999999999</v>
      </c>
      <c r="W1598">
        <v>-2.542463E-2</v>
      </c>
      <c r="X1598">
        <v>0.99238289999999996</v>
      </c>
      <c r="Y1598">
        <v>-2.930029E-2</v>
      </c>
      <c r="Z1598">
        <v>-1.5360770000000001E-3</v>
      </c>
      <c r="AA1598">
        <v>0.9995695</v>
      </c>
      <c r="AB1598">
        <v>25</v>
      </c>
      <c r="AC1598">
        <v>-27.630699999999901</v>
      </c>
      <c r="AD1598">
        <v>-1.1095826008980001</v>
      </c>
      <c r="AE1598">
        <v>-0.15530000000001101</v>
      </c>
      <c r="AF1598">
        <v>-0.81708186624297896</v>
      </c>
      <c r="AG1598">
        <v>-1.1095826008980001</v>
      </c>
      <c r="AH1598">
        <v>27.574547576188099</v>
      </c>
      <c r="AI1598">
        <v>92.303293382967993</v>
      </c>
      <c r="AJ1598">
        <v>91.697277085724906</v>
      </c>
      <c r="AK1598">
        <v>27.608956343111199</v>
      </c>
      <c r="AL1598">
        <v>91.456880978703595</v>
      </c>
      <c r="AM1598">
        <v>83.074510659222597</v>
      </c>
      <c r="AN1598">
        <v>1.0000000015416399</v>
      </c>
    </row>
    <row r="1599" spans="1:40" x14ac:dyDescent="0.25">
      <c r="A1599" t="str">
        <f>"20190312161258369"</f>
        <v>20190312161258369</v>
      </c>
      <c r="B1599" t="str">
        <f>"1552378378357464"</f>
        <v>1552378378357464</v>
      </c>
      <c r="C1599" t="s">
        <v>40</v>
      </c>
      <c r="D1599">
        <v>5.5681159999999998</v>
      </c>
      <c r="E1599">
        <v>0.44290299999999999</v>
      </c>
      <c r="F1599" t="s">
        <v>74</v>
      </c>
      <c r="G1599">
        <v>-285.63200000000001</v>
      </c>
      <c r="H1599" s="1">
        <v>6.0299069999999996E-6</v>
      </c>
      <c r="I1599">
        <v>284.01029999999997</v>
      </c>
      <c r="J1599">
        <v>-257.40089999999998</v>
      </c>
      <c r="K1599">
        <v>1.1095839999999999</v>
      </c>
      <c r="L1599">
        <v>284.19099999999997</v>
      </c>
      <c r="M1599">
        <v>-0.99969750000000002</v>
      </c>
      <c r="N1599">
        <v>0</v>
      </c>
      <c r="O1599">
        <v>2.3531940000000001E-2</v>
      </c>
      <c r="P1599">
        <v>-0.98898940000000002</v>
      </c>
      <c r="Q1599">
        <v>-3.3250219999999997E-2</v>
      </c>
      <c r="R1599">
        <v>0.14420359999999999</v>
      </c>
      <c r="S1599">
        <v>-3.0321959999999999</v>
      </c>
      <c r="T1599">
        <v>-0.11816500000000001</v>
      </c>
      <c r="U1599">
        <v>-1.8676760000000001E-2</v>
      </c>
      <c r="V1599">
        <v>0.12091010000000001</v>
      </c>
      <c r="W1599">
        <v>-2.6047279999999999E-2</v>
      </c>
      <c r="X1599">
        <v>0.99232169999999997</v>
      </c>
      <c r="Y1599">
        <v>-2.9649390000000001E-2</v>
      </c>
      <c r="Z1599">
        <v>-1.494158E-3</v>
      </c>
      <c r="AA1599">
        <v>0.99955919999999998</v>
      </c>
      <c r="AB1599">
        <v>25</v>
      </c>
      <c r="AC1599">
        <v>-28.231100000000001</v>
      </c>
      <c r="AD1599">
        <v>-1.109577970093</v>
      </c>
      <c r="AE1599">
        <v>-0.180700000000001</v>
      </c>
      <c r="AF1599">
        <v>-0.84369625144987903</v>
      </c>
      <c r="AG1599">
        <v>-1.109577970093</v>
      </c>
      <c r="AH1599">
        <v>28.175507153781702</v>
      </c>
      <c r="AI1599">
        <v>92.254186981728395</v>
      </c>
      <c r="AJ1599">
        <v>91.715170329324096</v>
      </c>
      <c r="AK1599">
        <v>28.209966146899799</v>
      </c>
      <c r="AL1599">
        <v>91.492567967284501</v>
      </c>
      <c r="AM1599">
        <v>83.053001663403606</v>
      </c>
      <c r="AN1599">
        <v>1.00000003468414</v>
      </c>
    </row>
    <row r="1600" spans="1:40" x14ac:dyDescent="0.25">
      <c r="A1600" t="str">
        <f>"20190312161258389"</f>
        <v>20190312161258389</v>
      </c>
      <c r="B1600" t="str">
        <f>"1552378378376984"</f>
        <v>1552378378376984</v>
      </c>
      <c r="C1600" t="s">
        <v>40</v>
      </c>
      <c r="D1600">
        <v>5.4701839999999997</v>
      </c>
      <c r="E1600">
        <v>0.4431118</v>
      </c>
      <c r="F1600" t="s">
        <v>74</v>
      </c>
      <c r="G1600">
        <v>-285.81819999999999</v>
      </c>
      <c r="H1600" s="1">
        <v>5.9467820000000003E-6</v>
      </c>
      <c r="I1600">
        <v>284.01310000000001</v>
      </c>
      <c r="J1600">
        <v>-257.6343</v>
      </c>
      <c r="K1600">
        <v>1.10958</v>
      </c>
      <c r="L1600">
        <v>284.19600000000003</v>
      </c>
      <c r="M1600">
        <v>-0.99970809999999999</v>
      </c>
      <c r="N1600">
        <v>0</v>
      </c>
      <c r="O1600">
        <v>2.308199E-2</v>
      </c>
      <c r="P1600">
        <v>-0.98904000000000003</v>
      </c>
      <c r="Q1600">
        <v>-3.3260539999999998E-2</v>
      </c>
      <c r="R1600">
        <v>0.14385390000000001</v>
      </c>
      <c r="S1600">
        <v>-3.0321959999999999</v>
      </c>
      <c r="T1600">
        <v>-0.118395</v>
      </c>
      <c r="U1600">
        <v>-1.8981930000000001E-2</v>
      </c>
      <c r="V1600">
        <v>0.1210059</v>
      </c>
      <c r="W1600">
        <v>-2.6073909999999999E-2</v>
      </c>
      <c r="X1600">
        <v>0.99230929999999995</v>
      </c>
      <c r="Y1600">
        <v>-2.9300550000000002E-2</v>
      </c>
      <c r="Z1600">
        <v>-1.4726959999999999E-3</v>
      </c>
      <c r="AA1600">
        <v>0.9995695</v>
      </c>
      <c r="AB1600">
        <v>25</v>
      </c>
      <c r="AC1600">
        <v>-28.183899999999898</v>
      </c>
      <c r="AD1600">
        <v>-1.1095740532179901</v>
      </c>
      <c r="AE1600">
        <v>-0.18289999999996001</v>
      </c>
      <c r="AF1600">
        <v>-0.83211866879419705</v>
      </c>
      <c r="AG1600">
        <v>-1.1095740532179901</v>
      </c>
      <c r="AH1600">
        <v>28.128573613366701</v>
      </c>
      <c r="AI1600">
        <v>92.257960578550396</v>
      </c>
      <c r="AJ1600">
        <v>91.6944686859364</v>
      </c>
      <c r="AK1600">
        <v>28.1627454198116</v>
      </c>
      <c r="AL1600">
        <v>91.494094306512196</v>
      </c>
      <c r="AM1600">
        <v>83.047465210844706</v>
      </c>
      <c r="AN1600">
        <v>1.00000001174199</v>
      </c>
    </row>
    <row r="1601" spans="1:40" x14ac:dyDescent="0.25">
      <c r="A1601" t="str">
        <f>"20190312161258412"</f>
        <v>20190312161258412</v>
      </c>
      <c r="B1601" t="str">
        <f>"1552378378407240"</f>
        <v>1552378378407240</v>
      </c>
      <c r="C1601" t="s">
        <v>40</v>
      </c>
      <c r="D1601">
        <v>5.5108860000000002</v>
      </c>
      <c r="E1601">
        <v>0.44316699999999998</v>
      </c>
      <c r="F1601" t="s">
        <v>74</v>
      </c>
      <c r="G1601">
        <v>-285.7801</v>
      </c>
      <c r="H1601" s="1">
        <v>5.9611880000000003E-6</v>
      </c>
      <c r="I1601">
        <v>284.02510000000001</v>
      </c>
      <c r="J1601">
        <v>-257.89319999999998</v>
      </c>
      <c r="K1601">
        <v>1.1095790000000001</v>
      </c>
      <c r="L1601">
        <v>284.20139999999998</v>
      </c>
      <c r="M1601">
        <v>-0.99971949999999998</v>
      </c>
      <c r="N1601">
        <v>0</v>
      </c>
      <c r="O1601">
        <v>2.2585790000000001E-2</v>
      </c>
      <c r="P1601">
        <v>-0.98916970000000004</v>
      </c>
      <c r="Q1601">
        <v>-3.2628509999999999E-2</v>
      </c>
      <c r="R1601">
        <v>0.1431046</v>
      </c>
      <c r="S1601">
        <v>-3.0318909999999999</v>
      </c>
      <c r="T1601">
        <v>-0.11952459999999999</v>
      </c>
      <c r="U1601">
        <v>-1.8402100000000001E-2</v>
      </c>
      <c r="V1601">
        <v>0.1207458</v>
      </c>
      <c r="W1601">
        <v>-2.5456800000000002E-2</v>
      </c>
      <c r="X1601">
        <v>0.99235700000000004</v>
      </c>
      <c r="Y1601">
        <v>-2.8614029999999999E-2</v>
      </c>
      <c r="Z1601">
        <v>-1.4538089999999999E-3</v>
      </c>
      <c r="AA1601">
        <v>0.99958950000000002</v>
      </c>
      <c r="AB1601">
        <v>25</v>
      </c>
      <c r="AC1601">
        <v>-27.886900000000001</v>
      </c>
      <c r="AD1601">
        <v>-1.109573038812</v>
      </c>
      <c r="AE1601">
        <v>-0.17629999999996901</v>
      </c>
      <c r="AF1601">
        <v>-0.80484458481686205</v>
      </c>
      <c r="AG1601">
        <v>-1.109573038812</v>
      </c>
      <c r="AH1601">
        <v>27.831744976527201</v>
      </c>
      <c r="AI1601">
        <v>92.282058836906401</v>
      </c>
      <c r="AJ1601">
        <v>91.656430447230605</v>
      </c>
      <c r="AK1601">
        <v>27.865479640096201</v>
      </c>
      <c r="AL1601">
        <v>91.458724773958593</v>
      </c>
      <c r="AM1601">
        <v>83.062593986235299</v>
      </c>
      <c r="AN1601">
        <v>1.00000000616644</v>
      </c>
    </row>
    <row r="1602" spans="1:40" x14ac:dyDescent="0.25">
      <c r="A1602" t="str">
        <f>"20190312161258434"</f>
        <v>20190312161258434</v>
      </c>
      <c r="B1602" t="str">
        <f>"1552378378427736"</f>
        <v>1552378378427736</v>
      </c>
      <c r="C1602" t="s">
        <v>40</v>
      </c>
      <c r="D1602">
        <v>5.4949430000000001</v>
      </c>
      <c r="E1602">
        <v>0.44319419999999998</v>
      </c>
      <c r="F1602" t="s">
        <v>74</v>
      </c>
      <c r="G1602">
        <v>-286.416</v>
      </c>
      <c r="H1602" s="1">
        <v>5.6821509999999997E-6</v>
      </c>
      <c r="I1602">
        <v>284.01080000000002</v>
      </c>
      <c r="J1602">
        <v>-258.15710000000001</v>
      </c>
      <c r="K1602">
        <v>1.109572</v>
      </c>
      <c r="L1602">
        <v>284.20679999999999</v>
      </c>
      <c r="M1602">
        <v>-0.99973080000000003</v>
      </c>
      <c r="N1602">
        <v>0</v>
      </c>
      <c r="O1602">
        <v>2.2085299999999999E-2</v>
      </c>
      <c r="P1602">
        <v>-0.98925450000000004</v>
      </c>
      <c r="Q1602">
        <v>-3.2634429999999999E-2</v>
      </c>
      <c r="R1602">
        <v>0.14251539999999999</v>
      </c>
      <c r="S1602">
        <v>-3.0318909999999999</v>
      </c>
      <c r="T1602">
        <v>-0.1179444</v>
      </c>
      <c r="U1602">
        <v>-2.0263670000000001E-2</v>
      </c>
      <c r="V1602">
        <v>0.1206516</v>
      </c>
      <c r="W1602">
        <v>-2.5475560000000001E-2</v>
      </c>
      <c r="X1602">
        <v>0.99236800000000003</v>
      </c>
      <c r="Y1602">
        <v>-2.872866E-2</v>
      </c>
      <c r="Z1602">
        <v>-1.41737E-3</v>
      </c>
      <c r="AA1602">
        <v>0.99958619999999998</v>
      </c>
      <c r="AB1602">
        <v>25</v>
      </c>
      <c r="AC1602">
        <v>-28.258899999999901</v>
      </c>
      <c r="AD1602">
        <v>-1.1095663178489901</v>
      </c>
      <c r="AE1602">
        <v>-0.195999999999969</v>
      </c>
      <c r="AF1602">
        <v>-0.81881196510475596</v>
      </c>
      <c r="AG1602">
        <v>-1.1095663178489901</v>
      </c>
      <c r="AH1602">
        <v>28.204198259774401</v>
      </c>
      <c r="AI1602">
        <v>92.251933112515005</v>
      </c>
      <c r="AJ1602">
        <v>91.662918963732196</v>
      </c>
      <c r="AK1602">
        <v>28.237889261142801</v>
      </c>
      <c r="AL1602">
        <v>91.459799956566201</v>
      </c>
      <c r="AM1602">
        <v>83.068029622825705</v>
      </c>
      <c r="AN1602">
        <v>1.0000000300819301</v>
      </c>
    </row>
    <row r="1603" spans="1:40" x14ac:dyDescent="0.25">
      <c r="A1603" t="str">
        <f>"20190312161258457"</f>
        <v>20190312161258457</v>
      </c>
      <c r="B1603" t="str">
        <f>"1552378378447256"</f>
        <v>1552378378447256</v>
      </c>
      <c r="C1603" t="s">
        <v>40</v>
      </c>
      <c r="D1603">
        <v>5.4452239999999996</v>
      </c>
      <c r="E1603">
        <v>0.44322699999999998</v>
      </c>
      <c r="F1603" t="s">
        <v>74</v>
      </c>
      <c r="G1603">
        <v>-286.59949999999998</v>
      </c>
      <c r="H1603" s="1">
        <v>5.6021689999999997E-6</v>
      </c>
      <c r="I1603">
        <v>284.00409999999999</v>
      </c>
      <c r="J1603">
        <v>-258.41849999999999</v>
      </c>
      <c r="K1603">
        <v>1.1095740000000001</v>
      </c>
      <c r="L1603">
        <v>284.21199999999999</v>
      </c>
      <c r="M1603">
        <v>-0.99974130000000005</v>
      </c>
      <c r="N1603">
        <v>0</v>
      </c>
      <c r="O1603">
        <v>2.1600500000000002E-2</v>
      </c>
      <c r="P1603">
        <v>-0.98948840000000005</v>
      </c>
      <c r="Q1603">
        <v>-3.2639069999999999E-2</v>
      </c>
      <c r="R1603">
        <v>0.14088030000000001</v>
      </c>
      <c r="S1603">
        <v>-3.0318299999999998</v>
      </c>
      <c r="T1603">
        <v>-0.1182749</v>
      </c>
      <c r="U1603">
        <v>-2.1606449999999999E-2</v>
      </c>
      <c r="V1603">
        <v>0.11949269999999999</v>
      </c>
      <c r="W1603">
        <v>-2.5491139999999999E-2</v>
      </c>
      <c r="X1603">
        <v>0.99250780000000005</v>
      </c>
      <c r="Y1603">
        <v>-2.8686940000000001E-2</v>
      </c>
      <c r="Z1603">
        <v>-1.4016499999999999E-3</v>
      </c>
      <c r="AA1603">
        <v>0.99958749999999996</v>
      </c>
      <c r="AB1603">
        <v>26</v>
      </c>
      <c r="AC1603">
        <v>-28.180999999999901</v>
      </c>
      <c r="AD1603">
        <v>-1.109568397831</v>
      </c>
      <c r="AE1603">
        <v>-0.20789999999999501</v>
      </c>
      <c r="AF1603">
        <v>-0.815326755679186</v>
      </c>
      <c r="AG1603">
        <v>-1.109568397831</v>
      </c>
      <c r="AH1603">
        <v>28.126333837882701</v>
      </c>
      <c r="AI1603">
        <v>92.258167953285295</v>
      </c>
      <c r="AJ1603">
        <v>91.660426274998997</v>
      </c>
      <c r="AK1603">
        <v>28.160016955037801</v>
      </c>
      <c r="AL1603">
        <v>91.460692931964999</v>
      </c>
      <c r="AM1603">
        <v>83.134932808545898</v>
      </c>
      <c r="AN1603">
        <v>1.00000001831631</v>
      </c>
    </row>
    <row r="1604" spans="1:40" x14ac:dyDescent="0.25">
      <c r="A1604" t="str">
        <f>"20190312161258482"</f>
        <v>20190312161258482</v>
      </c>
      <c r="B1604" t="str">
        <f>"1552378378477512"</f>
        <v>1552378378477512</v>
      </c>
      <c r="C1604" t="s">
        <v>40</v>
      </c>
      <c r="D1604">
        <v>5.4825889999999999</v>
      </c>
      <c r="E1604">
        <v>0.44326130000000002</v>
      </c>
      <c r="F1604" t="s">
        <v>74</v>
      </c>
      <c r="G1604">
        <v>-286.87990000000002</v>
      </c>
      <c r="H1604" s="1">
        <v>5.4861090000000003E-6</v>
      </c>
      <c r="I1604">
        <v>283.96390000000002</v>
      </c>
      <c r="J1604">
        <v>-258.69369999999998</v>
      </c>
      <c r="K1604">
        <v>1.1095549999999901</v>
      </c>
      <c r="L1604">
        <v>284.2174</v>
      </c>
      <c r="M1604">
        <v>-0.99975210000000003</v>
      </c>
      <c r="N1604">
        <v>0</v>
      </c>
      <c r="O1604">
        <v>2.1109679999999999E-2</v>
      </c>
      <c r="P1604">
        <v>-0.98965130000000001</v>
      </c>
      <c r="Q1604">
        <v>-3.305818E-2</v>
      </c>
      <c r="R1604">
        <v>0.1396348</v>
      </c>
      <c r="S1604">
        <v>-3.0317379999999998</v>
      </c>
      <c r="T1604">
        <v>-0.1181924</v>
      </c>
      <c r="U1604">
        <v>-2.6428219999999999E-2</v>
      </c>
      <c r="V1604">
        <v>0.1187309</v>
      </c>
      <c r="W1604">
        <v>-2.592388E-2</v>
      </c>
      <c r="X1604">
        <v>0.99258800000000003</v>
      </c>
      <c r="Y1604">
        <v>-2.9785659999999999E-2</v>
      </c>
      <c r="Z1604">
        <v>-1.4029929999999999E-3</v>
      </c>
      <c r="AA1604">
        <v>0.99955530000000004</v>
      </c>
      <c r="AB1604">
        <v>26</v>
      </c>
      <c r="AC1604">
        <v>-28.186199999999999</v>
      </c>
      <c r="AD1604">
        <v>-1.1095495138910001</v>
      </c>
      <c r="AE1604">
        <v>-0.25349999999997402</v>
      </c>
      <c r="AF1604">
        <v>-0.84714744677340903</v>
      </c>
      <c r="AG1604">
        <v>-1.1095495138910001</v>
      </c>
      <c r="AH1604">
        <v>28.130979089440501</v>
      </c>
      <c r="AI1604">
        <v>92.257682056673403</v>
      </c>
      <c r="AJ1604">
        <v>91.7249064988073</v>
      </c>
      <c r="AK1604">
        <v>28.1655950310106</v>
      </c>
      <c r="AL1604">
        <v>91.485495322697204</v>
      </c>
      <c r="AM1604">
        <v>83.178831814960802</v>
      </c>
      <c r="AN1604">
        <v>1.0000000059565299</v>
      </c>
    </row>
    <row r="1605" spans="1:40" x14ac:dyDescent="0.25">
      <c r="A1605" t="str">
        <f>"20190312161258502"</f>
        <v>20190312161258502</v>
      </c>
      <c r="B1605" t="str">
        <f>"1552378378497032"</f>
        <v>1552378378497032</v>
      </c>
      <c r="C1605" t="s">
        <v>40</v>
      </c>
      <c r="D1605">
        <v>5.4296259999999998</v>
      </c>
      <c r="E1605">
        <v>0.44331090000000001</v>
      </c>
      <c r="F1605" t="s">
        <v>74</v>
      </c>
      <c r="G1605">
        <v>-286.83460000000002</v>
      </c>
      <c r="H1605" s="1">
        <v>5.5112940000000003E-6</v>
      </c>
      <c r="I1605">
        <v>283.9393</v>
      </c>
      <c r="J1605">
        <v>-258.9323</v>
      </c>
      <c r="K1605">
        <v>1.109534</v>
      </c>
      <c r="L1605">
        <v>284.22199999999998</v>
      </c>
      <c r="M1605">
        <v>-0.9997606</v>
      </c>
      <c r="N1605">
        <v>0</v>
      </c>
      <c r="O1605">
        <v>2.0708299999999999E-2</v>
      </c>
      <c r="P1605">
        <v>-0.98981240000000004</v>
      </c>
      <c r="Q1605">
        <v>-3.4824929999999997E-2</v>
      </c>
      <c r="R1605">
        <v>0.13805509999999999</v>
      </c>
      <c r="S1605">
        <v>-3.031647</v>
      </c>
      <c r="T1605">
        <v>-0.11953270000000001</v>
      </c>
      <c r="U1605">
        <v>-2.996826E-2</v>
      </c>
      <c r="V1605">
        <v>0.117547</v>
      </c>
      <c r="W1605">
        <v>-2.7706979999999999E-2</v>
      </c>
      <c r="X1605">
        <v>0.99268069999999997</v>
      </c>
      <c r="Y1605">
        <v>-3.0550529999999999E-2</v>
      </c>
      <c r="Z1605">
        <v>-1.4181829999999999E-3</v>
      </c>
      <c r="AA1605">
        <v>0.99953219999999998</v>
      </c>
      <c r="AB1605">
        <v>26</v>
      </c>
      <c r="AC1605">
        <v>-27.9023</v>
      </c>
      <c r="AD1605">
        <v>-1.109528488706</v>
      </c>
      <c r="AE1605">
        <v>-0.28269999999997703</v>
      </c>
      <c r="AF1605">
        <v>-0.85910468490876901</v>
      </c>
      <c r="AG1605">
        <v>-1.109528488706</v>
      </c>
      <c r="AH1605">
        <v>27.846434666977999</v>
      </c>
      <c r="AI1605">
        <v>92.2806332710053</v>
      </c>
      <c r="AJ1605">
        <v>91.767101067137801</v>
      </c>
      <c r="AK1605">
        <v>27.881768917863798</v>
      </c>
      <c r="AL1605">
        <v>91.587696243627093</v>
      </c>
      <c r="AM1605">
        <v>83.246841106469304</v>
      </c>
      <c r="AN1605">
        <v>0.999999973051104</v>
      </c>
    </row>
    <row r="1606" spans="1:40" x14ac:dyDescent="0.25">
      <c r="A1606" t="str">
        <f>"20190312161258524"</f>
        <v>20190312161258524</v>
      </c>
      <c r="B1606" t="str">
        <f>"1552378378517528"</f>
        <v>1552378378517528</v>
      </c>
      <c r="C1606" t="s">
        <v>40</v>
      </c>
      <c r="D1606">
        <v>5.5224250000000001</v>
      </c>
      <c r="E1606">
        <v>0.44341150000000001</v>
      </c>
      <c r="F1606" t="s">
        <v>74</v>
      </c>
      <c r="G1606">
        <v>-286.00729999999999</v>
      </c>
      <c r="H1606" s="1">
        <v>5.8835009999999999E-6</v>
      </c>
      <c r="I1606">
        <v>283.9135</v>
      </c>
      <c r="J1606">
        <v>-259.1859</v>
      </c>
      <c r="K1606">
        <v>1.10951</v>
      </c>
      <c r="L1606">
        <v>284.2269</v>
      </c>
      <c r="M1606">
        <v>-0.99976889999999996</v>
      </c>
      <c r="N1606">
        <v>0</v>
      </c>
      <c r="O1606">
        <v>2.0310979999999999E-2</v>
      </c>
      <c r="P1606">
        <v>-0.98982210000000004</v>
      </c>
      <c r="Q1606">
        <v>-3.4685489999999999E-2</v>
      </c>
      <c r="R1606">
        <v>0.138021</v>
      </c>
      <c r="S1606">
        <v>-3.0313110000000001</v>
      </c>
      <c r="T1606">
        <v>-0.12422229999999999</v>
      </c>
      <c r="U1606">
        <v>-3.4545899999999997E-2</v>
      </c>
      <c r="V1606">
        <v>0.1179057</v>
      </c>
      <c r="W1606">
        <v>-2.758646E-2</v>
      </c>
      <c r="X1606">
        <v>0.99264160000000001</v>
      </c>
      <c r="Y1606">
        <v>-3.1659819999999998E-2</v>
      </c>
      <c r="Z1606">
        <v>-1.480376E-3</v>
      </c>
      <c r="AA1606">
        <v>0.99949759999999999</v>
      </c>
      <c r="AB1606">
        <v>26</v>
      </c>
      <c r="AC1606">
        <v>-26.821399999999901</v>
      </c>
      <c r="AD1606">
        <v>-1.109504116499</v>
      </c>
      <c r="AE1606">
        <v>-0.31340000000000101</v>
      </c>
      <c r="AF1606">
        <v>-0.85665209509959805</v>
      </c>
      <c r="AG1606">
        <v>-1.109504116499</v>
      </c>
      <c r="AH1606">
        <v>26.763709945868101</v>
      </c>
      <c r="AI1606">
        <v>92.372654664555299</v>
      </c>
      <c r="AJ1606">
        <v>91.833295835898596</v>
      </c>
      <c r="AK1606">
        <v>26.8003922035318</v>
      </c>
      <c r="AL1606">
        <v>91.580788183694295</v>
      </c>
      <c r="AM1606">
        <v>83.2261603931222</v>
      </c>
      <c r="AN1606">
        <v>1.00000005645918</v>
      </c>
    </row>
    <row r="1607" spans="1:40" x14ac:dyDescent="0.25">
      <c r="A1607" t="str">
        <f>"20190312161258547"</f>
        <v>20190312161258547</v>
      </c>
      <c r="B1607" t="str">
        <f>"1552378378537048"</f>
        <v>1552378378537048</v>
      </c>
      <c r="C1607" t="s">
        <v>40</v>
      </c>
      <c r="D1607">
        <v>5.5402259999999997</v>
      </c>
      <c r="E1607">
        <v>0.44344539999999999</v>
      </c>
      <c r="F1607" t="s">
        <v>74</v>
      </c>
      <c r="G1607">
        <v>-286.2756</v>
      </c>
      <c r="H1607" s="1">
        <v>5.7622060000000002E-6</v>
      </c>
      <c r="I1607">
        <v>283.92469999999997</v>
      </c>
      <c r="J1607">
        <v>-259.45429999999999</v>
      </c>
      <c r="K1607">
        <v>1.1094790000000001</v>
      </c>
      <c r="L1607">
        <v>284.2319</v>
      </c>
      <c r="M1607">
        <v>-0.99977649999999996</v>
      </c>
      <c r="N1607">
        <v>0</v>
      </c>
      <c r="O1607">
        <v>1.99264E-2</v>
      </c>
      <c r="P1607">
        <v>-0.98986980000000002</v>
      </c>
      <c r="Q1607">
        <v>-3.4265190000000001E-2</v>
      </c>
      <c r="R1607">
        <v>0.1377815</v>
      </c>
      <c r="S1607">
        <v>-3.0312190000000001</v>
      </c>
      <c r="T1607">
        <v>-0.1241486</v>
      </c>
      <c r="U1607">
        <v>-3.381348E-2</v>
      </c>
      <c r="V1607">
        <v>0.1180451</v>
      </c>
      <c r="W1607">
        <v>-2.7185029999999999E-2</v>
      </c>
      <c r="X1607">
        <v>0.99263599999999996</v>
      </c>
      <c r="Y1607">
        <v>-3.1035099999999999E-2</v>
      </c>
      <c r="Z1607">
        <v>-1.4510149999999999E-3</v>
      </c>
      <c r="AA1607">
        <v>0.99951730000000005</v>
      </c>
      <c r="AB1607">
        <v>26</v>
      </c>
      <c r="AC1607">
        <v>-26.821300000000001</v>
      </c>
      <c r="AD1607">
        <v>-1.109473237794</v>
      </c>
      <c r="AE1607">
        <v>-0.30720000000002301</v>
      </c>
      <c r="AF1607">
        <v>-0.84016687021884195</v>
      </c>
      <c r="AG1607">
        <v>-1.109473237794</v>
      </c>
      <c r="AH1607">
        <v>26.764062975128201</v>
      </c>
      <c r="AI1607">
        <v>92.372603704575198</v>
      </c>
      <c r="AJ1607">
        <v>91.798015976778103</v>
      </c>
      <c r="AK1607">
        <v>26.800221606767</v>
      </c>
      <c r="AL1607">
        <v>91.557779476256101</v>
      </c>
      <c r="AM1607">
        <v>83.218188323256399</v>
      </c>
      <c r="AN1607">
        <v>0.99999994999305397</v>
      </c>
    </row>
    <row r="1608" spans="1:40" x14ac:dyDescent="0.25">
      <c r="A1608" t="str">
        <f>"20190312161258569"</f>
        <v>20190312161258569</v>
      </c>
      <c r="B1608" t="str">
        <f>"1552378378557548"</f>
        <v>1552378378557548</v>
      </c>
      <c r="C1608" t="s">
        <v>40</v>
      </c>
      <c r="D1608">
        <v>5.4465130000000004</v>
      </c>
      <c r="E1608">
        <v>0.44349349999999998</v>
      </c>
      <c r="F1608" t="s">
        <v>74</v>
      </c>
      <c r="G1608">
        <v>-286.76929999999999</v>
      </c>
      <c r="H1608" s="1">
        <v>5.5438070000000002E-6</v>
      </c>
      <c r="I1608">
        <v>283.92189999999999</v>
      </c>
      <c r="J1608">
        <v>-259.70179999999999</v>
      </c>
      <c r="K1608">
        <v>1.109451</v>
      </c>
      <c r="L1608">
        <v>284.23649999999998</v>
      </c>
      <c r="M1608">
        <v>-0.99978290000000003</v>
      </c>
      <c r="N1608">
        <v>0</v>
      </c>
      <c r="O1608">
        <v>1.9607349999999999E-2</v>
      </c>
      <c r="P1608">
        <v>-0.98979410000000001</v>
      </c>
      <c r="Q1608">
        <v>-3.3794959999999999E-2</v>
      </c>
      <c r="R1608">
        <v>0.13843989999999901</v>
      </c>
      <c r="S1608">
        <v>-3.03125</v>
      </c>
      <c r="T1608">
        <v>-0.1231222</v>
      </c>
      <c r="U1608">
        <v>-3.4393310000000003E-2</v>
      </c>
      <c r="V1608">
        <v>0.1190198</v>
      </c>
      <c r="W1608">
        <v>-2.6730429999999999E-2</v>
      </c>
      <c r="X1608">
        <v>0.99253199999999997</v>
      </c>
      <c r="Y1608">
        <v>-3.090826E-2</v>
      </c>
      <c r="Z1608">
        <v>-1.4234849999999999E-3</v>
      </c>
      <c r="AA1608">
        <v>0.9995212</v>
      </c>
      <c r="AB1608">
        <v>26</v>
      </c>
      <c r="AC1608">
        <v>-27.0674999999999</v>
      </c>
      <c r="AD1608">
        <v>-1.1094454561929901</v>
      </c>
      <c r="AE1608">
        <v>-0.314599999999984</v>
      </c>
      <c r="AF1608">
        <v>-0.84385714457961003</v>
      </c>
      <c r="AG1608">
        <v>-1.1094454561929901</v>
      </c>
      <c r="AH1608">
        <v>27.0107549886879</v>
      </c>
      <c r="AI1608">
        <v>92.350911118823205</v>
      </c>
      <c r="AJ1608">
        <v>91.789425430895406</v>
      </c>
      <c r="AK1608">
        <v>27.0466975647611</v>
      </c>
      <c r="AL1608">
        <v>91.531723267506095</v>
      </c>
      <c r="AM1608">
        <v>83.162009134593106</v>
      </c>
      <c r="AN1608">
        <v>0.99999999985201204</v>
      </c>
    </row>
    <row r="1609" spans="1:40" x14ac:dyDescent="0.25">
      <c r="A1609" t="str">
        <f>"20190312161258590"</f>
        <v>20190312161258590</v>
      </c>
      <c r="B1609" t="str">
        <f>"1552378378587800"</f>
        <v>1552378378587800</v>
      </c>
      <c r="C1609" t="s">
        <v>40</v>
      </c>
      <c r="D1609">
        <v>5.5600649999999998</v>
      </c>
      <c r="E1609">
        <v>0.44345820000000002</v>
      </c>
      <c r="F1609" t="s">
        <v>74</v>
      </c>
      <c r="G1609">
        <v>-287.1377</v>
      </c>
      <c r="H1609" s="1">
        <v>5.3748980000000004E-6</v>
      </c>
      <c r="I1609">
        <v>283.94889999999998</v>
      </c>
      <c r="J1609">
        <v>-259.95030000000003</v>
      </c>
      <c r="K1609">
        <v>1.109423</v>
      </c>
      <c r="L1609">
        <v>284.24099999999999</v>
      </c>
      <c r="M1609">
        <v>-0.99978849999999997</v>
      </c>
      <c r="N1609">
        <v>0</v>
      </c>
      <c r="O1609">
        <v>1.9319989999999999E-2</v>
      </c>
      <c r="P1609">
        <v>-0.98968429999999996</v>
      </c>
      <c r="Q1609">
        <v>-3.4383339999999998E-2</v>
      </c>
      <c r="R1609">
        <v>0.1390787</v>
      </c>
      <c r="S1609">
        <v>-3.0312190000000001</v>
      </c>
      <c r="T1609">
        <v>-0.1225759</v>
      </c>
      <c r="U1609">
        <v>-3.17688E-2</v>
      </c>
      <c r="V1609">
        <v>0.1199446</v>
      </c>
      <c r="W1609">
        <v>-2.7333010000000001E-2</v>
      </c>
      <c r="X1609">
        <v>0.99240419999999996</v>
      </c>
      <c r="Y1609">
        <v>-2.9757309999999999E-2</v>
      </c>
      <c r="Z1609">
        <v>-1.38231799999999E-3</v>
      </c>
      <c r="AA1609">
        <v>0.99955620000000001</v>
      </c>
      <c r="AB1609">
        <v>26</v>
      </c>
      <c r="AC1609">
        <v>-27.187399999999901</v>
      </c>
      <c r="AD1609">
        <v>-1.109417625102</v>
      </c>
      <c r="AE1609">
        <v>-0.29210000000000402</v>
      </c>
      <c r="AF1609">
        <v>-0.815960281001193</v>
      </c>
      <c r="AG1609">
        <v>-1.109417625102</v>
      </c>
      <c r="AH1609">
        <v>27.131508789304899</v>
      </c>
      <c r="AI1609">
        <v>92.340484551163698</v>
      </c>
      <c r="AJ1609">
        <v>91.722609439301394</v>
      </c>
      <c r="AK1609">
        <v>27.166438261781501</v>
      </c>
      <c r="AL1609">
        <v>91.566261260525593</v>
      </c>
      <c r="AM1609">
        <v>83.108507084884394</v>
      </c>
      <c r="AN1609">
        <v>0.99999994834122796</v>
      </c>
    </row>
    <row r="1610" spans="1:40" x14ac:dyDescent="0.25">
      <c r="A1610" t="str">
        <f>"20190312161258613"</f>
        <v>20190312161258613</v>
      </c>
      <c r="B1610" t="str">
        <f>"1552378378607321"</f>
        <v>1552378378607321</v>
      </c>
      <c r="C1610" t="s">
        <v>40</v>
      </c>
      <c r="D1610">
        <v>5.5302020000000001</v>
      </c>
      <c r="E1610">
        <v>0.44348019999999999</v>
      </c>
      <c r="F1610" t="s">
        <v>74</v>
      </c>
      <c r="G1610">
        <v>-287.1429</v>
      </c>
      <c r="H1610" s="1">
        <v>5.3679730000000004E-6</v>
      </c>
      <c r="I1610">
        <v>283.97129999999999</v>
      </c>
      <c r="J1610">
        <v>-260.22070000000002</v>
      </c>
      <c r="K1610">
        <v>1.1094010000000001</v>
      </c>
      <c r="L1610">
        <v>284.24590000000001</v>
      </c>
      <c r="M1610">
        <v>-0.99979410000000002</v>
      </c>
      <c r="N1610">
        <v>0</v>
      </c>
      <c r="O1610">
        <v>1.9037479999999999E-2</v>
      </c>
      <c r="P1610">
        <v>-0.98974039999999996</v>
      </c>
      <c r="Q1610">
        <v>-3.4386989999999999E-2</v>
      </c>
      <c r="R1610">
        <v>0.13867959999999999</v>
      </c>
      <c r="S1610">
        <v>-3.0311889999999999</v>
      </c>
      <c r="T1610">
        <v>-0.1236681</v>
      </c>
      <c r="U1610">
        <v>-3.0059809999999999E-2</v>
      </c>
      <c r="V1610">
        <v>0.1198239</v>
      </c>
      <c r="W1610">
        <v>-2.7348600000000001E-2</v>
      </c>
      <c r="X1610">
        <v>0.99241840000000003</v>
      </c>
      <c r="Y1610">
        <v>-2.891169E-2</v>
      </c>
      <c r="Z1610">
        <v>-1.365879E-3</v>
      </c>
      <c r="AA1610">
        <v>0.99958100000000005</v>
      </c>
      <c r="AB1610">
        <v>26</v>
      </c>
      <c r="AC1610">
        <v>-26.922199999999901</v>
      </c>
      <c r="AD1610">
        <v>-1.109395632027</v>
      </c>
      <c r="AE1610">
        <v>-0.27460000000001999</v>
      </c>
      <c r="AF1610">
        <v>-0.785759594203852</v>
      </c>
      <c r="AG1610">
        <v>-1.109395632027</v>
      </c>
      <c r="AH1610">
        <v>26.866476832620499</v>
      </c>
      <c r="AI1610">
        <v>92.363557953410904</v>
      </c>
      <c r="AJ1610">
        <v>91.6752430455807</v>
      </c>
      <c r="AK1610">
        <v>26.900850436482099</v>
      </c>
      <c r="AL1610">
        <v>91.567154759864493</v>
      </c>
      <c r="AM1610">
        <v>83.115472950408403</v>
      </c>
      <c r="AN1610">
        <v>0.99999999679586504</v>
      </c>
    </row>
    <row r="1611" spans="1:40" x14ac:dyDescent="0.25">
      <c r="A1611" t="str">
        <f>"20190312161258636"</f>
        <v>20190312161258636</v>
      </c>
      <c r="B1611" t="str">
        <f>"1552378378626844"</f>
        <v>1552378378626844</v>
      </c>
      <c r="C1611" t="s">
        <v>40</v>
      </c>
      <c r="D1611">
        <v>5.5169969999999999</v>
      </c>
      <c r="E1611">
        <v>0.44350210000000001</v>
      </c>
      <c r="F1611" t="s">
        <v>74</v>
      </c>
      <c r="G1611">
        <v>-287.46050000000002</v>
      </c>
      <c r="H1611" s="1">
        <v>5.2283889999999997E-6</v>
      </c>
      <c r="I1611">
        <v>283.96510000000001</v>
      </c>
      <c r="J1611">
        <v>-260.4905</v>
      </c>
      <c r="K1611">
        <v>1.109378</v>
      </c>
      <c r="L1611">
        <v>284.25080000000003</v>
      </c>
      <c r="M1611">
        <v>-0.99979879999999999</v>
      </c>
      <c r="N1611">
        <v>0</v>
      </c>
      <c r="O1611">
        <v>1.87808E-2</v>
      </c>
      <c r="P1611">
        <v>-0.98986830000000003</v>
      </c>
      <c r="Q1611">
        <v>-3.4290840000000003E-2</v>
      </c>
      <c r="R1611">
        <v>0.13778679999999999</v>
      </c>
      <c r="S1611">
        <v>-3.0311889999999999</v>
      </c>
      <c r="T1611">
        <v>-0.12345100000000001</v>
      </c>
      <c r="U1611">
        <v>-3.125E-2</v>
      </c>
      <c r="V1611">
        <v>0.1191823</v>
      </c>
      <c r="W1611">
        <v>-2.7261239999999999E-2</v>
      </c>
      <c r="X1611">
        <v>0.99249799999999999</v>
      </c>
      <c r="Y1611">
        <v>-2.9047750000000001E-2</v>
      </c>
      <c r="Z1611">
        <v>-1.3558029999999901E-3</v>
      </c>
      <c r="AA1611">
        <v>0.9995771</v>
      </c>
      <c r="AB1611">
        <v>26</v>
      </c>
      <c r="AC1611">
        <v>-26.97</v>
      </c>
      <c r="AD1611">
        <v>-1.109372771611</v>
      </c>
      <c r="AE1611">
        <v>-0.28570000000001899</v>
      </c>
      <c r="AF1611">
        <v>-0.79084242283175898</v>
      </c>
      <c r="AG1611">
        <v>-1.109372771611</v>
      </c>
      <c r="AH1611">
        <v>26.914343927872199</v>
      </c>
      <c r="AI1611">
        <v>92.359301118121294</v>
      </c>
      <c r="AJ1611">
        <v>91.683076473214896</v>
      </c>
      <c r="AK1611">
        <v>26.948804217477601</v>
      </c>
      <c r="AL1611">
        <v>91.562147625602904</v>
      </c>
      <c r="AM1611">
        <v>83.152529334475801</v>
      </c>
      <c r="AN1611">
        <v>0.99999993792181097</v>
      </c>
    </row>
    <row r="1612" spans="1:40" x14ac:dyDescent="0.25">
      <c r="A1612" t="str">
        <f>"20190312161258658"</f>
        <v>20190312161258658</v>
      </c>
      <c r="B1612" t="str">
        <f>"1552378378647336"</f>
        <v>1552378378647336</v>
      </c>
      <c r="C1612" t="s">
        <v>40</v>
      </c>
      <c r="D1612">
        <v>5.556527</v>
      </c>
      <c r="E1612">
        <v>0.44346259999999998</v>
      </c>
      <c r="F1612" t="s">
        <v>74</v>
      </c>
      <c r="G1612">
        <v>-287.6755</v>
      </c>
      <c r="H1612" s="1">
        <v>5.1367180000000004E-6</v>
      </c>
      <c r="I1612">
        <v>283.94729999999998</v>
      </c>
      <c r="J1612">
        <v>-260.74610000000001</v>
      </c>
      <c r="K1612">
        <v>1.109361</v>
      </c>
      <c r="L1612">
        <v>284.25529999999998</v>
      </c>
      <c r="M1612">
        <v>-0.9998032</v>
      </c>
      <c r="N1612">
        <v>0</v>
      </c>
      <c r="O1612">
        <v>1.8558180000000001E-2</v>
      </c>
      <c r="P1612">
        <v>-0.99005840000000001</v>
      </c>
      <c r="Q1612">
        <v>-3.404981E-2</v>
      </c>
      <c r="R1612">
        <v>0.13647500000000001</v>
      </c>
      <c r="S1612">
        <v>-3.031158</v>
      </c>
      <c r="T1612">
        <v>-0.1236963</v>
      </c>
      <c r="U1612">
        <v>-3.3843989999999997E-2</v>
      </c>
      <c r="V1612">
        <v>0.1180872</v>
      </c>
      <c r="W1612">
        <v>-2.7026089999999999E-2</v>
      </c>
      <c r="X1612">
        <v>0.99263539999999995</v>
      </c>
      <c r="Y1612">
        <v>-2.9680080000000001E-2</v>
      </c>
      <c r="Z1612">
        <v>-1.36232E-3</v>
      </c>
      <c r="AA1612">
        <v>0.99955850000000002</v>
      </c>
      <c r="AB1612">
        <v>26</v>
      </c>
      <c r="AC1612">
        <v>-26.929399999999902</v>
      </c>
      <c r="AD1612">
        <v>-1.109355863282</v>
      </c>
      <c r="AE1612">
        <v>-0.307999999999992</v>
      </c>
      <c r="AF1612">
        <v>-0.80635166965971405</v>
      </c>
      <c r="AG1612">
        <v>-1.109355863282</v>
      </c>
      <c r="AH1612">
        <v>26.8734470241052</v>
      </c>
      <c r="AI1612">
        <v>92.362807999215804</v>
      </c>
      <c r="AJ1612">
        <v>91.718673814198993</v>
      </c>
      <c r="AK1612">
        <v>26.908419284750799</v>
      </c>
      <c r="AL1612">
        <v>91.548669433844907</v>
      </c>
      <c r="AM1612">
        <v>83.215788112379201</v>
      </c>
      <c r="AN1612">
        <v>1.0000000168388401</v>
      </c>
    </row>
    <row r="1613" spans="1:40" x14ac:dyDescent="0.25">
      <c r="A1613" t="str">
        <f>"20190312161258680"</f>
        <v>20190312161258680</v>
      </c>
      <c r="B1613" t="str">
        <f>"1552378378677592"</f>
        <v>1552378378677592</v>
      </c>
      <c r="C1613" t="s">
        <v>40</v>
      </c>
      <c r="D1613">
        <v>5.5797160000000003</v>
      </c>
      <c r="E1613">
        <v>0.44358510000000001</v>
      </c>
      <c r="F1613" t="s">
        <v>74</v>
      </c>
      <c r="G1613">
        <v>-288.26100000000002</v>
      </c>
      <c r="H1613" s="1">
        <v>4.8849319999999996E-6</v>
      </c>
      <c r="I1613">
        <v>283.90929999999997</v>
      </c>
      <c r="J1613">
        <v>-261.0104</v>
      </c>
      <c r="K1613">
        <v>1.1093470000000001</v>
      </c>
      <c r="L1613">
        <v>284.25990000000002</v>
      </c>
      <c r="M1613">
        <v>-0.999807</v>
      </c>
      <c r="N1613">
        <v>0</v>
      </c>
      <c r="O1613">
        <v>1.834568E-2</v>
      </c>
      <c r="P1613">
        <v>-0.99015089999999994</v>
      </c>
      <c r="Q1613">
        <v>-3.3682379999999998E-2</v>
      </c>
      <c r="R1613">
        <v>0.13589179999999901</v>
      </c>
      <c r="S1613">
        <v>-3.031158</v>
      </c>
      <c r="T1613">
        <v>-0.12221129999999999</v>
      </c>
      <c r="U1613">
        <v>-3.8116459999999998E-2</v>
      </c>
      <c r="V1613">
        <v>0.1177125</v>
      </c>
      <c r="W1613">
        <v>-2.6663389999999999E-2</v>
      </c>
      <c r="X1613">
        <v>0.99268970000000001</v>
      </c>
      <c r="Y1613">
        <v>-3.0876460000000001E-2</v>
      </c>
      <c r="Z1613">
        <v>-1.361513E-3</v>
      </c>
      <c r="AA1613">
        <v>0.99952229999999997</v>
      </c>
      <c r="AB1613">
        <v>26</v>
      </c>
      <c r="AC1613">
        <v>-27.250599999999899</v>
      </c>
      <c r="AD1613">
        <v>-1.1093421150679901</v>
      </c>
      <c r="AE1613">
        <v>-0.35060000000004199</v>
      </c>
      <c r="AF1613">
        <v>-0.84907725758762698</v>
      </c>
      <c r="AG1613">
        <v>-1.1093421150679901</v>
      </c>
      <c r="AH1613">
        <v>27.1945217365516</v>
      </c>
      <c r="AI1613">
        <v>92.334826634873593</v>
      </c>
      <c r="AJ1613">
        <v>91.788328727888995</v>
      </c>
      <c r="AK1613">
        <v>27.230379810009801</v>
      </c>
      <c r="AL1613">
        <v>91.527880781394998</v>
      </c>
      <c r="AM1613">
        <v>83.237481754707005</v>
      </c>
      <c r="AN1613">
        <v>1.0000000047543101</v>
      </c>
    </row>
    <row r="1614" spans="1:40" x14ac:dyDescent="0.25">
      <c r="A1614" t="str">
        <f>"20190312161258703"</f>
        <v>20190312161258703</v>
      </c>
      <c r="B1614" t="str">
        <f>"1552378378697112"</f>
        <v>1552378378697112</v>
      </c>
      <c r="C1614" t="s">
        <v>40</v>
      </c>
      <c r="D1614">
        <v>5.5693010000000003</v>
      </c>
      <c r="E1614">
        <v>0.44364819999999999</v>
      </c>
      <c r="F1614" t="s">
        <v>74</v>
      </c>
      <c r="G1614">
        <v>-288.39600000000002</v>
      </c>
      <c r="H1614" s="1">
        <v>4.8257689999999998E-6</v>
      </c>
      <c r="I1614">
        <v>283.90589999999997</v>
      </c>
      <c r="J1614">
        <v>-261.28930000000003</v>
      </c>
      <c r="K1614">
        <v>1.109337</v>
      </c>
      <c r="L1614">
        <v>284.26479999999998</v>
      </c>
      <c r="M1614">
        <v>-0.99981089999999995</v>
      </c>
      <c r="N1614">
        <v>0</v>
      </c>
      <c r="O1614">
        <v>1.8136090000000001E-2</v>
      </c>
      <c r="P1614">
        <v>-0.99018039999999996</v>
      </c>
      <c r="Q1614">
        <v>-3.3957880000000003E-2</v>
      </c>
      <c r="R1614">
        <v>0.1356096</v>
      </c>
      <c r="S1614">
        <v>-3.0310359999999998</v>
      </c>
      <c r="T1614">
        <v>-0.1227818</v>
      </c>
      <c r="U1614">
        <v>-3.9184570000000002E-2</v>
      </c>
      <c r="V1614">
        <v>0.1176373</v>
      </c>
      <c r="W1614">
        <v>-2.6942649999999999E-2</v>
      </c>
      <c r="X1614">
        <v>0.99269099999999999</v>
      </c>
      <c r="Y1614">
        <v>-3.101928E-2</v>
      </c>
      <c r="Z1614">
        <v>-1.3623210000000001E-3</v>
      </c>
      <c r="AA1614">
        <v>0.99951789999999996</v>
      </c>
      <c r="AB1614">
        <v>27</v>
      </c>
      <c r="AC1614">
        <v>-27.106699999999901</v>
      </c>
      <c r="AD1614">
        <v>-1.1093321742310001</v>
      </c>
      <c r="AE1614">
        <v>-0.35890000000000499</v>
      </c>
      <c r="AF1614">
        <v>-0.84904087698166597</v>
      </c>
      <c r="AG1614">
        <v>-1.1093321742310001</v>
      </c>
      <c r="AH1614">
        <v>27.050435417964</v>
      </c>
      <c r="AI1614">
        <v>92.347216296778001</v>
      </c>
      <c r="AJ1614">
        <v>91.797771187455396</v>
      </c>
      <c r="AK1614">
        <v>27.086482691280001</v>
      </c>
      <c r="AL1614">
        <v>91.5438870649471</v>
      </c>
      <c r="AM1614">
        <v>83.241770749199006</v>
      </c>
      <c r="AN1614">
        <v>0.999999931110653</v>
      </c>
    </row>
    <row r="1615" spans="1:40" x14ac:dyDescent="0.25">
      <c r="A1615" t="str">
        <f>"20190312161258725"</f>
        <v>20190312161258725</v>
      </c>
      <c r="B1615" t="str">
        <f>"1552378378717612"</f>
        <v>1552378378717612</v>
      </c>
      <c r="C1615" t="s">
        <v>40</v>
      </c>
      <c r="D1615">
        <v>5.5741959999999997</v>
      </c>
      <c r="E1615">
        <v>0.44367709999999999</v>
      </c>
      <c r="F1615" t="s">
        <v>74</v>
      </c>
      <c r="G1615">
        <v>-288.4796</v>
      </c>
      <c r="H1615" s="1">
        <v>4.7875429999999996E-6</v>
      </c>
      <c r="I1615">
        <v>283.91140000000001</v>
      </c>
      <c r="J1615">
        <v>-261.55680000000001</v>
      </c>
      <c r="K1615">
        <v>1.109324</v>
      </c>
      <c r="L1615">
        <v>284.26949999999999</v>
      </c>
      <c r="M1615">
        <v>-0.99981430000000004</v>
      </c>
      <c r="N1615">
        <v>0</v>
      </c>
      <c r="O1615">
        <v>1.7946569999999998E-2</v>
      </c>
      <c r="P1615">
        <v>-0.99011090000000002</v>
      </c>
      <c r="Q1615">
        <v>-3.4209339999999998E-2</v>
      </c>
      <c r="R1615">
        <v>0.13605300000000001</v>
      </c>
      <c r="S1615">
        <v>-3.0308839999999999</v>
      </c>
      <c r="T1615">
        <v>-0.1236563</v>
      </c>
      <c r="U1615">
        <v>-3.939819E-2</v>
      </c>
      <c r="V1615">
        <v>0.1182696</v>
      </c>
      <c r="W1615">
        <v>-2.7196649999999999E-2</v>
      </c>
      <c r="X1615">
        <v>0.99260899999999996</v>
      </c>
      <c r="Y1615">
        <v>-3.090058E-2</v>
      </c>
      <c r="Z1615">
        <v>-1.361936E-3</v>
      </c>
      <c r="AA1615">
        <v>0.99952160000000001</v>
      </c>
      <c r="AB1615">
        <v>27</v>
      </c>
      <c r="AC1615">
        <v>-26.922799999999899</v>
      </c>
      <c r="AD1615">
        <v>-1.1093192124569999</v>
      </c>
      <c r="AE1615">
        <v>-0.35809999999997899</v>
      </c>
      <c r="AF1615">
        <v>-0.839800630629287</v>
      </c>
      <c r="AG1615">
        <v>-1.1093192124569999</v>
      </c>
      <c r="AH1615">
        <v>26.8664326724051</v>
      </c>
      <c r="AI1615">
        <v>92.363255684511998</v>
      </c>
      <c r="AJ1615">
        <v>91.790389146821298</v>
      </c>
      <c r="AK1615">
        <v>26.902435926049598</v>
      </c>
      <c r="AL1615">
        <v>91.558445434849602</v>
      </c>
      <c r="AM1615">
        <v>83.205227946029197</v>
      </c>
      <c r="AN1615">
        <v>0.99999999146819096</v>
      </c>
    </row>
    <row r="1616" spans="1:40" x14ac:dyDescent="0.25">
      <c r="A1616" t="str">
        <f>"20190312161258738"</f>
        <v>20190312161258738</v>
      </c>
      <c r="B1616" t="str">
        <f>"1552378378727369"</f>
        <v>1552378378727369</v>
      </c>
      <c r="C1616" t="s">
        <v>40</v>
      </c>
      <c r="D1616">
        <v>5.5487880000000001</v>
      </c>
      <c r="E1616">
        <v>0.44361929999999999</v>
      </c>
      <c r="F1616" t="s">
        <v>74</v>
      </c>
      <c r="G1616">
        <v>-288.54430000000002</v>
      </c>
      <c r="H1616" s="1">
        <v>4.7543539999999997E-6</v>
      </c>
      <c r="I1616">
        <v>283.93340000000001</v>
      </c>
      <c r="J1616">
        <v>-261.70780000000002</v>
      </c>
      <c r="K1616">
        <v>1.109318</v>
      </c>
      <c r="L1616">
        <v>284.27210000000002</v>
      </c>
      <c r="M1616">
        <v>-0.99981620000000004</v>
      </c>
      <c r="N1616">
        <v>0</v>
      </c>
      <c r="O1616">
        <v>1.784372E-2</v>
      </c>
      <c r="P1616">
        <v>-0.9900793</v>
      </c>
      <c r="Q1616">
        <v>-3.3742689999999999E-2</v>
      </c>
      <c r="R1616">
        <v>0.1363993</v>
      </c>
      <c r="S1616">
        <v>-3.0308839999999999</v>
      </c>
      <c r="T1616">
        <v>-0.1245846</v>
      </c>
      <c r="U1616">
        <v>-3.7750239999999997E-2</v>
      </c>
      <c r="V1616">
        <v>0.1187179</v>
      </c>
      <c r="W1616">
        <v>-2.6730489999999999E-2</v>
      </c>
      <c r="X1616">
        <v>0.99256809999999995</v>
      </c>
      <c r="Y1616">
        <v>-3.0254409999999999E-2</v>
      </c>
      <c r="Z1616">
        <v>-1.354655E-3</v>
      </c>
      <c r="AA1616">
        <v>0.99954129999999997</v>
      </c>
      <c r="AB1616">
        <v>27</v>
      </c>
      <c r="AC1616">
        <v>-26.836500000000001</v>
      </c>
      <c r="AD1616">
        <v>-1.109313245646</v>
      </c>
      <c r="AE1616">
        <v>-0.33870000000001699</v>
      </c>
      <c r="AF1616">
        <v>-0.81612657290968404</v>
      </c>
      <c r="AG1616">
        <v>-1.109313245646</v>
      </c>
      <c r="AH1616">
        <v>26.7804318147525</v>
      </c>
      <c r="AI1616">
        <v>92.370880725034397</v>
      </c>
      <c r="AJ1616">
        <v>91.745533488287293</v>
      </c>
      <c r="AK1616">
        <v>26.815819335693998</v>
      </c>
      <c r="AL1616">
        <v>91.531726788977494</v>
      </c>
      <c r="AM1616">
        <v>83.179436183018495</v>
      </c>
      <c r="AN1616">
        <v>0.99999994600682796</v>
      </c>
    </row>
    <row r="1617" spans="1:40" x14ac:dyDescent="0.25">
      <c r="A1617" t="str">
        <f>"20190312161258750"</f>
        <v>20190312161258750</v>
      </c>
      <c r="B1617" t="str">
        <f>"1552378378746890"</f>
        <v>1552378378746890</v>
      </c>
      <c r="C1617" t="s">
        <v>40</v>
      </c>
      <c r="D1617">
        <v>5.670515</v>
      </c>
      <c r="E1617">
        <v>0.4436486</v>
      </c>
      <c r="F1617" t="s">
        <v>74</v>
      </c>
      <c r="G1617">
        <v>-289.08929999999998</v>
      </c>
      <c r="H1617" s="1">
        <v>4.5122620000000002E-6</v>
      </c>
      <c r="I1617">
        <v>283.93520000000001</v>
      </c>
      <c r="J1617">
        <v>-261.85079999999999</v>
      </c>
      <c r="K1617">
        <v>1.109316</v>
      </c>
      <c r="L1617">
        <v>284.27460000000002</v>
      </c>
      <c r="M1617">
        <v>-0.99981770000000003</v>
      </c>
      <c r="N1617">
        <v>0</v>
      </c>
      <c r="O1617">
        <v>1.7747840000000001E-2</v>
      </c>
      <c r="P1617">
        <v>-0.99000980000000005</v>
      </c>
      <c r="Q1617">
        <v>-3.3691289999999999E-2</v>
      </c>
      <c r="R1617">
        <v>0.13691389999999901</v>
      </c>
      <c r="S1617">
        <v>-3.0310060000000001</v>
      </c>
      <c r="T1617">
        <v>-0.12279569999999999</v>
      </c>
      <c r="U1617">
        <v>-3.7292480000000003E-2</v>
      </c>
      <c r="V1617">
        <v>0.11932860000000001</v>
      </c>
      <c r="W1617">
        <v>-2.667945E-2</v>
      </c>
      <c r="X1617">
        <v>0.9924963</v>
      </c>
      <c r="Y1617">
        <v>-3.0008569999999998E-2</v>
      </c>
      <c r="Z1617">
        <v>-1.32630799999999E-3</v>
      </c>
      <c r="AA1617">
        <v>0.99954869999999996</v>
      </c>
      <c r="AB1617">
        <v>27</v>
      </c>
      <c r="AC1617">
        <v>-27.238499999999899</v>
      </c>
      <c r="AD1617">
        <v>-1.1093114877379999</v>
      </c>
      <c r="AE1617">
        <v>-0.33940000000001103</v>
      </c>
      <c r="AF1617">
        <v>-0.82142087067533298</v>
      </c>
      <c r="AG1617">
        <v>-1.1093114877379999</v>
      </c>
      <c r="AH1617">
        <v>27.183107015498699</v>
      </c>
      <c r="AI1617">
        <v>92.335813488375393</v>
      </c>
      <c r="AJ1617">
        <v>91.7308408387714</v>
      </c>
      <c r="AK1617">
        <v>27.218130193671701</v>
      </c>
      <c r="AL1617">
        <v>91.5288012761402</v>
      </c>
      <c r="AM1617">
        <v>83.144192172153495</v>
      </c>
      <c r="AN1617">
        <v>1.0000000066719701</v>
      </c>
    </row>
    <row r="1618" spans="1:40" x14ac:dyDescent="0.25">
      <c r="A1618" t="str">
        <f>"20190312161258769"</f>
        <v>20190312161258769</v>
      </c>
      <c r="B1618" t="str">
        <f>"1552378378757624"</f>
        <v>1552378378757624</v>
      </c>
      <c r="C1618" t="s">
        <v>40</v>
      </c>
      <c r="D1618">
        <v>5.6635949999999999</v>
      </c>
      <c r="E1618">
        <v>0.41643639999999998</v>
      </c>
      <c r="F1618" t="s">
        <v>74</v>
      </c>
      <c r="G1618">
        <v>-289.15730000000002</v>
      </c>
      <c r="H1618" s="1">
        <v>4.4780129999999999E-6</v>
      </c>
      <c r="I1618">
        <v>283.95510000000002</v>
      </c>
      <c r="J1618">
        <v>-262.07409999999999</v>
      </c>
      <c r="K1618">
        <v>1.10931</v>
      </c>
      <c r="L1618">
        <v>284.27839999999998</v>
      </c>
      <c r="M1618">
        <v>-0.9998205</v>
      </c>
      <c r="N1618">
        <v>0</v>
      </c>
      <c r="O1618">
        <v>1.7601479999999999E-2</v>
      </c>
      <c r="P1618">
        <v>-0.98994680000000002</v>
      </c>
      <c r="Q1618">
        <v>-3.2781119999999997E-2</v>
      </c>
      <c r="R1618">
        <v>0.1375904</v>
      </c>
      <c r="S1618">
        <v>-3.0310060000000001</v>
      </c>
      <c r="T1618">
        <v>-0.123133199999999</v>
      </c>
      <c r="U1618">
        <v>-3.5461430000000002E-2</v>
      </c>
      <c r="V1618">
        <v>0.12015099999999999</v>
      </c>
      <c r="W1618">
        <v>-2.576852E-2</v>
      </c>
      <c r="X1618">
        <v>0.9924212</v>
      </c>
      <c r="Y1618">
        <v>-2.9259E-2</v>
      </c>
      <c r="Z1618">
        <v>-1.308792E-3</v>
      </c>
      <c r="AA1618">
        <v>0.99957099999999999</v>
      </c>
      <c r="AB1618">
        <v>27</v>
      </c>
      <c r="AC1618">
        <v>-27.083200000000001</v>
      </c>
      <c r="AD1618">
        <v>-1.1093055219870001</v>
      </c>
      <c r="AE1618">
        <v>-0.32329999999996001</v>
      </c>
      <c r="AF1618">
        <v>-0.79862640458075695</v>
      </c>
      <c r="AG1618">
        <v>-1.1093055219870001</v>
      </c>
      <c r="AH1618">
        <v>27.027976286910999</v>
      </c>
      <c r="AI1618">
        <v>92.349239544220893</v>
      </c>
      <c r="AJ1618">
        <v>91.692491213907303</v>
      </c>
      <c r="AK1618">
        <v>27.062517714378099</v>
      </c>
      <c r="AL1618">
        <v>91.476590797667896</v>
      </c>
      <c r="AM1618">
        <v>83.096879688430207</v>
      </c>
      <c r="AN1618">
        <v>1.0000000588167099</v>
      </c>
    </row>
    <row r="1619" spans="1:40" x14ac:dyDescent="0.25">
      <c r="A1619" t="str">
        <f>"20190312161258781"</f>
        <v>20190312161258781</v>
      </c>
      <c r="B1619" t="str">
        <f>"1552378378777145"</f>
        <v>1552378378777145</v>
      </c>
      <c r="C1619" t="s">
        <v>40</v>
      </c>
      <c r="D1619">
        <v>5.6453550000000003</v>
      </c>
      <c r="E1619">
        <v>0.40219650000000001</v>
      </c>
      <c r="F1619" t="s">
        <v>74</v>
      </c>
      <c r="G1619">
        <v>-293.21679999999998</v>
      </c>
      <c r="H1619" s="1">
        <v>3.026533E-6</v>
      </c>
      <c r="I1619">
        <v>281.75470000000001</v>
      </c>
      <c r="J1619">
        <v>-262.22539999999998</v>
      </c>
      <c r="K1619">
        <v>1.109308</v>
      </c>
      <c r="L1619">
        <v>284.28089999999997</v>
      </c>
      <c r="M1619">
        <v>-0.99982210000000005</v>
      </c>
      <c r="N1619">
        <v>0</v>
      </c>
      <c r="O1619">
        <v>1.7503899999999999E-2</v>
      </c>
      <c r="P1619">
        <v>-0.9899329</v>
      </c>
      <c r="Q1619">
        <v>-3.2180399999999998E-2</v>
      </c>
      <c r="R1619">
        <v>0.1378306</v>
      </c>
      <c r="S1619">
        <v>-3.0613709999999998</v>
      </c>
      <c r="T1619">
        <v>-0.1090462</v>
      </c>
      <c r="U1619">
        <v>-0.2480774</v>
      </c>
      <c r="V1619">
        <v>0.120488</v>
      </c>
      <c r="W1619">
        <v>-2.5166359999999999E-2</v>
      </c>
      <c r="X1619">
        <v>0.99239580000000005</v>
      </c>
      <c r="Y1619">
        <v>-9.8131869999999996E-2</v>
      </c>
      <c r="Z1619">
        <v>-2.3666970000000001E-3</v>
      </c>
      <c r="AA1619">
        <v>0.99517060000000002</v>
      </c>
      <c r="AB1619">
        <v>27</v>
      </c>
      <c r="AC1619">
        <v>-30.991399999999999</v>
      </c>
      <c r="AD1619">
        <v>-1.109304973467</v>
      </c>
      <c r="AE1619">
        <v>-2.5261999999999598</v>
      </c>
      <c r="AF1619">
        <v>-3.0643965016016299</v>
      </c>
      <c r="AG1619">
        <v>-1.109304973467</v>
      </c>
      <c r="AH1619">
        <v>30.903100330743101</v>
      </c>
      <c r="AI1619">
        <v>92.045795153978503</v>
      </c>
      <c r="AJ1619">
        <v>95.663020002958802</v>
      </c>
      <c r="AK1619">
        <v>31.074470124125401</v>
      </c>
      <c r="AL1619">
        <v>91.442078371311695</v>
      </c>
      <c r="AM1619">
        <v>83.077529940239302</v>
      </c>
      <c r="AN1619">
        <v>1.0000000638386399</v>
      </c>
    </row>
    <row r="1620" spans="1:40" x14ac:dyDescent="0.25">
      <c r="A1620" t="str">
        <f>"20190312161258803"</f>
        <v>20190312161258803</v>
      </c>
      <c r="B1620" t="str">
        <f>"1552378378797641"</f>
        <v>1552378378797641</v>
      </c>
      <c r="C1620" t="s">
        <v>40</v>
      </c>
      <c r="D1620">
        <v>5.7086069999999998</v>
      </c>
      <c r="E1620">
        <v>0.3937273</v>
      </c>
      <c r="F1620" t="s">
        <v>74</v>
      </c>
      <c r="G1620">
        <v>-291.75080000000003</v>
      </c>
      <c r="H1620" s="1">
        <v>2.8478329999999999E-6</v>
      </c>
      <c r="I1620">
        <v>280.82420000000002</v>
      </c>
      <c r="J1620">
        <v>-262.49340000000001</v>
      </c>
      <c r="K1620">
        <v>1.1092979999999999</v>
      </c>
      <c r="L1620">
        <v>284.28550000000001</v>
      </c>
      <c r="M1620">
        <v>-0.99982499999999996</v>
      </c>
      <c r="N1620">
        <v>0</v>
      </c>
      <c r="O1620">
        <v>1.7331760000000002E-2</v>
      </c>
      <c r="P1620">
        <v>-0.9899173</v>
      </c>
      <c r="Q1620">
        <v>-3.1911099999999998E-2</v>
      </c>
      <c r="R1620">
        <v>0.13800499999999999</v>
      </c>
      <c r="S1620">
        <v>-3.0769350000000002</v>
      </c>
      <c r="T1620">
        <v>-0.1156042</v>
      </c>
      <c r="U1620">
        <v>-0.36022949999999998</v>
      </c>
      <c r="V1620">
        <v>0.12083339999999899</v>
      </c>
      <c r="W1620">
        <v>-2.4893829999999999E-2</v>
      </c>
      <c r="X1620">
        <v>0.99236060000000004</v>
      </c>
      <c r="Y1620">
        <v>-0.1333722</v>
      </c>
      <c r="Z1620">
        <v>-3.1449659999999999E-3</v>
      </c>
      <c r="AA1620">
        <v>0.99106099999999997</v>
      </c>
      <c r="AB1620">
        <v>27</v>
      </c>
      <c r="AC1620">
        <v>-29.257400000000001</v>
      </c>
      <c r="AD1620">
        <v>-1.10929515216699</v>
      </c>
      <c r="AE1620">
        <v>-3.4612999999999898</v>
      </c>
      <c r="AF1620">
        <v>-3.9622575510023901</v>
      </c>
      <c r="AG1620">
        <v>-1.10929515216699</v>
      </c>
      <c r="AH1620">
        <v>29.151684682402401</v>
      </c>
      <c r="AI1620">
        <v>92.159361989854105</v>
      </c>
      <c r="AJ1620">
        <v>97.740133982387704</v>
      </c>
      <c r="AK1620">
        <v>29.440630775465898</v>
      </c>
      <c r="AL1620">
        <v>91.426458769585693</v>
      </c>
      <c r="AM1620">
        <v>83.057634999196296</v>
      </c>
      <c r="AN1620">
        <v>0.99999998687999403</v>
      </c>
    </row>
    <row r="1621" spans="1:40" x14ac:dyDescent="0.25">
      <c r="A1621" t="str">
        <f>"20190312161258818"</f>
        <v>20190312161258818</v>
      </c>
      <c r="B1621" t="str">
        <f>"1552378378807400"</f>
        <v>1552378378807400</v>
      </c>
      <c r="C1621" t="s">
        <v>40</v>
      </c>
      <c r="D1621">
        <v>5.7776579999999997</v>
      </c>
      <c r="E1621">
        <v>0.39138139999999999</v>
      </c>
      <c r="F1621" t="s">
        <v>74</v>
      </c>
      <c r="G1621">
        <v>-287.9941</v>
      </c>
      <c r="H1621" s="1">
        <v>5.655219E-6</v>
      </c>
      <c r="I1621">
        <v>280.7543</v>
      </c>
      <c r="J1621">
        <v>-262.65940000000001</v>
      </c>
      <c r="K1621">
        <v>1.1092949999999999</v>
      </c>
      <c r="L1621">
        <v>284.28829999999999</v>
      </c>
      <c r="M1621">
        <v>-0.99982700000000002</v>
      </c>
      <c r="N1621">
        <v>0</v>
      </c>
      <c r="O1621">
        <v>1.7225770000000001E-2</v>
      </c>
      <c r="P1621">
        <v>-0.98995900000000003</v>
      </c>
      <c r="Q1621">
        <v>-3.2060890000000002E-2</v>
      </c>
      <c r="R1621">
        <v>0.13767179999999901</v>
      </c>
      <c r="S1621">
        <v>-3.0858150000000002</v>
      </c>
      <c r="T1621">
        <v>-0.134234299999999</v>
      </c>
      <c r="U1621">
        <v>-0.4273071</v>
      </c>
      <c r="V1621">
        <v>0.1206048</v>
      </c>
      <c r="W1621">
        <v>-2.5040840000000002E-2</v>
      </c>
      <c r="X1621">
        <v>0.99238470000000001</v>
      </c>
      <c r="Y1621">
        <v>-0.15404979999999999</v>
      </c>
      <c r="Z1621">
        <v>-4.0787879999999999E-3</v>
      </c>
      <c r="AA1621">
        <v>0.98805469999999895</v>
      </c>
      <c r="AB1621">
        <v>27</v>
      </c>
      <c r="AC1621">
        <v>-25.334700000000002</v>
      </c>
      <c r="AD1621">
        <v>-1.1092893447809999</v>
      </c>
      <c r="AE1621">
        <v>-3.53399999999999</v>
      </c>
      <c r="AF1621">
        <v>-3.9624444378787298</v>
      </c>
      <c r="AG1621">
        <v>-1.1092893447809999</v>
      </c>
      <c r="AH1621">
        <v>25.222630579313599</v>
      </c>
      <c r="AI1621">
        <v>92.487768232955901</v>
      </c>
      <c r="AJ1621">
        <v>98.928125388530304</v>
      </c>
      <c r="AK1621">
        <v>25.5560674227129</v>
      </c>
      <c r="AL1621">
        <v>91.434884462811794</v>
      </c>
      <c r="AM1621">
        <v>83.070807817292504</v>
      </c>
      <c r="AN1621">
        <v>0.99999997712251698</v>
      </c>
    </row>
    <row r="1622" spans="1:40" x14ac:dyDescent="0.25">
      <c r="A1622" t="str">
        <f>"20190312161258837"</f>
        <v>20190312161258837</v>
      </c>
      <c r="B1622" t="str">
        <f>"1552378378826921"</f>
        <v>1552378378826921</v>
      </c>
      <c r="C1622" t="s">
        <v>40</v>
      </c>
      <c r="D1622">
        <v>5.4150150000000004</v>
      </c>
      <c r="E1622">
        <v>0.3861021</v>
      </c>
      <c r="F1622" t="s">
        <v>74</v>
      </c>
      <c r="G1622">
        <v>-286.29259999999999</v>
      </c>
      <c r="H1622" s="1">
        <v>6.3866659999999997E-6</v>
      </c>
      <c r="I1622">
        <v>280.86610000000002</v>
      </c>
      <c r="J1622">
        <v>-262.9049</v>
      </c>
      <c r="K1622">
        <v>1.1093010000000001</v>
      </c>
      <c r="L1622">
        <v>284.29230000000001</v>
      </c>
      <c r="M1622">
        <v>-0.99982950000000004</v>
      </c>
      <c r="N1622">
        <v>0</v>
      </c>
      <c r="O1622">
        <v>1.7070479999999999E-2</v>
      </c>
      <c r="P1622">
        <v>-0.98993399999999998</v>
      </c>
      <c r="Q1622">
        <v>-3.2700699999999999E-2</v>
      </c>
      <c r="R1622">
        <v>0.1377013</v>
      </c>
      <c r="S1622">
        <v>-3.0879210000000001</v>
      </c>
      <c r="T1622">
        <v>-0.14494009999999999</v>
      </c>
      <c r="U1622">
        <v>-0.44714359999999997</v>
      </c>
      <c r="V1622">
        <v>0.1207893</v>
      </c>
      <c r="W1622">
        <v>-2.5676549999999999E-2</v>
      </c>
      <c r="X1622">
        <v>0.99234599999999995</v>
      </c>
      <c r="Y1622">
        <v>-0.1599921</v>
      </c>
      <c r="Z1622">
        <v>-4.5302320000000004E-3</v>
      </c>
      <c r="AA1622">
        <v>0.98710790000000004</v>
      </c>
      <c r="AB1622">
        <v>27</v>
      </c>
      <c r="AC1622">
        <v>-23.387699999999899</v>
      </c>
      <c r="AD1622">
        <v>-1.109294613334</v>
      </c>
      <c r="AE1622">
        <v>-3.4261999999999899</v>
      </c>
      <c r="AF1622">
        <v>-3.8165443275052899</v>
      </c>
      <c r="AG1622">
        <v>-1.109294613334</v>
      </c>
      <c r="AH1622">
        <v>23.2745437042406</v>
      </c>
      <c r="AI1622">
        <v>92.692815712941893</v>
      </c>
      <c r="AJ1622">
        <v>99.312446207409593</v>
      </c>
      <c r="AK1622">
        <v>23.611457595489298</v>
      </c>
      <c r="AL1622">
        <v>91.471319703522894</v>
      </c>
      <c r="AM1622">
        <v>83.060042900868496</v>
      </c>
      <c r="AN1622">
        <v>0.99999996196519503</v>
      </c>
    </row>
    <row r="1623" spans="1:40" x14ac:dyDescent="0.25">
      <c r="A1623" t="str">
        <f>"20190312161258850"</f>
        <v>20190312161258850</v>
      </c>
      <c r="B1623" t="str">
        <f>"1552378378847417"</f>
        <v>1552378378847417</v>
      </c>
      <c r="C1623" t="s">
        <v>40</v>
      </c>
      <c r="D1623">
        <v>5.6926969999999999</v>
      </c>
      <c r="E1623">
        <v>0.38342399999999999</v>
      </c>
      <c r="F1623" t="s">
        <v>74</v>
      </c>
      <c r="G1623">
        <v>-288.23630000000003</v>
      </c>
      <c r="H1623" s="1">
        <v>5.6430229999999996E-6</v>
      </c>
      <c r="I1623">
        <v>280.29349999999999</v>
      </c>
      <c r="J1623">
        <v>-263.05799999999999</v>
      </c>
      <c r="K1623">
        <v>1.1092979999999999</v>
      </c>
      <c r="L1623">
        <v>284.29480000000001</v>
      </c>
      <c r="M1623">
        <v>-0.99983129999999998</v>
      </c>
      <c r="N1623">
        <v>0</v>
      </c>
      <c r="O1623">
        <v>1.6973849999999999E-2</v>
      </c>
      <c r="P1623">
        <v>-0.98988679999999996</v>
      </c>
      <c r="Q1623">
        <v>-3.3255880000000002E-2</v>
      </c>
      <c r="R1623">
        <v>0.13790820000000001</v>
      </c>
      <c r="S1623">
        <v>-3.0939640000000002</v>
      </c>
      <c r="T1623">
        <v>-0.13548859999999999</v>
      </c>
      <c r="U1623">
        <v>-0.48840329999999899</v>
      </c>
      <c r="V1623">
        <v>0.1210927</v>
      </c>
      <c r="W1623">
        <v>-2.6229220000000001E-2</v>
      </c>
      <c r="X1623">
        <v>0.99229460000000003</v>
      </c>
      <c r="Y1623">
        <v>-0.17249300000000001</v>
      </c>
      <c r="Z1623">
        <v>-4.4904619999999998E-3</v>
      </c>
      <c r="AA1623">
        <v>0.98500049999999995</v>
      </c>
      <c r="AB1623">
        <v>27</v>
      </c>
      <c r="AC1623">
        <v>-25.1783</v>
      </c>
      <c r="AD1623">
        <v>-1.1092923569769999</v>
      </c>
      <c r="AE1623">
        <v>-4.0013000000000103</v>
      </c>
      <c r="AF1623">
        <v>-4.4197390757225703</v>
      </c>
      <c r="AG1623">
        <v>-1.1092923569769999</v>
      </c>
      <c r="AH1623">
        <v>25.059309876852801</v>
      </c>
      <c r="AI1623">
        <v>92.496162401845794</v>
      </c>
      <c r="AJ1623">
        <v>100.00245388513299</v>
      </c>
      <c r="AK1623">
        <v>25.4702499896418</v>
      </c>
      <c r="AL1623">
        <v>91.502995985693005</v>
      </c>
      <c r="AM1623">
        <v>83.042424821011707</v>
      </c>
      <c r="AN1623">
        <v>0.99999999358212899</v>
      </c>
    </row>
    <row r="1624" spans="1:40" x14ac:dyDescent="0.25">
      <c r="A1624" t="str">
        <f>"20190312161258869"</f>
        <v>20190312161258869</v>
      </c>
      <c r="B1624" t="str">
        <f>"1552378378866936"</f>
        <v>1552378378866936</v>
      </c>
      <c r="C1624" t="s">
        <v>40</v>
      </c>
      <c r="D1624">
        <v>5.6709230000000002</v>
      </c>
      <c r="E1624">
        <v>0.38137189999999999</v>
      </c>
      <c r="F1624" t="s">
        <v>74</v>
      </c>
      <c r="G1624">
        <v>-289.36180000000002</v>
      </c>
      <c r="H1624" s="1">
        <v>5.2097929999999997E-6</v>
      </c>
      <c r="I1624">
        <v>279.97480000000002</v>
      </c>
      <c r="J1624">
        <v>-263.3</v>
      </c>
      <c r="K1624">
        <v>1.109291</v>
      </c>
      <c r="L1624">
        <v>284.29880000000003</v>
      </c>
      <c r="M1624">
        <v>-0.99983370000000005</v>
      </c>
      <c r="N1624">
        <v>0</v>
      </c>
      <c r="O1624">
        <v>1.6824289999999999E-2</v>
      </c>
      <c r="P1624">
        <v>-0.98991110000000004</v>
      </c>
      <c r="Q1624">
        <v>-3.4010619999999998E-2</v>
      </c>
      <c r="R1624">
        <v>0.13754749999999999</v>
      </c>
      <c r="S1624">
        <v>-3.097137</v>
      </c>
      <c r="T1624">
        <v>-0.13061339999999999</v>
      </c>
      <c r="U1624">
        <v>-0.50866699999999998</v>
      </c>
      <c r="V1624">
        <v>0.1208804</v>
      </c>
      <c r="W1624">
        <v>-2.6979510000000002E-2</v>
      </c>
      <c r="X1624">
        <v>0.99230039999999997</v>
      </c>
      <c r="Y1624">
        <v>-0.17847679999999999</v>
      </c>
      <c r="Z1624">
        <v>-4.4414449999999996E-3</v>
      </c>
      <c r="AA1624">
        <v>0.98393410000000003</v>
      </c>
      <c r="AB1624">
        <v>27</v>
      </c>
      <c r="AC1624">
        <v>-26.061800000000002</v>
      </c>
      <c r="AD1624">
        <v>-1.1092857902069999</v>
      </c>
      <c r="AE1624">
        <v>-4.3240000000000096</v>
      </c>
      <c r="AF1624">
        <v>-4.7534890677752299</v>
      </c>
      <c r="AG1624">
        <v>-1.1092857902069999</v>
      </c>
      <c r="AH1624">
        <v>25.939626065274499</v>
      </c>
      <c r="AI1624">
        <v>92.408652255380105</v>
      </c>
      <c r="AJ1624">
        <v>100.384350751791</v>
      </c>
      <c r="AK1624">
        <v>26.394892947085001</v>
      </c>
      <c r="AL1624">
        <v>91.5459996111816</v>
      </c>
      <c r="AM1624">
        <v>83.054543807621698</v>
      </c>
      <c r="AN1624">
        <v>1.0000000244520699</v>
      </c>
    </row>
    <row r="1625" spans="1:40" x14ac:dyDescent="0.25">
      <c r="A1625" t="str">
        <f>"20190312161258882"</f>
        <v>20190312161258882</v>
      </c>
      <c r="B1625" t="str">
        <f>"1552378378877672"</f>
        <v>1552378378877672</v>
      </c>
      <c r="C1625" t="s">
        <v>40</v>
      </c>
      <c r="D1625">
        <v>5.6356390000000003</v>
      </c>
      <c r="E1625">
        <v>0.38046190000000002</v>
      </c>
      <c r="F1625" t="s">
        <v>74</v>
      </c>
      <c r="G1625">
        <v>-290.74709999999999</v>
      </c>
      <c r="H1625" s="1">
        <v>2.7730980000000001E-6</v>
      </c>
      <c r="I1625">
        <v>279.64249999999998</v>
      </c>
      <c r="J1625">
        <v>-263.45780000000002</v>
      </c>
      <c r="K1625">
        <v>1.1092869999999999</v>
      </c>
      <c r="L1625">
        <v>284.30130000000003</v>
      </c>
      <c r="M1625">
        <v>-0.99983529999999998</v>
      </c>
      <c r="N1625">
        <v>0</v>
      </c>
      <c r="O1625">
        <v>1.672916E-2</v>
      </c>
      <c r="P1625">
        <v>-0.98990370000000005</v>
      </c>
      <c r="Q1625">
        <v>-3.4210980000000002E-2</v>
      </c>
      <c r="R1625">
        <v>0.13755200000000001</v>
      </c>
      <c r="S1625">
        <v>-3.099335</v>
      </c>
      <c r="T1625">
        <v>-0.12526109999999999</v>
      </c>
      <c r="U1625">
        <v>-0.52578740000000002</v>
      </c>
      <c r="V1625">
        <v>0.1209792</v>
      </c>
      <c r="W1625">
        <v>-2.717729E-2</v>
      </c>
      <c r="X1625">
        <v>0.99228289999999997</v>
      </c>
      <c r="Y1625">
        <v>-0.18356700000000001</v>
      </c>
      <c r="Z1625">
        <v>-4.3529720000000001E-3</v>
      </c>
      <c r="AA1625">
        <v>0.98299760000000003</v>
      </c>
      <c r="AB1625">
        <v>27</v>
      </c>
      <c r="AC1625">
        <v>-27.289299999999901</v>
      </c>
      <c r="AD1625">
        <v>-1.109284226902</v>
      </c>
      <c r="AE1625">
        <v>-4.6588000000000402</v>
      </c>
      <c r="AF1625">
        <v>-5.1064876416525999</v>
      </c>
      <c r="AG1625">
        <v>-1.109284226902</v>
      </c>
      <c r="AH1625">
        <v>27.163928051571499</v>
      </c>
      <c r="AI1625">
        <v>92.298256577662698</v>
      </c>
      <c r="AJ1625">
        <v>100.646653719657</v>
      </c>
      <c r="AK1625">
        <v>27.661990433107999</v>
      </c>
      <c r="AL1625">
        <v>91.557335823072705</v>
      </c>
      <c r="AM1625">
        <v>83.048801155905906</v>
      </c>
      <c r="AN1625">
        <v>0.99999996277839598</v>
      </c>
    </row>
    <row r="1626" spans="1:40" x14ac:dyDescent="0.25">
      <c r="A1626" t="str">
        <f>"20190312161258905"</f>
        <v>20190312161258905</v>
      </c>
      <c r="B1626" t="str">
        <f>"1552378378897192"</f>
        <v>1552378378897192</v>
      </c>
      <c r="C1626" t="s">
        <v>40</v>
      </c>
      <c r="D1626">
        <v>5.4400550000000001</v>
      </c>
      <c r="E1626">
        <v>0.37874239999999998</v>
      </c>
      <c r="F1626" t="s">
        <v>74</v>
      </c>
      <c r="G1626">
        <v>-291.7527</v>
      </c>
      <c r="H1626" s="1">
        <v>3.0164060000000002E-6</v>
      </c>
      <c r="I1626">
        <v>279.4391</v>
      </c>
      <c r="J1626">
        <v>-263.73219999999998</v>
      </c>
      <c r="K1626">
        <v>1.109278</v>
      </c>
      <c r="L1626">
        <v>284.30579999999998</v>
      </c>
      <c r="M1626">
        <v>-0.9998378</v>
      </c>
      <c r="N1626">
        <v>0</v>
      </c>
      <c r="O1626">
        <v>1.6570999999999999E-2</v>
      </c>
      <c r="P1626">
        <v>-0.99004150000000002</v>
      </c>
      <c r="Q1626">
        <v>-3.3991149999999998E-2</v>
      </c>
      <c r="R1626">
        <v>0.13661180000000001</v>
      </c>
      <c r="S1626">
        <v>-3.1004330000000002</v>
      </c>
      <c r="T1626">
        <v>-0.1215504</v>
      </c>
      <c r="U1626">
        <v>-0.53277589999999997</v>
      </c>
      <c r="V1626">
        <v>0.12019349999999999</v>
      </c>
      <c r="W1626">
        <v>-2.6952429999999999E-2</v>
      </c>
      <c r="X1626">
        <v>0.99238459999999995</v>
      </c>
      <c r="Y1626">
        <v>-0.18551480000000001</v>
      </c>
      <c r="Z1626">
        <v>-4.2535899999999998E-3</v>
      </c>
      <c r="AA1626">
        <v>0.98263230000000001</v>
      </c>
      <c r="AB1626">
        <v>27</v>
      </c>
      <c r="AC1626">
        <v>-28.020499999999998</v>
      </c>
      <c r="AD1626">
        <v>-1.1092749835939999</v>
      </c>
      <c r="AE1626">
        <v>-4.8666999999999803</v>
      </c>
      <c r="AF1626">
        <v>-5.3222741281924604</v>
      </c>
      <c r="AG1626">
        <v>-1.1092749835939999</v>
      </c>
      <c r="AH1626">
        <v>27.8935693268817</v>
      </c>
      <c r="AI1626">
        <v>92.237030003331398</v>
      </c>
      <c r="AJ1626">
        <v>100.80255909444401</v>
      </c>
      <c r="AK1626">
        <v>28.418450040042799</v>
      </c>
      <c r="AL1626">
        <v>91.544447433563803</v>
      </c>
      <c r="AM1626">
        <v>83.094209256744094</v>
      </c>
      <c r="AN1626">
        <v>1.0000000526211501</v>
      </c>
    </row>
    <row r="1627" spans="1:40" x14ac:dyDescent="0.25">
      <c r="A1627" t="str">
        <f>"20190312161258960"</f>
        <v>20190312161258960</v>
      </c>
      <c r="B1627" t="str">
        <f>"1552378378957705"</f>
        <v>1552378378957705</v>
      </c>
      <c r="C1627" t="s">
        <v>40</v>
      </c>
      <c r="D1627">
        <v>4.5618829999999999</v>
      </c>
      <c r="E1627">
        <v>0.37874239999999998</v>
      </c>
      <c r="F1627" t="s">
        <v>74</v>
      </c>
      <c r="G1627">
        <v>-292.3537</v>
      </c>
      <c r="H1627" s="1">
        <v>3.1945379999999999E-6</v>
      </c>
      <c r="I1627">
        <v>279.23680000000002</v>
      </c>
      <c r="J1627">
        <v>-264.4067</v>
      </c>
      <c r="K1627">
        <v>1.1092280000000001</v>
      </c>
      <c r="L1627">
        <v>284.31650000000002</v>
      </c>
      <c r="M1627">
        <v>-0.99984269999999997</v>
      </c>
      <c r="N1627">
        <v>0</v>
      </c>
      <c r="O1627">
        <v>1.62662999999999E-2</v>
      </c>
      <c r="P1627">
        <v>-0.99000069999999996</v>
      </c>
      <c r="Q1627">
        <v>-3.6813150000000003E-2</v>
      </c>
      <c r="R1627">
        <v>0.1361752</v>
      </c>
      <c r="S1627">
        <v>-3.1018680000000001</v>
      </c>
      <c r="T1627">
        <v>-0.1202179</v>
      </c>
      <c r="U1627">
        <v>-0.54934689999999997</v>
      </c>
      <c r="V1627">
        <v>0.1200582</v>
      </c>
      <c r="W1627">
        <v>-2.9768909999999999E-2</v>
      </c>
      <c r="X1627">
        <v>0.99232039999999999</v>
      </c>
      <c r="Y1627">
        <v>-0.19023219999999999</v>
      </c>
      <c r="Z1627">
        <v>-4.2821270000000002E-3</v>
      </c>
      <c r="AA1627">
        <v>0.98172979999999999</v>
      </c>
      <c r="AB1627">
        <v>28</v>
      </c>
      <c r="AC1627">
        <v>-27.946999999999999</v>
      </c>
      <c r="AD1627">
        <v>-1.109224805462</v>
      </c>
      <c r="AE1627">
        <v>-5.0796999999999999</v>
      </c>
      <c r="AF1627">
        <v>-5.5252079343134799</v>
      </c>
      <c r="AG1627">
        <v>-1.109224805462</v>
      </c>
      <c r="AH1627">
        <v>27.8182511379948</v>
      </c>
      <c r="AI1627">
        <v>92.2396980596437</v>
      </c>
      <c r="AJ1627">
        <v>101.23378001503001</v>
      </c>
      <c r="AK1627">
        <v>28.3833295926148</v>
      </c>
      <c r="AL1627">
        <v>91.705884977694893</v>
      </c>
      <c r="AM1627">
        <v>83.101466072914803</v>
      </c>
      <c r="AN1627">
        <v>0.99999996782299305</v>
      </c>
    </row>
    <row r="1628" spans="1:40" x14ac:dyDescent="0.25">
      <c r="A1628" t="str">
        <f>"20190312161258982"</f>
        <v>20190312161258982</v>
      </c>
      <c r="B1628" t="str">
        <f>"1552378378977224"</f>
        <v>1552378378977224</v>
      </c>
      <c r="C1628" t="s">
        <v>40</v>
      </c>
      <c r="D1628">
        <v>5.5489949999999997</v>
      </c>
      <c r="E1628">
        <v>0.45255509999999899</v>
      </c>
      <c r="F1628" t="s">
        <v>74</v>
      </c>
      <c r="G1628">
        <v>-291.12720000000002</v>
      </c>
      <c r="H1628" s="1">
        <v>2.8588460000000001E-6</v>
      </c>
      <c r="I1628">
        <v>279.57100000000003</v>
      </c>
      <c r="J1628">
        <v>-264.68340000000001</v>
      </c>
      <c r="K1628">
        <v>1.109199</v>
      </c>
      <c r="L1628">
        <v>284.32100000000003</v>
      </c>
      <c r="M1628">
        <v>-0.99984399999999996</v>
      </c>
      <c r="N1628">
        <v>0</v>
      </c>
      <c r="O1628">
        <v>1.6190420000000001E-2</v>
      </c>
      <c r="P1628">
        <v>-0.98993399999999998</v>
      </c>
      <c r="Q1628">
        <v>-3.6569110000000002E-2</v>
      </c>
      <c r="R1628">
        <v>0.13672500000000001</v>
      </c>
      <c r="S1628">
        <v>-3.1012569999999999</v>
      </c>
      <c r="T1628">
        <v>-0.12873979999999999</v>
      </c>
      <c r="U1628">
        <v>-0.55078130000000003</v>
      </c>
      <c r="V1628">
        <v>0.12068280000000001</v>
      </c>
      <c r="W1628">
        <v>-2.9524669999999999E-2</v>
      </c>
      <c r="X1628">
        <v>0.99225200000000002</v>
      </c>
      <c r="Y1628">
        <v>-0.19060869999999999</v>
      </c>
      <c r="Z1628">
        <v>-4.5907539999999998E-3</v>
      </c>
      <c r="AA1628">
        <v>0.98165539999999996</v>
      </c>
      <c r="AB1628">
        <v>28</v>
      </c>
      <c r="AC1628">
        <v>-26.4438</v>
      </c>
      <c r="AD1628">
        <v>-1.1091961411539999</v>
      </c>
      <c r="AE1628">
        <v>-4.75</v>
      </c>
      <c r="AF1628">
        <v>-5.1687145904926997</v>
      </c>
      <c r="AG1628">
        <v>-1.1091961411539999</v>
      </c>
      <c r="AH1628">
        <v>26.318569346297</v>
      </c>
      <c r="AI1628">
        <v>92.368119356609</v>
      </c>
      <c r="AJ1628">
        <v>101.110935190307</v>
      </c>
      <c r="AK1628">
        <v>26.844236234867399</v>
      </c>
      <c r="AL1628">
        <v>91.691884783464005</v>
      </c>
      <c r="AM1628">
        <v>83.065451789787403</v>
      </c>
      <c r="AN1628">
        <v>1.00000003792922</v>
      </c>
    </row>
    <row r="1629" spans="1:40" x14ac:dyDescent="0.25">
      <c r="A1629" t="str">
        <f>"20190312161259004"</f>
        <v>20190312161259004</v>
      </c>
      <c r="B1629" t="str">
        <f>"1552378378997721"</f>
        <v>1552378378997721</v>
      </c>
      <c r="C1629" t="s">
        <v>40</v>
      </c>
      <c r="D1629">
        <v>5.403956</v>
      </c>
      <c r="E1629">
        <v>0.46017989999999998</v>
      </c>
      <c r="F1629" t="s">
        <v>43</v>
      </c>
      <c r="G1629">
        <v>-265.41320000000002</v>
      </c>
      <c r="H1629">
        <v>0.87574010000000002</v>
      </c>
      <c r="I1629">
        <v>284.32170000000002</v>
      </c>
      <c r="J1629">
        <v>-264.96159999999998</v>
      </c>
      <c r="K1629">
        <v>1.1091819999999999</v>
      </c>
      <c r="L1629">
        <v>284.3254</v>
      </c>
      <c r="M1629">
        <v>-0.99984470000000003</v>
      </c>
      <c r="N1629">
        <v>0</v>
      </c>
      <c r="O1629">
        <v>1.6143080000000001E-2</v>
      </c>
      <c r="P1629">
        <v>-0.98981750000000002</v>
      </c>
      <c r="Q1629">
        <v>-3.6630120000000002E-2</v>
      </c>
      <c r="R1629">
        <v>0.13754920000000001</v>
      </c>
      <c r="S1629">
        <v>-2.9947810000000001</v>
      </c>
      <c r="T1629">
        <v>-0.9579377</v>
      </c>
      <c r="U1629">
        <v>2.532959E-3</v>
      </c>
      <c r="V1629">
        <v>0.12155390000000001</v>
      </c>
      <c r="W1629">
        <v>-2.9585710000000001E-2</v>
      </c>
      <c r="X1629">
        <v>0.99214380000000002</v>
      </c>
      <c r="Y1629">
        <v>-1.380315E-2</v>
      </c>
      <c r="Z1629">
        <v>-7.1917379999999996E-3</v>
      </c>
      <c r="AA1629">
        <v>0.99987890000000001</v>
      </c>
      <c r="AB1629">
        <v>28</v>
      </c>
      <c r="AC1629">
        <v>-0.45160000000004102</v>
      </c>
      <c r="AD1629">
        <v>-0.23344189999999901</v>
      </c>
      <c r="AE1629">
        <v>-3.69999999998071E-3</v>
      </c>
      <c r="AF1629">
        <v>-8.6726637724766492E-3</v>
      </c>
      <c r="AG1629">
        <v>-0.23344189999999901</v>
      </c>
      <c r="AH1629">
        <v>0.35628542784828299</v>
      </c>
      <c r="AI1629">
        <v>123.22545318800501</v>
      </c>
      <c r="AJ1629">
        <v>91.3944126915179</v>
      </c>
      <c r="AK1629">
        <v>0.426039483932598</v>
      </c>
      <c r="AL1629">
        <v>91.695383723471593</v>
      </c>
      <c r="AM1629">
        <v>83.015136024047393</v>
      </c>
      <c r="AN1629">
        <v>0.99999999235992698</v>
      </c>
    </row>
    <row r="1630" spans="1:40" x14ac:dyDescent="0.25">
      <c r="A1630" t="str">
        <f>"20190312161259016"</f>
        <v>20190312161259016</v>
      </c>
      <c r="B1630" t="str">
        <f>"1552378379007481"</f>
        <v>1552378379007481</v>
      </c>
      <c r="C1630" t="s">
        <v>40</v>
      </c>
      <c r="D1630">
        <v>6.3384410000000004</v>
      </c>
      <c r="E1630">
        <v>0.45379530000000001</v>
      </c>
      <c r="F1630" t="s">
        <v>43</v>
      </c>
      <c r="G1630">
        <v>-265.73750000000001</v>
      </c>
      <c r="H1630">
        <v>1.040859</v>
      </c>
      <c r="I1630">
        <v>284.3494</v>
      </c>
      <c r="J1630">
        <v>-265.10860000000002</v>
      </c>
      <c r="K1630">
        <v>1.109173</v>
      </c>
      <c r="L1630">
        <v>284.32780000000002</v>
      </c>
      <c r="M1630">
        <v>-0.99984490000000004</v>
      </c>
      <c r="N1630">
        <v>0</v>
      </c>
      <c r="O1630">
        <v>1.6128610000000002E-2</v>
      </c>
      <c r="P1630">
        <v>-0.98974200000000001</v>
      </c>
      <c r="Q1630">
        <v>-3.6347049999999999E-2</v>
      </c>
      <c r="R1630">
        <v>0.13816609999999999</v>
      </c>
      <c r="S1630">
        <v>-3.0082399999999998</v>
      </c>
      <c r="T1630">
        <v>-0.26508379999999998</v>
      </c>
      <c r="U1630">
        <v>9.1979980000000003E-2</v>
      </c>
      <c r="V1630">
        <v>0.12218560000000001</v>
      </c>
      <c r="W1630">
        <v>-2.9302149999999999E-2</v>
      </c>
      <c r="X1630">
        <v>0.99207460000000003</v>
      </c>
      <c r="Y1630">
        <v>1.44428E-2</v>
      </c>
      <c r="Z1630">
        <v>-7.8309929999999901E-4</v>
      </c>
      <c r="AA1630">
        <v>0.99989539999999999</v>
      </c>
      <c r="AB1630">
        <v>28</v>
      </c>
      <c r="AC1630">
        <v>-0.62889999999998702</v>
      </c>
      <c r="AD1630">
        <v>-6.8313999999999903E-2</v>
      </c>
      <c r="AE1630">
        <v>2.1599999999978001E-2</v>
      </c>
      <c r="AF1630">
        <v>1.13202400771463E-2</v>
      </c>
      <c r="AG1630">
        <v>-6.8313999999999903E-2</v>
      </c>
      <c r="AH1630">
        <v>0.62183797103016503</v>
      </c>
      <c r="AI1630">
        <v>96.268240636247896</v>
      </c>
      <c r="AJ1630">
        <v>88.957075035065401</v>
      </c>
      <c r="AK1630">
        <v>0.62568155849946305</v>
      </c>
      <c r="AL1630">
        <v>91.679129915093895</v>
      </c>
      <c r="AM1630">
        <v>82.9787130991905</v>
      </c>
      <c r="AN1630">
        <v>0.99999997440357002</v>
      </c>
    </row>
    <row r="1631" spans="1:40" x14ac:dyDescent="0.25">
      <c r="A1631" t="str">
        <f>"20190312161259038"</f>
        <v>20190312161259038</v>
      </c>
      <c r="B1631" t="str">
        <f>"1552378379027004"</f>
        <v>1552378379027004</v>
      </c>
      <c r="C1631" t="s">
        <v>40</v>
      </c>
      <c r="D1631">
        <v>5.3916729999999999</v>
      </c>
      <c r="E1631">
        <v>0.45072659999999998</v>
      </c>
      <c r="F1631" t="s">
        <v>74</v>
      </c>
      <c r="G1631">
        <v>-282.05599999999998</v>
      </c>
      <c r="H1631" s="1">
        <v>7.4966899999999999E-6</v>
      </c>
      <c r="I1631">
        <v>284.58640000000003</v>
      </c>
      <c r="J1631">
        <v>-265.3843</v>
      </c>
      <c r="K1631">
        <v>1.109159</v>
      </c>
      <c r="L1631">
        <v>284.33210000000003</v>
      </c>
      <c r="M1631">
        <v>-0.99984479999999998</v>
      </c>
      <c r="N1631">
        <v>0</v>
      </c>
      <c r="O1631">
        <v>1.6114469999999999E-2</v>
      </c>
      <c r="P1631">
        <v>-0.98968239999999996</v>
      </c>
      <c r="Q1631">
        <v>-3.6110009999999998E-2</v>
      </c>
      <c r="R1631">
        <v>0.1386529</v>
      </c>
      <c r="S1631">
        <v>-3.0174259999999999</v>
      </c>
      <c r="T1631">
        <v>-0.19748260000000001</v>
      </c>
      <c r="U1631">
        <v>4.605103E-2</v>
      </c>
      <c r="V1631">
        <v>0.1226862</v>
      </c>
      <c r="W1631">
        <v>-2.906245E-2</v>
      </c>
      <c r="X1631">
        <v>0.99201989999999995</v>
      </c>
      <c r="Y1631">
        <v>-8.1884669999999896E-4</v>
      </c>
      <c r="Z1631">
        <v>-1.080187E-3</v>
      </c>
      <c r="AA1631">
        <v>0.99999910000000003</v>
      </c>
      <c r="AB1631">
        <v>28</v>
      </c>
      <c r="AC1631">
        <v>-16.671699999999898</v>
      </c>
      <c r="AD1631">
        <v>-1.1091515033099999</v>
      </c>
      <c r="AE1631">
        <v>0.25430000000000003</v>
      </c>
      <c r="AF1631">
        <v>-1.4332021472522801E-2</v>
      </c>
      <c r="AG1631">
        <v>-1.1091515033099999</v>
      </c>
      <c r="AH1631">
        <v>16.600176066874099</v>
      </c>
      <c r="AI1631">
        <v>93.822571501280606</v>
      </c>
      <c r="AJ1631">
        <v>90.049467194499996</v>
      </c>
      <c r="AK1631">
        <v>16.637195313975099</v>
      </c>
      <c r="AL1631">
        <v>91.665390212367598</v>
      </c>
      <c r="AM1631">
        <v>82.949850629390696</v>
      </c>
      <c r="AN1631">
        <v>1.0000000058332199</v>
      </c>
    </row>
    <row r="1632" spans="1:40" x14ac:dyDescent="0.25">
      <c r="A1632" t="str">
        <f>"20190312161259061"</f>
        <v>20190312161259061</v>
      </c>
      <c r="B1632" t="str">
        <f>"1552378379057257"</f>
        <v>1552378379057257</v>
      </c>
      <c r="C1632" t="s">
        <v>40</v>
      </c>
      <c r="D1632">
        <v>5.5121690000000001</v>
      </c>
      <c r="E1632">
        <v>0.45317420000000003</v>
      </c>
      <c r="F1632" t="s">
        <v>74</v>
      </c>
      <c r="G1632">
        <v>-295.4778</v>
      </c>
      <c r="H1632" s="1">
        <v>3.1792680000000002E-6</v>
      </c>
      <c r="I1632">
        <v>284.59519999999998</v>
      </c>
      <c r="J1632">
        <v>-265.66250000000002</v>
      </c>
      <c r="K1632">
        <v>1.109154</v>
      </c>
      <c r="L1632">
        <v>284.33659999999998</v>
      </c>
      <c r="M1632">
        <v>-0.99984499999999998</v>
      </c>
      <c r="N1632">
        <v>0</v>
      </c>
      <c r="O1632">
        <v>1.611338E-2</v>
      </c>
      <c r="P1632">
        <v>-0.98966969999999999</v>
      </c>
      <c r="Q1632">
        <v>-3.5836229999999997E-2</v>
      </c>
      <c r="R1632">
        <v>0.13881569999999999</v>
      </c>
      <c r="S1632">
        <v>-3.0234990000000002</v>
      </c>
      <c r="T1632">
        <v>-0.1114373</v>
      </c>
      <c r="U1632">
        <v>2.6428219999999999E-2</v>
      </c>
      <c r="V1632">
        <v>0.1228498</v>
      </c>
      <c r="W1632">
        <v>-2.8783759999999999E-2</v>
      </c>
      <c r="X1632">
        <v>0.9920078</v>
      </c>
      <c r="Y1632">
        <v>-7.3577649999999996E-3</v>
      </c>
      <c r="Z1632">
        <v>-7.2920880000000002E-4</v>
      </c>
      <c r="AA1632">
        <v>0.99997259999999999</v>
      </c>
      <c r="AB1632">
        <v>28</v>
      </c>
      <c r="AC1632">
        <v>-29.815299999999901</v>
      </c>
      <c r="AD1632">
        <v>-1.109150820732</v>
      </c>
      <c r="AE1632">
        <v>0.258600000000001</v>
      </c>
      <c r="AF1632">
        <v>-0.221564327226529</v>
      </c>
      <c r="AG1632">
        <v>-1.109150820732</v>
      </c>
      <c r="AH1632">
        <v>29.774394433569899</v>
      </c>
      <c r="AI1632">
        <v>92.133327430272203</v>
      </c>
      <c r="AJ1632">
        <v>90.426355154049901</v>
      </c>
      <c r="AK1632">
        <v>29.795870018847001</v>
      </c>
      <c r="AL1632">
        <v>91.649415734062401</v>
      </c>
      <c r="AM1632">
        <v>82.940458929778799</v>
      </c>
      <c r="AN1632">
        <v>1.0000000267303</v>
      </c>
    </row>
    <row r="1633" spans="1:40" x14ac:dyDescent="0.25">
      <c r="A1633" t="str">
        <f>"20190312161259083"</f>
        <v>20190312161259083</v>
      </c>
      <c r="B1633" t="str">
        <f>"1552378379077754"</f>
        <v>1552378379077754</v>
      </c>
      <c r="C1633" t="s">
        <v>40</v>
      </c>
      <c r="D1633">
        <v>5.5692909999999998</v>
      </c>
      <c r="E1633">
        <v>0.45477800000000002</v>
      </c>
      <c r="F1633" t="s">
        <v>74</v>
      </c>
      <c r="G1633">
        <v>-298.34879999999998</v>
      </c>
      <c r="H1633" s="1">
        <v>3.6671250000000001E-6</v>
      </c>
      <c r="I1633">
        <v>284.84010000000001</v>
      </c>
      <c r="J1633">
        <v>-265.9486</v>
      </c>
      <c r="K1633">
        <v>1.109151</v>
      </c>
      <c r="L1633">
        <v>284.34120000000001</v>
      </c>
      <c r="M1633">
        <v>-0.99984470000000003</v>
      </c>
      <c r="N1633">
        <v>0</v>
      </c>
      <c r="O1633">
        <v>1.6120539999999999E-2</v>
      </c>
      <c r="P1633">
        <v>-0.98970709999999995</v>
      </c>
      <c r="Q1633">
        <v>-3.5825490000000002E-2</v>
      </c>
      <c r="R1633">
        <v>0.138550799999999</v>
      </c>
      <c r="S1633">
        <v>-3.0210880000000002</v>
      </c>
      <c r="T1633">
        <v>-0.1025152</v>
      </c>
      <c r="U1633">
        <v>4.653931E-2</v>
      </c>
      <c r="V1633">
        <v>0.1225768</v>
      </c>
      <c r="W1633">
        <v>-2.8766079999999999E-2</v>
      </c>
      <c r="X1633">
        <v>0.99204210000000004</v>
      </c>
      <c r="Y1633">
        <v>-7.0836819999999998E-4</v>
      </c>
      <c r="Z1633">
        <v>-5.5882570000000001E-4</v>
      </c>
      <c r="AA1633">
        <v>0.99999959999999999</v>
      </c>
      <c r="AB1633">
        <v>28</v>
      </c>
      <c r="AC1633">
        <v>-32.400199999999899</v>
      </c>
      <c r="AD1633">
        <v>-1.1091473328749999</v>
      </c>
      <c r="AE1633">
        <v>0.49889999999999102</v>
      </c>
      <c r="AF1633">
        <v>-2.34593097473174E-2</v>
      </c>
      <c r="AG1633">
        <v>-1.1091473328749999</v>
      </c>
      <c r="AH1633">
        <v>32.3661121004073</v>
      </c>
      <c r="AI1633">
        <v>91.962688173563905</v>
      </c>
      <c r="AJ1633">
        <v>90.041528596306605</v>
      </c>
      <c r="AK1633">
        <v>32.385119586646098</v>
      </c>
      <c r="AL1633">
        <v>91.648402297066895</v>
      </c>
      <c r="AM1633">
        <v>82.956230153192806</v>
      </c>
      <c r="AN1633">
        <v>1.0000000437145999</v>
      </c>
    </row>
    <row r="1634" spans="1:40" x14ac:dyDescent="0.25">
      <c r="A1634" t="str">
        <f>"20190312161259106"</f>
        <v>20190312161259106</v>
      </c>
      <c r="B1634" t="str">
        <f>"1552378379097272"</f>
        <v>1552378379097272</v>
      </c>
      <c r="C1634" t="s">
        <v>40</v>
      </c>
      <c r="D1634">
        <v>5.5702199999999999</v>
      </c>
      <c r="E1634">
        <v>0.45583439999999997</v>
      </c>
      <c r="F1634" t="s">
        <v>74</v>
      </c>
      <c r="G1634">
        <v>-295.11860000000001</v>
      </c>
      <c r="H1634" s="1">
        <v>3.0886489999999998E-6</v>
      </c>
      <c r="I1634">
        <v>284.90300000000002</v>
      </c>
      <c r="J1634">
        <v>-266.23669999999998</v>
      </c>
      <c r="K1634">
        <v>1.1091439999999999</v>
      </c>
      <c r="L1634">
        <v>284.34589999999997</v>
      </c>
      <c r="M1634">
        <v>-0.99984459999999997</v>
      </c>
      <c r="N1634">
        <v>0</v>
      </c>
      <c r="O1634">
        <v>1.6130430000000001E-2</v>
      </c>
      <c r="P1634">
        <v>-0.98976900000000001</v>
      </c>
      <c r="Q1634">
        <v>-3.5876140000000001E-2</v>
      </c>
      <c r="R1634">
        <v>0.13809589999999999</v>
      </c>
      <c r="S1634">
        <v>-3.0188899999999999</v>
      </c>
      <c r="T1634">
        <v>-0.114789</v>
      </c>
      <c r="U1634">
        <v>5.8135989999999999E-2</v>
      </c>
      <c r="V1634">
        <v>0.1221112</v>
      </c>
      <c r="W1634">
        <v>-2.8808650000000002E-2</v>
      </c>
      <c r="X1634">
        <v>0.99209820000000004</v>
      </c>
      <c r="Y1634">
        <v>3.132873E-3</v>
      </c>
      <c r="Z1634">
        <v>-5.5349550000000005E-4</v>
      </c>
      <c r="AA1634">
        <v>0.99999490000000002</v>
      </c>
      <c r="AB1634">
        <v>28</v>
      </c>
      <c r="AC1634">
        <v>-28.881900000000002</v>
      </c>
      <c r="AD1634">
        <v>-1.109140911351</v>
      </c>
      <c r="AE1634">
        <v>0.557100000000048</v>
      </c>
      <c r="AF1634">
        <v>9.1004106111196401E-2</v>
      </c>
      <c r="AG1634">
        <v>-1.109140911351</v>
      </c>
      <c r="AH1634">
        <v>28.844605547299398</v>
      </c>
      <c r="AI1634">
        <v>92.202057649345804</v>
      </c>
      <c r="AJ1634">
        <v>89.819233655675205</v>
      </c>
      <c r="AK1634">
        <v>28.866065621900301</v>
      </c>
      <c r="AL1634">
        <v>91.650842526220998</v>
      </c>
      <c r="AM1634">
        <v>82.983111051096003</v>
      </c>
      <c r="AN1634">
        <v>0.99999996096175003</v>
      </c>
    </row>
    <row r="1635" spans="1:40" x14ac:dyDescent="0.25">
      <c r="A1635" t="str">
        <f>"20190312161259129"</f>
        <v>20190312161259129</v>
      </c>
      <c r="B1635" t="str">
        <f>"1552378379117769"</f>
        <v>1552378379117769</v>
      </c>
      <c r="C1635" t="s">
        <v>40</v>
      </c>
      <c r="D1635">
        <v>5.5660119999999997</v>
      </c>
      <c r="E1635">
        <v>0.45627060000000003</v>
      </c>
      <c r="F1635" t="s">
        <v>74</v>
      </c>
      <c r="G1635">
        <v>-293.82139999999998</v>
      </c>
      <c r="H1635" s="1">
        <v>2.8555340000000001E-6</v>
      </c>
      <c r="I1635">
        <v>284.93729999999999</v>
      </c>
      <c r="J1635">
        <v>-266.5274</v>
      </c>
      <c r="K1635">
        <v>1.1091439999999999</v>
      </c>
      <c r="L1635">
        <v>284.35050000000001</v>
      </c>
      <c r="M1635">
        <v>-0.99984439999999997</v>
      </c>
      <c r="N1635">
        <v>0</v>
      </c>
      <c r="O1635">
        <v>1.6139400000000002E-2</v>
      </c>
      <c r="P1635">
        <v>-0.98989170000000004</v>
      </c>
      <c r="Q1635">
        <v>-3.5360099999999998E-2</v>
      </c>
      <c r="R1635">
        <v>0.13734660000000001</v>
      </c>
      <c r="S1635">
        <v>-3.0176090000000002</v>
      </c>
      <c r="T1635">
        <v>-0.1213341</v>
      </c>
      <c r="U1635">
        <v>6.4697270000000001E-2</v>
      </c>
      <c r="V1635">
        <v>0.12135079999999999</v>
      </c>
      <c r="W1635">
        <v>-2.8283719999999998E-2</v>
      </c>
      <c r="X1635">
        <v>0.99220660000000005</v>
      </c>
      <c r="Y1635">
        <v>5.3048409999999898E-3</v>
      </c>
      <c r="Z1635">
        <v>-5.4197969999999996E-4</v>
      </c>
      <c r="AA1635">
        <v>0.99998580000000004</v>
      </c>
      <c r="AB1635">
        <v>28</v>
      </c>
      <c r="AC1635">
        <v>-27.293999999999901</v>
      </c>
      <c r="AD1635">
        <v>-1.109141144466</v>
      </c>
      <c r="AE1635">
        <v>0.586799999999982</v>
      </c>
      <c r="AF1635">
        <v>0.145962692100954</v>
      </c>
      <c r="AG1635">
        <v>-1.109141144466</v>
      </c>
      <c r="AH1635">
        <v>27.254929007909102</v>
      </c>
      <c r="AI1635">
        <v>92.330336302940395</v>
      </c>
      <c r="AJ1635">
        <v>89.693157657122597</v>
      </c>
      <c r="AK1635">
        <v>27.277878480776302</v>
      </c>
      <c r="AL1635">
        <v>91.620753988800303</v>
      </c>
      <c r="AM1635">
        <v>83.027128794544893</v>
      </c>
      <c r="AN1635">
        <v>0.99999996128061797</v>
      </c>
    </row>
    <row r="1636" spans="1:40" x14ac:dyDescent="0.25">
      <c r="A1636" t="str">
        <f>"20190312161259149"</f>
        <v>20190312161259149</v>
      </c>
      <c r="B1636" t="str">
        <f>"1552378379137289"</f>
        <v>1552378379137289</v>
      </c>
      <c r="C1636" t="s">
        <v>40</v>
      </c>
      <c r="D1636">
        <v>5.564432</v>
      </c>
      <c r="E1636">
        <v>0.45652169999999997</v>
      </c>
      <c r="F1636" t="s">
        <v>74</v>
      </c>
      <c r="G1636">
        <v>-293.90789999999998</v>
      </c>
      <c r="H1636" s="1">
        <v>2.8699630000000001E-6</v>
      </c>
      <c r="I1636">
        <v>284.9479</v>
      </c>
      <c r="J1636">
        <v>-266.79680000000002</v>
      </c>
      <c r="K1636">
        <v>1.10914</v>
      </c>
      <c r="L1636">
        <v>284.35489999999999</v>
      </c>
      <c r="M1636">
        <v>-0.99984410000000001</v>
      </c>
      <c r="N1636">
        <v>0</v>
      </c>
      <c r="O1636">
        <v>1.614521E-2</v>
      </c>
      <c r="P1636">
        <v>-0.99002990000000002</v>
      </c>
      <c r="Q1636">
        <v>-3.5166070000000001E-2</v>
      </c>
      <c r="R1636">
        <v>0.1363965</v>
      </c>
      <c r="S1636">
        <v>-3.0171510000000001</v>
      </c>
      <c r="T1636">
        <v>-0.12221989999999899</v>
      </c>
      <c r="U1636">
        <v>6.5826419999999997E-2</v>
      </c>
      <c r="V1636">
        <v>0.12039279999999999</v>
      </c>
      <c r="W1636">
        <v>-2.808095E-2</v>
      </c>
      <c r="X1636">
        <v>0.99232909999999996</v>
      </c>
      <c r="Y1636">
        <v>5.6761700000000003E-3</v>
      </c>
      <c r="Z1636">
        <v>-5.3873210000000003E-4</v>
      </c>
      <c r="AA1636">
        <v>0.99998370000000003</v>
      </c>
      <c r="AB1636">
        <v>28</v>
      </c>
      <c r="AC1636">
        <v>-27.111099999999901</v>
      </c>
      <c r="AD1636">
        <v>-1.1091371300370001</v>
      </c>
      <c r="AE1636">
        <v>0.59300000000001696</v>
      </c>
      <c r="AF1636">
        <v>0.154937919666878</v>
      </c>
      <c r="AG1636">
        <v>-1.1091371300370001</v>
      </c>
      <c r="AH1636">
        <v>27.071852102715301</v>
      </c>
      <c r="AI1636">
        <v>92.346064698289496</v>
      </c>
      <c r="AJ1636">
        <v>89.672087749074194</v>
      </c>
      <c r="AK1636">
        <v>27.095006314881498</v>
      </c>
      <c r="AL1636">
        <v>91.609131437294096</v>
      </c>
      <c r="AM1636">
        <v>83.082486083740605</v>
      </c>
      <c r="AN1636">
        <v>1.00000000437577</v>
      </c>
    </row>
    <row r="1637" spans="1:40" x14ac:dyDescent="0.25">
      <c r="A1637" t="str">
        <f>"20190312161259162"</f>
        <v>20190312161259162</v>
      </c>
      <c r="B1637" t="str">
        <f>"1552378379157785"</f>
        <v>1552378379157785</v>
      </c>
      <c r="C1637" t="s">
        <v>40</v>
      </c>
      <c r="D1637">
        <v>5.6078679999999999</v>
      </c>
      <c r="E1637">
        <v>0.4568026</v>
      </c>
      <c r="F1637" t="s">
        <v>74</v>
      </c>
      <c r="G1637">
        <v>-294.31020000000001</v>
      </c>
      <c r="H1637" s="1">
        <v>2.9415149999999999E-6</v>
      </c>
      <c r="I1637">
        <v>284.94580000000002</v>
      </c>
      <c r="J1637">
        <v>-266.96190000000001</v>
      </c>
      <c r="K1637">
        <v>1.109146</v>
      </c>
      <c r="L1637">
        <v>284.35759999999999</v>
      </c>
      <c r="M1637">
        <v>-0.99984419999999996</v>
      </c>
      <c r="N1637">
        <v>0</v>
      </c>
      <c r="O1637">
        <v>1.6147399999999999E-2</v>
      </c>
      <c r="P1637">
        <v>-0.99007420000000002</v>
      </c>
      <c r="Q1637">
        <v>-3.5165479999999999E-2</v>
      </c>
      <c r="R1637">
        <v>0.136075799999999</v>
      </c>
      <c r="S1637">
        <v>-3.0169679999999999</v>
      </c>
      <c r="T1637">
        <v>-0.12162199999999999</v>
      </c>
      <c r="U1637">
        <v>6.4788819999999997E-2</v>
      </c>
      <c r="V1637">
        <v>0.12006940000000001</v>
      </c>
      <c r="W1637">
        <v>-2.8075200000000002E-2</v>
      </c>
      <c r="X1637">
        <v>0.99236849999999999</v>
      </c>
      <c r="Y1637">
        <v>5.3317520000000004E-3</v>
      </c>
      <c r="Z1637">
        <v>-5.4316010000000003E-4</v>
      </c>
      <c r="AA1637">
        <v>0.99998560000000003</v>
      </c>
      <c r="AB1637">
        <v>28</v>
      </c>
      <c r="AC1637">
        <v>-27.348299999999899</v>
      </c>
      <c r="AD1637">
        <v>-1.1091430584849999</v>
      </c>
      <c r="AE1637">
        <v>0.58820000000002803</v>
      </c>
      <c r="AF1637">
        <v>0.14626767251384801</v>
      </c>
      <c r="AG1637">
        <v>-1.1091430584849999</v>
      </c>
      <c r="AH1637">
        <v>27.3093345850736</v>
      </c>
      <c r="AI1637">
        <v>92.325702919336507</v>
      </c>
      <c r="AJ1637">
        <v>89.693129096420904</v>
      </c>
      <c r="AK1637">
        <v>27.332240084480901</v>
      </c>
      <c r="AL1637">
        <v>91.608801769149494</v>
      </c>
      <c r="AM1637">
        <v>83.101159903597704</v>
      </c>
      <c r="AN1637">
        <v>1.0000000587318201</v>
      </c>
    </row>
    <row r="1638" spans="1:40" x14ac:dyDescent="0.25">
      <c r="A1638" t="str">
        <f>"20190312161259183"</f>
        <v>20190312161259183</v>
      </c>
      <c r="B1638" t="str">
        <f>"1552378379177305"</f>
        <v>1552378379177305</v>
      </c>
      <c r="C1638" t="s">
        <v>40</v>
      </c>
      <c r="D1638">
        <v>5.5496740000000004</v>
      </c>
      <c r="E1638">
        <v>0.45711049999999998</v>
      </c>
      <c r="F1638" t="s">
        <v>74</v>
      </c>
      <c r="G1638">
        <v>-293.51979999999998</v>
      </c>
      <c r="H1638" s="1">
        <v>2.8018820000000002E-6</v>
      </c>
      <c r="I1638">
        <v>284.9393</v>
      </c>
      <c r="J1638">
        <v>-267.21379999999999</v>
      </c>
      <c r="K1638">
        <v>1.1091439999999999</v>
      </c>
      <c r="L1638">
        <v>284.36160000000001</v>
      </c>
      <c r="M1638">
        <v>-0.99984410000000001</v>
      </c>
      <c r="N1638">
        <v>0</v>
      </c>
      <c r="O1638">
        <v>1.6149219999999999E-2</v>
      </c>
      <c r="P1638">
        <v>-0.99008859999999999</v>
      </c>
      <c r="Q1638">
        <v>-3.560431E-2</v>
      </c>
      <c r="R1638">
        <v>0.13585700000000001</v>
      </c>
      <c r="S1638">
        <v>-3.0165099999999998</v>
      </c>
      <c r="T1638">
        <v>-0.1259788</v>
      </c>
      <c r="U1638">
        <v>6.607056E-2</v>
      </c>
      <c r="V1638">
        <v>0.1198485</v>
      </c>
      <c r="W1638">
        <v>-2.8506509999999999E-2</v>
      </c>
      <c r="X1638">
        <v>0.99238280000000001</v>
      </c>
      <c r="Y1638">
        <v>5.7581610000000004E-3</v>
      </c>
      <c r="Z1638">
        <v>-5.5386010000000002E-4</v>
      </c>
      <c r="AA1638">
        <v>0.99998330000000002</v>
      </c>
      <c r="AB1638">
        <v>28</v>
      </c>
      <c r="AC1638">
        <v>-26.305999999999901</v>
      </c>
      <c r="AD1638">
        <v>-1.1091411981179999</v>
      </c>
      <c r="AE1638">
        <v>0.577699999999992</v>
      </c>
      <c r="AF1638">
        <v>0.15252143971660401</v>
      </c>
      <c r="AG1638">
        <v>-1.1091411981179999</v>
      </c>
      <c r="AH1638">
        <v>26.265229187544101</v>
      </c>
      <c r="AI1638">
        <v>92.418037373588902</v>
      </c>
      <c r="AJ1638">
        <v>89.667288775840106</v>
      </c>
      <c r="AK1638">
        <v>26.289079886164799</v>
      </c>
      <c r="AL1638">
        <v>91.633524078915499</v>
      </c>
      <c r="AM1638">
        <v>83.113828468697506</v>
      </c>
      <c r="AN1638">
        <v>0.99999995290023302</v>
      </c>
    </row>
    <row r="1639" spans="1:40" x14ac:dyDescent="0.25">
      <c r="A1639" t="str">
        <f>"20190312161259194"</f>
        <v>20190312161259194</v>
      </c>
      <c r="B1639" t="str">
        <f>"1552378379187064"</f>
        <v>1552378379187064</v>
      </c>
      <c r="C1639" t="s">
        <v>40</v>
      </c>
      <c r="D1639">
        <v>5.5968939999999998</v>
      </c>
      <c r="E1639">
        <v>0.4572254</v>
      </c>
      <c r="F1639" t="s">
        <v>74</v>
      </c>
      <c r="G1639">
        <v>-293.88069999999999</v>
      </c>
      <c r="H1639" s="1">
        <v>2.8639970000000002E-6</v>
      </c>
      <c r="I1639">
        <v>284.96089999999998</v>
      </c>
      <c r="J1639">
        <v>-267.37049999999999</v>
      </c>
      <c r="K1639">
        <v>1.1091439999999999</v>
      </c>
      <c r="L1639">
        <v>284.36410000000001</v>
      </c>
      <c r="M1639">
        <v>-0.99984399999999996</v>
      </c>
      <c r="N1639">
        <v>0</v>
      </c>
      <c r="O1639">
        <v>1.6149690000000001E-2</v>
      </c>
      <c r="P1639">
        <v>-0.9900949</v>
      </c>
      <c r="Q1639">
        <v>-3.5669770000000003E-2</v>
      </c>
      <c r="R1639">
        <v>0.13579340000000001</v>
      </c>
      <c r="S1639">
        <v>-3.016235</v>
      </c>
      <c r="T1639">
        <v>-0.1254528</v>
      </c>
      <c r="U1639">
        <v>6.7779539999999999E-2</v>
      </c>
      <c r="V1639">
        <v>0.1197845</v>
      </c>
      <c r="W1639">
        <v>-2.856728E-2</v>
      </c>
      <c r="X1639">
        <v>0.99238879999999996</v>
      </c>
      <c r="Y1639">
        <v>6.3254299999999999E-3</v>
      </c>
      <c r="Z1639">
        <v>-5.3982399999999995E-4</v>
      </c>
      <c r="AA1639">
        <v>0.99997990000000003</v>
      </c>
      <c r="AB1639">
        <v>29</v>
      </c>
      <c r="AC1639">
        <v>-26.510200000000001</v>
      </c>
      <c r="AD1639">
        <v>-1.1091411360029999</v>
      </c>
      <c r="AE1639">
        <v>0.59679999999997302</v>
      </c>
      <c r="AF1639">
        <v>0.168285275625011</v>
      </c>
      <c r="AG1639">
        <v>-1.1091411360029999</v>
      </c>
      <c r="AH1639">
        <v>26.470070042854999</v>
      </c>
      <c r="AI1639">
        <v>92.399338982861295</v>
      </c>
      <c r="AJ1639">
        <v>89.635743081565394</v>
      </c>
      <c r="AK1639">
        <v>26.4938317739662</v>
      </c>
      <c r="AL1639">
        <v>91.637007329051798</v>
      </c>
      <c r="AM1639">
        <v>83.117511667434698</v>
      </c>
      <c r="AN1639">
        <v>0.99999997314614297</v>
      </c>
    </row>
    <row r="1640" spans="1:40" x14ac:dyDescent="0.25">
      <c r="A1640" t="str">
        <f>"20190312161259207"</f>
        <v>20190312161259207</v>
      </c>
      <c r="B1640" t="str">
        <f>"1552378379197802"</f>
        <v>1552378379197802</v>
      </c>
      <c r="C1640" t="s">
        <v>40</v>
      </c>
      <c r="D1640">
        <v>5.5667150000000003</v>
      </c>
      <c r="E1640">
        <v>0.45747179999999998</v>
      </c>
      <c r="F1640" t="s">
        <v>74</v>
      </c>
      <c r="G1640">
        <v>-294.09269999999998</v>
      </c>
      <c r="H1640" s="1">
        <v>2.900723E-6</v>
      </c>
      <c r="I1640">
        <v>284.97089999999997</v>
      </c>
      <c r="J1640">
        <v>-267.53370000000001</v>
      </c>
      <c r="K1640">
        <v>1.10914</v>
      </c>
      <c r="L1640">
        <v>284.36680000000001</v>
      </c>
      <c r="M1640">
        <v>-0.99984410000000001</v>
      </c>
      <c r="N1640">
        <v>0</v>
      </c>
      <c r="O1640">
        <v>1.6149670000000001E-2</v>
      </c>
      <c r="P1640">
        <v>-0.99007489999999998</v>
      </c>
      <c r="Q1640">
        <v>-3.585058E-2</v>
      </c>
      <c r="R1640">
        <v>0.13589270000000001</v>
      </c>
      <c r="S1640">
        <v>-3.0160520000000002</v>
      </c>
      <c r="T1640">
        <v>-0.12518580000000001</v>
      </c>
      <c r="U1640">
        <v>6.8481449999999999E-2</v>
      </c>
      <c r="V1640">
        <v>0.11988409999999999</v>
      </c>
      <c r="W1640">
        <v>-2.8743339999999999E-2</v>
      </c>
      <c r="X1640">
        <v>0.99237169999999997</v>
      </c>
      <c r="Y1640">
        <v>6.5591750000000004E-3</v>
      </c>
      <c r="Z1640">
        <v>-5.3385839999999895E-4</v>
      </c>
      <c r="AA1640">
        <v>0.99997840000000005</v>
      </c>
      <c r="AB1640">
        <v>29</v>
      </c>
      <c r="AC1640">
        <v>-26.558999999999902</v>
      </c>
      <c r="AD1640">
        <v>-1.109137099277</v>
      </c>
      <c r="AE1640">
        <v>0.604099999999959</v>
      </c>
      <c r="AF1640">
        <v>0.17478652653733001</v>
      </c>
      <c r="AG1640">
        <v>-1.109137099277</v>
      </c>
      <c r="AH1640">
        <v>26.519067015260099</v>
      </c>
      <c r="AI1640">
        <v>92.394898778670296</v>
      </c>
      <c r="AJ1640">
        <v>89.622370377104403</v>
      </c>
      <c r="AK1640">
        <v>26.5428267295461</v>
      </c>
      <c r="AL1640">
        <v>91.647098950513197</v>
      </c>
      <c r="AM1640">
        <v>83.111726331724498</v>
      </c>
      <c r="AN1640">
        <v>0.99999998399402701</v>
      </c>
    </row>
    <row r="1641" spans="1:40" x14ac:dyDescent="0.25">
      <c r="A1641" t="str">
        <f>"20190312161259229"</f>
        <v>20190312161259229</v>
      </c>
      <c r="B1641" t="str">
        <f>"1552378379217321"</f>
        <v>1552378379217321</v>
      </c>
      <c r="C1641" t="s">
        <v>40</v>
      </c>
      <c r="D1641">
        <v>5.6170019999999896</v>
      </c>
      <c r="E1641">
        <v>0.45793400000000001</v>
      </c>
      <c r="F1641" t="s">
        <v>74</v>
      </c>
      <c r="G1641">
        <v>-294.04469999999998</v>
      </c>
      <c r="H1641" s="1">
        <v>2.8906369999999999E-6</v>
      </c>
      <c r="I1641">
        <v>284.98899999999998</v>
      </c>
      <c r="J1641">
        <v>-267.7996</v>
      </c>
      <c r="K1641">
        <v>1.109143</v>
      </c>
      <c r="L1641">
        <v>284.37110000000001</v>
      </c>
      <c r="M1641">
        <v>-0.99984399999999996</v>
      </c>
      <c r="N1641">
        <v>0</v>
      </c>
      <c r="O1641">
        <v>1.6148989999999998E-2</v>
      </c>
      <c r="P1641">
        <v>-0.99004239999999999</v>
      </c>
      <c r="Q1641">
        <v>-3.5646219999999999E-2</v>
      </c>
      <c r="R1641">
        <v>0.13618279999999999</v>
      </c>
      <c r="S1641">
        <v>-3.0157780000000001</v>
      </c>
      <c r="T1641">
        <v>-0.126170899999999</v>
      </c>
      <c r="U1641">
        <v>7.0770260000000001E-2</v>
      </c>
      <c r="V1641">
        <v>0.1201753</v>
      </c>
      <c r="W1641">
        <v>-2.8531150000000002E-2</v>
      </c>
      <c r="X1641">
        <v>0.99234259999999996</v>
      </c>
      <c r="Y1641">
        <v>7.3199169999999996E-3</v>
      </c>
      <c r="Z1641">
        <v>-5.2216570000000002E-4</v>
      </c>
      <c r="AA1641">
        <v>0.99997309999999995</v>
      </c>
      <c r="AB1641">
        <v>29</v>
      </c>
      <c r="AC1641">
        <v>-26.245099999999901</v>
      </c>
      <c r="AD1641">
        <v>-1.109140109363</v>
      </c>
      <c r="AE1641">
        <v>0.61790000000001999</v>
      </c>
      <c r="AF1641">
        <v>0.193631085160447</v>
      </c>
      <c r="AG1641">
        <v>-1.109140109363</v>
      </c>
      <c r="AH1641">
        <v>26.204880649482199</v>
      </c>
      <c r="AI1641">
        <v>92.423571715990306</v>
      </c>
      <c r="AJ1641">
        <v>89.576642145209902</v>
      </c>
      <c r="AK1641">
        <v>26.2290574484282</v>
      </c>
      <c r="AL1641">
        <v>91.634936373024502</v>
      </c>
      <c r="AM1641">
        <v>83.094955437053599</v>
      </c>
      <c r="AN1641">
        <v>0.99999998251258504</v>
      </c>
    </row>
    <row r="1642" spans="1:40" x14ac:dyDescent="0.25">
      <c r="A1642" t="str">
        <f>"20190312161259249"</f>
        <v>20190312161259249</v>
      </c>
      <c r="B1642" t="str">
        <f>"1552378379237818"</f>
        <v>1552378379237818</v>
      </c>
      <c r="C1642" t="s">
        <v>40</v>
      </c>
      <c r="D1642">
        <v>5.5859620000000003</v>
      </c>
      <c r="E1642">
        <v>0.45806449999999999</v>
      </c>
      <c r="F1642" t="s">
        <v>74</v>
      </c>
      <c r="G1642">
        <v>-294.60160000000002</v>
      </c>
      <c r="H1642" s="1">
        <v>2.9849360000000001E-6</v>
      </c>
      <c r="I1642">
        <v>285.0403</v>
      </c>
      <c r="J1642">
        <v>-268.07220000000001</v>
      </c>
      <c r="K1642">
        <v>1.1091409999999999</v>
      </c>
      <c r="L1642">
        <v>284.37549999999999</v>
      </c>
      <c r="M1642">
        <v>-0.99984379999999995</v>
      </c>
      <c r="N1642">
        <v>0</v>
      </c>
      <c r="O1642">
        <v>1.6148300000000001E-2</v>
      </c>
      <c r="P1642">
        <v>-0.99009009999999997</v>
      </c>
      <c r="Q1642">
        <v>-3.517464E-2</v>
      </c>
      <c r="R1642">
        <v>0.135958299999999</v>
      </c>
      <c r="S1642">
        <v>-3.01532</v>
      </c>
      <c r="T1642">
        <v>-0.124782</v>
      </c>
      <c r="U1642">
        <v>7.5286870000000006E-2</v>
      </c>
      <c r="V1642">
        <v>0.1199509</v>
      </c>
      <c r="W1642">
        <v>-2.8051010000000001E-2</v>
      </c>
      <c r="X1642">
        <v>0.99238349999999997</v>
      </c>
      <c r="Y1642">
        <v>8.8196690000000005E-3</v>
      </c>
      <c r="Z1642">
        <v>-4.8544739999999999E-4</v>
      </c>
      <c r="AA1642">
        <v>0.99996099999999999</v>
      </c>
      <c r="AB1642">
        <v>29</v>
      </c>
      <c r="AC1642">
        <v>-26.529399999999999</v>
      </c>
      <c r="AD1642">
        <v>-1.109138015064</v>
      </c>
      <c r="AE1642">
        <v>0.66480000000001305</v>
      </c>
      <c r="AF1642">
        <v>0.235885500444139</v>
      </c>
      <c r="AG1642">
        <v>-1.109138015064</v>
      </c>
      <c r="AH1642">
        <v>26.4904027688514</v>
      </c>
      <c r="AI1642">
        <v>92.397446239364896</v>
      </c>
      <c r="AJ1642">
        <v>89.489819518974699</v>
      </c>
      <c r="AK1642">
        <v>26.514661377467199</v>
      </c>
      <c r="AL1642">
        <v>91.607415261411901</v>
      </c>
      <c r="AM1642">
        <v>83.108006222114994</v>
      </c>
      <c r="AN1642">
        <v>1.0000000443225301</v>
      </c>
    </row>
    <row r="1643" spans="1:40" x14ac:dyDescent="0.25">
      <c r="A1643" t="str">
        <f>"20190312161259260"</f>
        <v>20190312161259260</v>
      </c>
      <c r="B1643" t="str">
        <f>"1552378379257232"</f>
        <v>1552378379257232</v>
      </c>
      <c r="C1643" t="s">
        <v>40</v>
      </c>
      <c r="D1643">
        <v>5.5980790000000002</v>
      </c>
      <c r="E1643">
        <v>0.45836500000000002</v>
      </c>
      <c r="F1643" t="s">
        <v>74</v>
      </c>
      <c r="G1643">
        <v>-295.0949</v>
      </c>
      <c r="H1643" s="1">
        <v>3.0712630000000002E-6</v>
      </c>
      <c r="I1643">
        <v>285.05380000000002</v>
      </c>
      <c r="J1643">
        <v>-268.2192</v>
      </c>
      <c r="K1643">
        <v>1.1091390000000001</v>
      </c>
      <c r="L1643">
        <v>284.37779999999998</v>
      </c>
      <c r="M1643">
        <v>-0.99984379999999995</v>
      </c>
      <c r="N1643">
        <v>0</v>
      </c>
      <c r="O1643">
        <v>1.6147450000000001E-2</v>
      </c>
      <c r="P1643">
        <v>-0.99011559999999998</v>
      </c>
      <c r="Q1643">
        <v>-3.484889E-2</v>
      </c>
      <c r="R1643">
        <v>0.13585529999999901</v>
      </c>
      <c r="S1643">
        <v>-3.015228</v>
      </c>
      <c r="T1643">
        <v>-0.12375890000000001</v>
      </c>
      <c r="U1643">
        <v>7.5683589999999995E-2</v>
      </c>
      <c r="V1643">
        <v>0.1198482</v>
      </c>
      <c r="W1643">
        <v>-2.7720669999999999E-2</v>
      </c>
      <c r="X1643">
        <v>0.99240519999999999</v>
      </c>
      <c r="Y1643">
        <v>8.9525500000000001E-3</v>
      </c>
      <c r="Z1643">
        <v>-4.7872399999999998E-4</v>
      </c>
      <c r="AA1643">
        <v>0.99995979999999995</v>
      </c>
      <c r="AB1643">
        <v>29</v>
      </c>
      <c r="AC1643">
        <v>-26.875699999999899</v>
      </c>
      <c r="AD1643">
        <v>-1.109135928737</v>
      </c>
      <c r="AE1643">
        <v>0.67600000000004401</v>
      </c>
      <c r="AF1643">
        <v>0.241515558527165</v>
      </c>
      <c r="AG1643">
        <v>-1.109135928737</v>
      </c>
      <c r="AH1643">
        <v>26.837432794934699</v>
      </c>
      <c r="AI1643">
        <v>92.366474318884599</v>
      </c>
      <c r="AJ1643">
        <v>89.484397454889105</v>
      </c>
      <c r="AK1643">
        <v>26.8614279459612</v>
      </c>
      <c r="AL1643">
        <v>91.588480795985504</v>
      </c>
      <c r="AM1643">
        <v>83.113999478304507</v>
      </c>
      <c r="AN1643">
        <v>1.00000005378776</v>
      </c>
    </row>
    <row r="1644" spans="1:40" x14ac:dyDescent="0.25">
      <c r="A1644" t="str">
        <f>"20190312161259271"</f>
        <v>20190312161259271</v>
      </c>
      <c r="B1644" t="str">
        <f>"1552378379266992"</f>
        <v>1552378379266992</v>
      </c>
      <c r="C1644" t="s">
        <v>40</v>
      </c>
      <c r="D1644">
        <v>5.6019480000000001</v>
      </c>
      <c r="E1644">
        <v>0.45837060000000002</v>
      </c>
      <c r="F1644" t="s">
        <v>74</v>
      </c>
      <c r="G1644">
        <v>-295.22379999999998</v>
      </c>
      <c r="H1644" s="1">
        <v>3.0923980000000002E-6</v>
      </c>
      <c r="I1644">
        <v>285.07350000000002</v>
      </c>
      <c r="J1644">
        <v>-268.3587</v>
      </c>
      <c r="K1644">
        <v>1.10914</v>
      </c>
      <c r="L1644">
        <v>284.38010000000003</v>
      </c>
      <c r="M1644">
        <v>-0.99984390000000001</v>
      </c>
      <c r="N1644">
        <v>0</v>
      </c>
      <c r="O1644">
        <v>1.614672E-2</v>
      </c>
      <c r="P1644">
        <v>-0.99009970000000003</v>
      </c>
      <c r="Q1644">
        <v>-3.5077289999999997E-2</v>
      </c>
      <c r="R1644">
        <v>0.135913899999999</v>
      </c>
      <c r="S1644">
        <v>-3.014923</v>
      </c>
      <c r="T1644">
        <v>-0.12382940000000001</v>
      </c>
      <c r="U1644">
        <v>7.7667239999999999E-2</v>
      </c>
      <c r="V1644">
        <v>0.11990770000000001</v>
      </c>
      <c r="W1644">
        <v>-2.7944940000000001E-2</v>
      </c>
      <c r="X1644">
        <v>0.99239160000000004</v>
      </c>
      <c r="Y1644">
        <v>9.6127599999999997E-3</v>
      </c>
      <c r="Z1644">
        <v>-4.6545959999999998E-4</v>
      </c>
      <c r="AA1644">
        <v>0.99995369999999995</v>
      </c>
      <c r="AB1644">
        <v>29</v>
      </c>
      <c r="AC1644">
        <v>-26.865099999999899</v>
      </c>
      <c r="AD1644">
        <v>-1.1091369076019999</v>
      </c>
      <c r="AE1644">
        <v>0.69339999999999602</v>
      </c>
      <c r="AF1644">
        <v>0.25907389627792099</v>
      </c>
      <c r="AG1644">
        <v>-1.1091369076019999</v>
      </c>
      <c r="AH1644">
        <v>26.827097960628102</v>
      </c>
      <c r="AI1644">
        <v>92.367372513766796</v>
      </c>
      <c r="AJ1644">
        <v>89.446702008692299</v>
      </c>
      <c r="AK1644">
        <v>26.851266058655</v>
      </c>
      <c r="AL1644">
        <v>91.601335694922497</v>
      </c>
      <c r="AM1644">
        <v>83.110520187040706</v>
      </c>
      <c r="AN1644">
        <v>0.99999993197072401</v>
      </c>
    </row>
    <row r="1645" spans="1:40" x14ac:dyDescent="0.25">
      <c r="A1645" t="str">
        <f>"20190312161259283"</f>
        <v>20190312161259283</v>
      </c>
      <c r="B1645" t="str">
        <f>"1552378379277728"</f>
        <v>1552378379277728</v>
      </c>
      <c r="C1645" t="s">
        <v>40</v>
      </c>
      <c r="D1645">
        <v>5.676685</v>
      </c>
      <c r="E1645">
        <v>0.45843479999999998</v>
      </c>
      <c r="F1645" t="s">
        <v>74</v>
      </c>
      <c r="G1645">
        <v>-295.29500000000002</v>
      </c>
      <c r="H1645" s="1">
        <v>3.1047760000000001E-6</v>
      </c>
      <c r="I1645">
        <v>285.07650000000001</v>
      </c>
      <c r="J1645">
        <v>-268.51580000000001</v>
      </c>
      <c r="K1645">
        <v>1.10914</v>
      </c>
      <c r="L1645">
        <v>284.38260000000002</v>
      </c>
      <c r="M1645">
        <v>-0.99984390000000001</v>
      </c>
      <c r="N1645">
        <v>0</v>
      </c>
      <c r="O1645">
        <v>1.6146219999999999E-2</v>
      </c>
      <c r="P1645">
        <v>-0.99008079999999998</v>
      </c>
      <c r="Q1645">
        <v>-3.5195379999999998E-2</v>
      </c>
      <c r="R1645">
        <v>0.1360198</v>
      </c>
      <c r="S1645">
        <v>-3.0148929999999998</v>
      </c>
      <c r="T1645">
        <v>-0.12414219999999999</v>
      </c>
      <c r="U1645">
        <v>7.794189E-2</v>
      </c>
      <c r="V1645">
        <v>0.1200143</v>
      </c>
      <c r="W1645">
        <v>-2.8058340000000001E-2</v>
      </c>
      <c r="X1645">
        <v>0.99237560000000002</v>
      </c>
      <c r="Y1645">
        <v>9.7045010000000008E-3</v>
      </c>
      <c r="Z1645">
        <v>-4.647303E-4</v>
      </c>
      <c r="AA1645">
        <v>0.99995279999999998</v>
      </c>
      <c r="AB1645">
        <v>29</v>
      </c>
      <c r="AC1645">
        <v>-26.779199999999999</v>
      </c>
      <c r="AD1645">
        <v>-1.1091368952239999</v>
      </c>
      <c r="AE1645">
        <v>0.69389999999998497</v>
      </c>
      <c r="AF1645">
        <v>0.26096818144391798</v>
      </c>
      <c r="AG1645">
        <v>-1.1091368952239999</v>
      </c>
      <c r="AH1645">
        <v>26.741071190087201</v>
      </c>
      <c r="AI1645">
        <v>92.374977337075705</v>
      </c>
      <c r="AJ1645">
        <v>89.440863807633406</v>
      </c>
      <c r="AK1645">
        <v>26.765335369417301</v>
      </c>
      <c r="AL1645">
        <v>91.607835448672205</v>
      </c>
      <c r="AM1645">
        <v>83.104344160797595</v>
      </c>
      <c r="AN1645">
        <v>1.0000000170617001</v>
      </c>
    </row>
    <row r="1646" spans="1:40" x14ac:dyDescent="0.25">
      <c r="A1646" t="str">
        <f>"20190312161259296"</f>
        <v>20190312161259296</v>
      </c>
      <c r="B1646" t="str">
        <f>"1552378379287490"</f>
        <v>1552378379287490</v>
      </c>
      <c r="C1646" t="s">
        <v>40</v>
      </c>
      <c r="D1646">
        <v>5.6882970000000004</v>
      </c>
      <c r="E1646">
        <v>0.45838079999999998</v>
      </c>
      <c r="F1646" t="s">
        <v>74</v>
      </c>
      <c r="G1646">
        <v>-295.17720000000003</v>
      </c>
      <c r="H1646" s="1">
        <v>3.0835560000000001E-6</v>
      </c>
      <c r="I1646">
        <v>285.08</v>
      </c>
      <c r="J1646">
        <v>-268.67349999999999</v>
      </c>
      <c r="K1646">
        <v>1.1091390000000001</v>
      </c>
      <c r="L1646">
        <v>284.3852</v>
      </c>
      <c r="M1646">
        <v>-0.9998437</v>
      </c>
      <c r="N1646">
        <v>0</v>
      </c>
      <c r="O1646">
        <v>1.6145840000000002E-2</v>
      </c>
      <c r="P1646">
        <v>-0.99009290000000005</v>
      </c>
      <c r="Q1646">
        <v>-3.5310710000000002E-2</v>
      </c>
      <c r="R1646">
        <v>0.13590269999999999</v>
      </c>
      <c r="S1646">
        <v>-3.0147400000000002</v>
      </c>
      <c r="T1646">
        <v>-0.12541620000000001</v>
      </c>
      <c r="U1646">
        <v>7.8857419999999998E-2</v>
      </c>
      <c r="V1646">
        <v>0.11989759999999999</v>
      </c>
      <c r="W1646">
        <v>-2.816886E-2</v>
      </c>
      <c r="X1646">
        <v>0.99238660000000001</v>
      </c>
      <c r="Y1646">
        <v>1.0009499999999999E-2</v>
      </c>
      <c r="Z1646">
        <v>-4.6316119999999998E-4</v>
      </c>
      <c r="AA1646">
        <v>0.9999498</v>
      </c>
      <c r="AB1646">
        <v>29</v>
      </c>
      <c r="AC1646">
        <v>-26.503699999999998</v>
      </c>
      <c r="AD1646">
        <v>-1.10913591644399</v>
      </c>
      <c r="AE1646">
        <v>0.69479999999998598</v>
      </c>
      <c r="AF1646">
        <v>0.26630776417214902</v>
      </c>
      <c r="AG1646">
        <v>-1.10913591644399</v>
      </c>
      <c r="AH1646">
        <v>26.4651472631719</v>
      </c>
      <c r="AI1646">
        <v>92.399700576104806</v>
      </c>
      <c r="AJ1646">
        <v>89.423475871048694</v>
      </c>
      <c r="AK1646">
        <v>26.489717287426501</v>
      </c>
      <c r="AL1646">
        <v>91.614170242585999</v>
      </c>
      <c r="AM1646">
        <v>83.111060545889103</v>
      </c>
      <c r="AN1646">
        <v>1.0000000415095001</v>
      </c>
    </row>
    <row r="1647" spans="1:40" x14ac:dyDescent="0.25">
      <c r="A1647" t="str">
        <f>"20190312161259309"</f>
        <v>20190312161259309</v>
      </c>
      <c r="B1647" t="str">
        <f>"1552378379307008"</f>
        <v>1552378379307008</v>
      </c>
      <c r="C1647" t="s">
        <v>40</v>
      </c>
      <c r="D1647">
        <v>5.6730039999999997</v>
      </c>
      <c r="E1647">
        <v>0.4583257</v>
      </c>
      <c r="F1647" t="s">
        <v>74</v>
      </c>
      <c r="G1647">
        <v>-295.19119999999998</v>
      </c>
      <c r="H1647" s="1">
        <v>3.086861E-6</v>
      </c>
      <c r="I1647">
        <v>285.07069999999999</v>
      </c>
      <c r="J1647">
        <v>-268.85610000000003</v>
      </c>
      <c r="K1647">
        <v>1.10914</v>
      </c>
      <c r="L1647">
        <v>284.38810000000001</v>
      </c>
      <c r="M1647">
        <v>-0.9998437</v>
      </c>
      <c r="N1647">
        <v>0</v>
      </c>
      <c r="O1647">
        <v>1.6145340000000001E-2</v>
      </c>
      <c r="P1647">
        <v>-0.99003050000000004</v>
      </c>
      <c r="Q1647">
        <v>-3.56263E-2</v>
      </c>
      <c r="R1647">
        <v>0.1362747</v>
      </c>
      <c r="S1647">
        <v>-3.0148320000000002</v>
      </c>
      <c r="T1647">
        <v>-0.12609890000000001</v>
      </c>
      <c r="U1647">
        <v>7.794189E-2</v>
      </c>
      <c r="V1647">
        <v>0.1202713</v>
      </c>
      <c r="W1647">
        <v>-2.8479440000000002E-2</v>
      </c>
      <c r="X1647">
        <v>0.99233249999999995</v>
      </c>
      <c r="Y1647">
        <v>9.7060689999999995E-3</v>
      </c>
      <c r="Z1647">
        <v>-4.719894E-4</v>
      </c>
      <c r="AA1647">
        <v>0.99995279999999998</v>
      </c>
      <c r="AB1647">
        <v>29</v>
      </c>
      <c r="AC1647">
        <v>-26.335099999999901</v>
      </c>
      <c r="AD1647">
        <v>-1.1091369131389901</v>
      </c>
      <c r="AE1647">
        <v>0.682599999999979</v>
      </c>
      <c r="AF1647">
        <v>0.25685554395596</v>
      </c>
      <c r="AG1647">
        <v>-1.1091369131389901</v>
      </c>
      <c r="AH1647">
        <v>26.296076076736501</v>
      </c>
      <c r="AI1647">
        <v>92.415120508602897</v>
      </c>
      <c r="AJ1647">
        <v>89.440362487792498</v>
      </c>
      <c r="AK1647">
        <v>26.320710030241699</v>
      </c>
      <c r="AL1647">
        <v>91.631972330616904</v>
      </c>
      <c r="AM1647">
        <v>83.089423121764199</v>
      </c>
      <c r="AN1647">
        <v>1.0000000273313201</v>
      </c>
    </row>
    <row r="1648" spans="1:40" x14ac:dyDescent="0.25">
      <c r="A1648" t="str">
        <f>"20190312161259330"</f>
        <v>20190312161259330</v>
      </c>
      <c r="B1648" t="str">
        <f>"1552378379327504"</f>
        <v>1552378379327504</v>
      </c>
      <c r="C1648" t="s">
        <v>40</v>
      </c>
      <c r="D1648">
        <v>5.6166489999999998</v>
      </c>
      <c r="E1648">
        <v>0.45838200000000001</v>
      </c>
      <c r="F1648" t="s">
        <v>74</v>
      </c>
      <c r="G1648">
        <v>-295.05329999999998</v>
      </c>
      <c r="H1648" s="1">
        <v>3.062313E-6</v>
      </c>
      <c r="I1648">
        <v>285.0718</v>
      </c>
      <c r="J1648">
        <v>-269.11680000000001</v>
      </c>
      <c r="K1648">
        <v>1.1091310000000001</v>
      </c>
      <c r="L1648">
        <v>284.39229999999998</v>
      </c>
      <c r="M1648">
        <v>-0.9998437</v>
      </c>
      <c r="N1648">
        <v>0</v>
      </c>
      <c r="O1648">
        <v>1.6145320000000001E-2</v>
      </c>
      <c r="P1648">
        <v>-0.99003920000000001</v>
      </c>
      <c r="Q1648">
        <v>-3.5299709999999998E-2</v>
      </c>
      <c r="R1648">
        <v>0.1362961</v>
      </c>
      <c r="S1648">
        <v>-3.0148009999999998</v>
      </c>
      <c r="T1648">
        <v>-0.1276407</v>
      </c>
      <c r="U1648">
        <v>7.8674320000000006E-2</v>
      </c>
      <c r="V1648">
        <v>0.12029239999999999</v>
      </c>
      <c r="W1648">
        <v>-2.8144969999999998E-2</v>
      </c>
      <c r="X1648">
        <v>0.99233950000000004</v>
      </c>
      <c r="Y1648">
        <v>9.9490499999999992E-3</v>
      </c>
      <c r="Z1648">
        <v>-4.7261679999999998E-4</v>
      </c>
      <c r="AA1648">
        <v>0.99995040000000002</v>
      </c>
      <c r="AB1648">
        <v>29</v>
      </c>
      <c r="AC1648">
        <v>-25.936499999999899</v>
      </c>
      <c r="AD1648">
        <v>-1.10912793768699</v>
      </c>
      <c r="AE1648">
        <v>0.67950000000001798</v>
      </c>
      <c r="AF1648">
        <v>0.26017201826832498</v>
      </c>
      <c r="AG1648">
        <v>-1.10912793768699</v>
      </c>
      <c r="AH1648">
        <v>25.896765458444001</v>
      </c>
      <c r="AI1648">
        <v>92.452288333305802</v>
      </c>
      <c r="AJ1648">
        <v>89.424396953200898</v>
      </c>
      <c r="AK1648">
        <v>25.921811577721702</v>
      </c>
      <c r="AL1648">
        <v>91.612800902681101</v>
      </c>
      <c r="AM1648">
        <v>83.088270763975999</v>
      </c>
      <c r="AN1648">
        <v>1.00000004204715</v>
      </c>
    </row>
    <row r="1649" spans="1:40" x14ac:dyDescent="0.25">
      <c r="A1649" t="str">
        <f>"20190312161259349"</f>
        <v>20190312161259349</v>
      </c>
      <c r="B1649" t="str">
        <f>"1552378379347024"</f>
        <v>1552378379347024</v>
      </c>
      <c r="C1649" t="s">
        <v>40</v>
      </c>
      <c r="D1649">
        <v>5.6043450000000004</v>
      </c>
      <c r="E1649">
        <v>0.45853640000000001</v>
      </c>
      <c r="F1649" t="s">
        <v>74</v>
      </c>
      <c r="G1649">
        <v>-295.42829999999998</v>
      </c>
      <c r="H1649" s="1">
        <v>3.1277780000000002E-6</v>
      </c>
      <c r="I1649">
        <v>285.0838</v>
      </c>
      <c r="J1649">
        <v>-269.38080000000002</v>
      </c>
      <c r="K1649">
        <v>1.1091260000000001</v>
      </c>
      <c r="L1649">
        <v>284.39659999999998</v>
      </c>
      <c r="M1649">
        <v>-0.9998435</v>
      </c>
      <c r="N1649">
        <v>0</v>
      </c>
      <c r="O1649">
        <v>1.6147979999999999E-2</v>
      </c>
      <c r="P1649">
        <v>-0.99004689999999995</v>
      </c>
      <c r="Q1649">
        <v>-3.5543180000000001E-2</v>
      </c>
      <c r="R1649">
        <v>0.13617560000000001</v>
      </c>
      <c r="S1649">
        <v>-3.0147710000000001</v>
      </c>
      <c r="T1649">
        <v>-0.12708369999999999</v>
      </c>
      <c r="U1649">
        <v>7.9223630000000003E-2</v>
      </c>
      <c r="V1649">
        <v>0.120169</v>
      </c>
      <c r="W1649">
        <v>-2.838046E-2</v>
      </c>
      <c r="X1649">
        <v>0.99234770000000005</v>
      </c>
      <c r="Y1649">
        <v>1.012852E-2</v>
      </c>
      <c r="Z1649">
        <v>-4.6689129999999998E-4</v>
      </c>
      <c r="AA1649">
        <v>0.99994859999999997</v>
      </c>
      <c r="AB1649">
        <v>29</v>
      </c>
      <c r="AC1649">
        <v>-26.0474999999999</v>
      </c>
      <c r="AD1649">
        <v>-1.1091228722219999</v>
      </c>
      <c r="AE1649">
        <v>0.68720000000001802</v>
      </c>
      <c r="AF1649">
        <v>0.26600294138310199</v>
      </c>
      <c r="AG1649">
        <v>-1.1091228722219999</v>
      </c>
      <c r="AH1649">
        <v>26.0080777052253</v>
      </c>
      <c r="AI1649">
        <v>92.441789871937701</v>
      </c>
      <c r="AJ1649">
        <v>89.414016112313007</v>
      </c>
      <c r="AK1649">
        <v>26.033075443203899</v>
      </c>
      <c r="AL1649">
        <v>91.626298948332305</v>
      </c>
      <c r="AM1649">
        <v>83.095349071412898</v>
      </c>
      <c r="AN1649">
        <v>0.99999999838304998</v>
      </c>
    </row>
    <row r="1650" spans="1:40" x14ac:dyDescent="0.25">
      <c r="A1650" t="str">
        <f>"20190312161259362"</f>
        <v>20190312161259362</v>
      </c>
      <c r="B1650" t="str">
        <f>"1552378379357760"</f>
        <v>1552378379357760</v>
      </c>
      <c r="C1650" t="s">
        <v>40</v>
      </c>
      <c r="D1650">
        <v>5.6370120000000004</v>
      </c>
      <c r="E1650">
        <v>0.45860000000000001</v>
      </c>
      <c r="F1650" t="s">
        <v>74</v>
      </c>
      <c r="G1650">
        <v>-295.75229999999999</v>
      </c>
      <c r="H1650" s="1">
        <v>3.1840719999999998E-6</v>
      </c>
      <c r="I1650">
        <v>285.09710000000001</v>
      </c>
      <c r="J1650">
        <v>-269.5505</v>
      </c>
      <c r="K1650">
        <v>1.1091279999999999</v>
      </c>
      <c r="L1650">
        <v>284.39940000000001</v>
      </c>
      <c r="M1650">
        <v>-0.9998435</v>
      </c>
      <c r="N1650">
        <v>0</v>
      </c>
      <c r="O1650">
        <v>1.615113E-2</v>
      </c>
      <c r="P1650">
        <v>-0.99003240000000003</v>
      </c>
      <c r="Q1650">
        <v>-3.5555940000000001E-2</v>
      </c>
      <c r="R1650">
        <v>0.1362785</v>
      </c>
      <c r="S1650">
        <v>-3.0145870000000001</v>
      </c>
      <c r="T1650">
        <v>-0.12678680000000001</v>
      </c>
      <c r="U1650">
        <v>8.0078129999999997E-2</v>
      </c>
      <c r="V1650">
        <v>0.120268899999999</v>
      </c>
      <c r="W1650">
        <v>-2.8388389999999999E-2</v>
      </c>
      <c r="X1650">
        <v>0.99233539999999998</v>
      </c>
      <c r="Y1650">
        <v>1.040993E-2</v>
      </c>
      <c r="Z1650">
        <v>-4.6004599999999998E-4</v>
      </c>
      <c r="AA1650">
        <v>0.99994570000000005</v>
      </c>
      <c r="AB1650">
        <v>29</v>
      </c>
      <c r="AC1650">
        <v>-26.201799999999899</v>
      </c>
      <c r="AD1650">
        <v>-1.1091248159280001</v>
      </c>
      <c r="AE1650">
        <v>0.69769999999999699</v>
      </c>
      <c r="AF1650">
        <v>0.27391881243751198</v>
      </c>
      <c r="AG1650">
        <v>-1.1091248159280001</v>
      </c>
      <c r="AH1650">
        <v>26.162804773220699</v>
      </c>
      <c r="AI1650">
        <v>92.427364604240694</v>
      </c>
      <c r="AJ1650">
        <v>89.400147705800094</v>
      </c>
      <c r="AK1650">
        <v>26.187736499643801</v>
      </c>
      <c r="AL1650">
        <v>91.626753439557106</v>
      </c>
      <c r="AM1650">
        <v>83.089579687861402</v>
      </c>
      <c r="AN1650">
        <v>1.0000000275435801</v>
      </c>
    </row>
    <row r="1651" spans="1:40" x14ac:dyDescent="0.25">
      <c r="A1651" t="str">
        <f>"20190312161259375"</f>
        <v>20190312161259375</v>
      </c>
      <c r="B1651" t="str">
        <f>"1552378379367521"</f>
        <v>1552378379367521</v>
      </c>
      <c r="C1651" t="s">
        <v>40</v>
      </c>
      <c r="D1651">
        <v>5.628215</v>
      </c>
      <c r="E1651">
        <v>0.45868500000000001</v>
      </c>
      <c r="F1651" t="s">
        <v>74</v>
      </c>
      <c r="G1651">
        <v>-295.89780000000002</v>
      </c>
      <c r="H1651" s="1">
        <v>3.2091240000000001E-6</v>
      </c>
      <c r="I1651">
        <v>285.10590000000002</v>
      </c>
      <c r="J1651">
        <v>-269.71390000000002</v>
      </c>
      <c r="K1651">
        <v>1.109124</v>
      </c>
      <c r="L1651">
        <v>284.40199999999999</v>
      </c>
      <c r="M1651">
        <v>-0.9998435</v>
      </c>
      <c r="N1651">
        <v>0</v>
      </c>
      <c r="O1651">
        <v>1.6155829999999999E-2</v>
      </c>
      <c r="P1651">
        <v>-0.98999879999999996</v>
      </c>
      <c r="Q1651">
        <v>-3.5817359999999999E-2</v>
      </c>
      <c r="R1651">
        <v>0.13645589999999999</v>
      </c>
      <c r="S1651">
        <v>-3.014526</v>
      </c>
      <c r="T1651">
        <v>-0.12690070000000001</v>
      </c>
      <c r="U1651">
        <v>8.0841060000000006E-2</v>
      </c>
      <c r="V1651">
        <v>0.1204422</v>
      </c>
      <c r="W1651">
        <v>-2.864543E-2</v>
      </c>
      <c r="X1651">
        <v>0.99230689999999999</v>
      </c>
      <c r="Y1651">
        <v>1.065845E-2</v>
      </c>
      <c r="Z1651">
        <v>-4.5543629999999997E-4</v>
      </c>
      <c r="AA1651">
        <v>0.99994309999999997</v>
      </c>
      <c r="AB1651">
        <v>29</v>
      </c>
      <c r="AC1651">
        <v>-26.183899999999898</v>
      </c>
      <c r="AD1651">
        <v>-1.1091207908759999</v>
      </c>
      <c r="AE1651">
        <v>0.70390000000003194</v>
      </c>
      <c r="AF1651">
        <v>0.28027197593064601</v>
      </c>
      <c r="AG1651">
        <v>-1.1091207908759999</v>
      </c>
      <c r="AH1651">
        <v>26.1449774391468</v>
      </c>
      <c r="AI1651">
        <v>92.429002523167</v>
      </c>
      <c r="AJ1651">
        <v>89.385817551737404</v>
      </c>
      <c r="AK1651">
        <v>26.169993248045301</v>
      </c>
      <c r="AL1651">
        <v>91.641486891842007</v>
      </c>
      <c r="AM1651">
        <v>83.079521863402803</v>
      </c>
      <c r="AN1651">
        <v>0.99999993399416498</v>
      </c>
    </row>
    <row r="1652" spans="1:40" x14ac:dyDescent="0.25">
      <c r="A1652" t="str">
        <f>"20190312161259395"</f>
        <v>20190312161259395</v>
      </c>
      <c r="B1652" t="str">
        <f>"1552378379387044"</f>
        <v>1552378379387044</v>
      </c>
      <c r="C1652" t="s">
        <v>40</v>
      </c>
      <c r="D1652">
        <v>5.622852</v>
      </c>
      <c r="E1652">
        <v>0.45884439999999999</v>
      </c>
      <c r="F1652" t="s">
        <v>74</v>
      </c>
      <c r="G1652">
        <v>-295.84750000000003</v>
      </c>
      <c r="H1652" s="1">
        <v>3.1995090000000001E-6</v>
      </c>
      <c r="I1652">
        <v>285.11369999999999</v>
      </c>
      <c r="J1652">
        <v>-269.98039999999997</v>
      </c>
      <c r="K1652">
        <v>1.1091150000000001</v>
      </c>
      <c r="L1652">
        <v>284.40629999999999</v>
      </c>
      <c r="M1652">
        <v>-0.99984309999999998</v>
      </c>
      <c r="N1652">
        <v>0</v>
      </c>
      <c r="O1652">
        <v>1.6168180000000001E-2</v>
      </c>
      <c r="P1652">
        <v>-0.98997159999999995</v>
      </c>
      <c r="Q1652">
        <v>-3.5868850000000001E-2</v>
      </c>
      <c r="R1652">
        <v>0.1366378</v>
      </c>
      <c r="S1652">
        <v>-3.0143740000000001</v>
      </c>
      <c r="T1652">
        <v>-0.12793160000000001</v>
      </c>
      <c r="U1652">
        <v>8.2092289999999998E-2</v>
      </c>
      <c r="V1652">
        <v>0.12061180000000001</v>
      </c>
      <c r="W1652">
        <v>-2.868998E-2</v>
      </c>
      <c r="X1652">
        <v>0.99228510000000003</v>
      </c>
      <c r="Y1652">
        <v>1.1061939999999999E-2</v>
      </c>
      <c r="Z1652">
        <v>-4.5111970000000001E-4</v>
      </c>
      <c r="AA1652">
        <v>0.99993869999999896</v>
      </c>
      <c r="AB1652">
        <v>29</v>
      </c>
      <c r="AC1652">
        <v>-25.867100000000001</v>
      </c>
      <c r="AD1652">
        <v>-1.1091118004909899</v>
      </c>
      <c r="AE1652">
        <v>0.70740000000000602</v>
      </c>
      <c r="AF1652">
        <v>0.288542570118414</v>
      </c>
      <c r="AG1652">
        <v>-1.1091118004909899</v>
      </c>
      <c r="AH1652">
        <v>25.827708481181102</v>
      </c>
      <c r="AI1652">
        <v>92.458772069890898</v>
      </c>
      <c r="AJ1652">
        <v>89.359928359663897</v>
      </c>
      <c r="AK1652">
        <v>25.853121884786599</v>
      </c>
      <c r="AL1652">
        <v>91.644040326312506</v>
      </c>
      <c r="AM1652">
        <v>83.069720762354294</v>
      </c>
      <c r="AN1652">
        <v>1.00000002046682</v>
      </c>
    </row>
    <row r="1653" spans="1:40" x14ac:dyDescent="0.25">
      <c r="A1653" t="str">
        <f>"20190312161259407"</f>
        <v>20190312161259407</v>
      </c>
      <c r="B1653" t="str">
        <f>"1552378379397776"</f>
        <v>1552378379397776</v>
      </c>
      <c r="C1653" t="s">
        <v>40</v>
      </c>
      <c r="D1653">
        <v>5.5852629999999897</v>
      </c>
      <c r="E1653">
        <v>0.45892080000000002</v>
      </c>
      <c r="F1653" t="s">
        <v>74</v>
      </c>
      <c r="G1653">
        <v>-296.1601</v>
      </c>
      <c r="H1653" s="1">
        <v>3.253069E-6</v>
      </c>
      <c r="I1653">
        <v>285.13549999999998</v>
      </c>
      <c r="J1653">
        <v>-270.14479999999998</v>
      </c>
      <c r="K1653">
        <v>1.1091070000000001</v>
      </c>
      <c r="L1653">
        <v>284.40899999999999</v>
      </c>
      <c r="M1653">
        <v>-0.99984280000000003</v>
      </c>
      <c r="N1653">
        <v>0</v>
      </c>
      <c r="O1653">
        <v>1.617874E-2</v>
      </c>
      <c r="P1653">
        <v>-0.98994260000000001</v>
      </c>
      <c r="Q1653">
        <v>-3.6128849999999997E-2</v>
      </c>
      <c r="R1653">
        <v>0.1367794</v>
      </c>
      <c r="S1653">
        <v>-3.0141909999999998</v>
      </c>
      <c r="T1653">
        <v>-0.1276969</v>
      </c>
      <c r="U1653">
        <v>8.3953860000000005E-2</v>
      </c>
      <c r="V1653">
        <v>0.12074319999999999</v>
      </c>
      <c r="W1653">
        <v>-2.8945970000000001E-2</v>
      </c>
      <c r="X1653">
        <v>0.99226159999999997</v>
      </c>
      <c r="Y1653">
        <v>1.1669580000000001E-2</v>
      </c>
      <c r="Z1653">
        <v>-4.3789959999999999E-4</v>
      </c>
      <c r="AA1653">
        <v>0.99993180000000004</v>
      </c>
      <c r="AB1653">
        <v>29</v>
      </c>
      <c r="AC1653">
        <v>-26.0153</v>
      </c>
      <c r="AD1653">
        <v>-1.1091037469309999</v>
      </c>
      <c r="AE1653">
        <v>0.72649999999998705</v>
      </c>
      <c r="AF1653">
        <v>0.30494523612501201</v>
      </c>
      <c r="AG1653">
        <v>-1.1091037469309999</v>
      </c>
      <c r="AH1653">
        <v>25.9764722094985</v>
      </c>
      <c r="AI1653">
        <v>92.444674548776305</v>
      </c>
      <c r="AJ1653">
        <v>89.327419353779604</v>
      </c>
      <c r="AK1653">
        <v>26.001927066456801</v>
      </c>
      <c r="AL1653">
        <v>91.658713706646793</v>
      </c>
      <c r="AM1653">
        <v>83.062081437217401</v>
      </c>
      <c r="AN1653">
        <v>0.99999993618001803</v>
      </c>
    </row>
    <row r="1654" spans="1:40" x14ac:dyDescent="0.25">
      <c r="A1654" t="str">
        <f>"20190312161259420"</f>
        <v>20190312161259420</v>
      </c>
      <c r="B1654" t="str">
        <f>"1552378379407536"</f>
        <v>1552378379407536</v>
      </c>
      <c r="C1654" t="s">
        <v>40</v>
      </c>
      <c r="D1654">
        <v>5.6352010000000003</v>
      </c>
      <c r="E1654">
        <v>0.45896969999999998</v>
      </c>
      <c r="F1654" t="s">
        <v>74</v>
      </c>
      <c r="G1654">
        <v>-296.31229999999999</v>
      </c>
      <c r="H1654" s="1">
        <v>3.2791300000000001E-6</v>
      </c>
      <c r="I1654">
        <v>285.14600000000002</v>
      </c>
      <c r="J1654">
        <v>-270.29599999999999</v>
      </c>
      <c r="K1654">
        <v>1.1091</v>
      </c>
      <c r="L1654">
        <v>284.41140000000001</v>
      </c>
      <c r="M1654">
        <v>-0.99984260000000003</v>
      </c>
      <c r="N1654">
        <v>0</v>
      </c>
      <c r="O1654">
        <v>1.6191799999999999E-2</v>
      </c>
      <c r="P1654">
        <v>-0.98992100000000005</v>
      </c>
      <c r="Q1654">
        <v>-3.6672049999999998E-2</v>
      </c>
      <c r="R1654">
        <v>0.1367912</v>
      </c>
      <c r="S1654">
        <v>-3.0140989999999999</v>
      </c>
      <c r="T1654">
        <v>-0.12775239999999999</v>
      </c>
      <c r="U1654">
        <v>8.4899899999999903E-2</v>
      </c>
      <c r="V1654">
        <v>0.12074219999999999</v>
      </c>
      <c r="W1654">
        <v>-2.9485549999999999E-2</v>
      </c>
      <c r="X1654">
        <v>0.99224590000000001</v>
      </c>
      <c r="Y1654">
        <v>1.1970700000000001E-2</v>
      </c>
      <c r="Z1654">
        <v>-4.3227670000000001E-4</v>
      </c>
      <c r="AA1654">
        <v>0.99992820000000004</v>
      </c>
      <c r="AB1654">
        <v>29</v>
      </c>
      <c r="AC1654">
        <v>-26.016300000000001</v>
      </c>
      <c r="AD1654">
        <v>-1.10909672087</v>
      </c>
      <c r="AE1654">
        <v>0.73459999999994297</v>
      </c>
      <c r="AF1654">
        <v>0.31267408851789302</v>
      </c>
      <c r="AG1654">
        <v>-1.10909672087</v>
      </c>
      <c r="AH1654">
        <v>25.977610202723099</v>
      </c>
      <c r="AI1654">
        <v>92.444543498912793</v>
      </c>
      <c r="AJ1654">
        <v>89.310404596652006</v>
      </c>
      <c r="AK1654">
        <v>26.003155432879701</v>
      </c>
      <c r="AL1654">
        <v>91.689642458304803</v>
      </c>
      <c r="AM1654">
        <v>83.062029631603494</v>
      </c>
      <c r="AN1654">
        <v>1.00000000129322</v>
      </c>
    </row>
    <row r="1655" spans="1:40" x14ac:dyDescent="0.25">
      <c r="A1655" t="str">
        <f>"20190312161259431"</f>
        <v>20190312161259431</v>
      </c>
      <c r="B1655" t="str">
        <f>"1552378379427057"</f>
        <v>1552378379427057</v>
      </c>
      <c r="C1655" t="s">
        <v>40</v>
      </c>
      <c r="D1655">
        <v>5.6092700000000004</v>
      </c>
      <c r="E1655">
        <v>0.4591344</v>
      </c>
      <c r="F1655" t="s">
        <v>74</v>
      </c>
      <c r="G1655">
        <v>-296.221</v>
      </c>
      <c r="H1655" s="1">
        <v>3.2630220000000001E-6</v>
      </c>
      <c r="I1655">
        <v>285.14510000000001</v>
      </c>
      <c r="J1655">
        <v>-270.45650000000001</v>
      </c>
      <c r="K1655">
        <v>1.1090960000000001</v>
      </c>
      <c r="L1655">
        <v>284.41410000000002</v>
      </c>
      <c r="M1655">
        <v>-0.99984229999999996</v>
      </c>
      <c r="N1655">
        <v>0</v>
      </c>
      <c r="O1655">
        <v>1.6206539999999998E-2</v>
      </c>
      <c r="P1655">
        <v>-0.98986629999999998</v>
      </c>
      <c r="Q1655">
        <v>-3.7214459999999998E-2</v>
      </c>
      <c r="R1655">
        <v>0.13703979999999999</v>
      </c>
      <c r="S1655">
        <v>-3.0139770000000001</v>
      </c>
      <c r="T1655">
        <v>-0.1289409</v>
      </c>
      <c r="U1655">
        <v>8.5296629999999998E-2</v>
      </c>
      <c r="V1655">
        <v>0.1209766</v>
      </c>
      <c r="W1655">
        <v>-3.002432E-2</v>
      </c>
      <c r="X1655">
        <v>0.99220120000000001</v>
      </c>
      <c r="Y1655">
        <v>1.20886E-2</v>
      </c>
      <c r="Z1655">
        <v>-4.3442109999999997E-4</v>
      </c>
      <c r="AA1655">
        <v>0.99992689999999995</v>
      </c>
      <c r="AB1655">
        <v>29</v>
      </c>
      <c r="AC1655">
        <v>-25.764500000000002</v>
      </c>
      <c r="AD1655">
        <v>-1.1090927369779999</v>
      </c>
      <c r="AE1655">
        <v>0.73099999999999399</v>
      </c>
      <c r="AF1655">
        <v>0.31276048020529901</v>
      </c>
      <c r="AG1655">
        <v>-1.1090927369779999</v>
      </c>
      <c r="AH1655">
        <v>25.725330799059002</v>
      </c>
      <c r="AI1655">
        <v>92.468474303759606</v>
      </c>
      <c r="AJ1655">
        <v>89.3034502519982</v>
      </c>
      <c r="AK1655">
        <v>25.751127170246502</v>
      </c>
      <c r="AL1655">
        <v>91.720525366017895</v>
      </c>
      <c r="AM1655">
        <v>83.048382320330603</v>
      </c>
      <c r="AN1655">
        <v>1.0000000094102299</v>
      </c>
    </row>
    <row r="1656" spans="1:40" x14ac:dyDescent="0.25">
      <c r="A1656" t="str">
        <f>"20190312161259450"</f>
        <v>20190312161259450</v>
      </c>
      <c r="B1656" t="str">
        <f>"1552378379447552"</f>
        <v>1552378379447552</v>
      </c>
      <c r="C1656" t="s">
        <v>40</v>
      </c>
      <c r="D1656">
        <v>5.6523450000000004</v>
      </c>
      <c r="E1656">
        <v>0.45922020000000002</v>
      </c>
      <c r="F1656" t="s">
        <v>74</v>
      </c>
      <c r="G1656">
        <v>-296.21730000000002</v>
      </c>
      <c r="H1656" s="1">
        <v>3.2610140000000002E-6</v>
      </c>
      <c r="I1656">
        <v>285.16059999999999</v>
      </c>
      <c r="J1656">
        <v>-270.70089999999999</v>
      </c>
      <c r="K1656">
        <v>1.1090880000000001</v>
      </c>
      <c r="L1656">
        <v>284.41800000000001</v>
      </c>
      <c r="M1656">
        <v>-0.99984189999999995</v>
      </c>
      <c r="N1656">
        <v>0</v>
      </c>
      <c r="O1656">
        <v>1.62326E-2</v>
      </c>
      <c r="P1656">
        <v>-0.98979360000000005</v>
      </c>
      <c r="Q1656">
        <v>-3.7179179999999999E-2</v>
      </c>
      <c r="R1656">
        <v>0.13757329999999901</v>
      </c>
      <c r="S1656">
        <v>-3.0137019999999999</v>
      </c>
      <c r="T1656">
        <v>-0.12975010000000001</v>
      </c>
      <c r="U1656">
        <v>8.7341310000000005E-2</v>
      </c>
      <c r="V1656">
        <v>0.12148490000000001</v>
      </c>
      <c r="W1656">
        <v>-2.998338E-2</v>
      </c>
      <c r="X1656">
        <v>0.99214029999999998</v>
      </c>
      <c r="Y1656">
        <v>1.2742430000000001E-2</v>
      </c>
      <c r="Z1656">
        <v>-4.2423530000000001E-4</v>
      </c>
      <c r="AA1656">
        <v>0.99991870000000005</v>
      </c>
      <c r="AB1656">
        <v>30</v>
      </c>
      <c r="AC1656">
        <v>-25.516400000000001</v>
      </c>
      <c r="AD1656">
        <v>-1.1090847389859999</v>
      </c>
      <c r="AE1656">
        <v>0.74259999999998105</v>
      </c>
      <c r="AF1656">
        <v>0.32767518908356802</v>
      </c>
      <c r="AG1656">
        <v>-1.1090847389859999</v>
      </c>
      <c r="AH1656">
        <v>25.477000669744601</v>
      </c>
      <c r="AI1656">
        <v>92.492465018041898</v>
      </c>
      <c r="AJ1656">
        <v>89.263124788311899</v>
      </c>
      <c r="AK1656">
        <v>25.5032351499562</v>
      </c>
      <c r="AL1656">
        <v>91.7181786717845</v>
      </c>
      <c r="AM1656">
        <v>83.019037459530196</v>
      </c>
      <c r="AN1656">
        <v>0.99999997944416197</v>
      </c>
    </row>
    <row r="1657" spans="1:40" x14ac:dyDescent="0.25">
      <c r="A1657" t="str">
        <f>"20190312161259462"</f>
        <v>20190312161259462</v>
      </c>
      <c r="B1657" t="str">
        <f>"1552378379457312"</f>
        <v>1552378379457312</v>
      </c>
      <c r="C1657" t="s">
        <v>40</v>
      </c>
      <c r="D1657">
        <v>5.7241019999999896</v>
      </c>
      <c r="E1657">
        <v>0.45912779999999997</v>
      </c>
      <c r="F1657" t="s">
        <v>74</v>
      </c>
      <c r="G1657">
        <v>-296.32229999999998</v>
      </c>
      <c r="H1657" s="1">
        <v>3.2779130000000001E-6</v>
      </c>
      <c r="I1657">
        <v>285.18029999999999</v>
      </c>
      <c r="J1657">
        <v>-270.85759999999999</v>
      </c>
      <c r="K1657">
        <v>1.1090869999999999</v>
      </c>
      <c r="L1657">
        <v>284.42070000000001</v>
      </c>
      <c r="M1657">
        <v>-0.99984150000000005</v>
      </c>
      <c r="N1657">
        <v>0</v>
      </c>
      <c r="O1657">
        <v>1.6252039999999999E-2</v>
      </c>
      <c r="P1657">
        <v>-0.98976030000000004</v>
      </c>
      <c r="Q1657">
        <v>-3.7233259999999997E-2</v>
      </c>
      <c r="R1657">
        <v>0.1377987</v>
      </c>
      <c r="S1657">
        <v>-3.0135800000000001</v>
      </c>
      <c r="T1657">
        <v>-0.13045010000000001</v>
      </c>
      <c r="U1657">
        <v>8.966064E-2</v>
      </c>
      <c r="V1657">
        <v>0.12169140000000001</v>
      </c>
      <c r="W1657">
        <v>-3.003345E-2</v>
      </c>
      <c r="X1657">
        <v>0.99211349999999998</v>
      </c>
      <c r="Y1657">
        <v>1.349241E-2</v>
      </c>
      <c r="Z1657">
        <v>-4.1115249999999998E-4</v>
      </c>
      <c r="AA1657">
        <v>0.99990889999999999</v>
      </c>
      <c r="AB1657">
        <v>30</v>
      </c>
      <c r="AC1657">
        <v>-25.464700000000001</v>
      </c>
      <c r="AD1657">
        <v>-1.109083722087</v>
      </c>
      <c r="AE1657">
        <v>0.75959999999997696</v>
      </c>
      <c r="AF1657">
        <v>0.34498158877273599</v>
      </c>
      <c r="AG1657">
        <v>-1.109083722087</v>
      </c>
      <c r="AH1657">
        <v>25.425494464188699</v>
      </c>
      <c r="AI1657">
        <v>92.4974822137102</v>
      </c>
      <c r="AJ1657">
        <v>89.222639455941106</v>
      </c>
      <c r="AK1657">
        <v>25.4520106818239</v>
      </c>
      <c r="AL1657">
        <v>91.721048727113399</v>
      </c>
      <c r="AM1657">
        <v>83.007101581741793</v>
      </c>
      <c r="AN1657">
        <v>1.00000000091755</v>
      </c>
    </row>
    <row r="1658" spans="1:40" x14ac:dyDescent="0.25">
      <c r="A1658" t="str">
        <f>"20190312161259473"</f>
        <v>20190312161259473</v>
      </c>
      <c r="B1658" t="str">
        <f>"1552378379467072"</f>
        <v>1552378379467072</v>
      </c>
      <c r="C1658" t="s">
        <v>40</v>
      </c>
      <c r="D1658">
        <v>5.7035439999999999</v>
      </c>
      <c r="E1658">
        <v>0.45899529999999999</v>
      </c>
      <c r="F1658" t="s">
        <v>74</v>
      </c>
      <c r="G1658">
        <v>-296.30189999999999</v>
      </c>
      <c r="H1658" s="1">
        <v>3.2746630000000002E-6</v>
      </c>
      <c r="I1658">
        <v>285.17610000000002</v>
      </c>
      <c r="J1658">
        <v>-271.0102</v>
      </c>
      <c r="K1658">
        <v>1.1090850000000001</v>
      </c>
      <c r="L1658">
        <v>284.42309999999998</v>
      </c>
      <c r="M1658">
        <v>-0.99984119999999999</v>
      </c>
      <c r="N1658">
        <v>0</v>
      </c>
      <c r="O1658">
        <v>1.6271770000000001E-2</v>
      </c>
      <c r="P1658">
        <v>-0.98970210000000003</v>
      </c>
      <c r="Q1658">
        <v>-3.768287E-2</v>
      </c>
      <c r="R1658">
        <v>0.13809370000000001</v>
      </c>
      <c r="S1658">
        <v>-3.0136720000000001</v>
      </c>
      <c r="T1658">
        <v>-0.13136199999999901</v>
      </c>
      <c r="U1658">
        <v>8.9477539999999994E-2</v>
      </c>
      <c r="V1658">
        <v>0.1219676</v>
      </c>
      <c r="W1658">
        <v>-3.047923E-2</v>
      </c>
      <c r="X1658">
        <v>0.992066</v>
      </c>
      <c r="Y1658">
        <v>1.341122E-2</v>
      </c>
      <c r="Z1658">
        <v>-4.166393E-4</v>
      </c>
      <c r="AA1658">
        <v>0.99990999999999997</v>
      </c>
      <c r="AB1658">
        <v>30</v>
      </c>
      <c r="AC1658">
        <v>-25.291699999999899</v>
      </c>
      <c r="AD1658">
        <v>-1.109081725337</v>
      </c>
      <c r="AE1658">
        <v>0.75300000000004197</v>
      </c>
      <c r="AF1658">
        <v>0.34069414852275898</v>
      </c>
      <c r="AG1658">
        <v>-1.109081725337</v>
      </c>
      <c r="AH1658">
        <v>25.252088478623399</v>
      </c>
      <c r="AI1658">
        <v>92.514608555435402</v>
      </c>
      <c r="AJ1658">
        <v>89.227028189985901</v>
      </c>
      <c r="AK1658">
        <v>25.278728356239299</v>
      </c>
      <c r="AL1658">
        <v>91.746601716557507</v>
      </c>
      <c r="AM1658">
        <v>82.991055412696596</v>
      </c>
      <c r="AN1658">
        <v>1.0000000136335701</v>
      </c>
    </row>
    <row r="1659" spans="1:40" x14ac:dyDescent="0.25">
      <c r="A1659" t="str">
        <f>"20190312161259486"</f>
        <v>20190312161259486</v>
      </c>
      <c r="B1659" t="str">
        <f>"1552378379477808"</f>
        <v>1552378379477808</v>
      </c>
      <c r="C1659" t="s">
        <v>40</v>
      </c>
      <c r="D1659">
        <v>5.7156279999999997</v>
      </c>
      <c r="E1659">
        <v>0.45882800000000001</v>
      </c>
      <c r="F1659" t="s">
        <v>74</v>
      </c>
      <c r="G1659">
        <v>-296.1617</v>
      </c>
      <c r="H1659" s="1">
        <v>3.2503119999999999E-6</v>
      </c>
      <c r="I1659">
        <v>285.17009999999999</v>
      </c>
      <c r="J1659">
        <v>-271.19080000000002</v>
      </c>
      <c r="K1659">
        <v>1.109081</v>
      </c>
      <c r="L1659">
        <v>284.42610000000002</v>
      </c>
      <c r="M1659">
        <v>-0.99984070000000003</v>
      </c>
      <c r="N1659">
        <v>0</v>
      </c>
      <c r="O1659">
        <v>1.6296499999999998E-2</v>
      </c>
      <c r="P1659">
        <v>-0.98964859999999999</v>
      </c>
      <c r="Q1659">
        <v>-3.782514E-2</v>
      </c>
      <c r="R1659">
        <v>0.1384379</v>
      </c>
      <c r="S1659">
        <v>-3.0136409999999998</v>
      </c>
      <c r="T1659">
        <v>-0.13289000000000001</v>
      </c>
      <c r="U1659">
        <v>8.950806E-2</v>
      </c>
      <c r="V1659">
        <v>0.1222878</v>
      </c>
      <c r="W1659">
        <v>-3.0616669999999999E-2</v>
      </c>
      <c r="X1659">
        <v>0.99202230000000002</v>
      </c>
      <c r="Y1659">
        <v>1.3396999999999999E-2</v>
      </c>
      <c r="Z1659">
        <v>-4.2288789999999997E-4</v>
      </c>
      <c r="AA1659">
        <v>0.99991019999999997</v>
      </c>
      <c r="AB1659">
        <v>30</v>
      </c>
      <c r="AC1659">
        <v>-24.970899999999901</v>
      </c>
      <c r="AD1659">
        <v>-1.109077749688</v>
      </c>
      <c r="AE1659">
        <v>0.74399999999997102</v>
      </c>
      <c r="AF1659">
        <v>0.33628933681754503</v>
      </c>
      <c r="AG1659">
        <v>-1.109077749688</v>
      </c>
      <c r="AH1659">
        <v>24.930572383079401</v>
      </c>
      <c r="AI1659">
        <v>92.546986640139593</v>
      </c>
      <c r="AJ1659">
        <v>89.227182156160097</v>
      </c>
      <c r="AK1659">
        <v>24.957495533824499</v>
      </c>
      <c r="AL1659">
        <v>91.754480210397105</v>
      </c>
      <c r="AM1659">
        <v>82.972532190273697</v>
      </c>
      <c r="AN1659">
        <v>0.99999996510400802</v>
      </c>
    </row>
    <row r="1660" spans="1:40" x14ac:dyDescent="0.25">
      <c r="A1660" t="str">
        <f>"20190312161259499"</f>
        <v>20190312161259499</v>
      </c>
      <c r="B1660" t="str">
        <f>"1552378379487569"</f>
        <v>1552378379487569</v>
      </c>
      <c r="C1660" t="s">
        <v>40</v>
      </c>
      <c r="D1660">
        <v>5.7140510000000004</v>
      </c>
      <c r="E1660">
        <v>0.4586713</v>
      </c>
      <c r="F1660" t="s">
        <v>74</v>
      </c>
      <c r="G1660">
        <v>-296.24110000000002</v>
      </c>
      <c r="H1660" s="1">
        <v>3.2646620000000001E-6</v>
      </c>
      <c r="I1660">
        <v>285.16730000000001</v>
      </c>
      <c r="J1660">
        <v>-271.34640000000002</v>
      </c>
      <c r="K1660">
        <v>1.1090789999999999</v>
      </c>
      <c r="L1660">
        <v>284.42860000000002</v>
      </c>
      <c r="M1660">
        <v>-0.99984030000000002</v>
      </c>
      <c r="N1660">
        <v>0</v>
      </c>
      <c r="O1660">
        <v>1.6318719999999998E-2</v>
      </c>
      <c r="P1660">
        <v>-0.98957260000000002</v>
      </c>
      <c r="Q1660">
        <v>-3.7988090000000002E-2</v>
      </c>
      <c r="R1660">
        <v>0.1389349</v>
      </c>
      <c r="S1660">
        <v>-3.0138240000000001</v>
      </c>
      <c r="T1660">
        <v>-0.13343369999999999</v>
      </c>
      <c r="U1660">
        <v>8.9172360000000006E-2</v>
      </c>
      <c r="V1660">
        <v>0.12276380000000001</v>
      </c>
      <c r="W1660">
        <v>-3.07756E-2</v>
      </c>
      <c r="X1660">
        <v>0.99195860000000002</v>
      </c>
      <c r="Y1660">
        <v>1.326187E-2</v>
      </c>
      <c r="Z1660">
        <v>-4.285639E-4</v>
      </c>
      <c r="AA1660">
        <v>0.99991200000000002</v>
      </c>
      <c r="AB1660">
        <v>30</v>
      </c>
      <c r="AC1660">
        <v>-24.8947</v>
      </c>
      <c r="AD1660">
        <v>-1.1090757353380001</v>
      </c>
      <c r="AE1660">
        <v>0.73869999999999403</v>
      </c>
      <c r="AF1660">
        <v>0.33168347635785</v>
      </c>
      <c r="AG1660">
        <v>-1.1090757353380001</v>
      </c>
      <c r="AH1660">
        <v>24.854153620699801</v>
      </c>
      <c r="AI1660">
        <v>92.554807757771798</v>
      </c>
      <c r="AJ1660">
        <v>89.2354221524065</v>
      </c>
      <c r="AK1660">
        <v>24.881097546461799</v>
      </c>
      <c r="AL1660">
        <v>91.763590502631004</v>
      </c>
      <c r="AM1660">
        <v>82.945004713865202</v>
      </c>
      <c r="AN1660">
        <v>0.99999997612987901</v>
      </c>
    </row>
    <row r="1661" spans="1:40" x14ac:dyDescent="0.25">
      <c r="A1661" t="str">
        <f>"20190312161259519"</f>
        <v>20190312161259519</v>
      </c>
      <c r="B1661" t="str">
        <f>"1552378379517824"</f>
        <v>1552378379517824</v>
      </c>
      <c r="C1661" t="s">
        <v>40</v>
      </c>
      <c r="D1661">
        <v>5.7221849999999996</v>
      </c>
      <c r="E1661">
        <v>0.45839990000000003</v>
      </c>
      <c r="F1661" t="s">
        <v>74</v>
      </c>
      <c r="G1661">
        <v>-296.3116</v>
      </c>
      <c r="H1661" s="1">
        <v>3.2770280000000001E-6</v>
      </c>
      <c r="I1661">
        <v>285.16879999999998</v>
      </c>
      <c r="J1661">
        <v>-271.62369999999999</v>
      </c>
      <c r="K1661">
        <v>1.1090709999999999</v>
      </c>
      <c r="L1661">
        <v>284.4332</v>
      </c>
      <c r="M1661">
        <v>-0.9998397</v>
      </c>
      <c r="N1661">
        <v>0</v>
      </c>
      <c r="O1661">
        <v>1.635899E-2</v>
      </c>
      <c r="P1661">
        <v>-0.98953290000000005</v>
      </c>
      <c r="Q1661">
        <v>-3.8203429999999997E-2</v>
      </c>
      <c r="R1661">
        <v>0.13916049999999999</v>
      </c>
      <c r="S1661">
        <v>-3.013916</v>
      </c>
      <c r="T1661">
        <v>-0.13389289999999901</v>
      </c>
      <c r="U1661">
        <v>8.9355470000000006E-2</v>
      </c>
      <c r="V1661">
        <v>0.1229502</v>
      </c>
      <c r="W1661">
        <v>-3.0982920000000001E-2</v>
      </c>
      <c r="X1661">
        <v>0.99192910000000001</v>
      </c>
      <c r="Y1661">
        <v>1.328143E-2</v>
      </c>
      <c r="Z1661">
        <v>-4.3137680000000003E-4</v>
      </c>
      <c r="AA1661">
        <v>0.99991169999999996</v>
      </c>
      <c r="AB1661">
        <v>30</v>
      </c>
      <c r="AC1661">
        <v>-24.687899999999999</v>
      </c>
      <c r="AD1661">
        <v>-1.1090677229719901</v>
      </c>
      <c r="AE1661">
        <v>0.73559999999997605</v>
      </c>
      <c r="AF1661">
        <v>0.330954440550014</v>
      </c>
      <c r="AG1661">
        <v>-1.1090677229719901</v>
      </c>
      <c r="AH1661">
        <v>24.6469337039659</v>
      </c>
      <c r="AI1661">
        <v>92.576237138134502</v>
      </c>
      <c r="AJ1661">
        <v>89.230689166743801</v>
      </c>
      <c r="AK1661">
        <v>24.674093763774799</v>
      </c>
      <c r="AL1661">
        <v>91.775474660072206</v>
      </c>
      <c r="AM1661">
        <v>82.934192853992997</v>
      </c>
      <c r="AN1661">
        <v>1.0000000162192799</v>
      </c>
    </row>
    <row r="1662" spans="1:40" x14ac:dyDescent="0.25">
      <c r="A1662" t="str">
        <f>"20190312161259541"</f>
        <v>20190312161259541</v>
      </c>
      <c r="B1662" t="str">
        <f>"1552378379537346"</f>
        <v>1552378379537346</v>
      </c>
      <c r="C1662" t="s">
        <v>40</v>
      </c>
      <c r="D1662">
        <v>5.6593309999999999</v>
      </c>
      <c r="E1662">
        <v>0.45821430000000002</v>
      </c>
      <c r="F1662" t="s">
        <v>74</v>
      </c>
      <c r="G1662">
        <v>-296.35219999999998</v>
      </c>
      <c r="H1662" s="1">
        <v>3.285409E-6</v>
      </c>
      <c r="I1662">
        <v>285.15530000000001</v>
      </c>
      <c r="J1662">
        <v>-271.91079999999999</v>
      </c>
      <c r="K1662">
        <v>1.1090709999999999</v>
      </c>
      <c r="L1662">
        <v>284.43799999999999</v>
      </c>
      <c r="M1662">
        <v>-0.99983880000000003</v>
      </c>
      <c r="N1662">
        <v>0</v>
      </c>
      <c r="O1662">
        <v>1.6401760000000001E-2</v>
      </c>
      <c r="P1662">
        <v>-0.98953389999999997</v>
      </c>
      <c r="Q1662">
        <v>-3.8801259999999997E-2</v>
      </c>
      <c r="R1662">
        <v>0.138986</v>
      </c>
      <c r="S1662">
        <v>-3.0141300000000002</v>
      </c>
      <c r="T1662">
        <v>-0.13518269999999999</v>
      </c>
      <c r="U1662">
        <v>8.8012699999999999E-2</v>
      </c>
      <c r="V1662">
        <v>0.12273290000000001</v>
      </c>
      <c r="W1662">
        <v>-3.1571839999999997E-2</v>
      </c>
      <c r="X1662">
        <v>0.99193739999999997</v>
      </c>
      <c r="Y1662">
        <v>1.2792090000000001E-2</v>
      </c>
      <c r="Z1662">
        <v>-4.483833E-4</v>
      </c>
      <c r="AA1662">
        <v>0.99991810000000003</v>
      </c>
      <c r="AB1662">
        <v>30</v>
      </c>
      <c r="AC1662">
        <v>-24.441399999999899</v>
      </c>
      <c r="AD1662">
        <v>-1.109067714591</v>
      </c>
      <c r="AE1662">
        <v>0.71730000000002203</v>
      </c>
      <c r="AF1662">
        <v>0.31566143409492498</v>
      </c>
      <c r="AG1662">
        <v>-1.109067714591</v>
      </c>
      <c r="AH1662">
        <v>24.399680724248899</v>
      </c>
      <c r="AI1662">
        <v>92.602324391806604</v>
      </c>
      <c r="AJ1662">
        <v>89.258799358102806</v>
      </c>
      <c r="AK1662">
        <v>24.4269132880478</v>
      </c>
      <c r="AL1662">
        <v>91.809233880767295</v>
      </c>
      <c r="AM1662">
        <v>82.946613362689206</v>
      </c>
      <c r="AN1662">
        <v>0.99999997567107701</v>
      </c>
    </row>
    <row r="1663" spans="1:40" x14ac:dyDescent="0.25">
      <c r="A1663" t="str">
        <f>"20190312161259553"</f>
        <v>20190312161259553</v>
      </c>
      <c r="B1663" t="str">
        <f>"1552378379547104"</f>
        <v>1552378379547104</v>
      </c>
      <c r="C1663" t="s">
        <v>40</v>
      </c>
      <c r="D1663">
        <v>5.7147690000000004</v>
      </c>
      <c r="E1663">
        <v>0.45813939999999997</v>
      </c>
      <c r="F1663" t="s">
        <v>74</v>
      </c>
      <c r="G1663">
        <v>-296.0797</v>
      </c>
      <c r="H1663" s="1">
        <v>3.2395620000000001E-6</v>
      </c>
      <c r="I1663">
        <v>285.1268</v>
      </c>
      <c r="J1663">
        <v>-272.08609999999999</v>
      </c>
      <c r="K1663">
        <v>1.1090679999999999</v>
      </c>
      <c r="L1663">
        <v>284.4409</v>
      </c>
      <c r="M1663">
        <v>-0.99983840000000002</v>
      </c>
      <c r="N1663">
        <v>0</v>
      </c>
      <c r="O1663">
        <v>1.642803E-2</v>
      </c>
      <c r="P1663">
        <v>-0.98954249999999999</v>
      </c>
      <c r="Q1663">
        <v>-3.9132729999999998E-2</v>
      </c>
      <c r="R1663">
        <v>0.13883219999999999</v>
      </c>
      <c r="S1663">
        <v>-3.0142519999999999</v>
      </c>
      <c r="T1663">
        <v>-0.13831869999999999</v>
      </c>
      <c r="U1663">
        <v>8.5906979999999994E-2</v>
      </c>
      <c r="V1663">
        <v>0.12255290000000001</v>
      </c>
      <c r="W1663">
        <v>-3.1897719999999997E-2</v>
      </c>
      <c r="X1663">
        <v>0.99194930000000003</v>
      </c>
      <c r="Y1663">
        <v>1.2067639999999999E-2</v>
      </c>
      <c r="Z1663">
        <v>-4.7657489999999999E-4</v>
      </c>
      <c r="AA1663">
        <v>0.99992700000000001</v>
      </c>
      <c r="AB1663">
        <v>30</v>
      </c>
      <c r="AC1663">
        <v>-23.993600000000001</v>
      </c>
      <c r="AD1663">
        <v>-1.109064760438</v>
      </c>
      <c r="AE1663">
        <v>0.68590000000000295</v>
      </c>
      <c r="AF1663">
        <v>0.29100808921862298</v>
      </c>
      <c r="AG1663">
        <v>-1.109064760438</v>
      </c>
      <c r="AH1663">
        <v>23.950499372288501</v>
      </c>
      <c r="AI1663">
        <v>92.651079950671104</v>
      </c>
      <c r="AJ1663">
        <v>89.303867756023706</v>
      </c>
      <c r="AK1663">
        <v>23.977930071897902</v>
      </c>
      <c r="AL1663">
        <v>91.827914710821503</v>
      </c>
      <c r="AM1663">
        <v>82.956937530728496</v>
      </c>
      <c r="AN1663">
        <v>1.00000004580504</v>
      </c>
    </row>
    <row r="1664" spans="1:40" x14ac:dyDescent="0.25">
      <c r="A1664" t="str">
        <f>"20190312161259566"</f>
        <v>20190312161259566</v>
      </c>
      <c r="B1664" t="str">
        <f>"1552378379557840"</f>
        <v>1552378379557840</v>
      </c>
      <c r="C1664" t="s">
        <v>40</v>
      </c>
      <c r="D1664">
        <v>5.7118190000000002</v>
      </c>
      <c r="E1664">
        <v>0.45808130000000002</v>
      </c>
      <c r="F1664" t="s">
        <v>74</v>
      </c>
      <c r="G1664">
        <v>-296.02690000000001</v>
      </c>
      <c r="H1664" s="1">
        <v>3.2312929999999999E-6</v>
      </c>
      <c r="I1664">
        <v>285.11419999999998</v>
      </c>
      <c r="J1664">
        <v>-272.25920000000002</v>
      </c>
      <c r="K1664">
        <v>1.109062</v>
      </c>
      <c r="L1664">
        <v>284.44369999999998</v>
      </c>
      <c r="M1664">
        <v>-0.99983809999999995</v>
      </c>
      <c r="N1664">
        <v>0</v>
      </c>
      <c r="O1664">
        <v>1.64534E-2</v>
      </c>
      <c r="P1664">
        <v>-0.98953519999999995</v>
      </c>
      <c r="Q1664">
        <v>-3.9394350000000002E-2</v>
      </c>
      <c r="R1664">
        <v>0.1388112</v>
      </c>
      <c r="S1664">
        <v>-3.0142820000000001</v>
      </c>
      <c r="T1664">
        <v>-0.1396375</v>
      </c>
      <c r="U1664">
        <v>8.4777829999999998E-2</v>
      </c>
      <c r="V1664">
        <v>0.1225069</v>
      </c>
      <c r="W1664">
        <v>-3.2153929999999997E-2</v>
      </c>
      <c r="X1664">
        <v>0.99194660000000001</v>
      </c>
      <c r="Y1664">
        <v>1.166825E-2</v>
      </c>
      <c r="Z1664">
        <v>-4.9153059999999999E-4</v>
      </c>
      <c r="AA1664">
        <v>0.99993180000000004</v>
      </c>
      <c r="AB1664">
        <v>30</v>
      </c>
      <c r="AC1664">
        <v>-23.767699999999898</v>
      </c>
      <c r="AD1664">
        <v>-1.1090587687069999</v>
      </c>
      <c r="AE1664">
        <v>0.67050000000000398</v>
      </c>
      <c r="AF1664">
        <v>0.27873295600682302</v>
      </c>
      <c r="AG1664">
        <v>-1.1090587687069999</v>
      </c>
      <c r="AH1664">
        <v>23.723899843334099</v>
      </c>
      <c r="AI1664">
        <v>92.676363552417797</v>
      </c>
      <c r="AJ1664">
        <v>89.326860789568101</v>
      </c>
      <c r="AK1664">
        <v>23.751444738999702</v>
      </c>
      <c r="AL1664">
        <v>91.842602197285004</v>
      </c>
      <c r="AM1664">
        <v>82.959535624184497</v>
      </c>
      <c r="AN1664">
        <v>0.99999993650680497</v>
      </c>
    </row>
    <row r="1665" spans="1:40" x14ac:dyDescent="0.25">
      <c r="A1665" t="str">
        <f>"20190312161259586"</f>
        <v>20190312161259586</v>
      </c>
      <c r="B1665" t="str">
        <f>"1552378379577360"</f>
        <v>1552378379577360</v>
      </c>
      <c r="C1665" t="s">
        <v>40</v>
      </c>
      <c r="D1665">
        <v>5.6482669999999997</v>
      </c>
      <c r="E1665">
        <v>0.45800200000000002</v>
      </c>
      <c r="F1665" t="s">
        <v>74</v>
      </c>
      <c r="G1665">
        <v>-296.02730000000003</v>
      </c>
      <c r="H1665" s="1">
        <v>3.2319980000000001E-6</v>
      </c>
      <c r="I1665">
        <v>285.1069</v>
      </c>
      <c r="J1665">
        <v>-272.51369999999997</v>
      </c>
      <c r="K1665">
        <v>1.109057</v>
      </c>
      <c r="L1665">
        <v>284.4479</v>
      </c>
      <c r="M1665">
        <v>-0.99983730000000004</v>
      </c>
      <c r="N1665">
        <v>0</v>
      </c>
      <c r="O1665">
        <v>1.648997E-2</v>
      </c>
      <c r="P1665">
        <v>-0.98951639999999996</v>
      </c>
      <c r="Q1665">
        <v>-4.0212280000000003E-2</v>
      </c>
      <c r="R1665">
        <v>0.13870959999999999</v>
      </c>
      <c r="S1665">
        <v>-3.0143430000000002</v>
      </c>
      <c r="T1665">
        <v>-0.140654799999999</v>
      </c>
      <c r="U1665">
        <v>8.4106449999999999E-2</v>
      </c>
      <c r="V1665">
        <v>0.12236909999999999</v>
      </c>
      <c r="W1665">
        <v>-3.296408E-2</v>
      </c>
      <c r="X1665">
        <v>0.99193710000000002</v>
      </c>
      <c r="Y1665">
        <v>1.1408959999999999E-2</v>
      </c>
      <c r="Z1665">
        <v>-5.0284980000000004E-4</v>
      </c>
      <c r="AA1665">
        <v>0.99993480000000001</v>
      </c>
      <c r="AB1665">
        <v>30</v>
      </c>
      <c r="AC1665">
        <v>-23.5136</v>
      </c>
      <c r="AD1665">
        <v>-1.1090537680020001</v>
      </c>
      <c r="AE1665">
        <v>0.65899999999999104</v>
      </c>
      <c r="AF1665">
        <v>0.27056003334277001</v>
      </c>
      <c r="AG1665">
        <v>-1.1090537680020001</v>
      </c>
      <c r="AH1665">
        <v>23.469099707486802</v>
      </c>
      <c r="AI1665">
        <v>92.705372208263398</v>
      </c>
      <c r="AJ1665">
        <v>89.339503367739397</v>
      </c>
      <c r="AK1665">
        <v>23.4968475347634</v>
      </c>
      <c r="AL1665">
        <v>91.889044845082694</v>
      </c>
      <c r="AM1665">
        <v>82.967308958477005</v>
      </c>
      <c r="AN1665">
        <v>1.0000000187807301</v>
      </c>
    </row>
    <row r="1666" spans="1:40" x14ac:dyDescent="0.25">
      <c r="A1666" t="str">
        <f>"20190312161259597"</f>
        <v>20190312161259597</v>
      </c>
      <c r="B1666" t="str">
        <f>"1552378379587119"</f>
        <v>1552378379587119</v>
      </c>
      <c r="C1666" t="s">
        <v>40</v>
      </c>
      <c r="D1666">
        <v>5.6606319999999997</v>
      </c>
      <c r="E1666">
        <v>0.4579955</v>
      </c>
      <c r="F1666" t="s">
        <v>74</v>
      </c>
      <c r="G1666">
        <v>-295.81920000000002</v>
      </c>
      <c r="H1666" s="1">
        <v>3.1963199999999999E-6</v>
      </c>
      <c r="I1666">
        <v>285.09280000000001</v>
      </c>
      <c r="J1666">
        <v>-272.67860000000002</v>
      </c>
      <c r="K1666">
        <v>1.109056</v>
      </c>
      <c r="L1666">
        <v>284.45069999999998</v>
      </c>
      <c r="M1666">
        <v>-0.99983690000000003</v>
      </c>
      <c r="N1666">
        <v>0</v>
      </c>
      <c r="O1666">
        <v>1.6513380000000001E-2</v>
      </c>
      <c r="P1666">
        <v>-0.98951140000000004</v>
      </c>
      <c r="Q1666">
        <v>-4.0197789999999997E-2</v>
      </c>
      <c r="R1666">
        <v>0.1387497</v>
      </c>
      <c r="S1666">
        <v>-3.0142820000000001</v>
      </c>
      <c r="T1666">
        <v>-0.14344289999999901</v>
      </c>
      <c r="U1666">
        <v>8.3404539999999999E-2</v>
      </c>
      <c r="V1666">
        <v>0.1223861</v>
      </c>
      <c r="W1666">
        <v>-3.294449E-2</v>
      </c>
      <c r="X1666">
        <v>0.99193560000000003</v>
      </c>
      <c r="Y1666">
        <v>1.1153980000000001E-2</v>
      </c>
      <c r="Z1666">
        <v>-5.1999390000000004E-4</v>
      </c>
      <c r="AA1666">
        <v>0.99993770000000004</v>
      </c>
      <c r="AB1666">
        <v>30</v>
      </c>
      <c r="AC1666">
        <v>-23.140599999999999</v>
      </c>
      <c r="AD1666">
        <v>-1.10905280367999</v>
      </c>
      <c r="AE1666">
        <v>0.64210000000002698</v>
      </c>
      <c r="AF1666">
        <v>0.25927760701533897</v>
      </c>
      <c r="AG1666">
        <v>-1.10905280367999</v>
      </c>
      <c r="AH1666">
        <v>23.095040227051499</v>
      </c>
      <c r="AI1666">
        <v>92.749130198132903</v>
      </c>
      <c r="AJ1666">
        <v>89.356793129671303</v>
      </c>
      <c r="AK1666">
        <v>23.123107621770401</v>
      </c>
      <c r="AL1666">
        <v>91.887921911027306</v>
      </c>
      <c r="AM1666">
        <v>82.966331205027402</v>
      </c>
      <c r="AN1666">
        <v>0.99999996572096395</v>
      </c>
    </row>
    <row r="1667" spans="1:40" x14ac:dyDescent="0.25">
      <c r="A1667" t="str">
        <f>"20190312161259609"</f>
        <v>20190312161259609</v>
      </c>
      <c r="B1667" t="str">
        <f>"1552378379607617"</f>
        <v>1552378379607617</v>
      </c>
      <c r="C1667" t="s">
        <v>40</v>
      </c>
      <c r="D1667">
        <v>5.9217709999999997</v>
      </c>
      <c r="E1667">
        <v>0.45789449999999998</v>
      </c>
      <c r="F1667" t="s">
        <v>74</v>
      </c>
      <c r="G1667">
        <v>-296.01280000000003</v>
      </c>
      <c r="H1667" s="1">
        <v>3.2304099999999999E-6</v>
      </c>
      <c r="I1667">
        <v>285.09589999999997</v>
      </c>
      <c r="J1667">
        <v>-272.83839999999998</v>
      </c>
      <c r="K1667">
        <v>1.1090549999999999</v>
      </c>
      <c r="L1667">
        <v>284.45330000000001</v>
      </c>
      <c r="M1667">
        <v>-0.99983639999999996</v>
      </c>
      <c r="N1667">
        <v>0</v>
      </c>
      <c r="O1667">
        <v>1.653613E-2</v>
      </c>
      <c r="P1667">
        <v>-0.98950400000000005</v>
      </c>
      <c r="Q1667">
        <v>-4.0087390000000001E-2</v>
      </c>
      <c r="R1667">
        <v>0.1388335</v>
      </c>
      <c r="S1667">
        <v>-3.0142820000000001</v>
      </c>
      <c r="T1667">
        <v>-0.14326559999999999</v>
      </c>
      <c r="U1667">
        <v>8.3343509999999996E-2</v>
      </c>
      <c r="V1667">
        <v>0.1224474</v>
      </c>
      <c r="W1667">
        <v>-3.2829179999999999E-2</v>
      </c>
      <c r="X1667">
        <v>0.99193189999999998</v>
      </c>
      <c r="Y1667">
        <v>1.1111050000000001E-2</v>
      </c>
      <c r="Z1667">
        <v>-5.2145220000000001E-4</v>
      </c>
      <c r="AA1667">
        <v>0.99993810000000005</v>
      </c>
      <c r="AB1667">
        <v>30</v>
      </c>
      <c r="AC1667">
        <v>-23.174399999999999</v>
      </c>
      <c r="AD1667">
        <v>-1.10905176959</v>
      </c>
      <c r="AE1667">
        <v>0.64259999999995898</v>
      </c>
      <c r="AF1667">
        <v>0.25869491940823702</v>
      </c>
      <c r="AG1667">
        <v>-1.10905176959</v>
      </c>
      <c r="AH1667">
        <v>23.128926786243799</v>
      </c>
      <c r="AI1667">
        <v>92.745107292325997</v>
      </c>
      <c r="AJ1667">
        <v>89.359178696290996</v>
      </c>
      <c r="AK1667">
        <v>23.156946542503899</v>
      </c>
      <c r="AL1667">
        <v>91.881311480113297</v>
      </c>
      <c r="AM1667">
        <v>82.962817552337796</v>
      </c>
      <c r="AN1667">
        <v>1.00000000753192</v>
      </c>
    </row>
    <row r="1668" spans="1:40" x14ac:dyDescent="0.25">
      <c r="A1668" t="str">
        <f>"20190312161259622"</f>
        <v>20190312161259622</v>
      </c>
      <c r="B1668" t="str">
        <f>"1552378379617377"</f>
        <v>1552378379617377</v>
      </c>
      <c r="C1668" t="s">
        <v>40</v>
      </c>
      <c r="D1668">
        <v>5.8297189999999999</v>
      </c>
      <c r="E1668">
        <v>0.4290042</v>
      </c>
      <c r="F1668" t="s">
        <v>74</v>
      </c>
      <c r="G1668">
        <v>-296.28489999999999</v>
      </c>
      <c r="H1668" s="1">
        <v>3.2784240000000001E-6</v>
      </c>
      <c r="I1668">
        <v>285.0985</v>
      </c>
      <c r="J1668">
        <v>-273.01229999999998</v>
      </c>
      <c r="K1668">
        <v>1.109062</v>
      </c>
      <c r="L1668">
        <v>284.4563</v>
      </c>
      <c r="M1668">
        <v>-0.99983610000000001</v>
      </c>
      <c r="N1668">
        <v>0</v>
      </c>
      <c r="O1668">
        <v>1.6560490000000001E-2</v>
      </c>
      <c r="P1668">
        <v>-0.98948400000000003</v>
      </c>
      <c r="Q1668">
        <v>-4.024544E-2</v>
      </c>
      <c r="R1668">
        <v>0.13893229999999901</v>
      </c>
      <c r="S1668">
        <v>-3.0144039999999999</v>
      </c>
      <c r="T1668">
        <v>-0.14258579999999901</v>
      </c>
      <c r="U1668">
        <v>8.2946779999999998E-2</v>
      </c>
      <c r="V1668">
        <v>0.1225223</v>
      </c>
      <c r="W1668">
        <v>-3.2981959999999998E-2</v>
      </c>
      <c r="X1668">
        <v>0.99191759999999995</v>
      </c>
      <c r="Y1668">
        <v>1.0954210000000001E-2</v>
      </c>
      <c r="Z1668">
        <v>-5.2381819999999996E-4</v>
      </c>
      <c r="AA1668">
        <v>0.99993989999999999</v>
      </c>
      <c r="AB1668">
        <v>30</v>
      </c>
      <c r="AC1668">
        <v>-23.272600000000001</v>
      </c>
      <c r="AD1668">
        <v>-1.1090587215759999</v>
      </c>
      <c r="AE1668">
        <v>0.64220000000000199</v>
      </c>
      <c r="AF1668">
        <v>0.25611475663185601</v>
      </c>
      <c r="AG1668">
        <v>-1.1090587215759999</v>
      </c>
      <c r="AH1668">
        <v>23.227334388654899</v>
      </c>
      <c r="AI1668">
        <v>92.733516642989102</v>
      </c>
      <c r="AJ1668">
        <v>89.368257256203606</v>
      </c>
      <c r="AK1668">
        <v>23.255207348438301</v>
      </c>
      <c r="AL1668">
        <v>91.890069840262896</v>
      </c>
      <c r="AM1668">
        <v>82.9584556747173</v>
      </c>
      <c r="AN1668">
        <v>1.0000000244362399</v>
      </c>
    </row>
    <row r="1669" spans="1:40" x14ac:dyDescent="0.25">
      <c r="A1669" t="str">
        <f>"20190312161259639"</f>
        <v>20190312161259639</v>
      </c>
      <c r="B1669" t="str">
        <f>"1552378379637873"</f>
        <v>1552378379637873</v>
      </c>
      <c r="C1669" t="s">
        <v>40</v>
      </c>
      <c r="D1669">
        <v>5.80084</v>
      </c>
      <c r="E1669">
        <v>0.42196430000000001</v>
      </c>
      <c r="F1669" t="s">
        <v>74</v>
      </c>
      <c r="G1669">
        <v>-291.92099999999999</v>
      </c>
      <c r="H1669" s="1">
        <v>2.640088E-6</v>
      </c>
      <c r="I1669">
        <v>283.54570000000001</v>
      </c>
      <c r="J1669">
        <v>-273.24849999999998</v>
      </c>
      <c r="K1669">
        <v>1.1090599999999999</v>
      </c>
      <c r="L1669">
        <v>284.46019999999999</v>
      </c>
      <c r="M1669">
        <v>-0.99983549999999999</v>
      </c>
      <c r="N1669">
        <v>0</v>
      </c>
      <c r="O1669">
        <v>1.659391E-2</v>
      </c>
      <c r="P1669">
        <v>-0.9894906</v>
      </c>
      <c r="Q1669">
        <v>-3.9808669999999997E-2</v>
      </c>
      <c r="R1669">
        <v>0.13901089999999999</v>
      </c>
      <c r="S1669">
        <v>-3.0452270000000001</v>
      </c>
      <c r="T1669">
        <v>-0.1786131</v>
      </c>
      <c r="U1669">
        <v>-0.14663699999999999</v>
      </c>
      <c r="V1669">
        <v>0.12256789999999899</v>
      </c>
      <c r="W1669">
        <v>-3.2537730000000001E-2</v>
      </c>
      <c r="X1669">
        <v>0.99192659999999999</v>
      </c>
      <c r="Y1669">
        <v>-6.4526710000000001E-2</v>
      </c>
      <c r="Z1669">
        <v>-2.8616219999999999E-3</v>
      </c>
      <c r="AA1669">
        <v>0.99791189999999996</v>
      </c>
      <c r="AB1669">
        <v>30</v>
      </c>
      <c r="AC1669">
        <v>-18.672499999999999</v>
      </c>
      <c r="AD1669">
        <v>-1.1090573599119999</v>
      </c>
      <c r="AE1669">
        <v>-0.914499999999975</v>
      </c>
      <c r="AF1669">
        <v>-1.2199387752333699</v>
      </c>
      <c r="AG1669">
        <v>-1.1090573599119999</v>
      </c>
      <c r="AH1669">
        <v>18.589330952211998</v>
      </c>
      <c r="AI1669">
        <v>93.406962932046298</v>
      </c>
      <c r="AJ1669">
        <v>93.754694483445604</v>
      </c>
      <c r="AK1669">
        <v>18.662301146797599</v>
      </c>
      <c r="AL1669">
        <v>91.864603737672397</v>
      </c>
      <c r="AM1669">
        <v>82.955924567553097</v>
      </c>
      <c r="AN1669">
        <v>0.99999998688576097</v>
      </c>
    </row>
    <row r="1670" spans="1:40" x14ac:dyDescent="0.25">
      <c r="A1670" t="str">
        <f>"20190312161259652"</f>
        <v>20190312161259652</v>
      </c>
      <c r="B1670" t="str">
        <f>"1552378379647633"</f>
        <v>1552378379647633</v>
      </c>
      <c r="C1670" t="s">
        <v>40</v>
      </c>
      <c r="D1670">
        <v>5.790057</v>
      </c>
      <c r="E1670">
        <v>0.42012179999999999</v>
      </c>
      <c r="F1670" t="s">
        <v>74</v>
      </c>
      <c r="G1670">
        <v>-290.0933</v>
      </c>
      <c r="H1670" s="1">
        <v>2.3338520000000002E-6</v>
      </c>
      <c r="I1670">
        <v>283.34039999999999</v>
      </c>
      <c r="J1670">
        <v>-273.41090000000003</v>
      </c>
      <c r="K1670">
        <v>1.1090580000000001</v>
      </c>
      <c r="L1670">
        <v>284.46300000000002</v>
      </c>
      <c r="M1670">
        <v>-0.99983489999999997</v>
      </c>
      <c r="N1670">
        <v>0</v>
      </c>
      <c r="O1670">
        <v>1.6617130000000001E-2</v>
      </c>
      <c r="P1670">
        <v>-0.9894406</v>
      </c>
      <c r="Q1670">
        <v>-4.0239320000000002E-2</v>
      </c>
      <c r="R1670">
        <v>0.13924110000000001</v>
      </c>
      <c r="S1670">
        <v>-3.0523069999999999</v>
      </c>
      <c r="T1670">
        <v>-0.20096330000000001</v>
      </c>
      <c r="U1670">
        <v>-0.20291139999999999</v>
      </c>
      <c r="V1670">
        <v>0.1227756</v>
      </c>
      <c r="W1670">
        <v>-3.2963609999999997E-2</v>
      </c>
      <c r="X1670">
        <v>0.99188690000000002</v>
      </c>
      <c r="Y1670">
        <v>-8.2689330000000005E-2</v>
      </c>
      <c r="Z1670">
        <v>-3.8080190000000002E-3</v>
      </c>
      <c r="AA1670">
        <v>0.99656809999999996</v>
      </c>
      <c r="AB1670">
        <v>30</v>
      </c>
      <c r="AC1670">
        <v>-16.682399999999902</v>
      </c>
      <c r="AD1670">
        <v>-1.109055666148</v>
      </c>
      <c r="AE1670">
        <v>-1.1225999999999701</v>
      </c>
      <c r="AF1670">
        <v>-1.3935348927900699</v>
      </c>
      <c r="AG1670">
        <v>-1.109055666148</v>
      </c>
      <c r="AH1670">
        <v>16.588456603262699</v>
      </c>
      <c r="AI1670">
        <v>93.811550206236404</v>
      </c>
      <c r="AJ1670">
        <v>94.801931889755394</v>
      </c>
      <c r="AK1670">
        <v>16.683789630847301</v>
      </c>
      <c r="AL1670">
        <v>91.889017870839496</v>
      </c>
      <c r="AM1670">
        <v>82.943828537497893</v>
      </c>
      <c r="AN1670">
        <v>1.0000000349656</v>
      </c>
    </row>
    <row r="1671" spans="1:40" x14ac:dyDescent="0.25">
      <c r="A1671" t="str">
        <f>"20190312161259664"</f>
        <v>20190312161259664</v>
      </c>
      <c r="B1671" t="str">
        <f>"1552378379657393"</f>
        <v>1552378379657393</v>
      </c>
      <c r="C1671" t="s">
        <v>40</v>
      </c>
      <c r="D1671">
        <v>5.7871829999999997</v>
      </c>
      <c r="E1671">
        <v>0.4190721</v>
      </c>
      <c r="F1671" t="s">
        <v>74</v>
      </c>
      <c r="G1671">
        <v>-290.07440000000003</v>
      </c>
      <c r="H1671" s="1">
        <v>2.3357100000000002E-6</v>
      </c>
      <c r="I1671">
        <v>283.2808</v>
      </c>
      <c r="J1671">
        <v>-273.5822</v>
      </c>
      <c r="K1671">
        <v>1.109057</v>
      </c>
      <c r="L1671">
        <v>284.4658</v>
      </c>
      <c r="M1671">
        <v>-0.99983460000000002</v>
      </c>
      <c r="N1671">
        <v>0</v>
      </c>
      <c r="O1671">
        <v>1.664084E-2</v>
      </c>
      <c r="P1671">
        <v>-0.98944270000000001</v>
      </c>
      <c r="Q1671">
        <v>-4.0602489999999998E-2</v>
      </c>
      <c r="R1671">
        <v>0.1391212</v>
      </c>
      <c r="S1671">
        <v>-3.0541990000000001</v>
      </c>
      <c r="T1671">
        <v>-0.2032756</v>
      </c>
      <c r="U1671">
        <v>-0.2166748</v>
      </c>
      <c r="V1671">
        <v>0.122632</v>
      </c>
      <c r="W1671">
        <v>-3.3321429999999999E-2</v>
      </c>
      <c r="X1671">
        <v>0.99189269999999996</v>
      </c>
      <c r="Y1671">
        <v>-8.7126659999999995E-2</v>
      </c>
      <c r="Z1671">
        <v>-3.9976739999999997E-3</v>
      </c>
      <c r="AA1671">
        <v>0.9961892</v>
      </c>
      <c r="AB1671">
        <v>30</v>
      </c>
      <c r="AC1671">
        <v>-16.4922</v>
      </c>
      <c r="AD1671">
        <v>-1.1090546642900001</v>
      </c>
      <c r="AE1671">
        <v>-1.1850000000000001</v>
      </c>
      <c r="AF1671">
        <v>-1.45275148402334</v>
      </c>
      <c r="AG1671">
        <v>-1.1090546642900001</v>
      </c>
      <c r="AH1671">
        <v>16.396429386987499</v>
      </c>
      <c r="AI1671">
        <v>93.854538784946598</v>
      </c>
      <c r="AJ1671">
        <v>95.063281612546504</v>
      </c>
      <c r="AK1671">
        <v>16.497981263329802</v>
      </c>
      <c r="AL1671">
        <v>91.909530730835996</v>
      </c>
      <c r="AM1671">
        <v>82.952039278413494</v>
      </c>
      <c r="AN1671">
        <v>1.00000002671726</v>
      </c>
    </row>
    <row r="1672" spans="1:40" x14ac:dyDescent="0.25">
      <c r="A1672" t="str">
        <f>"20190312161259675"</f>
        <v>20190312161259675</v>
      </c>
      <c r="B1672" t="str">
        <f>"1552378379667152"</f>
        <v>1552378379667152</v>
      </c>
      <c r="C1672" t="s">
        <v>40</v>
      </c>
      <c r="D1672">
        <v>5.7690469999999996</v>
      </c>
      <c r="E1672">
        <v>0.4181281</v>
      </c>
      <c r="F1672" t="s">
        <v>74</v>
      </c>
      <c r="G1672">
        <v>-289.97050000000002</v>
      </c>
      <c r="H1672" s="1">
        <v>2.31944E-6</v>
      </c>
      <c r="I1672">
        <v>283.25599999999997</v>
      </c>
      <c r="J1672">
        <v>-273.73820000000001</v>
      </c>
      <c r="K1672">
        <v>1.1090519999999999</v>
      </c>
      <c r="L1672">
        <v>284.46839999999997</v>
      </c>
      <c r="M1672">
        <v>-0.99983420000000001</v>
      </c>
      <c r="N1672">
        <v>0</v>
      </c>
      <c r="O1672">
        <v>1.6662759999999999E-2</v>
      </c>
      <c r="P1672">
        <v>-0.98942620000000003</v>
      </c>
      <c r="Q1672">
        <v>-4.0849320000000001E-2</v>
      </c>
      <c r="R1672">
        <v>0.1391667</v>
      </c>
      <c r="S1672">
        <v>-3.055237</v>
      </c>
      <c r="T1672">
        <v>-0.20675859999999999</v>
      </c>
      <c r="U1672">
        <v>-0.22555539999999999</v>
      </c>
      <c r="V1672">
        <v>0.1226561</v>
      </c>
      <c r="W1672">
        <v>-3.356348E-2</v>
      </c>
      <c r="X1672">
        <v>0.99188149999999997</v>
      </c>
      <c r="Y1672">
        <v>-8.9990539999999994E-2</v>
      </c>
      <c r="Z1672">
        <v>-4.1623679999999996E-3</v>
      </c>
      <c r="AA1672">
        <v>0.99593390000000004</v>
      </c>
      <c r="AB1672">
        <v>30</v>
      </c>
      <c r="AC1672">
        <v>-16.232299999999999</v>
      </c>
      <c r="AD1672">
        <v>-1.1090496805600001</v>
      </c>
      <c r="AE1672">
        <v>-1.2123999999999999</v>
      </c>
      <c r="AF1672">
        <v>-1.4758626008698501</v>
      </c>
      <c r="AG1672">
        <v>-1.1090496805600001</v>
      </c>
      <c r="AH1672">
        <v>16.134941850042399</v>
      </c>
      <c r="AI1672">
        <v>93.915796000354206</v>
      </c>
      <c r="AJ1672">
        <v>95.226299725186394</v>
      </c>
      <c r="AK1672">
        <v>16.240212748447799</v>
      </c>
      <c r="AL1672">
        <v>91.923407048543694</v>
      </c>
      <c r="AM1672">
        <v>82.950589328751306</v>
      </c>
      <c r="AN1672">
        <v>0.99999996804958402</v>
      </c>
    </row>
    <row r="1673" spans="1:40" x14ac:dyDescent="0.25">
      <c r="A1673" t="str">
        <f>"20190312161259686"</f>
        <v>20190312161259686</v>
      </c>
      <c r="B1673" t="str">
        <f>"1552378379676913"</f>
        <v>1552378379676913</v>
      </c>
      <c r="C1673" t="s">
        <v>40</v>
      </c>
      <c r="D1673">
        <v>5.7632459999999996</v>
      </c>
      <c r="E1673">
        <v>0.4173712</v>
      </c>
      <c r="F1673" t="s">
        <v>74</v>
      </c>
      <c r="G1673">
        <v>-289.92849999999999</v>
      </c>
      <c r="H1673" s="1">
        <v>4.2849820000000004E-6</v>
      </c>
      <c r="I1673">
        <v>283.23410000000001</v>
      </c>
      <c r="J1673">
        <v>-273.89830000000001</v>
      </c>
      <c r="K1673">
        <v>1.1090519999999999</v>
      </c>
      <c r="L1673">
        <v>284.47109999999998</v>
      </c>
      <c r="M1673">
        <v>-0.99983359999999999</v>
      </c>
      <c r="N1673">
        <v>0</v>
      </c>
      <c r="O1673">
        <v>1.6685269999999999E-2</v>
      </c>
      <c r="P1673">
        <v>-0.98941469999999998</v>
      </c>
      <c r="Q1673">
        <v>-4.1058169999999998E-2</v>
      </c>
      <c r="R1673">
        <v>0.13918649999999999</v>
      </c>
      <c r="S1673">
        <v>-3.0562130000000001</v>
      </c>
      <c r="T1673">
        <v>-0.2093527</v>
      </c>
      <c r="U1673">
        <v>-0.23300170000000001</v>
      </c>
      <c r="V1673">
        <v>0.12265379999999999</v>
      </c>
      <c r="W1673">
        <v>-3.3767369999999998E-2</v>
      </c>
      <c r="X1673">
        <v>0.9918749</v>
      </c>
      <c r="Y1673">
        <v>-9.2390749999999994E-2</v>
      </c>
      <c r="Z1673">
        <v>-4.2962870000000002E-3</v>
      </c>
      <c r="AA1673">
        <v>0.99571350000000003</v>
      </c>
      <c r="AB1673">
        <v>30</v>
      </c>
      <c r="AC1673">
        <v>-16.030199999999901</v>
      </c>
      <c r="AD1673">
        <v>-1.109047715018</v>
      </c>
      <c r="AE1673">
        <v>-1.2369999999999599</v>
      </c>
      <c r="AF1673">
        <v>-1.4971793737024901</v>
      </c>
      <c r="AG1673">
        <v>-1.109047715018</v>
      </c>
      <c r="AH1673">
        <v>15.931522469355199</v>
      </c>
      <c r="AI1673">
        <v>93.964718181659407</v>
      </c>
      <c r="AJ1673">
        <v>95.368655876308097</v>
      </c>
      <c r="AK1673">
        <v>16.040104148751499</v>
      </c>
      <c r="AL1673">
        <v>91.935095642235197</v>
      </c>
      <c r="AM1673">
        <v>82.950673752204096</v>
      </c>
      <c r="AN1673">
        <v>1.0000000035905801</v>
      </c>
    </row>
    <row r="1674" spans="1:40" x14ac:dyDescent="0.25">
      <c r="A1674" t="str">
        <f>"20190312161259710"</f>
        <v>20190312161259710</v>
      </c>
      <c r="B1674" t="str">
        <f>"1552378379707169"</f>
        <v>1552378379707169</v>
      </c>
      <c r="C1674" t="s">
        <v>40</v>
      </c>
      <c r="D1674">
        <v>5.7545089999999997</v>
      </c>
      <c r="E1674">
        <v>0.41656140000000003</v>
      </c>
      <c r="F1674" t="s">
        <v>74</v>
      </c>
      <c r="G1674">
        <v>-289.9939</v>
      </c>
      <c r="H1674" s="1">
        <v>2.3272649999999998E-6</v>
      </c>
      <c r="I1674">
        <v>283.214</v>
      </c>
      <c r="J1674">
        <v>-274.19810000000001</v>
      </c>
      <c r="K1674">
        <v>1.1090500000000001</v>
      </c>
      <c r="L1674">
        <v>284.47609999999997</v>
      </c>
      <c r="M1674">
        <v>-0.99983299999999997</v>
      </c>
      <c r="N1674">
        <v>0</v>
      </c>
      <c r="O1674">
        <v>1.672773E-2</v>
      </c>
      <c r="P1674">
        <v>-0.98943950000000003</v>
      </c>
      <c r="Q1674">
        <v>-4.101424E-2</v>
      </c>
      <c r="R1674">
        <v>0.13902329999999999</v>
      </c>
      <c r="S1674">
        <v>-3.0569459999999999</v>
      </c>
      <c r="T1674">
        <v>-0.2106353</v>
      </c>
      <c r="U1674">
        <v>-0.2387695</v>
      </c>
      <c r="V1674">
        <v>0.1224481</v>
      </c>
      <c r="W1674">
        <v>-3.3713720000000003E-2</v>
      </c>
      <c r="X1674">
        <v>0.99190210000000001</v>
      </c>
      <c r="Y1674">
        <v>-9.4274860000000002E-2</v>
      </c>
      <c r="Z1674">
        <v>-4.3888620000000003E-3</v>
      </c>
      <c r="AA1674">
        <v>0.99553650000000005</v>
      </c>
      <c r="AB1674">
        <v>30</v>
      </c>
      <c r="AC1674">
        <v>-15.7957999999999</v>
      </c>
      <c r="AD1674">
        <v>-1.109047672735</v>
      </c>
      <c r="AE1674">
        <v>-1.26209999999997</v>
      </c>
      <c r="AF1674">
        <v>-1.5187191529905899</v>
      </c>
      <c r="AG1674">
        <v>-1.109047672735</v>
      </c>
      <c r="AH1674">
        <v>15.6955939752834</v>
      </c>
      <c r="AI1674">
        <v>94.023063848827704</v>
      </c>
      <c r="AJ1674">
        <v>95.526783216822096</v>
      </c>
      <c r="AK1674">
        <v>15.8078513670585</v>
      </c>
      <c r="AL1674">
        <v>91.932020048895495</v>
      </c>
      <c r="AM1674">
        <v>82.962568424609003</v>
      </c>
      <c r="AN1674">
        <v>0.99999996404712799</v>
      </c>
    </row>
    <row r="1675" spans="1:40" x14ac:dyDescent="0.25">
      <c r="A1675" t="str">
        <f>"20190312161259732"</f>
        <v>20190312161259732</v>
      </c>
      <c r="B1675" t="str">
        <f>"1552378379727665"</f>
        <v>1552378379727665</v>
      </c>
      <c r="C1675" t="s">
        <v>40</v>
      </c>
      <c r="D1675">
        <v>5.76166</v>
      </c>
      <c r="E1675">
        <v>0.41631180000000001</v>
      </c>
      <c r="F1675" t="s">
        <v>74</v>
      </c>
      <c r="G1675">
        <v>-290.22120000000001</v>
      </c>
      <c r="H1675" s="1">
        <v>2.3698449999999999E-6</v>
      </c>
      <c r="I1675">
        <v>283.18799999999999</v>
      </c>
      <c r="J1675">
        <v>-274.50310000000002</v>
      </c>
      <c r="K1675">
        <v>1.109048</v>
      </c>
      <c r="L1675">
        <v>284.48129999999998</v>
      </c>
      <c r="M1675">
        <v>-0.99983219999999995</v>
      </c>
      <c r="N1675">
        <v>0</v>
      </c>
      <c r="O1675">
        <v>1.6770139999999999E-2</v>
      </c>
      <c r="P1675">
        <v>-0.98933539999999998</v>
      </c>
      <c r="Q1675">
        <v>-4.0593780000000003E-2</v>
      </c>
      <c r="R1675">
        <v>0.13988519999999999</v>
      </c>
      <c r="S1675">
        <v>-3.0578310000000002</v>
      </c>
      <c r="T1675">
        <v>-0.21164949999999999</v>
      </c>
      <c r="U1675">
        <v>-0.24581910000000001</v>
      </c>
      <c r="V1675">
        <v>0.12326959999999999</v>
      </c>
      <c r="W1675">
        <v>-3.3284679999999997E-2</v>
      </c>
      <c r="X1675">
        <v>0.99181490000000005</v>
      </c>
      <c r="Y1675">
        <v>-9.6567410000000006E-2</v>
      </c>
      <c r="Z1675">
        <v>-4.490328E-3</v>
      </c>
      <c r="AA1675">
        <v>0.99531630000000004</v>
      </c>
      <c r="AB1675">
        <v>31</v>
      </c>
      <c r="AC1675">
        <v>-15.7180999999999</v>
      </c>
      <c r="AD1675">
        <v>-1.109045630155</v>
      </c>
      <c r="AE1675">
        <v>-1.2932999999999799</v>
      </c>
      <c r="AF1675">
        <v>-1.54905987571836</v>
      </c>
      <c r="AG1675">
        <v>-1.109045630155</v>
      </c>
      <c r="AH1675">
        <v>15.616973742934</v>
      </c>
      <c r="AI1675">
        <v>94.042292491926105</v>
      </c>
      <c r="AJ1675">
        <v>95.664683887025603</v>
      </c>
      <c r="AK1675">
        <v>15.7327504777714</v>
      </c>
      <c r="AL1675">
        <v>91.907423936028707</v>
      </c>
      <c r="AM1675">
        <v>82.915216177021506</v>
      </c>
      <c r="AN1675">
        <v>1.0000000300344301</v>
      </c>
    </row>
    <row r="1676" spans="1:40" x14ac:dyDescent="0.25">
      <c r="A1676" t="str">
        <f>"20190312161259752"</f>
        <v>20190312161259752</v>
      </c>
      <c r="B1676" t="str">
        <f>"1552378379747184"</f>
        <v>1552378379747184</v>
      </c>
      <c r="C1676" t="s">
        <v>40</v>
      </c>
      <c r="D1676">
        <v>5.8128359999999999</v>
      </c>
      <c r="E1676">
        <v>0.41604819999999998</v>
      </c>
      <c r="F1676" t="s">
        <v>74</v>
      </c>
      <c r="G1676">
        <v>-290.49509999999998</v>
      </c>
      <c r="H1676" s="1">
        <v>2.4174680000000001E-6</v>
      </c>
      <c r="I1676">
        <v>283.19909999999999</v>
      </c>
      <c r="J1676">
        <v>-274.78440000000001</v>
      </c>
      <c r="K1676">
        <v>1.109048</v>
      </c>
      <c r="L1676">
        <v>284.48610000000002</v>
      </c>
      <c r="M1676">
        <v>-0.99983140000000004</v>
      </c>
      <c r="N1676">
        <v>0</v>
      </c>
      <c r="O1676">
        <v>1.680939E-2</v>
      </c>
      <c r="P1676">
        <v>-0.98929630000000002</v>
      </c>
      <c r="Q1676">
        <v>-4.021011E-2</v>
      </c>
      <c r="R1676">
        <v>0.14027110000000001</v>
      </c>
      <c r="S1676">
        <v>-3.058319</v>
      </c>
      <c r="T1676">
        <v>-0.2120948</v>
      </c>
      <c r="U1676">
        <v>-0.2452087</v>
      </c>
      <c r="V1676">
        <v>0.12361709999999999</v>
      </c>
      <c r="W1676">
        <v>-3.289255E-2</v>
      </c>
      <c r="X1676">
        <v>0.99178469999999996</v>
      </c>
      <c r="Y1676">
        <v>-9.6395690000000006E-2</v>
      </c>
      <c r="Z1676">
        <v>-4.49585E-3</v>
      </c>
      <c r="AA1676">
        <v>0.99533300000000002</v>
      </c>
      <c r="AB1676">
        <v>31</v>
      </c>
      <c r="AC1676">
        <v>-15.7106999999999</v>
      </c>
      <c r="AD1676">
        <v>-1.109045582532</v>
      </c>
      <c r="AE1676">
        <v>-1.2870000000000299</v>
      </c>
      <c r="AF1676">
        <v>-1.5432734822473499</v>
      </c>
      <c r="AG1676">
        <v>-1.109045582532</v>
      </c>
      <c r="AH1676">
        <v>15.6095788404642</v>
      </c>
      <c r="AI1676">
        <v>94.0443289253204</v>
      </c>
      <c r="AJ1676">
        <v>95.646317116752101</v>
      </c>
      <c r="AK1676">
        <v>15.7248410714325</v>
      </c>
      <c r="AL1676">
        <v>91.884944291276099</v>
      </c>
      <c r="AM1676">
        <v>82.895233685351101</v>
      </c>
      <c r="AN1676">
        <v>0.99999999920600102</v>
      </c>
    </row>
    <row r="1677" spans="1:40" x14ac:dyDescent="0.25">
      <c r="A1677" t="str">
        <f>"20190312161259763"</f>
        <v>20190312161259763</v>
      </c>
      <c r="B1677" t="str">
        <f>"1552378379757921"</f>
        <v>1552378379757921</v>
      </c>
      <c r="C1677" t="s">
        <v>40</v>
      </c>
      <c r="D1677">
        <v>5.7854340000000004</v>
      </c>
      <c r="E1677">
        <v>0.41595100000000002</v>
      </c>
      <c r="F1677" t="s">
        <v>74</v>
      </c>
      <c r="G1677">
        <v>-291.14</v>
      </c>
      <c r="H1677" s="1">
        <v>2.5343800000000001E-6</v>
      </c>
      <c r="I1677">
        <v>283.1703</v>
      </c>
      <c r="J1677">
        <v>-274.95359999999999</v>
      </c>
      <c r="K1677">
        <v>1.109049</v>
      </c>
      <c r="L1677">
        <v>284.48899999999998</v>
      </c>
      <c r="M1677">
        <v>-0.99983080000000002</v>
      </c>
      <c r="N1677">
        <v>0</v>
      </c>
      <c r="O1677">
        <v>1.6833620000000001E-2</v>
      </c>
      <c r="P1677">
        <v>-0.9892282</v>
      </c>
      <c r="Q1677">
        <v>-4.0738530000000002E-2</v>
      </c>
      <c r="R1677">
        <v>0.1405988</v>
      </c>
      <c r="S1677">
        <v>-3.0588989999999998</v>
      </c>
      <c r="T1677">
        <v>-0.20741979999999999</v>
      </c>
      <c r="U1677">
        <v>-0.2460938</v>
      </c>
      <c r="V1677">
        <v>0.123922</v>
      </c>
      <c r="W1677">
        <v>-3.3416069999999999E-2</v>
      </c>
      <c r="X1677">
        <v>0.99172910000000003</v>
      </c>
      <c r="Y1677">
        <v>-9.6702029999999994E-2</v>
      </c>
      <c r="Z1677">
        <v>-4.4080999999999999E-3</v>
      </c>
      <c r="AA1677">
        <v>0.99530359999999996</v>
      </c>
      <c r="AB1677">
        <v>31</v>
      </c>
      <c r="AC1677">
        <v>-16.1863999999999</v>
      </c>
      <c r="AD1677">
        <v>-1.1090464656200001</v>
      </c>
      <c r="AE1677">
        <v>-1.31870000000003</v>
      </c>
      <c r="AF1677">
        <v>-1.58361092946812</v>
      </c>
      <c r="AG1677">
        <v>-1.1090464656200001</v>
      </c>
      <c r="AH1677">
        <v>16.086883638743501</v>
      </c>
      <c r="AI1677">
        <v>93.924878593005701</v>
      </c>
      <c r="AJ1677">
        <v>95.622146946941697</v>
      </c>
      <c r="AK1677">
        <v>16.202642773489401</v>
      </c>
      <c r="AL1677">
        <v>91.914956368191099</v>
      </c>
      <c r="AM1677">
        <v>82.877494417463595</v>
      </c>
      <c r="AN1677">
        <v>0.99999995180252599</v>
      </c>
    </row>
    <row r="1678" spans="1:40" x14ac:dyDescent="0.25">
      <c r="A1678" t="str">
        <f>"20190312161259777"</f>
        <v>20190312161259777</v>
      </c>
      <c r="B1678" t="str">
        <f>"1552378379767681"</f>
        <v>1552378379767681</v>
      </c>
      <c r="C1678" t="s">
        <v>40</v>
      </c>
      <c r="D1678">
        <v>5.7545640000000002</v>
      </c>
      <c r="E1678">
        <v>0.41584290000000002</v>
      </c>
      <c r="F1678" t="s">
        <v>74</v>
      </c>
      <c r="G1678">
        <v>-291.07819999999998</v>
      </c>
      <c r="H1678" s="1">
        <v>2.5214800000000002E-6</v>
      </c>
      <c r="I1678">
        <v>283.1925</v>
      </c>
      <c r="J1678">
        <v>-275.12939999999998</v>
      </c>
      <c r="K1678">
        <v>1.109046</v>
      </c>
      <c r="L1678">
        <v>284.49189999999999</v>
      </c>
      <c r="M1678">
        <v>-0.99983049999999996</v>
      </c>
      <c r="N1678">
        <v>0</v>
      </c>
      <c r="O1678">
        <v>1.6858339999999999E-2</v>
      </c>
      <c r="P1678">
        <v>-0.98920410000000003</v>
      </c>
      <c r="Q1678">
        <v>-4.0864440000000002E-2</v>
      </c>
      <c r="R1678">
        <v>0.14073179999999999</v>
      </c>
      <c r="S1678">
        <v>-3.0588989999999998</v>
      </c>
      <c r="T1678">
        <v>-0.2103902</v>
      </c>
      <c r="U1678">
        <v>-0.2459412</v>
      </c>
      <c r="V1678">
        <v>0.1240308</v>
      </c>
      <c r="W1678">
        <v>-3.3536580000000003E-2</v>
      </c>
      <c r="X1678">
        <v>0.99171149999999997</v>
      </c>
      <c r="Y1678">
        <v>-9.6669850000000002E-2</v>
      </c>
      <c r="Z1678">
        <v>-4.4716809999999999E-3</v>
      </c>
      <c r="AA1678">
        <v>0.99530640000000004</v>
      </c>
      <c r="AB1678">
        <v>31</v>
      </c>
      <c r="AC1678">
        <v>-15.9488</v>
      </c>
      <c r="AD1678">
        <v>-1.1090434785200001</v>
      </c>
      <c r="AE1678">
        <v>-1.2993999999999899</v>
      </c>
      <c r="AF1678">
        <v>-1.56059648687497</v>
      </c>
      <c r="AG1678">
        <v>-1.1090434785200001</v>
      </c>
      <c r="AH1678">
        <v>15.848497016540501</v>
      </c>
      <c r="AI1678">
        <v>93.983704580088897</v>
      </c>
      <c r="AJ1678">
        <v>95.623767503286402</v>
      </c>
      <c r="AK1678">
        <v>15.9637181294142</v>
      </c>
      <c r="AL1678">
        <v>91.921864823241904</v>
      </c>
      <c r="AM1678">
        <v>82.871180155597401</v>
      </c>
      <c r="AN1678">
        <v>1.0000000203894901</v>
      </c>
    </row>
    <row r="1679" spans="1:40" x14ac:dyDescent="0.25">
      <c r="A1679" t="str">
        <f>"20190312161259789"</f>
        <v>20190312161259789</v>
      </c>
      <c r="B1679" t="str">
        <f>"1552378379777441"</f>
        <v>1552378379777441</v>
      </c>
      <c r="C1679" t="s">
        <v>40</v>
      </c>
      <c r="D1679">
        <v>5.7671679999999999</v>
      </c>
      <c r="E1679">
        <v>0.41565340000000001</v>
      </c>
      <c r="F1679" t="s">
        <v>74</v>
      </c>
      <c r="G1679">
        <v>-291.20549999999997</v>
      </c>
      <c r="H1679" s="1">
        <v>2.5436480000000001E-6</v>
      </c>
      <c r="I1679">
        <v>283.19720000000001</v>
      </c>
      <c r="J1679">
        <v>-275.29680000000002</v>
      </c>
      <c r="K1679">
        <v>1.1090450000000001</v>
      </c>
      <c r="L1679">
        <v>284.4948</v>
      </c>
      <c r="M1679">
        <v>-0.9998302</v>
      </c>
      <c r="N1679">
        <v>0</v>
      </c>
      <c r="O1679">
        <v>1.688168E-2</v>
      </c>
      <c r="P1679">
        <v>-0.98920240000000004</v>
      </c>
      <c r="Q1679">
        <v>-4.1251019999999999E-2</v>
      </c>
      <c r="R1679">
        <v>0.14063100000000001</v>
      </c>
      <c r="S1679">
        <v>-3.0590820000000001</v>
      </c>
      <c r="T1679">
        <v>-0.21103759999999999</v>
      </c>
      <c r="U1679">
        <v>-0.24636839999999999</v>
      </c>
      <c r="V1679">
        <v>0.12390669999999999</v>
      </c>
      <c r="W1679">
        <v>-3.3917870000000003E-2</v>
      </c>
      <c r="X1679">
        <v>0.99171399999999998</v>
      </c>
      <c r="Y1679">
        <v>-9.6824419999999994E-2</v>
      </c>
      <c r="Z1679">
        <v>-4.4920400000000001E-3</v>
      </c>
      <c r="AA1679">
        <v>0.99529140000000005</v>
      </c>
      <c r="AB1679">
        <v>31</v>
      </c>
      <c r="AC1679">
        <v>-15.9086999999999</v>
      </c>
      <c r="AD1679">
        <v>-1.1090424563519901</v>
      </c>
      <c r="AE1679">
        <v>-1.2975999999999801</v>
      </c>
      <c r="AF1679">
        <v>-1.5584640695615699</v>
      </c>
      <c r="AG1679">
        <v>-1.1090424563519901</v>
      </c>
      <c r="AH1679">
        <v>15.8082080265039</v>
      </c>
      <c r="AI1679">
        <v>93.9937759273067</v>
      </c>
      <c r="AJ1679">
        <v>95.630353771139596</v>
      </c>
      <c r="AK1679">
        <v>15.9235117494643</v>
      </c>
      <c r="AL1679">
        <v>91.943723654930693</v>
      </c>
      <c r="AM1679">
        <v>82.878257444242394</v>
      </c>
      <c r="AN1679">
        <v>0.999999975003113</v>
      </c>
    </row>
    <row r="1680" spans="1:40" x14ac:dyDescent="0.25">
      <c r="A1680" t="str">
        <f>"20190312161259801"</f>
        <v>20190312161259801</v>
      </c>
      <c r="B1680" t="str">
        <f>"1552378379796961"</f>
        <v>1552378379796961</v>
      </c>
      <c r="C1680" t="s">
        <v>40</v>
      </c>
      <c r="D1680">
        <v>5.8094299999999999</v>
      </c>
      <c r="E1680">
        <v>0.41535040000000001</v>
      </c>
      <c r="F1680" t="s">
        <v>74</v>
      </c>
      <c r="G1680">
        <v>-291.32010000000002</v>
      </c>
      <c r="H1680" s="1">
        <v>2.5641659999999999E-6</v>
      </c>
      <c r="I1680">
        <v>283.19510000000002</v>
      </c>
      <c r="J1680">
        <v>-275.47620000000001</v>
      </c>
      <c r="K1680">
        <v>1.1090370000000001</v>
      </c>
      <c r="L1680">
        <v>284.49779999999998</v>
      </c>
      <c r="M1680">
        <v>-0.99982969999999904</v>
      </c>
      <c r="N1680">
        <v>0</v>
      </c>
      <c r="O1680">
        <v>1.6906580000000001E-2</v>
      </c>
      <c r="P1680">
        <v>-0.98918799999999996</v>
      </c>
      <c r="Q1680">
        <v>-4.1246499999999998E-2</v>
      </c>
      <c r="R1680">
        <v>0.1407342</v>
      </c>
      <c r="S1680">
        <v>-3.0591740000000001</v>
      </c>
      <c r="T1680">
        <v>-0.21173939999999999</v>
      </c>
      <c r="U1680">
        <v>-0.24813840000000001</v>
      </c>
      <c r="V1680">
        <v>0.1239854</v>
      </c>
      <c r="W1680">
        <v>-3.390783E-2</v>
      </c>
      <c r="X1680">
        <v>0.99170449999999999</v>
      </c>
      <c r="Y1680">
        <v>-9.7415689999999999E-2</v>
      </c>
      <c r="Z1680">
        <v>-4.5288280000000004E-3</v>
      </c>
      <c r="AA1680">
        <v>0.99523349999999999</v>
      </c>
      <c r="AB1680">
        <v>31</v>
      </c>
      <c r="AC1680">
        <v>-15.8439</v>
      </c>
      <c r="AD1680">
        <v>-1.1090344358339901</v>
      </c>
      <c r="AE1680">
        <v>-1.30269999999995</v>
      </c>
      <c r="AF1680">
        <v>-1.5627816131507</v>
      </c>
      <c r="AG1680">
        <v>-1.1090344358339901</v>
      </c>
      <c r="AH1680">
        <v>15.742993211704301</v>
      </c>
      <c r="AI1680">
        <v>94.009969923632497</v>
      </c>
      <c r="AJ1680">
        <v>95.669087088053999</v>
      </c>
      <c r="AK1680">
        <v>15.8591954087853</v>
      </c>
      <c r="AL1680">
        <v>91.943148088147694</v>
      </c>
      <c r="AM1680">
        <v>82.873712959005701</v>
      </c>
      <c r="AN1680">
        <v>0.99999996783435896</v>
      </c>
    </row>
    <row r="1681" spans="1:40" x14ac:dyDescent="0.25">
      <c r="A1681" t="str">
        <f>"20190312161259818"</f>
        <v>20190312161259818</v>
      </c>
      <c r="B1681" t="str">
        <f>"1552378379807696"</f>
        <v>1552378379807696</v>
      </c>
      <c r="C1681" t="s">
        <v>40</v>
      </c>
      <c r="D1681">
        <v>5.7745540000000002</v>
      </c>
      <c r="E1681">
        <v>0.41532390000000002</v>
      </c>
      <c r="F1681" t="s">
        <v>74</v>
      </c>
      <c r="G1681">
        <v>-291.5401</v>
      </c>
      <c r="H1681" s="1">
        <v>2.6041479999999998E-6</v>
      </c>
      <c r="I1681">
        <v>283.1841</v>
      </c>
      <c r="J1681">
        <v>-275.71069999999997</v>
      </c>
      <c r="K1681">
        <v>1.1090409999999999</v>
      </c>
      <c r="L1681">
        <v>284.5018</v>
      </c>
      <c r="M1681">
        <v>-0.99982910000000003</v>
      </c>
      <c r="N1681">
        <v>0</v>
      </c>
      <c r="O1681">
        <v>1.6939510000000001E-2</v>
      </c>
      <c r="P1681">
        <v>-0.98921720000000002</v>
      </c>
      <c r="Q1681">
        <v>-4.0951109999999999E-2</v>
      </c>
      <c r="R1681">
        <v>0.14061599999999999</v>
      </c>
      <c r="S1681">
        <v>-3.0595699999999999</v>
      </c>
      <c r="T1681">
        <v>-0.21122940000000001</v>
      </c>
      <c r="U1681">
        <v>-0.25021359999999998</v>
      </c>
      <c r="V1681">
        <v>0.12383429999999999</v>
      </c>
      <c r="W1681">
        <v>-3.3604809999999999E-2</v>
      </c>
      <c r="X1681">
        <v>0.99173370000000005</v>
      </c>
      <c r="Y1681">
        <v>-9.8108329999999994E-2</v>
      </c>
      <c r="Z1681">
        <v>-4.5433519999999996E-3</v>
      </c>
      <c r="AA1681">
        <v>0.99516530000000003</v>
      </c>
      <c r="AB1681">
        <v>31</v>
      </c>
      <c r="AC1681">
        <v>-15.8294</v>
      </c>
      <c r="AD1681">
        <v>-1.109038395852</v>
      </c>
      <c r="AE1681">
        <v>-1.3177000000000001</v>
      </c>
      <c r="AF1681">
        <v>-1.5779681238880501</v>
      </c>
      <c r="AG1681">
        <v>-1.109038395852</v>
      </c>
      <c r="AH1681">
        <v>15.7281338237181</v>
      </c>
      <c r="AI1681">
        <v>94.013341551852704</v>
      </c>
      <c r="AJ1681">
        <v>95.729184740960605</v>
      </c>
      <c r="AK1681">
        <v>15.845950370371201</v>
      </c>
      <c r="AL1681">
        <v>91.925776407504202</v>
      </c>
      <c r="AM1681">
        <v>82.882515997737102</v>
      </c>
      <c r="AN1681">
        <v>0.99999997441365696</v>
      </c>
    </row>
    <row r="1682" spans="1:40" x14ac:dyDescent="0.25">
      <c r="A1682" t="str">
        <f>"20190312161259831"</f>
        <v>20190312161259831</v>
      </c>
      <c r="B1682" t="str">
        <f>"1552378379827216"</f>
        <v>1552378379827216</v>
      </c>
      <c r="C1682" t="s">
        <v>40</v>
      </c>
      <c r="D1682">
        <v>5.803401</v>
      </c>
      <c r="E1682">
        <v>0.41514469999999998</v>
      </c>
      <c r="F1682" t="s">
        <v>74</v>
      </c>
      <c r="G1682">
        <v>-291.83850000000001</v>
      </c>
      <c r="H1682" s="1">
        <v>2.6573960000000001E-6</v>
      </c>
      <c r="I1682">
        <v>283.18049999999999</v>
      </c>
      <c r="J1682">
        <v>-275.8777</v>
      </c>
      <c r="K1682">
        <v>1.1090409999999999</v>
      </c>
      <c r="L1682">
        <v>284.50470000000001</v>
      </c>
      <c r="M1682">
        <v>-0.99982859999999996</v>
      </c>
      <c r="N1682">
        <v>0</v>
      </c>
      <c r="O1682">
        <v>1.696286E-2</v>
      </c>
      <c r="P1682">
        <v>-0.98918729999999999</v>
      </c>
      <c r="Q1682">
        <v>-4.0976480000000003E-2</v>
      </c>
      <c r="R1682">
        <v>0.14081740000000001</v>
      </c>
      <c r="S1682">
        <v>-3.059631</v>
      </c>
      <c r="T1682">
        <v>-0.21039769999999999</v>
      </c>
      <c r="U1682">
        <v>-0.25067139999999999</v>
      </c>
      <c r="V1682">
        <v>0.124013</v>
      </c>
      <c r="W1682">
        <v>-3.362511E-2</v>
      </c>
      <c r="X1682">
        <v>0.99171069999999995</v>
      </c>
      <c r="Y1682">
        <v>-9.8279530000000004E-2</v>
      </c>
      <c r="Z1682">
        <v>-4.5328579999999999E-3</v>
      </c>
      <c r="AA1682">
        <v>0.99514849999999999</v>
      </c>
      <c r="AB1682">
        <v>31</v>
      </c>
      <c r="AC1682">
        <v>-15.960800000000001</v>
      </c>
      <c r="AD1682">
        <v>-1.109038342604</v>
      </c>
      <c r="AE1682">
        <v>-1.32420000000001</v>
      </c>
      <c r="AF1682">
        <v>-1.58714707839929</v>
      </c>
      <c r="AG1682">
        <v>-1.109038342604</v>
      </c>
      <c r="AH1682">
        <v>15.859989142638</v>
      </c>
      <c r="AI1682">
        <v>93.980183790287697</v>
      </c>
      <c r="AJ1682">
        <v>95.714699896676393</v>
      </c>
      <c r="AK1682">
        <v>15.977742565783</v>
      </c>
      <c r="AL1682">
        <v>91.926940134987703</v>
      </c>
      <c r="AM1682">
        <v>82.872187017569999</v>
      </c>
      <c r="AN1682">
        <v>0.99999999234299997</v>
      </c>
    </row>
    <row r="1683" spans="1:40" x14ac:dyDescent="0.25">
      <c r="A1683" t="str">
        <f>"20190312161259842"</f>
        <v>20190312161259842</v>
      </c>
      <c r="B1683" t="str">
        <f>"1552378379836977"</f>
        <v>1552378379836977</v>
      </c>
      <c r="C1683" t="s">
        <v>40</v>
      </c>
      <c r="D1683">
        <v>5.5961629999999998</v>
      </c>
      <c r="E1683">
        <v>0.41478619999999999</v>
      </c>
      <c r="F1683" t="s">
        <v>74</v>
      </c>
      <c r="G1683">
        <v>-291.84160000000003</v>
      </c>
      <c r="H1683" s="1">
        <v>2.6570160000000002E-6</v>
      </c>
      <c r="I1683">
        <v>283.19119999999998</v>
      </c>
      <c r="J1683">
        <v>-276.04590000000002</v>
      </c>
      <c r="K1683">
        <v>1.10904</v>
      </c>
      <c r="L1683">
        <v>284.50760000000002</v>
      </c>
      <c r="M1683">
        <v>-0.99982819999999994</v>
      </c>
      <c r="N1683">
        <v>0</v>
      </c>
      <c r="O1683">
        <v>1.6986439999999998E-2</v>
      </c>
      <c r="P1683">
        <v>-0.98918249999999996</v>
      </c>
      <c r="Q1683">
        <v>-4.0898009999999999E-2</v>
      </c>
      <c r="R1683">
        <v>0.14087339999999901</v>
      </c>
      <c r="S1683">
        <v>-3.0598139999999998</v>
      </c>
      <c r="T1683">
        <v>-0.21257090000000001</v>
      </c>
      <c r="U1683">
        <v>-0.25176999999999999</v>
      </c>
      <c r="V1683">
        <v>0.1240454</v>
      </c>
      <c r="W1683">
        <v>-3.3541319999999999E-2</v>
      </c>
      <c r="X1683">
        <v>0.99170950000000002</v>
      </c>
      <c r="Y1683">
        <v>-9.8646570000000003E-2</v>
      </c>
      <c r="Z1683">
        <v>-4.5935739999999996E-3</v>
      </c>
      <c r="AA1683">
        <v>0.99511190000000005</v>
      </c>
      <c r="AB1683">
        <v>31</v>
      </c>
      <c r="AC1683">
        <v>-15.7957</v>
      </c>
      <c r="AD1683">
        <v>-1.1090373429839999</v>
      </c>
      <c r="AE1683">
        <v>-1.31640000000004</v>
      </c>
      <c r="AF1683">
        <v>-1.5768106699126301</v>
      </c>
      <c r="AG1683">
        <v>-1.1090373429839999</v>
      </c>
      <c r="AH1683">
        <v>15.6942261693146</v>
      </c>
      <c r="AI1683">
        <v>94.021923232434204</v>
      </c>
      <c r="AJ1683">
        <v>95.737296815339704</v>
      </c>
      <c r="AK1683">
        <v>15.8121798234931</v>
      </c>
      <c r="AL1683">
        <v>91.922136584045802</v>
      </c>
      <c r="AM1683">
        <v>82.870335407615201</v>
      </c>
      <c r="AN1683">
        <v>1.00000000689937</v>
      </c>
    </row>
    <row r="1684" spans="1:40" x14ac:dyDescent="0.25">
      <c r="A1684" t="str">
        <f>"20190312161259855"</f>
        <v>20190312161259855</v>
      </c>
      <c r="B1684" t="str">
        <f>"1552378379847712"</f>
        <v>1552378379847712</v>
      </c>
      <c r="C1684" t="s">
        <v>40</v>
      </c>
      <c r="D1684">
        <v>5.8359370000000004</v>
      </c>
      <c r="E1684">
        <v>0.41451709999999897</v>
      </c>
      <c r="F1684" t="s">
        <v>74</v>
      </c>
      <c r="G1684">
        <v>-292.25060000000002</v>
      </c>
      <c r="H1684" s="1">
        <v>2.732089E-6</v>
      </c>
      <c r="I1684">
        <v>283.16230000000002</v>
      </c>
      <c r="J1684">
        <v>-276.22019999999998</v>
      </c>
      <c r="K1684">
        <v>1.1090409999999999</v>
      </c>
      <c r="L1684">
        <v>284.51060000000001</v>
      </c>
      <c r="M1684">
        <v>-0.99982769999999999</v>
      </c>
      <c r="N1684">
        <v>0</v>
      </c>
      <c r="O1684">
        <v>1.7010979999999998E-2</v>
      </c>
      <c r="P1684">
        <v>-0.98919880000000004</v>
      </c>
      <c r="Q1684">
        <v>-4.0886400000000003E-2</v>
      </c>
      <c r="R1684">
        <v>0.1407631</v>
      </c>
      <c r="S1684">
        <v>-3.060333</v>
      </c>
      <c r="T1684">
        <v>-0.2094462</v>
      </c>
      <c r="U1684">
        <v>-0.25405879999999997</v>
      </c>
      <c r="V1684">
        <v>0.1239106</v>
      </c>
      <c r="W1684">
        <v>-3.3523999999999998E-2</v>
      </c>
      <c r="X1684">
        <v>0.99172689999999997</v>
      </c>
      <c r="Y1684">
        <v>-9.9402729999999995E-2</v>
      </c>
      <c r="Z1684">
        <v>-4.5527850000000002E-3</v>
      </c>
      <c r="AA1684">
        <v>0.99503680000000005</v>
      </c>
      <c r="AB1684">
        <v>31</v>
      </c>
      <c r="AC1684">
        <v>-16.0304</v>
      </c>
      <c r="AD1684">
        <v>-1.109038267911</v>
      </c>
      <c r="AE1684">
        <v>-1.3482999999999901</v>
      </c>
      <c r="AF1684">
        <v>-1.61313842820126</v>
      </c>
      <c r="AG1684">
        <v>-1.109038267911</v>
      </c>
      <c r="AH1684">
        <v>15.9294355298948</v>
      </c>
      <c r="AI1684">
        <v>93.962416245472895</v>
      </c>
      <c r="AJ1684">
        <v>95.782502809516203</v>
      </c>
      <c r="AK1684">
        <v>16.049270941986901</v>
      </c>
      <c r="AL1684">
        <v>91.921143734100696</v>
      </c>
      <c r="AM1684">
        <v>82.878127275580596</v>
      </c>
      <c r="AN1684">
        <v>0.99999996977598404</v>
      </c>
    </row>
    <row r="1685" spans="1:40" x14ac:dyDescent="0.25">
      <c r="A1685" t="str">
        <f>"20190312161259867"</f>
        <v>20190312161259867</v>
      </c>
      <c r="B1685" t="str">
        <f>"1552378379857473"</f>
        <v>1552378379857473</v>
      </c>
      <c r="C1685" t="s">
        <v>40</v>
      </c>
      <c r="D1685">
        <v>5.8086039999999999</v>
      </c>
      <c r="E1685">
        <v>0.41418830000000001</v>
      </c>
      <c r="F1685" t="s">
        <v>74</v>
      </c>
      <c r="G1685">
        <v>-292.57709999999997</v>
      </c>
      <c r="H1685" s="1">
        <v>2.7919450000000001E-6</v>
      </c>
      <c r="I1685">
        <v>283.14010000000002</v>
      </c>
      <c r="J1685">
        <v>-276.38709999999998</v>
      </c>
      <c r="K1685">
        <v>1.1090409999999999</v>
      </c>
      <c r="L1685">
        <v>284.51339999999999</v>
      </c>
      <c r="M1685">
        <v>-0.99982729999999997</v>
      </c>
      <c r="N1685">
        <v>0</v>
      </c>
      <c r="O1685">
        <v>1.7034500000000001E-2</v>
      </c>
      <c r="P1685">
        <v>-0.98919550000000001</v>
      </c>
      <c r="Q1685">
        <v>-4.0665369999999999E-2</v>
      </c>
      <c r="R1685">
        <v>0.14085110000000001</v>
      </c>
      <c r="S1685">
        <v>-3.060638</v>
      </c>
      <c r="T1685">
        <v>-0.20751910000000001</v>
      </c>
      <c r="U1685">
        <v>-0.25643919999999998</v>
      </c>
      <c r="V1685">
        <v>0.1239753</v>
      </c>
      <c r="W1685">
        <v>-3.3297630000000002E-2</v>
      </c>
      <c r="X1685">
        <v>0.99172649999999996</v>
      </c>
      <c r="Y1685">
        <v>-0.1001896</v>
      </c>
      <c r="Z1685">
        <v>-4.5385900000000003E-3</v>
      </c>
      <c r="AA1685">
        <v>0.99495800000000001</v>
      </c>
      <c r="AB1685">
        <v>31</v>
      </c>
      <c r="AC1685">
        <v>-16.189999999999898</v>
      </c>
      <c r="AD1685">
        <v>-1.1090382080550001</v>
      </c>
      <c r="AE1685">
        <v>-1.37329999999997</v>
      </c>
      <c r="AF1685">
        <v>-1.6412504304078399</v>
      </c>
      <c r="AG1685">
        <v>-1.1090382080550001</v>
      </c>
      <c r="AH1685">
        <v>16.089297784709199</v>
      </c>
      <c r="AI1685">
        <v>93.9228777230269</v>
      </c>
      <c r="AJ1685">
        <v>95.824528185262594</v>
      </c>
      <c r="AK1685">
        <v>16.2107733290947</v>
      </c>
      <c r="AL1685">
        <v>91.908166329859498</v>
      </c>
      <c r="AM1685">
        <v>82.874443955831595</v>
      </c>
      <c r="AN1685">
        <v>1.00000002898797</v>
      </c>
    </row>
    <row r="1686" spans="1:40" x14ac:dyDescent="0.25">
      <c r="A1686" t="str">
        <f>"20190312161259892"</f>
        <v>20190312161259892</v>
      </c>
      <c r="B1686" t="str">
        <f>"1552378379887728"</f>
        <v>1552378379887728</v>
      </c>
      <c r="C1686" t="s">
        <v>40</v>
      </c>
      <c r="D1686">
        <v>5.8157730000000001</v>
      </c>
      <c r="E1686">
        <v>0.41345929999999997</v>
      </c>
      <c r="F1686" t="s">
        <v>74</v>
      </c>
      <c r="G1686">
        <v>-293.04020000000003</v>
      </c>
      <c r="H1686" s="1">
        <v>2.8770300000000001E-6</v>
      </c>
      <c r="I1686">
        <v>283.10640000000001</v>
      </c>
      <c r="J1686">
        <v>-276.72399999999999</v>
      </c>
      <c r="K1686">
        <v>1.1090409999999999</v>
      </c>
      <c r="L1686">
        <v>284.51920000000001</v>
      </c>
      <c r="M1686">
        <v>-0.9998264</v>
      </c>
      <c r="N1686">
        <v>0</v>
      </c>
      <c r="O1686">
        <v>1.7081430000000002E-2</v>
      </c>
      <c r="P1686">
        <v>-0.98915149999999996</v>
      </c>
      <c r="Q1686">
        <v>-4.0998560000000003E-2</v>
      </c>
      <c r="R1686">
        <v>0.14106250000000001</v>
      </c>
      <c r="S1686">
        <v>-3.0612490000000001</v>
      </c>
      <c r="T1686">
        <v>-0.20386840000000001</v>
      </c>
      <c r="U1686">
        <v>-0.25863649999999999</v>
      </c>
      <c r="V1686">
        <v>0.1241408</v>
      </c>
      <c r="W1686">
        <v>-3.3620280000000002E-2</v>
      </c>
      <c r="X1686">
        <v>0.99169490000000005</v>
      </c>
      <c r="Y1686">
        <v>-0.1009366</v>
      </c>
      <c r="Z1686">
        <v>-4.4858290000000002E-3</v>
      </c>
      <c r="AA1686">
        <v>0.99488279999999996</v>
      </c>
      <c r="AB1686">
        <v>31</v>
      </c>
      <c r="AC1686">
        <v>-16.316199999999998</v>
      </c>
      <c r="AD1686">
        <v>-1.1090381229699999</v>
      </c>
      <c r="AE1686">
        <v>-1.4128000000000001</v>
      </c>
      <c r="AF1686">
        <v>-1.6835851019469401</v>
      </c>
      <c r="AG1686">
        <v>-1.1090381229699999</v>
      </c>
      <c r="AH1686">
        <v>16.2153265295773</v>
      </c>
      <c r="AI1686">
        <v>93.891763765621704</v>
      </c>
      <c r="AJ1686">
        <v>95.927597213616195</v>
      </c>
      <c r="AK1686">
        <v>16.340172545432701</v>
      </c>
      <c r="AL1686">
        <v>91.926663190229306</v>
      </c>
      <c r="AM1686">
        <v>82.864804703320203</v>
      </c>
      <c r="AN1686">
        <v>1.0000000180689601</v>
      </c>
    </row>
    <row r="1687" spans="1:40" x14ac:dyDescent="0.25">
      <c r="A1687" t="str">
        <f>"20190312161259909"</f>
        <v>20190312161259909</v>
      </c>
      <c r="B1687" t="str">
        <f>"1552378379897488"</f>
        <v>1552378379897488</v>
      </c>
      <c r="C1687" t="s">
        <v>40</v>
      </c>
      <c r="D1687">
        <v>5.8202319999999999</v>
      </c>
      <c r="E1687">
        <v>0.41320299999999999</v>
      </c>
      <c r="F1687" t="s">
        <v>74</v>
      </c>
      <c r="G1687">
        <v>-293.7473</v>
      </c>
      <c r="H1687" s="1">
        <v>3.0071340000000001E-6</v>
      </c>
      <c r="I1687">
        <v>283.05290000000002</v>
      </c>
      <c r="J1687">
        <v>-276.96539999999999</v>
      </c>
      <c r="K1687">
        <v>1.1090439999999999</v>
      </c>
      <c r="L1687">
        <v>284.52330000000001</v>
      </c>
      <c r="M1687">
        <v>-0.99982559999999998</v>
      </c>
      <c r="N1687">
        <v>0</v>
      </c>
      <c r="O1687">
        <v>1.7115499999999999E-2</v>
      </c>
      <c r="P1687">
        <v>-0.9890449</v>
      </c>
      <c r="Q1687">
        <v>-4.0655120000000003E-2</v>
      </c>
      <c r="R1687">
        <v>0.14190610000000001</v>
      </c>
      <c r="S1687">
        <v>-3.0622560000000001</v>
      </c>
      <c r="T1687">
        <v>-0.19950039999999999</v>
      </c>
      <c r="U1687">
        <v>-0.26376339999999998</v>
      </c>
      <c r="V1687">
        <v>0.12495249999999999</v>
      </c>
      <c r="W1687">
        <v>-3.326995E-2</v>
      </c>
      <c r="X1687">
        <v>0.99160470000000001</v>
      </c>
      <c r="Y1687">
        <v>-0.10260420000000001</v>
      </c>
      <c r="Z1687">
        <v>-4.4445550000000002E-3</v>
      </c>
      <c r="AA1687">
        <v>0.99471240000000005</v>
      </c>
      <c r="AB1687">
        <v>31</v>
      </c>
      <c r="AC1687">
        <v>-16.7819</v>
      </c>
      <c r="AD1687">
        <v>-1.1090409928659899</v>
      </c>
      <c r="AE1687">
        <v>-1.4703999999999799</v>
      </c>
      <c r="AF1687">
        <v>-1.7498393790109601</v>
      </c>
      <c r="AG1687">
        <v>-1.1090409928659899</v>
      </c>
      <c r="AH1687">
        <v>16.681974174196899</v>
      </c>
      <c r="AI1687">
        <v>93.782813654018994</v>
      </c>
      <c r="AJ1687">
        <v>95.988087049796704</v>
      </c>
      <c r="AK1687">
        <v>16.8101211216566</v>
      </c>
      <c r="AL1687">
        <v>91.906579656196797</v>
      </c>
      <c r="AM1687">
        <v>82.817990020789907</v>
      </c>
      <c r="AN1687">
        <v>0.99999994894566901</v>
      </c>
    </row>
    <row r="1688" spans="1:40" x14ac:dyDescent="0.25">
      <c r="A1688" t="str">
        <f>"20190312161259923"</f>
        <v>20190312161259923</v>
      </c>
      <c r="B1688" t="str">
        <f>"1552378379917008"</f>
        <v>1552378379917008</v>
      </c>
      <c r="C1688" t="s">
        <v>40</v>
      </c>
      <c r="D1688">
        <v>5.8685549999999997</v>
      </c>
      <c r="E1688">
        <v>0.37956879999999998</v>
      </c>
      <c r="F1688" t="s">
        <v>74</v>
      </c>
      <c r="G1688">
        <v>-294.16329999999999</v>
      </c>
      <c r="H1688" s="1">
        <v>3.0814310000000001E-6</v>
      </c>
      <c r="I1688">
        <v>283.0471</v>
      </c>
      <c r="J1688">
        <v>-277.17489999999998</v>
      </c>
      <c r="K1688">
        <v>1.109043</v>
      </c>
      <c r="L1688">
        <v>284.52699999999999</v>
      </c>
      <c r="M1688">
        <v>-0.99982530000000003</v>
      </c>
      <c r="N1688">
        <v>0</v>
      </c>
      <c r="O1688">
        <v>1.71451E-2</v>
      </c>
      <c r="P1688">
        <v>-0.98902679999999998</v>
      </c>
      <c r="Q1688">
        <v>-4.0517879999999999E-2</v>
      </c>
      <c r="R1688">
        <v>0.14207330000000001</v>
      </c>
      <c r="S1688">
        <v>-3.0628359999999999</v>
      </c>
      <c r="T1688">
        <v>-0.19751369999999999</v>
      </c>
      <c r="U1688">
        <v>-0.2629089</v>
      </c>
      <c r="V1688">
        <v>0.12509089999999901</v>
      </c>
      <c r="W1688">
        <v>-3.3126089999999997E-2</v>
      </c>
      <c r="X1688">
        <v>0.99159209999999998</v>
      </c>
      <c r="Y1688">
        <v>-0.1023476</v>
      </c>
      <c r="Z1688">
        <v>-4.393264E-3</v>
      </c>
      <c r="AA1688">
        <v>0.99473900000000004</v>
      </c>
      <c r="AB1688">
        <v>31</v>
      </c>
      <c r="AC1688">
        <v>-16.988399999999999</v>
      </c>
      <c r="AD1688">
        <v>-1.1090399185690001</v>
      </c>
      <c r="AE1688">
        <v>-1.47989999999998</v>
      </c>
      <c r="AF1688">
        <v>-1.76349933303599</v>
      </c>
      <c r="AG1688">
        <v>-1.1090399185690001</v>
      </c>
      <c r="AH1688">
        <v>16.889093792174499</v>
      </c>
      <c r="AI1688">
        <v>93.736735904715104</v>
      </c>
      <c r="AJ1688">
        <v>95.961020984674803</v>
      </c>
      <c r="AK1688">
        <v>17.017091072197498</v>
      </c>
      <c r="AL1688">
        <v>91.898332476404903</v>
      </c>
      <c r="AM1688">
        <v>82.810027875089901</v>
      </c>
      <c r="AN1688">
        <v>0.99999998194195305</v>
      </c>
    </row>
    <row r="1689" spans="1:40" x14ac:dyDescent="0.25">
      <c r="A1689" t="str">
        <f>"20190312161259944"</f>
        <v>20190312161259944</v>
      </c>
      <c r="B1689" t="str">
        <f>"1552378379937504"</f>
        <v>1552378379937504</v>
      </c>
      <c r="C1689" t="s">
        <v>40</v>
      </c>
      <c r="D1689">
        <v>5.800198</v>
      </c>
      <c r="E1689">
        <v>0.36101650000000002</v>
      </c>
      <c r="F1689" t="s">
        <v>74</v>
      </c>
      <c r="G1689">
        <v>-307.96129999999999</v>
      </c>
      <c r="H1689" s="1">
        <v>3.0671740000000002E-6</v>
      </c>
      <c r="I1689">
        <v>279.32310000000001</v>
      </c>
      <c r="J1689">
        <v>-277.4545</v>
      </c>
      <c r="K1689">
        <v>1.109043</v>
      </c>
      <c r="L1689">
        <v>284.53179999999998</v>
      </c>
      <c r="M1689">
        <v>-0.99982439999999995</v>
      </c>
      <c r="N1689">
        <v>0</v>
      </c>
      <c r="O1689">
        <v>1.7184339999999999E-2</v>
      </c>
      <c r="P1689">
        <v>-0.98896399999999995</v>
      </c>
      <c r="Q1689">
        <v>-4.053665E-2</v>
      </c>
      <c r="R1689">
        <v>0.1425024</v>
      </c>
      <c r="S1689">
        <v>-3.1040649999999999</v>
      </c>
      <c r="T1689">
        <v>-0.11182010000000001</v>
      </c>
      <c r="U1689">
        <v>-0.52468870000000001</v>
      </c>
      <c r="V1689">
        <v>0.12548190000000001</v>
      </c>
      <c r="W1689">
        <v>-3.3136499999999999E-2</v>
      </c>
      <c r="X1689">
        <v>0.99154240000000005</v>
      </c>
      <c r="Y1689">
        <v>-0.18346180000000001</v>
      </c>
      <c r="Z1689">
        <v>-3.894883E-3</v>
      </c>
      <c r="AA1689">
        <v>0.98301910000000003</v>
      </c>
      <c r="AB1689">
        <v>31</v>
      </c>
      <c r="AC1689">
        <v>-30.506799999999998</v>
      </c>
      <c r="AD1689">
        <v>-1.1090399328260001</v>
      </c>
      <c r="AE1689">
        <v>-5.2086999999999604</v>
      </c>
      <c r="AF1689">
        <v>-5.7248330561645204</v>
      </c>
      <c r="AG1689">
        <v>-1.1090399328260001</v>
      </c>
      <c r="AH1689">
        <v>30.373779475458701</v>
      </c>
      <c r="AI1689">
        <v>92.054965406452297</v>
      </c>
      <c r="AJ1689">
        <v>100.67385773582799</v>
      </c>
      <c r="AK1689">
        <v>30.928468483217099</v>
      </c>
      <c r="AL1689">
        <v>91.898929156250205</v>
      </c>
      <c r="AM1689">
        <v>82.787432572940304</v>
      </c>
      <c r="AN1689">
        <v>1.0000000329287999</v>
      </c>
    </row>
    <row r="1690" spans="1:40" x14ac:dyDescent="0.25">
      <c r="A1690" t="str">
        <f>"20190312161259966"</f>
        <v>20190312161259966</v>
      </c>
      <c r="B1690" t="str">
        <f>"1552378379957025"</f>
        <v>1552378379957025</v>
      </c>
      <c r="C1690" t="s">
        <v>40</v>
      </c>
      <c r="D1690">
        <v>5.4709760000000003</v>
      </c>
      <c r="E1690">
        <v>0.35508499999999998</v>
      </c>
      <c r="F1690" t="s">
        <v>74</v>
      </c>
      <c r="G1690">
        <v>-316.65649999999999</v>
      </c>
      <c r="H1690">
        <v>8.0000909999999995E-2</v>
      </c>
      <c r="I1690">
        <v>276.14780000000002</v>
      </c>
      <c r="J1690">
        <v>-277.77980000000002</v>
      </c>
      <c r="K1690">
        <v>1.1090390000000001</v>
      </c>
      <c r="L1690">
        <v>284.53739999999999</v>
      </c>
      <c r="M1690">
        <v>-0.99982360000000003</v>
      </c>
      <c r="N1690">
        <v>0</v>
      </c>
      <c r="O1690">
        <v>1.722943E-2</v>
      </c>
      <c r="P1690">
        <v>-0.98894400000000005</v>
      </c>
      <c r="Q1690">
        <v>-4.0727140000000002E-2</v>
      </c>
      <c r="R1690">
        <v>0.1425874</v>
      </c>
      <c r="S1690">
        <v>-3.1264340000000002</v>
      </c>
      <c r="T1690">
        <v>-8.2068089999999996E-2</v>
      </c>
      <c r="U1690">
        <v>-0.66864009999999996</v>
      </c>
      <c r="V1690">
        <v>0.1255223</v>
      </c>
      <c r="W1690">
        <v>-3.3316980000000003E-2</v>
      </c>
      <c r="X1690">
        <v>0.99153119999999995</v>
      </c>
      <c r="Y1690">
        <v>-0.22587499999999999</v>
      </c>
      <c r="Z1690">
        <v>-3.3782840000000001E-3</v>
      </c>
      <c r="AA1690">
        <v>0.97415039999999997</v>
      </c>
      <c r="AB1690">
        <v>31</v>
      </c>
      <c r="AC1690">
        <v>-38.8766999999999</v>
      </c>
      <c r="AD1690">
        <v>-1.02903808999999</v>
      </c>
      <c r="AE1690">
        <v>-8.3895999999999695</v>
      </c>
      <c r="AF1690">
        <v>-9.0521367844870806</v>
      </c>
      <c r="AG1690">
        <v>-1.02903808999999</v>
      </c>
      <c r="AH1690">
        <v>38.700468946472697</v>
      </c>
      <c r="AI1690">
        <v>91.483112962277005</v>
      </c>
      <c r="AJ1690">
        <v>103.16494593759199</v>
      </c>
      <c r="AK1690">
        <v>39.758350021506601</v>
      </c>
      <c r="AL1690">
        <v>91.909275684009302</v>
      </c>
      <c r="AM1690">
        <v>82.785054251681004</v>
      </c>
      <c r="AN1690">
        <v>0.99999999476352497</v>
      </c>
    </row>
    <row r="1691" spans="1:40" x14ac:dyDescent="0.25">
      <c r="A1691" t="str">
        <f>"20190312161259990"</f>
        <v>20190312161259990</v>
      </c>
      <c r="B1691" t="str">
        <f>"1552378379987280"</f>
        <v>1552378379987280</v>
      </c>
      <c r="C1691" t="s">
        <v>40</v>
      </c>
      <c r="D1691">
        <v>5.9645479999999997</v>
      </c>
      <c r="E1691">
        <v>0.35006369999999998</v>
      </c>
      <c r="F1691" t="s">
        <v>74</v>
      </c>
      <c r="G1691">
        <v>-311.59010000000001</v>
      </c>
      <c r="H1691">
        <v>8.0001349999999999E-2</v>
      </c>
      <c r="I1691">
        <v>276.81169999999997</v>
      </c>
      <c r="J1691">
        <v>-278.1026</v>
      </c>
      <c r="K1691">
        <v>1.109038</v>
      </c>
      <c r="L1691">
        <v>284.54300000000001</v>
      </c>
      <c r="M1691">
        <v>-0.99982260000000001</v>
      </c>
      <c r="N1691">
        <v>0</v>
      </c>
      <c r="O1691">
        <v>1.7275169999999999E-2</v>
      </c>
      <c r="P1691">
        <v>-0.98896010000000001</v>
      </c>
      <c r="Q1691">
        <v>-4.105081E-2</v>
      </c>
      <c r="R1691">
        <v>0.14238219999999999</v>
      </c>
      <c r="S1691">
        <v>-3.1328130000000001</v>
      </c>
      <c r="T1691">
        <v>-9.5348950000000002E-2</v>
      </c>
      <c r="U1691">
        <v>-0.71585080000000001</v>
      </c>
      <c r="V1691">
        <v>0.12527160000000001</v>
      </c>
      <c r="W1691">
        <v>-3.3630340000000002E-2</v>
      </c>
      <c r="X1691">
        <v>0.9915524</v>
      </c>
      <c r="Y1691">
        <v>-0.2394548</v>
      </c>
      <c r="Z1691">
        <v>-4.116031E-3</v>
      </c>
      <c r="AA1691">
        <v>0.97089879999999995</v>
      </c>
      <c r="AB1691">
        <v>32</v>
      </c>
      <c r="AC1691">
        <v>-33.487499999999997</v>
      </c>
      <c r="AD1691">
        <v>-1.0290366500000001</v>
      </c>
      <c r="AE1691">
        <v>-7.7313000000000303</v>
      </c>
      <c r="AF1691">
        <v>-8.3012228385825999</v>
      </c>
      <c r="AG1691">
        <v>-1.0290366500000001</v>
      </c>
      <c r="AH1691">
        <v>33.319069119365899</v>
      </c>
      <c r="AI1691">
        <v>91.716538686085002</v>
      </c>
      <c r="AJ1691">
        <v>103.99003624810599</v>
      </c>
      <c r="AK1691">
        <v>34.353014191245798</v>
      </c>
      <c r="AL1691">
        <v>91.927239816126502</v>
      </c>
      <c r="AM1691">
        <v>82.799465272511597</v>
      </c>
      <c r="AN1691">
        <v>1.0000000677404099</v>
      </c>
    </row>
    <row r="1692" spans="1:40" x14ac:dyDescent="0.25">
      <c r="A1692" t="str">
        <f>"20190312161300011"</f>
        <v>20190312161300011</v>
      </c>
      <c r="B1692" t="str">
        <f>"1552378380007777"</f>
        <v>1552378380007777</v>
      </c>
      <c r="C1692" t="s">
        <v>40</v>
      </c>
      <c r="D1692">
        <v>6.0583640000000001</v>
      </c>
      <c r="E1692">
        <v>0.34805510000000001</v>
      </c>
      <c r="F1692" t="s">
        <v>74</v>
      </c>
      <c r="G1692">
        <v>-316.24549999999999</v>
      </c>
      <c r="H1692">
        <v>8.0001030000000001E-2</v>
      </c>
      <c r="I1692">
        <v>275.36200000000002</v>
      </c>
      <c r="J1692">
        <v>-278.40879999999999</v>
      </c>
      <c r="K1692">
        <v>1.1090340000000001</v>
      </c>
      <c r="L1692">
        <v>284.54840000000002</v>
      </c>
      <c r="M1692">
        <v>-0.99982190000000004</v>
      </c>
      <c r="N1692">
        <v>0</v>
      </c>
      <c r="O1692">
        <v>1.7317929999999999E-2</v>
      </c>
      <c r="P1692">
        <v>-0.98897959999999996</v>
      </c>
      <c r="Q1692">
        <v>-4.14601E-2</v>
      </c>
      <c r="R1692">
        <v>0.14212900000000001</v>
      </c>
      <c r="S1692">
        <v>-3.1387330000000002</v>
      </c>
      <c r="T1692">
        <v>-8.4678169999999997E-2</v>
      </c>
      <c r="U1692">
        <v>-0.75549319999999998</v>
      </c>
      <c r="V1692">
        <v>0.12497560000000001</v>
      </c>
      <c r="W1692">
        <v>-3.4029900000000002E-2</v>
      </c>
      <c r="X1692">
        <v>0.99157609999999996</v>
      </c>
      <c r="Y1692">
        <v>-0.25072660000000002</v>
      </c>
      <c r="Z1692">
        <v>-3.7946949999999998E-3</v>
      </c>
      <c r="AA1692">
        <v>0.96805050000000004</v>
      </c>
      <c r="AB1692">
        <v>32</v>
      </c>
      <c r="AC1692">
        <v>-37.8367</v>
      </c>
      <c r="AD1692">
        <v>-1.02903297</v>
      </c>
      <c r="AE1692">
        <v>-9.1863999999999901</v>
      </c>
      <c r="AF1692">
        <v>-9.8334255134836397</v>
      </c>
      <c r="AG1692">
        <v>-1.02903297</v>
      </c>
      <c r="AH1692">
        <v>37.645636581793198</v>
      </c>
      <c r="AI1692">
        <v>91.514968158190698</v>
      </c>
      <c r="AJ1692">
        <v>104.639147631241</v>
      </c>
      <c r="AK1692">
        <v>38.922347306284401</v>
      </c>
      <c r="AL1692">
        <v>91.950146065708395</v>
      </c>
      <c r="AM1692">
        <v>82.816471125064098</v>
      </c>
      <c r="AN1692">
        <v>1.00000004839028</v>
      </c>
    </row>
    <row r="1693" spans="1:40" x14ac:dyDescent="0.25">
      <c r="A1693" t="str">
        <f>"20190312161300032"</f>
        <v>20190312161300032</v>
      </c>
      <c r="B1693" t="str">
        <f>"1552378380027298"</f>
        <v>1552378380027298</v>
      </c>
      <c r="C1693" t="s">
        <v>40</v>
      </c>
      <c r="D1693">
        <v>5.889659</v>
      </c>
      <c r="E1693">
        <v>0.3464083</v>
      </c>
      <c r="F1693" t="s">
        <v>41</v>
      </c>
      <c r="G1693">
        <v>-325.03379999999999</v>
      </c>
      <c r="H1693">
        <v>-0.05</v>
      </c>
      <c r="I1693">
        <v>273.09399999999999</v>
      </c>
      <c r="J1693">
        <v>-278.71350000000001</v>
      </c>
      <c r="K1693">
        <v>1.1090310000000001</v>
      </c>
      <c r="L1693">
        <v>284.55369999999999</v>
      </c>
      <c r="M1693">
        <v>-0.99982110000000002</v>
      </c>
      <c r="N1693">
        <v>0</v>
      </c>
      <c r="O1693">
        <v>1.7360690000000002E-2</v>
      </c>
      <c r="P1693">
        <v>-0.98897520000000005</v>
      </c>
      <c r="Q1693">
        <v>-4.1736200000000001E-2</v>
      </c>
      <c r="R1693">
        <v>0.14207719999999999</v>
      </c>
      <c r="S1693">
        <v>-3.1410520000000002</v>
      </c>
      <c r="T1693">
        <v>-7.8082440000000003E-2</v>
      </c>
      <c r="U1693">
        <v>-0.77166749999999995</v>
      </c>
      <c r="V1693">
        <v>0.1248814</v>
      </c>
      <c r="W1693">
        <v>-3.4296439999999997E-2</v>
      </c>
      <c r="X1693">
        <v>0.99157879999999998</v>
      </c>
      <c r="Y1693">
        <v>-0.25532179999999999</v>
      </c>
      <c r="Z1693">
        <v>-3.5519280000000002E-3</v>
      </c>
      <c r="AA1693">
        <v>0.96684959999999998</v>
      </c>
      <c r="AB1693">
        <v>32</v>
      </c>
      <c r="AC1693">
        <v>-46.320299999999897</v>
      </c>
      <c r="AD1693">
        <v>-1.1590309999999999</v>
      </c>
      <c r="AE1693">
        <v>-11.4596999999999</v>
      </c>
      <c r="AF1693">
        <v>-12.254917549535</v>
      </c>
      <c r="AG1693">
        <v>-1.1590309999999999</v>
      </c>
      <c r="AH1693">
        <v>46.087173727132203</v>
      </c>
      <c r="AI1693">
        <v>91.3922488144742</v>
      </c>
      <c r="AJ1693">
        <v>104.89079141045799</v>
      </c>
      <c r="AK1693">
        <v>47.702766577628701</v>
      </c>
      <c r="AL1693">
        <v>91.965426572625404</v>
      </c>
      <c r="AM1693">
        <v>82.821848530638803</v>
      </c>
      <c r="AN1693">
        <v>1.00000006323603</v>
      </c>
    </row>
    <row r="1694" spans="1:40" x14ac:dyDescent="0.25">
      <c r="A1694" t="str">
        <f>"20190312161300056"</f>
        <v>20190312161300056</v>
      </c>
      <c r="B1694" t="str">
        <f>"1552378380047794"</f>
        <v>1552378380047794</v>
      </c>
      <c r="C1694" t="s">
        <v>40</v>
      </c>
      <c r="D1694">
        <v>6.0474540000000001</v>
      </c>
      <c r="E1694">
        <v>0.34529339999999997</v>
      </c>
      <c r="F1694" t="s">
        <v>41</v>
      </c>
      <c r="G1694">
        <v>-328.41579999999999</v>
      </c>
      <c r="H1694">
        <v>-0.05</v>
      </c>
      <c r="I1694">
        <v>272.14159999999998</v>
      </c>
      <c r="J1694">
        <v>-279.05119999999999</v>
      </c>
      <c r="K1694">
        <v>1.1090249999999999</v>
      </c>
      <c r="L1694">
        <v>284.55959999999999</v>
      </c>
      <c r="M1694">
        <v>-0.99982020000000005</v>
      </c>
      <c r="N1694">
        <v>0</v>
      </c>
      <c r="O1694">
        <v>1.7407909999999999E-2</v>
      </c>
      <c r="P1694">
        <v>-0.98905580000000004</v>
      </c>
      <c r="Q1694">
        <v>-4.1734069999999998E-2</v>
      </c>
      <c r="R1694">
        <v>0.14151759999999999</v>
      </c>
      <c r="S1694">
        <v>-3.1430660000000001</v>
      </c>
      <c r="T1694">
        <v>-7.3294639999999994E-2</v>
      </c>
      <c r="U1694">
        <v>-0.7849121</v>
      </c>
      <c r="V1694">
        <v>0.1242737</v>
      </c>
      <c r="W1694">
        <v>-3.4282890000000003E-2</v>
      </c>
      <c r="X1694">
        <v>0.99165550000000002</v>
      </c>
      <c r="Y1694">
        <v>-0.25906950000000001</v>
      </c>
      <c r="Z1694">
        <v>-3.3745759999999998E-3</v>
      </c>
      <c r="AA1694">
        <v>0.96585279999999996</v>
      </c>
      <c r="AB1694">
        <v>32</v>
      </c>
      <c r="AC1694">
        <v>-49.364600000000003</v>
      </c>
      <c r="AD1694">
        <v>-1.159025</v>
      </c>
      <c r="AE1694">
        <v>-12.417999999999999</v>
      </c>
      <c r="AF1694">
        <v>-13.2685979130249</v>
      </c>
      <c r="AG1694">
        <v>-1.159025</v>
      </c>
      <c r="AH1694">
        <v>49.1154779738293</v>
      </c>
      <c r="AI1694">
        <v>91.305045976404799</v>
      </c>
      <c r="AJ1694">
        <v>105.117641260978</v>
      </c>
      <c r="AK1694">
        <v>50.889382056828502</v>
      </c>
      <c r="AL1694">
        <v>91.964649980859093</v>
      </c>
      <c r="AM1694">
        <v>82.856964053067699</v>
      </c>
      <c r="AN1694">
        <v>0.99999994986934404</v>
      </c>
    </row>
    <row r="1695" spans="1:40" x14ac:dyDescent="0.25">
      <c r="A1695" t="str">
        <f>"20190312161300079"</f>
        <v>20190312161300079</v>
      </c>
      <c r="B1695" t="str">
        <f>"1552378380067314"</f>
        <v>1552378380067314</v>
      </c>
      <c r="C1695" t="s">
        <v>40</v>
      </c>
      <c r="D1695">
        <v>5.8543229999999999</v>
      </c>
      <c r="E1695">
        <v>0.34467989999999998</v>
      </c>
      <c r="F1695" t="s">
        <v>41</v>
      </c>
      <c r="G1695">
        <v>-331.66840000000002</v>
      </c>
      <c r="H1695">
        <v>-0.05</v>
      </c>
      <c r="I1695">
        <v>271.25119999999998</v>
      </c>
      <c r="J1695">
        <v>-279.37259999999998</v>
      </c>
      <c r="K1695">
        <v>1.1090199999999999</v>
      </c>
      <c r="L1695">
        <v>284.5652</v>
      </c>
      <c r="M1695">
        <v>-0.99981940000000002</v>
      </c>
      <c r="N1695">
        <v>0</v>
      </c>
      <c r="O1695">
        <v>1.7452820000000001E-2</v>
      </c>
      <c r="P1695">
        <v>-0.98909519999999995</v>
      </c>
      <c r="Q1695">
        <v>-4.1603330000000001E-2</v>
      </c>
      <c r="R1695">
        <v>0.1412803</v>
      </c>
      <c r="S1695">
        <v>-3.1440730000000001</v>
      </c>
      <c r="T1695">
        <v>-6.9256070000000003E-2</v>
      </c>
      <c r="U1695">
        <v>-0.79522709999999996</v>
      </c>
      <c r="V1695">
        <v>0.1239912</v>
      </c>
      <c r="W1695">
        <v>-3.414176E-2</v>
      </c>
      <c r="X1695">
        <v>0.99169580000000002</v>
      </c>
      <c r="Y1695">
        <v>-0.2620265</v>
      </c>
      <c r="Z1695">
        <v>-3.2194709999999998E-3</v>
      </c>
      <c r="AA1695">
        <v>0.96505529999999995</v>
      </c>
      <c r="AB1695">
        <v>32</v>
      </c>
      <c r="AC1695">
        <v>-52.2958</v>
      </c>
      <c r="AD1695">
        <v>-1.1590199999999999</v>
      </c>
      <c r="AE1695">
        <v>-13.314</v>
      </c>
      <c r="AF1695">
        <v>-14.218148319192601</v>
      </c>
      <c r="AG1695">
        <v>-1.1590199999999999</v>
      </c>
      <c r="AH1695">
        <v>52.031459283191801</v>
      </c>
      <c r="AI1695">
        <v>91.230957026556297</v>
      </c>
      <c r="AJ1695">
        <v>105.283557289911</v>
      </c>
      <c r="AK1695">
        <v>53.951569246180497</v>
      </c>
      <c r="AL1695">
        <v>91.956558956052803</v>
      </c>
      <c r="AM1695">
        <v>82.873321143187994</v>
      </c>
      <c r="AN1695">
        <v>1.00000001859548</v>
      </c>
    </row>
    <row r="1696" spans="1:40" x14ac:dyDescent="0.25">
      <c r="A1696" t="str">
        <f>"20190312161300100"</f>
        <v>20190312161300100</v>
      </c>
      <c r="B1696" t="str">
        <f>"1552378380097569"</f>
        <v>1552378380097569</v>
      </c>
      <c r="C1696" t="s">
        <v>40</v>
      </c>
      <c r="D1696">
        <v>6.1127050000000001</v>
      </c>
      <c r="E1696">
        <v>0.39667239999999998</v>
      </c>
      <c r="F1696" t="s">
        <v>41</v>
      </c>
      <c r="G1696">
        <v>-331.84350000000001</v>
      </c>
      <c r="H1696">
        <v>-0.05</v>
      </c>
      <c r="I1696">
        <v>271.2002</v>
      </c>
      <c r="J1696">
        <v>-279.69220000000001</v>
      </c>
      <c r="K1696">
        <v>1.1090199999999999</v>
      </c>
      <c r="L1696">
        <v>284.57089999999999</v>
      </c>
      <c r="M1696">
        <v>-0.9998184</v>
      </c>
      <c r="N1696">
        <v>0</v>
      </c>
      <c r="O1696">
        <v>1.74979E-2</v>
      </c>
      <c r="P1696">
        <v>-0.98909789999999997</v>
      </c>
      <c r="Q1696">
        <v>-4.1894340000000002E-2</v>
      </c>
      <c r="R1696">
        <v>0.14117539999999901</v>
      </c>
      <c r="S1696">
        <v>-3.1445620000000001</v>
      </c>
      <c r="T1696">
        <v>-6.9459679999999996E-2</v>
      </c>
      <c r="U1696">
        <v>-0.80096440000000002</v>
      </c>
      <c r="V1696">
        <v>0.1238416</v>
      </c>
      <c r="W1696">
        <v>-3.4422759999999997E-2</v>
      </c>
      <c r="X1696">
        <v>0.99170480000000005</v>
      </c>
      <c r="Y1696">
        <v>-0.26368760000000002</v>
      </c>
      <c r="Z1696">
        <v>-3.2467730000000001E-3</v>
      </c>
      <c r="AA1696">
        <v>0.96460270000000004</v>
      </c>
      <c r="AB1696">
        <v>32</v>
      </c>
      <c r="AC1696">
        <v>-52.1512999999999</v>
      </c>
      <c r="AD1696">
        <v>-1.1590199999999999</v>
      </c>
      <c r="AE1696">
        <v>-13.370699999999999</v>
      </c>
      <c r="AF1696">
        <v>-14.2746014924405</v>
      </c>
      <c r="AG1696">
        <v>-1.1590199999999999</v>
      </c>
      <c r="AH1696">
        <v>51.885303065854998</v>
      </c>
      <c r="AI1696">
        <v>91.233838939149095</v>
      </c>
      <c r="AJ1696">
        <v>105.38255784918999</v>
      </c>
      <c r="AK1696">
        <v>53.8255724480846</v>
      </c>
      <c r="AL1696">
        <v>91.972668498316096</v>
      </c>
      <c r="AM1696">
        <v>82.881895427164196</v>
      </c>
      <c r="AN1696">
        <v>1.0000000393198001</v>
      </c>
    </row>
    <row r="1697" spans="1:40" x14ac:dyDescent="0.25">
      <c r="A1697" t="str">
        <f>"20190312161300123"</f>
        <v>20190312161300123</v>
      </c>
      <c r="B1697" t="str">
        <f>"1552378380117088"</f>
        <v>1552378380117088</v>
      </c>
      <c r="C1697" t="s">
        <v>40</v>
      </c>
      <c r="D1697">
        <v>5.8430540000000004</v>
      </c>
      <c r="E1697">
        <v>0.41405979999999998</v>
      </c>
      <c r="F1697" t="s">
        <v>74</v>
      </c>
      <c r="G1697">
        <v>-289.71199999999999</v>
      </c>
      <c r="H1697" s="1">
        <v>4.3747279999999997E-6</v>
      </c>
      <c r="I1697">
        <v>283.26440000000002</v>
      </c>
      <c r="J1697">
        <v>-280.01010000000002</v>
      </c>
      <c r="K1697">
        <v>1.109019</v>
      </c>
      <c r="L1697">
        <v>284.57650000000001</v>
      </c>
      <c r="M1697">
        <v>-0.99981750000000003</v>
      </c>
      <c r="N1697">
        <v>0</v>
      </c>
      <c r="O1697">
        <v>1.7542329999999998E-2</v>
      </c>
      <c r="P1697">
        <v>-0.98909150000000001</v>
      </c>
      <c r="Q1697">
        <v>-4.220641E-2</v>
      </c>
      <c r="R1697">
        <v>0.14112749999999999</v>
      </c>
      <c r="S1697">
        <v>-3.0758969999999999</v>
      </c>
      <c r="T1697">
        <v>-0.3404469</v>
      </c>
      <c r="U1697">
        <v>-0.40106199999999997</v>
      </c>
      <c r="V1697">
        <v>0.1237496</v>
      </c>
      <c r="W1697">
        <v>-3.4724980000000003E-2</v>
      </c>
      <c r="X1697">
        <v>0.99170570000000002</v>
      </c>
      <c r="Y1697">
        <v>-0.14568909999999999</v>
      </c>
      <c r="Z1697">
        <v>-9.9326359999999999E-3</v>
      </c>
      <c r="AA1697">
        <v>0.98928059999999995</v>
      </c>
      <c r="AB1697">
        <v>32</v>
      </c>
      <c r="AC1697">
        <v>-9.7018999999999593</v>
      </c>
      <c r="AD1697">
        <v>-1.1090146252719999</v>
      </c>
      <c r="AE1697">
        <v>-1.3120999999999801</v>
      </c>
      <c r="AF1697">
        <v>-1.4633197827142601</v>
      </c>
      <c r="AG1697">
        <v>-1.1090146252719999</v>
      </c>
      <c r="AH1697">
        <v>9.5547834775339702</v>
      </c>
      <c r="AI1697">
        <v>96.545003264602798</v>
      </c>
      <c r="AJ1697">
        <v>98.707221247198902</v>
      </c>
      <c r="AK1697">
        <v>9.7295994536315007</v>
      </c>
      <c r="AL1697">
        <v>91.989994881844098</v>
      </c>
      <c r="AM1697">
        <v>82.887135562939605</v>
      </c>
      <c r="AN1697">
        <v>0.99999999157432495</v>
      </c>
    </row>
    <row r="1698" spans="1:40" x14ac:dyDescent="0.25">
      <c r="A1698" t="str">
        <f>"20190312161300145"</f>
        <v>20190312161300145</v>
      </c>
      <c r="B1698" t="str">
        <f>"1552378380137585"</f>
        <v>1552378380137585</v>
      </c>
      <c r="C1698" t="s">
        <v>40</v>
      </c>
      <c r="D1698">
        <v>5.9007339999999999</v>
      </c>
      <c r="E1698">
        <v>0.42448089999999999</v>
      </c>
      <c r="F1698" t="s">
        <v>74</v>
      </c>
      <c r="G1698">
        <v>-294.64929999999998</v>
      </c>
      <c r="H1698" s="1">
        <v>3.1425130000000001E-6</v>
      </c>
      <c r="I1698">
        <v>283.33460000000002</v>
      </c>
      <c r="J1698">
        <v>-280.33199999999999</v>
      </c>
      <c r="K1698">
        <v>1.1090169999999999</v>
      </c>
      <c r="L1698">
        <v>284.5822</v>
      </c>
      <c r="M1698">
        <v>-0.9998167</v>
      </c>
      <c r="N1698">
        <v>0</v>
      </c>
      <c r="O1698">
        <v>1.7587240000000001E-2</v>
      </c>
      <c r="P1698">
        <v>-0.98910699999999996</v>
      </c>
      <c r="Q1698">
        <v>-4.1856339999999999E-2</v>
      </c>
      <c r="R1698">
        <v>0.14112249999999901</v>
      </c>
      <c r="S1698">
        <v>-3.0602420000000001</v>
      </c>
      <c r="T1698">
        <v>-0.2318337</v>
      </c>
      <c r="U1698">
        <v>-0.25961299999999998</v>
      </c>
      <c r="V1698">
        <v>0.1236998</v>
      </c>
      <c r="W1698">
        <v>-3.4364770000000003E-2</v>
      </c>
      <c r="X1698">
        <v>0.99172450000000001</v>
      </c>
      <c r="Y1698">
        <v>-0.10170269999999999</v>
      </c>
      <c r="Z1698">
        <v>-5.1682539999999997E-3</v>
      </c>
      <c r="AA1698">
        <v>0.99480139999999995</v>
      </c>
      <c r="AB1698">
        <v>32</v>
      </c>
      <c r="AC1698">
        <v>-14.3172999999999</v>
      </c>
      <c r="AD1698">
        <v>-1.1090138574870001</v>
      </c>
      <c r="AE1698">
        <v>-1.2475999999999701</v>
      </c>
      <c r="AF1698">
        <v>-1.49034135629092</v>
      </c>
      <c r="AG1698">
        <v>-1.1090138574870001</v>
      </c>
      <c r="AH1698">
        <v>14.2085341488237</v>
      </c>
      <c r="AI1698">
        <v>94.438786367553405</v>
      </c>
      <c r="AJ1698">
        <v>95.987891814065094</v>
      </c>
      <c r="AK1698">
        <v>14.329461670023001</v>
      </c>
      <c r="AL1698">
        <v>91.969343965805606</v>
      </c>
      <c r="AM1698">
        <v>82.890102064687099</v>
      </c>
      <c r="AN1698">
        <v>1.00000003091872</v>
      </c>
    </row>
    <row r="1699" spans="1:40" x14ac:dyDescent="0.25">
      <c r="A1699" t="str">
        <f>"20190312161300167"</f>
        <v>20190312161300167</v>
      </c>
      <c r="B1699" t="str">
        <f>"1552378380157106"</f>
        <v>1552378380157106</v>
      </c>
      <c r="C1699" t="s">
        <v>40</v>
      </c>
      <c r="D1699">
        <v>6.0142559999999996</v>
      </c>
      <c r="E1699">
        <v>0.42966090000000001</v>
      </c>
      <c r="F1699" t="s">
        <v>74</v>
      </c>
      <c r="G1699">
        <v>-297.11590000000001</v>
      </c>
      <c r="H1699" s="1">
        <v>3.5557769999999999E-6</v>
      </c>
      <c r="I1699">
        <v>283.61219999999997</v>
      </c>
      <c r="J1699">
        <v>-280.65750000000003</v>
      </c>
      <c r="K1699">
        <v>1.1090139999999999</v>
      </c>
      <c r="L1699">
        <v>284.58800000000002</v>
      </c>
      <c r="M1699">
        <v>-0.99981589999999998</v>
      </c>
      <c r="N1699">
        <v>0</v>
      </c>
      <c r="O1699">
        <v>1.7632970000000001E-2</v>
      </c>
      <c r="P1699">
        <v>-0.98910120000000001</v>
      </c>
      <c r="Q1699">
        <v>-4.1526800000000003E-2</v>
      </c>
      <c r="R1699">
        <v>0.1412602</v>
      </c>
      <c r="S1699">
        <v>-3.049652</v>
      </c>
      <c r="T1699">
        <v>-0.2015091</v>
      </c>
      <c r="U1699">
        <v>-0.17623900000000001</v>
      </c>
      <c r="V1699">
        <v>0.12379229999999999</v>
      </c>
      <c r="W1699">
        <v>-3.4024970000000002E-2</v>
      </c>
      <c r="X1699">
        <v>0.99172470000000001</v>
      </c>
      <c r="Y1699">
        <v>-7.5087199999999896E-2</v>
      </c>
      <c r="Z1699">
        <v>-3.6389930000000001E-3</v>
      </c>
      <c r="AA1699">
        <v>0.99717029999999995</v>
      </c>
      <c r="AB1699">
        <v>32</v>
      </c>
      <c r="AC1699">
        <v>-16.458399999999902</v>
      </c>
      <c r="AD1699">
        <v>-1.109010444223</v>
      </c>
      <c r="AE1699">
        <v>-0.97579999999999201</v>
      </c>
      <c r="AF1699">
        <v>-1.2601654228372201</v>
      </c>
      <c r="AG1699">
        <v>-1.109010444223</v>
      </c>
      <c r="AH1699">
        <v>16.3645924176076</v>
      </c>
      <c r="AI1699">
        <v>93.865534889233302</v>
      </c>
      <c r="AJ1699">
        <v>94.403406310427997</v>
      </c>
      <c r="AK1699">
        <v>16.450465222987699</v>
      </c>
      <c r="AL1699">
        <v>91.949863418317804</v>
      </c>
      <c r="AM1699">
        <v>82.884841330545896</v>
      </c>
      <c r="AN1699">
        <v>1.00000005635643</v>
      </c>
    </row>
    <row r="1700" spans="1:40" x14ac:dyDescent="0.25">
      <c r="A1700" t="str">
        <f>"20190312161300190"</f>
        <v>20190312161300190</v>
      </c>
      <c r="B1700" t="str">
        <f>"1552378380187360"</f>
        <v>1552378380187360</v>
      </c>
      <c r="C1700" t="s">
        <v>40</v>
      </c>
      <c r="D1700">
        <v>6.0462020000000001</v>
      </c>
      <c r="E1700">
        <v>0.43383339999999998</v>
      </c>
      <c r="F1700" t="s">
        <v>74</v>
      </c>
      <c r="G1700">
        <v>-300.13589999999999</v>
      </c>
      <c r="H1700" s="1">
        <v>4.0178020000000004E-6</v>
      </c>
      <c r="I1700">
        <v>283.7321</v>
      </c>
      <c r="J1700">
        <v>-280.98320000000001</v>
      </c>
      <c r="K1700">
        <v>1.1090120000000001</v>
      </c>
      <c r="L1700">
        <v>284.59379999999999</v>
      </c>
      <c r="M1700">
        <v>-0.99981489999999995</v>
      </c>
      <c r="N1700">
        <v>0</v>
      </c>
      <c r="O1700">
        <v>1.7678590000000001E-2</v>
      </c>
      <c r="P1700">
        <v>-0.98901719999999904</v>
      </c>
      <c r="Q1700">
        <v>-4.1413579999999998E-2</v>
      </c>
      <c r="R1700">
        <v>0.14188039999999999</v>
      </c>
      <c r="S1700">
        <v>-3.0449220000000001</v>
      </c>
      <c r="T1700">
        <v>-0.17336389999999999</v>
      </c>
      <c r="U1700">
        <v>-0.13378909999999999</v>
      </c>
      <c r="V1700">
        <v>0.124368699999999</v>
      </c>
      <c r="W1700">
        <v>-3.3902099999999998E-2</v>
      </c>
      <c r="X1700">
        <v>0.99165669999999995</v>
      </c>
      <c r="Y1700">
        <v>-6.142338E-2</v>
      </c>
      <c r="Z1700">
        <v>-2.751655E-3</v>
      </c>
      <c r="AA1700">
        <v>0.998108</v>
      </c>
      <c r="AB1700">
        <v>32</v>
      </c>
      <c r="AC1700">
        <v>-19.1526999999999</v>
      </c>
      <c r="AD1700">
        <v>-1.1090079821979999</v>
      </c>
      <c r="AE1700">
        <v>-0.86169999999998403</v>
      </c>
      <c r="AF1700">
        <v>-1.1961653980451601</v>
      </c>
      <c r="AG1700">
        <v>-1.1090079821979999</v>
      </c>
      <c r="AH1700">
        <v>19.070661397334099</v>
      </c>
      <c r="AI1700">
        <v>93.321635778383893</v>
      </c>
      <c r="AJ1700">
        <v>93.589050378074006</v>
      </c>
      <c r="AK1700">
        <v>19.140293532123</v>
      </c>
      <c r="AL1700">
        <v>91.942819593572295</v>
      </c>
      <c r="AM1700">
        <v>82.851568646667502</v>
      </c>
      <c r="AN1700">
        <v>0.999999968289494</v>
      </c>
    </row>
    <row r="1701" spans="1:40" x14ac:dyDescent="0.25">
      <c r="A1701" t="str">
        <f>"20190312161300209"</f>
        <v>20190312161300209</v>
      </c>
      <c r="B1701" t="str">
        <f>"1552378380197129"</f>
        <v>1552378380197129</v>
      </c>
      <c r="C1701" t="s">
        <v>40</v>
      </c>
      <c r="D1701">
        <v>5.9570639999999999</v>
      </c>
      <c r="E1701">
        <v>0.4347936</v>
      </c>
      <c r="F1701" t="s">
        <v>74</v>
      </c>
      <c r="G1701">
        <v>-301.52980000000002</v>
      </c>
      <c r="H1701" s="1">
        <v>3.7533850000000001E-6</v>
      </c>
      <c r="I1701">
        <v>283.92829999999998</v>
      </c>
      <c r="J1701">
        <v>-281.27550000000002</v>
      </c>
      <c r="K1701">
        <v>1.1090120000000001</v>
      </c>
      <c r="L1701">
        <v>284.59890000000001</v>
      </c>
      <c r="M1701">
        <v>-0.99981419999999999</v>
      </c>
      <c r="N1701">
        <v>0</v>
      </c>
      <c r="O1701">
        <v>1.7718970000000001E-2</v>
      </c>
      <c r="P1701">
        <v>-0.98886280000000004</v>
      </c>
      <c r="Q1701">
        <v>-4.1753159999999997E-2</v>
      </c>
      <c r="R1701">
        <v>0.14285400000000001</v>
      </c>
      <c r="S1701">
        <v>-3.0405579999999999</v>
      </c>
      <c r="T1701">
        <v>-0.16411500000000001</v>
      </c>
      <c r="U1701">
        <v>-9.8480219999999993E-2</v>
      </c>
      <c r="V1701">
        <v>0.12530479999999999</v>
      </c>
      <c r="W1701">
        <v>-3.4233699999999999E-2</v>
      </c>
      <c r="X1701">
        <v>0.99152750000000001</v>
      </c>
      <c r="Y1701">
        <v>-4.9978559999999998E-2</v>
      </c>
      <c r="Z1701">
        <v>-2.3029690000000002E-3</v>
      </c>
      <c r="AA1701">
        <v>0.99874759999999996</v>
      </c>
      <c r="AB1701">
        <v>32</v>
      </c>
      <c r="AC1701">
        <v>-20.254300000000001</v>
      </c>
      <c r="AD1701">
        <v>-1.109008246615</v>
      </c>
      <c r="AE1701">
        <v>-0.67060000000003495</v>
      </c>
      <c r="AF1701">
        <v>-1.02631683227697</v>
      </c>
      <c r="AG1701">
        <v>-1.109008246615</v>
      </c>
      <c r="AH1701">
        <v>20.1788070450215</v>
      </c>
      <c r="AI1701">
        <v>93.141704631036703</v>
      </c>
      <c r="AJ1701">
        <v>92.9116189026184</v>
      </c>
      <c r="AK1701">
        <v>20.2353027971287</v>
      </c>
      <c r="AL1701">
        <v>91.961829825654604</v>
      </c>
      <c r="AM1701">
        <v>82.797398021006501</v>
      </c>
      <c r="AN1701">
        <v>1.0000000111874801</v>
      </c>
    </row>
    <row r="1702" spans="1:40" x14ac:dyDescent="0.25">
      <c r="A1702" t="str">
        <f>"20190312161300223"</f>
        <v>20190312161300223</v>
      </c>
      <c r="B1702" t="str">
        <f>"1552378380217617"</f>
        <v>1552378380217617</v>
      </c>
      <c r="C1702" t="s">
        <v>40</v>
      </c>
      <c r="D1702">
        <v>6.1312949999999997</v>
      </c>
      <c r="E1702">
        <v>0.43611119999999998</v>
      </c>
      <c r="F1702" t="s">
        <v>74</v>
      </c>
      <c r="G1702">
        <v>-302.37299999999999</v>
      </c>
      <c r="H1702" s="1">
        <v>3.598472E-6</v>
      </c>
      <c r="I1702">
        <v>283.98930000000001</v>
      </c>
      <c r="J1702">
        <v>-281.47030000000001</v>
      </c>
      <c r="K1702">
        <v>1.109013</v>
      </c>
      <c r="L1702">
        <v>284.60239999999999</v>
      </c>
      <c r="M1702">
        <v>-0.99981359999999997</v>
      </c>
      <c r="N1702">
        <v>0</v>
      </c>
      <c r="O1702">
        <v>1.7746189999999998E-2</v>
      </c>
      <c r="P1702">
        <v>-0.98881200000000002</v>
      </c>
      <c r="Q1702">
        <v>-4.154385E-2</v>
      </c>
      <c r="R1702">
        <v>0.1432659</v>
      </c>
      <c r="S1702">
        <v>-3.0397340000000002</v>
      </c>
      <c r="T1702">
        <v>-0.15978609999999999</v>
      </c>
      <c r="U1702">
        <v>-8.7829589999999999E-2</v>
      </c>
      <c r="V1702">
        <v>0.12569050000000001</v>
      </c>
      <c r="W1702">
        <v>-3.4018529999999998E-2</v>
      </c>
      <c r="X1702">
        <v>0.99148610000000004</v>
      </c>
      <c r="Y1702">
        <v>-4.6527869999999999E-2</v>
      </c>
      <c r="Z1702">
        <v>-2.1538450000000002E-3</v>
      </c>
      <c r="AA1702">
        <v>0.99891470000000004</v>
      </c>
      <c r="AB1702">
        <v>33</v>
      </c>
      <c r="AC1702">
        <v>-20.9026999999999</v>
      </c>
      <c r="AD1702">
        <v>-1.1090094015279901</v>
      </c>
      <c r="AE1702">
        <v>-0.613099999999974</v>
      </c>
      <c r="AF1702">
        <v>-0.98119784245059505</v>
      </c>
      <c r="AG1702">
        <v>-1.1090094015279901</v>
      </c>
      <c r="AH1702">
        <v>20.829943458862001</v>
      </c>
      <c r="AI1702">
        <v>93.044244516937695</v>
      </c>
      <c r="AJ1702">
        <v>92.696933365162707</v>
      </c>
      <c r="AK1702">
        <v>20.882509321393702</v>
      </c>
      <c r="AL1702">
        <v>91.949494282239698</v>
      </c>
      <c r="AM1702">
        <v>82.775163149242999</v>
      </c>
      <c r="AN1702">
        <v>1.00000002433341</v>
      </c>
    </row>
    <row r="1703" spans="1:40" x14ac:dyDescent="0.25">
      <c r="A1703" t="str">
        <f>"20190312161300236"</f>
        <v>20190312161300236</v>
      </c>
      <c r="B1703" t="str">
        <f>"1552378380227377"</f>
        <v>1552378380227377</v>
      </c>
      <c r="C1703" t="s">
        <v>40</v>
      </c>
      <c r="D1703">
        <v>6.0984109999999996</v>
      </c>
      <c r="E1703">
        <v>0.43666719999999998</v>
      </c>
      <c r="F1703" t="s">
        <v>74</v>
      </c>
      <c r="G1703">
        <v>-303.61709999999999</v>
      </c>
      <c r="H1703" s="1">
        <v>3.3725010000000001E-6</v>
      </c>
      <c r="I1703">
        <v>284.04989999999998</v>
      </c>
      <c r="J1703">
        <v>-281.66430000000003</v>
      </c>
      <c r="K1703">
        <v>1.1090139999999999</v>
      </c>
      <c r="L1703">
        <v>284.60590000000002</v>
      </c>
      <c r="M1703">
        <v>-0.99981310000000001</v>
      </c>
      <c r="N1703">
        <v>0</v>
      </c>
      <c r="O1703">
        <v>1.7773049999999999E-2</v>
      </c>
      <c r="P1703">
        <v>-0.98877820000000005</v>
      </c>
      <c r="Q1703">
        <v>-4.1189419999999997E-2</v>
      </c>
      <c r="R1703">
        <v>0.1436017</v>
      </c>
      <c r="S1703">
        <v>-3.0385439999999999</v>
      </c>
      <c r="T1703">
        <v>-0.15215590000000001</v>
      </c>
      <c r="U1703">
        <v>-7.5805659999999997E-2</v>
      </c>
      <c r="V1703">
        <v>0.12600029999999901</v>
      </c>
      <c r="W1703">
        <v>-3.3658170000000001E-2</v>
      </c>
      <c r="X1703">
        <v>0.99145910000000004</v>
      </c>
      <c r="Y1703">
        <v>-4.262871E-2</v>
      </c>
      <c r="Z1703">
        <v>-1.9558230000000002E-3</v>
      </c>
      <c r="AA1703">
        <v>0.99908909999999995</v>
      </c>
      <c r="AB1703">
        <v>33</v>
      </c>
      <c r="AC1703">
        <v>-21.9527999999999</v>
      </c>
      <c r="AD1703">
        <v>-1.1090106274989999</v>
      </c>
      <c r="AE1703">
        <v>-0.55600000000004002</v>
      </c>
      <c r="AF1703">
        <v>-0.94368487730102202</v>
      </c>
      <c r="AG1703">
        <v>-1.1090106274989999</v>
      </c>
      <c r="AH1703">
        <v>21.8836375403896</v>
      </c>
      <c r="AI1703">
        <v>92.898442660917695</v>
      </c>
      <c r="AJ1703">
        <v>92.469227640399097</v>
      </c>
      <c r="AK1703">
        <v>21.9320322295655</v>
      </c>
      <c r="AL1703">
        <v>91.928835299862399</v>
      </c>
      <c r="AM1703">
        <v>82.757349201843496</v>
      </c>
      <c r="AN1703">
        <v>1.0000000474903199</v>
      </c>
    </row>
    <row r="1704" spans="1:40" x14ac:dyDescent="0.25">
      <c r="A1704" t="str">
        <f>"20190312161300256"</f>
        <v>20190312161300256</v>
      </c>
      <c r="B1704" t="str">
        <f>"1552378380247872"</f>
        <v>1552378380247872</v>
      </c>
      <c r="C1704" t="s">
        <v>40</v>
      </c>
      <c r="D1704">
        <v>6.025741</v>
      </c>
      <c r="E1704">
        <v>0.43755899999999998</v>
      </c>
      <c r="F1704" t="s">
        <v>74</v>
      </c>
      <c r="G1704">
        <v>-304.3648</v>
      </c>
      <c r="H1704" s="1">
        <v>3.2371540000000001E-6</v>
      </c>
      <c r="I1704">
        <v>284.08100000000002</v>
      </c>
      <c r="J1704">
        <v>-281.95679999999999</v>
      </c>
      <c r="K1704">
        <v>1.109022</v>
      </c>
      <c r="L1704">
        <v>284.61110000000002</v>
      </c>
      <c r="M1704">
        <v>-0.99981240000000005</v>
      </c>
      <c r="N1704">
        <v>0</v>
      </c>
      <c r="O1704">
        <v>1.7813120000000002E-2</v>
      </c>
      <c r="P1704">
        <v>-0.98878460000000001</v>
      </c>
      <c r="Q1704">
        <v>-4.0539279999999997E-2</v>
      </c>
      <c r="R1704">
        <v>0.143742799999999</v>
      </c>
      <c r="S1704">
        <v>-3.0380859999999998</v>
      </c>
      <c r="T1704">
        <v>-0.14842269999999999</v>
      </c>
      <c r="U1704">
        <v>-7.0251460000000002E-2</v>
      </c>
      <c r="V1704">
        <v>0.12610170000000001</v>
      </c>
      <c r="W1704">
        <v>-3.2998600000000003E-2</v>
      </c>
      <c r="X1704">
        <v>0.99146829999999997</v>
      </c>
      <c r="Y1704">
        <v>-4.0852689999999997E-2</v>
      </c>
      <c r="Z1704">
        <v>-1.8668249999999999E-3</v>
      </c>
      <c r="AA1704">
        <v>0.99916340000000003</v>
      </c>
      <c r="AB1704">
        <v>33</v>
      </c>
      <c r="AC1704">
        <v>-22.408000000000001</v>
      </c>
      <c r="AD1704">
        <v>-1.109018762846</v>
      </c>
      <c r="AE1704">
        <v>-0.53010000000006097</v>
      </c>
      <c r="AF1704">
        <v>-0.92691464980594696</v>
      </c>
      <c r="AG1704">
        <v>-1.109018762846</v>
      </c>
      <c r="AH1704">
        <v>22.340310148342301</v>
      </c>
      <c r="AI1704">
        <v>92.839507885255202</v>
      </c>
      <c r="AJ1704">
        <v>92.375878114205506</v>
      </c>
      <c r="AK1704">
        <v>22.387017463442799</v>
      </c>
      <c r="AL1704">
        <v>91.891023867780902</v>
      </c>
      <c r="AM1704">
        <v>82.751649115989295</v>
      </c>
      <c r="AN1704">
        <v>0.99999996812486902</v>
      </c>
    </row>
    <row r="1705" spans="1:40" x14ac:dyDescent="0.25">
      <c r="A1705" t="str">
        <f>"20190312161300269"</f>
        <v>20190312161300269</v>
      </c>
      <c r="B1705" t="str">
        <f>"1552378380257635"</f>
        <v>1552378380257635</v>
      </c>
      <c r="C1705" t="s">
        <v>40</v>
      </c>
      <c r="D1705">
        <v>6.0687119999999997</v>
      </c>
      <c r="E1705">
        <v>0.43797580000000003</v>
      </c>
      <c r="F1705" t="s">
        <v>74</v>
      </c>
      <c r="G1705">
        <v>-305.55180000000001</v>
      </c>
      <c r="H1705" s="1">
        <v>3.0227759999999999E-6</v>
      </c>
      <c r="I1705">
        <v>284.12490000000003</v>
      </c>
      <c r="J1705">
        <v>-282.1438</v>
      </c>
      <c r="K1705">
        <v>1.1090230000000001</v>
      </c>
      <c r="L1705">
        <v>284.61450000000002</v>
      </c>
      <c r="M1705">
        <v>-0.99981180000000003</v>
      </c>
      <c r="N1705">
        <v>0</v>
      </c>
      <c r="O1705">
        <v>1.783831E-2</v>
      </c>
      <c r="P1705">
        <v>-0.98877729999999997</v>
      </c>
      <c r="Q1705">
        <v>-4.0474360000000001E-2</v>
      </c>
      <c r="R1705">
        <v>0.14380979999999999</v>
      </c>
      <c r="S1705">
        <v>-3.0372620000000001</v>
      </c>
      <c r="T1705">
        <v>-0.14275860000000001</v>
      </c>
      <c r="U1705">
        <v>-6.2591549999999996E-2</v>
      </c>
      <c r="V1705">
        <v>0.1261438</v>
      </c>
      <c r="W1705">
        <v>-3.2927669999999999E-2</v>
      </c>
      <c r="X1705">
        <v>0.99146529999999999</v>
      </c>
      <c r="Y1705">
        <v>-3.8373240000000003E-2</v>
      </c>
      <c r="Z1705">
        <v>-1.739146E-3</v>
      </c>
      <c r="AA1705">
        <v>0.99926199999999998</v>
      </c>
      <c r="AB1705">
        <v>33</v>
      </c>
      <c r="AC1705">
        <v>-23.408000000000001</v>
      </c>
      <c r="AD1705">
        <v>-1.1090199772239999</v>
      </c>
      <c r="AE1705">
        <v>-0.48959999999999498</v>
      </c>
      <c r="AF1705">
        <v>-0.90506272844386704</v>
      </c>
      <c r="AG1705">
        <v>-1.1090199772239999</v>
      </c>
      <c r="AH1705">
        <v>23.343166815218499</v>
      </c>
      <c r="AI1705">
        <v>92.718004023966898</v>
      </c>
      <c r="AJ1705">
        <v>92.220363400003805</v>
      </c>
      <c r="AK1705">
        <v>23.3870156457684</v>
      </c>
      <c r="AL1705">
        <v>91.886957673418806</v>
      </c>
      <c r="AM1705">
        <v>82.749233242970803</v>
      </c>
      <c r="AN1705">
        <v>0.99999996541707803</v>
      </c>
    </row>
    <row r="1706" spans="1:40" x14ac:dyDescent="0.25">
      <c r="A1706" t="str">
        <f>"20190312161300287"</f>
        <v>20190312161300287</v>
      </c>
      <c r="B1706" t="str">
        <f>"1552378380277153"</f>
        <v>1552378380277153</v>
      </c>
      <c r="C1706" t="s">
        <v>40</v>
      </c>
      <c r="D1706">
        <v>6.0500319999999999</v>
      </c>
      <c r="E1706">
        <v>0.4386331</v>
      </c>
      <c r="F1706" t="s">
        <v>74</v>
      </c>
      <c r="G1706">
        <v>-306.04399999999998</v>
      </c>
      <c r="H1706" s="1">
        <v>2.9332990000000001E-6</v>
      </c>
      <c r="I1706">
        <v>284.14949999999999</v>
      </c>
      <c r="J1706">
        <v>-282.42180000000002</v>
      </c>
      <c r="K1706">
        <v>1.1090260000000001</v>
      </c>
      <c r="L1706">
        <v>284.61950000000002</v>
      </c>
      <c r="M1706">
        <v>-0.99981109999999895</v>
      </c>
      <c r="N1706">
        <v>0</v>
      </c>
      <c r="O1706">
        <v>1.7874210000000001E-2</v>
      </c>
      <c r="P1706">
        <v>-0.9887859</v>
      </c>
      <c r="Q1706">
        <v>-4.082612E-2</v>
      </c>
      <c r="R1706">
        <v>0.14365129999999901</v>
      </c>
      <c r="S1706">
        <v>-3.036896</v>
      </c>
      <c r="T1706">
        <v>-0.14091809999999999</v>
      </c>
      <c r="U1706">
        <v>-5.9082030000000001E-2</v>
      </c>
      <c r="V1706">
        <v>0.1259497</v>
      </c>
      <c r="W1706">
        <v>-3.3270210000000001E-2</v>
      </c>
      <c r="X1706">
        <v>0.99147859999999999</v>
      </c>
      <c r="Y1706">
        <v>-3.7260010000000003E-2</v>
      </c>
      <c r="Z1706">
        <v>-1.6928259999999999E-3</v>
      </c>
      <c r="AA1706">
        <v>0.99930419999999998</v>
      </c>
      <c r="AB1706">
        <v>33</v>
      </c>
      <c r="AC1706">
        <v>-23.622199999999999</v>
      </c>
      <c r="AD1706">
        <v>-1.1090230667009999</v>
      </c>
      <c r="AE1706">
        <v>-0.47000000000002701</v>
      </c>
      <c r="AF1706">
        <v>-0.89020401348318701</v>
      </c>
      <c r="AG1706">
        <v>-1.1090230667009999</v>
      </c>
      <c r="AH1706">
        <v>23.558119855935999</v>
      </c>
      <c r="AI1706">
        <v>92.693349322678102</v>
      </c>
      <c r="AJ1706">
        <v>92.164038442666694</v>
      </c>
      <c r="AK1706">
        <v>23.6010043535173</v>
      </c>
      <c r="AL1706">
        <v>91.906594418142106</v>
      </c>
      <c r="AM1706">
        <v>82.760367763102806</v>
      </c>
      <c r="AN1706">
        <v>1.0000000240307401</v>
      </c>
    </row>
    <row r="1707" spans="1:40" x14ac:dyDescent="0.25">
      <c r="A1707" t="str">
        <f>"20190312161300299"</f>
        <v>20190312161300299</v>
      </c>
      <c r="B1707" t="str">
        <f>"1552378380297649"</f>
        <v>1552378380297649</v>
      </c>
      <c r="C1707" t="s">
        <v>40</v>
      </c>
      <c r="D1707">
        <v>6.029579</v>
      </c>
      <c r="E1707">
        <v>0.43857960000000001</v>
      </c>
      <c r="F1707" t="s">
        <v>74</v>
      </c>
      <c r="G1707">
        <v>-306.81389999999999</v>
      </c>
      <c r="H1707" s="1">
        <v>2.7939090000000001E-6</v>
      </c>
      <c r="I1707">
        <v>284.18189999999998</v>
      </c>
      <c r="J1707">
        <v>-282.60039999999998</v>
      </c>
      <c r="K1707">
        <v>1.1090279999999999</v>
      </c>
      <c r="L1707">
        <v>284.62270000000001</v>
      </c>
      <c r="M1707">
        <v>-0.99981070000000005</v>
      </c>
      <c r="N1707">
        <v>0</v>
      </c>
      <c r="O1707">
        <v>1.7895390000000001E-2</v>
      </c>
      <c r="P1707">
        <v>-0.98875789999999997</v>
      </c>
      <c r="Q1707">
        <v>-4.0938049999999997E-2</v>
      </c>
      <c r="R1707">
        <v>0.14381189999999999</v>
      </c>
      <c r="S1707">
        <v>-3.0362550000000001</v>
      </c>
      <c r="T1707">
        <v>-0.1380479</v>
      </c>
      <c r="U1707">
        <v>-5.4473880000000002E-2</v>
      </c>
      <c r="V1707">
        <v>0.1260897</v>
      </c>
      <c r="W1707">
        <v>-3.3376299999999998E-2</v>
      </c>
      <c r="X1707">
        <v>0.99145720000000004</v>
      </c>
      <c r="Y1707">
        <v>-3.5772980000000003E-2</v>
      </c>
      <c r="Z1707">
        <v>-1.6259309999999999E-3</v>
      </c>
      <c r="AA1707">
        <v>0.99935859999999999</v>
      </c>
      <c r="AB1707">
        <v>33</v>
      </c>
      <c r="AC1707">
        <v>-24.2135</v>
      </c>
      <c r="AD1707">
        <v>-1.109025206091</v>
      </c>
      <c r="AE1707">
        <v>-0.44080000000002401</v>
      </c>
      <c r="AF1707">
        <v>-0.87222291145825803</v>
      </c>
      <c r="AG1707">
        <v>-1.109025206091</v>
      </c>
      <c r="AH1707">
        <v>24.151086035042098</v>
      </c>
      <c r="AI1707">
        <v>92.627482031119499</v>
      </c>
      <c r="AJ1707">
        <v>92.068353406489393</v>
      </c>
      <c r="AK1707">
        <v>24.192264598152502</v>
      </c>
      <c r="AL1707">
        <v>91.912676380338496</v>
      </c>
      <c r="AM1707">
        <v>82.752251264081906</v>
      </c>
      <c r="AN1707">
        <v>0.99999998463980899</v>
      </c>
    </row>
    <row r="1708" spans="1:40" x14ac:dyDescent="0.25">
      <c r="A1708" t="str">
        <f>"20190312161300313"</f>
        <v>20190312161300313</v>
      </c>
      <c r="B1708" t="str">
        <f>"1552378380307409"</f>
        <v>1552378380307409</v>
      </c>
      <c r="C1708" t="s">
        <v>40</v>
      </c>
      <c r="D1708">
        <v>5.9916929999999997</v>
      </c>
      <c r="E1708">
        <v>0.43836039999999998</v>
      </c>
      <c r="F1708" t="s">
        <v>74</v>
      </c>
      <c r="G1708">
        <v>-308.08710000000002</v>
      </c>
      <c r="H1708" s="1">
        <v>2.569073E-6</v>
      </c>
      <c r="I1708">
        <v>284.1703</v>
      </c>
      <c r="J1708">
        <v>-282.77679999999998</v>
      </c>
      <c r="K1708">
        <v>1.1090279999999999</v>
      </c>
      <c r="L1708">
        <v>284.6259</v>
      </c>
      <c r="M1708">
        <v>-0.99981030000000004</v>
      </c>
      <c r="N1708">
        <v>0</v>
      </c>
      <c r="O1708">
        <v>1.7915739999999999E-2</v>
      </c>
      <c r="P1708">
        <v>-0.98873409999999995</v>
      </c>
      <c r="Q1708">
        <v>-4.0959339999999997E-2</v>
      </c>
      <c r="R1708">
        <v>0.1439705</v>
      </c>
      <c r="S1708">
        <v>-3.0364689999999999</v>
      </c>
      <c r="T1708">
        <v>-0.13212869999999999</v>
      </c>
      <c r="U1708">
        <v>-5.3894039999999997E-2</v>
      </c>
      <c r="V1708">
        <v>0.1262289</v>
      </c>
      <c r="W1708">
        <v>-3.3391709999999998E-2</v>
      </c>
      <c r="X1708">
        <v>0.99143899999999996</v>
      </c>
      <c r="Y1708">
        <v>-3.560609E-2</v>
      </c>
      <c r="Z1708">
        <v>-1.55343E-3</v>
      </c>
      <c r="AA1708">
        <v>0.99936469999999999</v>
      </c>
      <c r="AB1708">
        <v>33</v>
      </c>
      <c r="AC1708">
        <v>-25.310300000000002</v>
      </c>
      <c r="AD1708">
        <v>-1.109025430927</v>
      </c>
      <c r="AE1708">
        <v>-0.455600000000003</v>
      </c>
      <c r="AF1708">
        <v>-0.90725155794568502</v>
      </c>
      <c r="AG1708">
        <v>-1.109025430927</v>
      </c>
      <c r="AH1708">
        <v>25.249612692151299</v>
      </c>
      <c r="AI1708">
        <v>92.513336060335803</v>
      </c>
      <c r="AJ1708">
        <v>92.057826894363899</v>
      </c>
      <c r="AK1708">
        <v>25.290234951448902</v>
      </c>
      <c r="AL1708">
        <v>91.9135597404983</v>
      </c>
      <c r="AM1708">
        <v>82.744203371744405</v>
      </c>
      <c r="AN1708">
        <v>1.0000000161064599</v>
      </c>
    </row>
    <row r="1709" spans="1:40" x14ac:dyDescent="0.25">
      <c r="A1709" t="str">
        <f>"20190312161300327"</f>
        <v>20190312161300327</v>
      </c>
      <c r="B1709" t="str">
        <f>"1552378380317169"</f>
        <v>1552378380317169</v>
      </c>
      <c r="C1709" t="s">
        <v>40</v>
      </c>
      <c r="D1709">
        <v>6.0435410000000003</v>
      </c>
      <c r="E1709">
        <v>0.43812689999999999</v>
      </c>
      <c r="F1709" t="s">
        <v>74</v>
      </c>
      <c r="G1709">
        <v>-309.12860000000001</v>
      </c>
      <c r="H1709" s="1">
        <v>2.3862250000000002E-6</v>
      </c>
      <c r="I1709">
        <v>284.14870000000002</v>
      </c>
      <c r="J1709">
        <v>-282.99979999999999</v>
      </c>
      <c r="K1709">
        <v>1.109035</v>
      </c>
      <c r="L1709">
        <v>284.62990000000002</v>
      </c>
      <c r="M1709">
        <v>-0.99980990000000003</v>
      </c>
      <c r="N1709">
        <v>0</v>
      </c>
      <c r="O1709">
        <v>1.7940069999999999E-2</v>
      </c>
      <c r="P1709">
        <v>-0.98873029999999995</v>
      </c>
      <c r="Q1709">
        <v>-4.1078959999999998E-2</v>
      </c>
      <c r="R1709">
        <v>0.14396229999999999</v>
      </c>
      <c r="S1709">
        <v>-3.0368650000000001</v>
      </c>
      <c r="T1709">
        <v>-0.1278077</v>
      </c>
      <c r="U1709">
        <v>-5.4992680000000002E-2</v>
      </c>
      <c r="V1709">
        <v>0.12619659999999999</v>
      </c>
      <c r="W1709">
        <v>-3.3503610000000003E-2</v>
      </c>
      <c r="X1709">
        <v>0.99143930000000002</v>
      </c>
      <c r="Y1709">
        <v>-3.5992410000000002E-2</v>
      </c>
      <c r="Z1709">
        <v>-1.5116229999999999E-3</v>
      </c>
      <c r="AA1709">
        <v>0.99935090000000004</v>
      </c>
      <c r="AB1709">
        <v>33</v>
      </c>
      <c r="AC1709">
        <v>-26.128799999999998</v>
      </c>
      <c r="AD1709">
        <v>-1.109032613775</v>
      </c>
      <c r="AE1709">
        <v>-0.48120000000000102</v>
      </c>
      <c r="AF1709">
        <v>-0.94818109318850397</v>
      </c>
      <c r="AG1709">
        <v>-1.109032613775</v>
      </c>
      <c r="AH1709">
        <v>26.069012604272999</v>
      </c>
      <c r="AI1709">
        <v>92.434410652916</v>
      </c>
      <c r="AJ1709">
        <v>92.083041579895706</v>
      </c>
      <c r="AK1709">
        <v>26.109814608411899</v>
      </c>
      <c r="AL1709">
        <v>91.919974797503798</v>
      </c>
      <c r="AM1709">
        <v>82.746042409121003</v>
      </c>
      <c r="AN1709">
        <v>0.99999997965954102</v>
      </c>
    </row>
    <row r="1710" spans="1:40" x14ac:dyDescent="0.25">
      <c r="A1710" t="str">
        <f>"20190312161300346"</f>
        <v>20190312161300346</v>
      </c>
      <c r="B1710" t="str">
        <f>"1552378380337665"</f>
        <v>1552378380337665</v>
      </c>
      <c r="C1710" t="s">
        <v>40</v>
      </c>
      <c r="D1710">
        <v>6.0430359999999999</v>
      </c>
      <c r="E1710">
        <v>0.43787510000000002</v>
      </c>
      <c r="F1710" t="s">
        <v>74</v>
      </c>
      <c r="G1710">
        <v>-310.13749999999999</v>
      </c>
      <c r="H1710" s="1">
        <v>2.3210700000000001E-6</v>
      </c>
      <c r="I1710">
        <v>284.12329999999997</v>
      </c>
      <c r="J1710">
        <v>-283.26749999999998</v>
      </c>
      <c r="K1710">
        <v>1.109038</v>
      </c>
      <c r="L1710">
        <v>284.63470000000001</v>
      </c>
      <c r="M1710">
        <v>-0.99980919999999895</v>
      </c>
      <c r="N1710">
        <v>0</v>
      </c>
      <c r="O1710">
        <v>1.7963369999999999E-2</v>
      </c>
      <c r="P1710">
        <v>-0.98861840000000001</v>
      </c>
      <c r="Q1710">
        <v>-4.1318439999999998E-2</v>
      </c>
      <c r="R1710">
        <v>0.1446597</v>
      </c>
      <c r="S1710">
        <v>-3.0373230000000002</v>
      </c>
      <c r="T1710">
        <v>-0.1241256</v>
      </c>
      <c r="U1710">
        <v>-5.6701660000000001E-2</v>
      </c>
      <c r="V1710">
        <v>0.12687300000000001</v>
      </c>
      <c r="W1710">
        <v>-3.3734199999999999E-2</v>
      </c>
      <c r="X1710">
        <v>0.99134520000000004</v>
      </c>
      <c r="Y1710">
        <v>-3.65773E-2</v>
      </c>
      <c r="Z1710">
        <v>-1.480779E-3</v>
      </c>
      <c r="AA1710">
        <v>0.99932969999999999</v>
      </c>
      <c r="AB1710">
        <v>33</v>
      </c>
      <c r="AC1710">
        <v>-26.87</v>
      </c>
      <c r="AD1710">
        <v>-1.10903567893</v>
      </c>
      <c r="AE1710">
        <v>-0.51140000000003705</v>
      </c>
      <c r="AF1710">
        <v>-0.99231758755963395</v>
      </c>
      <c r="AG1710">
        <v>-1.10903567893</v>
      </c>
      <c r="AH1710">
        <v>26.810820294900399</v>
      </c>
      <c r="AI1710">
        <v>92.367083646207405</v>
      </c>
      <c r="AJ1710">
        <v>92.119654254873097</v>
      </c>
      <c r="AK1710">
        <v>26.8520900344305</v>
      </c>
      <c r="AL1710">
        <v>91.933194006847302</v>
      </c>
      <c r="AM1710">
        <v>82.706894670352597</v>
      </c>
      <c r="AN1710">
        <v>1.00000002997083</v>
      </c>
    </row>
    <row r="1711" spans="1:40" x14ac:dyDescent="0.25">
      <c r="A1711" t="str">
        <f>"20190312161300367"</f>
        <v>20190312161300367</v>
      </c>
      <c r="B1711" t="str">
        <f>"1552378380357184"</f>
        <v>1552378380357184</v>
      </c>
      <c r="C1711" t="s">
        <v>40</v>
      </c>
      <c r="D1711">
        <v>6.0587309999999999</v>
      </c>
      <c r="E1711">
        <v>0.43783840000000002</v>
      </c>
      <c r="F1711" t="s">
        <v>74</v>
      </c>
      <c r="G1711">
        <v>-311.09370000000001</v>
      </c>
      <c r="H1711" s="1">
        <v>2.7454870000000001E-6</v>
      </c>
      <c r="I1711">
        <v>284.11869999999999</v>
      </c>
      <c r="J1711">
        <v>-283.59480000000002</v>
      </c>
      <c r="K1711">
        <v>1.1090370000000001</v>
      </c>
      <c r="L1711">
        <v>284.64069999999998</v>
      </c>
      <c r="M1711">
        <v>-0.99980880000000005</v>
      </c>
      <c r="N1711">
        <v>0</v>
      </c>
      <c r="O1711">
        <v>1.7985020000000001E-2</v>
      </c>
      <c r="P1711">
        <v>-0.98859980000000003</v>
      </c>
      <c r="Q1711">
        <v>-4.140431E-2</v>
      </c>
      <c r="R1711">
        <v>0.14476240000000001</v>
      </c>
      <c r="S1711">
        <v>-3.0377200000000002</v>
      </c>
      <c r="T1711">
        <v>-0.1210711</v>
      </c>
      <c r="U1711">
        <v>-5.6335450000000002E-2</v>
      </c>
      <c r="V1711">
        <v>0.12695509999999999</v>
      </c>
      <c r="W1711">
        <v>-3.3807740000000003E-2</v>
      </c>
      <c r="X1711">
        <v>0.9913322</v>
      </c>
      <c r="Y1711">
        <v>-3.6478360000000001E-2</v>
      </c>
      <c r="Z1711">
        <v>-1.4430739999999999E-3</v>
      </c>
      <c r="AA1711">
        <v>0.99933340000000004</v>
      </c>
      <c r="AB1711">
        <v>33</v>
      </c>
      <c r="AC1711">
        <v>-27.4988999999999</v>
      </c>
      <c r="AD1711">
        <v>-1.1090342545129901</v>
      </c>
      <c r="AE1711">
        <v>-0.52199999999999103</v>
      </c>
      <c r="AF1711">
        <v>-1.01484832165603</v>
      </c>
      <c r="AG1711">
        <v>-1.1090342545129901</v>
      </c>
      <c r="AH1711">
        <v>27.440447165523999</v>
      </c>
      <c r="AI1711">
        <v>92.312829520450293</v>
      </c>
      <c r="AJ1711">
        <v>92.118042621055196</v>
      </c>
      <c r="AK1711">
        <v>27.481594108376701</v>
      </c>
      <c r="AL1711">
        <v>91.937409912584798</v>
      </c>
      <c r="AM1711">
        <v>82.702131466171394</v>
      </c>
      <c r="AN1711">
        <v>1.00000004572837</v>
      </c>
    </row>
    <row r="1712" spans="1:40" x14ac:dyDescent="0.25">
      <c r="A1712" t="str">
        <f>"20190312161300389"</f>
        <v>20190312161300389</v>
      </c>
      <c r="B1712" t="str">
        <f>"1552378380377684"</f>
        <v>1552378380377684</v>
      </c>
      <c r="C1712" t="s">
        <v>40</v>
      </c>
      <c r="D1712">
        <v>6.030983</v>
      </c>
      <c r="E1712">
        <v>0.43769200000000003</v>
      </c>
      <c r="F1712" t="s">
        <v>74</v>
      </c>
      <c r="G1712">
        <v>-311.61270000000002</v>
      </c>
      <c r="H1712" s="1">
        <v>2.9754060000000001E-6</v>
      </c>
      <c r="I1712">
        <v>284.1216</v>
      </c>
      <c r="J1712">
        <v>-283.90390000000002</v>
      </c>
      <c r="K1712">
        <v>1.109043</v>
      </c>
      <c r="L1712">
        <v>284.64620000000002</v>
      </c>
      <c r="M1712">
        <v>-0.99980860000000005</v>
      </c>
      <c r="N1712">
        <v>0</v>
      </c>
      <c r="O1712">
        <v>1.7997630000000001E-2</v>
      </c>
      <c r="P1712">
        <v>-0.98857759999999995</v>
      </c>
      <c r="Q1712">
        <v>-4.1133360000000001E-2</v>
      </c>
      <c r="R1712">
        <v>0.14499139999999999</v>
      </c>
      <c r="S1712">
        <v>-3.0378720000000001</v>
      </c>
      <c r="T1712">
        <v>-0.1202482</v>
      </c>
      <c r="U1712">
        <v>-5.6274409999999997E-2</v>
      </c>
      <c r="V1712">
        <v>0.12717239999999999</v>
      </c>
      <c r="W1712">
        <v>-3.3525249999999999E-2</v>
      </c>
      <c r="X1712">
        <v>0.99131389999999997</v>
      </c>
      <c r="Y1712">
        <v>-3.6470540000000003E-2</v>
      </c>
      <c r="Z1712">
        <v>-1.433546E-3</v>
      </c>
      <c r="AA1712">
        <v>0.99933369999999999</v>
      </c>
      <c r="AB1712">
        <v>33</v>
      </c>
      <c r="AC1712">
        <v>-27.7088</v>
      </c>
      <c r="AD1712">
        <v>-1.109040024594</v>
      </c>
      <c r="AE1712">
        <v>-0.52460000000002005</v>
      </c>
      <c r="AF1712">
        <v>-1.0215864479291299</v>
      </c>
      <c r="AG1712">
        <v>-1.109040024594</v>
      </c>
      <c r="AH1712">
        <v>27.6505898789536</v>
      </c>
      <c r="AI1712">
        <v>92.295286128737899</v>
      </c>
      <c r="AJ1712">
        <v>92.115903532372698</v>
      </c>
      <c r="AK1712">
        <v>27.691672562357699</v>
      </c>
      <c r="AL1712">
        <v>91.921215326368795</v>
      </c>
      <c r="AM1712">
        <v>82.689641740601999</v>
      </c>
      <c r="AN1712">
        <v>1.0000000050212601</v>
      </c>
    </row>
    <row r="1713" spans="1:40" x14ac:dyDescent="0.25">
      <c r="A1713" t="str">
        <f>"20190312161300410"</f>
        <v>20190312161300410</v>
      </c>
      <c r="B1713" t="str">
        <f>"1552378380407938"</f>
        <v>1552378380407938</v>
      </c>
      <c r="C1713" t="s">
        <v>40</v>
      </c>
      <c r="D1713">
        <v>6.0150649999999999</v>
      </c>
      <c r="E1713">
        <v>0.4375058</v>
      </c>
      <c r="F1713" t="s">
        <v>74</v>
      </c>
      <c r="G1713">
        <v>-312.05200000000002</v>
      </c>
      <c r="H1713" s="1">
        <v>3.1703439999999999E-6</v>
      </c>
      <c r="I1713">
        <v>284.12029999999999</v>
      </c>
      <c r="J1713">
        <v>-284.23379999999997</v>
      </c>
      <c r="K1713">
        <v>1.1090469999999999</v>
      </c>
      <c r="L1713">
        <v>284.65219999999999</v>
      </c>
      <c r="M1713">
        <v>-0.99980829999999998</v>
      </c>
      <c r="N1713">
        <v>0</v>
      </c>
      <c r="O1713">
        <v>1.8006060000000001E-2</v>
      </c>
      <c r="P1713">
        <v>-0.98864810000000003</v>
      </c>
      <c r="Q1713">
        <v>-4.0949649999999997E-2</v>
      </c>
      <c r="R1713">
        <v>0.1445622</v>
      </c>
      <c r="S1713">
        <v>-3.0379939999999999</v>
      </c>
      <c r="T1713">
        <v>-0.119697499999999</v>
      </c>
      <c r="U1713">
        <v>-5.6762699999999902E-2</v>
      </c>
      <c r="V1713">
        <v>0.12673419999999999</v>
      </c>
      <c r="W1713">
        <v>-3.3328730000000001E-2</v>
      </c>
      <c r="X1713">
        <v>0.99137660000000005</v>
      </c>
      <c r="Y1713">
        <v>-3.6639030000000003E-2</v>
      </c>
      <c r="Z1713">
        <v>-1.430576E-3</v>
      </c>
      <c r="AA1713">
        <v>0.99932750000000004</v>
      </c>
      <c r="AB1713">
        <v>33</v>
      </c>
      <c r="AC1713">
        <v>-27.818200000000001</v>
      </c>
      <c r="AD1713">
        <v>-1.1090438296559999</v>
      </c>
      <c r="AE1713">
        <v>-0.53190000000000703</v>
      </c>
      <c r="AF1713">
        <v>-1.0310865205630599</v>
      </c>
      <c r="AG1713">
        <v>-1.1090438296559999</v>
      </c>
      <c r="AH1713">
        <v>27.760005823694598</v>
      </c>
      <c r="AI1713">
        <v>92.286240112826206</v>
      </c>
      <c r="AJ1713">
        <v>92.127152328850002</v>
      </c>
      <c r="AK1713">
        <v>27.801277685756499</v>
      </c>
      <c r="AL1713">
        <v>91.909949345424096</v>
      </c>
      <c r="AM1713">
        <v>82.715015883126696</v>
      </c>
      <c r="AN1713">
        <v>0.99999996236030497</v>
      </c>
    </row>
    <row r="1714" spans="1:40" x14ac:dyDescent="0.25">
      <c r="A1714" t="str">
        <f>"20190312161300433"</f>
        <v>20190312161300433</v>
      </c>
      <c r="B1714" t="str">
        <f>"1552378380427457"</f>
        <v>1552378380427457</v>
      </c>
      <c r="C1714" t="s">
        <v>40</v>
      </c>
      <c r="D1714">
        <v>6.0376510000000003</v>
      </c>
      <c r="E1714">
        <v>0.43746740000000001</v>
      </c>
      <c r="F1714" t="s">
        <v>74</v>
      </c>
      <c r="G1714">
        <v>-312.90660000000003</v>
      </c>
      <c r="H1714" s="1">
        <v>3.5518309999999998E-6</v>
      </c>
      <c r="I1714">
        <v>284.09120000000001</v>
      </c>
      <c r="J1714">
        <v>-284.5668</v>
      </c>
      <c r="K1714">
        <v>1.109049</v>
      </c>
      <c r="L1714">
        <v>284.65820000000002</v>
      </c>
      <c r="M1714">
        <v>-0.99980809999999998</v>
      </c>
      <c r="N1714">
        <v>0</v>
      </c>
      <c r="O1714">
        <v>1.8010330000000001E-2</v>
      </c>
      <c r="P1714">
        <v>-0.98870329999999995</v>
      </c>
      <c r="Q1714">
        <v>-4.0553470000000001E-2</v>
      </c>
      <c r="R1714">
        <v>0.14429549999999999</v>
      </c>
      <c r="S1714">
        <v>-3.0382690000000001</v>
      </c>
      <c r="T1714">
        <v>-0.11751830000000001</v>
      </c>
      <c r="U1714">
        <v>-5.9448239999999999E-2</v>
      </c>
      <c r="V1714">
        <v>0.12646289999999999</v>
      </c>
      <c r="W1714">
        <v>-3.2920159999999997E-2</v>
      </c>
      <c r="X1714">
        <v>0.99142490000000005</v>
      </c>
      <c r="Y1714">
        <v>-3.7525469999999998E-2</v>
      </c>
      <c r="Z1714">
        <v>-1.4217139999999999E-3</v>
      </c>
      <c r="AA1714">
        <v>0.99929460000000003</v>
      </c>
      <c r="AB1714">
        <v>33</v>
      </c>
      <c r="AC1714">
        <v>-28.3398</v>
      </c>
      <c r="AD1714">
        <v>-1.109045448169</v>
      </c>
      <c r="AE1714">
        <v>-0.56700000000000705</v>
      </c>
      <c r="AF1714">
        <v>-1.07568562700013</v>
      </c>
      <c r="AG1714">
        <v>-1.109045448169</v>
      </c>
      <c r="AH1714">
        <v>28.281695972618898</v>
      </c>
      <c r="AI1714">
        <v>92.244039393445803</v>
      </c>
      <c r="AJ1714">
        <v>92.178177450597005</v>
      </c>
      <c r="AK1714">
        <v>28.323866410889</v>
      </c>
      <c r="AL1714">
        <v>91.886527145377102</v>
      </c>
      <c r="AM1714">
        <v>82.730794219891294</v>
      </c>
      <c r="AN1714">
        <v>0.99999996717542206</v>
      </c>
    </row>
    <row r="1715" spans="1:40" x14ac:dyDescent="0.25">
      <c r="A1715" t="str">
        <f>"20190312161300456"</f>
        <v>20190312161300456</v>
      </c>
      <c r="B1715" t="str">
        <f>"1552378380446981"</f>
        <v>1552378380446981</v>
      </c>
      <c r="C1715" t="s">
        <v>40</v>
      </c>
      <c r="D1715">
        <v>6.0028009999999998</v>
      </c>
      <c r="E1715">
        <v>0.43748419999999999</v>
      </c>
      <c r="F1715" t="s">
        <v>74</v>
      </c>
      <c r="G1715">
        <v>-314.21940000000001</v>
      </c>
      <c r="H1715" s="1">
        <v>4.1361010000000003E-6</v>
      </c>
      <c r="I1715">
        <v>284.06729999999999</v>
      </c>
      <c r="J1715">
        <v>-284.9203</v>
      </c>
      <c r="K1715">
        <v>1.109057</v>
      </c>
      <c r="L1715">
        <v>284.66460000000001</v>
      </c>
      <c r="M1715">
        <v>-0.99980809999999998</v>
      </c>
      <c r="N1715">
        <v>0</v>
      </c>
      <c r="O1715">
        <v>1.8010910000000002E-2</v>
      </c>
      <c r="P1715">
        <v>-0.98882749999999997</v>
      </c>
      <c r="Q1715">
        <v>-3.992064E-2</v>
      </c>
      <c r="R1715">
        <v>0.1436212</v>
      </c>
      <c r="S1715">
        <v>-3.0384519999999999</v>
      </c>
      <c r="T1715">
        <v>-0.1136422</v>
      </c>
      <c r="U1715">
        <v>-6.0546879999999997E-2</v>
      </c>
      <c r="V1715">
        <v>0.12578619999999999</v>
      </c>
      <c r="W1715">
        <v>-3.2274299999999999E-2</v>
      </c>
      <c r="X1715">
        <v>0.99153230000000003</v>
      </c>
      <c r="Y1715">
        <v>-3.7888499999999999E-2</v>
      </c>
      <c r="Z1715">
        <v>-1.381576E-3</v>
      </c>
      <c r="AA1715">
        <v>0.99928099999999997</v>
      </c>
      <c r="AB1715">
        <v>33</v>
      </c>
      <c r="AC1715">
        <v>-29.299099999999999</v>
      </c>
      <c r="AD1715">
        <v>-1.109052863899</v>
      </c>
      <c r="AE1715">
        <v>-0.59730000000001804</v>
      </c>
      <c r="AF1715">
        <v>-1.1233133721272599</v>
      </c>
      <c r="AG1715">
        <v>-1.109052863899</v>
      </c>
      <c r="AH1715">
        <v>29.241707773965398</v>
      </c>
      <c r="AI1715">
        <v>92.170421774419097</v>
      </c>
      <c r="AJ1715">
        <v>92.199922271399601</v>
      </c>
      <c r="AK1715">
        <v>29.284284261782901</v>
      </c>
      <c r="AL1715">
        <v>91.849502261578195</v>
      </c>
      <c r="AM1715">
        <v>82.7700537203647</v>
      </c>
      <c r="AN1715">
        <v>1.0000000502471</v>
      </c>
    </row>
    <row r="1716" spans="1:40" x14ac:dyDescent="0.25">
      <c r="A1716" t="str">
        <f>"20190312161300477"</f>
        <v>20190312161300477</v>
      </c>
      <c r="B1716" t="str">
        <f>"1552378380467477"</f>
        <v>1552378380467477</v>
      </c>
      <c r="C1716" t="s">
        <v>40</v>
      </c>
      <c r="D1716">
        <v>5.915921</v>
      </c>
      <c r="E1716">
        <v>0.43748720000000002</v>
      </c>
      <c r="F1716" t="s">
        <v>74</v>
      </c>
      <c r="G1716">
        <v>-314.71080000000001</v>
      </c>
      <c r="H1716" s="1">
        <v>4.3554839999999996E-6</v>
      </c>
      <c r="I1716">
        <v>284.05090000000001</v>
      </c>
      <c r="J1716">
        <v>-285.2328</v>
      </c>
      <c r="K1716">
        <v>1.109059</v>
      </c>
      <c r="L1716">
        <v>284.67020000000002</v>
      </c>
      <c r="M1716">
        <v>-0.99980800000000003</v>
      </c>
      <c r="N1716">
        <v>0</v>
      </c>
      <c r="O1716">
        <v>1.8009669999999998E-2</v>
      </c>
      <c r="P1716">
        <v>-0.98892519999999995</v>
      </c>
      <c r="Q1716">
        <v>-3.9734440000000003E-2</v>
      </c>
      <c r="R1716">
        <v>0.1429975</v>
      </c>
      <c r="S1716">
        <v>-3.0384220000000002</v>
      </c>
      <c r="T1716">
        <v>-0.11311549999999999</v>
      </c>
      <c r="U1716">
        <v>-6.2591549999999996E-2</v>
      </c>
      <c r="V1716">
        <v>0.125162</v>
      </c>
      <c r="W1716">
        <v>-3.2077029999999999E-2</v>
      </c>
      <c r="X1716">
        <v>0.99161759999999999</v>
      </c>
      <c r="Y1716">
        <v>-3.8559530000000002E-2</v>
      </c>
      <c r="Z1716">
        <v>-1.387622E-3</v>
      </c>
      <c r="AA1716">
        <v>0.99925540000000002</v>
      </c>
      <c r="AB1716">
        <v>33</v>
      </c>
      <c r="AC1716">
        <v>-29.478000000000002</v>
      </c>
      <c r="AD1716">
        <v>-1.1090546445160001</v>
      </c>
      <c r="AE1716">
        <v>-0.61930000000000895</v>
      </c>
      <c r="AF1716">
        <v>-1.14847947342991</v>
      </c>
      <c r="AG1716">
        <v>-1.1090546445160001</v>
      </c>
      <c r="AH1716">
        <v>29.420438780685501</v>
      </c>
      <c r="AI1716">
        <v>92.157200445086204</v>
      </c>
      <c r="AJ1716">
        <v>92.235508198802407</v>
      </c>
      <c r="AK1716">
        <v>29.4637272820917</v>
      </c>
      <c r="AL1716">
        <v>91.838193828208404</v>
      </c>
      <c r="AM1716">
        <v>82.806167054989899</v>
      </c>
      <c r="AN1716">
        <v>0.99999996336368902</v>
      </c>
    </row>
    <row r="1717" spans="1:40" x14ac:dyDescent="0.25">
      <c r="A1717" t="str">
        <f>"20190312161300499"</f>
        <v>20190312161300499</v>
      </c>
      <c r="B1717" t="str">
        <f>"1552378380497729"</f>
        <v>1552378380497729</v>
      </c>
      <c r="C1717" t="s">
        <v>40</v>
      </c>
      <c r="D1717">
        <v>6.0290689999999998</v>
      </c>
      <c r="E1717">
        <v>0.43742559999999903</v>
      </c>
      <c r="F1717" t="s">
        <v>74</v>
      </c>
      <c r="G1717">
        <v>-314.82850000000002</v>
      </c>
      <c r="H1717" s="1">
        <v>4.408513E-6</v>
      </c>
      <c r="I1717">
        <v>284.04090000000002</v>
      </c>
      <c r="J1717">
        <v>-285.55770000000001</v>
      </c>
      <c r="K1717">
        <v>1.109062</v>
      </c>
      <c r="L1717">
        <v>284.67599999999999</v>
      </c>
      <c r="M1717">
        <v>-0.99980789999999997</v>
      </c>
      <c r="N1717">
        <v>0</v>
      </c>
      <c r="O1717">
        <v>1.8007950000000002E-2</v>
      </c>
      <c r="P1717">
        <v>-0.98893310000000001</v>
      </c>
      <c r="Q1717">
        <v>-3.9545539999999997E-2</v>
      </c>
      <c r="R1717">
        <v>0.1429945</v>
      </c>
      <c r="S1717">
        <v>-3.0383300000000002</v>
      </c>
      <c r="T1717">
        <v>-0.1138569</v>
      </c>
      <c r="U1717">
        <v>-6.4605709999999997E-2</v>
      </c>
      <c r="V1717">
        <v>0.12516050000000001</v>
      </c>
      <c r="W1717">
        <v>-3.1877379999999997E-2</v>
      </c>
      <c r="X1717">
        <v>0.99162419999999996</v>
      </c>
      <c r="Y1717">
        <v>-3.9219579999999997E-2</v>
      </c>
      <c r="Z1717">
        <v>-1.409041E-3</v>
      </c>
      <c r="AA1717">
        <v>0.99922960000000005</v>
      </c>
      <c r="AB1717">
        <v>33</v>
      </c>
      <c r="AC1717">
        <v>-29.270800000000001</v>
      </c>
      <c r="AD1717">
        <v>-1.109057591487</v>
      </c>
      <c r="AE1717">
        <v>-0.63509999999996503</v>
      </c>
      <c r="AF1717">
        <v>-1.1604547065133499</v>
      </c>
      <c r="AG1717">
        <v>-1.109057591487</v>
      </c>
      <c r="AH1717">
        <v>29.2126975287443</v>
      </c>
      <c r="AI1717">
        <v>92.172473463150396</v>
      </c>
      <c r="AJ1717">
        <v>92.274840117905399</v>
      </c>
      <c r="AK1717">
        <v>29.256766068261999</v>
      </c>
      <c r="AL1717">
        <v>91.826748922295593</v>
      </c>
      <c r="AM1717">
        <v>82.806299744218606</v>
      </c>
      <c r="AN1717">
        <v>0.99999993607077498</v>
      </c>
    </row>
    <row r="1718" spans="1:40" x14ac:dyDescent="0.25">
      <c r="A1718" t="str">
        <f>"20190312161300523"</f>
        <v>20190312161300523</v>
      </c>
      <c r="B1718" t="str">
        <f>"1552378380517249"</f>
        <v>1552378380517249</v>
      </c>
      <c r="C1718" t="s">
        <v>40</v>
      </c>
      <c r="D1718">
        <v>6.0315079999999996</v>
      </c>
      <c r="E1718">
        <v>0.43748019999999999</v>
      </c>
      <c r="F1718" t="s">
        <v>74</v>
      </c>
      <c r="G1718">
        <v>-315.31360000000001</v>
      </c>
      <c r="H1718" s="1">
        <v>4.6237110000000004E-6</v>
      </c>
      <c r="I1718">
        <v>284.04000000000002</v>
      </c>
      <c r="J1718">
        <v>-285.91789999999997</v>
      </c>
      <c r="K1718">
        <v>1.1090679999999999</v>
      </c>
      <c r="L1718">
        <v>284.6825</v>
      </c>
      <c r="M1718">
        <v>-0.99980789999999997</v>
      </c>
      <c r="N1718">
        <v>0</v>
      </c>
      <c r="O1718">
        <v>1.8006399999999999E-2</v>
      </c>
      <c r="P1718">
        <v>-0.98894269999999995</v>
      </c>
      <c r="Q1718">
        <v>-3.9197709999999997E-2</v>
      </c>
      <c r="R1718">
        <v>0.1430246</v>
      </c>
      <c r="S1718">
        <v>-3.0384220000000002</v>
      </c>
      <c r="T1718">
        <v>-0.1132476</v>
      </c>
      <c r="U1718">
        <v>-6.4941410000000005E-2</v>
      </c>
      <c r="V1718">
        <v>0.12519230000000001</v>
      </c>
      <c r="W1718">
        <v>-3.1517589999999998E-2</v>
      </c>
      <c r="X1718">
        <v>0.9916317</v>
      </c>
      <c r="Y1718">
        <v>-3.9328099999999998E-2</v>
      </c>
      <c r="Z1718">
        <v>-1.4034259999999999E-3</v>
      </c>
      <c r="AA1718">
        <v>0.99922540000000004</v>
      </c>
      <c r="AB1718">
        <v>34</v>
      </c>
      <c r="AC1718">
        <v>-29.395700000000001</v>
      </c>
      <c r="AD1718">
        <v>-1.1090633762890001</v>
      </c>
      <c r="AE1718">
        <v>-0.64249999999998397</v>
      </c>
      <c r="AF1718">
        <v>-1.1700576865314001</v>
      </c>
      <c r="AG1718">
        <v>-1.1090633762890001</v>
      </c>
      <c r="AH1718">
        <v>29.337623400889601</v>
      </c>
      <c r="AI1718">
        <v>92.163229102067405</v>
      </c>
      <c r="AJ1718">
        <v>92.283888357873494</v>
      </c>
      <c r="AK1718">
        <v>29.381885633411301</v>
      </c>
      <c r="AL1718">
        <v>91.806124084383896</v>
      </c>
      <c r="AM1718">
        <v>82.804545019665795</v>
      </c>
      <c r="AN1718">
        <v>0.99999994945179205</v>
      </c>
    </row>
    <row r="1719" spans="1:40" x14ac:dyDescent="0.25">
      <c r="A1719" t="str">
        <f>"20190312161300546"</f>
        <v>20190312161300546</v>
      </c>
      <c r="B1719" t="str">
        <f>"1552378380537745"</f>
        <v>1552378380537745</v>
      </c>
      <c r="C1719" t="s">
        <v>40</v>
      </c>
      <c r="D1719">
        <v>5.9281550000000003</v>
      </c>
      <c r="E1719">
        <v>0.4375443</v>
      </c>
      <c r="F1719" t="s">
        <v>74</v>
      </c>
      <c r="G1719">
        <v>-316.16980000000001</v>
      </c>
      <c r="H1719" s="1">
        <v>5.0033339999999997E-6</v>
      </c>
      <c r="I1719">
        <v>284.04079999999999</v>
      </c>
      <c r="J1719">
        <v>-286.27100000000002</v>
      </c>
      <c r="K1719">
        <v>1.109067</v>
      </c>
      <c r="L1719">
        <v>284.68889999999999</v>
      </c>
      <c r="M1719">
        <v>-0.99980769999999997</v>
      </c>
      <c r="N1719">
        <v>0</v>
      </c>
      <c r="O1719">
        <v>1.8005340000000002E-2</v>
      </c>
      <c r="P1719">
        <v>-0.988873</v>
      </c>
      <c r="Q1719">
        <v>-3.9005640000000001E-2</v>
      </c>
      <c r="R1719">
        <v>0.14355809999999999</v>
      </c>
      <c r="S1719">
        <v>-3.0384829999999998</v>
      </c>
      <c r="T1719">
        <v>-0.1113939</v>
      </c>
      <c r="U1719">
        <v>-6.4453129999999997E-2</v>
      </c>
      <c r="V1719">
        <v>0.12572809999999901</v>
      </c>
      <c r="W1719">
        <v>-3.1314420000000003E-2</v>
      </c>
      <c r="X1719">
        <v>0.99157039999999996</v>
      </c>
      <c r="Y1719">
        <v>-3.9167500000000001E-2</v>
      </c>
      <c r="Z1719">
        <v>-1.3774620000000001E-3</v>
      </c>
      <c r="AA1719">
        <v>0.99923169999999994</v>
      </c>
      <c r="AB1719">
        <v>34</v>
      </c>
      <c r="AC1719">
        <v>-29.898800000000001</v>
      </c>
      <c r="AD1719">
        <v>-1.109061996666</v>
      </c>
      <c r="AE1719">
        <v>-0.64809999999999901</v>
      </c>
      <c r="AF1719">
        <v>-1.1847198856051899</v>
      </c>
      <c r="AG1719">
        <v>-1.109061996666</v>
      </c>
      <c r="AH1719">
        <v>29.841242308124201</v>
      </c>
      <c r="AI1719">
        <v>92.126767646310597</v>
      </c>
      <c r="AJ1719">
        <v>92.273491820665896</v>
      </c>
      <c r="AK1719">
        <v>29.885336240570801</v>
      </c>
      <c r="AL1719">
        <v>91.794477455180797</v>
      </c>
      <c r="AM1719">
        <v>82.773632623040299</v>
      </c>
      <c r="AN1719">
        <v>1.00000000309285</v>
      </c>
    </row>
    <row r="1720" spans="1:40" x14ac:dyDescent="0.25">
      <c r="A1720" t="str">
        <f>"20190312161300568"</f>
        <v>20190312161300568</v>
      </c>
      <c r="B1720" t="str">
        <f>"1552378380557265"</f>
        <v>1552378380557265</v>
      </c>
      <c r="C1720" t="s">
        <v>40</v>
      </c>
      <c r="D1720">
        <v>5.9321710000000003</v>
      </c>
      <c r="E1720">
        <v>0.43757509999999999</v>
      </c>
      <c r="F1720" t="s">
        <v>74</v>
      </c>
      <c r="G1720">
        <v>-316.08600000000001</v>
      </c>
      <c r="H1720" s="1">
        <v>4.962934E-6</v>
      </c>
      <c r="I1720">
        <v>284.07819999999998</v>
      </c>
      <c r="J1720">
        <v>-286.6001</v>
      </c>
      <c r="K1720">
        <v>1.1090660000000001</v>
      </c>
      <c r="L1720">
        <v>284.69479999999999</v>
      </c>
      <c r="M1720">
        <v>-0.99980769999999997</v>
      </c>
      <c r="N1720">
        <v>0</v>
      </c>
      <c r="O1720">
        <v>1.800481E-2</v>
      </c>
      <c r="P1720">
        <v>-0.98882709999999996</v>
      </c>
      <c r="Q1720">
        <v>-3.8985069999999997E-2</v>
      </c>
      <c r="R1720">
        <v>0.14387810000000001</v>
      </c>
      <c r="S1720">
        <v>-3.0383300000000002</v>
      </c>
      <c r="T1720">
        <v>-0.11301989999999899</v>
      </c>
      <c r="U1720">
        <v>-6.2225339999999997E-2</v>
      </c>
      <c r="V1720">
        <v>0.1260493</v>
      </c>
      <c r="W1720">
        <v>-3.1283400000000003E-2</v>
      </c>
      <c r="X1720">
        <v>0.99153060000000004</v>
      </c>
      <c r="Y1720">
        <v>-3.8435049999999998E-2</v>
      </c>
      <c r="Z1720">
        <v>-1.3839989999999999E-3</v>
      </c>
      <c r="AA1720">
        <v>0.99926009999999998</v>
      </c>
      <c r="AB1720">
        <v>34</v>
      </c>
      <c r="AC1720">
        <v>-29.485900000000001</v>
      </c>
      <c r="AD1720">
        <v>-1.1090610370659999</v>
      </c>
      <c r="AE1720">
        <v>-0.61660000000000503</v>
      </c>
      <c r="AF1720">
        <v>-1.1457838031927801</v>
      </c>
      <c r="AG1720">
        <v>-1.1090610370659999</v>
      </c>
      <c r="AH1720">
        <v>29.428402088813598</v>
      </c>
      <c r="AI1720">
        <v>92.156638246744905</v>
      </c>
      <c r="AJ1720">
        <v>92.229663498640903</v>
      </c>
      <c r="AK1720">
        <v>29.471574209880298</v>
      </c>
      <c r="AL1720">
        <v>91.792699267396003</v>
      </c>
      <c r="AM1720">
        <v>82.7550794698858</v>
      </c>
      <c r="AN1720">
        <v>1.0000000039412</v>
      </c>
    </row>
    <row r="1721" spans="1:40" x14ac:dyDescent="0.25">
      <c r="A1721" t="str">
        <f>"20190312161300588"</f>
        <v>20190312161300588</v>
      </c>
      <c r="B1721" t="str">
        <f>"1552378380577765"</f>
        <v>1552378380577765</v>
      </c>
      <c r="C1721" t="s">
        <v>40</v>
      </c>
      <c r="D1721">
        <v>5.9534570000000002</v>
      </c>
      <c r="E1721">
        <v>0.43772169999999999</v>
      </c>
      <c r="F1721" t="s">
        <v>74</v>
      </c>
      <c r="G1721">
        <v>-315.96010000000001</v>
      </c>
      <c r="H1721" s="1">
        <v>4.9048729999999997E-6</v>
      </c>
      <c r="I1721">
        <v>284.1035</v>
      </c>
      <c r="J1721">
        <v>-286.90679999999998</v>
      </c>
      <c r="K1721">
        <v>1.10907</v>
      </c>
      <c r="L1721">
        <v>284.70030000000003</v>
      </c>
      <c r="M1721">
        <v>-0.99980769999999997</v>
      </c>
      <c r="N1721">
        <v>0</v>
      </c>
      <c r="O1721">
        <v>1.8004409999999998E-2</v>
      </c>
      <c r="P1721">
        <v>-0.98880849999999998</v>
      </c>
      <c r="Q1721">
        <v>-3.8653090000000001E-2</v>
      </c>
      <c r="R1721">
        <v>0.14409720000000001</v>
      </c>
      <c r="S1721">
        <v>-3.0383</v>
      </c>
      <c r="T1721">
        <v>-0.1147707</v>
      </c>
      <c r="U1721">
        <v>-6.1187739999999997E-2</v>
      </c>
      <c r="V1721">
        <v>0.1262693</v>
      </c>
      <c r="W1721">
        <v>-3.094158E-2</v>
      </c>
      <c r="X1721">
        <v>0.99151330000000004</v>
      </c>
      <c r="Y1721">
        <v>-3.809278E-2</v>
      </c>
      <c r="Z1721">
        <v>-1.3989639999999999E-3</v>
      </c>
      <c r="AA1721">
        <v>0.99927319999999997</v>
      </c>
      <c r="AB1721">
        <v>34</v>
      </c>
      <c r="AC1721">
        <v>-29.0533</v>
      </c>
      <c r="AD1721">
        <v>-1.109065095127</v>
      </c>
      <c r="AE1721">
        <v>-0.59680000000002997</v>
      </c>
      <c r="AF1721">
        <v>-1.11817784504301</v>
      </c>
      <c r="AG1721">
        <v>-1.109065095127</v>
      </c>
      <c r="AH1721">
        <v>28.995610067847899</v>
      </c>
      <c r="AI1721">
        <v>92.188836797347193</v>
      </c>
      <c r="AJ1721">
        <v>92.208442596198495</v>
      </c>
      <c r="AK1721">
        <v>29.0383496480956</v>
      </c>
      <c r="AL1721">
        <v>91.7731049970062</v>
      </c>
      <c r="AM1721">
        <v>82.742443981798104</v>
      </c>
      <c r="AN1721">
        <v>0.999999970786137</v>
      </c>
    </row>
    <row r="1722" spans="1:40" x14ac:dyDescent="0.25">
      <c r="A1722" t="str">
        <f>"20190312161300611"</f>
        <v>20190312161300611</v>
      </c>
      <c r="B1722" t="str">
        <f>"1552378380607041"</f>
        <v>1552378380607041</v>
      </c>
      <c r="C1722" t="s">
        <v>40</v>
      </c>
      <c r="D1722">
        <v>6.0949809999999998</v>
      </c>
      <c r="E1722">
        <v>0.41977409999999998</v>
      </c>
      <c r="F1722" t="s">
        <v>74</v>
      </c>
      <c r="G1722">
        <v>-316.72919999999999</v>
      </c>
      <c r="H1722" s="1">
        <v>5.2446889999999999E-6</v>
      </c>
      <c r="I1722">
        <v>284.11770000000001</v>
      </c>
      <c r="J1722">
        <v>-287.25959999999998</v>
      </c>
      <c r="K1722">
        <v>1.1090709999999999</v>
      </c>
      <c r="L1722">
        <v>284.70670000000001</v>
      </c>
      <c r="M1722">
        <v>-0.99980769999999997</v>
      </c>
      <c r="N1722">
        <v>0</v>
      </c>
      <c r="O1722">
        <v>1.8004059999999999E-2</v>
      </c>
      <c r="P1722">
        <v>-0.98882000000000003</v>
      </c>
      <c r="Q1722">
        <v>-3.9036080000000001E-2</v>
      </c>
      <c r="R1722">
        <v>0.14391409999999999</v>
      </c>
      <c r="S1722">
        <v>-3.0382389999999999</v>
      </c>
      <c r="T1722">
        <v>-0.1129889</v>
      </c>
      <c r="U1722">
        <v>-5.9356689999999997E-2</v>
      </c>
      <c r="V1722">
        <v>0.12608639999999999</v>
      </c>
      <c r="W1722">
        <v>-3.1313220000000003E-2</v>
      </c>
      <c r="X1722">
        <v>0.99152490000000004</v>
      </c>
      <c r="Y1722">
        <v>-3.7492480000000002E-2</v>
      </c>
      <c r="Z1722">
        <v>-1.3661260000000001E-3</v>
      </c>
      <c r="AA1722">
        <v>0.99929590000000001</v>
      </c>
      <c r="AB1722">
        <v>34</v>
      </c>
      <c r="AC1722">
        <v>-29.4696</v>
      </c>
      <c r="AD1722">
        <v>-1.1090657553109999</v>
      </c>
      <c r="AE1722">
        <v>-0.58899999999999797</v>
      </c>
      <c r="AF1722">
        <v>-1.11791029681871</v>
      </c>
      <c r="AG1722">
        <v>-1.1090657553109999</v>
      </c>
      <c r="AH1722">
        <v>29.412576944044801</v>
      </c>
      <c r="AI1722">
        <v>92.157883424869098</v>
      </c>
      <c r="AJ1722">
        <v>92.176644560812704</v>
      </c>
      <c r="AK1722">
        <v>29.454701369572401</v>
      </c>
      <c r="AL1722">
        <v>91.794408739077994</v>
      </c>
      <c r="AM1722">
        <v>82.752928526611896</v>
      </c>
      <c r="AN1722">
        <v>0.99999996266586799</v>
      </c>
    </row>
    <row r="1723" spans="1:40" x14ac:dyDescent="0.25">
      <c r="A1723" t="str">
        <f>"20190312161300634"</f>
        <v>20190312161300634</v>
      </c>
      <c r="B1723" t="str">
        <f>"1552378380627541"</f>
        <v>1552378380627541</v>
      </c>
      <c r="C1723" t="s">
        <v>40</v>
      </c>
      <c r="D1723">
        <v>6.1468160000000003</v>
      </c>
      <c r="E1723">
        <v>0.41816170000000003</v>
      </c>
      <c r="F1723" t="s">
        <v>74</v>
      </c>
      <c r="G1723">
        <v>-306.7355</v>
      </c>
      <c r="H1723" s="1">
        <v>2.8755109999999999E-6</v>
      </c>
      <c r="I1723">
        <v>283.4076</v>
      </c>
      <c r="J1723">
        <v>-287.60079999999999</v>
      </c>
      <c r="K1723">
        <v>1.109065</v>
      </c>
      <c r="L1723">
        <v>284.71280000000002</v>
      </c>
      <c r="M1723">
        <v>-0.99980749999999996</v>
      </c>
      <c r="N1723">
        <v>0</v>
      </c>
      <c r="O1723">
        <v>1.8003479999999999E-2</v>
      </c>
      <c r="P1723">
        <v>-0.98888019999999999</v>
      </c>
      <c r="Q1723">
        <v>-3.9044479999999999E-2</v>
      </c>
      <c r="R1723">
        <v>0.1434976</v>
      </c>
      <c r="S1723">
        <v>-3.0567319999999998</v>
      </c>
      <c r="T1723">
        <v>-0.17406769999999999</v>
      </c>
      <c r="U1723">
        <v>-0.20388790000000001</v>
      </c>
      <c r="V1723">
        <v>0.12566930000000001</v>
      </c>
      <c r="W1723">
        <v>-3.1310409999999997E-2</v>
      </c>
      <c r="X1723">
        <v>0.99157799999999996</v>
      </c>
      <c r="Y1723">
        <v>-8.4341589999999994E-2</v>
      </c>
      <c r="Z1723">
        <v>-3.4202450000000001E-3</v>
      </c>
      <c r="AA1723">
        <v>0.99643110000000001</v>
      </c>
      <c r="AB1723">
        <v>34</v>
      </c>
      <c r="AC1723">
        <v>-19.134699999999999</v>
      </c>
      <c r="AD1723">
        <v>-1.109062124489</v>
      </c>
      <c r="AE1723">
        <v>-1.3052000000000099</v>
      </c>
      <c r="AF1723">
        <v>-1.64399277714283</v>
      </c>
      <c r="AG1723">
        <v>-1.109062124489</v>
      </c>
      <c r="AH1723">
        <v>19.044417178199399</v>
      </c>
      <c r="AI1723">
        <v>93.320565549600602</v>
      </c>
      <c r="AJ1723">
        <v>94.9337774108389</v>
      </c>
      <c r="AK1723">
        <v>19.1473903366639</v>
      </c>
      <c r="AL1723">
        <v>91.794247551716794</v>
      </c>
      <c r="AM1723">
        <v>82.777031295865299</v>
      </c>
      <c r="AN1723">
        <v>1.00000002241042</v>
      </c>
    </row>
    <row r="1724" spans="1:40" x14ac:dyDescent="0.25">
      <c r="A1724" t="str">
        <f>"20190312161300656"</f>
        <v>20190312161300656</v>
      </c>
      <c r="B1724" t="str">
        <f>"1552378380647058"</f>
        <v>1552378380647058</v>
      </c>
      <c r="C1724" t="s">
        <v>40</v>
      </c>
      <c r="D1724">
        <v>6.1470989999999999</v>
      </c>
      <c r="E1724">
        <v>0.41767749999999998</v>
      </c>
      <c r="F1724" t="s">
        <v>74</v>
      </c>
      <c r="G1724">
        <v>-304.88740000000001</v>
      </c>
      <c r="H1724" s="1">
        <v>3.1973650000000002E-6</v>
      </c>
      <c r="I1724">
        <v>283.47579999999999</v>
      </c>
      <c r="J1724">
        <v>-287.93950000000001</v>
      </c>
      <c r="K1724">
        <v>1.109065</v>
      </c>
      <c r="L1724">
        <v>284.71890000000002</v>
      </c>
      <c r="M1724">
        <v>-0.99980749999999996</v>
      </c>
      <c r="N1724">
        <v>0</v>
      </c>
      <c r="O1724">
        <v>1.8002959999999998E-2</v>
      </c>
      <c r="P1724">
        <v>-0.98889369999999999</v>
      </c>
      <c r="Q1724">
        <v>-3.8921560000000001E-2</v>
      </c>
      <c r="R1724">
        <v>0.14343829999999999</v>
      </c>
      <c r="S1724">
        <v>-3.0577390000000002</v>
      </c>
      <c r="T1724">
        <v>-0.19617660000000001</v>
      </c>
      <c r="U1724">
        <v>-0.21881100000000001</v>
      </c>
      <c r="V1724">
        <v>0.12561030000000001</v>
      </c>
      <c r="W1724">
        <v>-3.1176789999999999E-2</v>
      </c>
      <c r="X1724">
        <v>0.99158970000000002</v>
      </c>
      <c r="Y1724">
        <v>-8.9104100000000006E-2</v>
      </c>
      <c r="Z1724">
        <v>-4.004316E-3</v>
      </c>
      <c r="AA1724">
        <v>0.99601430000000002</v>
      </c>
      <c r="AB1724">
        <v>34</v>
      </c>
      <c r="AC1724">
        <v>-16.947900000000001</v>
      </c>
      <c r="AD1724">
        <v>-1.1090618026350001</v>
      </c>
      <c r="AE1724">
        <v>-1.2431000000000201</v>
      </c>
      <c r="AF1724">
        <v>-1.54145448604959</v>
      </c>
      <c r="AG1724">
        <v>-1.1090618026350001</v>
      </c>
      <c r="AH1724">
        <v>16.850997673387401</v>
      </c>
      <c r="AI1724">
        <v>93.749924809155104</v>
      </c>
      <c r="AJ1724">
        <v>95.226617639130396</v>
      </c>
      <c r="AK1724">
        <v>16.957659703011299</v>
      </c>
      <c r="AL1724">
        <v>91.786587925359896</v>
      </c>
      <c r="AM1724">
        <v>82.780470877854398</v>
      </c>
      <c r="AN1724">
        <v>1.00000003642344</v>
      </c>
    </row>
    <row r="1725" spans="1:40" x14ac:dyDescent="0.25">
      <c r="A1725" t="str">
        <f>"20190312161300678"</f>
        <v>20190312161300678</v>
      </c>
      <c r="B1725" t="str">
        <f>"1552378380667553"</f>
        <v>1552378380667553</v>
      </c>
      <c r="C1725" t="s">
        <v>40</v>
      </c>
      <c r="D1725">
        <v>6.1263839999999998</v>
      </c>
      <c r="E1725">
        <v>0.41767929999999998</v>
      </c>
      <c r="F1725" t="s">
        <v>74</v>
      </c>
      <c r="G1725">
        <v>-304.80810000000002</v>
      </c>
      <c r="H1725" s="1">
        <v>3.2102670000000001E-6</v>
      </c>
      <c r="I1725">
        <v>283.48899999999998</v>
      </c>
      <c r="J1725">
        <v>-288.26889999999997</v>
      </c>
      <c r="K1725">
        <v>1.109067</v>
      </c>
      <c r="L1725">
        <v>284.72480000000002</v>
      </c>
      <c r="M1725">
        <v>-0.99980729999999995</v>
      </c>
      <c r="N1725">
        <v>0</v>
      </c>
      <c r="O1725">
        <v>1.8002379999999998E-2</v>
      </c>
      <c r="P1725">
        <v>-0.98890330000000004</v>
      </c>
      <c r="Q1725">
        <v>-3.8962330000000003E-2</v>
      </c>
      <c r="R1725">
        <v>0.14336109999999999</v>
      </c>
      <c r="S1725">
        <v>-3.0581049999999999</v>
      </c>
      <c r="T1725">
        <v>-0.2010605</v>
      </c>
      <c r="U1725">
        <v>-0.2229614</v>
      </c>
      <c r="V1725">
        <v>0.1255337</v>
      </c>
      <c r="W1725">
        <v>-3.1207189999999999E-2</v>
      </c>
      <c r="X1725">
        <v>0.99159839999999999</v>
      </c>
      <c r="Y1725">
        <v>-9.0425909999999998E-2</v>
      </c>
      <c r="Z1725">
        <v>-4.1464190000000001E-3</v>
      </c>
      <c r="AA1725">
        <v>0.99589459999999996</v>
      </c>
      <c r="AB1725">
        <v>34</v>
      </c>
      <c r="AC1725">
        <v>-16.539200000000001</v>
      </c>
      <c r="AD1725">
        <v>-1.109063789733</v>
      </c>
      <c r="AE1725">
        <v>-1.23579999999998</v>
      </c>
      <c r="AF1725">
        <v>-1.52652773367399</v>
      </c>
      <c r="AG1725">
        <v>-1.109063789733</v>
      </c>
      <c r="AH1725">
        <v>16.440754519575901</v>
      </c>
      <c r="AI1725">
        <v>93.842744514430706</v>
      </c>
      <c r="AJ1725">
        <v>95.304716552134494</v>
      </c>
      <c r="AK1725">
        <v>16.548677245759801</v>
      </c>
      <c r="AL1725">
        <v>91.788330643136206</v>
      </c>
      <c r="AM1725">
        <v>82.7848897355031</v>
      </c>
      <c r="AN1725">
        <v>0.99999999271297302</v>
      </c>
    </row>
    <row r="1726" spans="1:40" x14ac:dyDescent="0.25">
      <c r="A1726" t="str">
        <f>"20190312161300700"</f>
        <v>20190312161300700</v>
      </c>
      <c r="B1726" t="str">
        <f>"1552378380697809"</f>
        <v>1552378380697809</v>
      </c>
      <c r="C1726" t="s">
        <v>40</v>
      </c>
      <c r="D1726">
        <v>6.0889369999999996</v>
      </c>
      <c r="E1726">
        <v>0.41660979999999997</v>
      </c>
      <c r="F1726" t="s">
        <v>74</v>
      </c>
      <c r="G1726">
        <v>-304.85129999999998</v>
      </c>
      <c r="H1726" s="1">
        <v>3.2004860000000001E-6</v>
      </c>
      <c r="I1726">
        <v>283.51330000000002</v>
      </c>
      <c r="J1726">
        <v>-288.61149999999998</v>
      </c>
      <c r="K1726">
        <v>1.1090599999999999</v>
      </c>
      <c r="L1726">
        <v>284.73099999999999</v>
      </c>
      <c r="M1726">
        <v>-0.99980740000000001</v>
      </c>
      <c r="N1726">
        <v>0</v>
      </c>
      <c r="O1726">
        <v>1.8001679999999999E-2</v>
      </c>
      <c r="P1726">
        <v>-0.98889079999999996</v>
      </c>
      <c r="Q1726">
        <v>-3.9156589999999998E-2</v>
      </c>
      <c r="R1726">
        <v>0.1433951</v>
      </c>
      <c r="S1726">
        <v>-3.0579830000000001</v>
      </c>
      <c r="T1726">
        <v>-0.20452310000000001</v>
      </c>
      <c r="U1726">
        <v>-0.22341920000000001</v>
      </c>
      <c r="V1726">
        <v>0.1255686</v>
      </c>
      <c r="W1726">
        <v>-3.139082E-2</v>
      </c>
      <c r="X1726">
        <v>0.99158820000000003</v>
      </c>
      <c r="Y1726">
        <v>-9.0567969999999998E-2</v>
      </c>
      <c r="Z1726">
        <v>-4.2225070000000003E-3</v>
      </c>
      <c r="AA1726">
        <v>0.99588129999999997</v>
      </c>
      <c r="AB1726">
        <v>34</v>
      </c>
      <c r="AC1726">
        <v>-16.239799999999999</v>
      </c>
      <c r="AD1726">
        <v>-1.1090567995139999</v>
      </c>
      <c r="AE1726">
        <v>-1.21769999999997</v>
      </c>
      <c r="AF1726">
        <v>-1.50288521291064</v>
      </c>
      <c r="AG1726">
        <v>-1.1090567995139999</v>
      </c>
      <c r="AH1726">
        <v>16.1403911889802</v>
      </c>
      <c r="AI1726">
        <v>93.913916293227004</v>
      </c>
      <c r="AJ1726">
        <v>95.319660961949296</v>
      </c>
      <c r="AK1726">
        <v>16.248104464245799</v>
      </c>
      <c r="AL1726">
        <v>91.798856997603195</v>
      </c>
      <c r="AM1726">
        <v>82.782831532516099</v>
      </c>
      <c r="AN1726">
        <v>1.00000000763273</v>
      </c>
    </row>
    <row r="1727" spans="1:40" x14ac:dyDescent="0.25">
      <c r="A1727" t="str">
        <f>"20190312161301329"</f>
        <v>20190312161301329</v>
      </c>
      <c r="B1727" t="str">
        <f>"1552378381317896"</f>
        <v>1552378381317896</v>
      </c>
      <c r="C1727" t="s">
        <v>40</v>
      </c>
      <c r="D1727">
        <v>6.0637460000000001</v>
      </c>
      <c r="E1727">
        <v>0.41660979999999997</v>
      </c>
      <c r="F1727" t="s">
        <v>74</v>
      </c>
      <c r="G1727">
        <v>-305.43</v>
      </c>
      <c r="H1727" s="1">
        <v>3.1027279999999999E-6</v>
      </c>
      <c r="I1727">
        <v>283.45749999999998</v>
      </c>
      <c r="J1727">
        <v>-298.57130000000001</v>
      </c>
      <c r="K1727">
        <v>1.109046</v>
      </c>
      <c r="L1727">
        <v>284.91019999999997</v>
      </c>
      <c r="M1727">
        <v>-0.9998051</v>
      </c>
      <c r="N1727">
        <v>0</v>
      </c>
      <c r="O1727">
        <v>1.798456E-2</v>
      </c>
      <c r="P1727">
        <v>-0.98891309999999999</v>
      </c>
      <c r="Q1727">
        <v>-3.9305239999999998E-2</v>
      </c>
      <c r="R1727">
        <v>0.1431984</v>
      </c>
      <c r="S1727">
        <v>-3.059326</v>
      </c>
      <c r="T1727">
        <v>-0.2017399</v>
      </c>
      <c r="U1727">
        <v>-0.2316589</v>
      </c>
      <c r="V1727">
        <v>0.12538830000000001</v>
      </c>
      <c r="W1727">
        <v>-3.1229610000000001E-2</v>
      </c>
      <c r="X1727">
        <v>0.9916161</v>
      </c>
      <c r="Y1727">
        <v>-9.3187500000000006E-2</v>
      </c>
      <c r="Z1727">
        <v>-4.2479730000000004E-3</v>
      </c>
      <c r="AA1727">
        <v>0.99563950000000001</v>
      </c>
      <c r="AB1727">
        <v>36</v>
      </c>
      <c r="AC1727">
        <v>-6.85869999999999</v>
      </c>
      <c r="AD1727">
        <v>-1.1090428972719999</v>
      </c>
      <c r="AE1727">
        <v>-1.4526999999999901</v>
      </c>
      <c r="AF1727">
        <v>-1.53734938273358</v>
      </c>
      <c r="AG1727">
        <v>-1.1090428972719999</v>
      </c>
      <c r="AH1727">
        <v>6.6646872853699897</v>
      </c>
      <c r="AI1727">
        <v>99.210229192300602</v>
      </c>
      <c r="AJ1727">
        <v>102.98926734270199</v>
      </c>
      <c r="AK1727">
        <v>6.9290313813947497</v>
      </c>
      <c r="AL1727">
        <v>91.7896158242322</v>
      </c>
      <c r="AM1727">
        <v>82.793286040915604</v>
      </c>
      <c r="AN1727">
        <v>1.0000000020484201</v>
      </c>
    </row>
    <row r="1728" spans="1:40" x14ac:dyDescent="0.25">
      <c r="A1728" t="str">
        <f>"20190312161301340"</f>
        <v>20190312161301340</v>
      </c>
      <c r="B1728" t="str">
        <f>"1552378381337416"</f>
        <v>1552378381337416</v>
      </c>
      <c r="C1728" t="s">
        <v>40</v>
      </c>
      <c r="D1728">
        <v>5.997579</v>
      </c>
      <c r="E1728">
        <v>0.4187768</v>
      </c>
      <c r="F1728" t="s">
        <v>74</v>
      </c>
      <c r="G1728">
        <v>-315.1293</v>
      </c>
      <c r="H1728" s="1">
        <v>4.5755770000000003E-6</v>
      </c>
      <c r="I1728">
        <v>283.65589999999997</v>
      </c>
      <c r="J1728">
        <v>-298.76260000000002</v>
      </c>
      <c r="K1728">
        <v>1.109046</v>
      </c>
      <c r="L1728">
        <v>284.91359999999997</v>
      </c>
      <c r="M1728">
        <v>-0.9998051</v>
      </c>
      <c r="N1728">
        <v>0</v>
      </c>
      <c r="O1728">
        <v>1.7984179999999999E-2</v>
      </c>
      <c r="P1728">
        <v>-0.98890129999999998</v>
      </c>
      <c r="Q1728">
        <v>-3.9024830000000003E-2</v>
      </c>
      <c r="R1728">
        <v>0.14335919999999999</v>
      </c>
      <c r="S1728">
        <v>-3.059021</v>
      </c>
      <c r="T1728">
        <v>-0.2048904</v>
      </c>
      <c r="U1728">
        <v>-0.23172000000000001</v>
      </c>
      <c r="V1728">
        <v>0.12554989999999999</v>
      </c>
      <c r="W1728">
        <v>-3.0943479999999999E-2</v>
      </c>
      <c r="X1728">
        <v>0.99160459999999995</v>
      </c>
      <c r="Y1728">
        <v>-9.3206700000000003E-2</v>
      </c>
      <c r="Z1728">
        <v>-4.3152069999999997E-3</v>
      </c>
      <c r="AA1728">
        <v>0.99563740000000001</v>
      </c>
      <c r="AB1728">
        <v>36</v>
      </c>
      <c r="AC1728">
        <v>-16.366699999999899</v>
      </c>
      <c r="AD1728">
        <v>-1.109041424423</v>
      </c>
      <c r="AE1728">
        <v>-1.25769999999999</v>
      </c>
      <c r="AF1728">
        <v>-1.54479642453814</v>
      </c>
      <c r="AG1728">
        <v>-1.109041424423</v>
      </c>
      <c r="AH1728">
        <v>16.2671779365233</v>
      </c>
      <c r="AI1728">
        <v>93.882783344055397</v>
      </c>
      <c r="AJ1728">
        <v>95.424768777595801</v>
      </c>
      <c r="AK1728">
        <v>16.377956126845</v>
      </c>
      <c r="AL1728">
        <v>91.7732138956098</v>
      </c>
      <c r="AM1728">
        <v>82.784013089390996</v>
      </c>
      <c r="AN1728">
        <v>0.99999997954283903</v>
      </c>
    </row>
    <row r="1729" spans="1:40" x14ac:dyDescent="0.25">
      <c r="A1729" t="str">
        <f>"20190312161301353"</f>
        <v>20190312161301353</v>
      </c>
      <c r="B1729" t="str">
        <f>"1552378381347176"</f>
        <v>1552378381347176</v>
      </c>
      <c r="C1729" t="s">
        <v>40</v>
      </c>
      <c r="D1729">
        <v>5.9602729999999999</v>
      </c>
      <c r="E1729">
        <v>0.4187768</v>
      </c>
      <c r="F1729" t="s">
        <v>74</v>
      </c>
      <c r="G1729">
        <v>-317.3698</v>
      </c>
      <c r="H1729" s="1">
        <v>5.5728699999999899E-6</v>
      </c>
      <c r="I1729">
        <v>283.61320000000001</v>
      </c>
      <c r="J1729">
        <v>-298.94970000000001</v>
      </c>
      <c r="K1729">
        <v>1.109048</v>
      </c>
      <c r="L1729">
        <v>284.91699999999997</v>
      </c>
      <c r="M1729">
        <v>-0.9998051</v>
      </c>
      <c r="N1729">
        <v>0</v>
      </c>
      <c r="O1729">
        <v>1.7983860000000001E-2</v>
      </c>
      <c r="P1729">
        <v>-0.98893059999999999</v>
      </c>
      <c r="Q1729">
        <v>-3.8876109999999998E-2</v>
      </c>
      <c r="R1729">
        <v>0.1431964</v>
      </c>
      <c r="S1729">
        <v>-3.0574650000000001</v>
      </c>
      <c r="T1729">
        <v>-0.1822337</v>
      </c>
      <c r="U1729">
        <v>-0.21368409999999999</v>
      </c>
      <c r="V1729">
        <v>0.12538679999999999</v>
      </c>
      <c r="W1729">
        <v>-3.0788860000000001E-2</v>
      </c>
      <c r="X1729">
        <v>0.99163009999999996</v>
      </c>
      <c r="Y1729">
        <v>-8.7462380000000006E-2</v>
      </c>
      <c r="Z1729">
        <v>-3.670829E-3</v>
      </c>
      <c r="AA1729">
        <v>0.99616099999999996</v>
      </c>
      <c r="AB1729">
        <v>36</v>
      </c>
      <c r="AC1729">
        <v>-18.420099999999898</v>
      </c>
      <c r="AD1729">
        <v>-1.1090424271299999</v>
      </c>
      <c r="AE1729">
        <v>-1.3038000000000201</v>
      </c>
      <c r="AF1729">
        <v>-1.6289889140468601</v>
      </c>
      <c r="AG1729">
        <v>-1.1090424271299999</v>
      </c>
      <c r="AH1729">
        <v>18.327565824974499</v>
      </c>
      <c r="AI1729">
        <v>93.449309582398001</v>
      </c>
      <c r="AJ1729">
        <v>95.079210692680704</v>
      </c>
      <c r="AK1729">
        <v>18.433210492370399</v>
      </c>
      <c r="AL1729">
        <v>91.764350510922498</v>
      </c>
      <c r="AM1729">
        <v>82.793472021964703</v>
      </c>
      <c r="AN1729">
        <v>1.0000000293701701</v>
      </c>
    </row>
    <row r="1730" spans="1:40" x14ac:dyDescent="0.25">
      <c r="A1730" t="str">
        <f>"20190312161301494"</f>
        <v>20190312161301494</v>
      </c>
      <c r="B1730" t="str">
        <f>"1552378381487757"</f>
        <v>1552378381487757</v>
      </c>
      <c r="C1730" t="s">
        <v>40</v>
      </c>
      <c r="D1730">
        <v>6.092841</v>
      </c>
      <c r="E1730">
        <v>0.4204948</v>
      </c>
      <c r="F1730" t="s">
        <v>74</v>
      </c>
      <c r="G1730">
        <v>-317.61660000000001</v>
      </c>
      <c r="H1730" s="1">
        <v>5.6825919999999901E-6</v>
      </c>
      <c r="I1730">
        <v>283.61009999999999</v>
      </c>
      <c r="J1730">
        <v>-301.28919999999999</v>
      </c>
      <c r="K1730">
        <v>1.109056</v>
      </c>
      <c r="L1730">
        <v>284.959</v>
      </c>
      <c r="M1730">
        <v>-0.99980460000000004</v>
      </c>
      <c r="N1730">
        <v>0</v>
      </c>
      <c r="O1730">
        <v>1.797986E-2</v>
      </c>
      <c r="P1730">
        <v>-0.98901430000000001</v>
      </c>
      <c r="Q1730">
        <v>-3.6480029999999997E-2</v>
      </c>
      <c r="R1730">
        <v>0.14324909999999999</v>
      </c>
      <c r="S1730">
        <v>-3.057404</v>
      </c>
      <c r="T1730">
        <v>-0.18164710000000001</v>
      </c>
      <c r="U1730">
        <v>-0.2140503</v>
      </c>
      <c r="V1730">
        <v>0.125442</v>
      </c>
      <c r="W1730">
        <v>-2.8320410000000001E-2</v>
      </c>
      <c r="X1730">
        <v>0.99169669999999999</v>
      </c>
      <c r="Y1730">
        <v>-8.7579530000000003E-2</v>
      </c>
      <c r="Z1730">
        <v>-3.6623269999999999E-3</v>
      </c>
      <c r="AA1730">
        <v>0.9961508</v>
      </c>
      <c r="AB1730">
        <v>37</v>
      </c>
      <c r="AC1730">
        <v>-16.327400000000001</v>
      </c>
      <c r="AD1730">
        <v>-1.109050317408</v>
      </c>
      <c r="AE1730">
        <v>-1.34890000000001</v>
      </c>
      <c r="AF1730">
        <v>-1.63476469401393</v>
      </c>
      <c r="AG1730">
        <v>-1.109050317408</v>
      </c>
      <c r="AH1730">
        <v>16.2261482861032</v>
      </c>
      <c r="AI1730">
        <v>93.890427091837907</v>
      </c>
      <c r="AJ1730">
        <v>95.753067318095205</v>
      </c>
      <c r="AK1730">
        <v>16.3459578004455</v>
      </c>
      <c r="AL1730">
        <v>91.622856880995897</v>
      </c>
      <c r="AM1730">
        <v>82.790811902579094</v>
      </c>
      <c r="AN1730">
        <v>1.0000000428887199</v>
      </c>
    </row>
    <row r="1731" spans="1:40" x14ac:dyDescent="0.25">
      <c r="A1731" t="str">
        <f>"20190312161301505"</f>
        <v>20190312161301505</v>
      </c>
      <c r="B1731" t="str">
        <f>"1552378381497518"</f>
        <v>1552378381497518</v>
      </c>
      <c r="C1731" t="s">
        <v>40</v>
      </c>
      <c r="D1731">
        <v>6.0057159999999996</v>
      </c>
      <c r="E1731">
        <v>0.42041400000000001</v>
      </c>
      <c r="F1731" t="s">
        <v>69</v>
      </c>
      <c r="G1731">
        <v>-322.04489999999998</v>
      </c>
      <c r="H1731" s="1">
        <v>-4.0424579999999999E-7</v>
      </c>
      <c r="I1731">
        <v>283.60160000000002</v>
      </c>
      <c r="J1731">
        <v>-301.47370000000001</v>
      </c>
      <c r="K1731">
        <v>1.109056</v>
      </c>
      <c r="L1731">
        <v>284.9624</v>
      </c>
      <c r="M1731">
        <v>-0.99980440000000004</v>
      </c>
      <c r="N1731">
        <v>0</v>
      </c>
      <c r="O1731">
        <v>1.7979660000000001E-2</v>
      </c>
      <c r="P1731">
        <v>-0.98899720000000002</v>
      </c>
      <c r="Q1731">
        <v>-3.6269589999999997E-2</v>
      </c>
      <c r="R1731">
        <v>0.14342149999999901</v>
      </c>
      <c r="S1731">
        <v>-3.056305</v>
      </c>
      <c r="T1731">
        <v>-0.16331010000000001</v>
      </c>
      <c r="U1731">
        <v>-0.19989009999999999</v>
      </c>
      <c r="V1731">
        <v>0.125615</v>
      </c>
      <c r="W1731">
        <v>-2.8104480000000001E-2</v>
      </c>
      <c r="X1731">
        <v>0.99168089999999998</v>
      </c>
      <c r="Y1731">
        <v>-8.3050959999999993E-2</v>
      </c>
      <c r="Z1731">
        <v>-3.1740729999999999E-3</v>
      </c>
      <c r="AA1731">
        <v>0.99654019999999999</v>
      </c>
      <c r="AB1731">
        <v>37</v>
      </c>
      <c r="AC1731">
        <v>-20.571199999999902</v>
      </c>
      <c r="AD1731">
        <v>-1.1090564042458</v>
      </c>
      <c r="AE1731">
        <v>-1.36079999999998</v>
      </c>
      <c r="AF1731">
        <v>-1.72546234392044</v>
      </c>
      <c r="AG1731">
        <v>-1.1090564042458</v>
      </c>
      <c r="AH1731">
        <v>20.484126812078401</v>
      </c>
      <c r="AI1731">
        <v>93.088180431957895</v>
      </c>
      <c r="AJ1731">
        <v>94.814893046185603</v>
      </c>
      <c r="AK1731">
        <v>20.586565465404799</v>
      </c>
      <c r="AL1731">
        <v>91.610480148389598</v>
      </c>
      <c r="AM1731">
        <v>82.780860556701199</v>
      </c>
      <c r="AN1731">
        <v>0.99999999872293999</v>
      </c>
    </row>
    <row r="1732" spans="1:40" x14ac:dyDescent="0.25">
      <c r="A1732" t="str">
        <f>"20190312161301517"</f>
        <v>20190312161301517</v>
      </c>
      <c r="B1732" t="str">
        <f>"1552378381507278"</f>
        <v>1552378381507278</v>
      </c>
      <c r="C1732" t="s">
        <v>40</v>
      </c>
      <c r="D1732">
        <v>5.6998800000000003</v>
      </c>
      <c r="E1732">
        <v>0.42011310000000002</v>
      </c>
      <c r="F1732" t="s">
        <v>69</v>
      </c>
      <c r="G1732">
        <v>-322.67239999999998</v>
      </c>
      <c r="H1732" s="1">
        <v>-6.9160780000000002E-8</v>
      </c>
      <c r="I1732">
        <v>283.5754</v>
      </c>
      <c r="J1732">
        <v>-301.66719999999998</v>
      </c>
      <c r="K1732">
        <v>1.109056</v>
      </c>
      <c r="L1732">
        <v>284.96589999999998</v>
      </c>
      <c r="M1732">
        <v>-0.99980440000000004</v>
      </c>
      <c r="N1732">
        <v>0</v>
      </c>
      <c r="O1732">
        <v>1.797934E-2</v>
      </c>
      <c r="P1732">
        <v>-0.98898240000000004</v>
      </c>
      <c r="Q1732">
        <v>-3.622073E-2</v>
      </c>
      <c r="R1732">
        <v>0.1435352</v>
      </c>
      <c r="S1732">
        <v>-3.0564879999999999</v>
      </c>
      <c r="T1732">
        <v>-0.15990689999999999</v>
      </c>
      <c r="U1732">
        <v>-0.19998170000000001</v>
      </c>
      <c r="V1732">
        <v>0.12572920000000001</v>
      </c>
      <c r="W1732">
        <v>-2.804976E-2</v>
      </c>
      <c r="X1732">
        <v>0.99166799999999999</v>
      </c>
      <c r="Y1732">
        <v>-8.3082370000000003E-2</v>
      </c>
      <c r="Z1732">
        <v>-3.1086339999999999E-3</v>
      </c>
      <c r="AA1732">
        <v>0.99653789999999998</v>
      </c>
      <c r="AB1732">
        <v>37</v>
      </c>
      <c r="AC1732">
        <v>-21.005199999999999</v>
      </c>
      <c r="AD1732">
        <v>-1.10905606916078</v>
      </c>
      <c r="AE1732">
        <v>-1.3904999999999701</v>
      </c>
      <c r="AF1732">
        <v>-1.76305417316811</v>
      </c>
      <c r="AG1732">
        <v>-1.10905606916078</v>
      </c>
      <c r="AH1732">
        <v>20.918741614180401</v>
      </c>
      <c r="AI1732">
        <v>93.0241269411422</v>
      </c>
      <c r="AJ1732">
        <v>94.817564936168296</v>
      </c>
      <c r="AK1732">
        <v>21.022181525781502</v>
      </c>
      <c r="AL1732">
        <v>91.607343650197194</v>
      </c>
      <c r="AM1732">
        <v>82.774273775624295</v>
      </c>
      <c r="AN1732">
        <v>1.00000002149634</v>
      </c>
    </row>
    <row r="1733" spans="1:40" x14ac:dyDescent="0.25">
      <c r="A1733" t="str">
        <f>"20190312161301529"</f>
        <v>20190312161301529</v>
      </c>
      <c r="B1733" t="str">
        <f>"1552378381527773"</f>
        <v>1552378381527773</v>
      </c>
      <c r="C1733" t="s">
        <v>40</v>
      </c>
      <c r="D1733">
        <v>6.0473049999999997</v>
      </c>
      <c r="E1733">
        <v>0.42087380000000002</v>
      </c>
      <c r="F1733" t="s">
        <v>69</v>
      </c>
      <c r="G1733">
        <v>-321.26310000000001</v>
      </c>
      <c r="H1733" s="1">
        <v>-8.2316180000000004E-7</v>
      </c>
      <c r="I1733">
        <v>283.6671</v>
      </c>
      <c r="J1733">
        <v>-301.86430000000001</v>
      </c>
      <c r="K1733">
        <v>1.109059</v>
      </c>
      <c r="L1733">
        <v>284.96940000000001</v>
      </c>
      <c r="M1733">
        <v>-0.99980429999999998</v>
      </c>
      <c r="N1733">
        <v>0</v>
      </c>
      <c r="O1733">
        <v>1.7978959999999999E-2</v>
      </c>
      <c r="P1733">
        <v>-0.98899020000000004</v>
      </c>
      <c r="Q1733">
        <v>-3.5846509999999998E-2</v>
      </c>
      <c r="R1733">
        <v>0.1435739</v>
      </c>
      <c r="S1733">
        <v>-3.0564580000000001</v>
      </c>
      <c r="T1733">
        <v>-0.17298459999999999</v>
      </c>
      <c r="U1733">
        <v>-0.2025757</v>
      </c>
      <c r="V1733">
        <v>0.12576799999999999</v>
      </c>
      <c r="W1733">
        <v>-2.76694E-2</v>
      </c>
      <c r="X1733">
        <v>0.99167380000000005</v>
      </c>
      <c r="Y1733">
        <v>-8.3899979999999999E-2</v>
      </c>
      <c r="Z1733">
        <v>-3.3854929999999998E-3</v>
      </c>
      <c r="AA1733">
        <v>0.99646840000000003</v>
      </c>
      <c r="AB1733">
        <v>37</v>
      </c>
      <c r="AC1733">
        <v>-19.398799999999898</v>
      </c>
      <c r="AD1733">
        <v>-1.1090598231618001</v>
      </c>
      <c r="AE1733">
        <v>-1.3023</v>
      </c>
      <c r="AF1733">
        <v>-1.6455172308070101</v>
      </c>
      <c r="AG1733">
        <v>-1.1090598231618001</v>
      </c>
      <c r="AH1733">
        <v>19.3094181066799</v>
      </c>
      <c r="AI1733">
        <v>93.275395169339802</v>
      </c>
      <c r="AJ1733">
        <v>94.870884898076199</v>
      </c>
      <c r="AK1733">
        <v>19.4111145549866</v>
      </c>
      <c r="AL1733">
        <v>91.585542111489005</v>
      </c>
      <c r="AM1733">
        <v>82.772109323950303</v>
      </c>
      <c r="AN1733">
        <v>1.0000000555633899</v>
      </c>
    </row>
    <row r="1734" spans="1:40" x14ac:dyDescent="0.25">
      <c r="A1734" t="str">
        <f>"20190312161301542"</f>
        <v>20190312161301542</v>
      </c>
      <c r="B1734" t="str">
        <f>"1552378381537533"</f>
        <v>1552378381537533</v>
      </c>
      <c r="C1734" t="s">
        <v>40</v>
      </c>
      <c r="D1734">
        <v>6.0333579999999998</v>
      </c>
      <c r="E1734">
        <v>0.42150189999999998</v>
      </c>
      <c r="F1734" t="s">
        <v>69</v>
      </c>
      <c r="G1734">
        <v>-321.68</v>
      </c>
      <c r="H1734" s="1">
        <v>-6.0254380000000001E-7</v>
      </c>
      <c r="I1734">
        <v>283.69560000000001</v>
      </c>
      <c r="J1734">
        <v>-302.0754</v>
      </c>
      <c r="K1734">
        <v>1.109059</v>
      </c>
      <c r="L1734">
        <v>284.97320000000002</v>
      </c>
      <c r="M1734">
        <v>-0.99980429999999998</v>
      </c>
      <c r="N1734">
        <v>0</v>
      </c>
      <c r="O1734">
        <v>1.7978569999999999E-2</v>
      </c>
      <c r="P1734">
        <v>-0.98902040000000002</v>
      </c>
      <c r="Q1734">
        <v>-3.549277E-2</v>
      </c>
      <c r="R1734">
        <v>0.1434542</v>
      </c>
      <c r="S1734">
        <v>-3.0557249999999998</v>
      </c>
      <c r="T1734">
        <v>-0.17102539999999999</v>
      </c>
      <c r="U1734">
        <v>-0.1964417</v>
      </c>
      <c r="V1734">
        <v>0.12564839999999999</v>
      </c>
      <c r="W1734">
        <v>-2.730898E-2</v>
      </c>
      <c r="X1734">
        <v>0.99169890000000005</v>
      </c>
      <c r="Y1734">
        <v>-8.1930009999999998E-2</v>
      </c>
      <c r="Z1734">
        <v>-3.293172E-3</v>
      </c>
      <c r="AA1734">
        <v>0.99663259999999998</v>
      </c>
      <c r="AB1734">
        <v>37</v>
      </c>
      <c r="AC1734">
        <v>-19.604600000000001</v>
      </c>
      <c r="AD1734">
        <v>-1.1090596025438</v>
      </c>
      <c r="AE1734">
        <v>-1.2776000000000001</v>
      </c>
      <c r="AF1734">
        <v>-1.62469062569338</v>
      </c>
      <c r="AG1734">
        <v>-1.1090596025438</v>
      </c>
      <c r="AH1734">
        <v>19.516266715129799</v>
      </c>
      <c r="AI1734">
        <v>93.241286703930996</v>
      </c>
      <c r="AJ1734">
        <v>94.758787459729803</v>
      </c>
      <c r="AK1734">
        <v>19.6151548382187</v>
      </c>
      <c r="AL1734">
        <v>91.564883840770705</v>
      </c>
      <c r="AM1734">
        <v>82.779090988814403</v>
      </c>
      <c r="AN1734">
        <v>1.0000000045362001</v>
      </c>
    </row>
    <row r="1735" spans="1:40" x14ac:dyDescent="0.25">
      <c r="A1735" t="str">
        <f>"20190312161301553"</f>
        <v>20190312161301553</v>
      </c>
      <c r="B1735" t="str">
        <f>"1552378381547293"</f>
        <v>1552378381547293</v>
      </c>
      <c r="C1735" t="s">
        <v>40</v>
      </c>
      <c r="D1735">
        <v>6.1209009999999999</v>
      </c>
      <c r="E1735">
        <v>0.42200690000000002</v>
      </c>
      <c r="F1735" t="s">
        <v>69</v>
      </c>
      <c r="G1735">
        <v>-322.2029</v>
      </c>
      <c r="H1735" s="1">
        <v>-3.2490650000000002E-7</v>
      </c>
      <c r="I1735">
        <v>283.71080000000001</v>
      </c>
      <c r="J1735">
        <v>-302.25279999999998</v>
      </c>
      <c r="K1735">
        <v>1.1090599999999999</v>
      </c>
      <c r="L1735">
        <v>284.97640000000001</v>
      </c>
      <c r="M1735">
        <v>-0.99980429999999998</v>
      </c>
      <c r="N1735">
        <v>0</v>
      </c>
      <c r="O1735">
        <v>1.7978250000000001E-2</v>
      </c>
      <c r="P1735">
        <v>-0.98902829999999997</v>
      </c>
      <c r="Q1735">
        <v>-3.53411E-2</v>
      </c>
      <c r="R1735">
        <v>0.14343539999999999</v>
      </c>
      <c r="S1735">
        <v>-3.0550540000000002</v>
      </c>
      <c r="T1735">
        <v>-0.16833809999999999</v>
      </c>
      <c r="U1735">
        <v>-0.19161990000000001</v>
      </c>
      <c r="V1735">
        <v>0.12562960000000001</v>
      </c>
      <c r="W1735">
        <v>-2.715182E-2</v>
      </c>
      <c r="X1735">
        <v>0.99170559999999996</v>
      </c>
      <c r="Y1735">
        <v>-8.0384079999999997E-2</v>
      </c>
      <c r="Z1735">
        <v>-3.199838E-3</v>
      </c>
      <c r="AA1735">
        <v>0.99675879999999994</v>
      </c>
      <c r="AB1735">
        <v>37</v>
      </c>
      <c r="AC1735">
        <v>-19.950099999999999</v>
      </c>
      <c r="AD1735">
        <v>-1.1090603249065001</v>
      </c>
      <c r="AE1735">
        <v>-1.2656000000000001</v>
      </c>
      <c r="AF1735">
        <v>-1.6190918954648801</v>
      </c>
      <c r="AG1735">
        <v>-1.1090603249065001</v>
      </c>
      <c r="AH1735">
        <v>19.862982074881099</v>
      </c>
      <c r="AI1735">
        <v>93.185279710013802</v>
      </c>
      <c r="AJ1735">
        <v>94.660049899655405</v>
      </c>
      <c r="AK1735">
        <v>19.959697649946701</v>
      </c>
      <c r="AL1735">
        <v>91.555875891348705</v>
      </c>
      <c r="AM1735">
        <v>82.780208270427195</v>
      </c>
      <c r="AN1735">
        <v>1.0000000073984101</v>
      </c>
    </row>
    <row r="1736" spans="1:40" x14ac:dyDescent="0.25">
      <c r="A1736" t="str">
        <f>"20190312161301566"</f>
        <v>20190312161301566</v>
      </c>
      <c r="B1736" t="str">
        <f>"1552378381557561"</f>
        <v>1552378381557561</v>
      </c>
      <c r="C1736" t="s">
        <v>40</v>
      </c>
      <c r="D1736">
        <v>6.0611569999999997</v>
      </c>
      <c r="E1736">
        <v>0.42263790000000001</v>
      </c>
      <c r="F1736" t="s">
        <v>69</v>
      </c>
      <c r="G1736">
        <v>-322.55309999999997</v>
      </c>
      <c r="H1736" s="1">
        <v>-1.3937470000000001E-7</v>
      </c>
      <c r="I1736">
        <v>283.72910000000002</v>
      </c>
      <c r="J1736">
        <v>-302.47930000000002</v>
      </c>
      <c r="K1736">
        <v>1.109057</v>
      </c>
      <c r="L1736">
        <v>284.98050000000001</v>
      </c>
      <c r="M1736">
        <v>-0.99980420000000003</v>
      </c>
      <c r="N1736">
        <v>0</v>
      </c>
      <c r="O1736">
        <v>1.7977859999999998E-2</v>
      </c>
      <c r="P1736">
        <v>-0.98914899999999994</v>
      </c>
      <c r="Q1736">
        <v>-3.4978599999999999E-2</v>
      </c>
      <c r="R1736">
        <v>0.1426915</v>
      </c>
      <c r="S1736">
        <v>-3.054535</v>
      </c>
      <c r="T1736">
        <v>-0.16687729999999901</v>
      </c>
      <c r="U1736">
        <v>-0.18768309999999999</v>
      </c>
      <c r="V1736">
        <v>0.124884</v>
      </c>
      <c r="W1736">
        <v>-2.6781470000000002E-2</v>
      </c>
      <c r="X1736">
        <v>0.99180979999999996</v>
      </c>
      <c r="Y1736">
        <v>-7.9118859999999999E-2</v>
      </c>
      <c r="Z1736">
        <v>-3.1382469999999998E-3</v>
      </c>
      <c r="AA1736">
        <v>0.99686030000000003</v>
      </c>
      <c r="AB1736">
        <v>37</v>
      </c>
      <c r="AC1736">
        <v>-20.073799999999899</v>
      </c>
      <c r="AD1736">
        <v>-1.1090571393747</v>
      </c>
      <c r="AE1736">
        <v>-1.2513999999999801</v>
      </c>
      <c r="AF1736">
        <v>-1.60720711427633</v>
      </c>
      <c r="AG1736">
        <v>-1.1090571393747</v>
      </c>
      <c r="AH1736">
        <v>19.987283279858001</v>
      </c>
      <c r="AI1736">
        <v>93.165781662089103</v>
      </c>
      <c r="AJ1736">
        <v>94.597346873285204</v>
      </c>
      <c r="AK1736">
        <v>20.082445452580401</v>
      </c>
      <c r="AL1736">
        <v>91.534648737256504</v>
      </c>
      <c r="AM1736">
        <v>82.823355088352002</v>
      </c>
      <c r="AN1736">
        <v>0.9999999699837</v>
      </c>
    </row>
    <row r="1737" spans="1:40" x14ac:dyDescent="0.25">
      <c r="A1737" t="str">
        <f>"20190312161301584"</f>
        <v>20190312161301584</v>
      </c>
      <c r="B1737" t="str">
        <f>"1552378381578057"</f>
        <v>1552378381578057</v>
      </c>
      <c r="C1737" t="s">
        <v>40</v>
      </c>
      <c r="D1737">
        <v>6.0996499999999996</v>
      </c>
      <c r="E1737">
        <v>0.42366039999999999</v>
      </c>
      <c r="F1737" t="s">
        <v>69</v>
      </c>
      <c r="G1737">
        <v>-322.81979999999999</v>
      </c>
      <c r="H1737" s="1">
        <v>1.7125890000000001E-9</v>
      </c>
      <c r="I1737">
        <v>283.74829999999997</v>
      </c>
      <c r="J1737">
        <v>-302.7747</v>
      </c>
      <c r="K1737">
        <v>1.1090500000000001</v>
      </c>
      <c r="L1737">
        <v>284.98579999999998</v>
      </c>
      <c r="M1737">
        <v>-0.99980420000000003</v>
      </c>
      <c r="N1737">
        <v>0</v>
      </c>
      <c r="O1737">
        <v>1.797735E-2</v>
      </c>
      <c r="P1737">
        <v>-0.98917259999999996</v>
      </c>
      <c r="Q1737">
        <v>-3.5105869999999997E-2</v>
      </c>
      <c r="R1737">
        <v>0.14249709999999999</v>
      </c>
      <c r="S1737">
        <v>-3.0537719999999999</v>
      </c>
      <c r="T1737">
        <v>-0.16650529999999999</v>
      </c>
      <c r="U1737">
        <v>-0.18499760000000001</v>
      </c>
      <c r="V1737">
        <v>0.1246898</v>
      </c>
      <c r="W1737">
        <v>-2.6899550000000001E-2</v>
      </c>
      <c r="X1737">
        <v>0.99183109999999997</v>
      </c>
      <c r="Y1737">
        <v>-7.8261979999999995E-2</v>
      </c>
      <c r="Z1737">
        <v>-3.1087749999999998E-3</v>
      </c>
      <c r="AA1737">
        <v>0.99692800000000004</v>
      </c>
      <c r="AB1737">
        <v>37</v>
      </c>
      <c r="AC1737">
        <v>-20.045099999999898</v>
      </c>
      <c r="AD1737">
        <v>-1.10904999828741</v>
      </c>
      <c r="AE1737">
        <v>-1.23750000000001</v>
      </c>
      <c r="AF1737">
        <v>-1.59281275922705</v>
      </c>
      <c r="AG1737">
        <v>-1.10904999828741</v>
      </c>
      <c r="AH1737">
        <v>19.9587477339823</v>
      </c>
      <c r="AI1737">
        <v>93.170430939356805</v>
      </c>
      <c r="AJ1737">
        <v>94.562833428310398</v>
      </c>
      <c r="AK1737">
        <v>20.0528964365101</v>
      </c>
      <c r="AL1737">
        <v>91.541416566598002</v>
      </c>
      <c r="AM1737">
        <v>82.834551272101905</v>
      </c>
      <c r="AN1737">
        <v>1.00000003147072</v>
      </c>
    </row>
    <row r="1738" spans="1:40" x14ac:dyDescent="0.25">
      <c r="A1738" t="str">
        <f>"20190312161301597"</f>
        <v>20190312161301597</v>
      </c>
      <c r="B1738" t="str">
        <f>"1552378381587817"</f>
        <v>1552378381587817</v>
      </c>
      <c r="C1738" t="s">
        <v>40</v>
      </c>
      <c r="D1738">
        <v>6.0347790000000003</v>
      </c>
      <c r="E1738">
        <v>0.42420649999999999</v>
      </c>
      <c r="F1738" t="s">
        <v>69</v>
      </c>
      <c r="G1738">
        <v>-323.05279999999999</v>
      </c>
      <c r="H1738" s="1">
        <v>1.2321030000000001E-7</v>
      </c>
      <c r="I1738">
        <v>283.8057</v>
      </c>
      <c r="J1738">
        <v>-303.00209999999998</v>
      </c>
      <c r="K1738">
        <v>1.1090450000000001</v>
      </c>
      <c r="L1738">
        <v>284.98989999999998</v>
      </c>
      <c r="M1738">
        <v>-0.99980409999999997</v>
      </c>
      <c r="N1738">
        <v>0</v>
      </c>
      <c r="O1738">
        <v>1.797696E-2</v>
      </c>
      <c r="P1738">
        <v>-0.98923850000000002</v>
      </c>
      <c r="Q1738">
        <v>-3.5087420000000001E-2</v>
      </c>
      <c r="R1738">
        <v>0.1420428</v>
      </c>
      <c r="S1738">
        <v>-3.0524900000000001</v>
      </c>
      <c r="T1738">
        <v>-0.16694690000000001</v>
      </c>
      <c r="U1738">
        <v>-0.17764279999999999</v>
      </c>
      <c r="V1738">
        <v>0.12423480000000001</v>
      </c>
      <c r="W1738">
        <v>-2.687376E-2</v>
      </c>
      <c r="X1738">
        <v>0.99188889999999996</v>
      </c>
      <c r="Y1738">
        <v>-7.5895699999999996E-2</v>
      </c>
      <c r="Z1738">
        <v>-3.0539019999999998E-3</v>
      </c>
      <c r="AA1738">
        <v>0.99711110000000003</v>
      </c>
      <c r="AB1738">
        <v>37</v>
      </c>
      <c r="AC1738">
        <v>-20.050699999999999</v>
      </c>
      <c r="AD1738">
        <v>-1.1090448767896901</v>
      </c>
      <c r="AE1738">
        <v>-1.1841999999999699</v>
      </c>
      <c r="AF1738">
        <v>-1.5397771651505401</v>
      </c>
      <c r="AG1738">
        <v>-1.1090448767896901</v>
      </c>
      <c r="AH1738">
        <v>19.9653006393266</v>
      </c>
      <c r="AI1738">
        <v>93.170039616417696</v>
      </c>
      <c r="AJ1738">
        <v>94.410073388853604</v>
      </c>
      <c r="AK1738">
        <v>20.055276709029599</v>
      </c>
      <c r="AL1738">
        <v>91.539938365243302</v>
      </c>
      <c r="AM1738">
        <v>82.8608398296236</v>
      </c>
      <c r="AN1738">
        <v>1.0000000372253901</v>
      </c>
    </row>
    <row r="1739" spans="1:40" x14ac:dyDescent="0.25">
      <c r="A1739" t="str">
        <f>"20190312161301611"</f>
        <v>20190312161301611</v>
      </c>
      <c r="B1739" t="str">
        <f>"1552378381607337"</f>
        <v>1552378381607337</v>
      </c>
      <c r="C1739" t="s">
        <v>40</v>
      </c>
      <c r="D1739">
        <v>6.0392489999999999</v>
      </c>
      <c r="E1739">
        <v>0.42552770000000001</v>
      </c>
      <c r="F1739" t="s">
        <v>69</v>
      </c>
      <c r="G1739">
        <v>-323.41579999999999</v>
      </c>
      <c r="H1739" s="1">
        <v>3.15648E-7</v>
      </c>
      <c r="I1739">
        <v>283.82209999999998</v>
      </c>
      <c r="J1739">
        <v>-303.2165</v>
      </c>
      <c r="K1739">
        <v>1.109046</v>
      </c>
      <c r="L1739">
        <v>284.99380000000002</v>
      </c>
      <c r="M1739">
        <v>-0.99980409999999997</v>
      </c>
      <c r="N1739">
        <v>0</v>
      </c>
      <c r="O1739">
        <v>1.7976570000000001E-2</v>
      </c>
      <c r="P1739">
        <v>-0.98919120000000005</v>
      </c>
      <c r="Q1739">
        <v>-3.5150790000000001E-2</v>
      </c>
      <c r="R1739">
        <v>0.1423558</v>
      </c>
      <c r="S1739">
        <v>-3.0517880000000002</v>
      </c>
      <c r="T1739">
        <v>-0.165799</v>
      </c>
      <c r="U1739">
        <v>-0.1745911</v>
      </c>
      <c r="V1739">
        <v>0.1245489</v>
      </c>
      <c r="W1739">
        <v>-2.693104E-2</v>
      </c>
      <c r="X1739">
        <v>0.9918479</v>
      </c>
      <c r="Y1739">
        <v>-7.4918079999999998E-2</v>
      </c>
      <c r="Z1739">
        <v>-3.007179E-3</v>
      </c>
      <c r="AA1739">
        <v>0.99718519999999999</v>
      </c>
      <c r="AB1739">
        <v>37</v>
      </c>
      <c r="AC1739">
        <v>-20.199299999999901</v>
      </c>
      <c r="AD1739">
        <v>-1.109045684352</v>
      </c>
      <c r="AE1739">
        <v>-1.1717000000000399</v>
      </c>
      <c r="AF1739">
        <v>-1.5300402820191501</v>
      </c>
      <c r="AG1739">
        <v>-1.109045684352</v>
      </c>
      <c r="AH1739">
        <v>20.114538412116801</v>
      </c>
      <c r="AI1739">
        <v>93.146822143755699</v>
      </c>
      <c r="AJ1739">
        <v>94.349906239916294</v>
      </c>
      <c r="AK1739">
        <v>20.203110184501298</v>
      </c>
      <c r="AL1739">
        <v>91.5432215392307</v>
      </c>
      <c r="AM1739">
        <v>82.842684214338803</v>
      </c>
      <c r="AN1739">
        <v>0.99999998307055005</v>
      </c>
    </row>
    <row r="1740" spans="1:40" x14ac:dyDescent="0.25">
      <c r="A1740" t="str">
        <f>"20190312161301627"</f>
        <v>20190312161301627</v>
      </c>
      <c r="B1740" t="str">
        <f>"1552378381617096"</f>
        <v>1552378381617096</v>
      </c>
      <c r="C1740" t="s">
        <v>40</v>
      </c>
      <c r="D1740">
        <v>6.0288750000000002</v>
      </c>
      <c r="E1740">
        <v>0.42603439999999998</v>
      </c>
      <c r="F1740" t="s">
        <v>69</v>
      </c>
      <c r="G1740">
        <v>-323.4975</v>
      </c>
      <c r="H1740" s="1">
        <v>3.5536669999999998E-7</v>
      </c>
      <c r="I1740">
        <v>283.90769999999998</v>
      </c>
      <c r="J1740">
        <v>-303.50720000000001</v>
      </c>
      <c r="K1740">
        <v>1.1090450000000001</v>
      </c>
      <c r="L1740">
        <v>284.99900000000002</v>
      </c>
      <c r="M1740">
        <v>-0.99980409999999997</v>
      </c>
      <c r="N1740">
        <v>0</v>
      </c>
      <c r="O1740">
        <v>1.7976240000000001E-2</v>
      </c>
      <c r="P1740">
        <v>-0.98922010000000005</v>
      </c>
      <c r="Q1740">
        <v>-3.4761840000000002E-2</v>
      </c>
      <c r="R1740">
        <v>0.14225179999999901</v>
      </c>
      <c r="S1740">
        <v>-3.050354</v>
      </c>
      <c r="T1740">
        <v>-0.16680590000000001</v>
      </c>
      <c r="U1740">
        <v>-0.16336059999999999</v>
      </c>
      <c r="V1740">
        <v>0.124444899999999</v>
      </c>
      <c r="W1740">
        <v>-2.6533069999999999E-2</v>
      </c>
      <c r="X1740">
        <v>0.99187170000000002</v>
      </c>
      <c r="Y1740">
        <v>-7.128748E-2</v>
      </c>
      <c r="Z1740">
        <v>-2.9279900000000001E-3</v>
      </c>
      <c r="AA1740">
        <v>0.99745150000000005</v>
      </c>
      <c r="AB1740">
        <v>37</v>
      </c>
      <c r="AC1740">
        <v>-19.990299999999898</v>
      </c>
      <c r="AD1740">
        <v>-1.1090446446333</v>
      </c>
      <c r="AE1740">
        <v>-1.0913000000000399</v>
      </c>
      <c r="AF1740">
        <v>-1.4460487902838399</v>
      </c>
      <c r="AG1740">
        <v>-1.1090446446333</v>
      </c>
      <c r="AH1740">
        <v>19.906363056088502</v>
      </c>
      <c r="AI1740">
        <v>93.180464074807503</v>
      </c>
      <c r="AJ1740">
        <v>94.154813024813294</v>
      </c>
      <c r="AK1740">
        <v>19.989605480060799</v>
      </c>
      <c r="AL1740">
        <v>91.520411355304205</v>
      </c>
      <c r="AM1740">
        <v>82.848768587044702</v>
      </c>
      <c r="AN1740">
        <v>1.00000000310026</v>
      </c>
    </row>
    <row r="1741" spans="1:40" x14ac:dyDescent="0.25">
      <c r="A1741" t="str">
        <f>"20190312161301642"</f>
        <v>20190312161301642</v>
      </c>
      <c r="B1741" t="str">
        <f>"1552378381637593"</f>
        <v>1552378381637593</v>
      </c>
      <c r="C1741" t="s">
        <v>40</v>
      </c>
      <c r="D1741">
        <v>6.0004229999999996</v>
      </c>
      <c r="E1741">
        <v>0.42695870000000002</v>
      </c>
      <c r="F1741" t="s">
        <v>69</v>
      </c>
      <c r="G1741">
        <v>-323.90010000000001</v>
      </c>
      <c r="H1741" s="1">
        <v>5.6852040000000003E-7</v>
      </c>
      <c r="I1741">
        <v>283.93259999999998</v>
      </c>
      <c r="J1741">
        <v>-303.74610000000001</v>
      </c>
      <c r="K1741">
        <v>1.109046</v>
      </c>
      <c r="L1741">
        <v>285.0034</v>
      </c>
      <c r="M1741">
        <v>-0.99980400000000003</v>
      </c>
      <c r="N1741">
        <v>0</v>
      </c>
      <c r="O1741">
        <v>1.7975850000000002E-2</v>
      </c>
      <c r="P1741">
        <v>-0.98922370000000004</v>
      </c>
      <c r="Q1741">
        <v>-3.4289489999999999E-2</v>
      </c>
      <c r="R1741">
        <v>0.14234059999999901</v>
      </c>
      <c r="S1741">
        <v>-3.0498050000000001</v>
      </c>
      <c r="T1741">
        <v>-0.16586039999999999</v>
      </c>
      <c r="U1741">
        <v>-0.15948490000000001</v>
      </c>
      <c r="V1741">
        <v>0.12453400000000001</v>
      </c>
      <c r="W1741">
        <v>-2.605348E-2</v>
      </c>
      <c r="X1741">
        <v>0.99187320000000001</v>
      </c>
      <c r="Y1741">
        <v>-7.0035899999999998E-2</v>
      </c>
      <c r="Z1741">
        <v>-2.8780310000000001E-3</v>
      </c>
      <c r="AA1741">
        <v>0.99754030000000005</v>
      </c>
      <c r="AB1741">
        <v>37</v>
      </c>
      <c r="AC1741">
        <v>-20.154</v>
      </c>
      <c r="AD1741">
        <v>-1.1090454314796001</v>
      </c>
      <c r="AE1741">
        <v>-1.07080000000001</v>
      </c>
      <c r="AF1741">
        <v>-1.42861086105185</v>
      </c>
      <c r="AG1741">
        <v>-1.1090454314796001</v>
      </c>
      <c r="AH1741">
        <v>20.070887714327402</v>
      </c>
      <c r="AI1741">
        <v>93.154778137300596</v>
      </c>
      <c r="AJ1741">
        <v>94.071347530143598</v>
      </c>
      <c r="AK1741">
        <v>20.152206936277199</v>
      </c>
      <c r="AL1741">
        <v>91.492923413920707</v>
      </c>
      <c r="AM1741">
        <v>82.843712227687703</v>
      </c>
      <c r="AN1741">
        <v>0.99999997292717402</v>
      </c>
    </row>
    <row r="1742" spans="1:40" x14ac:dyDescent="0.25">
      <c r="A1742" t="str">
        <f>"20190312161301653"</f>
        <v>20190312161301653</v>
      </c>
      <c r="B1742" t="str">
        <f>"1552378381647352"</f>
        <v>1552378381647352</v>
      </c>
      <c r="C1742" t="s">
        <v>40</v>
      </c>
      <c r="D1742">
        <v>5.9860930000000003</v>
      </c>
      <c r="E1742">
        <v>0.42731930000000001</v>
      </c>
      <c r="F1742" t="s">
        <v>69</v>
      </c>
      <c r="G1742">
        <v>-324.19779999999997</v>
      </c>
      <c r="H1742" s="1">
        <v>7.2475449999999899E-7</v>
      </c>
      <c r="I1742">
        <v>283.98270000000002</v>
      </c>
      <c r="J1742">
        <v>-303.93939999999998</v>
      </c>
      <c r="K1742">
        <v>1.1090469999999999</v>
      </c>
      <c r="L1742">
        <v>285.0068</v>
      </c>
      <c r="M1742">
        <v>-0.99980400000000003</v>
      </c>
      <c r="N1742">
        <v>0</v>
      </c>
      <c r="O1742">
        <v>1.797553E-2</v>
      </c>
      <c r="P1742">
        <v>-0.98919500000000005</v>
      </c>
      <c r="Q1742">
        <v>-3.411554E-2</v>
      </c>
      <c r="R1742">
        <v>0.14258309999999999</v>
      </c>
      <c r="S1742">
        <v>-3.0488279999999999</v>
      </c>
      <c r="T1742">
        <v>-0.16533059999999999</v>
      </c>
      <c r="U1742">
        <v>-0.15216060000000001</v>
      </c>
      <c r="V1742">
        <v>0.124777399999999</v>
      </c>
      <c r="W1742">
        <v>-2.5873879999999998E-2</v>
      </c>
      <c r="X1742">
        <v>0.99184729999999999</v>
      </c>
      <c r="Y1742">
        <v>-6.7666069999999995E-2</v>
      </c>
      <c r="Z1742">
        <v>-2.8057519999999999E-3</v>
      </c>
      <c r="AA1742">
        <v>0.99770409999999998</v>
      </c>
      <c r="AB1742">
        <v>37</v>
      </c>
      <c r="AC1742">
        <v>-20.258399999999899</v>
      </c>
      <c r="AD1742">
        <v>-1.1090462752454999</v>
      </c>
      <c r="AE1742">
        <v>-1.02409999999997</v>
      </c>
      <c r="AF1742">
        <v>-1.38396534037896</v>
      </c>
      <c r="AG1742">
        <v>-1.1090462752454999</v>
      </c>
      <c r="AH1742">
        <v>20.176402327363501</v>
      </c>
      <c r="AI1742">
        <v>93.138878457978905</v>
      </c>
      <c r="AJ1742">
        <v>93.923958249872001</v>
      </c>
      <c r="AK1742">
        <v>20.254198443277001</v>
      </c>
      <c r="AL1742">
        <v>91.482629637856107</v>
      </c>
      <c r="AM1742">
        <v>82.829685509305506</v>
      </c>
      <c r="AN1742">
        <v>0.99999996186715101</v>
      </c>
    </row>
    <row r="1743" spans="1:40" x14ac:dyDescent="0.25">
      <c r="A1743" t="str">
        <f>"20190312161301665"</f>
        <v>20190312161301665</v>
      </c>
      <c r="B1743" t="str">
        <f>"1552378381657621"</f>
        <v>1552378381657621</v>
      </c>
      <c r="C1743" t="s">
        <v>40</v>
      </c>
      <c r="D1743">
        <v>6.1402919999999996</v>
      </c>
      <c r="E1743">
        <v>0.42711250000000001</v>
      </c>
      <c r="F1743" t="s">
        <v>69</v>
      </c>
      <c r="G1743">
        <v>-324.33519999999999</v>
      </c>
      <c r="H1743" s="1">
        <v>7.9653959999999999E-7</v>
      </c>
      <c r="I1743">
        <v>284.01350000000002</v>
      </c>
      <c r="J1743">
        <v>-304.13920000000002</v>
      </c>
      <c r="K1743">
        <v>1.1090439999999999</v>
      </c>
      <c r="L1743">
        <v>285.0104</v>
      </c>
      <c r="M1743">
        <v>-0.99980400000000003</v>
      </c>
      <c r="N1743">
        <v>0</v>
      </c>
      <c r="O1743">
        <v>1.7975319999999999E-2</v>
      </c>
      <c r="P1743">
        <v>-0.98925099999999999</v>
      </c>
      <c r="Q1743">
        <v>-3.3799639999999999E-2</v>
      </c>
      <c r="R1743">
        <v>0.14226949999999999</v>
      </c>
      <c r="S1743">
        <v>-3.048492</v>
      </c>
      <c r="T1743">
        <v>-0.165765</v>
      </c>
      <c r="U1743">
        <v>-0.14846799999999999</v>
      </c>
      <c r="V1743">
        <v>0.124463</v>
      </c>
      <c r="W1743">
        <v>-2.555151E-2</v>
      </c>
      <c r="X1743">
        <v>0.99189519999999998</v>
      </c>
      <c r="Y1743">
        <v>-6.6466789999999998E-2</v>
      </c>
      <c r="Z1743">
        <v>-2.78093E-3</v>
      </c>
      <c r="AA1743">
        <v>0.99778469999999997</v>
      </c>
      <c r="AB1743">
        <v>38</v>
      </c>
      <c r="AC1743">
        <v>-20.195999999999898</v>
      </c>
      <c r="AD1743">
        <v>-1.1090432034603901</v>
      </c>
      <c r="AE1743">
        <v>-0.99689999999998202</v>
      </c>
      <c r="AF1743">
        <v>-1.35570273172796</v>
      </c>
      <c r="AG1743">
        <v>-1.1090432034603901</v>
      </c>
      <c r="AH1743">
        <v>20.114308285876</v>
      </c>
      <c r="AI1743">
        <v>93.148793996149806</v>
      </c>
      <c r="AJ1743">
        <v>93.855899110863405</v>
      </c>
      <c r="AK1743">
        <v>20.1904260614583</v>
      </c>
      <c r="AL1743">
        <v>91.464153027698998</v>
      </c>
      <c r="AM1743">
        <v>82.847906937281493</v>
      </c>
      <c r="AN1743">
        <v>1.0000000029076599</v>
      </c>
    </row>
    <row r="1744" spans="1:40" x14ac:dyDescent="0.25">
      <c r="A1744" t="str">
        <f>"20190312161301677"</f>
        <v>20190312161301677</v>
      </c>
      <c r="B1744" t="str">
        <f>"1552378381667381"</f>
        <v>1552378381667381</v>
      </c>
      <c r="C1744" t="s">
        <v>40</v>
      </c>
      <c r="D1744">
        <v>4.7414809999999896</v>
      </c>
      <c r="E1744">
        <v>0.42711250000000001</v>
      </c>
      <c r="F1744" t="s">
        <v>69</v>
      </c>
      <c r="G1744">
        <v>-324.80579999999998</v>
      </c>
      <c r="H1744" s="1">
        <v>1.048162E-6</v>
      </c>
      <c r="I1744">
        <v>283.98680000000002</v>
      </c>
      <c r="J1744">
        <v>-304.33190000000002</v>
      </c>
      <c r="K1744">
        <v>1.109046</v>
      </c>
      <c r="L1744">
        <v>285.01389999999998</v>
      </c>
      <c r="M1744">
        <v>-0.99980380000000002</v>
      </c>
      <c r="N1744">
        <v>0</v>
      </c>
      <c r="O1744">
        <v>1.7974939999999998E-2</v>
      </c>
      <c r="P1744">
        <v>-0.98922600000000005</v>
      </c>
      <c r="Q1744">
        <v>-3.3823659999999998E-2</v>
      </c>
      <c r="R1744">
        <v>0.1424358</v>
      </c>
      <c r="S1744">
        <v>-3.048737</v>
      </c>
      <c r="T1744">
        <v>-0.16360520000000001</v>
      </c>
      <c r="U1744">
        <v>-0.151001</v>
      </c>
      <c r="V1744">
        <v>0.12463</v>
      </c>
      <c r="W1744">
        <v>-2.556988E-2</v>
      </c>
      <c r="X1744">
        <v>0.99187369999999997</v>
      </c>
      <c r="Y1744">
        <v>-6.729156E-2</v>
      </c>
      <c r="Z1744">
        <v>-2.766555E-3</v>
      </c>
      <c r="AA1744">
        <v>0.99772950000000005</v>
      </c>
      <c r="AB1744">
        <v>38</v>
      </c>
      <c r="AC1744">
        <v>-20.473899999999901</v>
      </c>
      <c r="AD1744">
        <v>-1.1090449518379999</v>
      </c>
      <c r="AE1744">
        <v>-1.0270999999999599</v>
      </c>
      <c r="AF1744">
        <v>-1.3908929349991099</v>
      </c>
      <c r="AG1744">
        <v>-1.1090449518379999</v>
      </c>
      <c r="AH1744">
        <v>20.392442940775101</v>
      </c>
      <c r="AI1744">
        <v>93.105768115150099</v>
      </c>
      <c r="AJ1744">
        <v>93.901889546076205</v>
      </c>
      <c r="AK1744">
        <v>20.469887468049201</v>
      </c>
      <c r="AL1744">
        <v>91.465205978262503</v>
      </c>
      <c r="AM1744">
        <v>82.838256465468206</v>
      </c>
      <c r="AN1744">
        <v>0.99999994620745003</v>
      </c>
    </row>
    <row r="1745" spans="1:40" x14ac:dyDescent="0.25">
      <c r="A1745" t="str">
        <f>"20190312161301688"</f>
        <v>20190312161301688</v>
      </c>
      <c r="B1745" t="str">
        <f>"1552378381677142"</f>
        <v>1552378381677142</v>
      </c>
      <c r="C1745" t="s">
        <v>40</v>
      </c>
      <c r="D1745">
        <v>6.0959839999999996</v>
      </c>
      <c r="E1745">
        <v>0.40092830000000002</v>
      </c>
      <c r="F1745" t="s">
        <v>69</v>
      </c>
      <c r="G1745">
        <v>-324.97789999999998</v>
      </c>
      <c r="H1745" s="1">
        <v>1.139383E-6</v>
      </c>
      <c r="I1745">
        <v>283.9948</v>
      </c>
      <c r="J1745">
        <v>-304.52879999999999</v>
      </c>
      <c r="K1745">
        <v>1.1090469999999999</v>
      </c>
      <c r="L1745">
        <v>285.01740000000001</v>
      </c>
      <c r="M1745">
        <v>-0.99980389999999997</v>
      </c>
      <c r="N1745">
        <v>0</v>
      </c>
      <c r="O1745">
        <v>1.797462E-2</v>
      </c>
      <c r="P1745">
        <v>-0.98924310000000004</v>
      </c>
      <c r="Q1745">
        <v>-3.3836390000000001E-2</v>
      </c>
      <c r="R1745">
        <v>0.14231450000000001</v>
      </c>
      <c r="S1745">
        <v>-3.048737</v>
      </c>
      <c r="T1745">
        <v>-0.16376959999999999</v>
      </c>
      <c r="U1745">
        <v>-0.15048220000000001</v>
      </c>
      <c r="V1745">
        <v>0.1245087</v>
      </c>
      <c r="W1745">
        <v>-2.5576519999999998E-2</v>
      </c>
      <c r="X1745">
        <v>0.99188880000000001</v>
      </c>
      <c r="Y1745">
        <v>-6.7121860000000005E-2</v>
      </c>
      <c r="Z1745">
        <v>-2.7647739999999998E-3</v>
      </c>
      <c r="AA1745">
        <v>0.99774099999999999</v>
      </c>
      <c r="AB1745">
        <v>38</v>
      </c>
      <c r="AC1745">
        <v>-20.449099999999898</v>
      </c>
      <c r="AD1745">
        <v>-1.1090458606169999</v>
      </c>
      <c r="AE1745">
        <v>-1.0226000000000099</v>
      </c>
      <c r="AF1745">
        <v>-1.3859458584729301</v>
      </c>
      <c r="AG1745">
        <v>-1.1090458606169999</v>
      </c>
      <c r="AH1745">
        <v>20.367655104588799</v>
      </c>
      <c r="AI1745">
        <v>93.109576672722895</v>
      </c>
      <c r="AJ1745">
        <v>93.892771389571095</v>
      </c>
      <c r="AK1745">
        <v>20.444857620023999</v>
      </c>
      <c r="AL1745">
        <v>91.465586492556596</v>
      </c>
      <c r="AM1745">
        <v>82.845262373885106</v>
      </c>
      <c r="AN1745">
        <v>0.99999998315822003</v>
      </c>
    </row>
    <row r="1746" spans="1:40" x14ac:dyDescent="0.25">
      <c r="A1746" t="str">
        <f>"20190312161301706"</f>
        <v>20190312161301706</v>
      </c>
      <c r="B1746" t="str">
        <f>"1552378381697641"</f>
        <v>1552378381697641</v>
      </c>
      <c r="C1746" t="s">
        <v>40</v>
      </c>
      <c r="D1746">
        <v>6.0362609999999997</v>
      </c>
      <c r="E1746">
        <v>0.39936820000000001</v>
      </c>
      <c r="F1746" t="s">
        <v>69</v>
      </c>
      <c r="G1746">
        <v>-343.48059999999998</v>
      </c>
      <c r="H1746" s="1">
        <v>3.1540500000000001E-7</v>
      </c>
      <c r="I1746">
        <v>280.52870000000001</v>
      </c>
      <c r="J1746">
        <v>-304.83609999999999</v>
      </c>
      <c r="K1746">
        <v>1.1090469999999999</v>
      </c>
      <c r="L1746">
        <v>285.02289999999999</v>
      </c>
      <c r="M1746">
        <v>-0.99980369999999996</v>
      </c>
      <c r="N1746">
        <v>0</v>
      </c>
      <c r="O1746">
        <v>1.7974219999999999E-2</v>
      </c>
      <c r="P1746">
        <v>-0.98932220000000004</v>
      </c>
      <c r="Q1746">
        <v>-3.3814139999999999E-2</v>
      </c>
      <c r="R1746">
        <v>0.14176849999999999</v>
      </c>
      <c r="S1746">
        <v>-3.0807190000000002</v>
      </c>
      <c r="T1746">
        <v>-8.7715150000000006E-2</v>
      </c>
      <c r="U1746">
        <v>-0.35501100000000002</v>
      </c>
      <c r="V1746">
        <v>0.1239619</v>
      </c>
      <c r="W1746">
        <v>-2.554437E-2</v>
      </c>
      <c r="X1746">
        <v>0.99195809999999995</v>
      </c>
      <c r="Y1746">
        <v>-0.13225689999999901</v>
      </c>
      <c r="Z1746">
        <v>-2.3863489999999998E-3</v>
      </c>
      <c r="AA1746">
        <v>0.9912126</v>
      </c>
      <c r="AB1746">
        <v>38</v>
      </c>
      <c r="AC1746">
        <v>-38.644500000000001</v>
      </c>
      <c r="AD1746">
        <v>-1.109046684595</v>
      </c>
      <c r="AE1746">
        <v>-4.49419999999997</v>
      </c>
      <c r="AF1746">
        <v>-5.1838902379975904</v>
      </c>
      <c r="AG1746">
        <v>-1.109046684595</v>
      </c>
      <c r="AH1746">
        <v>38.526166719442301</v>
      </c>
      <c r="AI1746">
        <v>91.634190092619605</v>
      </c>
      <c r="AJ1746">
        <v>97.663408769940801</v>
      </c>
      <c r="AK1746">
        <v>38.889178760196003</v>
      </c>
      <c r="AL1746">
        <v>91.463743850700595</v>
      </c>
      <c r="AM1746">
        <v>82.876852603717097</v>
      </c>
      <c r="AN1746">
        <v>0.99999996982295702</v>
      </c>
    </row>
    <row r="1747" spans="1:40" x14ac:dyDescent="0.25">
      <c r="A1747" t="str">
        <f>"20190312161301718"</f>
        <v>20190312161301718</v>
      </c>
      <c r="B1747" t="str">
        <f>"1552378381707397"</f>
        <v>1552378381707397</v>
      </c>
      <c r="C1747" t="s">
        <v>40</v>
      </c>
      <c r="D1747">
        <v>6.029693</v>
      </c>
      <c r="E1747">
        <v>0.3995166</v>
      </c>
      <c r="F1747" t="s">
        <v>69</v>
      </c>
      <c r="G1747">
        <v>-346.64080000000001</v>
      </c>
      <c r="H1747" s="1">
        <v>1.997118E-6</v>
      </c>
      <c r="I1747">
        <v>280.02159999999998</v>
      </c>
      <c r="J1747">
        <v>-305.01940000000002</v>
      </c>
      <c r="K1747">
        <v>1.1090450000000001</v>
      </c>
      <c r="L1747">
        <v>285.02620000000002</v>
      </c>
      <c r="M1747">
        <v>-0.99980369999999996</v>
      </c>
      <c r="N1747">
        <v>0</v>
      </c>
      <c r="O1747">
        <v>1.7973840000000001E-2</v>
      </c>
      <c r="P1747">
        <v>-0.98935030000000002</v>
      </c>
      <c r="Q1747">
        <v>-3.385693E-2</v>
      </c>
      <c r="R1747">
        <v>0.14156250000000001</v>
      </c>
      <c r="S1747">
        <v>-3.0824579999999999</v>
      </c>
      <c r="T1747">
        <v>-8.1775070000000005E-2</v>
      </c>
      <c r="U1747">
        <v>-0.3687744</v>
      </c>
      <c r="V1747">
        <v>0.1237558</v>
      </c>
      <c r="W1747">
        <v>-2.5581320000000001E-2</v>
      </c>
      <c r="X1747">
        <v>0.9919829</v>
      </c>
      <c r="Y1747">
        <v>-0.13656380000000001</v>
      </c>
      <c r="Z1747">
        <v>-2.279891E-3</v>
      </c>
      <c r="AA1747">
        <v>0.99062870000000003</v>
      </c>
      <c r="AB1747">
        <v>38</v>
      </c>
      <c r="AC1747">
        <v>-41.621400000000001</v>
      </c>
      <c r="AD1747">
        <v>-1.109043002882</v>
      </c>
      <c r="AE1747">
        <v>-5.0046000000000301</v>
      </c>
      <c r="AF1747">
        <v>-5.7478909834147602</v>
      </c>
      <c r="AG1747">
        <v>-1.109043002882</v>
      </c>
      <c r="AH1747">
        <v>41.495678518761999</v>
      </c>
      <c r="AI1747">
        <v>91.516490661214206</v>
      </c>
      <c r="AJ1747">
        <v>97.886303402837299</v>
      </c>
      <c r="AK1747">
        <v>41.906557516359101</v>
      </c>
      <c r="AL1747">
        <v>91.465861595321599</v>
      </c>
      <c r="AM1747">
        <v>82.888750216849203</v>
      </c>
      <c r="AN1747">
        <v>0.99999998792949596</v>
      </c>
    </row>
    <row r="1748" spans="1:40" x14ac:dyDescent="0.25">
      <c r="A1748" t="str">
        <f>"20190312161301729"</f>
        <v>20190312161301729</v>
      </c>
      <c r="B1748" t="str">
        <f>"1552378381717158"</f>
        <v>1552378381717158</v>
      </c>
      <c r="C1748" t="s">
        <v>40</v>
      </c>
      <c r="D1748">
        <v>5.9577910000000003</v>
      </c>
      <c r="E1748">
        <v>0.39946510000000002</v>
      </c>
      <c r="F1748" t="s">
        <v>69</v>
      </c>
      <c r="G1748">
        <v>-345.54660000000001</v>
      </c>
      <c r="H1748" s="1">
        <v>1.414853E-6</v>
      </c>
      <c r="I1748">
        <v>280.18079999999998</v>
      </c>
      <c r="J1748">
        <v>-305.21120000000002</v>
      </c>
      <c r="K1748">
        <v>1.1090420000000001</v>
      </c>
      <c r="L1748">
        <v>285.02969999999999</v>
      </c>
      <c r="M1748">
        <v>-0.99980369999999996</v>
      </c>
      <c r="N1748">
        <v>0</v>
      </c>
      <c r="O1748">
        <v>1.7973510000000002E-2</v>
      </c>
      <c r="P1748">
        <v>-0.98940059999999996</v>
      </c>
      <c r="Q1748">
        <v>-3.3331380000000001E-2</v>
      </c>
      <c r="R1748">
        <v>0.14133589999999999</v>
      </c>
      <c r="S1748">
        <v>-3.0821230000000002</v>
      </c>
      <c r="T1748">
        <v>-8.4343429999999997E-2</v>
      </c>
      <c r="U1748">
        <v>-0.36849979999999999</v>
      </c>
      <c r="V1748">
        <v>0.1235285</v>
      </c>
      <c r="W1748">
        <v>-2.5049519999999999E-2</v>
      </c>
      <c r="X1748">
        <v>0.99202480000000004</v>
      </c>
      <c r="Y1748">
        <v>-0.13648569999999999</v>
      </c>
      <c r="Z1748">
        <v>-2.3506640000000001E-3</v>
      </c>
      <c r="AA1748">
        <v>0.9906393</v>
      </c>
      <c r="AB1748">
        <v>38</v>
      </c>
      <c r="AC1748">
        <v>-40.3353999999999</v>
      </c>
      <c r="AD1748">
        <v>-1.109040585147</v>
      </c>
      <c r="AE1748">
        <v>-4.8489000000000102</v>
      </c>
      <c r="AF1748">
        <v>-5.5689604240033601</v>
      </c>
      <c r="AG1748">
        <v>-1.109040585147</v>
      </c>
      <c r="AH1748">
        <v>40.211762075718902</v>
      </c>
      <c r="AI1748">
        <v>91.564889129232498</v>
      </c>
      <c r="AJ1748">
        <v>97.884786187108404</v>
      </c>
      <c r="AK1748">
        <v>40.610701797159798</v>
      </c>
      <c r="AL1748">
        <v>91.435381933078602</v>
      </c>
      <c r="AM1748">
        <v>82.9019747144756</v>
      </c>
      <c r="AN1748">
        <v>0.99999998628975995</v>
      </c>
    </row>
    <row r="1749" spans="1:40" x14ac:dyDescent="0.25">
      <c r="A1749" t="str">
        <f>"20190312161301740"</f>
        <v>20190312161301740</v>
      </c>
      <c r="B1749" t="str">
        <f>"1552378381737654"</f>
        <v>1552378381737654</v>
      </c>
      <c r="C1749" t="s">
        <v>40</v>
      </c>
      <c r="D1749">
        <v>6.001754</v>
      </c>
      <c r="E1749">
        <v>0.39959889999999998</v>
      </c>
      <c r="F1749" t="s">
        <v>69</v>
      </c>
      <c r="G1749">
        <v>-346.32229999999998</v>
      </c>
      <c r="H1749" s="1">
        <v>1.8276160000000001E-6</v>
      </c>
      <c r="I1749">
        <v>280.10180000000003</v>
      </c>
      <c r="J1749">
        <v>-305.39929999999998</v>
      </c>
      <c r="K1749">
        <v>1.1090420000000001</v>
      </c>
      <c r="L1749">
        <v>285.03309999999999</v>
      </c>
      <c r="M1749">
        <v>-0.99980360000000001</v>
      </c>
      <c r="N1749">
        <v>0</v>
      </c>
      <c r="O1749">
        <v>1.7973309999999999E-2</v>
      </c>
      <c r="P1749">
        <v>-0.98945430000000001</v>
      </c>
      <c r="Q1749">
        <v>-3.3254300000000001E-2</v>
      </c>
      <c r="R1749">
        <v>0.14097750000000001</v>
      </c>
      <c r="S1749">
        <v>-3.0820919999999998</v>
      </c>
      <c r="T1749">
        <v>-8.3144659999999995E-2</v>
      </c>
      <c r="U1749">
        <v>-0.36944579999999999</v>
      </c>
      <c r="V1749">
        <v>0.1231695</v>
      </c>
      <c r="W1749">
        <v>-2.4966349999999998E-2</v>
      </c>
      <c r="X1749">
        <v>0.99207160000000005</v>
      </c>
      <c r="Y1749">
        <v>-0.13678799999999999</v>
      </c>
      <c r="Z1749">
        <v>-2.3213040000000002E-3</v>
      </c>
      <c r="AA1749">
        <v>0.99059759999999997</v>
      </c>
      <c r="AB1749">
        <v>38</v>
      </c>
      <c r="AC1749">
        <v>-40.923000000000002</v>
      </c>
      <c r="AD1749">
        <v>-1.109040172384</v>
      </c>
      <c r="AE1749">
        <v>-4.9312999999999603</v>
      </c>
      <c r="AF1749">
        <v>-5.6619519071853599</v>
      </c>
      <c r="AG1749">
        <v>-1.109040172384</v>
      </c>
      <c r="AH1749">
        <v>40.798219051284903</v>
      </c>
      <c r="AI1749">
        <v>91.542344379490601</v>
      </c>
      <c r="AJ1749">
        <v>97.901007456271302</v>
      </c>
      <c r="AK1749">
        <v>41.204154490292197</v>
      </c>
      <c r="AL1749">
        <v>91.430615058285596</v>
      </c>
      <c r="AM1749">
        <v>82.9227240668001</v>
      </c>
      <c r="AN1749">
        <v>1.00000005194456</v>
      </c>
    </row>
    <row r="1750" spans="1:40" x14ac:dyDescent="0.25">
      <c r="A1750" t="str">
        <f>"20190312161301751"</f>
        <v>20190312161301751</v>
      </c>
      <c r="B1750" t="str">
        <f>"1552378381747414"</f>
        <v>1552378381747414</v>
      </c>
      <c r="C1750" t="s">
        <v>40</v>
      </c>
      <c r="D1750">
        <v>6.0042200000000001</v>
      </c>
      <c r="E1750">
        <v>0.39976830000000002</v>
      </c>
      <c r="F1750" t="s">
        <v>69</v>
      </c>
      <c r="G1750">
        <v>-345.68529999999998</v>
      </c>
      <c r="H1750" s="1">
        <v>1.4886609999999901E-6</v>
      </c>
      <c r="I1750">
        <v>280.20190000000002</v>
      </c>
      <c r="J1750">
        <v>-305.5838</v>
      </c>
      <c r="K1750">
        <v>1.109035</v>
      </c>
      <c r="L1750">
        <v>285.03640000000001</v>
      </c>
      <c r="M1750">
        <v>-0.99980349999999996</v>
      </c>
      <c r="N1750">
        <v>0</v>
      </c>
      <c r="O1750">
        <v>1.7972930000000002E-2</v>
      </c>
      <c r="P1750">
        <v>-0.98949419999999999</v>
      </c>
      <c r="Q1750">
        <v>-3.3295669999999999E-2</v>
      </c>
      <c r="R1750">
        <v>0.1406859</v>
      </c>
      <c r="S1750">
        <v>-3.0817869999999998</v>
      </c>
      <c r="T1750">
        <v>-8.4838990000000003E-2</v>
      </c>
      <c r="U1750">
        <v>-0.3695679</v>
      </c>
      <c r="V1750">
        <v>0.122877399999999</v>
      </c>
      <c r="W1750">
        <v>-2.5001849999999999E-2</v>
      </c>
      <c r="X1750">
        <v>0.99210690000000001</v>
      </c>
      <c r="Y1750">
        <v>-0.1368355</v>
      </c>
      <c r="Z1750">
        <v>-2.369459E-3</v>
      </c>
      <c r="AA1750">
        <v>0.99059090000000005</v>
      </c>
      <c r="AB1750">
        <v>38</v>
      </c>
      <c r="AC1750">
        <v>-40.101499999999902</v>
      </c>
      <c r="AD1750">
        <v>-1.109033511339</v>
      </c>
      <c r="AE1750">
        <v>-4.8344999999999896</v>
      </c>
      <c r="AF1750">
        <v>-5.5503014487830997</v>
      </c>
      <c r="AG1750">
        <v>-1.109033511339</v>
      </c>
      <c r="AH1750">
        <v>39.977990377049302</v>
      </c>
      <c r="AI1750">
        <v>91.573951777357095</v>
      </c>
      <c r="AJ1750">
        <v>97.904073264102806</v>
      </c>
      <c r="AK1750">
        <v>40.376670443327598</v>
      </c>
      <c r="AL1750">
        <v>91.432649732820806</v>
      </c>
      <c r="AM1750">
        <v>82.939587113851005</v>
      </c>
      <c r="AN1750">
        <v>1.00000002448089</v>
      </c>
    </row>
    <row r="1751" spans="1:40" x14ac:dyDescent="0.25">
      <c r="A1751" t="str">
        <f>"20190312161301762"</f>
        <v>20190312161301762</v>
      </c>
      <c r="B1751" t="str">
        <f>"1552378381757679"</f>
        <v>1552378381757679</v>
      </c>
      <c r="C1751" t="s">
        <v>40</v>
      </c>
      <c r="D1751">
        <v>5.9931530000000004</v>
      </c>
      <c r="E1751">
        <v>0.39987640000000002</v>
      </c>
      <c r="F1751" t="s">
        <v>69</v>
      </c>
      <c r="G1751">
        <v>-344.41050000000001</v>
      </c>
      <c r="H1751" s="1">
        <v>8.1024140000000003E-7</v>
      </c>
      <c r="I1751">
        <v>280.38170000000002</v>
      </c>
      <c r="J1751">
        <v>-305.78579999999999</v>
      </c>
      <c r="K1751">
        <v>1.1090329999999999</v>
      </c>
      <c r="L1751">
        <v>285.04000000000002</v>
      </c>
      <c r="M1751">
        <v>-0.99980349999999996</v>
      </c>
      <c r="N1751">
        <v>0</v>
      </c>
      <c r="O1751">
        <v>1.797261E-2</v>
      </c>
      <c r="P1751">
        <v>-0.98956710000000003</v>
      </c>
      <c r="Q1751">
        <v>-3.3082939999999998E-2</v>
      </c>
      <c r="R1751">
        <v>0.1402235</v>
      </c>
      <c r="S1751">
        <v>-3.0814819999999998</v>
      </c>
      <c r="T1751">
        <v>-8.8018540000000006E-2</v>
      </c>
      <c r="U1751">
        <v>-0.3694153</v>
      </c>
      <c r="V1751">
        <v>0.1224143</v>
      </c>
      <c r="W1751">
        <v>-2.4782459999999999E-2</v>
      </c>
      <c r="X1751">
        <v>0.99216959999999998</v>
      </c>
      <c r="Y1751">
        <v>-0.136794</v>
      </c>
      <c r="Z1751">
        <v>-2.4578740000000001E-3</v>
      </c>
      <c r="AA1751">
        <v>0.99059649999999999</v>
      </c>
      <c r="AB1751">
        <v>38</v>
      </c>
      <c r="AC1751">
        <v>-38.624699999999997</v>
      </c>
      <c r="AD1751">
        <v>-1.1090321897586</v>
      </c>
      <c r="AE1751">
        <v>-4.6582999999999899</v>
      </c>
      <c r="AF1751">
        <v>-5.3474130799769402</v>
      </c>
      <c r="AG1751">
        <v>-1.1090321897586</v>
      </c>
      <c r="AH1751">
        <v>38.503447543514902</v>
      </c>
      <c r="AI1751">
        <v>91.634183845710893</v>
      </c>
      <c r="AJ1751">
        <v>97.906742296412403</v>
      </c>
      <c r="AK1751">
        <v>38.888819110150799</v>
      </c>
      <c r="AL1751">
        <v>91.420075788765899</v>
      </c>
      <c r="AM1751">
        <v>82.966369382910202</v>
      </c>
      <c r="AN1751">
        <v>0.99999997316614997</v>
      </c>
    </row>
    <row r="1752" spans="1:40" x14ac:dyDescent="0.25">
      <c r="A1752" t="str">
        <f>"20190312161301776"</f>
        <v>20190312161301776</v>
      </c>
      <c r="B1752" t="str">
        <f>"1552378381767440"</f>
        <v>1552378381767440</v>
      </c>
      <c r="C1752" t="s">
        <v>40</v>
      </c>
      <c r="D1752">
        <v>5.9651839999999998</v>
      </c>
      <c r="E1752">
        <v>0.39991670000000001</v>
      </c>
      <c r="F1752" t="s">
        <v>69</v>
      </c>
      <c r="G1752">
        <v>-343.81509999999997</v>
      </c>
      <c r="H1752" s="1">
        <v>4.9343789999999996E-7</v>
      </c>
      <c r="I1752">
        <v>280.47269999999997</v>
      </c>
      <c r="J1752">
        <v>-306</v>
      </c>
      <c r="K1752">
        <v>1.109035</v>
      </c>
      <c r="L1752">
        <v>285.04390000000001</v>
      </c>
      <c r="M1752">
        <v>-0.99980340000000001</v>
      </c>
      <c r="N1752">
        <v>0</v>
      </c>
      <c r="O1752">
        <v>1.7972220000000001E-2</v>
      </c>
      <c r="P1752">
        <v>-0.98960459999999995</v>
      </c>
      <c r="Q1752">
        <v>-3.3158600000000003E-2</v>
      </c>
      <c r="R1752">
        <v>0.1399407</v>
      </c>
      <c r="S1752">
        <v>-3.0810240000000002</v>
      </c>
      <c r="T1752">
        <v>-8.9850429999999995E-2</v>
      </c>
      <c r="U1752">
        <v>-0.37002560000000001</v>
      </c>
      <c r="V1752">
        <v>0.1221312</v>
      </c>
      <c r="W1752">
        <v>-2.4851399999999999E-2</v>
      </c>
      <c r="X1752">
        <v>0.99220280000000005</v>
      </c>
      <c r="Y1752">
        <v>-0.13700179999999901</v>
      </c>
      <c r="Z1752">
        <v>-2.512355E-3</v>
      </c>
      <c r="AA1752">
        <v>0.99056759999999999</v>
      </c>
      <c r="AB1752">
        <v>38</v>
      </c>
      <c r="AC1752">
        <v>-37.815099999999902</v>
      </c>
      <c r="AD1752">
        <v>-1.1090345065620999</v>
      </c>
      <c r="AE1752">
        <v>-4.5712000000000304</v>
      </c>
      <c r="AF1752">
        <v>-5.2456598559220398</v>
      </c>
      <c r="AG1752">
        <v>-1.1090345065620999</v>
      </c>
      <c r="AH1752">
        <v>37.694879221839201</v>
      </c>
      <c r="AI1752">
        <v>91.669157891417896</v>
      </c>
      <c r="AJ1752">
        <v>97.922462024775896</v>
      </c>
      <c r="AK1752">
        <v>38.074280353144196</v>
      </c>
      <c r="AL1752">
        <v>91.424026925488405</v>
      </c>
      <c r="AM1752">
        <v>82.982705726265706</v>
      </c>
      <c r="AN1752">
        <v>1.0000000092116199</v>
      </c>
    </row>
    <row r="1753" spans="1:40" x14ac:dyDescent="0.25">
      <c r="A1753" t="str">
        <f>"20190312161301790"</f>
        <v>20190312161301790</v>
      </c>
      <c r="B1753" t="str">
        <f>"1552378381787938"</f>
        <v>1552378381787938</v>
      </c>
      <c r="C1753" t="s">
        <v>40</v>
      </c>
      <c r="D1753">
        <v>5.9449170000000002</v>
      </c>
      <c r="E1753">
        <v>0.40009319999999998</v>
      </c>
      <c r="F1753" t="s">
        <v>69</v>
      </c>
      <c r="G1753">
        <v>-343.72129999999999</v>
      </c>
      <c r="H1753" s="1">
        <v>4.4353050000000002E-7</v>
      </c>
      <c r="I1753">
        <v>280.50700000000001</v>
      </c>
      <c r="J1753">
        <v>-306.23450000000003</v>
      </c>
      <c r="K1753">
        <v>1.1090329999999999</v>
      </c>
      <c r="L1753">
        <v>285.048</v>
      </c>
      <c r="M1753">
        <v>-0.99980340000000001</v>
      </c>
      <c r="N1753">
        <v>0</v>
      </c>
      <c r="O1753">
        <v>1.7971540000000001E-2</v>
      </c>
      <c r="P1753">
        <v>-0.98960250000000005</v>
      </c>
      <c r="Q1753">
        <v>-3.3065289999999997E-2</v>
      </c>
      <c r="R1753">
        <v>0.13997689999999999</v>
      </c>
      <c r="S1753">
        <v>-3.0808409999999999</v>
      </c>
      <c r="T1753">
        <v>-9.0578790000000006E-2</v>
      </c>
      <c r="U1753">
        <v>-0.3705444</v>
      </c>
      <c r="V1753">
        <v>0.1221681</v>
      </c>
      <c r="W1753">
        <v>-2.4751100000000002E-2</v>
      </c>
      <c r="X1753">
        <v>0.99220070000000005</v>
      </c>
      <c r="Y1753">
        <v>-0.1371713</v>
      </c>
      <c r="Z1753">
        <v>-2.535299E-3</v>
      </c>
      <c r="AA1753">
        <v>0.99054410000000004</v>
      </c>
      <c r="AB1753">
        <v>38</v>
      </c>
      <c r="AC1753">
        <v>-37.486799999999903</v>
      </c>
      <c r="AD1753">
        <v>-1.1090325564694901</v>
      </c>
      <c r="AE1753">
        <v>-4.5409999999999897</v>
      </c>
      <c r="AF1753">
        <v>-5.2094920749036504</v>
      </c>
      <c r="AG1753">
        <v>-1.1090325564694901</v>
      </c>
      <c r="AH1753">
        <v>37.366901401173799</v>
      </c>
      <c r="AI1753">
        <v>91.683738818097694</v>
      </c>
      <c r="AJ1753">
        <v>97.936712265517798</v>
      </c>
      <c r="AK1753">
        <v>37.744590092022896</v>
      </c>
      <c r="AL1753">
        <v>91.418278481213804</v>
      </c>
      <c r="AM1753">
        <v>82.980592001730201</v>
      </c>
      <c r="AN1753">
        <v>0.99999994534465297</v>
      </c>
    </row>
    <row r="1754" spans="1:40" x14ac:dyDescent="0.25">
      <c r="A1754" t="str">
        <f>"20190312161301806"</f>
        <v>20190312161301806</v>
      </c>
      <c r="B1754" t="str">
        <f>"1552378381797695"</f>
        <v>1552378381797695</v>
      </c>
      <c r="C1754" t="s">
        <v>40</v>
      </c>
      <c r="D1754">
        <v>5.8869550000000004</v>
      </c>
      <c r="E1754">
        <v>0.40011160000000001</v>
      </c>
      <c r="F1754" t="s">
        <v>69</v>
      </c>
      <c r="G1754">
        <v>-343.1431</v>
      </c>
      <c r="H1754" s="1">
        <v>1.357913E-7</v>
      </c>
      <c r="I1754">
        <v>280.62619999999998</v>
      </c>
      <c r="J1754">
        <v>-306.53199999999998</v>
      </c>
      <c r="K1754">
        <v>1.109032</v>
      </c>
      <c r="L1754">
        <v>285.05340000000001</v>
      </c>
      <c r="M1754">
        <v>-0.99980340000000001</v>
      </c>
      <c r="N1754">
        <v>0</v>
      </c>
      <c r="O1754">
        <v>1.7970839999999998E-2</v>
      </c>
      <c r="P1754">
        <v>-0.98963920000000005</v>
      </c>
      <c r="Q1754">
        <v>-3.3160450000000001E-2</v>
      </c>
      <c r="R1754">
        <v>0.1396956</v>
      </c>
      <c r="S1754">
        <v>-3.0806580000000001</v>
      </c>
      <c r="T1754">
        <v>-9.2567919999999998E-2</v>
      </c>
      <c r="U1754">
        <v>-0.36907960000000001</v>
      </c>
      <c r="V1754">
        <v>0.1218868</v>
      </c>
      <c r="W1754">
        <v>-2.4837000000000001E-2</v>
      </c>
      <c r="X1754">
        <v>0.99223320000000004</v>
      </c>
      <c r="Y1754">
        <v>-0.13671059999999999</v>
      </c>
      <c r="Z1754">
        <v>-2.5842590000000002E-3</v>
      </c>
      <c r="AA1754">
        <v>0.99060769999999998</v>
      </c>
      <c r="AB1754">
        <v>38</v>
      </c>
      <c r="AC1754">
        <v>-36.6111</v>
      </c>
      <c r="AD1754">
        <v>-1.10903186420869</v>
      </c>
      <c r="AE1754">
        <v>-4.4272000000000196</v>
      </c>
      <c r="AF1754">
        <v>-5.0798461416809904</v>
      </c>
      <c r="AG1754">
        <v>-1.10903186420869</v>
      </c>
      <c r="AH1754">
        <v>36.4926202942423</v>
      </c>
      <c r="AI1754">
        <v>91.724102337324993</v>
      </c>
      <c r="AJ1754">
        <v>97.924763015997399</v>
      </c>
      <c r="AK1754">
        <v>36.861173671476202</v>
      </c>
      <c r="AL1754">
        <v>91.423201630499193</v>
      </c>
      <c r="AM1754">
        <v>82.996821069552198</v>
      </c>
      <c r="AN1754">
        <v>0.99999999588274002</v>
      </c>
    </row>
    <row r="1755" spans="1:40" x14ac:dyDescent="0.25">
      <c r="A1755" t="str">
        <f>"20190312161301821"</f>
        <v>20190312161301821</v>
      </c>
      <c r="B1755" t="str">
        <f>"1552378381817216"</f>
        <v>1552378381817216</v>
      </c>
      <c r="C1755" t="s">
        <v>40</v>
      </c>
      <c r="D1755">
        <v>5.8385170000000004</v>
      </c>
      <c r="E1755">
        <v>0.40041860000000001</v>
      </c>
      <c r="F1755" t="s">
        <v>69</v>
      </c>
      <c r="G1755">
        <v>-343.24200000000002</v>
      </c>
      <c r="H1755" s="1">
        <v>1.8846270000000001E-7</v>
      </c>
      <c r="I1755">
        <v>280.64670000000001</v>
      </c>
      <c r="J1755">
        <v>-306.75749999999999</v>
      </c>
      <c r="K1755">
        <v>1.1090310000000001</v>
      </c>
      <c r="L1755">
        <v>285.0575</v>
      </c>
      <c r="M1755">
        <v>-0.99980329999999995</v>
      </c>
      <c r="N1755">
        <v>0</v>
      </c>
      <c r="O1755">
        <v>1.7970460000000001E-2</v>
      </c>
      <c r="P1755">
        <v>-0.98966339999999997</v>
      </c>
      <c r="Q1755">
        <v>-3.324531E-2</v>
      </c>
      <c r="R1755">
        <v>0.13950290000000001</v>
      </c>
      <c r="S1755">
        <v>-3.0804749999999999</v>
      </c>
      <c r="T1755">
        <v>-9.3062880000000001E-2</v>
      </c>
      <c r="U1755">
        <v>-0.36978149999999999</v>
      </c>
      <c r="V1755">
        <v>0.121694</v>
      </c>
      <c r="W1755">
        <v>-2.4914849999999999E-2</v>
      </c>
      <c r="X1755">
        <v>0.99225490000000005</v>
      </c>
      <c r="Y1755">
        <v>-0.1369388</v>
      </c>
      <c r="Z1755">
        <v>-2.6016120000000001E-3</v>
      </c>
      <c r="AA1755">
        <v>0.99057609999999996</v>
      </c>
      <c r="AB1755">
        <v>38</v>
      </c>
      <c r="AC1755">
        <v>-36.484499999999898</v>
      </c>
      <c r="AD1755">
        <v>-1.1090308115373</v>
      </c>
      <c r="AE1755">
        <v>-4.4107999999999903</v>
      </c>
      <c r="AF1755">
        <v>-5.0611449056063798</v>
      </c>
      <c r="AG1755">
        <v>-1.1090308115373</v>
      </c>
      <c r="AH1755">
        <v>36.366222881563601</v>
      </c>
      <c r="AI1755">
        <v>91.730096674440404</v>
      </c>
      <c r="AJ1755">
        <v>97.923052891091601</v>
      </c>
      <c r="AK1755">
        <v>36.733462997218801</v>
      </c>
      <c r="AL1755">
        <v>91.427663506116303</v>
      </c>
      <c r="AM1755">
        <v>83.007940324054104</v>
      </c>
      <c r="AN1755">
        <v>0.99999998298026604</v>
      </c>
    </row>
    <row r="1756" spans="1:40" x14ac:dyDescent="0.25">
      <c r="A1756" t="str">
        <f>"20190312161301839"</f>
        <v>20190312161301839</v>
      </c>
      <c r="B1756" t="str">
        <f>"1552378381827955"</f>
        <v>1552378381827955</v>
      </c>
      <c r="C1756" t="s">
        <v>40</v>
      </c>
      <c r="D1756">
        <v>5.8224960000000001</v>
      </c>
      <c r="E1756">
        <v>0.40050269999999999</v>
      </c>
      <c r="F1756" t="s">
        <v>69</v>
      </c>
      <c r="G1756">
        <v>-342.81909999999999</v>
      </c>
      <c r="H1756" s="1">
        <v>-3.660904E-8</v>
      </c>
      <c r="I1756">
        <v>280.74810000000002</v>
      </c>
      <c r="J1756">
        <v>-307.07839999999999</v>
      </c>
      <c r="K1756">
        <v>1.1090370000000001</v>
      </c>
      <c r="L1756">
        <v>285.06319999999999</v>
      </c>
      <c r="M1756">
        <v>-0.99980309999999994</v>
      </c>
      <c r="N1756">
        <v>0</v>
      </c>
      <c r="O1756">
        <v>1.796994E-2</v>
      </c>
      <c r="P1756">
        <v>-0.98971929999999997</v>
      </c>
      <c r="Q1756">
        <v>-3.2982129999999998E-2</v>
      </c>
      <c r="R1756">
        <v>0.1391685</v>
      </c>
      <c r="S1756">
        <v>-3.0800779999999999</v>
      </c>
      <c r="T1756">
        <v>-9.4724059999999999E-2</v>
      </c>
      <c r="U1756">
        <v>-0.36807250000000002</v>
      </c>
      <c r="V1756">
        <v>0.1213593</v>
      </c>
      <c r="W1756">
        <v>-2.4641639999999999E-2</v>
      </c>
      <c r="X1756">
        <v>0.99230269999999998</v>
      </c>
      <c r="Y1756">
        <v>-0.13640929999999901</v>
      </c>
      <c r="Z1756">
        <v>-2.640327E-3</v>
      </c>
      <c r="AA1756">
        <v>0.990649</v>
      </c>
      <c r="AB1756">
        <v>38</v>
      </c>
      <c r="AC1756">
        <v>-35.740699999999997</v>
      </c>
      <c r="AD1756">
        <v>-1.1090370366090401</v>
      </c>
      <c r="AE1756">
        <v>-4.31509999999997</v>
      </c>
      <c r="AF1756">
        <v>-4.9519845713035497</v>
      </c>
      <c r="AG1756">
        <v>-1.1090370366090401</v>
      </c>
      <c r="AH1756">
        <v>35.623575682518798</v>
      </c>
      <c r="AI1756">
        <v>91.766190665331806</v>
      </c>
      <c r="AJ1756">
        <v>97.913893604330696</v>
      </c>
      <c r="AK1756">
        <v>35.983208010836698</v>
      </c>
      <c r="AL1756">
        <v>91.412004937616501</v>
      </c>
      <c r="AM1756">
        <v>83.0273138787542</v>
      </c>
      <c r="AN1756">
        <v>0.99999996927283397</v>
      </c>
    </row>
    <row r="1757" spans="1:40" x14ac:dyDescent="0.25">
      <c r="A1757" t="str">
        <f>"20190312161301850"</f>
        <v>20190312161301850</v>
      </c>
      <c r="B1757" t="str">
        <f>"1552378381847471"</f>
        <v>1552378381847471</v>
      </c>
      <c r="C1757" t="s">
        <v>40</v>
      </c>
      <c r="D1757">
        <v>5.7800190000000002</v>
      </c>
      <c r="E1757">
        <v>0.4071842</v>
      </c>
      <c r="F1757" t="s">
        <v>69</v>
      </c>
      <c r="G1757">
        <v>-343.15050000000002</v>
      </c>
      <c r="H1757" s="1">
        <v>1.3974859999999999E-7</v>
      </c>
      <c r="I1757">
        <v>280.74689999999998</v>
      </c>
      <c r="J1757">
        <v>-307.27120000000002</v>
      </c>
      <c r="K1757">
        <v>1.1090359999999999</v>
      </c>
      <c r="L1757">
        <v>285.06670000000003</v>
      </c>
      <c r="M1757">
        <v>-0.9998032</v>
      </c>
      <c r="N1757">
        <v>0</v>
      </c>
      <c r="O1757">
        <v>1.7969550000000001E-2</v>
      </c>
      <c r="P1757">
        <v>-0.9897203</v>
      </c>
      <c r="Q1757">
        <v>-3.3035420000000003E-2</v>
      </c>
      <c r="R1757">
        <v>0.13914939999999901</v>
      </c>
      <c r="S1757">
        <v>-3.0798649999999999</v>
      </c>
      <c r="T1757">
        <v>-9.4690559999999993E-2</v>
      </c>
      <c r="U1757">
        <v>-0.36853029999999998</v>
      </c>
      <c r="V1757">
        <v>0.12134060000000001</v>
      </c>
      <c r="W1757">
        <v>-2.468921E-2</v>
      </c>
      <c r="X1757">
        <v>0.99230379999999996</v>
      </c>
      <c r="Y1757">
        <v>-0.13656209999999999</v>
      </c>
      <c r="Z1757">
        <v>-2.641881E-3</v>
      </c>
      <c r="AA1757">
        <v>0.99062799999999995</v>
      </c>
      <c r="AB1757">
        <v>38</v>
      </c>
      <c r="AC1757">
        <v>-35.879300000000001</v>
      </c>
      <c r="AD1757">
        <v>-1.1090358602513899</v>
      </c>
      <c r="AE1757">
        <v>-4.3198000000000398</v>
      </c>
      <c r="AF1757">
        <v>-4.9591896022955702</v>
      </c>
      <c r="AG1757">
        <v>-1.1090358602513899</v>
      </c>
      <c r="AH1757">
        <v>35.762198319826297</v>
      </c>
      <c r="AI1757">
        <v>91.759427742173798</v>
      </c>
      <c r="AJ1757">
        <v>97.894929891561205</v>
      </c>
      <c r="AK1757">
        <v>36.121438934757698</v>
      </c>
      <c r="AL1757">
        <v>91.414731333595498</v>
      </c>
      <c r="AM1757">
        <v>83.028385363362403</v>
      </c>
      <c r="AN1757">
        <v>0.99999996489661103</v>
      </c>
    </row>
    <row r="1758" spans="1:40" x14ac:dyDescent="0.25">
      <c r="A1758" t="str">
        <f>"20190312161301862"</f>
        <v>20190312161301862</v>
      </c>
      <c r="B1758" t="str">
        <f>"1552378381857738"</f>
        <v>1552378381857738</v>
      </c>
      <c r="C1758" t="s">
        <v>40</v>
      </c>
      <c r="D1758">
        <v>5.7579840000000004</v>
      </c>
      <c r="E1758">
        <v>0.40694380000000002</v>
      </c>
      <c r="F1758" t="s">
        <v>69</v>
      </c>
      <c r="G1758">
        <v>-328.15640000000002</v>
      </c>
      <c r="H1758" s="1">
        <v>2.8785379999999998E-6</v>
      </c>
      <c r="I1758">
        <v>282.90289999999999</v>
      </c>
      <c r="J1758">
        <v>-307.48180000000002</v>
      </c>
      <c r="K1758">
        <v>1.109035</v>
      </c>
      <c r="L1758">
        <v>285.07049999999998</v>
      </c>
      <c r="M1758">
        <v>-0.99980309999999994</v>
      </c>
      <c r="N1758">
        <v>0</v>
      </c>
      <c r="O1758">
        <v>1.7969229999999999E-2</v>
      </c>
      <c r="P1758">
        <v>-0.98971889999999996</v>
      </c>
      <c r="Q1758">
        <v>-3.3048699999999903E-2</v>
      </c>
      <c r="R1758">
        <v>0.13915559999999999</v>
      </c>
      <c r="S1758">
        <v>-3.0704349999999998</v>
      </c>
      <c r="T1758">
        <v>-0.16304449999999901</v>
      </c>
      <c r="U1758">
        <v>-0.31811519999999999</v>
      </c>
      <c r="V1758">
        <v>0.1213472</v>
      </c>
      <c r="W1758">
        <v>-2.4696289999999999E-2</v>
      </c>
      <c r="X1758">
        <v>0.99230280000000004</v>
      </c>
      <c r="Y1758">
        <v>-0.12071850000000001</v>
      </c>
      <c r="Z1758">
        <v>-4.1455700000000003E-3</v>
      </c>
      <c r="AA1758">
        <v>0.99267810000000001</v>
      </c>
      <c r="AB1758">
        <v>38</v>
      </c>
      <c r="AC1758">
        <v>-20.674600000000002</v>
      </c>
      <c r="AD1758">
        <v>-1.109032121462</v>
      </c>
      <c r="AE1758">
        <v>-2.16759999999999</v>
      </c>
      <c r="AF1758">
        <v>-2.5315644503860399</v>
      </c>
      <c r="AG1758">
        <v>-1.109032121462</v>
      </c>
      <c r="AH1758">
        <v>20.573753042089901</v>
      </c>
      <c r="AI1758">
        <v>93.062500805539202</v>
      </c>
      <c r="AJ1758">
        <v>97.014883798451905</v>
      </c>
      <c r="AK1758">
        <v>20.758566546122498</v>
      </c>
      <c r="AL1758">
        <v>91.415137134963999</v>
      </c>
      <c r="AM1758">
        <v>83.028002936036501</v>
      </c>
      <c r="AN1758">
        <v>0.99999994828771999</v>
      </c>
    </row>
    <row r="1759" spans="1:40" x14ac:dyDescent="0.25">
      <c r="A1759" t="str">
        <f>"20190312161301874"</f>
        <v>20190312161301874</v>
      </c>
      <c r="B1759" t="str">
        <f>"1552378381867497"</f>
        <v>1552378381867497</v>
      </c>
      <c r="C1759" t="s">
        <v>40</v>
      </c>
      <c r="D1759">
        <v>5.7320669999999998</v>
      </c>
      <c r="E1759">
        <v>0.40746149999999998</v>
      </c>
      <c r="F1759" t="s">
        <v>69</v>
      </c>
      <c r="G1759">
        <v>-329.25920000000002</v>
      </c>
      <c r="H1759" s="1">
        <v>3.469755E-6</v>
      </c>
      <c r="I1759">
        <v>282.80369999999999</v>
      </c>
      <c r="J1759">
        <v>-307.66570000000002</v>
      </c>
      <c r="K1759">
        <v>1.1090370000000001</v>
      </c>
      <c r="L1759">
        <v>285.07380000000001</v>
      </c>
      <c r="M1759">
        <v>-0.999803</v>
      </c>
      <c r="N1759">
        <v>0</v>
      </c>
      <c r="O1759">
        <v>1.7968850000000001E-2</v>
      </c>
      <c r="P1759">
        <v>-0.9897049</v>
      </c>
      <c r="Q1759">
        <v>-3.3281430000000001E-2</v>
      </c>
      <c r="R1759">
        <v>0.13919979999999901</v>
      </c>
      <c r="S1759">
        <v>-3.070862</v>
      </c>
      <c r="T1759">
        <v>-0.15638579999999999</v>
      </c>
      <c r="U1759">
        <v>-0.31964110000000001</v>
      </c>
      <c r="V1759">
        <v>0.121391899999999</v>
      </c>
      <c r="W1759">
        <v>-2.49237E-2</v>
      </c>
      <c r="X1759">
        <v>0.9922917</v>
      </c>
      <c r="Y1759">
        <v>-0.1212068</v>
      </c>
      <c r="Z1759">
        <v>-3.9882119999999997E-3</v>
      </c>
      <c r="AA1759">
        <v>0.99261929999999998</v>
      </c>
      <c r="AB1759">
        <v>38</v>
      </c>
      <c r="AC1759">
        <v>-21.593499999999999</v>
      </c>
      <c r="AD1759">
        <v>-1.1090335302450001</v>
      </c>
      <c r="AE1759">
        <v>-2.27010000000001</v>
      </c>
      <c r="AF1759">
        <v>-2.65084163649058</v>
      </c>
      <c r="AG1759">
        <v>-1.1090335302450001</v>
      </c>
      <c r="AH1759">
        <v>21.493145826550499</v>
      </c>
      <c r="AI1759">
        <v>92.931634760991201</v>
      </c>
      <c r="AJ1759">
        <v>97.031026650412002</v>
      </c>
      <c r="AK1759">
        <v>21.684377654761601</v>
      </c>
      <c r="AL1759">
        <v>91.428170705474599</v>
      </c>
      <c r="AM1759">
        <v>83.025382740388693</v>
      </c>
      <c r="AN1759">
        <v>1.0000000010480901</v>
      </c>
    </row>
    <row r="1760" spans="1:40" x14ac:dyDescent="0.25">
      <c r="A1760" t="str">
        <f>"20190312161301885"</f>
        <v>20190312161301885</v>
      </c>
      <c r="B1760" t="str">
        <f>"1552378381877257"</f>
        <v>1552378381877257</v>
      </c>
      <c r="C1760" t="s">
        <v>40</v>
      </c>
      <c r="D1760">
        <v>5.6768099999999997</v>
      </c>
      <c r="E1760">
        <v>0.40712330000000002</v>
      </c>
      <c r="F1760" t="s">
        <v>69</v>
      </c>
      <c r="G1760">
        <v>-330.91059999999999</v>
      </c>
      <c r="H1760" s="1">
        <v>-9.6790609999999998E-7</v>
      </c>
      <c r="I1760">
        <v>282.6875</v>
      </c>
      <c r="J1760">
        <v>-307.8689</v>
      </c>
      <c r="K1760">
        <v>1.1090370000000001</v>
      </c>
      <c r="L1760">
        <v>285.07740000000001</v>
      </c>
      <c r="M1760">
        <v>-0.999803</v>
      </c>
      <c r="N1760">
        <v>0</v>
      </c>
      <c r="O1760">
        <v>1.7968640000000001E-2</v>
      </c>
      <c r="P1760">
        <v>-0.98968599999999995</v>
      </c>
      <c r="Q1760">
        <v>-3.3335339999999998E-2</v>
      </c>
      <c r="R1760">
        <v>0.1393221</v>
      </c>
      <c r="S1760">
        <v>-3.0705870000000002</v>
      </c>
      <c r="T1760">
        <v>-0.14650089999999999</v>
      </c>
      <c r="U1760">
        <v>-0.315216099999999</v>
      </c>
      <c r="V1760">
        <v>0.1215149</v>
      </c>
      <c r="W1760">
        <v>-2.4971739999999999E-2</v>
      </c>
      <c r="X1760">
        <v>0.99227540000000003</v>
      </c>
      <c r="Y1760">
        <v>-0.1198236</v>
      </c>
      <c r="Z1760">
        <v>-3.7041230000000001E-3</v>
      </c>
      <c r="AA1760">
        <v>0.99278829999999996</v>
      </c>
      <c r="AB1760">
        <v>38</v>
      </c>
      <c r="AC1760">
        <v>-23.041699999999899</v>
      </c>
      <c r="AD1760">
        <v>-1.1090379679061</v>
      </c>
      <c r="AE1760">
        <v>-2.3899000000000101</v>
      </c>
      <c r="AF1760">
        <v>-2.7971457673327</v>
      </c>
      <c r="AG1760">
        <v>-1.1090379679061</v>
      </c>
      <c r="AH1760">
        <v>22.942450556466301</v>
      </c>
      <c r="AI1760">
        <v>92.747212264547599</v>
      </c>
      <c r="AJ1760">
        <v>96.951200330491005</v>
      </c>
      <c r="AK1760">
        <v>23.1389288255499</v>
      </c>
      <c r="AL1760">
        <v>91.430924104584406</v>
      </c>
      <c r="AM1760">
        <v>83.018271886379296</v>
      </c>
      <c r="AN1760">
        <v>0.99999996408289804</v>
      </c>
    </row>
    <row r="1761" spans="1:40" x14ac:dyDescent="0.25">
      <c r="A1761" t="str">
        <f>"20190312161301896"</f>
        <v>20190312161301896</v>
      </c>
      <c r="B1761" t="str">
        <f>"1552378381887994"</f>
        <v>1552378381887994</v>
      </c>
      <c r="C1761" t="s">
        <v>40</v>
      </c>
      <c r="D1761">
        <v>5.6471809999999998</v>
      </c>
      <c r="E1761">
        <v>0.40679569999999998</v>
      </c>
      <c r="F1761" t="s">
        <v>69</v>
      </c>
      <c r="G1761">
        <v>-331.00599999999997</v>
      </c>
      <c r="H1761" s="1">
        <v>-9.1703149999999999E-7</v>
      </c>
      <c r="I1761">
        <v>282.6848</v>
      </c>
      <c r="J1761">
        <v>-308.06049999999999</v>
      </c>
      <c r="K1761">
        <v>1.1090359999999999</v>
      </c>
      <c r="L1761">
        <v>285.08080000000001</v>
      </c>
      <c r="M1761">
        <v>-0.99980290000000005</v>
      </c>
      <c r="N1761">
        <v>0</v>
      </c>
      <c r="O1761">
        <v>1.7968319999999999E-2</v>
      </c>
      <c r="P1761">
        <v>-0.98973630000000001</v>
      </c>
      <c r="Q1761">
        <v>-3.3198930000000001E-2</v>
      </c>
      <c r="R1761">
        <v>0.13899600000000001</v>
      </c>
      <c r="S1761">
        <v>-3.0709529999999998</v>
      </c>
      <c r="T1761">
        <v>-0.1472009</v>
      </c>
      <c r="U1761">
        <v>-0.31756590000000001</v>
      </c>
      <c r="V1761">
        <v>0.1211882</v>
      </c>
      <c r="W1761">
        <v>-2.482929E-2</v>
      </c>
      <c r="X1761">
        <v>0.99231899999999995</v>
      </c>
      <c r="Y1761">
        <v>-0.12056070000000001</v>
      </c>
      <c r="Z1761">
        <v>-3.7388080000000001E-3</v>
      </c>
      <c r="AA1761">
        <v>0.99269890000000005</v>
      </c>
      <c r="AB1761">
        <v>38</v>
      </c>
      <c r="AC1761">
        <v>-22.9454999999999</v>
      </c>
      <c r="AD1761">
        <v>-1.1090369170315</v>
      </c>
      <c r="AE1761">
        <v>-2.3960000000000101</v>
      </c>
      <c r="AF1761">
        <v>-2.8014459895126702</v>
      </c>
      <c r="AG1761">
        <v>-1.1090369170315</v>
      </c>
      <c r="AH1761">
        <v>22.8459462866753</v>
      </c>
      <c r="AI1761">
        <v>92.758562997122397</v>
      </c>
      <c r="AJ1761">
        <v>96.990899121856401</v>
      </c>
      <c r="AK1761">
        <v>23.043769749091499</v>
      </c>
      <c r="AL1761">
        <v>91.422759687228407</v>
      </c>
      <c r="AM1761">
        <v>83.037161092689303</v>
      </c>
      <c r="AN1761">
        <v>1.0000000356110701</v>
      </c>
    </row>
    <row r="1762" spans="1:40" x14ac:dyDescent="0.25">
      <c r="A1762" t="str">
        <f>"20190312161301907"</f>
        <v>20190312161301907</v>
      </c>
      <c r="B1762" t="str">
        <f>"1552378381897754"</f>
        <v>1552378381897754</v>
      </c>
      <c r="C1762" t="s">
        <v>40</v>
      </c>
      <c r="D1762">
        <v>5.6229800000000001</v>
      </c>
      <c r="E1762">
        <v>0.40658699999999998</v>
      </c>
      <c r="F1762" t="s">
        <v>69</v>
      </c>
      <c r="G1762">
        <v>-331.9119</v>
      </c>
      <c r="H1762" s="1">
        <v>-4.3073230000000002E-7</v>
      </c>
      <c r="I1762">
        <v>282.58839999999998</v>
      </c>
      <c r="J1762">
        <v>-308.25360000000001</v>
      </c>
      <c r="K1762">
        <v>1.109038</v>
      </c>
      <c r="L1762">
        <v>285.08440000000002</v>
      </c>
      <c r="M1762">
        <v>-0.99980290000000005</v>
      </c>
      <c r="N1762">
        <v>0</v>
      </c>
      <c r="O1762">
        <v>1.7967940000000002E-2</v>
      </c>
      <c r="P1762">
        <v>-0.98972179999999998</v>
      </c>
      <c r="Q1762">
        <v>-3.3173069999999999E-2</v>
      </c>
      <c r="R1762">
        <v>0.1391066</v>
      </c>
      <c r="S1762">
        <v>-3.0713810000000001</v>
      </c>
      <c r="T1762">
        <v>-0.14281240000000001</v>
      </c>
      <c r="U1762">
        <v>-0.3209534</v>
      </c>
      <c r="V1762">
        <v>0.1212994</v>
      </c>
      <c r="W1762">
        <v>-2.479785E-2</v>
      </c>
      <c r="X1762">
        <v>0.99230620000000003</v>
      </c>
      <c r="Y1762">
        <v>-0.12163740000000001</v>
      </c>
      <c r="Z1762">
        <v>-3.65169E-3</v>
      </c>
      <c r="AA1762">
        <v>0.99256789999999995</v>
      </c>
      <c r="AB1762">
        <v>38</v>
      </c>
      <c r="AC1762">
        <v>-23.658300000000001</v>
      </c>
      <c r="AD1762">
        <v>-1.1090384307323</v>
      </c>
      <c r="AE1762">
        <v>-2.4960000000000302</v>
      </c>
      <c r="AF1762">
        <v>-2.9143693126552601</v>
      </c>
      <c r="AG1762">
        <v>-1.1090384307323</v>
      </c>
      <c r="AH1762">
        <v>23.558431399062901</v>
      </c>
      <c r="AI1762">
        <v>92.674910073261501</v>
      </c>
      <c r="AJ1762">
        <v>97.052124414385204</v>
      </c>
      <c r="AK1762">
        <v>23.763905502163102</v>
      </c>
      <c r="AL1762">
        <v>91.420957752350802</v>
      </c>
      <c r="AM1762">
        <v>83.030745912698904</v>
      </c>
      <c r="AN1762">
        <v>1.0000000361817101</v>
      </c>
    </row>
    <row r="1763" spans="1:40" x14ac:dyDescent="0.25">
      <c r="A1763" t="str">
        <f>"20190312161301920"</f>
        <v>20190312161301920</v>
      </c>
      <c r="B1763" t="str">
        <f>"1552378381917273"</f>
        <v>1552378381917273</v>
      </c>
      <c r="C1763" t="s">
        <v>40</v>
      </c>
      <c r="D1763">
        <v>5.5709580000000001</v>
      </c>
      <c r="E1763">
        <v>0.40646139999999997</v>
      </c>
      <c r="F1763" t="s">
        <v>69</v>
      </c>
      <c r="G1763">
        <v>-332.4126</v>
      </c>
      <c r="H1763" s="1">
        <v>-1.6261309999999999E-7</v>
      </c>
      <c r="I1763">
        <v>282.55040000000002</v>
      </c>
      <c r="J1763">
        <v>-308.4622</v>
      </c>
      <c r="K1763">
        <v>1.1090310000000001</v>
      </c>
      <c r="L1763">
        <v>285.0881</v>
      </c>
      <c r="M1763">
        <v>-0.99980290000000005</v>
      </c>
      <c r="N1763">
        <v>0</v>
      </c>
      <c r="O1763">
        <v>1.796743E-2</v>
      </c>
      <c r="P1763">
        <v>-0.9896722</v>
      </c>
      <c r="Q1763">
        <v>-3.3087529999999997E-2</v>
      </c>
      <c r="R1763">
        <v>0.139478399999999</v>
      </c>
      <c r="S1763">
        <v>-3.0717159999999999</v>
      </c>
      <c r="T1763">
        <v>-0.14100969999999999</v>
      </c>
      <c r="U1763">
        <v>-0.32217410000000002</v>
      </c>
      <c r="V1763">
        <v>0.1216725</v>
      </c>
      <c r="W1763">
        <v>-2.470646E-2</v>
      </c>
      <c r="X1763">
        <v>0.9922628</v>
      </c>
      <c r="Y1763">
        <v>-0.12201919999999999</v>
      </c>
      <c r="Z1763">
        <v>-3.6138920000000001E-3</v>
      </c>
      <c r="AA1763">
        <v>0.99252119999999999</v>
      </c>
      <c r="AB1763">
        <v>38</v>
      </c>
      <c r="AC1763">
        <v>-23.950399999999998</v>
      </c>
      <c r="AD1763">
        <v>-1.1090311626131</v>
      </c>
      <c r="AE1763">
        <v>-2.5376999999999699</v>
      </c>
      <c r="AF1763">
        <v>-2.9613536105908</v>
      </c>
      <c r="AG1763">
        <v>-1.1090311626131</v>
      </c>
      <c r="AH1763">
        <v>23.8503641025086</v>
      </c>
      <c r="AI1763">
        <v>92.642051320501594</v>
      </c>
      <c r="AJ1763">
        <v>97.0778420542524</v>
      </c>
      <c r="AK1763">
        <v>24.059082134379899</v>
      </c>
      <c r="AL1763">
        <v>91.415719887651306</v>
      </c>
      <c r="AM1763">
        <v>83.009218512409205</v>
      </c>
      <c r="AN1763">
        <v>1.0000000353429099</v>
      </c>
    </row>
    <row r="1764" spans="1:40" x14ac:dyDescent="0.25">
      <c r="A1764" t="str">
        <f>"20190312161301932"</f>
        <v>20190312161301932</v>
      </c>
      <c r="B1764" t="str">
        <f>"1552378381928009"</f>
        <v>1552378381928009</v>
      </c>
      <c r="C1764" t="s">
        <v>40</v>
      </c>
      <c r="D1764">
        <v>5.5632669999999997</v>
      </c>
      <c r="E1764">
        <v>0.4064123</v>
      </c>
      <c r="F1764" t="s">
        <v>69</v>
      </c>
      <c r="G1764">
        <v>-333.41480000000001</v>
      </c>
      <c r="H1764" s="1">
        <v>3.7409819999999998E-7</v>
      </c>
      <c r="I1764">
        <v>282.47230000000002</v>
      </c>
      <c r="J1764">
        <v>-308.67410000000001</v>
      </c>
      <c r="K1764">
        <v>1.10903</v>
      </c>
      <c r="L1764">
        <v>285.09190000000001</v>
      </c>
      <c r="M1764">
        <v>-0.99980279999999999</v>
      </c>
      <c r="N1764">
        <v>0</v>
      </c>
      <c r="O1764">
        <v>1.7967049999999998E-2</v>
      </c>
      <c r="P1764">
        <v>-0.98964770000000002</v>
      </c>
      <c r="Q1764">
        <v>-3.2901029999999998E-2</v>
      </c>
      <c r="R1764">
        <v>0.1396965</v>
      </c>
      <c r="S1764">
        <v>-3.0721129999999999</v>
      </c>
      <c r="T1764">
        <v>-0.13654179999999999</v>
      </c>
      <c r="U1764">
        <v>-0.322052</v>
      </c>
      <c r="V1764">
        <v>0.1218914</v>
      </c>
      <c r="W1764">
        <v>-2.451387E-2</v>
      </c>
      <c r="X1764">
        <v>0.99224069999999998</v>
      </c>
      <c r="Y1764">
        <v>-0.12197570000000001</v>
      </c>
      <c r="Z1764">
        <v>-3.4980789999999999E-3</v>
      </c>
      <c r="AA1764">
        <v>0.99252689999999999</v>
      </c>
      <c r="AB1764">
        <v>38</v>
      </c>
      <c r="AC1764">
        <v>-24.7407</v>
      </c>
      <c r="AD1764">
        <v>-1.1090296259018</v>
      </c>
      <c r="AE1764">
        <v>-2.6195999999999899</v>
      </c>
      <c r="AF1764">
        <v>-3.05763457235056</v>
      </c>
      <c r="AG1764">
        <v>-1.1090296259018</v>
      </c>
      <c r="AH1764">
        <v>24.6406743163929</v>
      </c>
      <c r="AI1764">
        <v>92.557445982326996</v>
      </c>
      <c r="AJ1764">
        <v>97.073612442890806</v>
      </c>
      <c r="AK1764">
        <v>24.854414228778499</v>
      </c>
      <c r="AL1764">
        <v>91.404681965286599</v>
      </c>
      <c r="AM1764">
        <v>82.996611805565806</v>
      </c>
      <c r="AN1764">
        <v>1.0000000249764101</v>
      </c>
    </row>
    <row r="1765" spans="1:40" x14ac:dyDescent="0.25">
      <c r="A1765" t="str">
        <f>"20190312161301944"</f>
        <v>20190312161301944</v>
      </c>
      <c r="B1765" t="str">
        <f>"1552378381937769"</f>
        <v>1552378381937769</v>
      </c>
      <c r="C1765" t="s">
        <v>40</v>
      </c>
      <c r="D1765">
        <v>5.5124089999999999</v>
      </c>
      <c r="E1765">
        <v>0.40625480000000003</v>
      </c>
      <c r="F1765" t="s">
        <v>69</v>
      </c>
      <c r="G1765">
        <v>-334.20299999999997</v>
      </c>
      <c r="H1765" s="1">
        <v>7.9584780000000004E-7</v>
      </c>
      <c r="I1765">
        <v>282.42020000000002</v>
      </c>
      <c r="J1765">
        <v>-308.89350000000002</v>
      </c>
      <c r="K1765">
        <v>1.10903</v>
      </c>
      <c r="L1765">
        <v>285.0958</v>
      </c>
      <c r="M1765">
        <v>-0.99980279999999999</v>
      </c>
      <c r="N1765">
        <v>0</v>
      </c>
      <c r="O1765">
        <v>1.7966659999999999E-2</v>
      </c>
      <c r="P1765">
        <v>-0.98961140000000003</v>
      </c>
      <c r="Q1765">
        <v>-3.2737740000000001E-2</v>
      </c>
      <c r="R1765">
        <v>0.139991</v>
      </c>
      <c r="S1765">
        <v>-3.0723569999999998</v>
      </c>
      <c r="T1765">
        <v>-0.13346959999999999</v>
      </c>
      <c r="U1765">
        <v>-0.32153320000000002</v>
      </c>
      <c r="V1765">
        <v>0.1221869</v>
      </c>
      <c r="W1765">
        <v>-2.434441E-2</v>
      </c>
      <c r="X1765">
        <v>0.99220850000000005</v>
      </c>
      <c r="Y1765">
        <v>-0.1218076</v>
      </c>
      <c r="Z1765">
        <v>-3.415548E-3</v>
      </c>
      <c r="AA1765">
        <v>0.99254790000000004</v>
      </c>
      <c r="AB1765">
        <v>38</v>
      </c>
      <c r="AC1765">
        <v>-25.3095</v>
      </c>
      <c r="AD1765">
        <v>-1.1090292041522001</v>
      </c>
      <c r="AE1765">
        <v>-2.67559999999997</v>
      </c>
      <c r="AF1765">
        <v>-3.12397955388353</v>
      </c>
      <c r="AG1765">
        <v>-1.1090292041522001</v>
      </c>
      <c r="AH1765">
        <v>25.209471921900398</v>
      </c>
      <c r="AI1765">
        <v>92.499867040050503</v>
      </c>
      <c r="AJ1765">
        <v>97.064129604152598</v>
      </c>
      <c r="AK1765">
        <v>25.4264954055771</v>
      </c>
      <c r="AL1765">
        <v>91.394969761667198</v>
      </c>
      <c r="AM1765">
        <v>82.979577228369294</v>
      </c>
      <c r="AN1765">
        <v>0.999999998151054</v>
      </c>
    </row>
    <row r="1766" spans="1:40" x14ac:dyDescent="0.25">
      <c r="A1766" t="str">
        <f>"20190312161301963"</f>
        <v>20190312161301963</v>
      </c>
      <c r="B1766" t="str">
        <f>"1552378381957625"</f>
        <v>1552378381957625</v>
      </c>
      <c r="C1766" t="s">
        <v>40</v>
      </c>
      <c r="D1766">
        <v>5.4804120000000003</v>
      </c>
      <c r="E1766">
        <v>0.40614410000000001</v>
      </c>
      <c r="F1766" t="s">
        <v>69</v>
      </c>
      <c r="G1766">
        <v>-334.8519</v>
      </c>
      <c r="H1766" s="1">
        <v>1.1429610000000001E-6</v>
      </c>
      <c r="I1766">
        <v>282.3784</v>
      </c>
      <c r="J1766">
        <v>-309.19349999999997</v>
      </c>
      <c r="K1766">
        <v>1.109027</v>
      </c>
      <c r="L1766">
        <v>285.10129999999998</v>
      </c>
      <c r="M1766">
        <v>-0.99980279999999999</v>
      </c>
      <c r="N1766">
        <v>0</v>
      </c>
      <c r="O1766">
        <v>1.796615E-2</v>
      </c>
      <c r="P1766">
        <v>-0.9895275</v>
      </c>
      <c r="Q1766">
        <v>-3.3114820000000003E-2</v>
      </c>
      <c r="R1766">
        <v>0.14049610000000001</v>
      </c>
      <c r="S1766">
        <v>-3.0726619999999998</v>
      </c>
      <c r="T1766">
        <v>-0.13127459999999999</v>
      </c>
      <c r="U1766">
        <v>-0.32165529999999998</v>
      </c>
      <c r="V1766">
        <v>0.122694</v>
      </c>
      <c r="W1766">
        <v>-2.4713349999999999E-2</v>
      </c>
      <c r="X1766">
        <v>0.99213680000000004</v>
      </c>
      <c r="Y1766">
        <v>-0.1218402</v>
      </c>
      <c r="Z1766">
        <v>-3.3597620000000001E-3</v>
      </c>
      <c r="AA1766">
        <v>0.99254410000000004</v>
      </c>
      <c r="AB1766">
        <v>38</v>
      </c>
      <c r="AC1766">
        <v>-25.6584</v>
      </c>
      <c r="AD1766">
        <v>-1.1090258570389999</v>
      </c>
      <c r="AE1766">
        <v>-2.7228999999999801</v>
      </c>
      <c r="AF1766">
        <v>-3.1775893685205001</v>
      </c>
      <c r="AG1766">
        <v>-1.1090258570389999</v>
      </c>
      <c r="AH1766">
        <v>25.5581205075739</v>
      </c>
      <c r="AI1766">
        <v>92.465677741711403</v>
      </c>
      <c r="AJ1766">
        <v>97.087101396707993</v>
      </c>
      <c r="AK1766">
        <v>25.7787613439083</v>
      </c>
      <c r="AL1766">
        <v>91.416114828161696</v>
      </c>
      <c r="AM1766">
        <v>82.950229301260705</v>
      </c>
      <c r="AN1766">
        <v>0.99999999860923094</v>
      </c>
    </row>
    <row r="1767" spans="1:40" x14ac:dyDescent="0.25">
      <c r="A1767" t="str">
        <f>"20190312161301975"</f>
        <v>20190312161301975</v>
      </c>
      <c r="B1767" t="str">
        <f>"1552378381967385"</f>
        <v>1552378381967385</v>
      </c>
      <c r="C1767" t="s">
        <v>40</v>
      </c>
      <c r="D1767">
        <v>5.4763039999999998</v>
      </c>
      <c r="E1767">
        <v>0.40609529999999999</v>
      </c>
      <c r="F1767" t="s">
        <v>69</v>
      </c>
      <c r="G1767">
        <v>-335.40699999999998</v>
      </c>
      <c r="H1767" s="1">
        <v>1.439042E-6</v>
      </c>
      <c r="I1767">
        <v>282.36320000000001</v>
      </c>
      <c r="J1767">
        <v>-309.40350000000001</v>
      </c>
      <c r="K1767">
        <v>1.109027</v>
      </c>
      <c r="L1767">
        <v>285.10500000000002</v>
      </c>
      <c r="M1767">
        <v>-0.99980270000000004</v>
      </c>
      <c r="N1767">
        <v>0</v>
      </c>
      <c r="O1767">
        <v>1.7965769999999999E-2</v>
      </c>
      <c r="P1767">
        <v>-0.9895294</v>
      </c>
      <c r="Q1767">
        <v>-3.33957E-2</v>
      </c>
      <c r="R1767">
        <v>0.14041589999999901</v>
      </c>
      <c r="S1767">
        <v>-3.0729679999999999</v>
      </c>
      <c r="T1767">
        <v>-0.13000929999999999</v>
      </c>
      <c r="U1767">
        <v>-0.32098389999999999</v>
      </c>
      <c r="V1767">
        <v>0.1226141</v>
      </c>
      <c r="W1767">
        <v>-2.4988059999999999E-2</v>
      </c>
      <c r="X1767">
        <v>0.99213980000000002</v>
      </c>
      <c r="Y1767">
        <v>-0.1216177</v>
      </c>
      <c r="Z1767">
        <v>-3.3224079999999998E-3</v>
      </c>
      <c r="AA1767">
        <v>0.99257150000000005</v>
      </c>
      <c r="AB1767">
        <v>38</v>
      </c>
      <c r="AC1767">
        <v>-26.003499999999899</v>
      </c>
      <c r="AD1767">
        <v>-1.109025560958</v>
      </c>
      <c r="AE1767">
        <v>-2.7418000000000098</v>
      </c>
      <c r="AF1767">
        <v>-3.2027854847918702</v>
      </c>
      <c r="AG1767">
        <v>-1.109025560958</v>
      </c>
      <c r="AH1767">
        <v>25.903443615155599</v>
      </c>
      <c r="AI1767">
        <v>92.433049676352994</v>
      </c>
      <c r="AJ1767">
        <v>97.048462477768197</v>
      </c>
      <c r="AK1767">
        <v>26.124244748509</v>
      </c>
      <c r="AL1767">
        <v>91.431859409737598</v>
      </c>
      <c r="AM1767">
        <v>82.954795146149394</v>
      </c>
      <c r="AN1767">
        <v>1.0000000017027</v>
      </c>
    </row>
    <row r="1768" spans="1:40" x14ac:dyDescent="0.25">
      <c r="A1768" t="str">
        <f>"20190312161301989"</f>
        <v>20190312161301989</v>
      </c>
      <c r="B1768" t="str">
        <f>"1552378381977144"</f>
        <v>1552378381977144</v>
      </c>
      <c r="C1768" t="s">
        <v>40</v>
      </c>
      <c r="D1768">
        <v>5.4391150000000001</v>
      </c>
      <c r="E1768">
        <v>0.40589120000000001</v>
      </c>
      <c r="F1768" t="s">
        <v>69</v>
      </c>
      <c r="G1768">
        <v>-335.7201</v>
      </c>
      <c r="H1768" s="1">
        <v>1.6061749999999999E-6</v>
      </c>
      <c r="I1768">
        <v>282.35120000000001</v>
      </c>
      <c r="J1768">
        <v>-309.65019999999998</v>
      </c>
      <c r="K1768">
        <v>1.109029</v>
      </c>
      <c r="L1768">
        <v>285.10939999999999</v>
      </c>
      <c r="M1768">
        <v>-0.99980259999999999</v>
      </c>
      <c r="N1768">
        <v>0</v>
      </c>
      <c r="O1768">
        <v>1.7965439999999999E-2</v>
      </c>
      <c r="P1768">
        <v>-0.98955020000000005</v>
      </c>
      <c r="Q1768">
        <v>-3.3313130000000003E-2</v>
      </c>
      <c r="R1768">
        <v>0.1402881</v>
      </c>
      <c r="S1768">
        <v>-3.073029</v>
      </c>
      <c r="T1768">
        <v>-0.12950239999999999</v>
      </c>
      <c r="U1768">
        <v>-0.32156370000000001</v>
      </c>
      <c r="V1768">
        <v>0.12248630000000001</v>
      </c>
      <c r="W1768">
        <v>-2.4898139999999999E-2</v>
      </c>
      <c r="X1768">
        <v>0.99215790000000004</v>
      </c>
      <c r="Y1768">
        <v>-0.1218014</v>
      </c>
      <c r="Z1768">
        <v>-3.3132140000000001E-3</v>
      </c>
      <c r="AA1768">
        <v>0.99254889999999996</v>
      </c>
      <c r="AB1768">
        <v>39</v>
      </c>
      <c r="AC1768">
        <v>-26.069900000000001</v>
      </c>
      <c r="AD1768">
        <v>-1.1090273938249999</v>
      </c>
      <c r="AE1768">
        <v>-2.75819999999998</v>
      </c>
      <c r="AF1768">
        <v>-3.2203655329041601</v>
      </c>
      <c r="AG1768">
        <v>-1.1090273938249999</v>
      </c>
      <c r="AH1768">
        <v>25.969661210509599</v>
      </c>
      <c r="AI1768">
        <v>92.426750390565601</v>
      </c>
      <c r="AJ1768">
        <v>97.068872248025698</v>
      </c>
      <c r="AK1768">
        <v>26.192059852451798</v>
      </c>
      <c r="AL1768">
        <v>91.426705694044898</v>
      </c>
      <c r="AM1768">
        <v>82.962191750108502</v>
      </c>
      <c r="AN1768">
        <v>1.0000000547977701</v>
      </c>
    </row>
    <row r="1769" spans="1:40" x14ac:dyDescent="0.25">
      <c r="A1769" t="str">
        <f>"20190312161302003"</f>
        <v>20190312161302003</v>
      </c>
      <c r="B1769" t="str">
        <f>"1552378381997640"</f>
        <v>1552378381997640</v>
      </c>
      <c r="C1769" t="s">
        <v>40</v>
      </c>
      <c r="D1769">
        <v>5.4363060000000001</v>
      </c>
      <c r="E1769">
        <v>0.40587909999999999</v>
      </c>
      <c r="F1769" t="s">
        <v>69</v>
      </c>
      <c r="G1769">
        <v>-336.42849999999999</v>
      </c>
      <c r="H1769" s="1">
        <v>1.98575E-6</v>
      </c>
      <c r="I1769">
        <v>282.29129999999998</v>
      </c>
      <c r="J1769">
        <v>-309.9067</v>
      </c>
      <c r="K1769">
        <v>1.1090279999999999</v>
      </c>
      <c r="L1769">
        <v>285.11399999999998</v>
      </c>
      <c r="M1769">
        <v>-0.99980250000000004</v>
      </c>
      <c r="N1769">
        <v>0</v>
      </c>
      <c r="O1769">
        <v>1.7965040000000002E-2</v>
      </c>
      <c r="P1769">
        <v>-0.98958849999999998</v>
      </c>
      <c r="Q1769">
        <v>-3.3361330000000002E-2</v>
      </c>
      <c r="R1769">
        <v>0.14000660000000001</v>
      </c>
      <c r="S1769">
        <v>-3.073242</v>
      </c>
      <c r="T1769">
        <v>-0.1272788</v>
      </c>
      <c r="U1769">
        <v>-0.32342530000000003</v>
      </c>
      <c r="V1769">
        <v>0.1222046</v>
      </c>
      <c r="W1769">
        <v>-2.493855E-2</v>
      </c>
      <c r="X1769">
        <v>0.99219159999999995</v>
      </c>
      <c r="Y1769">
        <v>-0.12239220000000001</v>
      </c>
      <c r="Z1769">
        <v>-3.2682269999999999E-3</v>
      </c>
      <c r="AA1769">
        <v>0.99247640000000004</v>
      </c>
      <c r="AB1769">
        <v>39</v>
      </c>
      <c r="AC1769">
        <v>-26.521799999999899</v>
      </c>
      <c r="AD1769">
        <v>-1.1090260142499999</v>
      </c>
      <c r="AE1769">
        <v>-2.8227000000000499</v>
      </c>
      <c r="AF1769">
        <v>-3.2930332972930101</v>
      </c>
      <c r="AG1769">
        <v>-1.1090260142499999</v>
      </c>
      <c r="AH1769">
        <v>26.421126579198699</v>
      </c>
      <c r="AI1769">
        <v>92.385144973330796</v>
      </c>
      <c r="AJ1769">
        <v>97.1045014743965</v>
      </c>
      <c r="AK1769">
        <v>26.648638552680399</v>
      </c>
      <c r="AL1769">
        <v>91.429021766215598</v>
      </c>
      <c r="AM1769">
        <v>82.978451997987094</v>
      </c>
      <c r="AN1769">
        <v>1.0000000333239101</v>
      </c>
    </row>
    <row r="1770" spans="1:40" x14ac:dyDescent="0.25">
      <c r="A1770" t="str">
        <f>"20190312161302021"</f>
        <v>20190312161302021</v>
      </c>
      <c r="B1770" t="str">
        <f>"1552378382017162"</f>
        <v>1552378382017162</v>
      </c>
      <c r="C1770" t="s">
        <v>40</v>
      </c>
      <c r="D1770">
        <v>5.3644689999999997</v>
      </c>
      <c r="E1770">
        <v>0.40573130000000002</v>
      </c>
      <c r="F1770" t="s">
        <v>69</v>
      </c>
      <c r="G1770">
        <v>-337.14319999999998</v>
      </c>
      <c r="H1770" s="1">
        <v>2.368382E-6</v>
      </c>
      <c r="I1770">
        <v>282.23869999999999</v>
      </c>
      <c r="J1770">
        <v>-310.1857</v>
      </c>
      <c r="K1770">
        <v>1.1090180000000001</v>
      </c>
      <c r="L1770">
        <v>285.1191</v>
      </c>
      <c r="M1770">
        <v>-0.99980259999999999</v>
      </c>
      <c r="N1770">
        <v>0</v>
      </c>
      <c r="O1770">
        <v>1.7964529999999999E-2</v>
      </c>
      <c r="P1770">
        <v>-0.98957189999999995</v>
      </c>
      <c r="Q1770">
        <v>-3.3951149999999999E-2</v>
      </c>
      <c r="R1770">
        <v>0.13998289999999999</v>
      </c>
      <c r="S1770">
        <v>-3.0732119999999998</v>
      </c>
      <c r="T1770">
        <v>-0.12513640000000001</v>
      </c>
      <c r="U1770">
        <v>-0.32443240000000001</v>
      </c>
      <c r="V1770">
        <v>0.1221817</v>
      </c>
      <c r="W1770">
        <v>-2.552047E-2</v>
      </c>
      <c r="X1770">
        <v>0.99217960000000005</v>
      </c>
      <c r="Y1770">
        <v>-0.1227181</v>
      </c>
      <c r="Z1770">
        <v>-3.2198299999999999E-3</v>
      </c>
      <c r="AA1770">
        <v>0.99243630000000005</v>
      </c>
      <c r="AB1770">
        <v>39</v>
      </c>
      <c r="AC1770">
        <v>-26.9574999999999</v>
      </c>
      <c r="AD1770">
        <v>-1.109015631618</v>
      </c>
      <c r="AE1770">
        <v>-2.8803999999999998</v>
      </c>
      <c r="AF1770">
        <v>-3.3586112817738001</v>
      </c>
      <c r="AG1770">
        <v>-1.109015631618</v>
      </c>
      <c r="AH1770">
        <v>26.856462347165301</v>
      </c>
      <c r="AI1770">
        <v>92.346382628850904</v>
      </c>
      <c r="AJ1770">
        <v>97.128279561440905</v>
      </c>
      <c r="AK1770">
        <v>27.088369371705198</v>
      </c>
      <c r="AL1770">
        <v>91.462373975565896</v>
      </c>
      <c r="AM1770">
        <v>82.979670580162505</v>
      </c>
      <c r="AN1770">
        <v>1.00000001043003</v>
      </c>
    </row>
    <row r="1771" spans="1:40" x14ac:dyDescent="0.25">
      <c r="A1771" t="str">
        <f>"20190312161302042"</f>
        <v>20190312161302042</v>
      </c>
      <c r="B1771" t="str">
        <f>"1552378382037656"</f>
        <v>1552378382037656</v>
      </c>
      <c r="C1771" t="s">
        <v>40</v>
      </c>
      <c r="D1771">
        <v>5.3688459999999996</v>
      </c>
      <c r="E1771">
        <v>0.40563630000000001</v>
      </c>
      <c r="F1771" t="s">
        <v>69</v>
      </c>
      <c r="G1771">
        <v>-337.69459999999998</v>
      </c>
      <c r="H1771" s="1">
        <v>2.6633239999999998E-6</v>
      </c>
      <c r="I1771">
        <v>282.20429999999999</v>
      </c>
      <c r="J1771">
        <v>-310.56970000000001</v>
      </c>
      <c r="K1771">
        <v>1.1090169999999999</v>
      </c>
      <c r="L1771">
        <v>285.12599999999998</v>
      </c>
      <c r="M1771">
        <v>-0.99980250000000004</v>
      </c>
      <c r="N1771">
        <v>0</v>
      </c>
      <c r="O1771">
        <v>1.7963949999999999E-2</v>
      </c>
      <c r="P1771">
        <v>-0.98963959999999995</v>
      </c>
      <c r="Q1771">
        <v>-3.3863599999999897E-2</v>
      </c>
      <c r="R1771">
        <v>0.13952390000000001</v>
      </c>
      <c r="S1771">
        <v>-3.0734249999999999</v>
      </c>
      <c r="T1771">
        <v>-0.12390429999999999</v>
      </c>
      <c r="U1771">
        <v>-0.32565309999999997</v>
      </c>
      <c r="V1771">
        <v>0.1217221</v>
      </c>
      <c r="W1771">
        <v>-2.5421309999999999E-2</v>
      </c>
      <c r="X1771">
        <v>0.99223859999999997</v>
      </c>
      <c r="Y1771">
        <v>-0.12310210000000001</v>
      </c>
      <c r="Z1771">
        <v>-3.195561E-3</v>
      </c>
      <c r="AA1771">
        <v>0.99238879999999996</v>
      </c>
      <c r="AB1771">
        <v>39</v>
      </c>
      <c r="AC1771">
        <v>-27.124899999999901</v>
      </c>
      <c r="AD1771">
        <v>-1.1090143366759999</v>
      </c>
      <c r="AE1771">
        <v>-2.92169999999998</v>
      </c>
      <c r="AF1771">
        <v>-3.4028933481616401</v>
      </c>
      <c r="AG1771">
        <v>-1.1090143366759999</v>
      </c>
      <c r="AH1771">
        <v>27.023380726057599</v>
      </c>
      <c r="AI1771">
        <v>92.331653531217896</v>
      </c>
      <c r="AJ1771">
        <v>97.177139633650697</v>
      </c>
      <c r="AK1771">
        <v>27.259359893500399</v>
      </c>
      <c r="AL1771">
        <v>91.456690732456394</v>
      </c>
      <c r="AM1771">
        <v>83.0062280449486</v>
      </c>
      <c r="AN1771">
        <v>0.99999997598024204</v>
      </c>
    </row>
    <row r="1772" spans="1:40" x14ac:dyDescent="0.25">
      <c r="A1772" t="str">
        <f>"20190312161302064"</f>
        <v>20190312161302064</v>
      </c>
      <c r="B1772" t="str">
        <f>"1552378382057682"</f>
        <v>1552378382057682</v>
      </c>
      <c r="C1772" t="s">
        <v>40</v>
      </c>
      <c r="D1772">
        <v>5.3804100000000004</v>
      </c>
      <c r="E1772">
        <v>0.40555059999999998</v>
      </c>
      <c r="F1772" t="s">
        <v>69</v>
      </c>
      <c r="G1772">
        <v>-338.9803</v>
      </c>
      <c r="H1772" s="1">
        <v>3.3521149999999998E-6</v>
      </c>
      <c r="I1772">
        <v>282.09879999999998</v>
      </c>
      <c r="J1772">
        <v>-310.95049999999998</v>
      </c>
      <c r="K1772">
        <v>1.1090199999999999</v>
      </c>
      <c r="L1772">
        <v>285.13279999999997</v>
      </c>
      <c r="M1772">
        <v>-0.99980230000000003</v>
      </c>
      <c r="N1772">
        <v>0</v>
      </c>
      <c r="O1772">
        <v>1.7963420000000001E-2</v>
      </c>
      <c r="P1772">
        <v>-0.98965720000000001</v>
      </c>
      <c r="Q1772">
        <v>-3.3673300000000003E-2</v>
      </c>
      <c r="R1772">
        <v>0.13944579999999901</v>
      </c>
      <c r="S1772">
        <v>-3.0734859999999999</v>
      </c>
      <c r="T1772">
        <v>-0.11997439999999999</v>
      </c>
      <c r="U1772">
        <v>-0.3274841</v>
      </c>
      <c r="V1772">
        <v>0.1216443</v>
      </c>
      <c r="W1772">
        <v>-2.5219789999999999E-2</v>
      </c>
      <c r="X1772">
        <v>0.9922533</v>
      </c>
      <c r="Y1772">
        <v>-0.1236907</v>
      </c>
      <c r="Z1772">
        <v>-3.1055570000000001E-3</v>
      </c>
      <c r="AA1772">
        <v>0.99231590000000003</v>
      </c>
      <c r="AB1772">
        <v>39</v>
      </c>
      <c r="AC1772">
        <v>-28.029800000000002</v>
      </c>
      <c r="AD1772">
        <v>-1.1090166478849901</v>
      </c>
      <c r="AE1772">
        <v>-3.03399999999999</v>
      </c>
      <c r="AF1772">
        <v>-3.5315753377953301</v>
      </c>
      <c r="AG1772">
        <v>-1.1090166478849901</v>
      </c>
      <c r="AH1772">
        <v>27.927561319611101</v>
      </c>
      <c r="AI1772">
        <v>92.256099512412007</v>
      </c>
      <c r="AJ1772">
        <v>97.207075468266098</v>
      </c>
      <c r="AK1772">
        <v>28.171805472004198</v>
      </c>
      <c r="AL1772">
        <v>91.445140759767597</v>
      </c>
      <c r="AM1772">
        <v>83.010756482990303</v>
      </c>
      <c r="AN1772">
        <v>0.99999999244551196</v>
      </c>
    </row>
    <row r="1773" spans="1:40" x14ac:dyDescent="0.25">
      <c r="A1773" t="str">
        <f>"20190312161302080"</f>
        <v>20190312161302080</v>
      </c>
      <c r="B1773" t="str">
        <f>"1552378382067443"</f>
        <v>1552378382067443</v>
      </c>
      <c r="C1773" t="s">
        <v>40</v>
      </c>
      <c r="D1773">
        <v>5.2717150000000004</v>
      </c>
      <c r="E1773">
        <v>0.40553499999999998</v>
      </c>
      <c r="F1773" t="s">
        <v>69</v>
      </c>
      <c r="G1773">
        <v>-340.06540000000001</v>
      </c>
      <c r="H1773" s="1">
        <v>-1.502007E-6</v>
      </c>
      <c r="I1773">
        <v>282.0224</v>
      </c>
      <c r="J1773">
        <v>-311.2174</v>
      </c>
      <c r="K1773">
        <v>1.1090169999999999</v>
      </c>
      <c r="L1773">
        <v>285.13760000000002</v>
      </c>
      <c r="M1773">
        <v>-0.99980239999999998</v>
      </c>
      <c r="N1773">
        <v>0</v>
      </c>
      <c r="O1773">
        <v>1.7962849999999999E-2</v>
      </c>
      <c r="P1773">
        <v>-0.98964929999999995</v>
      </c>
      <c r="Q1773">
        <v>-3.3611599999999998E-2</v>
      </c>
      <c r="R1773">
        <v>0.13951520000000001</v>
      </c>
      <c r="S1773">
        <v>-3.073639</v>
      </c>
      <c r="T1773">
        <v>-0.1170789</v>
      </c>
      <c r="U1773">
        <v>-0.32836910000000002</v>
      </c>
      <c r="V1773">
        <v>0.12171410000000001</v>
      </c>
      <c r="W1773">
        <v>-2.5150369999999998E-2</v>
      </c>
      <c r="X1773">
        <v>0.99224650000000003</v>
      </c>
      <c r="Y1773">
        <v>-0.1239724</v>
      </c>
      <c r="Z1773">
        <v>-3.0357919999999998E-3</v>
      </c>
      <c r="AA1773">
        <v>0.99228099999999997</v>
      </c>
      <c r="AB1773">
        <v>39</v>
      </c>
      <c r="AC1773">
        <v>-28.847999999999999</v>
      </c>
      <c r="AD1773">
        <v>-1.109018502007</v>
      </c>
      <c r="AE1773">
        <v>-3.11520000000001</v>
      </c>
      <c r="AF1773">
        <v>-3.6276089637024098</v>
      </c>
      <c r="AG1773">
        <v>-1.109018502007</v>
      </c>
      <c r="AH1773">
        <v>28.745392047309899</v>
      </c>
      <c r="AI1773">
        <v>92.192048716551696</v>
      </c>
      <c r="AJ1773">
        <v>97.192586725679604</v>
      </c>
      <c r="AK1773">
        <v>28.9946035114273</v>
      </c>
      <c r="AL1773">
        <v>91.441162028206705</v>
      </c>
      <c r="AM1773">
        <v>83.006738275760497</v>
      </c>
      <c r="AN1773">
        <v>0.99999999000609796</v>
      </c>
    </row>
    <row r="1774" spans="1:40" x14ac:dyDescent="0.25">
      <c r="A1774" t="str">
        <f>"20190312161302099"</f>
        <v>20190312161302099</v>
      </c>
      <c r="B1774" t="str">
        <f>"1552378382087939"</f>
        <v>1552378382087939</v>
      </c>
      <c r="C1774" t="s">
        <v>40</v>
      </c>
      <c r="D1774">
        <v>5.239865</v>
      </c>
      <c r="E1774">
        <v>0.40546989999999999</v>
      </c>
      <c r="F1774" t="s">
        <v>69</v>
      </c>
      <c r="G1774">
        <v>-340.45830000000001</v>
      </c>
      <c r="H1774" s="1">
        <v>-1.292926E-6</v>
      </c>
      <c r="I1774">
        <v>282.01400000000001</v>
      </c>
      <c r="J1774">
        <v>-311.5532</v>
      </c>
      <c r="K1774">
        <v>1.1090120000000001</v>
      </c>
      <c r="L1774">
        <v>285.14359999999999</v>
      </c>
      <c r="M1774">
        <v>-0.99980230000000003</v>
      </c>
      <c r="N1774">
        <v>0</v>
      </c>
      <c r="O1774">
        <v>1.7962329999999999E-2</v>
      </c>
      <c r="P1774">
        <v>-0.9896258</v>
      </c>
      <c r="Q1774">
        <v>-3.3957750000000002E-2</v>
      </c>
      <c r="R1774">
        <v>0.13959929999999901</v>
      </c>
      <c r="S1774">
        <v>-3.0737000000000001</v>
      </c>
      <c r="T1774">
        <v>-0.1165762</v>
      </c>
      <c r="U1774">
        <v>-0.32833859999999998</v>
      </c>
      <c r="V1774">
        <v>0.1217993</v>
      </c>
      <c r="W1774">
        <v>-2.548682E-2</v>
      </c>
      <c r="X1774">
        <v>0.99222750000000004</v>
      </c>
      <c r="Y1774">
        <v>-0.1239609</v>
      </c>
      <c r="Z1774">
        <v>-3.022472E-3</v>
      </c>
      <c r="AA1774">
        <v>0.99228249999999996</v>
      </c>
      <c r="AB1774">
        <v>39</v>
      </c>
      <c r="AC1774">
        <v>-28.905100000000001</v>
      </c>
      <c r="AD1774">
        <v>-1.1090132929259999</v>
      </c>
      <c r="AE1774">
        <v>-3.12959999999998</v>
      </c>
      <c r="AF1774">
        <v>-3.6430162808656998</v>
      </c>
      <c r="AG1774">
        <v>-1.1090132929259999</v>
      </c>
      <c r="AH1774">
        <v>28.802311916638999</v>
      </c>
      <c r="AI1774">
        <v>92.187633076236096</v>
      </c>
      <c r="AJ1774">
        <v>97.208689797081206</v>
      </c>
      <c r="AK1774">
        <v>29.052962841161399</v>
      </c>
      <c r="AL1774">
        <v>91.460445317253104</v>
      </c>
      <c r="AM1774">
        <v>83.001758832425807</v>
      </c>
      <c r="AN1774">
        <v>1.0000000296152201</v>
      </c>
    </row>
    <row r="1775" spans="1:40" x14ac:dyDescent="0.25">
      <c r="A1775" t="str">
        <f>"20190312161302121"</f>
        <v>20190312161302121</v>
      </c>
      <c r="B1775" t="str">
        <f>"1552378382117220"</f>
        <v>1552378382117220</v>
      </c>
      <c r="C1775" t="s">
        <v>40</v>
      </c>
      <c r="D1775">
        <v>5.2898350000000001</v>
      </c>
      <c r="E1775">
        <v>0.40549809999999997</v>
      </c>
      <c r="F1775" t="s">
        <v>69</v>
      </c>
      <c r="G1775">
        <v>-340.9615</v>
      </c>
      <c r="H1775" s="1">
        <v>-1.0250999999999999E-6</v>
      </c>
      <c r="I1775">
        <v>282.00139999999999</v>
      </c>
      <c r="J1775">
        <v>-311.92250000000001</v>
      </c>
      <c r="K1775">
        <v>1.109011</v>
      </c>
      <c r="L1775">
        <v>285.15030000000002</v>
      </c>
      <c r="M1775">
        <v>-0.99980210000000003</v>
      </c>
      <c r="N1775">
        <v>0</v>
      </c>
      <c r="O1775">
        <v>1.7961810000000002E-2</v>
      </c>
      <c r="P1775">
        <v>-0.98958109999999999</v>
      </c>
      <c r="Q1775">
        <v>-3.4057240000000003E-2</v>
      </c>
      <c r="R1775">
        <v>0.13989019999999999</v>
      </c>
      <c r="S1775">
        <v>-3.0737920000000001</v>
      </c>
      <c r="T1775">
        <v>-0.1159153</v>
      </c>
      <c r="U1775">
        <v>-0.32843020000000001</v>
      </c>
      <c r="V1775">
        <v>0.12209150000000001</v>
      </c>
      <c r="W1775">
        <v>-2.5575810000000001E-2</v>
      </c>
      <c r="X1775">
        <v>0.99218930000000005</v>
      </c>
      <c r="Y1775">
        <v>-0.12398770000000001</v>
      </c>
      <c r="Z1775">
        <v>-3.005738E-3</v>
      </c>
      <c r="AA1775">
        <v>0.99227920000000003</v>
      </c>
      <c r="AB1775">
        <v>39</v>
      </c>
      <c r="AC1775">
        <v>-29.038999999999898</v>
      </c>
      <c r="AD1775">
        <v>-1.1090120251</v>
      </c>
      <c r="AE1775">
        <v>-3.1489000000000198</v>
      </c>
      <c r="AF1775">
        <v>-3.6647211268522399</v>
      </c>
      <c r="AG1775">
        <v>-1.1090120251</v>
      </c>
      <c r="AH1775">
        <v>28.936039892765599</v>
      </c>
      <c r="AI1775">
        <v>92.177485329131997</v>
      </c>
      <c r="AJ1775">
        <v>97.218025771081201</v>
      </c>
      <c r="AK1775">
        <v>29.188259511062601</v>
      </c>
      <c r="AL1775">
        <v>91.465545728038194</v>
      </c>
      <c r="AM1775">
        <v>82.984869541028303</v>
      </c>
      <c r="AN1775">
        <v>1.00000003173194</v>
      </c>
    </row>
    <row r="1776" spans="1:40" x14ac:dyDescent="0.25">
      <c r="A1776" t="str">
        <f>"20190312161302135"</f>
        <v>20190312161302135</v>
      </c>
      <c r="B1776" t="str">
        <f>"1552378382127955"</f>
        <v>1552378382127955</v>
      </c>
      <c r="C1776" t="s">
        <v>40</v>
      </c>
      <c r="D1776">
        <v>5.2315589999999998</v>
      </c>
      <c r="E1776">
        <v>0.38853650000000001</v>
      </c>
      <c r="F1776" t="s">
        <v>69</v>
      </c>
      <c r="G1776">
        <v>-341.92250000000001</v>
      </c>
      <c r="H1776" s="1">
        <v>-5.1370180000000002E-7</v>
      </c>
      <c r="I1776">
        <v>281.95600000000002</v>
      </c>
      <c r="J1776">
        <v>-312.18079999999998</v>
      </c>
      <c r="K1776">
        <v>1.1090089999999999</v>
      </c>
      <c r="L1776">
        <v>285.1549</v>
      </c>
      <c r="M1776">
        <v>-0.99980210000000003</v>
      </c>
      <c r="N1776">
        <v>0</v>
      </c>
      <c r="O1776">
        <v>1.796124E-2</v>
      </c>
      <c r="P1776">
        <v>-0.98961160000000004</v>
      </c>
      <c r="Q1776">
        <v>-3.4168530000000003E-2</v>
      </c>
      <c r="R1776">
        <v>0.13964749999999901</v>
      </c>
      <c r="S1776">
        <v>-3.073944</v>
      </c>
      <c r="T1776">
        <v>-0.11363429999999999</v>
      </c>
      <c r="U1776">
        <v>-0.32730100000000001</v>
      </c>
      <c r="V1776">
        <v>0.1218489</v>
      </c>
      <c r="W1776">
        <v>-2.567931E-2</v>
      </c>
      <c r="X1776">
        <v>0.9922164</v>
      </c>
      <c r="Y1776">
        <v>-0.12362570000000001</v>
      </c>
      <c r="Z1776">
        <v>-2.9398530000000001E-3</v>
      </c>
      <c r="AA1776">
        <v>0.9923246</v>
      </c>
      <c r="AB1776">
        <v>39</v>
      </c>
      <c r="AC1776">
        <v>-29.741700000000002</v>
      </c>
      <c r="AD1776">
        <v>-1.1090095137017999</v>
      </c>
      <c r="AE1776">
        <v>-3.1989000000000298</v>
      </c>
      <c r="AF1776">
        <v>-3.72747787390476</v>
      </c>
      <c r="AG1776">
        <v>-1.1090095137017999</v>
      </c>
      <c r="AH1776">
        <v>29.6387052147684</v>
      </c>
      <c r="AI1776">
        <v>92.126138874325804</v>
      </c>
      <c r="AJ1776">
        <v>97.168104732651599</v>
      </c>
      <c r="AK1776">
        <v>29.892755647645998</v>
      </c>
      <c r="AL1776">
        <v>91.471477861211994</v>
      </c>
      <c r="AM1776">
        <v>82.998859690438394</v>
      </c>
      <c r="AN1776">
        <v>0.99999998291112202</v>
      </c>
    </row>
    <row r="1777" spans="1:40" x14ac:dyDescent="0.25">
      <c r="A1777" t="str">
        <f>"20190312161302154"</f>
        <v>20190312161302154</v>
      </c>
      <c r="B1777" t="str">
        <f>"1552378382147476"</f>
        <v>1552378382147476</v>
      </c>
      <c r="C1777" t="s">
        <v>40</v>
      </c>
      <c r="D1777">
        <v>5.2501620000000004</v>
      </c>
      <c r="E1777">
        <v>0.38444820000000002</v>
      </c>
      <c r="F1777" t="s">
        <v>42</v>
      </c>
      <c r="G1777">
        <v>-425.86149999999998</v>
      </c>
      <c r="H1777" s="1">
        <v>-4.8870339999999996E-6</v>
      </c>
      <c r="I1777">
        <v>268.29230000000001</v>
      </c>
      <c r="J1777">
        <v>-312.51130000000001</v>
      </c>
      <c r="K1777">
        <v>1.109008</v>
      </c>
      <c r="L1777">
        <v>285.16090000000003</v>
      </c>
      <c r="M1777">
        <v>-0.99980199999999997</v>
      </c>
      <c r="N1777">
        <v>0</v>
      </c>
      <c r="O1777">
        <v>1.7960540000000001E-2</v>
      </c>
      <c r="P1777">
        <v>-0.98962700000000003</v>
      </c>
      <c r="Q1777">
        <v>-3.4256969999999998E-2</v>
      </c>
      <c r="R1777">
        <v>0.13951710000000001</v>
      </c>
      <c r="S1777">
        <v>-3.0953059999999999</v>
      </c>
      <c r="T1777">
        <v>-3.0196310000000001E-2</v>
      </c>
      <c r="U1777">
        <v>-0.45913700000000002</v>
      </c>
      <c r="V1777">
        <v>0.1217188</v>
      </c>
      <c r="W1777">
        <v>-2.5757970000000002E-2</v>
      </c>
      <c r="X1777">
        <v>0.99223039999999996</v>
      </c>
      <c r="Y1777">
        <v>-0.16446250000000001</v>
      </c>
      <c r="Z1777">
        <v>-9.7213880000000005E-4</v>
      </c>
      <c r="AA1777">
        <v>0.9863828</v>
      </c>
      <c r="AB1777">
        <v>39</v>
      </c>
      <c r="AC1777">
        <v>-113.35019999999901</v>
      </c>
      <c r="AD1777">
        <v>-1.1090128870339999</v>
      </c>
      <c r="AE1777">
        <v>-16.868600000000001</v>
      </c>
      <c r="AF1777">
        <v>-18.9000143187119</v>
      </c>
      <c r="AG1777">
        <v>-1.1090128870339999</v>
      </c>
      <c r="AH1777">
        <v>113.01835024053</v>
      </c>
      <c r="AI1777">
        <v>90.554507445078201</v>
      </c>
      <c r="AJ1777">
        <v>99.493701724906302</v>
      </c>
      <c r="AK1777">
        <v>114.59314090259601</v>
      </c>
      <c r="AL1777">
        <v>91.475986135127499</v>
      </c>
      <c r="AM1777">
        <v>83.006358550851701</v>
      </c>
      <c r="AN1777">
        <v>1.0000000529880499</v>
      </c>
    </row>
    <row r="1778" spans="1:40" x14ac:dyDescent="0.25">
      <c r="A1778" t="str">
        <f>"20190312161302169"</f>
        <v>20190312161302169</v>
      </c>
      <c r="B1778" t="str">
        <f>"1552378382157744"</f>
        <v>1552378382157744</v>
      </c>
      <c r="C1778" t="s">
        <v>40</v>
      </c>
      <c r="D1778">
        <v>5.1985849999999996</v>
      </c>
      <c r="E1778">
        <v>0.38334509999999999</v>
      </c>
      <c r="F1778" t="s">
        <v>42</v>
      </c>
      <c r="G1778">
        <v>-428.88060000000002</v>
      </c>
      <c r="H1778" s="1">
        <v>-4.8786750000000003E-6</v>
      </c>
      <c r="I1778">
        <v>266.69400000000002</v>
      </c>
      <c r="J1778">
        <v>-312.77550000000002</v>
      </c>
      <c r="K1778">
        <v>1.109005</v>
      </c>
      <c r="L1778">
        <v>285.16559999999998</v>
      </c>
      <c r="M1778">
        <v>-0.99980190000000002</v>
      </c>
      <c r="N1778">
        <v>0</v>
      </c>
      <c r="O1778">
        <v>1.7960150000000001E-2</v>
      </c>
      <c r="P1778">
        <v>-0.98970499999999995</v>
      </c>
      <c r="Q1778">
        <v>-3.394664E-2</v>
      </c>
      <c r="R1778">
        <v>0.139038299999999</v>
      </c>
      <c r="S1778">
        <v>-3.0997919999999999</v>
      </c>
      <c r="T1778">
        <v>-2.9541370000000001E-2</v>
      </c>
      <c r="U1778">
        <v>-0.49191279999999998</v>
      </c>
      <c r="V1778">
        <v>0.12123920000000001</v>
      </c>
      <c r="W1778">
        <v>-2.5439320000000001E-2</v>
      </c>
      <c r="X1778">
        <v>0.99229730000000005</v>
      </c>
      <c r="Y1778">
        <v>-0.17443599999999901</v>
      </c>
      <c r="Z1778">
        <v>-9.9616460000000011E-4</v>
      </c>
      <c r="AA1778">
        <v>0.98466799999999999</v>
      </c>
      <c r="AB1778">
        <v>39</v>
      </c>
      <c r="AC1778">
        <v>-116.10509999999999</v>
      </c>
      <c r="AD1778">
        <v>-1.109009878675</v>
      </c>
      <c r="AE1778">
        <v>-18.471599999999899</v>
      </c>
      <c r="AF1778">
        <v>-20.5521333092302</v>
      </c>
      <c r="AG1778">
        <v>-1.109009878675</v>
      </c>
      <c r="AH1778">
        <v>115.744306950598</v>
      </c>
      <c r="AI1778">
        <v>90.540511249633497</v>
      </c>
      <c r="AJ1778">
        <v>100.06877759993399</v>
      </c>
      <c r="AK1778">
        <v>117.56004711612501</v>
      </c>
      <c r="AL1778">
        <v>91.457722903337995</v>
      </c>
      <c r="AM1778">
        <v>83.034108848617294</v>
      </c>
      <c r="AN1778">
        <v>1.0000000171029899</v>
      </c>
    </row>
    <row r="1779" spans="1:40" x14ac:dyDescent="0.25">
      <c r="A1779" t="str">
        <f>"20190312161302188"</f>
        <v>20190312161302188</v>
      </c>
      <c r="B1779" t="str">
        <f>"1552378382177265"</f>
        <v>1552378382177265</v>
      </c>
      <c r="C1779" t="s">
        <v>40</v>
      </c>
      <c r="D1779">
        <v>5.2137710000000004</v>
      </c>
      <c r="E1779">
        <v>0.38274770000000002</v>
      </c>
      <c r="F1779" t="s">
        <v>42</v>
      </c>
      <c r="G1779">
        <v>-429.95780000000002</v>
      </c>
      <c r="H1779">
        <v>4.904319E-2</v>
      </c>
      <c r="I1779">
        <v>266.19069999999999</v>
      </c>
      <c r="J1779">
        <v>-313.10820000000001</v>
      </c>
      <c r="K1779">
        <v>1.1090070000000001</v>
      </c>
      <c r="L1779">
        <v>285.17160000000001</v>
      </c>
      <c r="M1779">
        <v>-0.99980190000000002</v>
      </c>
      <c r="N1779">
        <v>0</v>
      </c>
      <c r="O1779">
        <v>1.7959630000000001E-2</v>
      </c>
      <c r="P1779">
        <v>-0.98969390000000002</v>
      </c>
      <c r="Q1779">
        <v>-3.4053600000000003E-2</v>
      </c>
      <c r="R1779">
        <v>0.13909150000000001</v>
      </c>
      <c r="S1779">
        <v>-3.1008300000000002</v>
      </c>
      <c r="T1779">
        <v>-2.8048279999999998E-2</v>
      </c>
      <c r="U1779">
        <v>-0.50210569999999999</v>
      </c>
      <c r="V1779">
        <v>0.1212931</v>
      </c>
      <c r="W1779">
        <v>-2.5536650000000001E-2</v>
      </c>
      <c r="X1779">
        <v>0.99228819999999995</v>
      </c>
      <c r="Y1779">
        <v>-0.17754</v>
      </c>
      <c r="Z1779">
        <v>-9.5920529999999997E-4</v>
      </c>
      <c r="AA1779">
        <v>0.98411309999999996</v>
      </c>
      <c r="AB1779">
        <v>39</v>
      </c>
      <c r="AC1779">
        <v>-116.8496</v>
      </c>
      <c r="AD1779">
        <v>-1.05996381</v>
      </c>
      <c r="AE1779">
        <v>-18.980899999999998</v>
      </c>
      <c r="AF1779">
        <v>-21.074801639890801</v>
      </c>
      <c r="AG1779">
        <v>-1.05996381</v>
      </c>
      <c r="AH1779">
        <v>116.480511436226</v>
      </c>
      <c r="AI1779">
        <v>90.513043532647004</v>
      </c>
      <c r="AJ1779">
        <v>100.255569922639</v>
      </c>
      <c r="AK1779">
        <v>118.376434867266</v>
      </c>
      <c r="AL1779">
        <v>91.4633013325722</v>
      </c>
      <c r="AM1779">
        <v>83.030979147694595</v>
      </c>
      <c r="AN1779">
        <v>1.0000000042300301</v>
      </c>
    </row>
    <row r="1780" spans="1:40" x14ac:dyDescent="0.25">
      <c r="A1780" t="str">
        <f>"20190312161302205"</f>
        <v>20190312161302205</v>
      </c>
      <c r="B1780" t="str">
        <f>"1552378382197760"</f>
        <v>1552378382197760</v>
      </c>
      <c r="C1780" t="s">
        <v>40</v>
      </c>
      <c r="D1780">
        <v>5.1459260000000002</v>
      </c>
      <c r="E1780">
        <v>0.38247740000000002</v>
      </c>
      <c r="F1780" t="s">
        <v>42</v>
      </c>
      <c r="G1780">
        <v>-430.20100000000002</v>
      </c>
      <c r="H1780">
        <v>7.9986409999999994E-2</v>
      </c>
      <c r="I1780">
        <v>266.04250000000002</v>
      </c>
      <c r="J1780">
        <v>-313.40019999999998</v>
      </c>
      <c r="K1780">
        <v>1.1090070000000001</v>
      </c>
      <c r="L1780">
        <v>285.17680000000001</v>
      </c>
      <c r="M1780">
        <v>-0.99980190000000002</v>
      </c>
      <c r="N1780">
        <v>0</v>
      </c>
      <c r="O1780">
        <v>1.795894E-2</v>
      </c>
      <c r="P1780">
        <v>-0.98973739999999999</v>
      </c>
      <c r="Q1780">
        <v>-3.4008620000000003E-2</v>
      </c>
      <c r="R1780">
        <v>0.138793</v>
      </c>
      <c r="S1780">
        <v>-3.1015320000000002</v>
      </c>
      <c r="T1780">
        <v>-2.7256490000000001E-2</v>
      </c>
      <c r="U1780">
        <v>-0.50668329999999995</v>
      </c>
      <c r="V1780">
        <v>0.1209943</v>
      </c>
      <c r="W1780">
        <v>-2.5482810000000002E-2</v>
      </c>
      <c r="X1780">
        <v>0.99232609999999999</v>
      </c>
      <c r="Y1780">
        <v>-0.17891949999999901</v>
      </c>
      <c r="Z1780">
        <v>-9.3782619999999996E-4</v>
      </c>
      <c r="AA1780">
        <v>0.9838633</v>
      </c>
      <c r="AB1780">
        <v>39</v>
      </c>
      <c r="AC1780">
        <v>-116.800799999999</v>
      </c>
      <c r="AD1780">
        <v>-1.02902059</v>
      </c>
      <c r="AE1780">
        <v>-19.1343</v>
      </c>
      <c r="AF1780">
        <v>-21.227305150310801</v>
      </c>
      <c r="AG1780">
        <v>-1.02902059</v>
      </c>
      <c r="AH1780">
        <v>116.429516474689</v>
      </c>
      <c r="AI1780">
        <v>90.498163625654598</v>
      </c>
      <c r="AJ1780">
        <v>100.332616808659</v>
      </c>
      <c r="AK1780">
        <v>118.353241078767</v>
      </c>
      <c r="AL1780">
        <v>91.460215469194395</v>
      </c>
      <c r="AM1780">
        <v>83.048241722986205</v>
      </c>
      <c r="AN1780">
        <v>1.00000004148959</v>
      </c>
    </row>
    <row r="1781" spans="1:40" x14ac:dyDescent="0.25">
      <c r="A1781" t="str">
        <f>"20190312161302221"</f>
        <v>20190312161302221</v>
      </c>
      <c r="B1781" t="str">
        <f>"1552378382217280"</f>
        <v>1552378382217280</v>
      </c>
      <c r="C1781" t="s">
        <v>40</v>
      </c>
      <c r="D1781">
        <v>5.1394279999999997</v>
      </c>
      <c r="E1781">
        <v>0.3822488</v>
      </c>
      <c r="F1781" t="s">
        <v>42</v>
      </c>
      <c r="G1781">
        <v>-433.8784</v>
      </c>
      <c r="H1781">
        <v>7.9986769999999999E-2</v>
      </c>
      <c r="I1781">
        <v>265.38780000000003</v>
      </c>
      <c r="J1781">
        <v>-313.68689999999998</v>
      </c>
      <c r="K1781">
        <v>1.1090040000000001</v>
      </c>
      <c r="L1781">
        <v>285.18200000000002</v>
      </c>
      <c r="M1781">
        <v>-0.99980159999999996</v>
      </c>
      <c r="N1781">
        <v>0</v>
      </c>
      <c r="O1781">
        <v>1.795855E-2</v>
      </c>
      <c r="P1781">
        <v>-0.98971609999999999</v>
      </c>
      <c r="Q1781">
        <v>-3.380909E-2</v>
      </c>
      <c r="R1781">
        <v>0.1389928</v>
      </c>
      <c r="S1781">
        <v>-3.1016539999999999</v>
      </c>
      <c r="T1781">
        <v>-2.649164E-2</v>
      </c>
      <c r="U1781">
        <v>-0.50946040000000004</v>
      </c>
      <c r="V1781">
        <v>0.121195</v>
      </c>
      <c r="W1781">
        <v>-2.527509E-2</v>
      </c>
      <c r="X1781">
        <v>0.99230689999999999</v>
      </c>
      <c r="Y1781">
        <v>-0.17977109999999999</v>
      </c>
      <c r="Z1781">
        <v>-9.1501940000000002E-4</v>
      </c>
      <c r="AA1781">
        <v>0.98370800000000003</v>
      </c>
      <c r="AB1781">
        <v>39</v>
      </c>
      <c r="AC1781">
        <v>-120.1915</v>
      </c>
      <c r="AD1781">
        <v>-1.02901723</v>
      </c>
      <c r="AE1781">
        <v>-19.794199999999901</v>
      </c>
      <c r="AF1781">
        <v>-21.947986514512898</v>
      </c>
      <c r="AG1781">
        <v>-1.02901723</v>
      </c>
      <c r="AH1781">
        <v>119.808077305342</v>
      </c>
      <c r="AI1781">
        <v>90.484039807343706</v>
      </c>
      <c r="AJ1781">
        <v>100.381071825105</v>
      </c>
      <c r="AK1781">
        <v>121.806191862745</v>
      </c>
      <c r="AL1781">
        <v>91.448310185366694</v>
      </c>
      <c r="AM1781">
        <v>83.036690161208</v>
      </c>
      <c r="AN1781">
        <v>1.00000002099355</v>
      </c>
    </row>
    <row r="1782" spans="1:40" x14ac:dyDescent="0.25">
      <c r="A1782" t="str">
        <f>"20190312161302243"</f>
        <v>20190312161302243</v>
      </c>
      <c r="B1782" t="str">
        <f>"1552378382237776"</f>
        <v>1552378382237776</v>
      </c>
      <c r="C1782" t="s">
        <v>40</v>
      </c>
      <c r="D1782">
        <v>5.1080360000000002</v>
      </c>
      <c r="E1782">
        <v>0.38213910000000001</v>
      </c>
      <c r="F1782" t="s">
        <v>41</v>
      </c>
      <c r="G1782">
        <v>-455.59969999999998</v>
      </c>
      <c r="H1782">
        <v>-0.05</v>
      </c>
      <c r="I1782">
        <v>261.8175</v>
      </c>
      <c r="J1782">
        <v>-314.07740000000001</v>
      </c>
      <c r="K1782">
        <v>1.109005</v>
      </c>
      <c r="L1782">
        <v>285.18900000000002</v>
      </c>
      <c r="M1782">
        <v>-0.99980170000000002</v>
      </c>
      <c r="N1782">
        <v>0</v>
      </c>
      <c r="O1782">
        <v>1.795766E-2</v>
      </c>
      <c r="P1782">
        <v>-0.98973370000000005</v>
      </c>
      <c r="Q1782">
        <v>-3.3674080000000002E-2</v>
      </c>
      <c r="R1782">
        <v>0.13889989999999999</v>
      </c>
      <c r="S1782">
        <v>-3.1019899999999998</v>
      </c>
      <c r="T1782">
        <v>-2.5333999999999999E-2</v>
      </c>
      <c r="U1782">
        <v>-0.51071169999999999</v>
      </c>
      <c r="V1782">
        <v>0.1211026</v>
      </c>
      <c r="W1782">
        <v>-2.5128549999999999E-2</v>
      </c>
      <c r="X1782">
        <v>0.99232189999999998</v>
      </c>
      <c r="Y1782">
        <v>-0.1801402</v>
      </c>
      <c r="Z1782">
        <v>-8.7640399999999903E-4</v>
      </c>
      <c r="AA1782">
        <v>0.98364059999999998</v>
      </c>
      <c r="AB1782">
        <v>39</v>
      </c>
      <c r="AC1782">
        <v>-141.52229999999901</v>
      </c>
      <c r="AD1782">
        <v>-1.1590049999999901</v>
      </c>
      <c r="AE1782">
        <v>-23.371500000000001</v>
      </c>
      <c r="AF1782">
        <v>-25.907543054685899</v>
      </c>
      <c r="AG1782">
        <v>-1.1590049999999901</v>
      </c>
      <c r="AH1782">
        <v>141.07055433473801</v>
      </c>
      <c r="AI1782">
        <v>90.462976720342397</v>
      </c>
      <c r="AJ1782">
        <v>100.40638525105599</v>
      </c>
      <c r="AK1782">
        <v>143.43446371088999</v>
      </c>
      <c r="AL1782">
        <v>91.439911398024506</v>
      </c>
      <c r="AM1782">
        <v>83.042051127137896</v>
      </c>
      <c r="AN1782">
        <v>1.0000000184857301</v>
      </c>
    </row>
    <row r="1783" spans="1:40" x14ac:dyDescent="0.25">
      <c r="A1783" t="str">
        <f>"20190312161302267"</f>
        <v>20190312161302267</v>
      </c>
      <c r="B1783" t="str">
        <f>"1552378382257803"</f>
        <v>1552378382257803</v>
      </c>
      <c r="C1783" t="s">
        <v>40</v>
      </c>
      <c r="D1783">
        <v>5.134601</v>
      </c>
      <c r="E1783">
        <v>0.38195469999999998</v>
      </c>
      <c r="F1783" t="s">
        <v>41</v>
      </c>
      <c r="G1783">
        <v>-454.27069999999998</v>
      </c>
      <c r="H1783">
        <v>-0.05</v>
      </c>
      <c r="I1783">
        <v>262.04750000000001</v>
      </c>
      <c r="J1783">
        <v>-314.49149999999997</v>
      </c>
      <c r="K1783">
        <v>1.1089979999999999</v>
      </c>
      <c r="L1783">
        <v>285.19639999999998</v>
      </c>
      <c r="M1783">
        <v>-0.99980159999999996</v>
      </c>
      <c r="N1783">
        <v>0</v>
      </c>
      <c r="O1783">
        <v>1.795677E-2</v>
      </c>
      <c r="P1783">
        <v>-0.98976739999999996</v>
      </c>
      <c r="Q1783">
        <v>-3.3338479999999997E-2</v>
      </c>
      <c r="R1783">
        <v>0.13874139999999999</v>
      </c>
      <c r="S1783">
        <v>-3.1020810000000001</v>
      </c>
      <c r="T1783">
        <v>-2.564549E-2</v>
      </c>
      <c r="U1783">
        <v>-0.51205440000000002</v>
      </c>
      <c r="V1783">
        <v>0.12094439999999999</v>
      </c>
      <c r="W1783">
        <v>-2.47806E-2</v>
      </c>
      <c r="X1783">
        <v>0.99234990000000001</v>
      </c>
      <c r="Y1783">
        <v>-0.18054890000000001</v>
      </c>
      <c r="Z1783">
        <v>-8.8879360000000001E-4</v>
      </c>
      <c r="AA1783">
        <v>0.98356560000000004</v>
      </c>
      <c r="AB1783">
        <v>39</v>
      </c>
      <c r="AC1783">
        <v>-139.7792</v>
      </c>
      <c r="AD1783">
        <v>-1.158998</v>
      </c>
      <c r="AE1783">
        <v>-23.148899999999902</v>
      </c>
      <c r="AF1783">
        <v>-25.653526877449099</v>
      </c>
      <c r="AG1783">
        <v>-1.158998</v>
      </c>
      <c r="AH1783">
        <v>139.331642491953</v>
      </c>
      <c r="AI1783">
        <v>90.468712665594396</v>
      </c>
      <c r="AJ1783">
        <v>100.432373155376</v>
      </c>
      <c r="AK1783">
        <v>141.67834455950401</v>
      </c>
      <c r="AL1783">
        <v>91.419969183228901</v>
      </c>
      <c r="AM1783">
        <v>83.051245732523896</v>
      </c>
      <c r="AN1783">
        <v>0.99999997502886395</v>
      </c>
    </row>
    <row r="1784" spans="1:40" x14ac:dyDescent="0.25">
      <c r="A1784" t="str">
        <f>"20190312161302288"</f>
        <v>20190312161302288</v>
      </c>
      <c r="B1784" t="str">
        <f>"1552378382277323"</f>
        <v>1552378382277323</v>
      </c>
      <c r="C1784" t="s">
        <v>40</v>
      </c>
      <c r="D1784">
        <v>5.1436809999999999</v>
      </c>
      <c r="E1784">
        <v>0.38176510000000002</v>
      </c>
      <c r="F1784" t="s">
        <v>41</v>
      </c>
      <c r="G1784">
        <v>-457.90480000000002</v>
      </c>
      <c r="H1784">
        <v>-0.05</v>
      </c>
      <c r="I1784">
        <v>261.42869999999999</v>
      </c>
      <c r="J1784">
        <v>-314.8698</v>
      </c>
      <c r="K1784">
        <v>1.1089979999999999</v>
      </c>
      <c r="L1784">
        <v>285.20319999999998</v>
      </c>
      <c r="M1784">
        <v>-0.99980150000000001</v>
      </c>
      <c r="N1784">
        <v>0</v>
      </c>
      <c r="O1784">
        <v>1.795625E-2</v>
      </c>
      <c r="P1784">
        <v>-0.98974430000000002</v>
      </c>
      <c r="Q1784">
        <v>-3.3254720000000002E-2</v>
      </c>
      <c r="R1784">
        <v>0.13892599999999999</v>
      </c>
      <c r="S1784">
        <v>-3.1022340000000002</v>
      </c>
      <c r="T1784">
        <v>-2.5070789999999999E-2</v>
      </c>
      <c r="U1784">
        <v>-0.51412959999999996</v>
      </c>
      <c r="V1784">
        <v>0.12113</v>
      </c>
      <c r="W1784">
        <v>-2.4686E-2</v>
      </c>
      <c r="X1784">
        <v>0.99232969999999998</v>
      </c>
      <c r="Y1784">
        <v>-0.18118129999999999</v>
      </c>
      <c r="Z1784">
        <v>-8.7132159999999998E-4</v>
      </c>
      <c r="AA1784">
        <v>0.98344929999999997</v>
      </c>
      <c r="AB1784">
        <v>39</v>
      </c>
      <c r="AC1784">
        <v>-143.035</v>
      </c>
      <c r="AD1784">
        <v>-1.158998</v>
      </c>
      <c r="AE1784">
        <v>-23.7744999999999</v>
      </c>
      <c r="AF1784">
        <v>-26.337451828011499</v>
      </c>
      <c r="AG1784">
        <v>-1.158998</v>
      </c>
      <c r="AH1784">
        <v>142.57591104804499</v>
      </c>
      <c r="AI1784">
        <v>90.457998106815396</v>
      </c>
      <c r="AJ1784">
        <v>100.46602780501399</v>
      </c>
      <c r="AK1784">
        <v>144.99274139189501</v>
      </c>
      <c r="AL1784">
        <v>91.414547231291095</v>
      </c>
      <c r="AM1784">
        <v>83.040546464856206</v>
      </c>
      <c r="AN1784">
        <v>1.0000000544990399</v>
      </c>
    </row>
    <row r="1785" spans="1:40" x14ac:dyDescent="0.25">
      <c r="A1785" t="str">
        <f>"20190312161302302"</f>
        <v>20190312161302302</v>
      </c>
      <c r="B1785" t="str">
        <f>"1552378382297820"</f>
        <v>1552378382297820</v>
      </c>
      <c r="C1785" t="s">
        <v>40</v>
      </c>
      <c r="D1785">
        <v>5.1174689999999998</v>
      </c>
      <c r="E1785">
        <v>0.3815964</v>
      </c>
      <c r="F1785" t="s">
        <v>41</v>
      </c>
      <c r="G1785">
        <v>-468.03359999999998</v>
      </c>
      <c r="H1785">
        <v>-0.05</v>
      </c>
      <c r="I1785">
        <v>259.7885</v>
      </c>
      <c r="J1785">
        <v>-315.11529999999999</v>
      </c>
      <c r="K1785">
        <v>1.1089960000000001</v>
      </c>
      <c r="L1785">
        <v>285.20760000000001</v>
      </c>
      <c r="M1785">
        <v>-0.99980139999999995</v>
      </c>
      <c r="N1785">
        <v>0</v>
      </c>
      <c r="O1785">
        <v>1.7955680000000002E-2</v>
      </c>
      <c r="P1785">
        <v>-0.98977150000000003</v>
      </c>
      <c r="Q1785">
        <v>-3.2848670000000003E-2</v>
      </c>
      <c r="R1785">
        <v>0.13882920000000001</v>
      </c>
      <c r="S1785">
        <v>-3.1024780000000001</v>
      </c>
      <c r="T1785">
        <v>-2.34766E-2</v>
      </c>
      <c r="U1785">
        <v>-0.51480099999999995</v>
      </c>
      <c r="V1785">
        <v>0.1210334</v>
      </c>
      <c r="W1785">
        <v>-2.4272599999999998E-2</v>
      </c>
      <c r="X1785">
        <v>0.99235169999999995</v>
      </c>
      <c r="Y1785">
        <v>-0.18137619999999999</v>
      </c>
      <c r="Z1785">
        <v>-8.1656839999999997E-4</v>
      </c>
      <c r="AA1785">
        <v>0.98341350000000005</v>
      </c>
      <c r="AB1785">
        <v>39</v>
      </c>
      <c r="AC1785">
        <v>-152.91829999999999</v>
      </c>
      <c r="AD1785">
        <v>-1.1589959999999999</v>
      </c>
      <c r="AE1785">
        <v>-25.4191</v>
      </c>
      <c r="AF1785">
        <v>-28.159282328565801</v>
      </c>
      <c r="AG1785">
        <v>-1.1589959999999999</v>
      </c>
      <c r="AH1785">
        <v>152.42869027919801</v>
      </c>
      <c r="AI1785">
        <v>90.428393258841595</v>
      </c>
      <c r="AJ1785">
        <v>100.46667036624299</v>
      </c>
      <c r="AK1785">
        <v>155.01223846270801</v>
      </c>
      <c r="AL1785">
        <v>91.390854035966797</v>
      </c>
      <c r="AM1785">
        <v>83.046194853291496</v>
      </c>
      <c r="AN1785">
        <v>1.0000000697596001</v>
      </c>
    </row>
    <row r="1786" spans="1:40" x14ac:dyDescent="0.25">
      <c r="A1786" t="str">
        <f>"20190312161302316"</f>
        <v>20190312161302316</v>
      </c>
      <c r="B1786" t="str">
        <f>"1552378382307579"</f>
        <v>1552378382307579</v>
      </c>
      <c r="C1786" t="s">
        <v>40</v>
      </c>
      <c r="D1786">
        <v>5.1148889999999998</v>
      </c>
      <c r="E1786">
        <v>0.3814709</v>
      </c>
      <c r="F1786" t="s">
        <v>71</v>
      </c>
      <c r="G1786">
        <v>-440.6841</v>
      </c>
      <c r="H1786">
        <v>0.17496919999999999</v>
      </c>
      <c r="I1786">
        <v>264.30399999999997</v>
      </c>
      <c r="J1786">
        <v>-315.36619999999999</v>
      </c>
      <c r="K1786">
        <v>1.108994</v>
      </c>
      <c r="L1786">
        <v>285.2122</v>
      </c>
      <c r="M1786">
        <v>-0.99980150000000001</v>
      </c>
      <c r="N1786">
        <v>0</v>
      </c>
      <c r="O1786">
        <v>1.7955349999999998E-2</v>
      </c>
      <c r="P1786">
        <v>-0.98974629999999997</v>
      </c>
      <c r="Q1786">
        <v>-3.2733869999999998E-2</v>
      </c>
      <c r="R1786">
        <v>0.13903650000000001</v>
      </c>
      <c r="S1786">
        <v>-3.1026919999999998</v>
      </c>
      <c r="T1786">
        <v>-2.3078680000000001E-2</v>
      </c>
      <c r="U1786">
        <v>-0.51651000000000002</v>
      </c>
      <c r="V1786">
        <v>0.1212414</v>
      </c>
      <c r="W1786">
        <v>-2.4150709999999999E-2</v>
      </c>
      <c r="X1786">
        <v>0.99232920000000002</v>
      </c>
      <c r="Y1786">
        <v>-0.1818922</v>
      </c>
      <c r="Z1786">
        <v>-8.0454119999999896E-4</v>
      </c>
      <c r="AA1786">
        <v>0.98331820000000003</v>
      </c>
      <c r="AB1786">
        <v>39</v>
      </c>
      <c r="AC1786">
        <v>-125.31789999999999</v>
      </c>
      <c r="AD1786">
        <v>-0.93402479999999999</v>
      </c>
      <c r="AE1786">
        <v>-20.908199999999901</v>
      </c>
      <c r="AF1786">
        <v>-23.153788404657998</v>
      </c>
      <c r="AG1786">
        <v>-0.93402479999999999</v>
      </c>
      <c r="AH1786">
        <v>124.915516678068</v>
      </c>
      <c r="AI1786">
        <v>90.421232297138403</v>
      </c>
      <c r="AJ1786">
        <v>100.500916083863</v>
      </c>
      <c r="AK1786">
        <v>127.046671057385</v>
      </c>
      <c r="AL1786">
        <v>91.383868319854201</v>
      </c>
      <c r="AM1786">
        <v>83.034205421418804</v>
      </c>
      <c r="AN1786">
        <v>0.99999998752005104</v>
      </c>
    </row>
    <row r="1787" spans="1:40" x14ac:dyDescent="0.25">
      <c r="A1787" t="str">
        <f>"20190312161302331"</f>
        <v>20190312161302331</v>
      </c>
      <c r="B1787" t="str">
        <f>"1552378382327099"</f>
        <v>1552378382327099</v>
      </c>
      <c r="C1787" t="s">
        <v>40</v>
      </c>
      <c r="D1787">
        <v>5.0982279999999998</v>
      </c>
      <c r="E1787">
        <v>0.38116539999999999</v>
      </c>
      <c r="F1787" t="s">
        <v>71</v>
      </c>
      <c r="G1787">
        <v>-440.6841</v>
      </c>
      <c r="H1787">
        <v>0.18511530000000001</v>
      </c>
      <c r="I1787">
        <v>264.3458</v>
      </c>
      <c r="J1787">
        <v>-315.6454</v>
      </c>
      <c r="K1787">
        <v>1.1090009999999999</v>
      </c>
      <c r="L1787">
        <v>285.21719999999999</v>
      </c>
      <c r="M1787">
        <v>-0.9998013</v>
      </c>
      <c r="N1787">
        <v>0</v>
      </c>
      <c r="O1787">
        <v>1.7954950000000001E-2</v>
      </c>
      <c r="P1787">
        <v>-0.98972850000000001</v>
      </c>
      <c r="Q1787">
        <v>-3.2633410000000002E-2</v>
      </c>
      <c r="R1787">
        <v>0.1391859</v>
      </c>
      <c r="S1787">
        <v>-3.1029360000000001</v>
      </c>
      <c r="T1787">
        <v>-2.2875429999999999E-2</v>
      </c>
      <c r="U1787">
        <v>-0.51666259999999997</v>
      </c>
      <c r="V1787">
        <v>0.1213914</v>
      </c>
      <c r="W1787">
        <v>-2.4042270000000001E-2</v>
      </c>
      <c r="X1787">
        <v>0.99231349999999996</v>
      </c>
      <c r="Y1787">
        <v>-0.18192639999999999</v>
      </c>
      <c r="Z1787">
        <v>-7.9751330000000001E-4</v>
      </c>
      <c r="AA1787">
        <v>0.98331179999999996</v>
      </c>
      <c r="AB1787">
        <v>40</v>
      </c>
      <c r="AC1787">
        <v>-125.03870000000001</v>
      </c>
      <c r="AD1787">
        <v>-0.92388570000000003</v>
      </c>
      <c r="AE1787">
        <v>-20.871399999999898</v>
      </c>
      <c r="AF1787">
        <v>-23.111955413289198</v>
      </c>
      <c r="AG1787">
        <v>-0.92388570000000003</v>
      </c>
      <c r="AH1787">
        <v>124.637162832965</v>
      </c>
      <c r="AI1787">
        <v>90.417584502522899</v>
      </c>
      <c r="AJ1787">
        <v>100.505254317039</v>
      </c>
      <c r="AK1787">
        <v>126.76528865136299</v>
      </c>
      <c r="AL1787">
        <v>91.377653353973898</v>
      </c>
      <c r="AM1787">
        <v>83.025562899787801</v>
      </c>
      <c r="AN1787">
        <v>0.99999999251148097</v>
      </c>
    </row>
    <row r="1788" spans="1:40" x14ac:dyDescent="0.25">
      <c r="A1788" t="str">
        <f>"20190312161302343"</f>
        <v>20190312161302343</v>
      </c>
      <c r="B1788" t="str">
        <f>"1552378382337836"</f>
        <v>1552378382337836</v>
      </c>
      <c r="C1788" t="s">
        <v>40</v>
      </c>
      <c r="D1788">
        <v>5.0859990000000002</v>
      </c>
      <c r="E1788">
        <v>0.38097720000000002</v>
      </c>
      <c r="F1788" t="s">
        <v>71</v>
      </c>
      <c r="G1788">
        <v>-440.6841</v>
      </c>
      <c r="H1788">
        <v>0.22628499999999999</v>
      </c>
      <c r="I1788">
        <v>264.31529999999998</v>
      </c>
      <c r="J1788">
        <v>-315.851</v>
      </c>
      <c r="K1788">
        <v>1.109</v>
      </c>
      <c r="L1788">
        <v>285.22089999999997</v>
      </c>
      <c r="M1788">
        <v>-0.9998013</v>
      </c>
      <c r="N1788">
        <v>0</v>
      </c>
      <c r="O1788">
        <v>1.7954629999999999E-2</v>
      </c>
      <c r="P1788">
        <v>-0.98971739999999997</v>
      </c>
      <c r="Q1788">
        <v>-3.2702090000000003E-2</v>
      </c>
      <c r="R1788">
        <v>0.13924919999999999</v>
      </c>
      <c r="S1788">
        <v>-3.1033629999999999</v>
      </c>
      <c r="T1788">
        <v>-2.190804E-2</v>
      </c>
      <c r="U1788">
        <v>-0.51876829999999996</v>
      </c>
      <c r="V1788">
        <v>0.1214552</v>
      </c>
      <c r="W1788">
        <v>-2.4105089999999999E-2</v>
      </c>
      <c r="X1788">
        <v>0.99230410000000002</v>
      </c>
      <c r="Y1788">
        <v>-0.18255370000000001</v>
      </c>
      <c r="Z1788">
        <v>-7.6583879999999997E-4</v>
      </c>
      <c r="AA1788">
        <v>0.98319559999999995</v>
      </c>
      <c r="AB1788">
        <v>40</v>
      </c>
      <c r="AC1788">
        <v>-124.8331</v>
      </c>
      <c r="AD1788">
        <v>-0.88271499999999903</v>
      </c>
      <c r="AE1788">
        <v>-20.9056</v>
      </c>
      <c r="AF1788">
        <v>-23.1425203986376</v>
      </c>
      <c r="AG1788">
        <v>-0.88271499999999903</v>
      </c>
      <c r="AH1788">
        <v>124.431557326552</v>
      </c>
      <c r="AI1788">
        <v>90.399596118508398</v>
      </c>
      <c r="AJ1788">
        <v>100.535829408466</v>
      </c>
      <c r="AK1788">
        <v>126.568431667947</v>
      </c>
      <c r="AL1788">
        <v>91.381253813058194</v>
      </c>
      <c r="AM1788">
        <v>83.021868006149404</v>
      </c>
      <c r="AN1788">
        <v>0.99999992392387604</v>
      </c>
    </row>
    <row r="1789" spans="1:40" x14ac:dyDescent="0.25">
      <c r="A1789" t="str">
        <f>"20190312161302356"</f>
        <v>20190312161302356</v>
      </c>
      <c r="B1789" t="str">
        <f>"1552378382347596"</f>
        <v>1552378382347596</v>
      </c>
      <c r="C1789" t="s">
        <v>40</v>
      </c>
      <c r="D1789">
        <v>5.0856620000000001</v>
      </c>
      <c r="E1789">
        <v>0.38079659999999999</v>
      </c>
      <c r="F1789" t="s">
        <v>71</v>
      </c>
      <c r="G1789">
        <v>-440.6841</v>
      </c>
      <c r="H1789">
        <v>0.24352689999999999</v>
      </c>
      <c r="I1789">
        <v>264.30840000000001</v>
      </c>
      <c r="J1789">
        <v>-316.0822</v>
      </c>
      <c r="K1789">
        <v>1.1089960000000001</v>
      </c>
      <c r="L1789">
        <v>285.22500000000002</v>
      </c>
      <c r="M1789">
        <v>-0.99980119999999895</v>
      </c>
      <c r="N1789">
        <v>0</v>
      </c>
      <c r="O1789">
        <v>1.795424E-2</v>
      </c>
      <c r="P1789">
        <v>-0.98966469999999995</v>
      </c>
      <c r="Q1789">
        <v>-3.2782190000000003E-2</v>
      </c>
      <c r="R1789">
        <v>0.13960420000000001</v>
      </c>
      <c r="S1789">
        <v>-3.1036069999999998</v>
      </c>
      <c r="T1789">
        <v>-2.151716E-2</v>
      </c>
      <c r="U1789">
        <v>-0.51992799999999995</v>
      </c>
      <c r="V1789">
        <v>0.1218114</v>
      </c>
      <c r="W1789">
        <v>-2.4178890000000001E-2</v>
      </c>
      <c r="X1789">
        <v>0.99225870000000005</v>
      </c>
      <c r="Y1789">
        <v>-0.18289830000000001</v>
      </c>
      <c r="Z1789">
        <v>-7.53277E-4</v>
      </c>
      <c r="AA1789">
        <v>0.98313159999999999</v>
      </c>
      <c r="AB1789">
        <v>40</v>
      </c>
      <c r="AC1789">
        <v>-124.6019</v>
      </c>
      <c r="AD1789">
        <v>-0.86546909999999899</v>
      </c>
      <c r="AE1789">
        <v>-20.916599999999999</v>
      </c>
      <c r="AF1789">
        <v>-23.149358501451299</v>
      </c>
      <c r="AG1789">
        <v>-0.86546909999999899</v>
      </c>
      <c r="AH1789">
        <v>124.20043024100001</v>
      </c>
      <c r="AI1789">
        <v>90.392490052907604</v>
      </c>
      <c r="AJ1789">
        <v>100.558044211526</v>
      </c>
      <c r="AK1789">
        <v>126.34234724684001</v>
      </c>
      <c r="AL1789">
        <v>91.385483394473596</v>
      </c>
      <c r="AM1789">
        <v>83.001288383574305</v>
      </c>
      <c r="AN1789">
        <v>0.99999998180864103</v>
      </c>
    </row>
    <row r="1790" spans="1:40" x14ac:dyDescent="0.25">
      <c r="A1790" t="str">
        <f>"20190312161302370"</f>
        <v>20190312161302370</v>
      </c>
      <c r="B1790" t="str">
        <f>"1552378382357863"</f>
        <v>1552378382357863</v>
      </c>
      <c r="C1790" t="s">
        <v>40</v>
      </c>
      <c r="D1790">
        <v>5.2572409999999996</v>
      </c>
      <c r="E1790">
        <v>0.38079659999999999</v>
      </c>
      <c r="F1790" t="s">
        <v>71</v>
      </c>
      <c r="G1790">
        <v>-440.6841</v>
      </c>
      <c r="H1790">
        <v>0.22565460000000001</v>
      </c>
      <c r="I1790">
        <v>264.3415</v>
      </c>
      <c r="J1790">
        <v>-316.31200000000001</v>
      </c>
      <c r="K1790">
        <v>1.108994</v>
      </c>
      <c r="L1790">
        <v>285.22919999999999</v>
      </c>
      <c r="M1790">
        <v>-0.99980119999999895</v>
      </c>
      <c r="N1790">
        <v>0</v>
      </c>
      <c r="O1790">
        <v>1.7953859999999999E-2</v>
      </c>
      <c r="P1790">
        <v>-0.98966290000000001</v>
      </c>
      <c r="Q1790">
        <v>-3.2690610000000002E-2</v>
      </c>
      <c r="R1790">
        <v>0.1396386</v>
      </c>
      <c r="S1790">
        <v>-3.1039729999999999</v>
      </c>
      <c r="T1790">
        <v>-2.2004719999999998E-2</v>
      </c>
      <c r="U1790">
        <v>-0.52023319999999995</v>
      </c>
      <c r="V1790">
        <v>0.12184639999999999</v>
      </c>
      <c r="W1790">
        <v>-2.4080669999999998E-2</v>
      </c>
      <c r="X1790">
        <v>0.99225680000000005</v>
      </c>
      <c r="Y1790">
        <v>-0.18297279999999999</v>
      </c>
      <c r="Z1790">
        <v>-7.7050920000000002E-4</v>
      </c>
      <c r="AA1790">
        <v>0.98311769999999998</v>
      </c>
      <c r="AB1790">
        <v>40</v>
      </c>
      <c r="AC1790">
        <v>-124.3721</v>
      </c>
      <c r="AD1790">
        <v>-0.8833394</v>
      </c>
      <c r="AE1790">
        <v>-20.887699999999899</v>
      </c>
      <c r="AF1790">
        <v>-23.116242162922401</v>
      </c>
      <c r="AG1790">
        <v>-0.8833394</v>
      </c>
      <c r="AH1790">
        <v>123.970940771657</v>
      </c>
      <c r="AI1790">
        <v>90.401329873593596</v>
      </c>
      <c r="AJ1790">
        <v>100.562357731479</v>
      </c>
      <c r="AK1790">
        <v>126.110804834638</v>
      </c>
      <c r="AL1790">
        <v>91.379854151867406</v>
      </c>
      <c r="AM1790">
        <v>82.999284127663302</v>
      </c>
      <c r="AN1790">
        <v>0.99999999050342403</v>
      </c>
    </row>
    <row r="1791" spans="1:40" x14ac:dyDescent="0.25">
      <c r="A1791" t="str">
        <f>"20190312161302382"</f>
        <v>20190312161302382</v>
      </c>
      <c r="B1791" t="str">
        <f>"1552378382377383"</f>
        <v>1552378382377383</v>
      </c>
      <c r="C1791" t="s">
        <v>40</v>
      </c>
      <c r="D1791">
        <v>5.0591089999999896</v>
      </c>
      <c r="E1791">
        <v>0.40484619999999999</v>
      </c>
      <c r="F1791" t="s">
        <v>71</v>
      </c>
      <c r="G1791">
        <v>-440.6841</v>
      </c>
      <c r="H1791">
        <v>0.24319080000000001</v>
      </c>
      <c r="I1791">
        <v>264.39190000000002</v>
      </c>
      <c r="J1791">
        <v>-316.54759999999999</v>
      </c>
      <c r="K1791">
        <v>1.108994</v>
      </c>
      <c r="L1791">
        <v>285.23340000000002</v>
      </c>
      <c r="M1791">
        <v>-0.9998011</v>
      </c>
      <c r="N1791">
        <v>0</v>
      </c>
      <c r="O1791">
        <v>1.7953529999999999E-2</v>
      </c>
      <c r="P1791">
        <v>-0.98962459999999997</v>
      </c>
      <c r="Q1791">
        <v>-3.2675009999999997E-2</v>
      </c>
      <c r="R1791">
        <v>0.1399125</v>
      </c>
      <c r="S1791">
        <v>-3.104034</v>
      </c>
      <c r="T1791">
        <v>-2.160811E-2</v>
      </c>
      <c r="U1791">
        <v>-0.52005000000000001</v>
      </c>
      <c r="V1791">
        <v>0.1221211</v>
      </c>
      <c r="W1791">
        <v>-2.405854E-2</v>
      </c>
      <c r="X1791">
        <v>0.99222359999999998</v>
      </c>
      <c r="Y1791">
        <v>-0.18291299999999999</v>
      </c>
      <c r="Z1791">
        <v>-7.5640220000000005E-4</v>
      </c>
      <c r="AA1791">
        <v>0.98312880000000002</v>
      </c>
      <c r="AB1791">
        <v>40</v>
      </c>
      <c r="AC1791">
        <v>-124.1365</v>
      </c>
      <c r="AD1791">
        <v>-0.865803199999999</v>
      </c>
      <c r="AE1791">
        <v>-20.8415</v>
      </c>
      <c r="AF1791">
        <v>-23.065821722035601</v>
      </c>
      <c r="AG1791">
        <v>-0.865803199999999</v>
      </c>
      <c r="AH1791">
        <v>123.736443697136</v>
      </c>
      <c r="AI1791">
        <v>90.394112152939698</v>
      </c>
      <c r="AJ1791">
        <v>100.559361795006</v>
      </c>
      <c r="AK1791">
        <v>125.870922955655</v>
      </c>
      <c r="AL1791">
        <v>91.378585782057996</v>
      </c>
      <c r="AM1791">
        <v>82.983425882400894</v>
      </c>
      <c r="AN1791">
        <v>1.0000000244045499</v>
      </c>
    </row>
    <row r="1792" spans="1:40" x14ac:dyDescent="0.25">
      <c r="A1792" t="str">
        <f>"20190312161302399"</f>
        <v>20190312161302399</v>
      </c>
      <c r="B1792" t="str">
        <f>"1552378382387143"</f>
        <v>1552378382387143</v>
      </c>
      <c r="C1792" t="s">
        <v>40</v>
      </c>
      <c r="D1792">
        <v>5.0587150000000003</v>
      </c>
      <c r="E1792">
        <v>0.4084914</v>
      </c>
      <c r="F1792" t="s">
        <v>74</v>
      </c>
      <c r="G1792">
        <v>-405.00450000000001</v>
      </c>
      <c r="H1792">
        <v>8.0001180000000005E-2</v>
      </c>
      <c r="I1792">
        <v>275.75369999999998</v>
      </c>
      <c r="J1792">
        <v>-316.84930000000003</v>
      </c>
      <c r="K1792">
        <v>1.109</v>
      </c>
      <c r="L1792">
        <v>285.23880000000003</v>
      </c>
      <c r="M1792">
        <v>-0.9998011</v>
      </c>
      <c r="N1792">
        <v>0</v>
      </c>
      <c r="O1792">
        <v>1.7952949999999999E-2</v>
      </c>
      <c r="P1792">
        <v>-0.98960539999999997</v>
      </c>
      <c r="Q1792">
        <v>-3.2896359999999999E-2</v>
      </c>
      <c r="R1792">
        <v>0.13999719999999999</v>
      </c>
      <c r="S1792">
        <v>-3.0769039999999999</v>
      </c>
      <c r="T1792">
        <v>-3.5792709999999998E-2</v>
      </c>
      <c r="U1792">
        <v>-0.32974239999999999</v>
      </c>
      <c r="V1792">
        <v>0.1222068</v>
      </c>
      <c r="W1792">
        <v>-2.4271299999999999E-2</v>
      </c>
      <c r="X1792">
        <v>0.99220779999999997</v>
      </c>
      <c r="Y1792">
        <v>-0.12438150000000001</v>
      </c>
      <c r="Z1792">
        <v>-9.2964480000000003E-4</v>
      </c>
      <c r="AA1792">
        <v>0.99223410000000001</v>
      </c>
      <c r="AB1792">
        <v>40</v>
      </c>
      <c r="AC1792">
        <v>-88.155199999999894</v>
      </c>
      <c r="AD1792">
        <v>-1.02899882</v>
      </c>
      <c r="AE1792">
        <v>-9.4851000000000401</v>
      </c>
      <c r="AF1792">
        <v>-11.0647864908405</v>
      </c>
      <c r="AG1792">
        <v>-1.02899882</v>
      </c>
      <c r="AH1792">
        <v>87.9588520820204</v>
      </c>
      <c r="AI1792">
        <v>90.665011469679499</v>
      </c>
      <c r="AJ1792">
        <v>97.169863052082604</v>
      </c>
      <c r="AK1792">
        <v>88.658039670670505</v>
      </c>
      <c r="AL1792">
        <v>91.390779684728003</v>
      </c>
      <c r="AM1792">
        <v>82.978440353762394</v>
      </c>
      <c r="AN1792">
        <v>0.99999995817538401</v>
      </c>
    </row>
    <row r="1793" spans="1:40" x14ac:dyDescent="0.25">
      <c r="A1793" t="str">
        <f>"20190312161302425"</f>
        <v>20190312161302425</v>
      </c>
      <c r="B1793" t="str">
        <f>"1552378382417399"</f>
        <v>1552378382417399</v>
      </c>
      <c r="C1793" t="s">
        <v>40</v>
      </c>
      <c r="D1793">
        <v>5.0583879999999999</v>
      </c>
      <c r="E1793">
        <v>0.41380800000000001</v>
      </c>
      <c r="F1793" t="s">
        <v>69</v>
      </c>
      <c r="G1793">
        <v>-391.2747</v>
      </c>
      <c r="H1793">
        <v>8.0001089999999997E-2</v>
      </c>
      <c r="I1793">
        <v>277.94740000000002</v>
      </c>
      <c r="J1793">
        <v>-317.29669999999999</v>
      </c>
      <c r="K1793">
        <v>1.108997</v>
      </c>
      <c r="L1793">
        <v>285.24689999999998</v>
      </c>
      <c r="M1793">
        <v>-0.99980100000000005</v>
      </c>
      <c r="N1793">
        <v>0</v>
      </c>
      <c r="O1793">
        <v>1.7952240000000001E-2</v>
      </c>
      <c r="P1793">
        <v>-0.98952419999999996</v>
      </c>
      <c r="Q1793">
        <v>-3.3277479999999998E-2</v>
      </c>
      <c r="R1793">
        <v>0.14048050000000001</v>
      </c>
      <c r="S1793">
        <v>-3.0726619999999998</v>
      </c>
      <c r="T1793">
        <v>-4.248238E-2</v>
      </c>
      <c r="U1793">
        <v>-0.3010254</v>
      </c>
      <c r="V1793">
        <v>0.1226922</v>
      </c>
      <c r="W1793">
        <v>-2.4640309999999999E-2</v>
      </c>
      <c r="X1793">
        <v>0.99213890000000005</v>
      </c>
      <c r="Y1793">
        <v>-0.1153412</v>
      </c>
      <c r="Z1793">
        <v>-1.0430630000000001E-3</v>
      </c>
      <c r="AA1793">
        <v>0.99332540000000003</v>
      </c>
      <c r="AB1793">
        <v>40</v>
      </c>
      <c r="AC1793">
        <v>-73.977999999999994</v>
      </c>
      <c r="AD1793">
        <v>-1.0289959099999999</v>
      </c>
      <c r="AE1793">
        <v>-7.2994999999999601</v>
      </c>
      <c r="AF1793">
        <v>-8.6247920485834104</v>
      </c>
      <c r="AG1793">
        <v>-1.0289959099999999</v>
      </c>
      <c r="AH1793">
        <v>73.820885186313802</v>
      </c>
      <c r="AI1793">
        <v>90.793204615179704</v>
      </c>
      <c r="AJ1793">
        <v>96.663885718109896</v>
      </c>
      <c r="AK1793">
        <v>74.330134939706795</v>
      </c>
      <c r="AL1793">
        <v>91.411928584572493</v>
      </c>
      <c r="AM1793">
        <v>82.950346456729505</v>
      </c>
      <c r="AN1793">
        <v>1.0000000588554701</v>
      </c>
    </row>
    <row r="1794" spans="1:40" x14ac:dyDescent="0.25">
      <c r="A1794" t="str">
        <f>"20190312161302439"</f>
        <v>20190312161302439</v>
      </c>
      <c r="B1794" t="str">
        <f>"1552378382427159"</f>
        <v>1552378382427159</v>
      </c>
      <c r="C1794" t="s">
        <v>40</v>
      </c>
      <c r="D1794">
        <v>5.0497620000000003</v>
      </c>
      <c r="E1794">
        <v>0.41460259999999999</v>
      </c>
      <c r="F1794" t="s">
        <v>69</v>
      </c>
      <c r="G1794">
        <v>-375.06200000000001</v>
      </c>
      <c r="H1794" s="1">
        <v>1.1569770000000001E-6</v>
      </c>
      <c r="I1794">
        <v>280.3861</v>
      </c>
      <c r="J1794">
        <v>-317.56369999999998</v>
      </c>
      <c r="K1794">
        <v>1.1089960000000001</v>
      </c>
      <c r="L1794">
        <v>285.2516</v>
      </c>
      <c r="M1794">
        <v>-0.99980089999999999</v>
      </c>
      <c r="N1794">
        <v>0</v>
      </c>
      <c r="O1794">
        <v>1.7951849999999998E-2</v>
      </c>
      <c r="P1794">
        <v>-0.98948860000000005</v>
      </c>
      <c r="Q1794">
        <v>-3.3452379999999997E-2</v>
      </c>
      <c r="R1794">
        <v>0.14068910000000001</v>
      </c>
      <c r="S1794">
        <v>-3.0664060000000002</v>
      </c>
      <c r="T1794">
        <v>-5.886972E-2</v>
      </c>
      <c r="U1794">
        <v>-0.25802609999999998</v>
      </c>
      <c r="V1794">
        <v>0.12290180000000001</v>
      </c>
      <c r="W1794">
        <v>-2.4807820000000001E-2</v>
      </c>
      <c r="X1794">
        <v>0.99210869999999995</v>
      </c>
      <c r="Y1794">
        <v>-0.10170369999999999</v>
      </c>
      <c r="Z1794">
        <v>-1.318526E-3</v>
      </c>
      <c r="AA1794">
        <v>0.99481390000000003</v>
      </c>
      <c r="AB1794">
        <v>40</v>
      </c>
      <c r="AC1794">
        <v>-57.498299999999901</v>
      </c>
      <c r="AD1794">
        <v>-1.1089948430230001</v>
      </c>
      <c r="AE1794">
        <v>-4.8654999999999902</v>
      </c>
      <c r="AF1794">
        <v>-5.8947786064247598</v>
      </c>
      <c r="AG1794">
        <v>-1.1089948430230001</v>
      </c>
      <c r="AH1794">
        <v>57.380491469854803</v>
      </c>
      <c r="AI1794">
        <v>91.101424383499193</v>
      </c>
      <c r="AJ1794">
        <v>95.865499458393899</v>
      </c>
      <c r="AK1794">
        <v>57.693145916154499</v>
      </c>
      <c r="AL1794">
        <v>91.421529251902896</v>
      </c>
      <c r="AM1794">
        <v>82.938211951203101</v>
      </c>
      <c r="AN1794">
        <v>0.99999997649604</v>
      </c>
    </row>
    <row r="1795" spans="1:40" x14ac:dyDescent="0.25">
      <c r="A1795" t="str">
        <f>"20190312161302454"</f>
        <v>20190312161302454</v>
      </c>
      <c r="B1795" t="str">
        <f>"1552378382447655"</f>
        <v>1552378382447655</v>
      </c>
      <c r="C1795" t="s">
        <v>40</v>
      </c>
      <c r="D1795">
        <v>4.9960019999999998</v>
      </c>
      <c r="E1795">
        <v>0.4148309</v>
      </c>
      <c r="F1795" t="s">
        <v>69</v>
      </c>
      <c r="G1795">
        <v>-374.37189999999998</v>
      </c>
      <c r="H1795" s="1">
        <v>7.8972810000000001E-7</v>
      </c>
      <c r="I1795">
        <v>280.60129999999998</v>
      </c>
      <c r="J1795">
        <v>-317.83339999999998</v>
      </c>
      <c r="K1795">
        <v>1.108992</v>
      </c>
      <c r="L1795">
        <v>285.25650000000002</v>
      </c>
      <c r="M1795">
        <v>-0.99980080000000005</v>
      </c>
      <c r="N1795">
        <v>0</v>
      </c>
      <c r="O1795">
        <v>1.795151E-2</v>
      </c>
      <c r="P1795">
        <v>-0.98944860000000001</v>
      </c>
      <c r="Q1795">
        <v>-3.3595140000000003E-2</v>
      </c>
      <c r="R1795">
        <v>0.1409369</v>
      </c>
      <c r="S1795">
        <v>-3.0655209999999999</v>
      </c>
      <c r="T1795">
        <v>-5.9844260000000003E-2</v>
      </c>
      <c r="U1795">
        <v>-0.250946</v>
      </c>
      <c r="V1795">
        <v>0.1231507</v>
      </c>
      <c r="W1795">
        <v>-2.4943159999999999E-2</v>
      </c>
      <c r="X1795">
        <v>0.99207449999999997</v>
      </c>
      <c r="Y1795">
        <v>-9.9444870000000005E-2</v>
      </c>
      <c r="Z1795">
        <v>-1.3188449999999999E-3</v>
      </c>
      <c r="AA1795">
        <v>0.99504219999999999</v>
      </c>
      <c r="AB1795">
        <v>40</v>
      </c>
      <c r="AC1795">
        <v>-56.538499999999999</v>
      </c>
      <c r="AD1795">
        <v>-1.1089912102719</v>
      </c>
      <c r="AE1795">
        <v>-4.65520000000003</v>
      </c>
      <c r="AF1795">
        <v>-5.6672741226017402</v>
      </c>
      <c r="AG1795">
        <v>-1.1089912102719</v>
      </c>
      <c r="AH1795">
        <v>56.424255064248001</v>
      </c>
      <c r="AI1795">
        <v>91.120340106075204</v>
      </c>
      <c r="AJ1795">
        <v>95.735574646531305</v>
      </c>
      <c r="AK1795">
        <v>56.7189952047855</v>
      </c>
      <c r="AL1795">
        <v>91.429285979764799</v>
      </c>
      <c r="AM1795">
        <v>82.923813831408097</v>
      </c>
      <c r="AN1795">
        <v>1.0000000348457601</v>
      </c>
    </row>
    <row r="1796" spans="1:40" x14ac:dyDescent="0.25">
      <c r="A1796" t="str">
        <f>"20190312161302477"</f>
        <v>20190312161302477</v>
      </c>
      <c r="B1796" t="str">
        <f>"1552378382467684"</f>
        <v>1552378382467684</v>
      </c>
      <c r="C1796" t="s">
        <v>40</v>
      </c>
      <c r="D1796">
        <v>4.7802319999999998</v>
      </c>
      <c r="E1796">
        <v>0.41291030000000001</v>
      </c>
      <c r="F1796" t="s">
        <v>69</v>
      </c>
      <c r="G1796">
        <v>-382.43200000000002</v>
      </c>
      <c r="H1796" s="1">
        <v>-2.425846E-7</v>
      </c>
      <c r="I1796">
        <v>280.0258</v>
      </c>
      <c r="J1796">
        <v>-318.2362</v>
      </c>
      <c r="K1796">
        <v>1.1089880000000001</v>
      </c>
      <c r="L1796">
        <v>285.26369999999997</v>
      </c>
      <c r="M1796">
        <v>-0.99980089999999999</v>
      </c>
      <c r="N1796">
        <v>0</v>
      </c>
      <c r="O1796">
        <v>1.7950810000000001E-2</v>
      </c>
      <c r="P1796">
        <v>-0.98944659999999995</v>
      </c>
      <c r="Q1796">
        <v>-3.3534679999999997E-2</v>
      </c>
      <c r="R1796">
        <v>0.14096610000000001</v>
      </c>
      <c r="S1796">
        <v>-3.065582</v>
      </c>
      <c r="T1796">
        <v>-5.262816E-2</v>
      </c>
      <c r="U1796">
        <v>-0.24823000000000001</v>
      </c>
      <c r="V1796">
        <v>0.1231806</v>
      </c>
      <c r="W1796">
        <v>-2.4871279999999999E-2</v>
      </c>
      <c r="X1796">
        <v>0.99207259999999997</v>
      </c>
      <c r="Y1796">
        <v>-9.8571919999999993E-2</v>
      </c>
      <c r="Z1796">
        <v>-1.1523670000000001E-3</v>
      </c>
      <c r="AA1796">
        <v>0.99512929999999999</v>
      </c>
      <c r="AB1796">
        <v>40</v>
      </c>
      <c r="AC1796">
        <v>-64.195799999999906</v>
      </c>
      <c r="AD1796">
        <v>-1.1089882425845901</v>
      </c>
      <c r="AE1796">
        <v>-5.2378999999999598</v>
      </c>
      <c r="AF1796">
        <v>-6.3875726907423296</v>
      </c>
      <c r="AG1796">
        <v>-1.1089882425845901</v>
      </c>
      <c r="AH1796">
        <v>64.072432704591094</v>
      </c>
      <c r="AI1796">
        <v>90.986706339939602</v>
      </c>
      <c r="AJ1796">
        <v>95.693176657226402</v>
      </c>
      <c r="AK1796">
        <v>64.399592952797903</v>
      </c>
      <c r="AL1796">
        <v>91.425166270686901</v>
      </c>
      <c r="AM1796">
        <v>82.922099795486602</v>
      </c>
      <c r="AN1796">
        <v>1.00000004222797</v>
      </c>
    </row>
    <row r="1797" spans="1:40" x14ac:dyDescent="0.25">
      <c r="A1797" t="str">
        <f>"20190312161302557"</f>
        <v>20190312161302557</v>
      </c>
      <c r="B1797" t="str">
        <f>"1552378382547716"</f>
        <v>1552378382547716</v>
      </c>
      <c r="C1797" t="s">
        <v>40</v>
      </c>
      <c r="D1797">
        <v>4.333018</v>
      </c>
      <c r="E1797">
        <v>0.41291030000000001</v>
      </c>
      <c r="F1797" t="s">
        <v>74</v>
      </c>
      <c r="G1797">
        <v>-404.59410000000003</v>
      </c>
      <c r="H1797">
        <v>8.0001149999999993E-2</v>
      </c>
      <c r="I1797">
        <v>277.8682</v>
      </c>
      <c r="J1797">
        <v>-319.67779999999999</v>
      </c>
      <c r="K1797">
        <v>1.1090070000000001</v>
      </c>
      <c r="L1797">
        <v>285.28960000000001</v>
      </c>
      <c r="M1797">
        <v>-0.99980100000000005</v>
      </c>
      <c r="N1797">
        <v>0</v>
      </c>
      <c r="O1797">
        <v>1.791705E-2</v>
      </c>
      <c r="P1797">
        <v>-0.98934200000000005</v>
      </c>
      <c r="Q1797">
        <v>-3.4071740000000003E-2</v>
      </c>
      <c r="R1797">
        <v>0.14156879999999999</v>
      </c>
      <c r="S1797">
        <v>-3.0682070000000001</v>
      </c>
      <c r="T1797">
        <v>-3.655887E-2</v>
      </c>
      <c r="U1797">
        <v>-0.2627563</v>
      </c>
      <c r="V1797">
        <v>0.1238192</v>
      </c>
      <c r="W1797">
        <v>-2.5365200000000001E-2</v>
      </c>
      <c r="X1797">
        <v>0.99198059999999999</v>
      </c>
      <c r="Y1797">
        <v>-0.10315630000000001</v>
      </c>
      <c r="Z1797">
        <v>-8.2656050000000001E-4</v>
      </c>
      <c r="AA1797">
        <v>0.99466480000000002</v>
      </c>
      <c r="AB1797">
        <v>40</v>
      </c>
      <c r="AC1797">
        <v>-84.916300000000007</v>
      </c>
      <c r="AD1797">
        <v>-1.0290058500000001</v>
      </c>
      <c r="AE1797">
        <v>-7.4214000000000002</v>
      </c>
      <c r="AF1797">
        <v>-8.9404138410508196</v>
      </c>
      <c r="AG1797">
        <v>-1.0290058500000001</v>
      </c>
      <c r="AH1797">
        <v>84.757341515364303</v>
      </c>
      <c r="AI1797">
        <v>90.691734268397497</v>
      </c>
      <c r="AJ1797">
        <v>96.021433697518901</v>
      </c>
      <c r="AK1797">
        <v>85.233777303605905</v>
      </c>
      <c r="AL1797">
        <v>91.453474722715697</v>
      </c>
      <c r="AM1797">
        <v>82.885128128152104</v>
      </c>
      <c r="AN1797">
        <v>1.0000000492180099</v>
      </c>
    </row>
    <row r="1798" spans="1:40" x14ac:dyDescent="0.25">
      <c r="A1798" t="str">
        <f>"20190312161302577"</f>
        <v>20190312161302577</v>
      </c>
      <c r="B1798" t="str">
        <f>"1552378382567744"</f>
        <v>1552378382567744</v>
      </c>
      <c r="C1798" t="s">
        <v>40</v>
      </c>
      <c r="D1798">
        <v>4.7677889999999996</v>
      </c>
      <c r="E1798">
        <v>0.41355019999999998</v>
      </c>
      <c r="F1798" t="s">
        <v>74</v>
      </c>
      <c r="G1798">
        <v>-402.38499999999999</v>
      </c>
      <c r="H1798">
        <v>8.0001500000000003E-2</v>
      </c>
      <c r="I1798">
        <v>278.25799999999998</v>
      </c>
      <c r="J1798">
        <v>-320.03879999999998</v>
      </c>
      <c r="K1798">
        <v>1.1090169999999999</v>
      </c>
      <c r="L1798">
        <v>285.29599999999999</v>
      </c>
      <c r="M1798">
        <v>-0.99980150000000001</v>
      </c>
      <c r="N1798">
        <v>0</v>
      </c>
      <c r="O1798">
        <v>1.7886510000000001E-2</v>
      </c>
      <c r="P1798">
        <v>-0.98941140000000005</v>
      </c>
      <c r="Q1798">
        <v>-3.3877400000000002E-2</v>
      </c>
      <c r="R1798">
        <v>0.14112949999999999</v>
      </c>
      <c r="S1798">
        <v>-3.0683289999999999</v>
      </c>
      <c r="T1798">
        <v>-3.817475E-2</v>
      </c>
      <c r="U1798">
        <v>-0.26086429999999999</v>
      </c>
      <c r="V1798">
        <v>0.12340959999999999</v>
      </c>
      <c r="W1798">
        <v>-2.515703E-2</v>
      </c>
      <c r="X1798">
        <v>0.9920369</v>
      </c>
      <c r="Y1798">
        <v>-0.1025128</v>
      </c>
      <c r="Z1798">
        <v>-8.5870480000000001E-4</v>
      </c>
      <c r="AA1798">
        <v>0.99473129999999998</v>
      </c>
      <c r="AB1798">
        <v>40</v>
      </c>
      <c r="AC1798">
        <v>-82.346199999999996</v>
      </c>
      <c r="AD1798">
        <v>-1.0290155000000001</v>
      </c>
      <c r="AE1798">
        <v>-7.03800000000001</v>
      </c>
      <c r="AF1798">
        <v>-8.5084978511742992</v>
      </c>
      <c r="AG1798">
        <v>-1.0290155000000001</v>
      </c>
      <c r="AH1798">
        <v>82.194393417707403</v>
      </c>
      <c r="AI1798">
        <v>90.713453045940796</v>
      </c>
      <c r="AJ1798">
        <v>95.910023774316997</v>
      </c>
      <c r="AK1798">
        <v>82.640012813936195</v>
      </c>
      <c r="AL1798">
        <v>91.441543712577698</v>
      </c>
      <c r="AM1798">
        <v>82.908822807136403</v>
      </c>
      <c r="AN1798">
        <v>1.00000000824609</v>
      </c>
    </row>
    <row r="1799" spans="1:40" x14ac:dyDescent="0.25">
      <c r="A1799" t="str">
        <f>"20190312161302616"</f>
        <v>20190312161302616</v>
      </c>
      <c r="B1799" t="str">
        <f>"1552378382607760"</f>
        <v>1552378382607760</v>
      </c>
      <c r="C1799" t="s">
        <v>40</v>
      </c>
      <c r="D1799">
        <v>4.6168809999999896</v>
      </c>
      <c r="E1799">
        <v>0.4155855</v>
      </c>
      <c r="F1799" t="s">
        <v>69</v>
      </c>
      <c r="G1799">
        <v>-383.79</v>
      </c>
      <c r="H1799" s="1">
        <v>4.8004709999999897E-7</v>
      </c>
      <c r="I1799">
        <v>279.93900000000002</v>
      </c>
      <c r="J1799">
        <v>-320.71980000000002</v>
      </c>
      <c r="K1799">
        <v>1.109027</v>
      </c>
      <c r="L1799">
        <v>285.3082</v>
      </c>
      <c r="M1799">
        <v>-0.99980290000000005</v>
      </c>
      <c r="N1799">
        <v>0</v>
      </c>
      <c r="O1799">
        <v>1.7801999999999998E-2</v>
      </c>
      <c r="P1799">
        <v>-0.98951339999999999</v>
      </c>
      <c r="Q1799">
        <v>-3.4113879999999999E-2</v>
      </c>
      <c r="R1799">
        <v>0.1403565</v>
      </c>
      <c r="S1799">
        <v>-3.0670169999999999</v>
      </c>
      <c r="T1799">
        <v>-5.3353909999999997E-2</v>
      </c>
      <c r="U1799">
        <v>-0.25772089999999998</v>
      </c>
      <c r="V1799">
        <v>0.12271989999999899</v>
      </c>
      <c r="W1799">
        <v>-2.5367589999999999E-2</v>
      </c>
      <c r="X1799">
        <v>0.99211709999999997</v>
      </c>
      <c r="Y1799">
        <v>-0.1014437</v>
      </c>
      <c r="Z1799">
        <v>-1.189914E-3</v>
      </c>
      <c r="AA1799">
        <v>0.99484059999999996</v>
      </c>
      <c r="AB1799">
        <v>40</v>
      </c>
      <c r="AC1799">
        <v>-63.0702</v>
      </c>
      <c r="AD1799">
        <v>-1.1090265199528999</v>
      </c>
      <c r="AE1799">
        <v>-5.36919999999997</v>
      </c>
      <c r="AF1799">
        <v>-6.4891761589382204</v>
      </c>
      <c r="AG1799">
        <v>-1.1090265199528999</v>
      </c>
      <c r="AH1799">
        <v>62.945295948337403</v>
      </c>
      <c r="AI1799">
        <v>91.004063443469505</v>
      </c>
      <c r="AJ1799">
        <v>95.885961165010698</v>
      </c>
      <c r="AK1799">
        <v>63.288621639813499</v>
      </c>
      <c r="AL1799">
        <v>91.453611754474395</v>
      </c>
      <c r="AM1799">
        <v>82.948617510452607</v>
      </c>
      <c r="AN1799">
        <v>1.00000001429541</v>
      </c>
    </row>
    <row r="1800" spans="1:40" x14ac:dyDescent="0.25">
      <c r="A1800" t="str">
        <f>"20190312161302634"</f>
        <v>20190312161302634</v>
      </c>
      <c r="B1800" t="str">
        <f>"1552378382627279"</f>
        <v>1552378382627279</v>
      </c>
      <c r="C1800" t="s">
        <v>40</v>
      </c>
      <c r="D1800">
        <v>4.784662</v>
      </c>
      <c r="E1800">
        <v>0.4174446</v>
      </c>
      <c r="F1800" t="s">
        <v>69</v>
      </c>
      <c r="G1800">
        <v>-389.52640000000002</v>
      </c>
      <c r="H1800" s="1">
        <v>3.5326700000000001E-6</v>
      </c>
      <c r="I1800">
        <v>279.83100000000002</v>
      </c>
      <c r="J1800">
        <v>-321.04849999999999</v>
      </c>
      <c r="K1800">
        <v>1.10903</v>
      </c>
      <c r="L1800">
        <v>285.31400000000002</v>
      </c>
      <c r="M1800">
        <v>-0.99980360000000001</v>
      </c>
      <c r="N1800">
        <v>0</v>
      </c>
      <c r="O1800">
        <v>1.7751929999999999E-2</v>
      </c>
      <c r="P1800">
        <v>-0.98954799999999998</v>
      </c>
      <c r="Q1800">
        <v>-3.4702709999999998E-2</v>
      </c>
      <c r="R1800">
        <v>0.1399666</v>
      </c>
      <c r="S1800">
        <v>-3.0646969999999998</v>
      </c>
      <c r="T1800">
        <v>-4.9396750000000003E-2</v>
      </c>
      <c r="U1800">
        <v>-0.24395749999999999</v>
      </c>
      <c r="V1800">
        <v>0.12237969999999999</v>
      </c>
      <c r="W1800">
        <v>-2.5944519999999999E-2</v>
      </c>
      <c r="X1800">
        <v>0.99214420000000003</v>
      </c>
      <c r="Y1800">
        <v>-9.7020780000000001E-2</v>
      </c>
      <c r="Z1800">
        <v>-1.06631E-3</v>
      </c>
      <c r="AA1800">
        <v>0.99528179999999999</v>
      </c>
      <c r="AB1800">
        <v>40</v>
      </c>
      <c r="AC1800">
        <v>-68.477900000000005</v>
      </c>
      <c r="AD1800">
        <v>-1.1090264673300001</v>
      </c>
      <c r="AE1800">
        <v>-5.48300000000006</v>
      </c>
      <c r="AF1800">
        <v>-6.6960528831845103</v>
      </c>
      <c r="AG1800">
        <v>-1.1090264673300001</v>
      </c>
      <c r="AH1800">
        <v>68.351957068479194</v>
      </c>
      <c r="AI1800">
        <v>90.925127984003097</v>
      </c>
      <c r="AJ1800">
        <v>95.595088859220695</v>
      </c>
      <c r="AK1800">
        <v>68.688114685226793</v>
      </c>
      <c r="AL1800">
        <v>91.486678297465104</v>
      </c>
      <c r="AM1800">
        <v>82.968159294627895</v>
      </c>
      <c r="AN1800">
        <v>1.0000000113418801</v>
      </c>
    </row>
    <row r="1801" spans="1:40" x14ac:dyDescent="0.25">
      <c r="A1801" t="str">
        <f>"20190312161302656"</f>
        <v>20190312161302656</v>
      </c>
      <c r="B1801" t="str">
        <f>"1552378382647775"</f>
        <v>1552378382647775</v>
      </c>
      <c r="C1801" t="s">
        <v>40</v>
      </c>
      <c r="D1801">
        <v>4.8379989999999999</v>
      </c>
      <c r="E1801">
        <v>0.42014459999999998</v>
      </c>
      <c r="F1801" t="s">
        <v>74</v>
      </c>
      <c r="G1801">
        <v>-416.21069999999997</v>
      </c>
      <c r="H1801" s="1">
        <v>4.2539250000000001E-6</v>
      </c>
      <c r="I1801">
        <v>278.17529999999999</v>
      </c>
      <c r="J1801">
        <v>-321.45499999999998</v>
      </c>
      <c r="K1801">
        <v>1.10903</v>
      </c>
      <c r="L1801">
        <v>285.3211</v>
      </c>
      <c r="M1801">
        <v>-0.99980469999999999</v>
      </c>
      <c r="N1801">
        <v>0</v>
      </c>
      <c r="O1801">
        <v>1.7682949999999999E-2</v>
      </c>
      <c r="P1801">
        <v>-0.98958060000000003</v>
      </c>
      <c r="Q1801">
        <v>-3.5030659999999998E-2</v>
      </c>
      <c r="R1801">
        <v>0.13965469999999999</v>
      </c>
      <c r="S1801">
        <v>-3.0629270000000002</v>
      </c>
      <c r="T1801">
        <v>-3.569555E-2</v>
      </c>
      <c r="U1801">
        <v>-0.22976679999999999</v>
      </c>
      <c r="V1801">
        <v>0.1221362</v>
      </c>
      <c r="W1801">
        <v>-2.6258650000000001E-2</v>
      </c>
      <c r="X1801">
        <v>0.99216590000000005</v>
      </c>
      <c r="Y1801">
        <v>-9.2420210000000003E-2</v>
      </c>
      <c r="Z1801">
        <v>-7.4357820000000002E-4</v>
      </c>
      <c r="AA1801">
        <v>0.99571980000000004</v>
      </c>
      <c r="AB1801">
        <v>40</v>
      </c>
      <c r="AC1801">
        <v>-94.755700000000004</v>
      </c>
      <c r="AD1801">
        <v>-1.1090257460749999</v>
      </c>
      <c r="AE1801">
        <v>-7.1458000000000004</v>
      </c>
      <c r="AF1801">
        <v>-8.8191069261396393</v>
      </c>
      <c r="AG1801">
        <v>-1.1090257460749999</v>
      </c>
      <c r="AH1801">
        <v>94.601633809588805</v>
      </c>
      <c r="AI1801">
        <v>90.668754788988707</v>
      </c>
      <c r="AJ1801">
        <v>95.325927092352302</v>
      </c>
      <c r="AK1801">
        <v>95.018291420776904</v>
      </c>
      <c r="AL1801">
        <v>91.504682816089399</v>
      </c>
      <c r="AM1801">
        <v>82.9821629148081</v>
      </c>
      <c r="AN1801">
        <v>0.999999970586535</v>
      </c>
    </row>
    <row r="1802" spans="1:40" x14ac:dyDescent="0.25">
      <c r="A1802" t="str">
        <f>"20190312161302678"</f>
        <v>20190312161302678</v>
      </c>
      <c r="B1802" t="str">
        <f>"1552378382667803"</f>
        <v>1552378382667803</v>
      </c>
      <c r="C1802" t="s">
        <v>40</v>
      </c>
      <c r="D1802">
        <v>4.8896860000000002</v>
      </c>
      <c r="E1802">
        <v>0.42243259999999999</v>
      </c>
      <c r="F1802" t="s">
        <v>69</v>
      </c>
      <c r="G1802">
        <v>-389.69529999999997</v>
      </c>
      <c r="H1802" s="1">
        <v>3.6225469999999999E-6</v>
      </c>
      <c r="I1802">
        <v>280.63810000000001</v>
      </c>
      <c r="J1802">
        <v>-321.86340000000001</v>
      </c>
      <c r="K1802">
        <v>1.1090310000000001</v>
      </c>
      <c r="L1802">
        <v>285.32830000000001</v>
      </c>
      <c r="M1802">
        <v>-0.99980590000000003</v>
      </c>
      <c r="N1802">
        <v>0</v>
      </c>
      <c r="O1802">
        <v>1.7608519999999999E-2</v>
      </c>
      <c r="P1802">
        <v>-0.98956200000000005</v>
      </c>
      <c r="Q1802">
        <v>-3.5028360000000001E-2</v>
      </c>
      <c r="R1802">
        <v>0.13978660000000001</v>
      </c>
      <c r="S1802">
        <v>-3.0594790000000001</v>
      </c>
      <c r="T1802">
        <v>-4.9721960000000003E-2</v>
      </c>
      <c r="U1802">
        <v>-0.20996090000000001</v>
      </c>
      <c r="V1802">
        <v>0.1223426</v>
      </c>
      <c r="W1802">
        <v>-2.6243550000000001E-2</v>
      </c>
      <c r="X1802">
        <v>0.99214089999999999</v>
      </c>
      <c r="Y1802">
        <v>-8.6009000000000002E-2</v>
      </c>
      <c r="Z1802">
        <v>-9.8389050000000002E-4</v>
      </c>
      <c r="AA1802">
        <v>0.99629389999999995</v>
      </c>
      <c r="AB1802">
        <v>41</v>
      </c>
      <c r="AC1802">
        <v>-67.831899999999905</v>
      </c>
      <c r="AD1802">
        <v>-1.109027377453</v>
      </c>
      <c r="AE1802">
        <v>-4.6901999999999999</v>
      </c>
      <c r="AF1802">
        <v>-5.8823738387931597</v>
      </c>
      <c r="AG1802">
        <v>-1.109027377453</v>
      </c>
      <c r="AH1802">
        <v>67.720775316824302</v>
      </c>
      <c r="AI1802">
        <v>90.934699940029802</v>
      </c>
      <c r="AJ1802">
        <v>94.964375584109803</v>
      </c>
      <c r="AK1802">
        <v>67.984819432098703</v>
      </c>
      <c r="AL1802">
        <v>91.5038173064342</v>
      </c>
      <c r="AM1802">
        <v>82.9702465513422</v>
      </c>
      <c r="AN1802">
        <v>1.0000000005720799</v>
      </c>
    </row>
    <row r="1803" spans="1:40" x14ac:dyDescent="0.25">
      <c r="A1803" t="str">
        <f>"20190312161302692"</f>
        <v>20190312161302692</v>
      </c>
      <c r="B1803" t="str">
        <f>"1552378382687323"</f>
        <v>1552378382687323</v>
      </c>
      <c r="C1803" t="s">
        <v>40</v>
      </c>
      <c r="D1803">
        <v>4.9155419999999896</v>
      </c>
      <c r="E1803">
        <v>0.42430289999999998</v>
      </c>
      <c r="F1803" t="s">
        <v>69</v>
      </c>
      <c r="G1803">
        <v>-389.62549999999999</v>
      </c>
      <c r="H1803" s="1">
        <v>3.5854349999999999E-6</v>
      </c>
      <c r="I1803">
        <v>281.0881</v>
      </c>
      <c r="J1803">
        <v>-322.11130000000003</v>
      </c>
      <c r="K1803">
        <v>1.1090390000000001</v>
      </c>
      <c r="L1803">
        <v>285.33260000000001</v>
      </c>
      <c r="M1803">
        <v>-0.99980650000000004</v>
      </c>
      <c r="N1803">
        <v>0</v>
      </c>
      <c r="O1803">
        <v>1.7561790000000001E-2</v>
      </c>
      <c r="P1803">
        <v>-0.98955230000000005</v>
      </c>
      <c r="Q1803">
        <v>-3.4927930000000003E-2</v>
      </c>
      <c r="R1803">
        <v>0.139879799999999</v>
      </c>
      <c r="S1803">
        <v>-3.056915</v>
      </c>
      <c r="T1803">
        <v>-5.0030949999999998E-2</v>
      </c>
      <c r="U1803">
        <v>-0.19128419999999999</v>
      </c>
      <c r="V1803">
        <v>0.12248249999999999</v>
      </c>
      <c r="W1803">
        <v>-2.6135459999999999E-2</v>
      </c>
      <c r="X1803">
        <v>0.99212650000000002</v>
      </c>
      <c r="Y1803">
        <v>-7.9957650000000005E-2</v>
      </c>
      <c r="Z1803">
        <v>-9.4079410000000004E-4</v>
      </c>
      <c r="AA1803">
        <v>0.99679779999999996</v>
      </c>
      <c r="AB1803">
        <v>41</v>
      </c>
      <c r="AC1803">
        <v>-67.514199999999903</v>
      </c>
      <c r="AD1803">
        <v>-1.1090354145650001</v>
      </c>
      <c r="AE1803">
        <v>-4.2445000000000102</v>
      </c>
      <c r="AF1803">
        <v>-5.4281031976361298</v>
      </c>
      <c r="AG1803">
        <v>-1.1090354145650001</v>
      </c>
      <c r="AH1803">
        <v>67.411124822635102</v>
      </c>
      <c r="AI1803">
        <v>90.939494284043604</v>
      </c>
      <c r="AJ1803">
        <v>94.603659002475993</v>
      </c>
      <c r="AK1803">
        <v>67.638406351183605</v>
      </c>
      <c r="AL1803">
        <v>91.497622068706406</v>
      </c>
      <c r="AM1803">
        <v>82.962187400255502</v>
      </c>
      <c r="AN1803">
        <v>1.00000000853895</v>
      </c>
    </row>
    <row r="1804" spans="1:40" x14ac:dyDescent="0.25">
      <c r="A1804" t="str">
        <f>"20190312161302711"</f>
        <v>20190312161302711</v>
      </c>
      <c r="B1804" t="str">
        <f>"1552378382707819"</f>
        <v>1552378382707819</v>
      </c>
      <c r="C1804" t="s">
        <v>40</v>
      </c>
      <c r="D1804">
        <v>4.8501919999999998</v>
      </c>
      <c r="E1804">
        <v>0.42591420000000002</v>
      </c>
      <c r="F1804" t="s">
        <v>69</v>
      </c>
      <c r="G1804">
        <v>-388.60070000000002</v>
      </c>
      <c r="H1804" s="1">
        <v>3.0400620000000001E-6</v>
      </c>
      <c r="I1804">
        <v>281.49270000000001</v>
      </c>
      <c r="J1804">
        <v>-322.45909999999998</v>
      </c>
      <c r="K1804">
        <v>1.1090420000000001</v>
      </c>
      <c r="L1804">
        <v>285.33870000000002</v>
      </c>
      <c r="M1804">
        <v>-0.99980769999999997</v>
      </c>
      <c r="N1804">
        <v>0</v>
      </c>
      <c r="O1804">
        <v>1.7494889999999999E-2</v>
      </c>
      <c r="P1804">
        <v>-0.98951809999999996</v>
      </c>
      <c r="Q1804">
        <v>-3.4860950000000002E-2</v>
      </c>
      <c r="R1804">
        <v>0.1401385</v>
      </c>
      <c r="S1804">
        <v>-3.0547789999999999</v>
      </c>
      <c r="T1804">
        <v>-5.0953390000000001E-2</v>
      </c>
      <c r="U1804">
        <v>-0.1764221</v>
      </c>
      <c r="V1804">
        <v>0.1228083</v>
      </c>
      <c r="W1804">
        <v>-2.6057899999999998E-2</v>
      </c>
      <c r="X1804">
        <v>0.99208830000000003</v>
      </c>
      <c r="Y1804">
        <v>-7.5101570000000006E-2</v>
      </c>
      <c r="Z1804">
        <v>-9.1736529999999995E-4</v>
      </c>
      <c r="AA1804">
        <v>0.99717549999999999</v>
      </c>
      <c r="AB1804">
        <v>41</v>
      </c>
      <c r="AC1804">
        <v>-66.141599999999997</v>
      </c>
      <c r="AD1804">
        <v>-1.1090389599379999</v>
      </c>
      <c r="AE1804">
        <v>-3.8460000000000001</v>
      </c>
      <c r="AF1804">
        <v>-5.0011953983695401</v>
      </c>
      <c r="AG1804">
        <v>-1.1090389599379999</v>
      </c>
      <c r="AH1804">
        <v>66.045681992591895</v>
      </c>
      <c r="AI1804">
        <v>90.959274401086105</v>
      </c>
      <c r="AJ1804">
        <v>94.330359954610103</v>
      </c>
      <c r="AK1804">
        <v>66.244049036074998</v>
      </c>
      <c r="AL1804">
        <v>91.493176641358502</v>
      </c>
      <c r="AM1804">
        <v>82.943386528876701</v>
      </c>
      <c r="AN1804">
        <v>1.0000000438490899</v>
      </c>
    </row>
    <row r="1805" spans="1:40" x14ac:dyDescent="0.25">
      <c r="A1805" t="str">
        <f>"20190312161302734"</f>
        <v>20190312161302734</v>
      </c>
      <c r="B1805" t="str">
        <f>"1552378382727339"</f>
        <v>1552378382727339</v>
      </c>
      <c r="C1805" t="s">
        <v>40</v>
      </c>
      <c r="D1805">
        <v>4.8337629999999896</v>
      </c>
      <c r="E1805">
        <v>0.42732769999999998</v>
      </c>
      <c r="F1805" t="s">
        <v>69</v>
      </c>
      <c r="G1805">
        <v>-390.24220000000003</v>
      </c>
      <c r="H1805" s="1">
        <v>-1.40792E-6</v>
      </c>
      <c r="I1805">
        <v>281.72199999999998</v>
      </c>
      <c r="J1805">
        <v>-322.87360000000001</v>
      </c>
      <c r="K1805">
        <v>1.109048</v>
      </c>
      <c r="L1805">
        <v>285.34589999999997</v>
      </c>
      <c r="M1805">
        <v>-0.99980899999999995</v>
      </c>
      <c r="N1805">
        <v>0</v>
      </c>
      <c r="O1805">
        <v>1.7414450000000001E-2</v>
      </c>
      <c r="P1805">
        <v>-0.9894944</v>
      </c>
      <c r="Q1805">
        <v>-3.458307E-2</v>
      </c>
      <c r="R1805">
        <v>0.14037439999999901</v>
      </c>
      <c r="S1805">
        <v>-3.053131</v>
      </c>
      <c r="T1805">
        <v>-4.99543E-2</v>
      </c>
      <c r="U1805">
        <v>-0.16290279999999999</v>
      </c>
      <c r="V1805">
        <v>0.1231246</v>
      </c>
      <c r="W1805">
        <v>-2.5767399999999999E-2</v>
      </c>
      <c r="X1805">
        <v>0.99205670000000001</v>
      </c>
      <c r="Y1805">
        <v>-7.0650779999999996E-2</v>
      </c>
      <c r="Z1805">
        <v>-8.6227399999999903E-4</v>
      </c>
      <c r="AA1805">
        <v>0.99750070000000002</v>
      </c>
      <c r="AB1805">
        <v>41</v>
      </c>
      <c r="AC1805">
        <v>-67.368600000000001</v>
      </c>
      <c r="AD1805">
        <v>-1.10904940792</v>
      </c>
      <c r="AE1805">
        <v>-3.6238999999999901</v>
      </c>
      <c r="AF1805">
        <v>-4.7952878760835302</v>
      </c>
      <c r="AG1805">
        <v>-1.10904940792</v>
      </c>
      <c r="AH1805">
        <v>67.277092289687602</v>
      </c>
      <c r="AI1805">
        <v>90.942034445390107</v>
      </c>
      <c r="AJ1805">
        <v>94.076958207826806</v>
      </c>
      <c r="AK1805">
        <v>67.456889369128703</v>
      </c>
      <c r="AL1805">
        <v>91.476526601827501</v>
      </c>
      <c r="AM1805">
        <v>82.925172675918901</v>
      </c>
      <c r="AN1805">
        <v>1.0000000610213999</v>
      </c>
    </row>
    <row r="1806" spans="1:40" x14ac:dyDescent="0.25">
      <c r="A1806" t="str">
        <f>"20190312161302758"</f>
        <v>20190312161302758</v>
      </c>
      <c r="B1806" t="str">
        <f>"1552378382747835"</f>
        <v>1552378382747835</v>
      </c>
      <c r="C1806" t="s">
        <v>40</v>
      </c>
      <c r="D1806">
        <v>4.8052840000000003</v>
      </c>
      <c r="E1806">
        <v>0.4285253</v>
      </c>
      <c r="F1806" t="s">
        <v>69</v>
      </c>
      <c r="G1806">
        <v>-399.78179999999998</v>
      </c>
      <c r="H1806" s="1">
        <v>3.6685900000000001E-6</v>
      </c>
      <c r="I1806">
        <v>281.54579999999999</v>
      </c>
      <c r="J1806">
        <v>-323.303</v>
      </c>
      <c r="K1806">
        <v>1.109051</v>
      </c>
      <c r="L1806">
        <v>285.35329999999999</v>
      </c>
      <c r="M1806">
        <v>-0.99981039999999999</v>
      </c>
      <c r="N1806">
        <v>0</v>
      </c>
      <c r="O1806">
        <v>1.733144E-2</v>
      </c>
      <c r="P1806">
        <v>-0.98942660000000004</v>
      </c>
      <c r="Q1806">
        <v>-3.4646730000000001E-2</v>
      </c>
      <c r="R1806">
        <v>0.1408365</v>
      </c>
      <c r="S1806">
        <v>-3.0516969999999999</v>
      </c>
      <c r="T1806">
        <v>-4.4006589999999998E-2</v>
      </c>
      <c r="U1806">
        <v>-0.15078739999999999</v>
      </c>
      <c r="V1806">
        <v>0.12367019999999999</v>
      </c>
      <c r="W1806">
        <v>-2.5818489999999999E-2</v>
      </c>
      <c r="X1806">
        <v>0.99198750000000002</v>
      </c>
      <c r="Y1806">
        <v>-6.6645670000000004E-2</v>
      </c>
      <c r="Z1806">
        <v>-7.2999729999999904E-4</v>
      </c>
      <c r="AA1806">
        <v>0.99777640000000001</v>
      </c>
      <c r="AB1806">
        <v>41</v>
      </c>
      <c r="AC1806">
        <v>-76.478799999999893</v>
      </c>
      <c r="AD1806">
        <v>-1.10904733141</v>
      </c>
      <c r="AE1806">
        <v>-3.8075000000000001</v>
      </c>
      <c r="AF1806">
        <v>-5.1313916058751303</v>
      </c>
      <c r="AG1806">
        <v>-1.10904733141</v>
      </c>
      <c r="AH1806">
        <v>76.385296541518997</v>
      </c>
      <c r="AI1806">
        <v>90.829955522818096</v>
      </c>
      <c r="AJ1806">
        <v>93.843226631236604</v>
      </c>
      <c r="AK1806">
        <v>76.565492838040001</v>
      </c>
      <c r="AL1806">
        <v>91.479454823949794</v>
      </c>
      <c r="AM1806">
        <v>82.893651269639406</v>
      </c>
      <c r="AN1806">
        <v>1.0000000564750799</v>
      </c>
    </row>
    <row r="1807" spans="1:40" x14ac:dyDescent="0.25">
      <c r="A1807" t="str">
        <f>"20190312161302770"</f>
        <v>20190312161302770</v>
      </c>
      <c r="B1807" t="str">
        <f>"1552378382767864"</f>
        <v>1552378382767864</v>
      </c>
      <c r="C1807" t="s">
        <v>40</v>
      </c>
      <c r="D1807">
        <v>4.9626130000000002</v>
      </c>
      <c r="E1807">
        <v>0.42962830000000002</v>
      </c>
      <c r="F1807" t="s">
        <v>74</v>
      </c>
      <c r="G1807">
        <v>-409.20490000000001</v>
      </c>
      <c r="H1807" s="1">
        <v>4.9805479999999996E-6</v>
      </c>
      <c r="I1807">
        <v>281.42090000000002</v>
      </c>
      <c r="J1807">
        <v>-323.5385</v>
      </c>
      <c r="K1807">
        <v>1.1090530000000001</v>
      </c>
      <c r="L1807">
        <v>285.35739999999998</v>
      </c>
      <c r="M1807">
        <v>-0.99981120000000001</v>
      </c>
      <c r="N1807">
        <v>0</v>
      </c>
      <c r="O1807">
        <v>1.7285740000000001E-2</v>
      </c>
      <c r="P1807">
        <v>-0.98943899999999996</v>
      </c>
      <c r="Q1807">
        <v>-3.4381340000000003E-2</v>
      </c>
      <c r="R1807">
        <v>0.14081459999999901</v>
      </c>
      <c r="S1807">
        <v>-3.0505680000000002</v>
      </c>
      <c r="T1807">
        <v>-3.9384719999999998E-2</v>
      </c>
      <c r="U1807">
        <v>-0.13964840000000001</v>
      </c>
      <c r="V1807">
        <v>0.1236935</v>
      </c>
      <c r="W1807">
        <v>-2.5545970000000001E-2</v>
      </c>
      <c r="X1807">
        <v>0.99199159999999997</v>
      </c>
      <c r="Y1807">
        <v>-6.2984789999999999E-2</v>
      </c>
      <c r="Z1807">
        <v>-6.2942279999999998E-4</v>
      </c>
      <c r="AA1807">
        <v>0.99801430000000002</v>
      </c>
      <c r="AB1807">
        <v>41</v>
      </c>
      <c r="AC1807">
        <v>-85.666399999999996</v>
      </c>
      <c r="AD1807">
        <v>-1.109048019452</v>
      </c>
      <c r="AE1807">
        <v>-3.9364999999999601</v>
      </c>
      <c r="AF1807">
        <v>-5.4158714440275899</v>
      </c>
      <c r="AG1807">
        <v>-1.109048019452</v>
      </c>
      <c r="AH1807">
        <v>85.571239909784595</v>
      </c>
      <c r="AI1807">
        <v>90.741059101549794</v>
      </c>
      <c r="AJ1807">
        <v>93.621464819866503</v>
      </c>
      <c r="AK1807">
        <v>85.749628283191996</v>
      </c>
      <c r="AL1807">
        <v>91.463835500178206</v>
      </c>
      <c r="AM1807">
        <v>82.892355171478499</v>
      </c>
      <c r="AN1807">
        <v>1.0000000064980199</v>
      </c>
    </row>
    <row r="1808" spans="1:40" x14ac:dyDescent="0.25">
      <c r="A1808" t="str">
        <f>"20190312161302782"</f>
        <v>20190312161302782</v>
      </c>
      <c r="B1808" t="str">
        <f>"1552378382777624"</f>
        <v>1552378382777624</v>
      </c>
      <c r="C1808" t="s">
        <v>40</v>
      </c>
      <c r="D1808">
        <v>4.9619879999999998</v>
      </c>
      <c r="E1808">
        <v>0.42962830000000002</v>
      </c>
      <c r="F1808" t="s">
        <v>74</v>
      </c>
      <c r="G1808">
        <v>-414.47550000000001</v>
      </c>
      <c r="H1808" s="1">
        <v>3.2764940000000001E-6</v>
      </c>
      <c r="I1808">
        <v>281.44940000000003</v>
      </c>
      <c r="J1808">
        <v>-323.7636</v>
      </c>
      <c r="K1808">
        <v>1.1090549999999999</v>
      </c>
      <c r="L1808">
        <v>285.3612</v>
      </c>
      <c r="M1808">
        <v>-0.99981180000000003</v>
      </c>
      <c r="N1808">
        <v>0</v>
      </c>
      <c r="O1808">
        <v>1.72426E-2</v>
      </c>
      <c r="P1808">
        <v>-0.98943539999999996</v>
      </c>
      <c r="Q1808">
        <v>-3.4296920000000002E-2</v>
      </c>
      <c r="R1808">
        <v>0.14086000000000001</v>
      </c>
      <c r="S1808">
        <v>-3.049347</v>
      </c>
      <c r="T1808">
        <v>-3.718925E-2</v>
      </c>
      <c r="U1808">
        <v>-0.13104250000000001</v>
      </c>
      <c r="V1808">
        <v>0.1237819</v>
      </c>
      <c r="W1808">
        <v>-2.5454850000000001E-2</v>
      </c>
      <c r="X1808">
        <v>0.9919829</v>
      </c>
      <c r="Y1808">
        <v>-6.0149580000000001E-2</v>
      </c>
      <c r="Z1808">
        <v>-5.7680610000000005E-4</v>
      </c>
      <c r="AA1808">
        <v>0.9981892</v>
      </c>
      <c r="AB1808">
        <v>41</v>
      </c>
      <c r="AC1808">
        <v>-90.7119</v>
      </c>
      <c r="AD1808">
        <v>-1.109051723506</v>
      </c>
      <c r="AE1808">
        <v>-3.9117999999999702</v>
      </c>
      <c r="AF1808">
        <v>-5.4745724402354004</v>
      </c>
      <c r="AG1808">
        <v>-1.109051723506</v>
      </c>
      <c r="AH1808">
        <v>90.617440906436897</v>
      </c>
      <c r="AI1808">
        <v>90.699922445574103</v>
      </c>
      <c r="AJ1808">
        <v>93.4572716714992</v>
      </c>
      <c r="AK1808">
        <v>90.789435153878898</v>
      </c>
      <c r="AL1808">
        <v>91.4586130330636</v>
      </c>
      <c r="AM1808">
        <v>82.887265819297895</v>
      </c>
      <c r="AN1808">
        <v>0.99999999102427095</v>
      </c>
    </row>
    <row r="1809" spans="1:40" x14ac:dyDescent="0.25">
      <c r="A1809" t="str">
        <f>"20190312161302801"</f>
        <v>20190312161302801</v>
      </c>
      <c r="B1809" t="str">
        <f>"1552378382798119"</f>
        <v>1552378382798119</v>
      </c>
      <c r="C1809" t="s">
        <v>40</v>
      </c>
      <c r="D1809">
        <v>5.3076420000000004</v>
      </c>
      <c r="E1809">
        <v>0.48561029999999999</v>
      </c>
      <c r="F1809" t="s">
        <v>74</v>
      </c>
      <c r="G1809">
        <v>-414.62509999999997</v>
      </c>
      <c r="H1809" s="1">
        <v>3.3019239999999999E-6</v>
      </c>
      <c r="I1809">
        <v>281.46199999999999</v>
      </c>
      <c r="J1809">
        <v>-324.09519999999998</v>
      </c>
      <c r="K1809">
        <v>1.1090549999999999</v>
      </c>
      <c r="L1809">
        <v>285.36689999999999</v>
      </c>
      <c r="M1809">
        <v>-0.99981279999999995</v>
      </c>
      <c r="N1809">
        <v>0</v>
      </c>
      <c r="O1809">
        <v>1.7179050000000001E-2</v>
      </c>
      <c r="P1809">
        <v>-0.98947030000000002</v>
      </c>
      <c r="Q1809">
        <v>-3.386223E-2</v>
      </c>
      <c r="R1809">
        <v>0.14072029999999999</v>
      </c>
      <c r="S1809">
        <v>-3.0493769999999998</v>
      </c>
      <c r="T1809">
        <v>-3.7220599999999902E-2</v>
      </c>
      <c r="U1809">
        <v>-0.13085939999999999</v>
      </c>
      <c r="V1809">
        <v>0.12370490000000001</v>
      </c>
      <c r="W1809">
        <v>-2.50101E-2</v>
      </c>
      <c r="X1809">
        <v>0.99200390000000005</v>
      </c>
      <c r="Y1809">
        <v>-6.0025889999999998E-2</v>
      </c>
      <c r="Z1809">
        <v>-5.7575740000000001E-4</v>
      </c>
      <c r="AA1809">
        <v>0.99819669999999905</v>
      </c>
      <c r="AB1809">
        <v>41</v>
      </c>
      <c r="AC1809">
        <v>-90.529899999999998</v>
      </c>
      <c r="AD1809">
        <v>-1.1090516980759999</v>
      </c>
      <c r="AE1809">
        <v>-3.9048999999999898</v>
      </c>
      <c r="AF1809">
        <v>-5.4587852824294201</v>
      </c>
      <c r="AG1809">
        <v>-1.1090516980759999</v>
      </c>
      <c r="AH1809">
        <v>90.435906931774198</v>
      </c>
      <c r="AI1809">
        <v>90.701329507711407</v>
      </c>
      <c r="AJ1809">
        <v>93.454229085633102</v>
      </c>
      <c r="AK1809">
        <v>90.607293277093206</v>
      </c>
      <c r="AL1809">
        <v>91.433122502013404</v>
      </c>
      <c r="AM1809">
        <v>82.8917940434294</v>
      </c>
      <c r="AN1809">
        <v>1.00000007250061</v>
      </c>
    </row>
    <row r="1810" spans="1:40" x14ac:dyDescent="0.25">
      <c r="A1810" t="str">
        <f>"20190312161302823"</f>
        <v>20190312161302823</v>
      </c>
      <c r="B1810" t="str">
        <f>"1552378382817641"</f>
        <v>1552378382817641</v>
      </c>
      <c r="C1810" t="s">
        <v>40</v>
      </c>
      <c r="D1810">
        <v>5.5774330000000001</v>
      </c>
      <c r="E1810">
        <v>0.49547590000000002</v>
      </c>
      <c r="F1810" t="s">
        <v>43</v>
      </c>
      <c r="G1810">
        <v>-324.93630000000002</v>
      </c>
      <c r="H1810">
        <v>0.99254920000000002</v>
      </c>
      <c r="I1810">
        <v>285.45139999999998</v>
      </c>
      <c r="J1810">
        <v>-324.51159999999999</v>
      </c>
      <c r="K1810">
        <v>1.109056</v>
      </c>
      <c r="L1810">
        <v>285.37400000000002</v>
      </c>
      <c r="M1810">
        <v>-0.99981410000000004</v>
      </c>
      <c r="N1810">
        <v>0</v>
      </c>
      <c r="O1810">
        <v>1.7098749999999999E-2</v>
      </c>
      <c r="P1810">
        <v>-0.98945000000000005</v>
      </c>
      <c r="Q1810">
        <v>-3.3965389999999998E-2</v>
      </c>
      <c r="R1810">
        <v>0.1408365</v>
      </c>
      <c r="S1810">
        <v>-2.9754640000000001</v>
      </c>
      <c r="T1810">
        <v>-0.41226839999999998</v>
      </c>
      <c r="U1810">
        <v>0.29754639999999999</v>
      </c>
      <c r="V1810">
        <v>0.1239011</v>
      </c>
      <c r="W1810">
        <v>-2.5101249999999999E-2</v>
      </c>
      <c r="X1810">
        <v>0.991977</v>
      </c>
      <c r="Y1810">
        <v>8.1862260000000006E-2</v>
      </c>
      <c r="Z1810">
        <v>3.2788539999999999E-3</v>
      </c>
      <c r="AA1810">
        <v>0.99663820000000003</v>
      </c>
      <c r="AB1810">
        <v>41</v>
      </c>
      <c r="AC1810">
        <v>-0.424700000000029</v>
      </c>
      <c r="AD1810">
        <v>-0.11650679999999999</v>
      </c>
      <c r="AE1810">
        <v>7.7399999999954602E-2</v>
      </c>
      <c r="AF1810">
        <v>6.5365570075961901E-2</v>
      </c>
      <c r="AG1810">
        <v>-0.11650679999999999</v>
      </c>
      <c r="AH1810">
        <v>0.39704231003968998</v>
      </c>
      <c r="AI1810">
        <v>106.147803029025</v>
      </c>
      <c r="AJ1810">
        <v>80.651184222588896</v>
      </c>
      <c r="AK1810">
        <v>0.418914177558183</v>
      </c>
      <c r="AL1810">
        <v>91.438346811093695</v>
      </c>
      <c r="AM1810">
        <v>82.880444713458402</v>
      </c>
      <c r="AN1810">
        <v>0.99999996193088503</v>
      </c>
    </row>
    <row r="1811" spans="1:40" x14ac:dyDescent="0.25">
      <c r="A1811" t="str">
        <f>"20190312161302838"</f>
        <v>20190312161302838</v>
      </c>
      <c r="B1811" t="str">
        <f>"1552378382827399"</f>
        <v>1552378382827399</v>
      </c>
      <c r="C1811" t="s">
        <v>40</v>
      </c>
      <c r="D1811">
        <v>5.0034369999999999</v>
      </c>
      <c r="E1811">
        <v>0.49857649999999998</v>
      </c>
      <c r="F1811" t="s">
        <v>43</v>
      </c>
      <c r="G1811">
        <v>-325.29509999999999</v>
      </c>
      <c r="H1811">
        <v>0.97615229999999997</v>
      </c>
      <c r="I1811">
        <v>285.47289999999998</v>
      </c>
      <c r="J1811">
        <v>-324.78230000000002</v>
      </c>
      <c r="K1811">
        <v>1.1090549999999999</v>
      </c>
      <c r="L1811">
        <v>285.37860000000001</v>
      </c>
      <c r="M1811">
        <v>-0.99981489999999995</v>
      </c>
      <c r="N1811">
        <v>0</v>
      </c>
      <c r="O1811">
        <v>1.704702E-2</v>
      </c>
      <c r="P1811">
        <v>-0.98935099999999998</v>
      </c>
      <c r="Q1811">
        <v>-3.411761E-2</v>
      </c>
      <c r="R1811">
        <v>0.14149410000000001</v>
      </c>
      <c r="S1811">
        <v>-2.9617309999999999</v>
      </c>
      <c r="T1811">
        <v>-0.50257680000000005</v>
      </c>
      <c r="U1811">
        <v>0.37216189999999999</v>
      </c>
      <c r="V1811">
        <v>0.12461170000000001</v>
      </c>
      <c r="W1811">
        <v>-2.524624E-2</v>
      </c>
      <c r="X1811">
        <v>0.9918844</v>
      </c>
      <c r="Y1811">
        <v>0.1064855</v>
      </c>
      <c r="Z1811">
        <v>6.0758349999999999E-3</v>
      </c>
      <c r="AA1811">
        <v>0.9942957</v>
      </c>
      <c r="AB1811">
        <v>41</v>
      </c>
      <c r="AC1811">
        <v>-0.51279999999996995</v>
      </c>
      <c r="AD1811">
        <v>-0.13290269999999901</v>
      </c>
      <c r="AE1811">
        <v>9.4299999999975598E-2</v>
      </c>
      <c r="AF1811">
        <v>8.0325316848331205E-2</v>
      </c>
      <c r="AG1811">
        <v>-0.13290269999999901</v>
      </c>
      <c r="AH1811">
        <v>0.482954422854521</v>
      </c>
      <c r="AI1811">
        <v>105.18739904280901</v>
      </c>
      <c r="AJ1811">
        <v>80.556965657540303</v>
      </c>
      <c r="AK1811">
        <v>0.50730686842267203</v>
      </c>
      <c r="AL1811">
        <v>91.446656624324106</v>
      </c>
      <c r="AM1811">
        <v>82.839373585180795</v>
      </c>
      <c r="AN1811">
        <v>1.00000005568719</v>
      </c>
    </row>
    <row r="1812" spans="1:40" x14ac:dyDescent="0.25">
      <c r="A1812" t="str">
        <f>"20190312161302858"</f>
        <v>20190312161302858</v>
      </c>
      <c r="B1812" t="str">
        <f>"1552378382847896"</f>
        <v>1552378382847896</v>
      </c>
      <c r="C1812" t="s">
        <v>40</v>
      </c>
      <c r="D1812">
        <v>5.5511419999999996</v>
      </c>
      <c r="E1812">
        <v>0.50119170000000002</v>
      </c>
      <c r="F1812" t="s">
        <v>43</v>
      </c>
      <c r="G1812">
        <v>-325.65069999999997</v>
      </c>
      <c r="H1812">
        <v>0.95164289999999996</v>
      </c>
      <c r="I1812">
        <v>285.49549999999999</v>
      </c>
      <c r="J1812">
        <v>-325.13630000000001</v>
      </c>
      <c r="K1812">
        <v>1.109056</v>
      </c>
      <c r="L1812">
        <v>285.38459999999998</v>
      </c>
      <c r="M1812">
        <v>-0.99981600000000004</v>
      </c>
      <c r="N1812">
        <v>0</v>
      </c>
      <c r="O1812">
        <v>1.6979129999999999E-2</v>
      </c>
      <c r="P1812">
        <v>-0.98928079999999996</v>
      </c>
      <c r="Q1812">
        <v>-3.416835E-2</v>
      </c>
      <c r="R1812">
        <v>0.1419715</v>
      </c>
      <c r="S1812">
        <v>-2.9570310000000002</v>
      </c>
      <c r="T1812">
        <v>-0.53605209999999903</v>
      </c>
      <c r="U1812">
        <v>0.39724730000000003</v>
      </c>
      <c r="V1812">
        <v>0.1251575</v>
      </c>
      <c r="W1812">
        <v>-2.5287210000000001E-2</v>
      </c>
      <c r="X1812">
        <v>0.99181459999999999</v>
      </c>
      <c r="Y1812">
        <v>0.11473170000000001</v>
      </c>
      <c r="Z1812">
        <v>7.231286E-3</v>
      </c>
      <c r="AA1812">
        <v>0.99337019999999998</v>
      </c>
      <c r="AB1812">
        <v>41</v>
      </c>
      <c r="AC1812">
        <v>-0.514399999999966</v>
      </c>
      <c r="AD1812">
        <v>-0.1574131</v>
      </c>
      <c r="AE1812">
        <v>0.110900000000015</v>
      </c>
      <c r="AF1812">
        <v>9.3759548109386595E-2</v>
      </c>
      <c r="AG1812">
        <v>-0.1574131</v>
      </c>
      <c r="AH1812">
        <v>0.47381011336490197</v>
      </c>
      <c r="AI1812">
        <v>108.051230554778</v>
      </c>
      <c r="AJ1812">
        <v>78.806677170203301</v>
      </c>
      <c r="AK1812">
        <v>0.50800173271372595</v>
      </c>
      <c r="AL1812">
        <v>91.449004831075996</v>
      </c>
      <c r="AM1812">
        <v>82.807836854849199</v>
      </c>
      <c r="AN1812">
        <v>1.00000002178449</v>
      </c>
    </row>
    <row r="1813" spans="1:40" x14ac:dyDescent="0.25">
      <c r="A1813" t="str">
        <f>"20190312161302871"</f>
        <v>20190312161302871</v>
      </c>
      <c r="B1813" t="str">
        <f>"1552378382867922"</f>
        <v>1552378382867922</v>
      </c>
      <c r="C1813" t="s">
        <v>40</v>
      </c>
      <c r="D1813">
        <v>5.0136900000000004</v>
      </c>
      <c r="E1813">
        <v>0.50343349999999998</v>
      </c>
      <c r="F1813" t="s">
        <v>43</v>
      </c>
      <c r="G1813">
        <v>-326.01459999999997</v>
      </c>
      <c r="H1813">
        <v>0.94292880000000001</v>
      </c>
      <c r="I1813">
        <v>285.50909999999999</v>
      </c>
      <c r="J1813">
        <v>-325.38709999999998</v>
      </c>
      <c r="K1813">
        <v>1.1090580000000001</v>
      </c>
      <c r="L1813">
        <v>285.3888</v>
      </c>
      <c r="M1813">
        <v>-0.9998167</v>
      </c>
      <c r="N1813">
        <v>0</v>
      </c>
      <c r="O1813">
        <v>1.6930750000000001E-2</v>
      </c>
      <c r="P1813">
        <v>-0.98922929999999998</v>
      </c>
      <c r="Q1813">
        <v>-3.4034740000000001E-2</v>
      </c>
      <c r="R1813">
        <v>0.14236309999999999</v>
      </c>
      <c r="S1813">
        <v>-2.9531860000000001</v>
      </c>
      <c r="T1813">
        <v>-0.55859009999999998</v>
      </c>
      <c r="U1813">
        <v>0.41818240000000001</v>
      </c>
      <c r="V1813">
        <v>0.12559799999999999</v>
      </c>
      <c r="W1813">
        <v>-2.5146760000000001E-2</v>
      </c>
      <c r="X1813">
        <v>0.99176249999999999</v>
      </c>
      <c r="Y1813">
        <v>0.1216021</v>
      </c>
      <c r="Z1813">
        <v>8.1862199999999993E-3</v>
      </c>
      <c r="AA1813">
        <v>0.99254520000000002</v>
      </c>
      <c r="AB1813">
        <v>41</v>
      </c>
      <c r="AC1813">
        <v>-0.62749999999999695</v>
      </c>
      <c r="AD1813">
        <v>-0.1661292</v>
      </c>
      <c r="AE1813">
        <v>0.120299999999986</v>
      </c>
      <c r="AF1813">
        <v>0.102714136447132</v>
      </c>
      <c r="AG1813">
        <v>-0.1661292</v>
      </c>
      <c r="AH1813">
        <v>0.58958695823777996</v>
      </c>
      <c r="AI1813">
        <v>105.514183955867</v>
      </c>
      <c r="AJ1813">
        <v>80.117472248216401</v>
      </c>
      <c r="AK1813">
        <v>0.62109732429209297</v>
      </c>
      <c r="AL1813">
        <v>91.440955057597094</v>
      </c>
      <c r="AM1813">
        <v>82.7824148794422</v>
      </c>
      <c r="AN1813">
        <v>1.00000003677437</v>
      </c>
    </row>
    <row r="1814" spans="1:40" x14ac:dyDescent="0.25">
      <c r="A1814" t="str">
        <f>"20190312161302884"</f>
        <v>20190312161302884</v>
      </c>
      <c r="B1814" t="str">
        <f>"1552378382877683"</f>
        <v>1552378382877683</v>
      </c>
      <c r="C1814" t="s">
        <v>40</v>
      </c>
      <c r="D1814">
        <v>5.0389359999999996</v>
      </c>
      <c r="E1814">
        <v>0.50383480000000003</v>
      </c>
      <c r="F1814" t="s">
        <v>43</v>
      </c>
      <c r="G1814">
        <v>-326.36939999999998</v>
      </c>
      <c r="H1814">
        <v>0.91139610000000004</v>
      </c>
      <c r="I1814">
        <v>285.53399999999999</v>
      </c>
      <c r="J1814">
        <v>-325.62950000000001</v>
      </c>
      <c r="K1814">
        <v>1.1090580000000001</v>
      </c>
      <c r="L1814">
        <v>285.3929</v>
      </c>
      <c r="M1814">
        <v>-0.99981750000000003</v>
      </c>
      <c r="N1814">
        <v>0</v>
      </c>
      <c r="O1814">
        <v>1.6884099999999999E-2</v>
      </c>
      <c r="P1814">
        <v>-0.98922920000000003</v>
      </c>
      <c r="Q1814">
        <v>-3.3841490000000002E-2</v>
      </c>
      <c r="R1814">
        <v>0.1424098</v>
      </c>
      <c r="S1814">
        <v>-2.9495239999999998</v>
      </c>
      <c r="T1814">
        <v>-0.59365809999999997</v>
      </c>
      <c r="U1814">
        <v>0.43554690000000001</v>
      </c>
      <c r="V1814">
        <v>0.125691</v>
      </c>
      <c r="W1814">
        <v>-2.4946619999999999E-2</v>
      </c>
      <c r="X1814">
        <v>0.99175570000000002</v>
      </c>
      <c r="Y1814">
        <v>0.12719420000000001</v>
      </c>
      <c r="Z1814">
        <v>9.2609760000000006E-3</v>
      </c>
      <c r="AA1814">
        <v>0.99183460000000001</v>
      </c>
      <c r="AB1814">
        <v>41</v>
      </c>
      <c r="AC1814">
        <v>-0.73989999999997702</v>
      </c>
      <c r="AD1814">
        <v>-0.1976619</v>
      </c>
      <c r="AE1814">
        <v>0.14109999999999401</v>
      </c>
      <c r="AF1814">
        <v>0.120302446464137</v>
      </c>
      <c r="AG1814">
        <v>-0.1976619</v>
      </c>
      <c r="AH1814">
        <v>0.69436113429094204</v>
      </c>
      <c r="AI1814">
        <v>105.668202412703</v>
      </c>
      <c r="AJ1814">
        <v>80.170720598934494</v>
      </c>
      <c r="AK1814">
        <v>0.73190183095185002</v>
      </c>
      <c r="AL1814">
        <v>91.429484384859904</v>
      </c>
      <c r="AM1814">
        <v>82.777077983044705</v>
      </c>
      <c r="AN1814">
        <v>0.99999996490645604</v>
      </c>
    </row>
    <row r="1815" spans="1:40" x14ac:dyDescent="0.25">
      <c r="A1815" t="str">
        <f>"20190312161302902"</f>
        <v>20190312161302902</v>
      </c>
      <c r="B1815" t="str">
        <f>"1552378382897202"</f>
        <v>1552378382897202</v>
      </c>
      <c r="C1815" t="s">
        <v>40</v>
      </c>
      <c r="D1815">
        <v>5.0952859999999998</v>
      </c>
      <c r="E1815">
        <v>0.50406759999999995</v>
      </c>
      <c r="F1815" t="s">
        <v>43</v>
      </c>
      <c r="G1815">
        <v>-326.3888</v>
      </c>
      <c r="H1815">
        <v>0.95513159999999997</v>
      </c>
      <c r="I1815">
        <v>285.5061</v>
      </c>
      <c r="J1815">
        <v>-325.9409</v>
      </c>
      <c r="K1815">
        <v>1.109057</v>
      </c>
      <c r="L1815">
        <v>285.3981</v>
      </c>
      <c r="M1815">
        <v>-0.9998184</v>
      </c>
      <c r="N1815">
        <v>0</v>
      </c>
      <c r="O1815">
        <v>1.6824209999999999E-2</v>
      </c>
      <c r="P1815">
        <v>-0.98919999999999997</v>
      </c>
      <c r="Q1815">
        <v>-3.3806089999999997E-2</v>
      </c>
      <c r="R1815">
        <v>0.14262130000000001</v>
      </c>
      <c r="S1815">
        <v>-2.9490050000000001</v>
      </c>
      <c r="T1815">
        <v>-0.5978599</v>
      </c>
      <c r="U1815">
        <v>0.43899539999999998</v>
      </c>
      <c r="V1815">
        <v>0.12596250000000001</v>
      </c>
      <c r="W1815">
        <v>-2.490266E-2</v>
      </c>
      <c r="X1815">
        <v>0.9917224</v>
      </c>
      <c r="Y1815">
        <v>0.12835849999999999</v>
      </c>
      <c r="Z1815">
        <v>9.4542210000000005E-3</v>
      </c>
      <c r="AA1815">
        <v>0.99168279999999998</v>
      </c>
      <c r="AB1815">
        <v>41</v>
      </c>
      <c r="AC1815">
        <v>-0.44790000000000402</v>
      </c>
      <c r="AD1815">
        <v>-0.15392539999999999</v>
      </c>
      <c r="AE1815">
        <v>0.108000000000004</v>
      </c>
      <c r="AF1815">
        <v>9.0363146032017394E-2</v>
      </c>
      <c r="AG1815">
        <v>-0.15392539999999999</v>
      </c>
      <c r="AH1815">
        <v>0.40450560639017302</v>
      </c>
      <c r="AI1815">
        <v>110.37366585565699</v>
      </c>
      <c r="AJ1815">
        <v>77.407361831964394</v>
      </c>
      <c r="AK1815">
        <v>0.44213494832126199</v>
      </c>
      <c r="AL1815">
        <v>91.426964820537705</v>
      </c>
      <c r="AM1815">
        <v>82.761400873681694</v>
      </c>
      <c r="AN1815">
        <v>1.00000000627154</v>
      </c>
    </row>
    <row r="1816" spans="1:40" x14ac:dyDescent="0.25">
      <c r="A1816" t="str">
        <f>"20190312161302915"</f>
        <v>20190312161302915</v>
      </c>
      <c r="B1816" t="str">
        <f>"1552378382907939"</f>
        <v>1552378382907939</v>
      </c>
      <c r="C1816" t="s">
        <v>40</v>
      </c>
      <c r="D1816">
        <v>5.5391539999999999</v>
      </c>
      <c r="E1816">
        <v>0.50416280000000002</v>
      </c>
      <c r="F1816" t="s">
        <v>43</v>
      </c>
      <c r="G1816">
        <v>-326.75310000000002</v>
      </c>
      <c r="H1816">
        <v>0.94498749999999998</v>
      </c>
      <c r="I1816">
        <v>285.51990000000001</v>
      </c>
      <c r="J1816">
        <v>-326.21629999999999</v>
      </c>
      <c r="K1816">
        <v>1.109056</v>
      </c>
      <c r="L1816">
        <v>285.40269999999998</v>
      </c>
      <c r="M1816">
        <v>-0.99981929999999997</v>
      </c>
      <c r="N1816">
        <v>0</v>
      </c>
      <c r="O1816">
        <v>1.677118E-2</v>
      </c>
      <c r="P1816">
        <v>-0.98917049999999995</v>
      </c>
      <c r="Q1816">
        <v>-3.3803140000000002E-2</v>
      </c>
      <c r="R1816">
        <v>0.142826799999999</v>
      </c>
      <c r="S1816">
        <v>-2.9487000000000001</v>
      </c>
      <c r="T1816">
        <v>-0.595732699999999</v>
      </c>
      <c r="U1816">
        <v>0.44177250000000001</v>
      </c>
      <c r="V1816">
        <v>0.126221</v>
      </c>
      <c r="W1816">
        <v>-2.4892210000000001E-2</v>
      </c>
      <c r="X1816">
        <v>0.99168979999999995</v>
      </c>
      <c r="Y1816">
        <v>0.1293348</v>
      </c>
      <c r="Z1816">
        <v>9.5292109999999992E-3</v>
      </c>
      <c r="AA1816">
        <v>0.99155519999999997</v>
      </c>
      <c r="AB1816">
        <v>41</v>
      </c>
      <c r="AC1816">
        <v>-0.53680000000002703</v>
      </c>
      <c r="AD1816">
        <v>-0.16406850000000001</v>
      </c>
      <c r="AE1816">
        <v>0.11720000000002501</v>
      </c>
      <c r="AF1816">
        <v>9.9324013336986205E-2</v>
      </c>
      <c r="AG1816">
        <v>-0.16406850000000001</v>
      </c>
      <c r="AH1816">
        <v>0.49458936818023003</v>
      </c>
      <c r="AI1816">
        <v>108.016252557355</v>
      </c>
      <c r="AJ1816">
        <v>78.644834952815998</v>
      </c>
      <c r="AK1816">
        <v>0.53047372737444298</v>
      </c>
      <c r="AL1816">
        <v>91.426365886965201</v>
      </c>
      <c r="AM1816">
        <v>82.746467979226907</v>
      </c>
      <c r="AN1816">
        <v>1.0000000111918601</v>
      </c>
    </row>
    <row r="1817" spans="1:40" x14ac:dyDescent="0.25">
      <c r="A1817" t="str">
        <f>"20190312161302929"</f>
        <v>20190312161302929</v>
      </c>
      <c r="B1817" t="str">
        <f>"1552378382917701"</f>
        <v>1552378382917701</v>
      </c>
      <c r="C1817" t="s">
        <v>40</v>
      </c>
      <c r="D1817">
        <v>5.3627690000000001</v>
      </c>
      <c r="E1817">
        <v>0.5040386</v>
      </c>
      <c r="F1817" t="s">
        <v>43</v>
      </c>
      <c r="G1817">
        <v>-327.11470000000003</v>
      </c>
      <c r="H1817">
        <v>0.92771599999999999</v>
      </c>
      <c r="I1817">
        <v>285.53809999999999</v>
      </c>
      <c r="J1817">
        <v>-326.46179999999998</v>
      </c>
      <c r="K1817">
        <v>1.1090610000000001</v>
      </c>
      <c r="L1817">
        <v>285.40679999999998</v>
      </c>
      <c r="M1817">
        <v>-0.99981989999999998</v>
      </c>
      <c r="N1817">
        <v>0</v>
      </c>
      <c r="O1817">
        <v>1.6723999999999999E-2</v>
      </c>
      <c r="P1817">
        <v>-0.98917409999999995</v>
      </c>
      <c r="Q1817">
        <v>-3.39922E-2</v>
      </c>
      <c r="R1817">
        <v>0.14275639999999901</v>
      </c>
      <c r="S1817">
        <v>-2.9484859999999999</v>
      </c>
      <c r="T1817">
        <v>-0.59527909999999995</v>
      </c>
      <c r="U1817">
        <v>0.44305420000000001</v>
      </c>
      <c r="V1817">
        <v>0.12619749999999999</v>
      </c>
      <c r="W1817">
        <v>-2.5074430000000002E-2</v>
      </c>
      <c r="X1817">
        <v>0.99168820000000002</v>
      </c>
      <c r="Y1817">
        <v>0.12980659999999999</v>
      </c>
      <c r="Z1817">
        <v>9.5787449999999996E-3</v>
      </c>
      <c r="AA1817">
        <v>0.99149299999999996</v>
      </c>
      <c r="AB1817">
        <v>41</v>
      </c>
      <c r="AC1817">
        <v>-0.652900000000045</v>
      </c>
      <c r="AD1817">
        <v>-0.18134500000000001</v>
      </c>
      <c r="AE1817">
        <v>0.13130000000000999</v>
      </c>
      <c r="AF1817">
        <v>0.11205354303828299</v>
      </c>
      <c r="AG1817">
        <v>-0.18134500000000001</v>
      </c>
      <c r="AH1817">
        <v>0.60978988977149995</v>
      </c>
      <c r="AI1817">
        <v>106.303778256981</v>
      </c>
      <c r="AJ1817">
        <v>79.587624249850805</v>
      </c>
      <c r="AK1817">
        <v>0.64597655932701603</v>
      </c>
      <c r="AL1817">
        <v>91.436809583844806</v>
      </c>
      <c r="AM1817">
        <v>82.747792496381606</v>
      </c>
      <c r="AN1817">
        <v>1.0000000110326499</v>
      </c>
    </row>
    <row r="1818" spans="1:40" x14ac:dyDescent="0.25">
      <c r="A1818" t="str">
        <f>"20190312161302960"</f>
        <v>20190312161302960</v>
      </c>
      <c r="B1818" t="str">
        <f>"1552378382947955"</f>
        <v>1552378382947955</v>
      </c>
      <c r="C1818" t="s">
        <v>40</v>
      </c>
      <c r="D1818">
        <v>5.1972050000000003</v>
      </c>
      <c r="E1818">
        <v>0.50374579999999902</v>
      </c>
      <c r="F1818" t="s">
        <v>43</v>
      </c>
      <c r="G1818">
        <v>-327.47500000000002</v>
      </c>
      <c r="H1818">
        <v>0.90447770000000005</v>
      </c>
      <c r="I1818">
        <v>285.55869999999999</v>
      </c>
      <c r="J1818">
        <v>-327.02350000000001</v>
      </c>
      <c r="K1818">
        <v>1.109064</v>
      </c>
      <c r="L1818">
        <v>285.41609999999997</v>
      </c>
      <c r="M1818">
        <v>-0.99982159999999998</v>
      </c>
      <c r="N1818">
        <v>0</v>
      </c>
      <c r="O1818">
        <v>1.6615439999999999E-2</v>
      </c>
      <c r="P1818">
        <v>-0.98920399999999997</v>
      </c>
      <c r="Q1818">
        <v>-3.4060380000000001E-2</v>
      </c>
      <c r="R1818">
        <v>0.1425313</v>
      </c>
      <c r="S1818">
        <v>-2.9485779999999999</v>
      </c>
      <c r="T1818">
        <v>-0.59537299999999904</v>
      </c>
      <c r="U1818">
        <v>0.44174190000000002</v>
      </c>
      <c r="V1818">
        <v>0.12607930000000001</v>
      </c>
      <c r="W1818">
        <v>-2.5126929999999999E-2</v>
      </c>
      <c r="X1818">
        <v>0.99170190000000003</v>
      </c>
      <c r="Y1818">
        <v>0.1294816</v>
      </c>
      <c r="Z1818">
        <v>9.569503E-3</v>
      </c>
      <c r="AA1818">
        <v>0.99153570000000002</v>
      </c>
      <c r="AB1818">
        <v>41</v>
      </c>
      <c r="AC1818">
        <v>-0.45150000000001</v>
      </c>
      <c r="AD1818">
        <v>-0.204586299999999</v>
      </c>
      <c r="AE1818">
        <v>0.14260000000001499</v>
      </c>
      <c r="AF1818">
        <v>0.113826763924102</v>
      </c>
      <c r="AG1818">
        <v>-0.204586299999999</v>
      </c>
      <c r="AH1818">
        <v>0.38241122318193199</v>
      </c>
      <c r="AI1818">
        <v>117.146822190184</v>
      </c>
      <c r="AJ1818">
        <v>73.424079134584204</v>
      </c>
      <c r="AK1818">
        <v>0.44838647386894398</v>
      </c>
      <c r="AL1818">
        <v>91.439818568273793</v>
      </c>
      <c r="AM1818">
        <v>82.754611922458906</v>
      </c>
      <c r="AN1818">
        <v>1.00000000548166</v>
      </c>
    </row>
    <row r="1819" spans="1:40" x14ac:dyDescent="0.25">
      <c r="A1819" t="str">
        <f>"20190312161302973"</f>
        <v>20190312161302973</v>
      </c>
      <c r="B1819" t="str">
        <f>"1552378382967984"</f>
        <v>1552378382967984</v>
      </c>
      <c r="C1819" t="s">
        <v>40</v>
      </c>
      <c r="D1819">
        <v>5.2020860000000004</v>
      </c>
      <c r="E1819">
        <v>0.50445340000000005</v>
      </c>
      <c r="F1819" t="s">
        <v>43</v>
      </c>
      <c r="G1819">
        <v>-327.86009999999999</v>
      </c>
      <c r="H1819">
        <v>0.9388919</v>
      </c>
      <c r="I1819">
        <v>285.54090000000002</v>
      </c>
      <c r="J1819">
        <v>-327.28710000000001</v>
      </c>
      <c r="K1819">
        <v>1.1090610000000001</v>
      </c>
      <c r="L1819">
        <v>285.42039999999997</v>
      </c>
      <c r="M1819">
        <v>-0.9998224</v>
      </c>
      <c r="N1819">
        <v>0</v>
      </c>
      <c r="O1819">
        <v>1.6564559999999999E-2</v>
      </c>
      <c r="P1819">
        <v>-0.98922969999999999</v>
      </c>
      <c r="Q1819">
        <v>-3.3906220000000001E-2</v>
      </c>
      <c r="R1819">
        <v>0.1423915</v>
      </c>
      <c r="S1819">
        <v>-2.9488829999999999</v>
      </c>
      <c r="T1819">
        <v>-0.59986169999999905</v>
      </c>
      <c r="U1819">
        <v>0.43856810000000002</v>
      </c>
      <c r="V1819">
        <v>0.12598989999999999</v>
      </c>
      <c r="W1819">
        <v>-2.4965290000000001E-2</v>
      </c>
      <c r="X1819">
        <v>0.99171730000000002</v>
      </c>
      <c r="Y1819">
        <v>0.1284592</v>
      </c>
      <c r="Z1819">
        <v>9.5477830000000007E-3</v>
      </c>
      <c r="AA1819">
        <v>0.99166880000000002</v>
      </c>
      <c r="AB1819">
        <v>41</v>
      </c>
      <c r="AC1819">
        <v>-0.57299999999997897</v>
      </c>
      <c r="AD1819">
        <v>-0.17016909999999999</v>
      </c>
      <c r="AE1819">
        <v>0.120500000000049</v>
      </c>
      <c r="AF1819">
        <v>0.10234720302596</v>
      </c>
      <c r="AG1819">
        <v>-0.17016909999999999</v>
      </c>
      <c r="AH1819">
        <v>0.53014104049159205</v>
      </c>
      <c r="AI1819">
        <v>107.493224429436</v>
      </c>
      <c r="AJ1819">
        <v>79.073102212563896</v>
      </c>
      <c r="AK1819">
        <v>0.56611129239360203</v>
      </c>
      <c r="AL1819">
        <v>91.430554434719497</v>
      </c>
      <c r="AM1819">
        <v>82.759806165565706</v>
      </c>
      <c r="AN1819">
        <v>0.99999996186304096</v>
      </c>
    </row>
    <row r="1820" spans="1:40" x14ac:dyDescent="0.25">
      <c r="A1820" t="str">
        <f>"20190312161302992"</f>
        <v>20190312161302992</v>
      </c>
      <c r="B1820" t="str">
        <f>"1552378382977742"</f>
        <v>1552378382977742</v>
      </c>
      <c r="C1820" t="s">
        <v>40</v>
      </c>
      <c r="D1820">
        <v>5.1742059999999999</v>
      </c>
      <c r="E1820">
        <v>0.50511039999999996</v>
      </c>
      <c r="F1820" t="s">
        <v>43</v>
      </c>
      <c r="G1820">
        <v>-328.22140000000002</v>
      </c>
      <c r="H1820">
        <v>0.91697669999999998</v>
      </c>
      <c r="I1820">
        <v>285.56110000000001</v>
      </c>
      <c r="J1820">
        <v>-327.61799999999999</v>
      </c>
      <c r="K1820">
        <v>1.109065</v>
      </c>
      <c r="L1820">
        <v>285.42579999999998</v>
      </c>
      <c r="M1820">
        <v>-0.99982329999999997</v>
      </c>
      <c r="N1820">
        <v>0</v>
      </c>
      <c r="O1820">
        <v>1.6500979999999998E-2</v>
      </c>
      <c r="P1820">
        <v>-0.98927290000000001</v>
      </c>
      <c r="Q1820">
        <v>-3.3983480000000003E-2</v>
      </c>
      <c r="R1820">
        <v>0.1420718</v>
      </c>
      <c r="S1820">
        <v>-2.9479980000000001</v>
      </c>
      <c r="T1820">
        <v>-0.60607699999999998</v>
      </c>
      <c r="U1820">
        <v>0.44363399999999997</v>
      </c>
      <c r="V1820">
        <v>0.1257325</v>
      </c>
      <c r="W1820">
        <v>-2.5033E-2</v>
      </c>
      <c r="X1820">
        <v>0.99174830000000003</v>
      </c>
      <c r="Y1820">
        <v>0.1301494</v>
      </c>
      <c r="Z1820">
        <v>9.8302359999999991E-3</v>
      </c>
      <c r="AA1820">
        <v>0.99144569999999999</v>
      </c>
      <c r="AB1820">
        <v>41</v>
      </c>
      <c r="AC1820">
        <v>-0.60340000000002103</v>
      </c>
      <c r="AD1820">
        <v>-0.19208829999999999</v>
      </c>
      <c r="AE1820">
        <v>0.13530000000002901</v>
      </c>
      <c r="AF1820">
        <v>0.114295956186779</v>
      </c>
      <c r="AG1820">
        <v>-0.19208829999999999</v>
      </c>
      <c r="AH1820">
        <v>0.55226220490935496</v>
      </c>
      <c r="AI1820">
        <v>108.808992439611</v>
      </c>
      <c r="AJ1820">
        <v>78.307167632405793</v>
      </c>
      <c r="AK1820">
        <v>0.59578101981255105</v>
      </c>
      <c r="AL1820">
        <v>91.434435087916995</v>
      </c>
      <c r="AM1820">
        <v>82.7746650127485</v>
      </c>
      <c r="AN1820">
        <v>1.00000000159907</v>
      </c>
    </row>
    <row r="1821" spans="1:40" x14ac:dyDescent="0.25">
      <c r="A1821" t="str">
        <f>"20190312161303007"</f>
        <v>20190312161303007</v>
      </c>
      <c r="B1821" t="str">
        <f>"1552378382997262"</f>
        <v>1552378382997262</v>
      </c>
      <c r="C1821" t="s">
        <v>40</v>
      </c>
      <c r="D1821">
        <v>5.9260140000000003</v>
      </c>
      <c r="E1821">
        <v>0.50578389999999995</v>
      </c>
      <c r="F1821" t="s">
        <v>43</v>
      </c>
      <c r="G1821">
        <v>-328.58909999999997</v>
      </c>
      <c r="H1821">
        <v>0.90740869999999996</v>
      </c>
      <c r="I1821">
        <v>285.57350000000002</v>
      </c>
      <c r="J1821">
        <v>-327.92270000000002</v>
      </c>
      <c r="K1821">
        <v>1.109064</v>
      </c>
      <c r="L1821">
        <v>285.43079999999998</v>
      </c>
      <c r="M1821">
        <v>-0.9998243</v>
      </c>
      <c r="N1821">
        <v>0</v>
      </c>
      <c r="O1821">
        <v>1.6442109999999999E-2</v>
      </c>
      <c r="P1821">
        <v>-0.98928190000000005</v>
      </c>
      <c r="Q1821">
        <v>-3.3826120000000001E-2</v>
      </c>
      <c r="R1821">
        <v>0.1420477</v>
      </c>
      <c r="S1821">
        <v>-2.947235</v>
      </c>
      <c r="T1821">
        <v>-0.61208899999999999</v>
      </c>
      <c r="U1821">
        <v>0.44729609999999898</v>
      </c>
      <c r="V1821">
        <v>0.12576660000000001</v>
      </c>
      <c r="W1821">
        <v>-2.4867190000000001E-2</v>
      </c>
      <c r="X1821">
        <v>0.99174819999999997</v>
      </c>
      <c r="Y1821">
        <v>0.13137660000000001</v>
      </c>
      <c r="Z1821">
        <v>1.0064780000000001E-2</v>
      </c>
      <c r="AA1821">
        <v>0.99128139999999998</v>
      </c>
      <c r="AB1821">
        <v>41</v>
      </c>
      <c r="AC1821">
        <v>-0.66639999999995303</v>
      </c>
      <c r="AD1821">
        <v>-0.20165530000000001</v>
      </c>
      <c r="AE1821">
        <v>0.14270000000004701</v>
      </c>
      <c r="AF1821">
        <v>0.121118756363803</v>
      </c>
      <c r="AG1821">
        <v>-0.20165530000000001</v>
      </c>
      <c r="AH1821">
        <v>0.614825578787907</v>
      </c>
      <c r="AI1821">
        <v>107.838332038357</v>
      </c>
      <c r="AJ1821">
        <v>78.855607651587107</v>
      </c>
      <c r="AK1821">
        <v>0.65828953014087199</v>
      </c>
      <c r="AL1821">
        <v>91.424931842380403</v>
      </c>
      <c r="AM1821">
        <v>82.772725421012893</v>
      </c>
      <c r="AN1821">
        <v>1.00000005350864</v>
      </c>
    </row>
    <row r="1822" spans="1:40" x14ac:dyDescent="0.25">
      <c r="A1822" t="str">
        <f>"20190312161303024"</f>
        <v>20190312161303024</v>
      </c>
      <c r="B1822" t="str">
        <f>"1552378383017758"</f>
        <v>1552378383017758</v>
      </c>
      <c r="C1822" t="s">
        <v>40</v>
      </c>
      <c r="D1822">
        <v>5.2603619999999998</v>
      </c>
      <c r="E1822">
        <v>0.50635799999999997</v>
      </c>
      <c r="F1822" t="s">
        <v>43</v>
      </c>
      <c r="G1822">
        <v>-328.61520000000002</v>
      </c>
      <c r="H1822">
        <v>0.96580049999999995</v>
      </c>
      <c r="I1822">
        <v>285.53750000000002</v>
      </c>
      <c r="J1822">
        <v>-328.22399999999999</v>
      </c>
      <c r="K1822">
        <v>1.109065</v>
      </c>
      <c r="L1822">
        <v>285.43579999999997</v>
      </c>
      <c r="M1822">
        <v>-0.99982510000000002</v>
      </c>
      <c r="N1822">
        <v>0</v>
      </c>
      <c r="O1822">
        <v>1.638419E-2</v>
      </c>
      <c r="P1822">
        <v>-0.98926320000000001</v>
      </c>
      <c r="Q1822">
        <v>-3.3965330000000002E-2</v>
      </c>
      <c r="R1822">
        <v>0.14214299999999999</v>
      </c>
      <c r="S1822">
        <v>-2.9466549999999998</v>
      </c>
      <c r="T1822">
        <v>-0.60962139999999998</v>
      </c>
      <c r="U1822">
        <v>0.45281979999999999</v>
      </c>
      <c r="V1822">
        <v>0.12591959999999999</v>
      </c>
      <c r="W1822">
        <v>-2.4998369999999999E-2</v>
      </c>
      <c r="X1822">
        <v>0.99172539999999998</v>
      </c>
      <c r="Y1822">
        <v>0.133257399999999</v>
      </c>
      <c r="Z1822">
        <v>1.02288E-2</v>
      </c>
      <c r="AA1822">
        <v>0.99102869999999998</v>
      </c>
      <c r="AB1822">
        <v>41</v>
      </c>
      <c r="AC1822">
        <v>-0.39120000000002603</v>
      </c>
      <c r="AD1822">
        <v>-0.14326449999999999</v>
      </c>
      <c r="AE1822">
        <v>0.10170000000005</v>
      </c>
      <c r="AF1822">
        <v>8.4643250900090297E-2</v>
      </c>
      <c r="AG1822">
        <v>-0.14326449999999999</v>
      </c>
      <c r="AH1822">
        <v>0.34897385036912998</v>
      </c>
      <c r="AI1822">
        <v>111.75016900125701</v>
      </c>
      <c r="AJ1822">
        <v>76.366255189804505</v>
      </c>
      <c r="AK1822">
        <v>0.38661601767728299</v>
      </c>
      <c r="AL1822">
        <v>91.4324503641229</v>
      </c>
      <c r="AM1822">
        <v>82.763861699739294</v>
      </c>
      <c r="AN1822">
        <v>0.999999966585987</v>
      </c>
    </row>
    <row r="1823" spans="1:40" x14ac:dyDescent="0.25">
      <c r="A1823" t="str">
        <f>"20190312161303048"</f>
        <v>20190312161303048</v>
      </c>
      <c r="B1823" t="str">
        <f>"1552378383037278"</f>
        <v>1552378383037278</v>
      </c>
      <c r="C1823" t="s">
        <v>40</v>
      </c>
      <c r="D1823">
        <v>5.240958</v>
      </c>
      <c r="E1823">
        <v>0.50734849999999998</v>
      </c>
      <c r="F1823" t="s">
        <v>43</v>
      </c>
      <c r="G1823">
        <v>-328.98070000000001</v>
      </c>
      <c r="H1823">
        <v>0.9521134</v>
      </c>
      <c r="I1823">
        <v>285.55340000000001</v>
      </c>
      <c r="J1823">
        <v>-328.65230000000003</v>
      </c>
      <c r="K1823">
        <v>1.109067</v>
      </c>
      <c r="L1823">
        <v>285.4427</v>
      </c>
      <c r="M1823">
        <v>-0.99982629999999995</v>
      </c>
      <c r="N1823">
        <v>0</v>
      </c>
      <c r="O1823">
        <v>1.6301880000000001E-2</v>
      </c>
      <c r="P1823">
        <v>-0.98929069999999997</v>
      </c>
      <c r="Q1823">
        <v>-3.3315959999999999E-2</v>
      </c>
      <c r="R1823">
        <v>0.14210599999999901</v>
      </c>
      <c r="S1823">
        <v>-2.9458310000000001</v>
      </c>
      <c r="T1823">
        <v>-0.61103890000000005</v>
      </c>
      <c r="U1823">
        <v>0.45733639999999998</v>
      </c>
      <c r="V1823">
        <v>0.12596379999999999</v>
      </c>
      <c r="W1823">
        <v>-2.4337250000000001E-2</v>
      </c>
      <c r="X1823">
        <v>0.99173630000000002</v>
      </c>
      <c r="Y1823">
        <v>0.13481860000000001</v>
      </c>
      <c r="Z1823">
        <v>1.042979E-2</v>
      </c>
      <c r="AA1823">
        <v>0.99081540000000001</v>
      </c>
      <c r="AB1823">
        <v>42</v>
      </c>
      <c r="AC1823">
        <v>-0.32839999999998698</v>
      </c>
      <c r="AD1823">
        <v>-0.1569536</v>
      </c>
      <c r="AE1823">
        <v>0.110700000000008</v>
      </c>
      <c r="AF1823">
        <v>8.7403775779458501E-2</v>
      </c>
      <c r="AG1823">
        <v>-0.1569536</v>
      </c>
      <c r="AH1823">
        <v>0.27396660409446999</v>
      </c>
      <c r="AI1823">
        <v>118.62529906866401</v>
      </c>
      <c r="AJ1823">
        <v>72.305717150541</v>
      </c>
      <c r="AK1823">
        <v>0.32761494583202699</v>
      </c>
      <c r="AL1823">
        <v>91.394559351333299</v>
      </c>
      <c r="AM1823">
        <v>82.761427339727405</v>
      </c>
      <c r="AN1823">
        <v>1.0000000346928399</v>
      </c>
    </row>
    <row r="1824" spans="1:40" x14ac:dyDescent="0.25">
      <c r="A1824" t="str">
        <f>"20190312161303071"</f>
        <v>20190312161303071</v>
      </c>
      <c r="B1824" t="str">
        <f>"1552378383067535"</f>
        <v>1552378383067535</v>
      </c>
      <c r="C1824" t="s">
        <v>40</v>
      </c>
      <c r="D1824">
        <v>5.2284319999999997</v>
      </c>
      <c r="E1824">
        <v>0.50841769999999997</v>
      </c>
      <c r="F1824" t="s">
        <v>43</v>
      </c>
      <c r="G1824">
        <v>-329.35739999999998</v>
      </c>
      <c r="H1824">
        <v>0.96110989999999996</v>
      </c>
      <c r="I1824">
        <v>285.55439999999999</v>
      </c>
      <c r="J1824">
        <v>-329.08030000000002</v>
      </c>
      <c r="K1824">
        <v>1.109075</v>
      </c>
      <c r="L1824">
        <v>285.44959999999998</v>
      </c>
      <c r="M1824">
        <v>-0.99982769999999999</v>
      </c>
      <c r="N1824">
        <v>0</v>
      </c>
      <c r="O1824">
        <v>1.6218730000000001E-2</v>
      </c>
      <c r="P1824">
        <v>-0.98932880000000001</v>
      </c>
      <c r="Q1824">
        <v>-3.275521E-2</v>
      </c>
      <c r="R1824">
        <v>0.14197199999999999</v>
      </c>
      <c r="S1824">
        <v>-2.944855</v>
      </c>
      <c r="T1824">
        <v>-0.61804409999999999</v>
      </c>
      <c r="U1824">
        <v>0.46514889999999998</v>
      </c>
      <c r="V1824">
        <v>0.12591160000000001</v>
      </c>
      <c r="W1824">
        <v>-2.376526E-2</v>
      </c>
      <c r="X1824">
        <v>0.99175670000000005</v>
      </c>
      <c r="Y1824">
        <v>0.13740269999999999</v>
      </c>
      <c r="Z1824">
        <v>1.083198E-2</v>
      </c>
      <c r="AA1824">
        <v>0.990456</v>
      </c>
      <c r="AB1824">
        <v>42</v>
      </c>
      <c r="AC1824">
        <v>-0.27709999999996099</v>
      </c>
      <c r="AD1824">
        <v>-0.14796509999999999</v>
      </c>
      <c r="AE1824">
        <v>0.104800000000011</v>
      </c>
      <c r="AF1824">
        <v>8.0268716207920102E-2</v>
      </c>
      <c r="AG1824">
        <v>-0.14796509999999999</v>
      </c>
      <c r="AH1824">
        <v>0.223108677588606</v>
      </c>
      <c r="AI1824">
        <v>121.96577264905901</v>
      </c>
      <c r="AJ1824">
        <v>70.212584311093806</v>
      </c>
      <c r="AK1824">
        <v>0.27948921201902199</v>
      </c>
      <c r="AL1824">
        <v>91.3617773914971</v>
      </c>
      <c r="AM1824">
        <v>82.7645424971289</v>
      </c>
      <c r="AN1824">
        <v>0.99999993529615605</v>
      </c>
    </row>
    <row r="1825" spans="1:40" x14ac:dyDescent="0.25">
      <c r="A1825" t="str">
        <f>"20190312161303091"</f>
        <v>20190312161303091</v>
      </c>
      <c r="B1825" t="str">
        <f>"1552378383088030"</f>
        <v>1552378383088030</v>
      </c>
      <c r="C1825" t="s">
        <v>40</v>
      </c>
      <c r="D1825">
        <v>5.3939059999999897</v>
      </c>
      <c r="E1825">
        <v>0.50928589999999996</v>
      </c>
      <c r="F1825" t="s">
        <v>43</v>
      </c>
      <c r="G1825">
        <v>-330.07560000000001</v>
      </c>
      <c r="H1825">
        <v>0.89657869999999995</v>
      </c>
      <c r="I1825">
        <v>285.60969999999998</v>
      </c>
      <c r="J1825">
        <v>-329.47969999999998</v>
      </c>
      <c r="K1825">
        <v>1.1090770000000001</v>
      </c>
      <c r="L1825">
        <v>285.45609999999999</v>
      </c>
      <c r="M1825">
        <v>-0.99982879999999996</v>
      </c>
      <c r="N1825">
        <v>0</v>
      </c>
      <c r="O1825">
        <v>1.6142090000000001E-2</v>
      </c>
      <c r="P1825">
        <v>-0.98932379999999998</v>
      </c>
      <c r="Q1825">
        <v>-3.2596149999999997E-2</v>
      </c>
      <c r="R1825">
        <v>0.1420418</v>
      </c>
      <c r="S1825">
        <v>-2.943695</v>
      </c>
      <c r="T1825">
        <v>-0.62860990000000005</v>
      </c>
      <c r="U1825">
        <v>0.47271730000000001</v>
      </c>
      <c r="V1825">
        <v>0.12605719999999901</v>
      </c>
      <c r="W1825">
        <v>-2.3595560000000002E-2</v>
      </c>
      <c r="X1825">
        <v>0.99174229999999997</v>
      </c>
      <c r="Y1825">
        <v>0.1398771</v>
      </c>
      <c r="Z1825">
        <v>1.1290970000000001E-2</v>
      </c>
      <c r="AA1825">
        <v>0.99010450000000005</v>
      </c>
      <c r="AB1825">
        <v>42</v>
      </c>
      <c r="AC1825">
        <v>-0.59590000000002796</v>
      </c>
      <c r="AD1825">
        <v>-0.2124983</v>
      </c>
      <c r="AE1825">
        <v>0.153599999999983</v>
      </c>
      <c r="AF1825">
        <v>0.12862328958723901</v>
      </c>
      <c r="AG1825">
        <v>-0.2124983</v>
      </c>
      <c r="AH1825">
        <v>0.53456013859816898</v>
      </c>
      <c r="AI1825">
        <v>111.130983440012</v>
      </c>
      <c r="AJ1825">
        <v>76.470943255027905</v>
      </c>
      <c r="AK1825">
        <v>0.58945230503003998</v>
      </c>
      <c r="AL1825">
        <v>91.352051510835295</v>
      </c>
      <c r="AM1825">
        <v>82.756160413739707</v>
      </c>
      <c r="AN1825">
        <v>0.999999978866421</v>
      </c>
    </row>
    <row r="1826" spans="1:40" x14ac:dyDescent="0.25">
      <c r="A1826" t="str">
        <f>"20190312161303179"</f>
        <v>20190312161303179</v>
      </c>
      <c r="B1826" t="str">
        <f>"1552378383177822"</f>
        <v>1552378383177822</v>
      </c>
      <c r="C1826" t="s">
        <v>40</v>
      </c>
      <c r="D1826">
        <v>5.0336959999999999</v>
      </c>
      <c r="E1826">
        <v>0.41442980000000001</v>
      </c>
      <c r="F1826" t="s">
        <v>43</v>
      </c>
      <c r="G1826">
        <v>-331.94499999999999</v>
      </c>
      <c r="H1826">
        <v>0.88470260000000001</v>
      </c>
      <c r="I1826">
        <v>285.64690000000002</v>
      </c>
      <c r="J1826">
        <v>-331.1454</v>
      </c>
      <c r="K1826">
        <v>1.109076</v>
      </c>
      <c r="L1826">
        <v>285.48250000000002</v>
      </c>
      <c r="M1826">
        <v>-0.99983359999999999</v>
      </c>
      <c r="N1826">
        <v>0</v>
      </c>
      <c r="O1826">
        <v>1.582161E-2</v>
      </c>
      <c r="P1826">
        <v>-0.98921499999999996</v>
      </c>
      <c r="Q1826">
        <v>-3.2722010000000003E-2</v>
      </c>
      <c r="R1826">
        <v>0.14276939999999999</v>
      </c>
      <c r="S1826">
        <v>-2.9420169999999999</v>
      </c>
      <c r="T1826">
        <v>-0.64229259999999999</v>
      </c>
      <c r="U1826">
        <v>0.48046879999999997</v>
      </c>
      <c r="V1826">
        <v>0.12710439999999901</v>
      </c>
      <c r="W1826">
        <v>-2.367694E-2</v>
      </c>
      <c r="X1826">
        <v>0.99160669999999995</v>
      </c>
      <c r="Y1826">
        <v>0.1426336</v>
      </c>
      <c r="Z1826">
        <v>1.1899450000000001E-2</v>
      </c>
      <c r="AA1826">
        <v>0.98970400000000003</v>
      </c>
      <c r="AB1826">
        <v>42</v>
      </c>
      <c r="AC1826">
        <v>-0.79959999999999798</v>
      </c>
      <c r="AD1826">
        <v>-0.224373399999999</v>
      </c>
      <c r="AE1826">
        <v>0.16439999999999999</v>
      </c>
      <c r="AF1826">
        <v>0.14107051798276299</v>
      </c>
      <c r="AG1826">
        <v>-0.224373399999999</v>
      </c>
      <c r="AH1826">
        <v>0.74576123589039101</v>
      </c>
      <c r="AI1826">
        <v>106.468856123922</v>
      </c>
      <c r="AJ1826">
        <v>79.288319333848705</v>
      </c>
      <c r="AK1826">
        <v>0.79145696953671996</v>
      </c>
      <c r="AL1826">
        <v>91.356715533808398</v>
      </c>
      <c r="AM1826">
        <v>82.695642536326403</v>
      </c>
      <c r="AN1826">
        <v>0.99999998673600599</v>
      </c>
    </row>
    <row r="1827" spans="1:40" x14ac:dyDescent="0.25">
      <c r="A1827" t="str">
        <f>"20190312161303193"</f>
        <v>20190312161303193</v>
      </c>
      <c r="B1827" t="str">
        <f>"1552378383187584"</f>
        <v>1552378383187584</v>
      </c>
      <c r="C1827" t="s">
        <v>40</v>
      </c>
      <c r="D1827">
        <v>5.597518</v>
      </c>
      <c r="E1827">
        <v>0.41552679999999997</v>
      </c>
      <c r="F1827" t="s">
        <v>69</v>
      </c>
      <c r="G1827">
        <v>-342.99869999999999</v>
      </c>
      <c r="H1827" s="1">
        <v>5.89423099999999E-8</v>
      </c>
      <c r="I1827">
        <v>284.49509999999998</v>
      </c>
      <c r="J1827">
        <v>-331.38479999999998</v>
      </c>
      <c r="K1827">
        <v>1.1090719999999901</v>
      </c>
      <c r="L1827">
        <v>285.48630000000003</v>
      </c>
      <c r="M1827">
        <v>-0.99983420000000001</v>
      </c>
      <c r="N1827">
        <v>0</v>
      </c>
      <c r="O1827">
        <v>1.577574E-2</v>
      </c>
      <c r="P1827">
        <v>-0.98918830000000002</v>
      </c>
      <c r="Q1827">
        <v>-3.2715090000000002E-2</v>
      </c>
      <c r="R1827">
        <v>0.14295559999999999</v>
      </c>
      <c r="S1827">
        <v>-3.0599980000000002</v>
      </c>
      <c r="T1827">
        <v>-0.28631440000000002</v>
      </c>
      <c r="U1827">
        <v>-0.25491329999999901</v>
      </c>
      <c r="V1827">
        <v>0.12733649999999999</v>
      </c>
      <c r="W1827">
        <v>-2.3663779999999999E-2</v>
      </c>
      <c r="X1827">
        <v>0.99157729999999999</v>
      </c>
      <c r="Y1827">
        <v>-9.8234409999999994E-2</v>
      </c>
      <c r="Z1827">
        <v>-6.0484469999999898E-3</v>
      </c>
      <c r="AA1827">
        <v>0.9951449</v>
      </c>
      <c r="AB1827">
        <v>42</v>
      </c>
      <c r="AC1827">
        <v>-11.613899999999999</v>
      </c>
      <c r="AD1827">
        <v>-1.1090719410576899</v>
      </c>
      <c r="AE1827">
        <v>-0.99120000000004804</v>
      </c>
      <c r="AF1827">
        <v>-1.1637660522178801</v>
      </c>
      <c r="AG1827">
        <v>-1.1090719410576899</v>
      </c>
      <c r="AH1827">
        <v>11.492768484786399</v>
      </c>
      <c r="AI1827">
        <v>95.484200314552893</v>
      </c>
      <c r="AJ1827">
        <v>95.782103122538999</v>
      </c>
      <c r="AK1827">
        <v>11.604659384903799</v>
      </c>
      <c r="AL1827">
        <v>91.355961223819307</v>
      </c>
      <c r="AM1827">
        <v>82.682234183965406</v>
      </c>
      <c r="AN1827">
        <v>1.00000005029571</v>
      </c>
    </row>
    <row r="1828" spans="1:40" x14ac:dyDescent="0.25">
      <c r="A1828" t="str">
        <f>"20190312161303207"</f>
        <v>20190312161303207</v>
      </c>
      <c r="B1828" t="str">
        <f>"1552378383197342"</f>
        <v>1552378383197342</v>
      </c>
      <c r="C1828" t="s">
        <v>40</v>
      </c>
      <c r="D1828">
        <v>7.5996670000000002</v>
      </c>
      <c r="E1828">
        <v>0.41401450000000001</v>
      </c>
      <c r="F1828" t="s">
        <v>69</v>
      </c>
      <c r="G1828">
        <v>-348.70179999999999</v>
      </c>
      <c r="H1828" s="1">
        <v>3.0938540000000001E-6</v>
      </c>
      <c r="I1828">
        <v>284.11599999999999</v>
      </c>
      <c r="J1828">
        <v>-331.63420000000002</v>
      </c>
      <c r="K1828">
        <v>1.1090709999999999</v>
      </c>
      <c r="L1828">
        <v>285.49020000000002</v>
      </c>
      <c r="M1828">
        <v>-0.99983500000000003</v>
      </c>
      <c r="N1828">
        <v>0</v>
      </c>
      <c r="O1828">
        <v>1.572803E-2</v>
      </c>
      <c r="P1828">
        <v>-0.98918309999999998</v>
      </c>
      <c r="Q1828">
        <v>-3.2697980000000001E-2</v>
      </c>
      <c r="R1828">
        <v>0.14299679999999901</v>
      </c>
      <c r="S1828">
        <v>-3.0613100000000002</v>
      </c>
      <c r="T1828">
        <v>-0.19606229999999999</v>
      </c>
      <c r="U1828">
        <v>-0.24224850000000001</v>
      </c>
      <c r="V1828">
        <v>0.12742519999999999</v>
      </c>
      <c r="W1828">
        <v>-2.3640069999999999E-2</v>
      </c>
      <c r="X1828">
        <v>0.99156639999999996</v>
      </c>
      <c r="Y1828">
        <v>-9.4331470000000001E-2</v>
      </c>
      <c r="Z1828">
        <v>-4.01783E-3</v>
      </c>
      <c r="AA1828">
        <v>0.9955328</v>
      </c>
      <c r="AB1828">
        <v>42</v>
      </c>
      <c r="AC1828">
        <v>-17.067599999999899</v>
      </c>
      <c r="AD1828">
        <v>-1.10906790614599</v>
      </c>
      <c r="AE1828">
        <v>-1.3742000000000301</v>
      </c>
      <c r="AF1828">
        <v>-1.63561887520733</v>
      </c>
      <c r="AG1828">
        <v>-1.10906790614599</v>
      </c>
      <c r="AH1828">
        <v>16.972668559651598</v>
      </c>
      <c r="AI1828">
        <v>93.721448656677694</v>
      </c>
      <c r="AJ1828">
        <v>95.504471150172407</v>
      </c>
      <c r="AK1828">
        <v>17.0873274317889</v>
      </c>
      <c r="AL1828">
        <v>91.354602455982501</v>
      </c>
      <c r="AM1828">
        <v>82.677112463914895</v>
      </c>
      <c r="AN1828">
        <v>0.99999998005680202</v>
      </c>
    </row>
    <row r="1829" spans="1:40" x14ac:dyDescent="0.25">
      <c r="A1829" t="str">
        <f>"20190312161303220"</f>
        <v>20190312161303220</v>
      </c>
      <c r="B1829" t="str">
        <f>"1552378383217838"</f>
        <v>1552378383217838</v>
      </c>
      <c r="C1829" t="s">
        <v>40</v>
      </c>
      <c r="D1829">
        <v>5.3548859999999996</v>
      </c>
      <c r="E1829">
        <v>0.41744340000000002</v>
      </c>
      <c r="F1829" t="s">
        <v>69</v>
      </c>
      <c r="G1829">
        <v>-359.1454</v>
      </c>
      <c r="H1829" s="1">
        <v>3.3299160000000001E-6</v>
      </c>
      <c r="I1829">
        <v>283.23719999999997</v>
      </c>
      <c r="J1829">
        <v>-331.89909999999998</v>
      </c>
      <c r="K1829">
        <v>1.1090690000000001</v>
      </c>
      <c r="L1829">
        <v>285.49430000000001</v>
      </c>
      <c r="M1829">
        <v>-0.99983560000000005</v>
      </c>
      <c r="N1829">
        <v>0</v>
      </c>
      <c r="O1829">
        <v>1.5677340000000001E-2</v>
      </c>
      <c r="P1829">
        <v>-0.98919159999999995</v>
      </c>
      <c r="Q1829">
        <v>-3.2682299999999997E-2</v>
      </c>
      <c r="R1829">
        <v>0.14294119999999999</v>
      </c>
      <c r="S1829">
        <v>-3.0650019999999998</v>
      </c>
      <c r="T1829">
        <v>-0.1235608</v>
      </c>
      <c r="U1829">
        <v>-0.25100709999999998</v>
      </c>
      <c r="V1829">
        <v>0.1274197</v>
      </c>
      <c r="W1829">
        <v>-2.361914E-2</v>
      </c>
      <c r="X1829">
        <v>0.99156759999999999</v>
      </c>
      <c r="Y1829">
        <v>-9.7145919999999997E-2</v>
      </c>
      <c r="Z1829">
        <v>-2.5848849999999999E-3</v>
      </c>
      <c r="AA1829">
        <v>0.99526680000000001</v>
      </c>
      <c r="AB1829">
        <v>42</v>
      </c>
      <c r="AC1829">
        <v>-27.246300000000002</v>
      </c>
      <c r="AD1829">
        <v>-1.109065670084</v>
      </c>
      <c r="AE1829">
        <v>-2.2571000000000301</v>
      </c>
      <c r="AF1829">
        <v>-2.6795802535551898</v>
      </c>
      <c r="AG1829">
        <v>-1.109065670084</v>
      </c>
      <c r="AH1829">
        <v>27.162864716600399</v>
      </c>
      <c r="AI1829">
        <v>92.326818550324703</v>
      </c>
      <c r="AJ1829">
        <v>95.633923540535804</v>
      </c>
      <c r="AK1829">
        <v>27.317236254938699</v>
      </c>
      <c r="AL1829">
        <v>91.353402927820895</v>
      </c>
      <c r="AM1829">
        <v>82.677433873636701</v>
      </c>
      <c r="AN1829">
        <v>0.99999997454609402</v>
      </c>
    </row>
    <row r="1830" spans="1:40" x14ac:dyDescent="0.25">
      <c r="A1830" t="str">
        <f>"20190312161303237"</f>
        <v>20190312161303237</v>
      </c>
      <c r="B1830" t="str">
        <f>"1552378383227599"</f>
        <v>1552378383227599</v>
      </c>
      <c r="C1830" t="s">
        <v>40</v>
      </c>
      <c r="D1830">
        <v>5.1777899999999999</v>
      </c>
      <c r="E1830">
        <v>0.4191337</v>
      </c>
      <c r="F1830" t="s">
        <v>69</v>
      </c>
      <c r="G1830">
        <v>-361.85939999999999</v>
      </c>
      <c r="H1830" s="1">
        <v>-5.4728249999999998E-7</v>
      </c>
      <c r="I1830">
        <v>283.3039</v>
      </c>
      <c r="J1830">
        <v>-332.20339999999999</v>
      </c>
      <c r="K1830">
        <v>1.1090610000000001</v>
      </c>
      <c r="L1830">
        <v>285.4991</v>
      </c>
      <c r="M1830">
        <v>-0.99983650000000002</v>
      </c>
      <c r="N1830">
        <v>0</v>
      </c>
      <c r="O1830">
        <v>1.5618959999999999E-2</v>
      </c>
      <c r="P1830">
        <v>-0.98915549999999997</v>
      </c>
      <c r="Q1830">
        <v>-3.3117220000000003E-2</v>
      </c>
      <c r="R1830">
        <v>0.143090299999999</v>
      </c>
      <c r="S1830">
        <v>-3.06134</v>
      </c>
      <c r="T1830">
        <v>-0.11332449999999999</v>
      </c>
      <c r="U1830">
        <v>-0.22381590000000001</v>
      </c>
      <c r="V1830">
        <v>0.1276273</v>
      </c>
      <c r="W1830">
        <v>-2.4049830000000001E-2</v>
      </c>
      <c r="X1830">
        <v>0.99153060000000004</v>
      </c>
      <c r="Y1830">
        <v>-8.8414069999999997E-2</v>
      </c>
      <c r="Z1830">
        <v>-2.2110189999999998E-3</v>
      </c>
      <c r="AA1830">
        <v>0.99608140000000001</v>
      </c>
      <c r="AB1830">
        <v>42</v>
      </c>
      <c r="AC1830">
        <v>-29.655999999999999</v>
      </c>
      <c r="AD1830">
        <v>-1.1090615472825001</v>
      </c>
      <c r="AE1830">
        <v>-2.1951999999999998</v>
      </c>
      <c r="AF1830">
        <v>-2.6544550792344701</v>
      </c>
      <c r="AG1830">
        <v>-1.1090615472825001</v>
      </c>
      <c r="AH1830">
        <v>29.576953788969</v>
      </c>
      <c r="AI1830">
        <v>92.1388533591807</v>
      </c>
      <c r="AJ1830">
        <v>95.128408333183899</v>
      </c>
      <c r="AK1830">
        <v>29.716533188077999</v>
      </c>
      <c r="AL1830">
        <v>91.378086588666804</v>
      </c>
      <c r="AM1830">
        <v>82.665362589132698</v>
      </c>
      <c r="AN1830">
        <v>1.0000000263823301</v>
      </c>
    </row>
    <row r="1831" spans="1:40" x14ac:dyDescent="0.25">
      <c r="A1831" t="str">
        <f>"20190312161303258"</f>
        <v>20190312161303258</v>
      </c>
      <c r="B1831" t="str">
        <f>"1552378383247119"</f>
        <v>1552378383247119</v>
      </c>
      <c r="C1831" t="s">
        <v>40</v>
      </c>
      <c r="D1831">
        <v>5.2617929999999999</v>
      </c>
      <c r="E1831">
        <v>0.42214469999999998</v>
      </c>
      <c r="F1831" t="s">
        <v>69</v>
      </c>
      <c r="G1831">
        <v>-363.33409999999998</v>
      </c>
      <c r="H1831" s="1">
        <v>2.3747890000000001E-7</v>
      </c>
      <c r="I1831">
        <v>283.36369999999999</v>
      </c>
      <c r="J1831">
        <v>-332.62139999999999</v>
      </c>
      <c r="K1831">
        <v>1.1090549999999999</v>
      </c>
      <c r="L1831">
        <v>285.50549999999998</v>
      </c>
      <c r="M1831">
        <v>-0.99983759999999999</v>
      </c>
      <c r="N1831">
        <v>0</v>
      </c>
      <c r="O1831">
        <v>1.553883E-2</v>
      </c>
      <c r="P1831">
        <v>-0.98909020000000003</v>
      </c>
      <c r="Q1831">
        <v>-3.3613179999999999E-2</v>
      </c>
      <c r="R1831">
        <v>0.14342479999999999</v>
      </c>
      <c r="S1831">
        <v>-3.059631</v>
      </c>
      <c r="T1831">
        <v>-0.1090021</v>
      </c>
      <c r="U1831">
        <v>-0.20986940000000001</v>
      </c>
      <c r="V1831">
        <v>0.1280423</v>
      </c>
      <c r="W1831">
        <v>-2.45423E-2</v>
      </c>
      <c r="X1831">
        <v>0.99146500000000004</v>
      </c>
      <c r="Y1831">
        <v>-8.3864250000000001E-2</v>
      </c>
      <c r="Z1831">
        <v>-2.0444859999999999E-3</v>
      </c>
      <c r="AA1831">
        <v>0.99647509999999995</v>
      </c>
      <c r="AB1831">
        <v>42</v>
      </c>
      <c r="AC1831">
        <v>-30.712699999999899</v>
      </c>
      <c r="AD1831">
        <v>-1.10905476252109</v>
      </c>
      <c r="AE1831">
        <v>-2.1417999999999799</v>
      </c>
      <c r="AF1831">
        <v>-2.6154067698353001</v>
      </c>
      <c r="AG1831">
        <v>-1.10905476252109</v>
      </c>
      <c r="AH1831">
        <v>30.6359538965682</v>
      </c>
      <c r="AI1831">
        <v>92.065756469321997</v>
      </c>
      <c r="AJ1831">
        <v>94.879538198404802</v>
      </c>
      <c r="AK1831">
        <v>30.7673857548968</v>
      </c>
      <c r="AL1831">
        <v>91.406311408694407</v>
      </c>
      <c r="AM1831">
        <v>82.641292313355606</v>
      </c>
      <c r="AN1831">
        <v>1.00000000065179</v>
      </c>
    </row>
    <row r="1832" spans="1:40" x14ac:dyDescent="0.25">
      <c r="A1832" t="str">
        <f>"20190312161303281"</f>
        <v>20190312161303281</v>
      </c>
      <c r="B1832" t="str">
        <f>"1552378383277374"</f>
        <v>1552378383277374</v>
      </c>
      <c r="C1832" t="s">
        <v>40</v>
      </c>
      <c r="D1832">
        <v>5.2894800000000002</v>
      </c>
      <c r="E1832">
        <v>0.42465789999999998</v>
      </c>
      <c r="F1832" t="s">
        <v>69</v>
      </c>
      <c r="G1832">
        <v>-365.84519999999998</v>
      </c>
      <c r="H1832" s="1">
        <v>1.5737179999999999E-6</v>
      </c>
      <c r="I1832">
        <v>283.49950000000001</v>
      </c>
      <c r="J1832">
        <v>-333.029</v>
      </c>
      <c r="K1832">
        <v>1.109051</v>
      </c>
      <c r="L1832">
        <v>285.51179999999999</v>
      </c>
      <c r="M1832">
        <v>-0.99983889999999997</v>
      </c>
      <c r="N1832">
        <v>0</v>
      </c>
      <c r="O1832">
        <v>1.546002E-2</v>
      </c>
      <c r="P1832">
        <v>-0.98906910000000003</v>
      </c>
      <c r="Q1832">
        <v>-3.3704169999999999E-2</v>
      </c>
      <c r="R1832">
        <v>0.14355100000000001</v>
      </c>
      <c r="S1832">
        <v>-3.0563660000000001</v>
      </c>
      <c r="T1832">
        <v>-0.10202550000000001</v>
      </c>
      <c r="U1832">
        <v>-0.1845398</v>
      </c>
      <c r="V1832">
        <v>0.1282471</v>
      </c>
      <c r="W1832">
        <v>-2.4630490000000001E-2</v>
      </c>
      <c r="X1832">
        <v>0.9914364</v>
      </c>
      <c r="Y1832">
        <v>-7.5643859999999993E-2</v>
      </c>
      <c r="Z1832">
        <v>-1.7765770000000001E-3</v>
      </c>
      <c r="AA1832">
        <v>0.9971333</v>
      </c>
      <c r="AB1832">
        <v>42</v>
      </c>
      <c r="AC1832">
        <v>-32.816199999999903</v>
      </c>
      <c r="AD1832">
        <v>-1.1090494262819901</v>
      </c>
      <c r="AE1832">
        <v>-2.0122999999999802</v>
      </c>
      <c r="AF1832">
        <v>-2.5165561577676101</v>
      </c>
      <c r="AG1832">
        <v>-1.1090494262819901</v>
      </c>
      <c r="AH1832">
        <v>32.743907676808398</v>
      </c>
      <c r="AI1832">
        <v>91.934190014072499</v>
      </c>
      <c r="AJ1832">
        <v>94.3948679999191</v>
      </c>
      <c r="AK1832">
        <v>32.859192556611703</v>
      </c>
      <c r="AL1832">
        <v>91.411365771192806</v>
      </c>
      <c r="AM1832">
        <v>82.629441307952803</v>
      </c>
      <c r="AN1832">
        <v>1.0000000574704999</v>
      </c>
    </row>
    <row r="1833" spans="1:40" x14ac:dyDescent="0.25">
      <c r="A1833" t="str">
        <f>"20190312161303292"</f>
        <v>20190312161303292</v>
      </c>
      <c r="B1833" t="str">
        <f>"1552378383288110"</f>
        <v>1552378383288110</v>
      </c>
      <c r="C1833" t="s">
        <v>40</v>
      </c>
      <c r="D1833">
        <v>5.2764550000000003</v>
      </c>
      <c r="E1833">
        <v>0.42527540000000003</v>
      </c>
      <c r="F1833" t="s">
        <v>69</v>
      </c>
      <c r="G1833">
        <v>-371.82100000000003</v>
      </c>
      <c r="H1833" s="1">
        <v>-5.6775869999999999E-7</v>
      </c>
      <c r="I1833">
        <v>283.43090000000001</v>
      </c>
      <c r="J1833">
        <v>-333.2577</v>
      </c>
      <c r="K1833">
        <v>1.1090500000000001</v>
      </c>
      <c r="L1833">
        <v>285.51530000000002</v>
      </c>
      <c r="M1833">
        <v>-0.99983949999999999</v>
      </c>
      <c r="N1833">
        <v>0</v>
      </c>
      <c r="O1833">
        <v>1.541585E-2</v>
      </c>
      <c r="P1833">
        <v>-0.98907339999999999</v>
      </c>
      <c r="Q1833">
        <v>-3.3641509999999999E-2</v>
      </c>
      <c r="R1833">
        <v>0.14353440000000001</v>
      </c>
      <c r="S1833">
        <v>-3.053925</v>
      </c>
      <c r="T1833">
        <v>-8.7310789999999999E-2</v>
      </c>
      <c r="U1833">
        <v>-0.1638184</v>
      </c>
      <c r="V1833">
        <v>0.128274</v>
      </c>
      <c r="W1833">
        <v>-2.456614E-2</v>
      </c>
      <c r="X1833">
        <v>0.9914345</v>
      </c>
      <c r="Y1833">
        <v>-6.891854E-2</v>
      </c>
      <c r="Z1833">
        <v>-1.4246510000000001E-3</v>
      </c>
      <c r="AA1833">
        <v>0.99762130000000004</v>
      </c>
      <c r="AB1833">
        <v>42</v>
      </c>
      <c r="AC1833">
        <v>-38.563299999999899</v>
      </c>
      <c r="AD1833">
        <v>-1.1090505677586999</v>
      </c>
      <c r="AE1833">
        <v>-2.0844000000000098</v>
      </c>
      <c r="AF1833">
        <v>-2.67645587608517</v>
      </c>
      <c r="AG1833">
        <v>-1.1090505677586999</v>
      </c>
      <c r="AH1833">
        <v>38.494836895258302</v>
      </c>
      <c r="AI1833">
        <v>91.6462840716854</v>
      </c>
      <c r="AJ1833">
        <v>93.977240848634494</v>
      </c>
      <c r="AK1833">
        <v>38.603702889891501</v>
      </c>
      <c r="AL1833">
        <v>91.407677695150397</v>
      </c>
      <c r="AM1833">
        <v>82.627898355499497</v>
      </c>
      <c r="AN1833">
        <v>1.00000004105037</v>
      </c>
    </row>
    <row r="1834" spans="1:40" x14ac:dyDescent="0.25">
      <c r="A1834" t="str">
        <f>"20190312161303315"</f>
        <v>20190312161303315</v>
      </c>
      <c r="B1834" t="str">
        <f>"1552378383307630"</f>
        <v>1552378383307630</v>
      </c>
      <c r="C1834" t="s">
        <v>40</v>
      </c>
      <c r="D1834">
        <v>5.2714339999999904</v>
      </c>
      <c r="E1834">
        <v>0.42586659999999998</v>
      </c>
      <c r="F1834" t="s">
        <v>69</v>
      </c>
      <c r="G1834">
        <v>-374.34539999999998</v>
      </c>
      <c r="H1834" s="1">
        <v>7.7563660000000003E-7</v>
      </c>
      <c r="I1834">
        <v>283.3766</v>
      </c>
      <c r="J1834">
        <v>-333.68079999999998</v>
      </c>
      <c r="K1834">
        <v>1.109046</v>
      </c>
      <c r="L1834">
        <v>285.52179999999998</v>
      </c>
      <c r="M1834">
        <v>-0.99984079999999997</v>
      </c>
      <c r="N1834">
        <v>0</v>
      </c>
      <c r="O1834">
        <v>1.533471E-2</v>
      </c>
      <c r="P1834">
        <v>-0.9890774</v>
      </c>
      <c r="Q1834">
        <v>-3.3547830000000001E-2</v>
      </c>
      <c r="R1834">
        <v>0.14352909999999999</v>
      </c>
      <c r="S1834">
        <v>-3.0534059999999998</v>
      </c>
      <c r="T1834">
        <v>-8.2418199999999997E-2</v>
      </c>
      <c r="U1834">
        <v>-0.15893550000000001</v>
      </c>
      <c r="V1834">
        <v>0.1283492</v>
      </c>
      <c r="W1834">
        <v>-2.446885E-2</v>
      </c>
      <c r="X1834">
        <v>0.99142710000000001</v>
      </c>
      <c r="Y1834">
        <v>-6.7260029999999998E-2</v>
      </c>
      <c r="Z1834">
        <v>-1.3205789999999999E-3</v>
      </c>
      <c r="AA1834">
        <v>0.99773460000000003</v>
      </c>
      <c r="AB1834">
        <v>42</v>
      </c>
      <c r="AC1834">
        <v>-40.6646</v>
      </c>
      <c r="AD1834">
        <v>-1.1090452243633999</v>
      </c>
      <c r="AE1834">
        <v>-2.14519999999998</v>
      </c>
      <c r="AF1834">
        <v>-2.76650147890386</v>
      </c>
      <c r="AG1834">
        <v>-1.1090452243633999</v>
      </c>
      <c r="AH1834">
        <v>40.596807971387904</v>
      </c>
      <c r="AI1834">
        <v>91.561228361286396</v>
      </c>
      <c r="AJ1834">
        <v>93.898438925611501</v>
      </c>
      <c r="AK1834">
        <v>40.706072387399402</v>
      </c>
      <c r="AL1834">
        <v>91.402101815035195</v>
      </c>
      <c r="AM1834">
        <v>82.623569629819002</v>
      </c>
      <c r="AN1834">
        <v>0.999999968187685</v>
      </c>
    </row>
    <row r="1835" spans="1:40" x14ac:dyDescent="0.25">
      <c r="A1835" t="str">
        <f>"20190312161303326"</f>
        <v>20190312161303326</v>
      </c>
      <c r="B1835" t="str">
        <f>"1552378383317391"</f>
        <v>1552378383317391</v>
      </c>
      <c r="C1835" t="s">
        <v>40</v>
      </c>
      <c r="D1835">
        <v>5.582732</v>
      </c>
      <c r="E1835">
        <v>0.42641820000000002</v>
      </c>
      <c r="F1835" t="s">
        <v>69</v>
      </c>
      <c r="G1835">
        <v>-376.97269999999997</v>
      </c>
      <c r="H1835" s="1">
        <v>2.1737559999999999E-6</v>
      </c>
      <c r="I1835">
        <v>283.33550000000002</v>
      </c>
      <c r="J1835">
        <v>-333.90320000000003</v>
      </c>
      <c r="K1835">
        <v>1.109054</v>
      </c>
      <c r="L1835">
        <v>285.52510000000001</v>
      </c>
      <c r="M1835">
        <v>-0.99984130000000004</v>
      </c>
      <c r="N1835">
        <v>0</v>
      </c>
      <c r="O1835">
        <v>1.5292200000000001E-2</v>
      </c>
      <c r="P1835">
        <v>-0.98908750000000001</v>
      </c>
      <c r="Q1835">
        <v>-3.3433949999999997E-2</v>
      </c>
      <c r="R1835">
        <v>0.143486</v>
      </c>
      <c r="S1835">
        <v>-3.0528559999999998</v>
      </c>
      <c r="T1835">
        <v>-7.8207490000000005E-2</v>
      </c>
      <c r="U1835">
        <v>-0.154174799999999</v>
      </c>
      <c r="V1835">
        <v>0.12834809999999999</v>
      </c>
      <c r="W1835">
        <v>-2.4352889999999999E-2</v>
      </c>
      <c r="X1835">
        <v>0.99143009999999998</v>
      </c>
      <c r="Y1835">
        <v>-6.5678520000000004E-2</v>
      </c>
      <c r="Z1835">
        <v>-1.2320779999999999E-3</v>
      </c>
      <c r="AA1835">
        <v>0.99783999999999995</v>
      </c>
      <c r="AB1835">
        <v>42</v>
      </c>
      <c r="AC1835">
        <v>-43.069499999999898</v>
      </c>
      <c r="AD1835">
        <v>-1.1090518262439999</v>
      </c>
      <c r="AE1835">
        <v>-2.18959999999998</v>
      </c>
      <c r="AF1835">
        <v>-2.8461165285514398</v>
      </c>
      <c r="AG1835">
        <v>-1.1090518262439999</v>
      </c>
      <c r="AH1835">
        <v>43.002537663467599</v>
      </c>
      <c r="AI1835">
        <v>91.474128778919294</v>
      </c>
      <c r="AJ1835">
        <v>93.786590078085695</v>
      </c>
      <c r="AK1835">
        <v>43.110887496609699</v>
      </c>
      <c r="AL1835">
        <v>91.3954558124138</v>
      </c>
      <c r="AM1835">
        <v>82.623654226884895</v>
      </c>
      <c r="AN1835">
        <v>0.99999997060548496</v>
      </c>
    </row>
    <row r="1836" spans="1:40" x14ac:dyDescent="0.25">
      <c r="A1836" t="str">
        <f>"20190312161303338"</f>
        <v>20190312161303338</v>
      </c>
      <c r="B1836" t="str">
        <f>"1552378383327151"</f>
        <v>1552378383327151</v>
      </c>
      <c r="C1836" t="s">
        <v>40</v>
      </c>
      <c r="D1836">
        <v>5.2700019999999999</v>
      </c>
      <c r="E1836">
        <v>0.4269578</v>
      </c>
      <c r="F1836" t="s">
        <v>69</v>
      </c>
      <c r="G1836">
        <v>-378.86099999999999</v>
      </c>
      <c r="H1836" s="1">
        <v>3.1785760000000001E-6</v>
      </c>
      <c r="I1836">
        <v>283.32170000000002</v>
      </c>
      <c r="J1836">
        <v>-334.12909999999999</v>
      </c>
      <c r="K1836">
        <v>1.109056</v>
      </c>
      <c r="L1836">
        <v>285.52859999999998</v>
      </c>
      <c r="M1836">
        <v>-0.99984200000000001</v>
      </c>
      <c r="N1836">
        <v>0</v>
      </c>
      <c r="O1836">
        <v>1.52482E-2</v>
      </c>
      <c r="P1836">
        <v>-0.98911570000000004</v>
      </c>
      <c r="Q1836">
        <v>-3.3389519999999999E-2</v>
      </c>
      <c r="R1836">
        <v>0.1433025</v>
      </c>
      <c r="S1836">
        <v>-3.0522459999999998</v>
      </c>
      <c r="T1836">
        <v>-7.5294970000000003E-2</v>
      </c>
      <c r="U1836">
        <v>-0.14959720000000001</v>
      </c>
      <c r="V1836">
        <v>0.12820770000000001</v>
      </c>
      <c r="W1836">
        <v>-2.430597E-2</v>
      </c>
      <c r="X1836">
        <v>0.99144940000000004</v>
      </c>
      <c r="Y1836">
        <v>-6.4154160000000002E-2</v>
      </c>
      <c r="Z1836">
        <v>-1.1666160000000001E-3</v>
      </c>
      <c r="AA1836">
        <v>0.99793929999999997</v>
      </c>
      <c r="AB1836">
        <v>42</v>
      </c>
      <c r="AC1836">
        <v>-44.731900000000003</v>
      </c>
      <c r="AD1836">
        <v>-1.1090528214239901</v>
      </c>
      <c r="AE1836">
        <v>-2.2068999999999601</v>
      </c>
      <c r="AF1836">
        <v>-2.8869824824778099</v>
      </c>
      <c r="AG1836">
        <v>-1.1090528214239901</v>
      </c>
      <c r="AH1836">
        <v>44.665656627457501</v>
      </c>
      <c r="AI1836">
        <v>91.419407152045196</v>
      </c>
      <c r="AJ1836">
        <v>93.698191203410303</v>
      </c>
      <c r="AK1836">
        <v>44.772598182111103</v>
      </c>
      <c r="AL1836">
        <v>91.392766722005604</v>
      </c>
      <c r="AM1836">
        <v>82.631776351977095</v>
      </c>
      <c r="AN1836">
        <v>0.99999995363864402</v>
      </c>
    </row>
    <row r="1837" spans="1:40" x14ac:dyDescent="0.25">
      <c r="A1837" t="str">
        <f>"20190312161303351"</f>
        <v>20190312161303351</v>
      </c>
      <c r="B1837" t="str">
        <f>"1552378383347647"</f>
        <v>1552378383347647</v>
      </c>
      <c r="C1837" t="s">
        <v>40</v>
      </c>
      <c r="D1837">
        <v>5.3093469999999998</v>
      </c>
      <c r="E1837">
        <v>0.42811480000000002</v>
      </c>
      <c r="F1837" t="s">
        <v>69</v>
      </c>
      <c r="G1837">
        <v>-380.40120000000002</v>
      </c>
      <c r="H1837" s="1">
        <v>-1.323304E-6</v>
      </c>
      <c r="I1837">
        <v>283.31670000000003</v>
      </c>
      <c r="J1837">
        <v>-334.37119999999999</v>
      </c>
      <c r="K1837">
        <v>1.1090549999999999</v>
      </c>
      <c r="L1837">
        <v>285.53230000000002</v>
      </c>
      <c r="M1837">
        <v>-0.99984280000000003</v>
      </c>
      <c r="N1837">
        <v>0</v>
      </c>
      <c r="O1837">
        <v>1.5200979999999999E-2</v>
      </c>
      <c r="P1837">
        <v>-0.98912230000000001</v>
      </c>
      <c r="Q1837">
        <v>-3.3242439999999998E-2</v>
      </c>
      <c r="R1837">
        <v>0.14329069999999999</v>
      </c>
      <c r="S1837">
        <v>-3.051666</v>
      </c>
      <c r="T1837">
        <v>-7.3142890000000002E-2</v>
      </c>
      <c r="U1837">
        <v>-0.145874</v>
      </c>
      <c r="V1837">
        <v>0.12824250000000001</v>
      </c>
      <c r="W1837">
        <v>-2.4156279999999999E-2</v>
      </c>
      <c r="X1837">
        <v>0.99144860000000001</v>
      </c>
      <c r="Y1837">
        <v>-6.2903290000000001E-2</v>
      </c>
      <c r="Z1837">
        <v>-1.117418E-3</v>
      </c>
      <c r="AA1837">
        <v>0.99801899999999999</v>
      </c>
      <c r="AB1837">
        <v>42</v>
      </c>
      <c r="AC1837">
        <v>-46.03</v>
      </c>
      <c r="AD1837">
        <v>-1.1090563233039901</v>
      </c>
      <c r="AE1837">
        <v>-2.21559999999999</v>
      </c>
      <c r="AF1837">
        <v>-2.9133868391932398</v>
      </c>
      <c r="AG1837">
        <v>-1.1090563233039901</v>
      </c>
      <c r="AH1837">
        <v>45.964378427176499</v>
      </c>
      <c r="AI1837">
        <v>91.379431961278797</v>
      </c>
      <c r="AJ1837">
        <v>93.626759984628507</v>
      </c>
      <c r="AK1837">
        <v>46.069967581926299</v>
      </c>
      <c r="AL1837">
        <v>91.384187539356702</v>
      </c>
      <c r="AM1837">
        <v>82.6297924662789</v>
      </c>
      <c r="AN1837">
        <v>0.99999999555582397</v>
      </c>
    </row>
    <row r="1838" spans="1:40" x14ac:dyDescent="0.25">
      <c r="A1838" t="str">
        <f>"20190312161303364"</f>
        <v>20190312161303364</v>
      </c>
      <c r="B1838" t="str">
        <f>"1552378383357407"</f>
        <v>1552378383357407</v>
      </c>
      <c r="C1838" t="s">
        <v>40</v>
      </c>
      <c r="D1838">
        <v>5.3249009999999997</v>
      </c>
      <c r="E1838">
        <v>0.42855969999999999</v>
      </c>
      <c r="F1838" t="s">
        <v>69</v>
      </c>
      <c r="G1838">
        <v>-383.38670000000002</v>
      </c>
      <c r="H1838" s="1">
        <v>2.6545230000000002E-7</v>
      </c>
      <c r="I1838">
        <v>283.3374</v>
      </c>
      <c r="J1838">
        <v>-334.61720000000003</v>
      </c>
      <c r="K1838">
        <v>1.1090530000000001</v>
      </c>
      <c r="L1838">
        <v>285.53590000000003</v>
      </c>
      <c r="M1838">
        <v>-0.9998435</v>
      </c>
      <c r="N1838">
        <v>0</v>
      </c>
      <c r="O1838">
        <v>1.5153460000000001E-2</v>
      </c>
      <c r="P1838">
        <v>-0.98916219999999999</v>
      </c>
      <c r="Q1838">
        <v>-3.3162219999999999E-2</v>
      </c>
      <c r="R1838">
        <v>0.1430342</v>
      </c>
      <c r="S1838">
        <v>-3.0504760000000002</v>
      </c>
      <c r="T1838">
        <v>-6.9021940000000004E-2</v>
      </c>
      <c r="U1838">
        <v>-0.13659669999999999</v>
      </c>
      <c r="V1838">
        <v>0.1280328</v>
      </c>
      <c r="W1838">
        <v>-2.407287E-2</v>
      </c>
      <c r="X1838">
        <v>0.99147770000000002</v>
      </c>
      <c r="Y1838">
        <v>-5.9848609999999997E-2</v>
      </c>
      <c r="Z1838">
        <v>-1.01935E-3</v>
      </c>
      <c r="AA1838">
        <v>0.99820699999999996</v>
      </c>
      <c r="AB1838">
        <v>42</v>
      </c>
      <c r="AC1838">
        <v>-48.769500000000001</v>
      </c>
      <c r="AD1838">
        <v>-1.1090527345476999</v>
      </c>
      <c r="AE1838">
        <v>-2.1985000000000201</v>
      </c>
      <c r="AF1838">
        <v>-2.9357898800572402</v>
      </c>
      <c r="AG1838">
        <v>-1.1090527345476999</v>
      </c>
      <c r="AH1838">
        <v>48.705447102008101</v>
      </c>
      <c r="AI1838">
        <v>91.302072009734204</v>
      </c>
      <c r="AJ1838">
        <v>93.449410865488503</v>
      </c>
      <c r="AK1838">
        <v>48.806448729592702</v>
      </c>
      <c r="AL1838">
        <v>91.379407150004297</v>
      </c>
      <c r="AM1838">
        <v>82.641925522568599</v>
      </c>
      <c r="AN1838">
        <v>0.99999996527158197</v>
      </c>
    </row>
    <row r="1839" spans="1:40" x14ac:dyDescent="0.25">
      <c r="A1839" t="str">
        <f>"20190312161303381"</f>
        <v>20190312161303381</v>
      </c>
      <c r="B1839" t="str">
        <f>"1552378383377903"</f>
        <v>1552378383377903</v>
      </c>
      <c r="C1839" t="s">
        <v>40</v>
      </c>
      <c r="D1839">
        <v>5.3362579999999999</v>
      </c>
      <c r="E1839">
        <v>0.42937710000000001</v>
      </c>
      <c r="F1839" t="s">
        <v>69</v>
      </c>
      <c r="G1839">
        <v>-384.36869999999999</v>
      </c>
      <c r="H1839" s="1">
        <v>7.8801259999999998E-7</v>
      </c>
      <c r="I1839">
        <v>283.34910000000002</v>
      </c>
      <c r="J1839">
        <v>-334.94880000000001</v>
      </c>
      <c r="K1839">
        <v>1.1090530000000001</v>
      </c>
      <c r="L1839">
        <v>285.54090000000002</v>
      </c>
      <c r="M1839">
        <v>-0.99984430000000002</v>
      </c>
      <c r="N1839">
        <v>0</v>
      </c>
      <c r="O1839">
        <v>1.5088819999999999E-2</v>
      </c>
      <c r="P1839">
        <v>-0.98918879999999998</v>
      </c>
      <c r="Q1839">
        <v>-3.3434850000000002E-2</v>
      </c>
      <c r="R1839">
        <v>0.1427861</v>
      </c>
      <c r="S1839">
        <v>-3.049957</v>
      </c>
      <c r="T1839">
        <v>-6.7989110000000005E-2</v>
      </c>
      <c r="U1839">
        <v>-0.13406370000000001</v>
      </c>
      <c r="V1839">
        <v>0.1278484</v>
      </c>
      <c r="W1839">
        <v>-2.4341060000000001E-2</v>
      </c>
      <c r="X1839">
        <v>0.99149500000000002</v>
      </c>
      <c r="Y1839">
        <v>-5.896506E-2</v>
      </c>
      <c r="Z1839">
        <v>-9.9300650000000001E-4</v>
      </c>
      <c r="AA1839">
        <v>0.99825949999999997</v>
      </c>
      <c r="AB1839">
        <v>42</v>
      </c>
      <c r="AC1839">
        <v>-49.419899999999899</v>
      </c>
      <c r="AD1839">
        <v>-1.1090522119874</v>
      </c>
      <c r="AE1839">
        <v>-2.1918000000000002</v>
      </c>
      <c r="AF1839">
        <v>-2.9357940314850901</v>
      </c>
      <c r="AG1839">
        <v>-1.1090522119874</v>
      </c>
      <c r="AH1839">
        <v>49.356392458200801</v>
      </c>
      <c r="AI1839">
        <v>91.284965516842504</v>
      </c>
      <c r="AJ1839">
        <v>93.404030201958406</v>
      </c>
      <c r="AK1839">
        <v>49.456064945486297</v>
      </c>
      <c r="AL1839">
        <v>91.394777736493197</v>
      </c>
      <c r="AM1839">
        <v>82.652533948311202</v>
      </c>
      <c r="AN1839">
        <v>1.0000000178047399</v>
      </c>
    </row>
    <row r="1840" spans="1:40" x14ac:dyDescent="0.25">
      <c r="A1840" t="str">
        <f>"20190312161303394"</f>
        <v>20190312161303394</v>
      </c>
      <c r="B1840" t="str">
        <f>"1552378383387663"</f>
        <v>1552378383387663</v>
      </c>
      <c r="C1840" t="s">
        <v>40</v>
      </c>
      <c r="D1840">
        <v>5.5164629999999999</v>
      </c>
      <c r="E1840">
        <v>0.42970809999999998</v>
      </c>
      <c r="F1840" t="s">
        <v>69</v>
      </c>
      <c r="G1840">
        <v>-385.35840000000002</v>
      </c>
      <c r="H1840" s="1">
        <v>1.3146779999999999E-6</v>
      </c>
      <c r="I1840">
        <v>283.42180000000002</v>
      </c>
      <c r="J1840">
        <v>-335.18970000000002</v>
      </c>
      <c r="K1840">
        <v>1.1090599999999999</v>
      </c>
      <c r="L1840">
        <v>285.54450000000003</v>
      </c>
      <c r="M1840">
        <v>-0.99984499999999998</v>
      </c>
      <c r="N1840">
        <v>0</v>
      </c>
      <c r="O1840">
        <v>1.5041830000000001E-2</v>
      </c>
      <c r="P1840">
        <v>-0.98919000000000001</v>
      </c>
      <c r="Q1840">
        <v>-3.3553239999999998E-2</v>
      </c>
      <c r="R1840">
        <v>0.14274970000000001</v>
      </c>
      <c r="S1840">
        <v>-3.0489809999999999</v>
      </c>
      <c r="T1840">
        <v>-6.7080020000000004E-2</v>
      </c>
      <c r="U1840">
        <v>-0.1281738</v>
      </c>
      <c r="V1840">
        <v>0.12785859999999999</v>
      </c>
      <c r="W1840">
        <v>-2.4456120000000001E-2</v>
      </c>
      <c r="X1840">
        <v>0.99149080000000001</v>
      </c>
      <c r="Y1840">
        <v>-5.700819E-2</v>
      </c>
      <c r="Z1840">
        <v>-9.5753730000000005E-4</v>
      </c>
      <c r="AA1840">
        <v>0.99837330000000002</v>
      </c>
      <c r="AB1840">
        <v>43</v>
      </c>
      <c r="AC1840">
        <v>-50.168700000000001</v>
      </c>
      <c r="AD1840">
        <v>-1.1090586853219999</v>
      </c>
      <c r="AE1840">
        <v>-2.1227</v>
      </c>
      <c r="AF1840">
        <v>-2.8757176209795099</v>
      </c>
      <c r="AG1840">
        <v>-1.1090586853219999</v>
      </c>
      <c r="AH1840">
        <v>50.106649655911603</v>
      </c>
      <c r="AI1840">
        <v>91.265893147005698</v>
      </c>
      <c r="AJ1840">
        <v>93.284712429769996</v>
      </c>
      <c r="AK1840">
        <v>50.201355586710598</v>
      </c>
      <c r="AL1840">
        <v>91.401372225956095</v>
      </c>
      <c r="AM1840">
        <v>82.651923372613695</v>
      </c>
      <c r="AN1840">
        <v>0.99999996494202603</v>
      </c>
    </row>
    <row r="1841" spans="1:40" x14ac:dyDescent="0.25">
      <c r="A1841" t="str">
        <f>"20190312161303407"</f>
        <v>20190312161303407</v>
      </c>
      <c r="B1841" t="str">
        <f>"1552378383397422"</f>
        <v>1552378383397422</v>
      </c>
      <c r="C1841" t="s">
        <v>40</v>
      </c>
      <c r="D1841">
        <v>5.3023470000000001</v>
      </c>
      <c r="E1841">
        <v>0.42983280000000001</v>
      </c>
      <c r="F1841" t="s">
        <v>69</v>
      </c>
      <c r="G1841">
        <v>-385.67309999999998</v>
      </c>
      <c r="H1841" s="1">
        <v>1.4821730000000001E-6</v>
      </c>
      <c r="I1841">
        <v>283.46350000000001</v>
      </c>
      <c r="J1841">
        <v>-335.43400000000003</v>
      </c>
      <c r="K1841">
        <v>1.109062</v>
      </c>
      <c r="L1841">
        <v>285.54820000000001</v>
      </c>
      <c r="M1841">
        <v>-0.99984569999999995</v>
      </c>
      <c r="N1841">
        <v>0</v>
      </c>
      <c r="O1841">
        <v>1.499413E-2</v>
      </c>
      <c r="P1841">
        <v>-0.98922969999999999</v>
      </c>
      <c r="Q1841">
        <v>-3.354095E-2</v>
      </c>
      <c r="R1841">
        <v>0.14247689999999999</v>
      </c>
      <c r="S1841">
        <v>-3.0486149999999999</v>
      </c>
      <c r="T1841">
        <v>-6.6974279999999997E-2</v>
      </c>
      <c r="U1841">
        <v>-0.12567139999999999</v>
      </c>
      <c r="V1841">
        <v>0.12763250000000001</v>
      </c>
      <c r="W1841">
        <v>-2.4440010000000002E-2</v>
      </c>
      <c r="X1841">
        <v>0.99152030000000002</v>
      </c>
      <c r="Y1841">
        <v>-5.6147750000000003E-2</v>
      </c>
      <c r="Z1841">
        <v>-9.4566530000000004E-4</v>
      </c>
      <c r="AA1841">
        <v>0.99842200000000003</v>
      </c>
      <c r="AB1841">
        <v>43</v>
      </c>
      <c r="AC1841">
        <v>-50.239099999999901</v>
      </c>
      <c r="AD1841">
        <v>-1.1090605178270001</v>
      </c>
      <c r="AE1841">
        <v>-2.08469999999999</v>
      </c>
      <c r="AF1841">
        <v>-2.8364088626788302</v>
      </c>
      <c r="AG1841">
        <v>-1.1090605178270001</v>
      </c>
      <c r="AH1841">
        <v>50.177780851981403</v>
      </c>
      <c r="AI1841">
        <v>91.264163352552501</v>
      </c>
      <c r="AJ1841">
        <v>93.235326273277195</v>
      </c>
      <c r="AK1841">
        <v>50.2701195711523</v>
      </c>
      <c r="AL1841">
        <v>91.400448953758399</v>
      </c>
      <c r="AM1841">
        <v>82.664991637548695</v>
      </c>
      <c r="AN1841">
        <v>0.99999993722856795</v>
      </c>
    </row>
    <row r="1842" spans="1:40" x14ac:dyDescent="0.25">
      <c r="A1842" t="str">
        <f>"20190312161303420"</f>
        <v>20190312161303420</v>
      </c>
      <c r="B1842" t="str">
        <f>"1552378383417919"</f>
        <v>1552378383417919</v>
      </c>
      <c r="C1842" t="s">
        <v>40</v>
      </c>
      <c r="D1842">
        <v>5.3294240000000004</v>
      </c>
      <c r="E1842">
        <v>0.43004019999999998</v>
      </c>
      <c r="F1842" t="s">
        <v>69</v>
      </c>
      <c r="G1842">
        <v>-386.16430000000003</v>
      </c>
      <c r="H1842" s="1">
        <v>1.7435389999999999E-6</v>
      </c>
      <c r="I1842">
        <v>283.45890000000003</v>
      </c>
      <c r="J1842">
        <v>-335.6891</v>
      </c>
      <c r="K1842">
        <v>1.109062</v>
      </c>
      <c r="L1842">
        <v>285.55200000000002</v>
      </c>
      <c r="M1842">
        <v>-0.99984649999999997</v>
      </c>
      <c r="N1842">
        <v>0</v>
      </c>
      <c r="O1842">
        <v>1.494404E-2</v>
      </c>
      <c r="P1842">
        <v>-0.98926550000000002</v>
      </c>
      <c r="Q1842">
        <v>-3.3020889999999997E-2</v>
      </c>
      <c r="R1842">
        <v>0.14235139999999999</v>
      </c>
      <c r="S1842">
        <v>-3.048492</v>
      </c>
      <c r="T1842">
        <v>-6.6645860000000001E-2</v>
      </c>
      <c r="U1842">
        <v>-0.1255493</v>
      </c>
      <c r="V1842">
        <v>0.12755630000000001</v>
      </c>
      <c r="W1842">
        <v>-2.391573E-2</v>
      </c>
      <c r="X1842">
        <v>0.9915429</v>
      </c>
      <c r="Y1842">
        <v>-5.6059669999999999E-2</v>
      </c>
      <c r="Z1842">
        <v>-9.3901049999999995E-4</v>
      </c>
      <c r="AA1842">
        <v>0.99842699999999995</v>
      </c>
      <c r="AB1842">
        <v>43</v>
      </c>
      <c r="AC1842">
        <v>-50.475200000000001</v>
      </c>
      <c r="AD1842">
        <v>-1.1090602564609999</v>
      </c>
      <c r="AE1842">
        <v>-2.09309999999999</v>
      </c>
      <c r="AF1842">
        <v>-2.84582963997306</v>
      </c>
      <c r="AG1842">
        <v>-1.1090602564609999</v>
      </c>
      <c r="AH1842">
        <v>50.413985007184102</v>
      </c>
      <c r="AI1842">
        <v>91.2582475153594</v>
      </c>
      <c r="AJ1842">
        <v>93.230872676628806</v>
      </c>
      <c r="AK1842">
        <v>50.506421822346397</v>
      </c>
      <c r="AL1842">
        <v>91.370401122808403</v>
      </c>
      <c r="AM1842">
        <v>82.669488452995196</v>
      </c>
      <c r="AN1842">
        <v>0.99999994717576501</v>
      </c>
    </row>
    <row r="1843" spans="1:40" x14ac:dyDescent="0.25">
      <c r="A1843" t="str">
        <f>"20190312161303439"</f>
        <v>20190312161303439</v>
      </c>
      <c r="B1843" t="str">
        <f>"1552378383427680"</f>
        <v>1552378383427680</v>
      </c>
      <c r="C1843" t="s">
        <v>40</v>
      </c>
      <c r="D1843">
        <v>5.3743420000000004</v>
      </c>
      <c r="E1843">
        <v>0.43018719999999999</v>
      </c>
      <c r="F1843" t="s">
        <v>69</v>
      </c>
      <c r="G1843">
        <v>-388.03300000000002</v>
      </c>
      <c r="H1843" s="1">
        <v>2.7379640000000002E-6</v>
      </c>
      <c r="I1843">
        <v>283.42020000000002</v>
      </c>
      <c r="J1843">
        <v>-336.04320000000001</v>
      </c>
      <c r="K1843">
        <v>1.1090679999999999</v>
      </c>
      <c r="L1843">
        <v>285.55720000000002</v>
      </c>
      <c r="M1843">
        <v>-0.99984740000000005</v>
      </c>
      <c r="N1843">
        <v>0</v>
      </c>
      <c r="O1843">
        <v>1.4874750000000001E-2</v>
      </c>
      <c r="P1843">
        <v>-0.98936550000000001</v>
      </c>
      <c r="Q1843">
        <v>-3.2502400000000001E-2</v>
      </c>
      <c r="R1843">
        <v>0.14177339999999999</v>
      </c>
      <c r="S1843">
        <v>-3.0483090000000002</v>
      </c>
      <c r="T1843">
        <v>-6.4587469999999994E-2</v>
      </c>
      <c r="U1843">
        <v>-0.12414550000000001</v>
      </c>
      <c r="V1843">
        <v>0.1270453</v>
      </c>
      <c r="W1843">
        <v>-2.339082E-2</v>
      </c>
      <c r="X1843">
        <v>0.99162110000000003</v>
      </c>
      <c r="Y1843">
        <v>-5.5535069999999999E-2</v>
      </c>
      <c r="Z1843">
        <v>-9.0305620000000002E-4</v>
      </c>
      <c r="AA1843">
        <v>0.99845629999999996</v>
      </c>
      <c r="AB1843">
        <v>43</v>
      </c>
      <c r="AC1843">
        <v>-51.989800000000002</v>
      </c>
      <c r="AD1843">
        <v>-1.109065262036</v>
      </c>
      <c r="AE1843">
        <v>-2.137</v>
      </c>
      <c r="AF1843">
        <v>-2.9088098024082099</v>
      </c>
      <c r="AG1843">
        <v>-1.109065262036</v>
      </c>
      <c r="AH1843">
        <v>51.928667636071197</v>
      </c>
      <c r="AI1843">
        <v>91.221592781087097</v>
      </c>
      <c r="AJ1843">
        <v>93.206100711032903</v>
      </c>
      <c r="AK1843">
        <v>52.0218965694215</v>
      </c>
      <c r="AL1843">
        <v>91.340317475778093</v>
      </c>
      <c r="AM1843">
        <v>82.699107083182497</v>
      </c>
      <c r="AN1843">
        <v>1.0000000223387799</v>
      </c>
    </row>
    <row r="1844" spans="1:40" x14ac:dyDescent="0.25">
      <c r="A1844" t="str">
        <f>"20190312161303460"</f>
        <v>20190312161303460</v>
      </c>
      <c r="B1844" t="str">
        <f>"1552378383457934"</f>
        <v>1552378383457934</v>
      </c>
      <c r="C1844" t="s">
        <v>40</v>
      </c>
      <c r="D1844">
        <v>5.3531440000000003</v>
      </c>
      <c r="E1844">
        <v>0.43046380000000001</v>
      </c>
      <c r="F1844" t="s">
        <v>69</v>
      </c>
      <c r="G1844">
        <v>-389.44659999999999</v>
      </c>
      <c r="H1844" s="1">
        <v>3.4902200000000002E-6</v>
      </c>
      <c r="I1844">
        <v>283.3698</v>
      </c>
      <c r="J1844">
        <v>-336.44349999999997</v>
      </c>
      <c r="K1844">
        <v>1.1090690000000001</v>
      </c>
      <c r="L1844">
        <v>285.56310000000002</v>
      </c>
      <c r="M1844">
        <v>-0.99984850000000003</v>
      </c>
      <c r="N1844">
        <v>0</v>
      </c>
      <c r="O1844">
        <v>1.4795920000000001E-2</v>
      </c>
      <c r="P1844">
        <v>-0.9894115</v>
      </c>
      <c r="Q1844">
        <v>-3.2523150000000001E-2</v>
      </c>
      <c r="R1844">
        <v>0.1414465</v>
      </c>
      <c r="S1844">
        <v>-3.0480649999999998</v>
      </c>
      <c r="T1844">
        <v>-6.3301209999999997E-2</v>
      </c>
      <c r="U1844">
        <v>-0.1248474</v>
      </c>
      <c r="V1844">
        <v>0.12679589999999999</v>
      </c>
      <c r="W1844">
        <v>-2.340441E-2</v>
      </c>
      <c r="X1844">
        <v>0.99165270000000005</v>
      </c>
      <c r="Y1844">
        <v>-5.5689740000000001E-2</v>
      </c>
      <c r="Z1844">
        <v>-8.8511099999999995E-4</v>
      </c>
      <c r="AA1844">
        <v>0.99844770000000005</v>
      </c>
      <c r="AB1844">
        <v>43</v>
      </c>
      <c r="AC1844">
        <v>-53.003100000000003</v>
      </c>
      <c r="AD1844">
        <v>-1.10906550978</v>
      </c>
      <c r="AE1844">
        <v>-2.1933000000000198</v>
      </c>
      <c r="AF1844">
        <v>-2.9760216954159602</v>
      </c>
      <c r="AG1844">
        <v>-1.10906550978</v>
      </c>
      <c r="AH1844">
        <v>52.941704059351899</v>
      </c>
      <c r="AI1844">
        <v>91.198211576555593</v>
      </c>
      <c r="AJ1844">
        <v>93.217392083748905</v>
      </c>
      <c r="AK1844">
        <v>53.036881131384099</v>
      </c>
      <c r="AL1844">
        <v>91.341096339026805</v>
      </c>
      <c r="AM1844">
        <v>82.713514828186604</v>
      </c>
      <c r="AN1844">
        <v>1.0000000220407701</v>
      </c>
    </row>
    <row r="1845" spans="1:40" x14ac:dyDescent="0.25">
      <c r="A1845" t="str">
        <f>"20190312161303474"</f>
        <v>20190312161303474</v>
      </c>
      <c r="B1845" t="str">
        <f>"1552378383467695"</f>
        <v>1552378383467695</v>
      </c>
      <c r="C1845" t="s">
        <v>40</v>
      </c>
      <c r="D1845">
        <v>5.3685559999999999</v>
      </c>
      <c r="E1845">
        <v>0.43056820000000001</v>
      </c>
      <c r="F1845" t="s">
        <v>69</v>
      </c>
      <c r="G1845">
        <v>-389.02859999999998</v>
      </c>
      <c r="H1845" s="1">
        <v>3.267774E-6</v>
      </c>
      <c r="I1845">
        <v>283.42899999999997</v>
      </c>
      <c r="J1845">
        <v>-336.7124</v>
      </c>
      <c r="K1845">
        <v>1.1090660000000001</v>
      </c>
      <c r="L1845">
        <v>285.56700000000001</v>
      </c>
      <c r="M1845">
        <v>-0.99984930000000005</v>
      </c>
      <c r="N1845">
        <v>0</v>
      </c>
      <c r="O1845">
        <v>1.4742669999999999E-2</v>
      </c>
      <c r="P1845">
        <v>-0.98943630000000005</v>
      </c>
      <c r="Q1845">
        <v>-3.2721340000000002E-2</v>
      </c>
      <c r="R1845">
        <v>0.14122750000000001</v>
      </c>
      <c r="S1845">
        <v>-3.0476990000000002</v>
      </c>
      <c r="T1845">
        <v>-6.4278599999999894E-2</v>
      </c>
      <c r="U1845">
        <v>-0.1236877</v>
      </c>
      <c r="V1845">
        <v>0.12662950000000001</v>
      </c>
      <c r="W1845">
        <v>-2.359758E-2</v>
      </c>
      <c r="X1845">
        <v>0.99166940000000003</v>
      </c>
      <c r="Y1845">
        <v>-5.5261810000000001E-2</v>
      </c>
      <c r="Z1845">
        <v>-8.9325630000000004E-4</v>
      </c>
      <c r="AA1845">
        <v>0.99847149999999996</v>
      </c>
      <c r="AB1845">
        <v>43</v>
      </c>
      <c r="AC1845">
        <v>-52.316199999999903</v>
      </c>
      <c r="AD1845">
        <v>-1.1090627322259901</v>
      </c>
      <c r="AE1845">
        <v>-2.1379999999999701</v>
      </c>
      <c r="AF1845">
        <v>-2.9077759085867001</v>
      </c>
      <c r="AG1845">
        <v>-1.1090627322259901</v>
      </c>
      <c r="AH1845">
        <v>52.255547839455602</v>
      </c>
      <c r="AI1845">
        <v>91.213975739683704</v>
      </c>
      <c r="AJ1845">
        <v>93.184956548549707</v>
      </c>
      <c r="AK1845">
        <v>52.348137129034498</v>
      </c>
      <c r="AL1845">
        <v>91.352167201284701</v>
      </c>
      <c r="AM1845">
        <v>82.723095877065504</v>
      </c>
      <c r="AN1845">
        <v>1.0000000374742299</v>
      </c>
    </row>
    <row r="1846" spans="1:40" x14ac:dyDescent="0.25">
      <c r="A1846" t="str">
        <f>"20190312161303493"</f>
        <v>20190312161303493</v>
      </c>
      <c r="B1846" t="str">
        <f>"1552378383487214"</f>
        <v>1552378383487214</v>
      </c>
      <c r="C1846" t="s">
        <v>40</v>
      </c>
      <c r="D1846">
        <v>5.3668889999999996</v>
      </c>
      <c r="E1846">
        <v>0.43072009999999999</v>
      </c>
      <c r="F1846" t="s">
        <v>69</v>
      </c>
      <c r="G1846">
        <v>-387.8177</v>
      </c>
      <c r="H1846" s="1">
        <v>2.62341E-6</v>
      </c>
      <c r="I1846">
        <v>283.49639999999999</v>
      </c>
      <c r="J1846">
        <v>-337.06349999999998</v>
      </c>
      <c r="K1846">
        <v>1.109065</v>
      </c>
      <c r="L1846">
        <v>285.57220000000001</v>
      </c>
      <c r="M1846">
        <v>-0.99985020000000002</v>
      </c>
      <c r="N1846">
        <v>0</v>
      </c>
      <c r="O1846">
        <v>1.467367E-2</v>
      </c>
      <c r="P1846">
        <v>-0.98935859999999998</v>
      </c>
      <c r="Q1846">
        <v>-3.3101850000000002E-2</v>
      </c>
      <c r="R1846">
        <v>0.141683</v>
      </c>
      <c r="S1846">
        <v>-3.047485</v>
      </c>
      <c r="T1846">
        <v>-6.6135050000000001E-2</v>
      </c>
      <c r="U1846">
        <v>-0.1234741</v>
      </c>
      <c r="V1846">
        <v>0.1271545</v>
      </c>
      <c r="W1846">
        <v>-2.3971949999999999E-2</v>
      </c>
      <c r="X1846">
        <v>0.99159319999999895</v>
      </c>
      <c r="Y1846">
        <v>-5.5125E-2</v>
      </c>
      <c r="Z1846">
        <v>-9.1613369999999999E-4</v>
      </c>
      <c r="AA1846">
        <v>0.99847909999999995</v>
      </c>
      <c r="AB1846">
        <v>43</v>
      </c>
      <c r="AC1846">
        <v>-50.754199999999997</v>
      </c>
      <c r="AD1846">
        <v>-1.1090623765899901</v>
      </c>
      <c r="AE1846">
        <v>-2.0758000000000099</v>
      </c>
      <c r="AF1846">
        <v>-2.8190144378370099</v>
      </c>
      <c r="AG1846">
        <v>-1.1090623765899901</v>
      </c>
      <c r="AH1846">
        <v>50.694108534325302</v>
      </c>
      <c r="AI1846">
        <v>91.251358099947097</v>
      </c>
      <c r="AJ1846">
        <v>93.182844246222999</v>
      </c>
      <c r="AK1846">
        <v>50.784539988522603</v>
      </c>
      <c r="AL1846">
        <v>91.373623145947604</v>
      </c>
      <c r="AM1846">
        <v>82.692696124022504</v>
      </c>
      <c r="AN1846">
        <v>0.99999999777164605</v>
      </c>
    </row>
    <row r="1847" spans="1:40" x14ac:dyDescent="0.25">
      <c r="A1847" t="str">
        <f>"20190312161303516"</f>
        <v>20190312161303516</v>
      </c>
      <c r="B1847" t="str">
        <f>"1552378383507714"</f>
        <v>1552378383507714</v>
      </c>
      <c r="C1847" t="s">
        <v>40</v>
      </c>
      <c r="D1847">
        <v>5.3695170000000001</v>
      </c>
      <c r="E1847">
        <v>0.43090689999999998</v>
      </c>
      <c r="F1847" t="s">
        <v>69</v>
      </c>
      <c r="G1847">
        <v>-386.80270000000002</v>
      </c>
      <c r="H1847" s="1">
        <v>2.0832880000000001E-6</v>
      </c>
      <c r="I1847">
        <v>283.59620000000001</v>
      </c>
      <c r="J1847">
        <v>-337.5197</v>
      </c>
      <c r="K1847">
        <v>1.1090629999999999</v>
      </c>
      <c r="L1847">
        <v>285.5788</v>
      </c>
      <c r="M1847">
        <v>-0.9998515</v>
      </c>
      <c r="N1847">
        <v>0</v>
      </c>
      <c r="O1847">
        <v>1.458427E-2</v>
      </c>
      <c r="P1847">
        <v>-0.98932730000000002</v>
      </c>
      <c r="Q1847">
        <v>-3.2849620000000003E-2</v>
      </c>
      <c r="R1847">
        <v>0.14196039999999999</v>
      </c>
      <c r="S1847">
        <v>-3.0473629999999998</v>
      </c>
      <c r="T1847">
        <v>-6.7948700000000001E-2</v>
      </c>
      <c r="U1847">
        <v>-0.1210632</v>
      </c>
      <c r="V1847">
        <v>0.1275211</v>
      </c>
      <c r="W1847">
        <v>-2.3710769999999999E-2</v>
      </c>
      <c r="X1847">
        <v>0.9915524</v>
      </c>
      <c r="Y1847">
        <v>-5.4247990000000003E-2</v>
      </c>
      <c r="Z1847">
        <v>-9.2953839999999996E-4</v>
      </c>
      <c r="AA1847">
        <v>0.9985271</v>
      </c>
      <c r="AB1847">
        <v>43</v>
      </c>
      <c r="AC1847">
        <v>-49.283000000000001</v>
      </c>
      <c r="AD1847">
        <v>-1.10906091671199</v>
      </c>
      <c r="AE1847">
        <v>-1.9825999999999899</v>
      </c>
      <c r="AF1847">
        <v>-2.6998109412384799</v>
      </c>
      <c r="AG1847">
        <v>-1.10906091671199</v>
      </c>
      <c r="AH1847">
        <v>49.223953974360398</v>
      </c>
      <c r="AI1847">
        <v>91.288771824569494</v>
      </c>
      <c r="AJ1847">
        <v>93.139384917746199</v>
      </c>
      <c r="AK1847">
        <v>49.310411072159603</v>
      </c>
      <c r="AL1847">
        <v>91.358654380757002</v>
      </c>
      <c r="AM1847">
        <v>82.671558812394395</v>
      </c>
      <c r="AN1847">
        <v>0.99999999675248097</v>
      </c>
    </row>
    <row r="1848" spans="1:40" x14ac:dyDescent="0.25">
      <c r="A1848" t="str">
        <f>"20190312161303528"</f>
        <v>20190312161303528</v>
      </c>
      <c r="B1848" t="str">
        <f>"1552378383517471"</f>
        <v>1552378383517471</v>
      </c>
      <c r="C1848" t="s">
        <v>40</v>
      </c>
      <c r="D1848">
        <v>5.291938</v>
      </c>
      <c r="E1848">
        <v>0.43101400000000001</v>
      </c>
      <c r="F1848" t="s">
        <v>69</v>
      </c>
      <c r="G1848">
        <v>-388.65219999999999</v>
      </c>
      <c r="H1848" s="1">
        <v>3.0674539999999999E-6</v>
      </c>
      <c r="I1848">
        <v>283.58879999999999</v>
      </c>
      <c r="J1848">
        <v>-337.75450000000001</v>
      </c>
      <c r="K1848">
        <v>1.1090580000000001</v>
      </c>
      <c r="L1848">
        <v>285.5822</v>
      </c>
      <c r="M1848">
        <v>-0.99985210000000002</v>
      </c>
      <c r="N1848">
        <v>0</v>
      </c>
      <c r="O1848">
        <v>1.453806E-2</v>
      </c>
      <c r="P1848">
        <v>-0.98929800000000001</v>
      </c>
      <c r="Q1848">
        <v>-3.3028929999999998E-2</v>
      </c>
      <c r="R1848">
        <v>0.14212169999999999</v>
      </c>
      <c r="S1848">
        <v>-3.0472109999999999</v>
      </c>
      <c r="T1848">
        <v>-6.6093799999999994E-2</v>
      </c>
      <c r="U1848">
        <v>-0.1185913</v>
      </c>
      <c r="V1848">
        <v>0.12772849999999999</v>
      </c>
      <c r="W1848">
        <v>-2.3885469999999999E-2</v>
      </c>
      <c r="X1848">
        <v>0.99152149999999994</v>
      </c>
      <c r="Y1848">
        <v>-5.3396159999999998E-2</v>
      </c>
      <c r="Z1848">
        <v>-8.9399289999999903E-4</v>
      </c>
      <c r="AA1848">
        <v>0.99857300000000004</v>
      </c>
      <c r="AB1848">
        <v>43</v>
      </c>
      <c r="AC1848">
        <v>-50.897699999999901</v>
      </c>
      <c r="AD1848">
        <v>-1.109054932546</v>
      </c>
      <c r="AE1848">
        <v>-1.9934000000000001</v>
      </c>
      <c r="AF1848">
        <v>-2.7318792593307699</v>
      </c>
      <c r="AG1848">
        <v>-1.109054932546</v>
      </c>
      <c r="AH1848">
        <v>50.839237672290501</v>
      </c>
      <c r="AI1848">
        <v>91.247905983482298</v>
      </c>
      <c r="AJ1848">
        <v>93.075867437317996</v>
      </c>
      <c r="AK1848">
        <v>50.924662534283101</v>
      </c>
      <c r="AL1848">
        <v>91.368666804998696</v>
      </c>
      <c r="AM1848">
        <v>82.659543478084998</v>
      </c>
      <c r="AN1848">
        <v>0.99999998517581001</v>
      </c>
    </row>
    <row r="1849" spans="1:40" x14ac:dyDescent="0.25">
      <c r="A1849" t="str">
        <f>"20190312161303540"</f>
        <v>20190312161303540</v>
      </c>
      <c r="B1849" t="str">
        <f>"1552378383536991"</f>
        <v>1552378383536991</v>
      </c>
      <c r="C1849" t="s">
        <v>40</v>
      </c>
      <c r="D1849">
        <v>5.2474470000000002</v>
      </c>
      <c r="E1849">
        <v>0.43119970000000002</v>
      </c>
      <c r="F1849" t="s">
        <v>69</v>
      </c>
      <c r="G1849">
        <v>-388.33330000000001</v>
      </c>
      <c r="H1849" s="1">
        <v>2.8977919999999998E-6</v>
      </c>
      <c r="I1849">
        <v>283.63249999999999</v>
      </c>
      <c r="J1849">
        <v>-337.99889999999999</v>
      </c>
      <c r="K1849">
        <v>1.109059</v>
      </c>
      <c r="L1849">
        <v>285.58569999999997</v>
      </c>
      <c r="M1849">
        <v>-0.99985279999999999</v>
      </c>
      <c r="N1849">
        <v>0</v>
      </c>
      <c r="O1849">
        <v>1.448969E-2</v>
      </c>
      <c r="P1849">
        <v>-0.98930790000000002</v>
      </c>
      <c r="Q1849">
        <v>-3.3026970000000003E-2</v>
      </c>
      <c r="R1849">
        <v>0.14205379999999901</v>
      </c>
      <c r="S1849">
        <v>-3.0471189999999999</v>
      </c>
      <c r="T1849">
        <v>-6.6815020000000003E-2</v>
      </c>
      <c r="U1849">
        <v>-0.1174622</v>
      </c>
      <c r="V1849">
        <v>0.127708399999999</v>
      </c>
      <c r="W1849">
        <v>-2.387829E-2</v>
      </c>
      <c r="X1849">
        <v>0.99152430000000003</v>
      </c>
      <c r="Y1849">
        <v>-5.2979289999999998E-2</v>
      </c>
      <c r="Z1849">
        <v>-8.9815109999999995E-4</v>
      </c>
      <c r="AA1849">
        <v>0.99859520000000002</v>
      </c>
      <c r="AB1849">
        <v>43</v>
      </c>
      <c r="AC1849">
        <v>-50.334400000000002</v>
      </c>
      <c r="AD1849">
        <v>-1.1090561022079899</v>
      </c>
      <c r="AE1849">
        <v>-1.9531999999999801</v>
      </c>
      <c r="AF1849">
        <v>-2.6810559159068399</v>
      </c>
      <c r="AG1849">
        <v>-1.1090561022079899</v>
      </c>
      <c r="AH1849">
        <v>50.276441098237903</v>
      </c>
      <c r="AI1849">
        <v>91.261899497942906</v>
      </c>
      <c r="AJ1849">
        <v>93.052479921601005</v>
      </c>
      <c r="AK1849">
        <v>50.360089314522199</v>
      </c>
      <c r="AL1849">
        <v>91.368255252403898</v>
      </c>
      <c r="AM1849">
        <v>82.660706513602094</v>
      </c>
      <c r="AN1849">
        <v>1.0000000228271799</v>
      </c>
    </row>
    <row r="1850" spans="1:40" x14ac:dyDescent="0.25">
      <c r="A1850" t="str">
        <f>"20190312161303553"</f>
        <v>20190312161303553</v>
      </c>
      <c r="B1850" t="str">
        <f>"1552378383547727"</f>
        <v>1552378383547727</v>
      </c>
      <c r="C1850" t="s">
        <v>40</v>
      </c>
      <c r="D1850">
        <v>5.3850959999999999</v>
      </c>
      <c r="E1850">
        <v>0.43130420000000003</v>
      </c>
      <c r="F1850" t="s">
        <v>69</v>
      </c>
      <c r="G1850">
        <v>-387.69319999999999</v>
      </c>
      <c r="H1850" s="1">
        <v>2.5571590000000002E-6</v>
      </c>
      <c r="I1850">
        <v>283.6918</v>
      </c>
      <c r="J1850">
        <v>-338.24110000000002</v>
      </c>
      <c r="K1850">
        <v>1.109059</v>
      </c>
      <c r="L1850">
        <v>285.58920000000001</v>
      </c>
      <c r="M1850">
        <v>-0.9998534</v>
      </c>
      <c r="N1850">
        <v>0</v>
      </c>
      <c r="O1850">
        <v>1.4441799999999999E-2</v>
      </c>
      <c r="P1850">
        <v>-0.98934500000000003</v>
      </c>
      <c r="Q1850">
        <v>-3.2784210000000001E-2</v>
      </c>
      <c r="R1850">
        <v>0.141851</v>
      </c>
      <c r="S1850">
        <v>-3.046875</v>
      </c>
      <c r="T1850">
        <v>-6.7998890000000006E-2</v>
      </c>
      <c r="U1850">
        <v>-0.1161194</v>
      </c>
      <c r="V1850">
        <v>0.12755250000000001</v>
      </c>
      <c r="W1850">
        <v>-2.3630089999999999E-2</v>
      </c>
      <c r="X1850">
        <v>0.9915503</v>
      </c>
      <c r="Y1850">
        <v>-5.2494659999999999E-2</v>
      </c>
      <c r="Z1850">
        <v>-9.076682E-4</v>
      </c>
      <c r="AA1850">
        <v>0.99862079999999998</v>
      </c>
      <c r="AB1850">
        <v>43</v>
      </c>
      <c r="AC1850">
        <v>-49.452099999999902</v>
      </c>
      <c r="AD1850">
        <v>-1.1090564428409999</v>
      </c>
      <c r="AE1850">
        <v>-1.8974</v>
      </c>
      <c r="AF1850">
        <v>-2.6100988020279701</v>
      </c>
      <c r="AG1850">
        <v>-1.1090564428409999</v>
      </c>
      <c r="AH1850">
        <v>49.3947319560382</v>
      </c>
      <c r="AI1850">
        <v>91.284450595855901</v>
      </c>
      <c r="AJ1850">
        <v>93.024789918779803</v>
      </c>
      <c r="AK1850">
        <v>49.476076713484701</v>
      </c>
      <c r="AL1850">
        <v>91.354030444546794</v>
      </c>
      <c r="AM1850">
        <v>82.669758570757196</v>
      </c>
      <c r="AN1850">
        <v>1.00000000941987</v>
      </c>
    </row>
    <row r="1851" spans="1:40" x14ac:dyDescent="0.25">
      <c r="A1851" t="str">
        <f>"20190312161303570"</f>
        <v>20190312161303570</v>
      </c>
      <c r="B1851" t="str">
        <f>"1552378383567247"</f>
        <v>1552378383567247</v>
      </c>
      <c r="C1851" t="s">
        <v>40</v>
      </c>
      <c r="D1851">
        <v>5.3667590000000001</v>
      </c>
      <c r="E1851">
        <v>0.43152119999999999</v>
      </c>
      <c r="F1851" t="s">
        <v>69</v>
      </c>
      <c r="G1851">
        <v>-387.57580000000002</v>
      </c>
      <c r="H1851" s="1">
        <v>2.4946709999999999E-6</v>
      </c>
      <c r="I1851">
        <v>283.70940000000002</v>
      </c>
      <c r="J1851">
        <v>-338.56240000000003</v>
      </c>
      <c r="K1851">
        <v>1.1090580000000001</v>
      </c>
      <c r="L1851">
        <v>285.59379999999999</v>
      </c>
      <c r="M1851">
        <v>-0.99985420000000003</v>
      </c>
      <c r="N1851">
        <v>0</v>
      </c>
      <c r="O1851">
        <v>1.437865E-2</v>
      </c>
      <c r="P1851">
        <v>-0.9894056</v>
      </c>
      <c r="Q1851">
        <v>-3.2714210000000001E-2</v>
      </c>
      <c r="R1851">
        <v>0.14144409999999999</v>
      </c>
      <c r="S1851">
        <v>-3.0466920000000002</v>
      </c>
      <c r="T1851">
        <v>-6.8490389999999998E-2</v>
      </c>
      <c r="U1851">
        <v>-0.11608889999999999</v>
      </c>
      <c r="V1851">
        <v>0.127207399999999</v>
      </c>
      <c r="W1851">
        <v>-2.3552300000000002E-2</v>
      </c>
      <c r="X1851">
        <v>0.99159649999999999</v>
      </c>
      <c r="Y1851">
        <v>-5.2423659999999997E-2</v>
      </c>
      <c r="Z1851">
        <v>-9.1206529999999998E-4</v>
      </c>
      <c r="AA1851">
        <v>0.99862450000000003</v>
      </c>
      <c r="AB1851">
        <v>43</v>
      </c>
      <c r="AC1851">
        <v>-49.013399999999898</v>
      </c>
      <c r="AD1851">
        <v>-1.1090555053290001</v>
      </c>
      <c r="AE1851">
        <v>-1.8843999999999701</v>
      </c>
      <c r="AF1851">
        <v>-2.5876586495683598</v>
      </c>
      <c r="AG1851">
        <v>-1.1090555053290001</v>
      </c>
      <c r="AH1851">
        <v>48.956207396491699</v>
      </c>
      <c r="AI1851">
        <v>91.295950021920007</v>
      </c>
      <c r="AJ1851">
        <v>93.025644467355804</v>
      </c>
      <c r="AK1851">
        <v>49.037090289380799</v>
      </c>
      <c r="AL1851">
        <v>91.349572142553995</v>
      </c>
      <c r="AM1851">
        <v>82.689713015282905</v>
      </c>
      <c r="AN1851">
        <v>1.0000000261311399</v>
      </c>
    </row>
    <row r="1852" spans="1:40" x14ac:dyDescent="0.25">
      <c r="A1852" t="str">
        <f>"20190312161303581"</f>
        <v>20190312161303581</v>
      </c>
      <c r="B1852" t="str">
        <f>"1552378383577983"</f>
        <v>1552378383577983</v>
      </c>
      <c r="C1852" t="s">
        <v>40</v>
      </c>
      <c r="D1852">
        <v>5.4279190000000002</v>
      </c>
      <c r="E1852">
        <v>0.4316083</v>
      </c>
      <c r="F1852" t="s">
        <v>69</v>
      </c>
      <c r="G1852">
        <v>-387.87939999999998</v>
      </c>
      <c r="H1852" s="1">
        <v>2.6562390000000001E-6</v>
      </c>
      <c r="I1852">
        <v>283.72340000000003</v>
      </c>
      <c r="J1852">
        <v>-338.79149999999998</v>
      </c>
      <c r="K1852">
        <v>1.109057</v>
      </c>
      <c r="L1852">
        <v>285.59699999999998</v>
      </c>
      <c r="M1852">
        <v>-0.99985489999999999</v>
      </c>
      <c r="N1852">
        <v>0</v>
      </c>
      <c r="O1852">
        <v>1.4333790000000001E-2</v>
      </c>
      <c r="P1852">
        <v>-0.98943760000000003</v>
      </c>
      <c r="Q1852">
        <v>-3.2879619999999998E-2</v>
      </c>
      <c r="R1852">
        <v>0.1411821</v>
      </c>
      <c r="S1852">
        <v>-3.0463870000000002</v>
      </c>
      <c r="T1852">
        <v>-6.8508029999999998E-2</v>
      </c>
      <c r="U1852">
        <v>-0.11553960000000001</v>
      </c>
      <c r="V1852">
        <v>0.12698960000000001</v>
      </c>
      <c r="W1852">
        <v>-2.371063E-2</v>
      </c>
      <c r="X1852">
        <v>0.99162059999999996</v>
      </c>
      <c r="Y1852">
        <v>-5.2202909999999998E-2</v>
      </c>
      <c r="Z1852">
        <v>-9.0890510000000003E-4</v>
      </c>
      <c r="AA1852">
        <v>0.99863610000000003</v>
      </c>
      <c r="AB1852">
        <v>43</v>
      </c>
      <c r="AC1852">
        <v>-49.087899999999898</v>
      </c>
      <c r="AD1852">
        <v>-1.1090543437610001</v>
      </c>
      <c r="AE1852">
        <v>-1.87359999999995</v>
      </c>
      <c r="AF1852">
        <v>-2.5757400742684999</v>
      </c>
      <c r="AG1852">
        <v>-1.1090543437610001</v>
      </c>
      <c r="AH1852">
        <v>49.031007973788498</v>
      </c>
      <c r="AI1852">
        <v>91.293994272864595</v>
      </c>
      <c r="AJ1852">
        <v>93.007148082264095</v>
      </c>
      <c r="AK1852">
        <v>49.111141112718201</v>
      </c>
      <c r="AL1852">
        <v>91.3586463752181</v>
      </c>
      <c r="AM1852">
        <v>82.702269832551394</v>
      </c>
      <c r="AN1852">
        <v>0.99999998341375795</v>
      </c>
    </row>
    <row r="1853" spans="1:40" x14ac:dyDescent="0.25">
      <c r="A1853" t="str">
        <f>"20190312161303593"</f>
        <v>20190312161303593</v>
      </c>
      <c r="B1853" t="str">
        <f>"1552378383587743"</f>
        <v>1552378383587743</v>
      </c>
      <c r="C1853" t="s">
        <v>40</v>
      </c>
      <c r="D1853">
        <v>5.3789999999999996</v>
      </c>
      <c r="E1853">
        <v>0.43172820000000001</v>
      </c>
      <c r="F1853" t="s">
        <v>69</v>
      </c>
      <c r="G1853">
        <v>-388.12329999999997</v>
      </c>
      <c r="H1853" s="1">
        <v>2.7860040000000002E-6</v>
      </c>
      <c r="I1853">
        <v>283.72300000000001</v>
      </c>
      <c r="J1853">
        <v>-339.00420000000003</v>
      </c>
      <c r="K1853">
        <v>1.109054</v>
      </c>
      <c r="L1853">
        <v>285.6001</v>
      </c>
      <c r="M1853">
        <v>-0.99985539999999995</v>
      </c>
      <c r="N1853">
        <v>0</v>
      </c>
      <c r="O1853">
        <v>1.4292030000000001E-2</v>
      </c>
      <c r="P1853">
        <v>-0.98941380000000001</v>
      </c>
      <c r="Q1853">
        <v>-3.352144E-2</v>
      </c>
      <c r="R1853">
        <v>0.14119799999999999</v>
      </c>
      <c r="S1853">
        <v>-3.0462950000000002</v>
      </c>
      <c r="T1853">
        <v>-6.8485500000000005E-2</v>
      </c>
      <c r="U1853">
        <v>-0.115722699999999</v>
      </c>
      <c r="V1853">
        <v>0.1270472</v>
      </c>
      <c r="W1853">
        <v>-2.434557E-2</v>
      </c>
      <c r="X1853">
        <v>0.99159779999999997</v>
      </c>
      <c r="Y1853">
        <v>-5.2222289999999998E-2</v>
      </c>
      <c r="Z1853">
        <v>-9.0791190000000005E-4</v>
      </c>
      <c r="AA1853">
        <v>0.9986351</v>
      </c>
      <c r="AB1853">
        <v>43</v>
      </c>
      <c r="AC1853">
        <v>-49.119099999999897</v>
      </c>
      <c r="AD1853">
        <v>-1.109051213996</v>
      </c>
      <c r="AE1853">
        <v>-1.87709999999998</v>
      </c>
      <c r="AF1853">
        <v>-2.5776375516374599</v>
      </c>
      <c r="AG1853">
        <v>-1.109051213996</v>
      </c>
      <c r="AH1853">
        <v>49.062278400307598</v>
      </c>
      <c r="AI1853">
        <v>91.293165810606993</v>
      </c>
      <c r="AJ1853">
        <v>93.007444766985003</v>
      </c>
      <c r="AK1853">
        <v>49.142459968668398</v>
      </c>
      <c r="AL1853">
        <v>91.395036315309497</v>
      </c>
      <c r="AM1853">
        <v>82.698829370646806</v>
      </c>
      <c r="AN1853">
        <v>0.99999994738565101</v>
      </c>
    </row>
    <row r="1854" spans="1:40" x14ac:dyDescent="0.25">
      <c r="A1854" t="str">
        <f>"20190312161303604"</f>
        <v>20190312161303604</v>
      </c>
      <c r="B1854" t="str">
        <f>"1552378383597503"</f>
        <v>1552378383597503</v>
      </c>
      <c r="C1854" t="s">
        <v>40</v>
      </c>
      <c r="D1854">
        <v>5.3942240000000004</v>
      </c>
      <c r="E1854">
        <v>0.43186330000000001</v>
      </c>
      <c r="F1854" t="s">
        <v>69</v>
      </c>
      <c r="G1854">
        <v>-387.13080000000002</v>
      </c>
      <c r="H1854" s="1">
        <v>2.257861E-6</v>
      </c>
      <c r="I1854">
        <v>283.7919</v>
      </c>
      <c r="J1854">
        <v>-339.23200000000003</v>
      </c>
      <c r="K1854">
        <v>1.1090519999999999</v>
      </c>
      <c r="L1854">
        <v>285.60329999999999</v>
      </c>
      <c r="M1854">
        <v>-0.99985590000000002</v>
      </c>
      <c r="N1854">
        <v>0</v>
      </c>
      <c r="O1854">
        <v>1.424746E-2</v>
      </c>
      <c r="P1854">
        <v>-0.98944279999999996</v>
      </c>
      <c r="Q1854">
        <v>-3.3685350000000003E-2</v>
      </c>
      <c r="R1854">
        <v>0.14095479999999999</v>
      </c>
      <c r="S1854">
        <v>-3.0460509999999998</v>
      </c>
      <c r="T1854">
        <v>-7.0194720000000002E-2</v>
      </c>
      <c r="U1854">
        <v>-0.114440899999999</v>
      </c>
      <c r="V1854">
        <v>0.12684799999999999</v>
      </c>
      <c r="W1854">
        <v>-2.4500870000000001E-2</v>
      </c>
      <c r="X1854">
        <v>0.99161949999999999</v>
      </c>
      <c r="Y1854">
        <v>-5.1760479999999998E-2</v>
      </c>
      <c r="Z1854">
        <v>-9.2430180000000004E-4</v>
      </c>
      <c r="AA1854">
        <v>0.99865910000000002</v>
      </c>
      <c r="AB1854">
        <v>43</v>
      </c>
      <c r="AC1854">
        <v>-47.898800000000001</v>
      </c>
      <c r="AD1854">
        <v>-1.109049742139</v>
      </c>
      <c r="AE1854">
        <v>-1.8113999999999899</v>
      </c>
      <c r="AF1854">
        <v>-2.4923471732314901</v>
      </c>
      <c r="AG1854">
        <v>-1.109049742139</v>
      </c>
      <c r="AH1854">
        <v>47.8425167429521</v>
      </c>
      <c r="AI1854">
        <v>91.326152795384303</v>
      </c>
      <c r="AJ1854">
        <v>92.982117427526603</v>
      </c>
      <c r="AK1854">
        <v>47.920227399941503</v>
      </c>
      <c r="AL1854">
        <v>91.403936973226905</v>
      </c>
      <c r="AM1854">
        <v>82.710311603228803</v>
      </c>
      <c r="AN1854">
        <v>0.99999997025750298</v>
      </c>
    </row>
    <row r="1855" spans="1:40" x14ac:dyDescent="0.25">
      <c r="A1855" t="str">
        <f>"20190312161303617"</f>
        <v>20190312161303617</v>
      </c>
      <c r="B1855" t="str">
        <f>"1552378383607263"</f>
        <v>1552378383607263</v>
      </c>
      <c r="C1855" t="s">
        <v>40</v>
      </c>
      <c r="D1855">
        <v>5.2000140000000004</v>
      </c>
      <c r="E1855">
        <v>0.43193969999999998</v>
      </c>
      <c r="F1855" t="s">
        <v>69</v>
      </c>
      <c r="G1855">
        <v>-387.07569999999998</v>
      </c>
      <c r="H1855" s="1">
        <v>2.2285619999999999E-6</v>
      </c>
      <c r="I1855">
        <v>283.81139999999999</v>
      </c>
      <c r="J1855">
        <v>-339.47359999999998</v>
      </c>
      <c r="K1855">
        <v>1.1090530000000001</v>
      </c>
      <c r="L1855">
        <v>285.60669999999999</v>
      </c>
      <c r="M1855">
        <v>-0.99985650000000004</v>
      </c>
      <c r="N1855">
        <v>0</v>
      </c>
      <c r="O1855">
        <v>1.419955E-2</v>
      </c>
      <c r="P1855">
        <v>-0.98948340000000001</v>
      </c>
      <c r="Q1855">
        <v>-3.3926459999999999E-2</v>
      </c>
      <c r="R1855">
        <v>0.14061309999999999</v>
      </c>
      <c r="S1855">
        <v>-3.045868</v>
      </c>
      <c r="T1855">
        <v>-7.0605280000000006E-2</v>
      </c>
      <c r="U1855">
        <v>-0.1140747</v>
      </c>
      <c r="V1855">
        <v>0.12655330000000001</v>
      </c>
      <c r="W1855">
        <v>-2.4730760000000001E-2</v>
      </c>
      <c r="X1855">
        <v>0.99165150000000002</v>
      </c>
      <c r="Y1855">
        <v>-5.1594830000000001E-2</v>
      </c>
      <c r="Z1855">
        <v>-9.2673500000000004E-4</v>
      </c>
      <c r="AA1855">
        <v>0.99866770000000005</v>
      </c>
      <c r="AB1855">
        <v>43</v>
      </c>
      <c r="AC1855">
        <v>-47.6021</v>
      </c>
      <c r="AD1855">
        <v>-1.109050771438</v>
      </c>
      <c r="AE1855">
        <v>-1.7952999999999899</v>
      </c>
      <c r="AF1855">
        <v>-2.4697375289611498</v>
      </c>
      <c r="AG1855">
        <v>-1.109050771438</v>
      </c>
      <c r="AH1855">
        <v>47.546034897692799</v>
      </c>
      <c r="AI1855">
        <v>91.334430944663893</v>
      </c>
      <c r="AJ1855">
        <v>92.973507109840099</v>
      </c>
      <c r="AK1855">
        <v>47.623051472666099</v>
      </c>
      <c r="AL1855">
        <v>91.417112618309105</v>
      </c>
      <c r="AM1855">
        <v>82.727298028832394</v>
      </c>
      <c r="AN1855">
        <v>1.0000000228416499</v>
      </c>
    </row>
    <row r="1856" spans="1:40" x14ac:dyDescent="0.25">
      <c r="A1856" t="str">
        <f>"20190312161303631"</f>
        <v>20190312161303631</v>
      </c>
      <c r="B1856" t="str">
        <f>"1552378383627758"</f>
        <v>1552378383627758</v>
      </c>
      <c r="C1856" t="s">
        <v>40</v>
      </c>
      <c r="D1856">
        <v>5.3703370000000001</v>
      </c>
      <c r="E1856">
        <v>0.43221009999999999</v>
      </c>
      <c r="F1856" t="s">
        <v>69</v>
      </c>
      <c r="G1856">
        <v>-387.14350000000002</v>
      </c>
      <c r="H1856" s="1">
        <v>2.264613E-6</v>
      </c>
      <c r="I1856">
        <v>283.81079999999997</v>
      </c>
      <c r="J1856">
        <v>-339.74</v>
      </c>
      <c r="K1856">
        <v>1.1090549999999999</v>
      </c>
      <c r="L1856">
        <v>285.6105</v>
      </c>
      <c r="M1856">
        <v>-0.99985710000000005</v>
      </c>
      <c r="N1856">
        <v>0</v>
      </c>
      <c r="O1856">
        <v>1.414727E-2</v>
      </c>
      <c r="P1856">
        <v>-0.98948080000000005</v>
      </c>
      <c r="Q1856">
        <v>-3.3853319999999999E-2</v>
      </c>
      <c r="R1856">
        <v>0.1406473</v>
      </c>
      <c r="S1856">
        <v>-3.045776</v>
      </c>
      <c r="T1856">
        <v>-7.0860740000000005E-2</v>
      </c>
      <c r="U1856">
        <v>-0.1147461</v>
      </c>
      <c r="V1856">
        <v>0.12663930000000001</v>
      </c>
      <c r="W1856">
        <v>-2.4643829999999999E-2</v>
      </c>
      <c r="X1856">
        <v>0.99164269999999999</v>
      </c>
      <c r="Y1856">
        <v>-5.1763400000000001E-2</v>
      </c>
      <c r="Z1856">
        <v>-9.3085569999999999E-4</v>
      </c>
      <c r="AA1856">
        <v>0.99865899999999996</v>
      </c>
      <c r="AB1856">
        <v>43</v>
      </c>
      <c r="AC1856">
        <v>-47.403500000000001</v>
      </c>
      <c r="AD1856">
        <v>-1.1090527353870001</v>
      </c>
      <c r="AE1856">
        <v>-1.7997000000000201</v>
      </c>
      <c r="AF1856">
        <v>-2.4688292785403498</v>
      </c>
      <c r="AG1856">
        <v>-1.1090527353870001</v>
      </c>
      <c r="AH1856">
        <v>47.347414225295097</v>
      </c>
      <c r="AI1856">
        <v>91.340015352742796</v>
      </c>
      <c r="AJ1856">
        <v>92.984862231879404</v>
      </c>
      <c r="AK1856">
        <v>47.424706111879402</v>
      </c>
      <c r="AL1856">
        <v>91.412130357040596</v>
      </c>
      <c r="AM1856">
        <v>82.722344901504698</v>
      </c>
      <c r="AN1856">
        <v>1.0000000375624201</v>
      </c>
    </row>
    <row r="1857" spans="1:40" x14ac:dyDescent="0.25">
      <c r="A1857" t="str">
        <f>"20190312161303650"</f>
        <v>20190312161303650</v>
      </c>
      <c r="B1857" t="str">
        <f>"1552378383637519"</f>
        <v>1552378383637519</v>
      </c>
      <c r="C1857" t="s">
        <v>40</v>
      </c>
      <c r="D1857">
        <v>5.3933419999999996</v>
      </c>
      <c r="E1857">
        <v>0.43232350000000003</v>
      </c>
      <c r="F1857" t="s">
        <v>69</v>
      </c>
      <c r="G1857">
        <v>-386.65800000000002</v>
      </c>
      <c r="H1857" s="1">
        <v>2.006269E-6</v>
      </c>
      <c r="I1857">
        <v>283.88029999999998</v>
      </c>
      <c r="J1857">
        <v>-340.08449999999999</v>
      </c>
      <c r="K1857">
        <v>1.109054</v>
      </c>
      <c r="L1857">
        <v>285.61529999999999</v>
      </c>
      <c r="M1857">
        <v>-0.99985780000000002</v>
      </c>
      <c r="N1857">
        <v>0</v>
      </c>
      <c r="O1857">
        <v>1.4079690000000001E-2</v>
      </c>
      <c r="P1857">
        <v>-0.98952459999999998</v>
      </c>
      <c r="Q1857">
        <v>-3.3751679999999999E-2</v>
      </c>
      <c r="R1857">
        <v>0.140364299999999</v>
      </c>
      <c r="S1857">
        <v>-3.0453800000000002</v>
      </c>
      <c r="T1857">
        <v>-7.1987029999999994E-2</v>
      </c>
      <c r="U1857">
        <v>-0.11230469999999999</v>
      </c>
      <c r="V1857">
        <v>0.1264227</v>
      </c>
      <c r="W1857">
        <v>-2.4519369999999999E-2</v>
      </c>
      <c r="X1857">
        <v>0.99167340000000004</v>
      </c>
      <c r="Y1857">
        <v>-5.0900969999999997E-2</v>
      </c>
      <c r="Z1857">
        <v>-9.339986E-4</v>
      </c>
      <c r="AA1857">
        <v>0.99870320000000001</v>
      </c>
      <c r="AB1857">
        <v>43</v>
      </c>
      <c r="AC1857">
        <v>-46.573500000000003</v>
      </c>
      <c r="AD1857">
        <v>-1.1090519937309999</v>
      </c>
      <c r="AE1857">
        <v>-1.7350000000000101</v>
      </c>
      <c r="AF1857">
        <v>-2.3892437352212301</v>
      </c>
      <c r="AG1857">
        <v>-1.1090519937309999</v>
      </c>
      <c r="AH1857">
        <v>46.5181119235151</v>
      </c>
      <c r="AI1857">
        <v>91.363949618059095</v>
      </c>
      <c r="AJ1857">
        <v>92.940218146007695</v>
      </c>
      <c r="AK1857">
        <v>46.592630521143299</v>
      </c>
      <c r="AL1857">
        <v>91.404997200238299</v>
      </c>
      <c r="AM1857">
        <v>82.734881782040802</v>
      </c>
      <c r="AN1857">
        <v>1.0000000154240201</v>
      </c>
    </row>
    <row r="1858" spans="1:40" x14ac:dyDescent="0.25">
      <c r="A1858" t="str">
        <f>"20190312161303663"</f>
        <v>20190312161303663</v>
      </c>
      <c r="B1858" t="str">
        <f>"1552378383658016"</f>
        <v>1552378383658016</v>
      </c>
      <c r="C1858" t="s">
        <v>40</v>
      </c>
      <c r="D1858">
        <v>5.6020180000000002</v>
      </c>
      <c r="E1858">
        <v>0.43250139999999998</v>
      </c>
      <c r="F1858" t="s">
        <v>69</v>
      </c>
      <c r="G1858">
        <v>-386.81</v>
      </c>
      <c r="H1858" s="1">
        <v>2.0871739999999998E-6</v>
      </c>
      <c r="I1858">
        <v>283.89019999999999</v>
      </c>
      <c r="J1858">
        <v>-340.36180000000002</v>
      </c>
      <c r="K1858">
        <v>1.109054</v>
      </c>
      <c r="L1858">
        <v>285.6191</v>
      </c>
      <c r="M1858">
        <v>-0.99985840000000004</v>
      </c>
      <c r="N1858">
        <v>0</v>
      </c>
      <c r="O1858">
        <v>1.4025340000000001E-2</v>
      </c>
      <c r="P1858">
        <v>-0.9894849</v>
      </c>
      <c r="Q1858">
        <v>-3.4257210000000003E-2</v>
      </c>
      <c r="R1858">
        <v>0.1405216</v>
      </c>
      <c r="S1858">
        <v>-3.0452270000000001</v>
      </c>
      <c r="T1858">
        <v>-7.2279930000000006E-2</v>
      </c>
      <c r="U1858">
        <v>-0.11242679999999999</v>
      </c>
      <c r="V1858">
        <v>0.12663450000000001</v>
      </c>
      <c r="W1858">
        <v>-2.500229E-2</v>
      </c>
      <c r="X1858">
        <v>0.99163429999999997</v>
      </c>
      <c r="Y1858">
        <v>-5.0888379999999997E-2</v>
      </c>
      <c r="Z1858">
        <v>-9.3640520000000003E-4</v>
      </c>
      <c r="AA1858">
        <v>0.99870389999999998</v>
      </c>
      <c r="AB1858">
        <v>43</v>
      </c>
      <c r="AC1858">
        <v>-46.4481999999999</v>
      </c>
      <c r="AD1858">
        <v>-1.1090519128259999</v>
      </c>
      <c r="AE1858">
        <v>-1.7289000000000101</v>
      </c>
      <c r="AF1858">
        <v>-2.3788555397607101</v>
      </c>
      <c r="AG1858">
        <v>-1.1090519128259999</v>
      </c>
      <c r="AH1858">
        <v>46.392968558939202</v>
      </c>
      <c r="AI1858">
        <v>91.367633301724496</v>
      </c>
      <c r="AJ1858">
        <v>92.935339571193694</v>
      </c>
      <c r="AK1858">
        <v>46.467154868090603</v>
      </c>
      <c r="AL1858">
        <v>91.432674988769904</v>
      </c>
      <c r="AM1858">
        <v>82.722556803855795</v>
      </c>
      <c r="AN1858">
        <v>0.99999999801599104</v>
      </c>
    </row>
    <row r="1859" spans="1:40" x14ac:dyDescent="0.25">
      <c r="A1859" t="str">
        <f>"20190312161303677"</f>
        <v>20190312161303677</v>
      </c>
      <c r="B1859" t="str">
        <f>"1552378383667777"</f>
        <v>1552378383667777</v>
      </c>
      <c r="C1859" t="s">
        <v>40</v>
      </c>
      <c r="D1859">
        <v>5.5077119999999997</v>
      </c>
      <c r="E1859">
        <v>0.46934330000000002</v>
      </c>
      <c r="F1859" t="s">
        <v>69</v>
      </c>
      <c r="G1859">
        <v>-385.66759999999999</v>
      </c>
      <c r="H1859" s="1">
        <v>1.4792350000000001E-6</v>
      </c>
      <c r="I1859">
        <v>283.97410000000002</v>
      </c>
      <c r="J1859">
        <v>-340.6293</v>
      </c>
      <c r="K1859">
        <v>1.1090549999999999</v>
      </c>
      <c r="L1859">
        <v>285.62290000000002</v>
      </c>
      <c r="M1859">
        <v>-0.99985889999999999</v>
      </c>
      <c r="N1859">
        <v>0</v>
      </c>
      <c r="O1859">
        <v>1.3972999999999999E-2</v>
      </c>
      <c r="P1859">
        <v>-0.98947269999999998</v>
      </c>
      <c r="Q1859">
        <v>-3.4476720000000002E-2</v>
      </c>
      <c r="R1859">
        <v>0.14055429999999999</v>
      </c>
      <c r="S1859">
        <v>-3.0449830000000002</v>
      </c>
      <c r="T1859">
        <v>-7.4538950000000007E-2</v>
      </c>
      <c r="U1859">
        <v>-0.1105652</v>
      </c>
      <c r="V1859">
        <v>0.12671940000000001</v>
      </c>
      <c r="W1859">
        <v>-2.5196730000000001E-2</v>
      </c>
      <c r="X1859">
        <v>0.99161849999999996</v>
      </c>
      <c r="Y1859">
        <v>-5.0228349999999998E-2</v>
      </c>
      <c r="Z1859">
        <v>-9.5639529999999996E-4</v>
      </c>
      <c r="AA1859">
        <v>0.99873730000000005</v>
      </c>
      <c r="AB1859">
        <v>43</v>
      </c>
      <c r="AC1859">
        <v>-45.0382999999999</v>
      </c>
      <c r="AD1859">
        <v>-1.1090535207650001</v>
      </c>
      <c r="AE1859">
        <v>-1.6487999999999901</v>
      </c>
      <c r="AF1859">
        <v>-2.2766079115075399</v>
      </c>
      <c r="AG1859">
        <v>-1.1090535207650001</v>
      </c>
      <c r="AH1859">
        <v>44.983622553633403</v>
      </c>
      <c r="AI1859">
        <v>91.410514276060894</v>
      </c>
      <c r="AJ1859">
        <v>92.897250625626199</v>
      </c>
      <c r="AK1859">
        <v>45.054847034946398</v>
      </c>
      <c r="AL1859">
        <v>91.443819137940494</v>
      </c>
      <c r="AM1859">
        <v>82.717615334263499</v>
      </c>
      <c r="AN1859">
        <v>0.99999996554064996</v>
      </c>
    </row>
    <row r="1860" spans="1:40" x14ac:dyDescent="0.25">
      <c r="A1860" t="str">
        <f>"20190312161303694"</f>
        <v>20190312161303694</v>
      </c>
      <c r="B1860" t="str">
        <f>"1552378383687295"</f>
        <v>1552378383687295</v>
      </c>
      <c r="C1860" t="s">
        <v>40</v>
      </c>
      <c r="D1860">
        <v>5.5461330000000002</v>
      </c>
      <c r="E1860">
        <v>0.48121000000000003</v>
      </c>
      <c r="F1860" t="s">
        <v>43</v>
      </c>
      <c r="G1860">
        <v>-341.56420000000003</v>
      </c>
      <c r="H1860">
        <v>1.0312239999999999</v>
      </c>
      <c r="I1860">
        <v>285.67720000000003</v>
      </c>
      <c r="J1860">
        <v>-340.95909999999998</v>
      </c>
      <c r="K1860">
        <v>1.1090530000000001</v>
      </c>
      <c r="L1860">
        <v>285.62740000000002</v>
      </c>
      <c r="M1860">
        <v>-0.99985950000000001</v>
      </c>
      <c r="N1860">
        <v>0</v>
      </c>
      <c r="O1860">
        <v>1.390804E-2</v>
      </c>
      <c r="P1860">
        <v>-0.9894946</v>
      </c>
      <c r="Q1860">
        <v>-3.4618290000000003E-2</v>
      </c>
      <c r="R1860">
        <v>0.14036479999999901</v>
      </c>
      <c r="S1860">
        <v>-2.998535</v>
      </c>
      <c r="T1860">
        <v>-0.24973860000000001</v>
      </c>
      <c r="U1860">
        <v>0.1737061</v>
      </c>
      <c r="V1860">
        <v>0.12659400000000001</v>
      </c>
      <c r="W1860">
        <v>-2.5302430000000001E-2</v>
      </c>
      <c r="X1860">
        <v>0.99163190000000001</v>
      </c>
      <c r="Y1860">
        <v>4.3839120000000002E-2</v>
      </c>
      <c r="Z1860">
        <v>6.6563989999999997E-4</v>
      </c>
      <c r="AA1860">
        <v>0.99903839999999999</v>
      </c>
      <c r="AB1860">
        <v>43</v>
      </c>
      <c r="AC1860">
        <v>-0.60510000000004904</v>
      </c>
      <c r="AD1860">
        <v>-7.7829000000000106E-2</v>
      </c>
      <c r="AE1860">
        <v>4.9800000000004702E-2</v>
      </c>
      <c r="AF1860">
        <v>4.07101011158413E-2</v>
      </c>
      <c r="AG1860">
        <v>-7.7829000000000106E-2</v>
      </c>
      <c r="AH1860">
        <v>0.59594146381680702</v>
      </c>
      <c r="AI1860">
        <v>97.423518023228695</v>
      </c>
      <c r="AJ1860">
        <v>86.092067820782603</v>
      </c>
      <c r="AK1860">
        <v>0.602379360428278</v>
      </c>
      <c r="AL1860">
        <v>91.449877126317006</v>
      </c>
      <c r="AM1860">
        <v>82.724841902614799</v>
      </c>
      <c r="AN1860">
        <v>1.00000003944875</v>
      </c>
    </row>
    <row r="1861" spans="1:40" x14ac:dyDescent="0.25">
      <c r="A1861" t="str">
        <f>"20190312161303705"</f>
        <v>20190312161303705</v>
      </c>
      <c r="B1861" t="str">
        <f>"1552378383698031"</f>
        <v>1552378383698031</v>
      </c>
      <c r="C1861" t="s">
        <v>40</v>
      </c>
      <c r="D1861">
        <v>5.4988000000000001</v>
      </c>
      <c r="E1861">
        <v>0.52614150000000004</v>
      </c>
      <c r="F1861" t="s">
        <v>43</v>
      </c>
      <c r="G1861">
        <v>-341.93759999999997</v>
      </c>
      <c r="H1861">
        <v>1.0027839999999999</v>
      </c>
      <c r="I1861">
        <v>285.71409999999997</v>
      </c>
      <c r="J1861">
        <v>-341.19630000000001</v>
      </c>
      <c r="K1861">
        <v>1.1090530000000001</v>
      </c>
      <c r="L1861">
        <v>285.63069999999999</v>
      </c>
      <c r="M1861">
        <v>-0.99985979999999997</v>
      </c>
      <c r="N1861">
        <v>0</v>
      </c>
      <c r="O1861">
        <v>1.386135E-2</v>
      </c>
      <c r="P1861">
        <v>-0.98952899999999999</v>
      </c>
      <c r="Q1861">
        <v>-3.4204239999999997E-2</v>
      </c>
      <c r="R1861">
        <v>0.14022319999999999</v>
      </c>
      <c r="S1861">
        <v>-2.9830320000000001</v>
      </c>
      <c r="T1861">
        <v>-0.32396340000000001</v>
      </c>
      <c r="U1861">
        <v>0.26422119999999999</v>
      </c>
      <c r="V1861">
        <v>0.1264981</v>
      </c>
      <c r="W1861">
        <v>-2.485884E-2</v>
      </c>
      <c r="X1861">
        <v>0.99165530000000002</v>
      </c>
      <c r="Y1861">
        <v>7.4061790000000002E-2</v>
      </c>
      <c r="Z1861">
        <v>2.5042240000000002E-3</v>
      </c>
      <c r="AA1861">
        <v>0.99725050000000004</v>
      </c>
      <c r="AB1861">
        <v>43</v>
      </c>
      <c r="AC1861">
        <v>-0.74129999999996699</v>
      </c>
      <c r="AD1861">
        <v>-0.106268999999999</v>
      </c>
      <c r="AE1861">
        <v>8.3399999999983196E-2</v>
      </c>
      <c r="AF1861">
        <v>7.1661826294944095E-2</v>
      </c>
      <c r="AG1861">
        <v>-0.106268999999999</v>
      </c>
      <c r="AH1861">
        <v>0.72761873778548003</v>
      </c>
      <c r="AI1861">
        <v>98.269867643070896</v>
      </c>
      <c r="AJ1861">
        <v>84.375184386282996</v>
      </c>
      <c r="AK1861">
        <v>0.738821727675535</v>
      </c>
      <c r="AL1861">
        <v>91.424453375699002</v>
      </c>
      <c r="AM1861">
        <v>82.730463851809404</v>
      </c>
      <c r="AN1861">
        <v>0.99999998262392198</v>
      </c>
    </row>
    <row r="1862" spans="1:40" x14ac:dyDescent="0.25">
      <c r="A1862" t="str">
        <f>"20190312161303718"</f>
        <v>20190312161303718</v>
      </c>
      <c r="B1862" t="str">
        <f>"1552378383707791"</f>
        <v>1552378383707791</v>
      </c>
      <c r="C1862" t="s">
        <v>40</v>
      </c>
      <c r="D1862">
        <v>5.4503620000000002</v>
      </c>
      <c r="E1862">
        <v>0.52662469999999995</v>
      </c>
      <c r="F1862" t="s">
        <v>43</v>
      </c>
      <c r="G1862">
        <v>-341.8972</v>
      </c>
      <c r="H1862">
        <v>0.91619349999999999</v>
      </c>
      <c r="I1862">
        <v>285.7749</v>
      </c>
      <c r="J1862">
        <v>-341.42110000000002</v>
      </c>
      <c r="K1862">
        <v>1.109057</v>
      </c>
      <c r="L1862">
        <v>285.63380000000001</v>
      </c>
      <c r="M1862">
        <v>-0.99986010000000003</v>
      </c>
      <c r="N1862">
        <v>0</v>
      </c>
      <c r="O1862">
        <v>1.3817309999999999E-2</v>
      </c>
      <c r="P1862">
        <v>-0.98954279999999994</v>
      </c>
      <c r="Q1862">
        <v>-3.4550579999999997E-2</v>
      </c>
      <c r="R1862">
        <v>0.1400411</v>
      </c>
      <c r="S1862">
        <v>-2.9188839999999998</v>
      </c>
      <c r="T1862">
        <v>-0.80318780000000001</v>
      </c>
      <c r="U1862">
        <v>0.60052490000000003</v>
      </c>
      <c r="V1862">
        <v>0.12635950000000001</v>
      </c>
      <c r="W1862">
        <v>-2.5171550000000001E-2</v>
      </c>
      <c r="X1862">
        <v>0.99166509999999997</v>
      </c>
      <c r="Y1862">
        <v>0.1819673</v>
      </c>
      <c r="Z1862">
        <v>2.0642850000000001E-2</v>
      </c>
      <c r="AA1862">
        <v>0.98308790000000001</v>
      </c>
      <c r="AB1862">
        <v>43</v>
      </c>
      <c r="AC1862">
        <v>-0.47609999999997399</v>
      </c>
      <c r="AD1862">
        <v>-0.19286349999999999</v>
      </c>
      <c r="AE1862">
        <v>0.14109999999999401</v>
      </c>
      <c r="AF1862">
        <v>0.11687706491581</v>
      </c>
      <c r="AG1862">
        <v>-0.19286349999999999</v>
      </c>
      <c r="AH1862">
        <v>0.41534935496922598</v>
      </c>
      <c r="AI1862">
        <v>114.083731505771</v>
      </c>
      <c r="AJ1862">
        <v>74.283684892865693</v>
      </c>
      <c r="AK1862">
        <v>0.47262211608105797</v>
      </c>
      <c r="AL1862">
        <v>91.442375922193904</v>
      </c>
      <c r="AM1862">
        <v>82.738414784201396</v>
      </c>
      <c r="AN1862">
        <v>1.0000000003638301</v>
      </c>
    </row>
    <row r="1863" spans="1:40" x14ac:dyDescent="0.25">
      <c r="A1863" t="str">
        <f>"20190312161303731"</f>
        <v>20190312161303731</v>
      </c>
      <c r="B1863" t="str">
        <f>"1552378383727311"</f>
        <v>1552378383727311</v>
      </c>
      <c r="C1863" t="s">
        <v>40</v>
      </c>
      <c r="D1863">
        <v>5.5005119999999996</v>
      </c>
      <c r="E1863">
        <v>0.52425409999999995</v>
      </c>
      <c r="F1863" t="s">
        <v>43</v>
      </c>
      <c r="G1863">
        <v>-342.26909999999998</v>
      </c>
      <c r="H1863">
        <v>0.87531859999999995</v>
      </c>
      <c r="I1863">
        <v>285.80959999999999</v>
      </c>
      <c r="J1863">
        <v>-341.67169999999999</v>
      </c>
      <c r="K1863">
        <v>1.1090690000000001</v>
      </c>
      <c r="L1863">
        <v>285.63720000000001</v>
      </c>
      <c r="M1863">
        <v>-0.99986050000000004</v>
      </c>
      <c r="N1863">
        <v>0</v>
      </c>
      <c r="O1863">
        <v>1.3768229999999999E-2</v>
      </c>
      <c r="P1863">
        <v>-0.98960369999999998</v>
      </c>
      <c r="Q1863">
        <v>-3.4494789999999997E-2</v>
      </c>
      <c r="R1863">
        <v>0.139625</v>
      </c>
      <c r="S1863">
        <v>-2.9181819999999998</v>
      </c>
      <c r="T1863">
        <v>-0.80425449999999998</v>
      </c>
      <c r="U1863">
        <v>0.60369869999999903</v>
      </c>
      <c r="V1863">
        <v>0.1259913</v>
      </c>
      <c r="W1863">
        <v>-2.5074200000000001E-2</v>
      </c>
      <c r="X1863">
        <v>0.9917144</v>
      </c>
      <c r="Y1863">
        <v>0.183031</v>
      </c>
      <c r="Z1863">
        <v>2.0827479999999999E-2</v>
      </c>
      <c r="AA1863">
        <v>0.9828865</v>
      </c>
      <c r="AB1863">
        <v>43</v>
      </c>
      <c r="AC1863">
        <v>-0.59739999999999305</v>
      </c>
      <c r="AD1863">
        <v>-0.2337504</v>
      </c>
      <c r="AE1863">
        <v>0.17239999999998101</v>
      </c>
      <c r="AF1863">
        <v>0.143830617191399</v>
      </c>
      <c r="AG1863">
        <v>-0.2337504</v>
      </c>
      <c r="AH1863">
        <v>0.52545477529160201</v>
      </c>
      <c r="AI1863">
        <v>113.222700623549</v>
      </c>
      <c r="AJ1863">
        <v>74.691635223602503</v>
      </c>
      <c r="AK1863">
        <v>0.592814656379688</v>
      </c>
      <c r="AL1863">
        <v>91.436796435957802</v>
      </c>
      <c r="AM1863">
        <v>82.759705618717504</v>
      </c>
      <c r="AN1863">
        <v>0.99999998717434402</v>
      </c>
    </row>
    <row r="1864" spans="1:40" x14ac:dyDescent="0.25">
      <c r="A1864" t="str">
        <f>"20190312161303743"</f>
        <v>20190312161303743</v>
      </c>
      <c r="B1864" t="str">
        <f>"1552378383738047"</f>
        <v>1552378383738047</v>
      </c>
      <c r="C1864" t="s">
        <v>40</v>
      </c>
      <c r="D1864">
        <v>6.2870169999999996</v>
      </c>
      <c r="E1864">
        <v>0.52330859999999901</v>
      </c>
      <c r="F1864" t="s">
        <v>43</v>
      </c>
      <c r="G1864">
        <v>-342.64830000000001</v>
      </c>
      <c r="H1864">
        <v>0.85174130000000003</v>
      </c>
      <c r="I1864">
        <v>285.8329</v>
      </c>
      <c r="J1864">
        <v>-341.92009999999999</v>
      </c>
      <c r="K1864">
        <v>1.109076</v>
      </c>
      <c r="L1864">
        <v>285.64060000000001</v>
      </c>
      <c r="M1864">
        <v>-0.99986050000000004</v>
      </c>
      <c r="N1864">
        <v>0</v>
      </c>
      <c r="O1864">
        <v>1.371994E-2</v>
      </c>
      <c r="P1864">
        <v>-0.98962260000000002</v>
      </c>
      <c r="Q1864">
        <v>-3.4856599999999897E-2</v>
      </c>
      <c r="R1864">
        <v>0.1394001</v>
      </c>
      <c r="S1864">
        <v>-2.92218</v>
      </c>
      <c r="T1864">
        <v>-0.76996239999999905</v>
      </c>
      <c r="U1864">
        <v>0.58502200000000004</v>
      </c>
      <c r="V1864">
        <v>0.12581419999999999</v>
      </c>
      <c r="W1864">
        <v>-2.5385899999999999E-2</v>
      </c>
      <c r="X1864">
        <v>0.99172899999999997</v>
      </c>
      <c r="Y1864">
        <v>0.17746020000000001</v>
      </c>
      <c r="Z1864">
        <v>1.9252120000000001E-2</v>
      </c>
      <c r="AA1864">
        <v>0.98393960000000003</v>
      </c>
      <c r="AB1864">
        <v>43</v>
      </c>
      <c r="AC1864">
        <v>-0.72820000000001495</v>
      </c>
      <c r="AD1864">
        <v>-0.25733469999999897</v>
      </c>
      <c r="AE1864">
        <v>0.19229999999998801</v>
      </c>
      <c r="AF1864">
        <v>0.163234617649788</v>
      </c>
      <c r="AG1864">
        <v>-0.25733469999999897</v>
      </c>
      <c r="AH1864">
        <v>0.65437799860487</v>
      </c>
      <c r="AI1864">
        <v>110.884787814772</v>
      </c>
      <c r="AJ1864">
        <v>75.9934172251739</v>
      </c>
      <c r="AK1864">
        <v>0.72185680940299901</v>
      </c>
      <c r="AL1864">
        <v>91.454661150720796</v>
      </c>
      <c r="AM1864">
        <v>82.769880497608895</v>
      </c>
      <c r="AN1864">
        <v>1.0000000331407199</v>
      </c>
    </row>
    <row r="1865" spans="1:40" x14ac:dyDescent="0.25">
      <c r="A1865" t="str">
        <f>"20190312161303760"</f>
        <v>20190312161303760</v>
      </c>
      <c r="B1865" t="str">
        <f>"1552378383747808"</f>
        <v>1552378383747808</v>
      </c>
      <c r="C1865" t="s">
        <v>40</v>
      </c>
      <c r="D1865">
        <v>5.5288440000000003</v>
      </c>
      <c r="E1865">
        <v>0.52267520000000001</v>
      </c>
      <c r="F1865" t="s">
        <v>43</v>
      </c>
      <c r="G1865">
        <v>-342.67500000000001</v>
      </c>
      <c r="H1865">
        <v>0.91800919999999997</v>
      </c>
      <c r="I1865">
        <v>285.79000000000002</v>
      </c>
      <c r="J1865">
        <v>-342.2414</v>
      </c>
      <c r="K1865">
        <v>1.1090869999999999</v>
      </c>
      <c r="L1865">
        <v>285.64499999999998</v>
      </c>
      <c r="M1865">
        <v>-0.99986059999999999</v>
      </c>
      <c r="N1865">
        <v>0</v>
      </c>
      <c r="O1865">
        <v>1.3657259999999999E-2</v>
      </c>
      <c r="P1865">
        <v>-0.98967490000000002</v>
      </c>
      <c r="Q1865">
        <v>-3.5064240000000003E-2</v>
      </c>
      <c r="R1865">
        <v>0.13897660000000001</v>
      </c>
      <c r="S1865">
        <v>-2.9240110000000001</v>
      </c>
      <c r="T1865">
        <v>-0.7400601</v>
      </c>
      <c r="U1865">
        <v>0.57803340000000003</v>
      </c>
      <c r="V1865">
        <v>0.12545229999999999</v>
      </c>
      <c r="W1865">
        <v>-2.551405E-2</v>
      </c>
      <c r="X1865">
        <v>0.99177150000000003</v>
      </c>
      <c r="Y1865">
        <v>0.17560149999999999</v>
      </c>
      <c r="Z1865">
        <v>1.830617E-2</v>
      </c>
      <c r="AA1865">
        <v>0.98429109999999997</v>
      </c>
      <c r="AB1865">
        <v>43</v>
      </c>
      <c r="AC1865">
        <v>-0.43360000000001198</v>
      </c>
      <c r="AD1865">
        <v>-0.19107779999999999</v>
      </c>
      <c r="AE1865">
        <v>0.14500000000003799</v>
      </c>
      <c r="AF1865">
        <v>0.118386537776325</v>
      </c>
      <c r="AG1865">
        <v>-0.19107779999999999</v>
      </c>
      <c r="AH1865">
        <v>0.37077829805049001</v>
      </c>
      <c r="AI1865">
        <v>116.147594039436</v>
      </c>
      <c r="AJ1865">
        <v>72.292134216475304</v>
      </c>
      <c r="AK1865">
        <v>0.433592717056829</v>
      </c>
      <c r="AL1865">
        <v>91.462006065345605</v>
      </c>
      <c r="AM1865">
        <v>82.790764231409796</v>
      </c>
      <c r="AN1865">
        <v>0.99999997726747103</v>
      </c>
    </row>
    <row r="1866" spans="1:40" x14ac:dyDescent="0.25">
      <c r="A1866" t="str">
        <f>"20190312161303773"</f>
        <v>20190312161303773</v>
      </c>
      <c r="B1866" t="str">
        <f>"1552378383767327"</f>
        <v>1552378383767327</v>
      </c>
      <c r="C1866" t="s">
        <v>40</v>
      </c>
      <c r="D1866">
        <v>5.497668</v>
      </c>
      <c r="E1866">
        <v>0.52261069999999998</v>
      </c>
      <c r="F1866" t="s">
        <v>43</v>
      </c>
      <c r="G1866">
        <v>-343.06009999999998</v>
      </c>
      <c r="H1866">
        <v>0.90851099999999996</v>
      </c>
      <c r="I1866">
        <v>285.80529999999999</v>
      </c>
      <c r="J1866">
        <v>-342.48610000000002</v>
      </c>
      <c r="K1866">
        <v>1.109102</v>
      </c>
      <c r="L1866">
        <v>285.64830000000001</v>
      </c>
      <c r="M1866">
        <v>-0.99986059999999999</v>
      </c>
      <c r="N1866">
        <v>0</v>
      </c>
      <c r="O1866">
        <v>1.360951E-2</v>
      </c>
      <c r="P1866">
        <v>-0.98967760000000005</v>
      </c>
      <c r="Q1866">
        <v>-3.5327520000000001E-2</v>
      </c>
      <c r="R1866">
        <v>0.13889019999999999</v>
      </c>
      <c r="S1866">
        <v>-2.9255070000000001</v>
      </c>
      <c r="T1866">
        <v>-0.71669269999999996</v>
      </c>
      <c r="U1866">
        <v>0.57241819999999999</v>
      </c>
      <c r="V1866">
        <v>0.1254132</v>
      </c>
      <c r="W1866">
        <v>-2.5704879999999999E-2</v>
      </c>
      <c r="X1866">
        <v>0.99177150000000003</v>
      </c>
      <c r="Y1866">
        <v>0.17407919999999999</v>
      </c>
      <c r="Z1866">
        <v>1.7568340000000002E-2</v>
      </c>
      <c r="AA1866">
        <v>0.98457490000000003</v>
      </c>
      <c r="AB1866">
        <v>43</v>
      </c>
      <c r="AC1866">
        <v>-0.57399999999995499</v>
      </c>
      <c r="AD1866">
        <v>-0.20059099999999999</v>
      </c>
      <c r="AE1866">
        <v>0.15699999999998199</v>
      </c>
      <c r="AF1866">
        <v>0.13395308144238699</v>
      </c>
      <c r="AG1866">
        <v>-0.20059099999999999</v>
      </c>
      <c r="AH1866">
        <v>0.51730578604800603</v>
      </c>
      <c r="AI1866">
        <v>110.575140361902</v>
      </c>
      <c r="AJ1866">
        <v>75.482486958999502</v>
      </c>
      <c r="AK1866">
        <v>0.57077618519666395</v>
      </c>
      <c r="AL1866">
        <v>91.472943431987503</v>
      </c>
      <c r="AM1866">
        <v>82.792987520661299</v>
      </c>
      <c r="AN1866">
        <v>0.99999995990115098</v>
      </c>
    </row>
    <row r="1867" spans="1:40" x14ac:dyDescent="0.25">
      <c r="A1867" t="str">
        <f>"20190312161303784"</f>
        <v>20190312161303784</v>
      </c>
      <c r="B1867" t="str">
        <f>"1552378383778063"</f>
        <v>1552378383778063</v>
      </c>
      <c r="C1867" t="s">
        <v>40</v>
      </c>
      <c r="D1867">
        <v>5.5023660000000003</v>
      </c>
      <c r="E1867">
        <v>0.52316490000000004</v>
      </c>
      <c r="F1867" t="s">
        <v>43</v>
      </c>
      <c r="G1867">
        <v>-343.43680000000001</v>
      </c>
      <c r="H1867">
        <v>0.87780959999999997</v>
      </c>
      <c r="I1867">
        <v>285.83409999999998</v>
      </c>
      <c r="J1867">
        <v>-342.73450000000003</v>
      </c>
      <c r="K1867">
        <v>1.109118</v>
      </c>
      <c r="L1867">
        <v>285.65159999999997</v>
      </c>
      <c r="M1867">
        <v>-0.99986030000000004</v>
      </c>
      <c r="N1867">
        <v>0</v>
      </c>
      <c r="O1867">
        <v>1.3561200000000001E-2</v>
      </c>
      <c r="P1867">
        <v>-0.98967309999999997</v>
      </c>
      <c r="Q1867">
        <v>-3.5331399999999999E-2</v>
      </c>
      <c r="R1867">
        <v>0.1389203</v>
      </c>
      <c r="S1867">
        <v>-2.9256289999999998</v>
      </c>
      <c r="T1867">
        <v>-0.71173969999999998</v>
      </c>
      <c r="U1867">
        <v>0.57202149999999996</v>
      </c>
      <c r="V1867">
        <v>0.1254913</v>
      </c>
      <c r="W1867">
        <v>-2.5621270000000002E-2</v>
      </c>
      <c r="X1867">
        <v>0.99176379999999997</v>
      </c>
      <c r="Y1867">
        <v>0.17405209999999999</v>
      </c>
      <c r="Z1867">
        <v>1.7458049999999999E-2</v>
      </c>
      <c r="AA1867">
        <v>0.9845817</v>
      </c>
      <c r="AB1867">
        <v>43</v>
      </c>
      <c r="AC1867">
        <v>-0.70229999999997905</v>
      </c>
      <c r="AD1867">
        <v>-0.2313084</v>
      </c>
      <c r="AE1867">
        <v>0.18250000000000399</v>
      </c>
      <c r="AF1867">
        <v>0.15700467843891</v>
      </c>
      <c r="AG1867">
        <v>-0.2313084</v>
      </c>
      <c r="AH1867">
        <v>0.639706576352705</v>
      </c>
      <c r="AI1867">
        <v>109.349402308477</v>
      </c>
      <c r="AJ1867">
        <v>76.210333387583404</v>
      </c>
      <c r="AK1867">
        <v>0.69812502375374397</v>
      </c>
      <c r="AL1867">
        <v>91.468151330602296</v>
      </c>
      <c r="AM1867">
        <v>82.788491250176506</v>
      </c>
      <c r="AN1867">
        <v>0.99999997542127095</v>
      </c>
    </row>
    <row r="1868" spans="1:40" x14ac:dyDescent="0.25">
      <c r="A1868" t="str">
        <f>"20190312161303797"</f>
        <v>20190312161303797</v>
      </c>
      <c r="B1868" t="str">
        <f>"1552378383787823"</f>
        <v>1552378383787823</v>
      </c>
      <c r="C1868" t="s">
        <v>40</v>
      </c>
      <c r="D1868">
        <v>5.5477349999999896</v>
      </c>
      <c r="E1868">
        <v>0.52270530000000004</v>
      </c>
      <c r="F1868" t="s">
        <v>43</v>
      </c>
      <c r="G1868">
        <v>-343.45760000000001</v>
      </c>
      <c r="H1868">
        <v>0.93005499999999997</v>
      </c>
      <c r="I1868">
        <v>285.79410000000001</v>
      </c>
      <c r="J1868">
        <v>-342.96109999999999</v>
      </c>
      <c r="K1868">
        <v>1.1091359999999999</v>
      </c>
      <c r="L1868">
        <v>285.65469999999999</v>
      </c>
      <c r="M1868">
        <v>-0.99986019999999998</v>
      </c>
      <c r="N1868">
        <v>0</v>
      </c>
      <c r="O1868">
        <v>1.3517019999999999E-2</v>
      </c>
      <c r="P1868">
        <v>-0.98969700000000005</v>
      </c>
      <c r="Q1868">
        <v>-3.5053500000000001E-2</v>
      </c>
      <c r="R1868">
        <v>0.13882130000000001</v>
      </c>
      <c r="S1868">
        <v>-2.9245909999999999</v>
      </c>
      <c r="T1868">
        <v>-0.72415790000000002</v>
      </c>
      <c r="U1868">
        <v>0.57611080000000003</v>
      </c>
      <c r="V1868">
        <v>0.12543550000000001</v>
      </c>
      <c r="W1868">
        <v>-2.5247579999999999E-2</v>
      </c>
      <c r="X1868">
        <v>0.99178049999999995</v>
      </c>
      <c r="Y1868">
        <v>0.17529139999999999</v>
      </c>
      <c r="Z1868">
        <v>1.791823E-2</v>
      </c>
      <c r="AA1868">
        <v>0.98435349999999999</v>
      </c>
      <c r="AB1868">
        <v>43</v>
      </c>
      <c r="AC1868">
        <v>-0.49650000000002498</v>
      </c>
      <c r="AD1868">
        <v>-0.17908099999999999</v>
      </c>
      <c r="AE1868">
        <v>0.13940000000002301</v>
      </c>
      <c r="AF1868">
        <v>0.11839821143250499</v>
      </c>
      <c r="AG1868">
        <v>-0.17908099999999999</v>
      </c>
      <c r="AH1868">
        <v>0.44471164983775202</v>
      </c>
      <c r="AI1868">
        <v>111.262752729998</v>
      </c>
      <c r="AJ1868">
        <v>75.091627210707401</v>
      </c>
      <c r="AK1868">
        <v>0.493818380108347</v>
      </c>
      <c r="AL1868">
        <v>91.446733458599098</v>
      </c>
      <c r="AM1868">
        <v>82.791784228067101</v>
      </c>
      <c r="AN1868">
        <v>1.0000000325681699</v>
      </c>
    </row>
    <row r="1869" spans="1:40" x14ac:dyDescent="0.25">
      <c r="A1869" t="str">
        <f>"20190312161303810"</f>
        <v>20190312161303810</v>
      </c>
      <c r="B1869" t="str">
        <f>"1552378383797583"</f>
        <v>1552378383797583</v>
      </c>
      <c r="C1869" t="s">
        <v>40</v>
      </c>
      <c r="D1869">
        <v>5.551158</v>
      </c>
      <c r="E1869">
        <v>0.52288619999999997</v>
      </c>
      <c r="F1869" t="s">
        <v>43</v>
      </c>
      <c r="G1869">
        <v>-343.83240000000001</v>
      </c>
      <c r="H1869">
        <v>0.89469859999999901</v>
      </c>
      <c r="I1869">
        <v>285.82549999999998</v>
      </c>
      <c r="J1869">
        <v>-343.19409999999999</v>
      </c>
      <c r="K1869">
        <v>1.109156</v>
      </c>
      <c r="L1869">
        <v>285.65780000000001</v>
      </c>
      <c r="M1869">
        <v>-0.99985959999999996</v>
      </c>
      <c r="N1869">
        <v>0</v>
      </c>
      <c r="O1869">
        <v>1.3471769999999999E-2</v>
      </c>
      <c r="P1869">
        <v>-0.98969790000000002</v>
      </c>
      <c r="Q1869">
        <v>-3.5233510000000003E-2</v>
      </c>
      <c r="R1869">
        <v>0.13876939999999999</v>
      </c>
      <c r="S1869">
        <v>-2.9254150000000001</v>
      </c>
      <c r="T1869">
        <v>-0.71998890000000004</v>
      </c>
      <c r="U1869">
        <v>0.57229609999999997</v>
      </c>
      <c r="V1869">
        <v>0.1254286</v>
      </c>
      <c r="W1869">
        <v>-2.532268E-2</v>
      </c>
      <c r="X1869">
        <v>0.99177939999999998</v>
      </c>
      <c r="Y1869">
        <v>0.1741336</v>
      </c>
      <c r="Z1869">
        <v>1.7687060000000001E-2</v>
      </c>
      <c r="AA1869">
        <v>0.98456319999999997</v>
      </c>
      <c r="AB1869">
        <v>43</v>
      </c>
      <c r="AC1869">
        <v>-0.63830000000001497</v>
      </c>
      <c r="AD1869">
        <v>-0.21445739999999999</v>
      </c>
      <c r="AE1869">
        <v>0.16769999999996801</v>
      </c>
      <c r="AF1869">
        <v>0.14389112109670399</v>
      </c>
      <c r="AG1869">
        <v>-0.21445739999999999</v>
      </c>
      <c r="AH1869">
        <v>0.57932726194449502</v>
      </c>
      <c r="AI1869">
        <v>109.761718784123</v>
      </c>
      <c r="AJ1869">
        <v>76.051352457044402</v>
      </c>
      <c r="AK1869">
        <v>0.63428440590742297</v>
      </c>
      <c r="AL1869">
        <v>91.4510378311587</v>
      </c>
      <c r="AM1869">
        <v>82.792168659603405</v>
      </c>
      <c r="AN1869">
        <v>0.99999997504235005</v>
      </c>
    </row>
    <row r="1870" spans="1:40" x14ac:dyDescent="0.25">
      <c r="A1870" t="str">
        <f>"20190312161303822"</f>
        <v>20190312161303822</v>
      </c>
      <c r="B1870" t="str">
        <f>"1552378383818079"</f>
        <v>1552378383818079</v>
      </c>
      <c r="C1870" t="s">
        <v>40</v>
      </c>
      <c r="D1870">
        <v>5.7092450000000001</v>
      </c>
      <c r="E1870">
        <v>0.52191880000000002</v>
      </c>
      <c r="F1870" t="s">
        <v>43</v>
      </c>
      <c r="G1870">
        <v>-344.20729999999998</v>
      </c>
      <c r="H1870">
        <v>0.85962669999999997</v>
      </c>
      <c r="I1870">
        <v>285.85660000000001</v>
      </c>
      <c r="J1870">
        <v>-343.46350000000001</v>
      </c>
      <c r="K1870">
        <v>1.1091899999999999</v>
      </c>
      <c r="L1870">
        <v>285.66140000000001</v>
      </c>
      <c r="M1870">
        <v>-0.99985889999999999</v>
      </c>
      <c r="N1870">
        <v>0</v>
      </c>
      <c r="O1870">
        <v>1.341872E-2</v>
      </c>
      <c r="P1870">
        <v>-0.98970139999999995</v>
      </c>
      <c r="Q1870">
        <v>-3.5254760000000003E-2</v>
      </c>
      <c r="R1870">
        <v>0.13873820000000001</v>
      </c>
      <c r="S1870">
        <v>-2.9251399999999999</v>
      </c>
      <c r="T1870">
        <v>-0.72038919999999995</v>
      </c>
      <c r="U1870">
        <v>0.57388309999999998</v>
      </c>
      <c r="V1870">
        <v>0.1254499</v>
      </c>
      <c r="W1870">
        <v>-2.5199059999999999E-2</v>
      </c>
      <c r="X1870">
        <v>0.99177990000000005</v>
      </c>
      <c r="Y1870">
        <v>0.1746945</v>
      </c>
      <c r="Z1870">
        <v>1.777751E-2</v>
      </c>
      <c r="AA1870">
        <v>0.98446219999999995</v>
      </c>
      <c r="AB1870">
        <v>43</v>
      </c>
      <c r="AC1870">
        <v>-0.74379999999996405</v>
      </c>
      <c r="AD1870">
        <v>-0.24956329999999999</v>
      </c>
      <c r="AE1870">
        <v>0.19519999999999901</v>
      </c>
      <c r="AF1870">
        <v>0.16755380542036799</v>
      </c>
      <c r="AG1870">
        <v>-0.24956329999999999</v>
      </c>
      <c r="AH1870">
        <v>0.67523476260687698</v>
      </c>
      <c r="AI1870">
        <v>109.73372221491699</v>
      </c>
      <c r="AJ1870">
        <v>76.064017620742504</v>
      </c>
      <c r="AK1870">
        <v>0.73911981643743097</v>
      </c>
      <c r="AL1870">
        <v>91.443952600802703</v>
      </c>
      <c r="AM1870">
        <v>82.790961114626597</v>
      </c>
      <c r="AN1870">
        <v>1.0000000200394501</v>
      </c>
    </row>
    <row r="1871" spans="1:40" x14ac:dyDescent="0.25">
      <c r="A1871" t="str">
        <f>"20190312161303839"</f>
        <v>20190312161303839</v>
      </c>
      <c r="B1871" t="str">
        <f>"1552378383827839"</f>
        <v>1552378383827839</v>
      </c>
      <c r="C1871" t="s">
        <v>40</v>
      </c>
      <c r="D1871">
        <v>5.5803580000000004</v>
      </c>
      <c r="E1871">
        <v>0.52159759999999999</v>
      </c>
      <c r="F1871" t="s">
        <v>43</v>
      </c>
      <c r="G1871">
        <v>-344.23340000000002</v>
      </c>
      <c r="H1871">
        <v>0.92480180000000001</v>
      </c>
      <c r="I1871">
        <v>285.81049999999999</v>
      </c>
      <c r="J1871">
        <v>-343.77539999999999</v>
      </c>
      <c r="K1871">
        <v>1.109226</v>
      </c>
      <c r="L1871">
        <v>285.66550000000001</v>
      </c>
      <c r="M1871">
        <v>-0.99985780000000002</v>
      </c>
      <c r="N1871">
        <v>0</v>
      </c>
      <c r="O1871">
        <v>1.3357279999999999E-2</v>
      </c>
      <c r="P1871">
        <v>-0.98972280000000001</v>
      </c>
      <c r="Q1871">
        <v>-3.5253739999999999E-2</v>
      </c>
      <c r="R1871">
        <v>0.13858679999999901</v>
      </c>
      <c r="S1871">
        <v>-2.926758</v>
      </c>
      <c r="T1871">
        <v>-0.70091099999999995</v>
      </c>
      <c r="U1871">
        <v>0.56686400000000003</v>
      </c>
      <c r="V1871">
        <v>0.12535959999999999</v>
      </c>
      <c r="W1871">
        <v>-2.501393E-2</v>
      </c>
      <c r="X1871">
        <v>0.99179600000000001</v>
      </c>
      <c r="Y1871">
        <v>0.17267689999999999</v>
      </c>
      <c r="Z1871">
        <v>1.7082759999999999E-2</v>
      </c>
      <c r="AA1871">
        <v>0.98483039999999999</v>
      </c>
      <c r="AB1871">
        <v>43</v>
      </c>
      <c r="AC1871">
        <v>-0.458000000000026</v>
      </c>
      <c r="AD1871">
        <v>-0.18442420000000001</v>
      </c>
      <c r="AE1871">
        <v>0.14499999999998101</v>
      </c>
      <c r="AF1871">
        <v>0.121032122929804</v>
      </c>
      <c r="AG1871">
        <v>-0.18442420000000001</v>
      </c>
      <c r="AH1871">
        <v>0.400824897873712</v>
      </c>
      <c r="AI1871">
        <v>113.7720033306</v>
      </c>
      <c r="AJ1871">
        <v>73.197910335251393</v>
      </c>
      <c r="AK1871">
        <v>0.45751684021684602</v>
      </c>
      <c r="AL1871">
        <v>91.433342094779405</v>
      </c>
      <c r="AM1871">
        <v>82.796211426387202</v>
      </c>
      <c r="AN1871">
        <v>1.0000000158111</v>
      </c>
    </row>
    <row r="1872" spans="1:40" x14ac:dyDescent="0.25">
      <c r="A1872" t="str">
        <f>"20190312161303854"</f>
        <v>20190312161303854</v>
      </c>
      <c r="B1872" t="str">
        <f>"1552378383847358"</f>
        <v>1552378383847358</v>
      </c>
      <c r="C1872" t="s">
        <v>40</v>
      </c>
      <c r="D1872">
        <v>5.633947</v>
      </c>
      <c r="E1872">
        <v>0.52087939999999999</v>
      </c>
      <c r="F1872" t="s">
        <v>43</v>
      </c>
      <c r="G1872">
        <v>-344.6164</v>
      </c>
      <c r="H1872">
        <v>0.90994940000000002</v>
      </c>
      <c r="I1872">
        <v>285.82799999999997</v>
      </c>
      <c r="J1872">
        <v>-344.05939999999998</v>
      </c>
      <c r="K1872">
        <v>1.1092660000000001</v>
      </c>
      <c r="L1872">
        <v>285.66930000000002</v>
      </c>
      <c r="M1872">
        <v>-0.99985670000000004</v>
      </c>
      <c r="N1872">
        <v>0</v>
      </c>
      <c r="O1872">
        <v>1.3304979999999999E-2</v>
      </c>
      <c r="P1872">
        <v>-0.98974600000000001</v>
      </c>
      <c r="Q1872">
        <v>-3.5242870000000003E-2</v>
      </c>
      <c r="R1872">
        <v>0.1384233</v>
      </c>
      <c r="S1872">
        <v>-2.9274290000000001</v>
      </c>
      <c r="T1872">
        <v>-0.69370639999999995</v>
      </c>
      <c r="U1872">
        <v>0.56414790000000004</v>
      </c>
      <c r="V1872">
        <v>0.12524759999999999</v>
      </c>
      <c r="W1872">
        <v>-2.481827E-2</v>
      </c>
      <c r="X1872">
        <v>0.991815</v>
      </c>
      <c r="Y1872">
        <v>0.1719128</v>
      </c>
      <c r="Z1872">
        <v>1.6833089999999998E-2</v>
      </c>
      <c r="AA1872">
        <v>0.98496839999999997</v>
      </c>
      <c r="AB1872">
        <v>43</v>
      </c>
      <c r="AC1872">
        <v>-0.55700000000001604</v>
      </c>
      <c r="AD1872">
        <v>-0.19931660000000001</v>
      </c>
      <c r="AE1872">
        <v>0.15869999999995299</v>
      </c>
      <c r="AF1872">
        <v>0.13525570262759601</v>
      </c>
      <c r="AG1872">
        <v>-0.19931660000000001</v>
      </c>
      <c r="AH1872">
        <v>0.49986137538430098</v>
      </c>
      <c r="AI1872">
        <v>111.05181299648901</v>
      </c>
      <c r="AJ1872">
        <v>74.859112803822697</v>
      </c>
      <c r="AK1872">
        <v>0.55487170294576205</v>
      </c>
      <c r="AL1872">
        <v>91.422128213442505</v>
      </c>
      <c r="AM1872">
        <v>82.802716415191696</v>
      </c>
      <c r="AN1872">
        <v>0.99999995102827499</v>
      </c>
    </row>
    <row r="1873" spans="1:40" x14ac:dyDescent="0.25">
      <c r="A1873" t="str">
        <f>"20190312161303868"</f>
        <v>20190312161303868</v>
      </c>
      <c r="B1873" t="str">
        <f>"1552378383858095"</f>
        <v>1552378383858095</v>
      </c>
      <c r="C1873" t="s">
        <v>40</v>
      </c>
      <c r="D1873">
        <v>5.5814680000000001</v>
      </c>
      <c r="E1873">
        <v>0.52064009999999905</v>
      </c>
      <c r="F1873" t="s">
        <v>43</v>
      </c>
      <c r="G1873">
        <v>-344.99770000000001</v>
      </c>
      <c r="H1873">
        <v>0.89136669999999996</v>
      </c>
      <c r="I1873">
        <v>285.84829999999999</v>
      </c>
      <c r="J1873">
        <v>-344.34199999999998</v>
      </c>
      <c r="K1873">
        <v>1.109305</v>
      </c>
      <c r="L1873">
        <v>285.673</v>
      </c>
      <c r="M1873">
        <v>-0.9998551</v>
      </c>
      <c r="N1873">
        <v>0</v>
      </c>
      <c r="O1873">
        <v>1.325895E-2</v>
      </c>
      <c r="P1873">
        <v>-0.98974249999999997</v>
      </c>
      <c r="Q1873">
        <v>-3.5279869999999998E-2</v>
      </c>
      <c r="R1873">
        <v>0.13843829999999999</v>
      </c>
      <c r="S1873">
        <v>-2.9288020000000001</v>
      </c>
      <c r="T1873">
        <v>-0.680191199999999</v>
      </c>
      <c r="U1873">
        <v>0.55819700000000005</v>
      </c>
      <c r="V1873">
        <v>0.12530819999999901</v>
      </c>
      <c r="W1873">
        <v>-2.465504E-2</v>
      </c>
      <c r="X1873">
        <v>0.99181149999999996</v>
      </c>
      <c r="Y1873">
        <v>0.17014879999999999</v>
      </c>
      <c r="Z1873">
        <v>1.6319130000000001E-2</v>
      </c>
      <c r="AA1873">
        <v>0.98528329999999997</v>
      </c>
      <c r="AB1873">
        <v>43</v>
      </c>
      <c r="AC1873">
        <v>-0.65570000000002404</v>
      </c>
      <c r="AD1873">
        <v>-0.2179383</v>
      </c>
      <c r="AE1873">
        <v>0.17529999999999199</v>
      </c>
      <c r="AF1873">
        <v>0.151019511246933</v>
      </c>
      <c r="AG1873">
        <v>-0.2179383</v>
      </c>
      <c r="AH1873">
        <v>0.59646859128905005</v>
      </c>
      <c r="AI1873">
        <v>109.504361762142</v>
      </c>
      <c r="AJ1873">
        <v>75.791897441770004</v>
      </c>
      <c r="AK1873">
        <v>0.65274709940259201</v>
      </c>
      <c r="AL1873">
        <v>91.412772843293695</v>
      </c>
      <c r="AM1873">
        <v>82.799245469777205</v>
      </c>
      <c r="AN1873">
        <v>1.00000003375844</v>
      </c>
    </row>
    <row r="1874" spans="1:40" x14ac:dyDescent="0.25">
      <c r="A1874" t="str">
        <f>"20190312161303885"</f>
        <v>20190312161303885</v>
      </c>
      <c r="B1874" t="str">
        <f>"1552378383877616"</f>
        <v>1552378383877616</v>
      </c>
      <c r="C1874" t="s">
        <v>40</v>
      </c>
      <c r="D1874">
        <v>5.5829449999999996</v>
      </c>
      <c r="E1874">
        <v>0.52044769999999996</v>
      </c>
      <c r="F1874" t="s">
        <v>43</v>
      </c>
      <c r="G1874">
        <v>-345.37819999999999</v>
      </c>
      <c r="H1874">
        <v>0.87146399999999902</v>
      </c>
      <c r="I1874">
        <v>285.87029999999999</v>
      </c>
      <c r="J1874">
        <v>-344.66739999999999</v>
      </c>
      <c r="K1874">
        <v>1.109345</v>
      </c>
      <c r="L1874">
        <v>285.67720000000003</v>
      </c>
      <c r="M1874">
        <v>-0.99985299999999999</v>
      </c>
      <c r="N1874">
        <v>0</v>
      </c>
      <c r="O1874">
        <v>1.3204570000000001E-2</v>
      </c>
      <c r="P1874">
        <v>-0.98975939999999996</v>
      </c>
      <c r="Q1874">
        <v>-3.526087E-2</v>
      </c>
      <c r="R1874">
        <v>0.13832179999999999</v>
      </c>
      <c r="S1874">
        <v>-2.9292910000000001</v>
      </c>
      <c r="T1874">
        <v>-0.67251430000000001</v>
      </c>
      <c r="U1874">
        <v>0.55630489999999999</v>
      </c>
      <c r="V1874">
        <v>0.1252453</v>
      </c>
      <c r="W1874">
        <v>-2.4375649999999999E-2</v>
      </c>
      <c r="X1874">
        <v>0.99182630000000005</v>
      </c>
      <c r="Y1874">
        <v>0.1696588</v>
      </c>
      <c r="Z1874">
        <v>1.609503E-2</v>
      </c>
      <c r="AA1874">
        <v>0.98537140000000001</v>
      </c>
      <c r="AB1874">
        <v>43</v>
      </c>
      <c r="AC1874">
        <v>-0.71080000000000598</v>
      </c>
      <c r="AD1874">
        <v>-0.23788100000000001</v>
      </c>
      <c r="AE1874">
        <v>0.193099999999958</v>
      </c>
      <c r="AF1874">
        <v>0.16634623912962401</v>
      </c>
      <c r="AG1874">
        <v>-0.23788100000000001</v>
      </c>
      <c r="AH1874">
        <v>0.64591640652489801</v>
      </c>
      <c r="AI1874">
        <v>109.628631392247</v>
      </c>
      <c r="AJ1874">
        <v>75.558141150053004</v>
      </c>
      <c r="AK1874">
        <v>0.708142955660513</v>
      </c>
      <c r="AL1874">
        <v>91.396760233706402</v>
      </c>
      <c r="AM1874">
        <v>82.802928335696507</v>
      </c>
      <c r="AN1874">
        <v>0.99999998342835095</v>
      </c>
    </row>
    <row r="1875" spans="1:40" x14ac:dyDescent="0.25">
      <c r="A1875" t="str">
        <f>"20190312161303898"</f>
        <v>20190312161303898</v>
      </c>
      <c r="B1875" t="str">
        <f>"1552378383887375"</f>
        <v>1552378383887375</v>
      </c>
      <c r="C1875" t="s">
        <v>40</v>
      </c>
      <c r="D1875">
        <v>5.7574379999999996</v>
      </c>
      <c r="E1875">
        <v>0.52105919999999994</v>
      </c>
      <c r="F1875" t="s">
        <v>43</v>
      </c>
      <c r="G1875">
        <v>-345.40620000000001</v>
      </c>
      <c r="H1875">
        <v>0.94040670000000004</v>
      </c>
      <c r="I1875">
        <v>285.81760000000003</v>
      </c>
      <c r="J1875">
        <v>-344.91230000000002</v>
      </c>
      <c r="K1875">
        <v>1.109375</v>
      </c>
      <c r="L1875">
        <v>285.68049999999999</v>
      </c>
      <c r="M1875">
        <v>-0.9998513</v>
      </c>
      <c r="N1875">
        <v>0</v>
      </c>
      <c r="O1875">
        <v>1.316018E-2</v>
      </c>
      <c r="P1875">
        <v>-0.98973659999999997</v>
      </c>
      <c r="Q1875">
        <v>-3.5477050000000003E-2</v>
      </c>
      <c r="R1875">
        <v>0.13843150000000001</v>
      </c>
      <c r="S1875">
        <v>-2.9297179999999998</v>
      </c>
      <c r="T1875">
        <v>-0.67010829999999999</v>
      </c>
      <c r="U1875">
        <v>0.55438229999999999</v>
      </c>
      <c r="V1875">
        <v>0.12539929999999999</v>
      </c>
      <c r="W1875">
        <v>-2.438338E-2</v>
      </c>
      <c r="X1875">
        <v>0.99180670000000004</v>
      </c>
      <c r="Y1875">
        <v>0.1690931</v>
      </c>
      <c r="Z1875">
        <v>1.5984140000000001E-2</v>
      </c>
      <c r="AA1875">
        <v>0.98547050000000003</v>
      </c>
      <c r="AB1875">
        <v>43</v>
      </c>
      <c r="AC1875">
        <v>-0.49389999999999601</v>
      </c>
      <c r="AD1875">
        <v>-0.16896829999999999</v>
      </c>
      <c r="AE1875">
        <v>0.137100000000032</v>
      </c>
      <c r="AF1875">
        <v>0.117788293063639</v>
      </c>
      <c r="AG1875">
        <v>-0.16896829999999999</v>
      </c>
      <c r="AH1875">
        <v>0.447079164354793</v>
      </c>
      <c r="AI1875">
        <v>110.07569357695</v>
      </c>
      <c r="AJ1875">
        <v>75.240152245092503</v>
      </c>
      <c r="AK1875">
        <v>0.492243991926682</v>
      </c>
      <c r="AL1875">
        <v>91.397203194012107</v>
      </c>
      <c r="AM1875">
        <v>82.794030968426199</v>
      </c>
      <c r="AN1875">
        <v>1.0000000319128</v>
      </c>
    </row>
    <row r="1876" spans="1:40" x14ac:dyDescent="0.25">
      <c r="A1876" t="str">
        <f>"20190312161303917"</f>
        <v>20190312161303917</v>
      </c>
      <c r="B1876" t="str">
        <f>"1552378383907871"</f>
        <v>1552378383907871</v>
      </c>
      <c r="C1876" t="s">
        <v>40</v>
      </c>
      <c r="D1876">
        <v>5.6286239999999896</v>
      </c>
      <c r="E1876">
        <v>0.52107049999999999</v>
      </c>
      <c r="F1876" t="s">
        <v>43</v>
      </c>
      <c r="G1876">
        <v>-345.78089999999997</v>
      </c>
      <c r="H1876">
        <v>0.90854820000000003</v>
      </c>
      <c r="I1876">
        <v>285.84649999999999</v>
      </c>
      <c r="J1876">
        <v>-345.29849999999999</v>
      </c>
      <c r="K1876">
        <v>1.1094219999999999</v>
      </c>
      <c r="L1876">
        <v>285.68549999999999</v>
      </c>
      <c r="M1876">
        <v>-0.99984819999999996</v>
      </c>
      <c r="N1876">
        <v>0</v>
      </c>
      <c r="O1876">
        <v>1.3086209999999999E-2</v>
      </c>
      <c r="P1876">
        <v>-0.98971019999999998</v>
      </c>
      <c r="Q1876">
        <v>-3.5963330000000002E-2</v>
      </c>
      <c r="R1876">
        <v>0.1384928</v>
      </c>
      <c r="S1876">
        <v>-2.9285890000000001</v>
      </c>
      <c r="T1876">
        <v>-0.67708269999999904</v>
      </c>
      <c r="U1876">
        <v>0.55923459999999903</v>
      </c>
      <c r="V1876">
        <v>0.1255338</v>
      </c>
      <c r="W1876">
        <v>-2.4524279999999999E-2</v>
      </c>
      <c r="X1876">
        <v>0.99178619999999995</v>
      </c>
      <c r="Y1876">
        <v>0.1706867</v>
      </c>
      <c r="Z1876">
        <v>1.6346909999999999E-2</v>
      </c>
      <c r="AA1876">
        <v>0.98518969999999995</v>
      </c>
      <c r="AB1876">
        <v>43</v>
      </c>
      <c r="AC1876">
        <v>-0.48239999999998401</v>
      </c>
      <c r="AD1876">
        <v>-0.20087379999999899</v>
      </c>
      <c r="AE1876">
        <v>0.161000000000001</v>
      </c>
      <c r="AF1876">
        <v>0.133798440138267</v>
      </c>
      <c r="AG1876">
        <v>-0.20087379999999899</v>
      </c>
      <c r="AH1876">
        <v>0.41908253598338102</v>
      </c>
      <c r="AI1876">
        <v>114.541976261629</v>
      </c>
      <c r="AJ1876">
        <v>72.293530436994999</v>
      </c>
      <c r="AK1876">
        <v>0.48361397630355502</v>
      </c>
      <c r="AL1876">
        <v>91.405278599461496</v>
      </c>
      <c r="AM1876">
        <v>82.786235875489297</v>
      </c>
      <c r="AN1876">
        <v>1.0000000208811901</v>
      </c>
    </row>
    <row r="1877" spans="1:40" x14ac:dyDescent="0.25">
      <c r="A1877" t="str">
        <f>"20190312161303932"</f>
        <v>20190312161303932</v>
      </c>
      <c r="B1877" t="str">
        <f>"1552378383917631"</f>
        <v>1552378383917631</v>
      </c>
      <c r="C1877" t="s">
        <v>40</v>
      </c>
      <c r="D1877">
        <v>6.0568119999999999</v>
      </c>
      <c r="E1877">
        <v>0.5208064</v>
      </c>
      <c r="F1877" t="s">
        <v>43</v>
      </c>
      <c r="G1877">
        <v>-346.16759999999999</v>
      </c>
      <c r="H1877">
        <v>0.9065126</v>
      </c>
      <c r="I1877">
        <v>285.8519</v>
      </c>
      <c r="J1877">
        <v>-345.56529999999998</v>
      </c>
      <c r="K1877">
        <v>1.1094569999999999</v>
      </c>
      <c r="L1877">
        <v>285.68889999999999</v>
      </c>
      <c r="M1877">
        <v>-0.99984609999999996</v>
      </c>
      <c r="N1877">
        <v>0</v>
      </c>
      <c r="O1877">
        <v>1.3032200000000001E-2</v>
      </c>
      <c r="P1877">
        <v>-0.98965020000000004</v>
      </c>
      <c r="Q1877">
        <v>-3.6283759999999998E-2</v>
      </c>
      <c r="R1877">
        <v>0.13883889999999999</v>
      </c>
      <c r="S1877">
        <v>-2.9281009999999998</v>
      </c>
      <c r="T1877">
        <v>-0.6837358</v>
      </c>
      <c r="U1877">
        <v>0.55908199999999997</v>
      </c>
      <c r="V1877">
        <v>0.12593399999999999</v>
      </c>
      <c r="W1877">
        <v>-2.459824E-2</v>
      </c>
      <c r="X1877">
        <v>0.99173359999999999</v>
      </c>
      <c r="Y1877">
        <v>0.17064089999999901</v>
      </c>
      <c r="Z1877">
        <v>1.651325E-2</v>
      </c>
      <c r="AA1877">
        <v>0.98519489999999998</v>
      </c>
      <c r="AB1877">
        <v>43</v>
      </c>
      <c r="AC1877">
        <v>-0.60230000000001305</v>
      </c>
      <c r="AD1877">
        <v>-0.202944399999999</v>
      </c>
      <c r="AE1877">
        <v>0.16300000000001</v>
      </c>
      <c r="AF1877">
        <v>0.14029496455892099</v>
      </c>
      <c r="AG1877">
        <v>-0.202944399999999</v>
      </c>
      <c r="AH1877">
        <v>0.54655493984473003</v>
      </c>
      <c r="AI1877">
        <v>109.78141915123901</v>
      </c>
      <c r="AJ1877">
        <v>75.603589001784499</v>
      </c>
      <c r="AK1877">
        <v>0.59965941069962803</v>
      </c>
      <c r="AL1877">
        <v>91.409517518127103</v>
      </c>
      <c r="AM1877">
        <v>82.763102160627895</v>
      </c>
      <c r="AN1877">
        <v>0.99999998956802805</v>
      </c>
    </row>
    <row r="1878" spans="1:40" x14ac:dyDescent="0.25">
      <c r="A1878" t="str">
        <f>"20190312161303945"</f>
        <v>20190312161303945</v>
      </c>
      <c r="B1878" t="str">
        <f>"1552378383938128"</f>
        <v>1552378383938128</v>
      </c>
      <c r="C1878" t="s">
        <v>40</v>
      </c>
      <c r="D1878">
        <v>5.4842829999999996</v>
      </c>
      <c r="E1878">
        <v>0.52089730000000001</v>
      </c>
      <c r="F1878" t="s">
        <v>43</v>
      </c>
      <c r="G1878">
        <v>-346.54509999999999</v>
      </c>
      <c r="H1878">
        <v>0.8822373</v>
      </c>
      <c r="I1878">
        <v>285.87569999999999</v>
      </c>
      <c r="J1878">
        <v>-345.84269999999998</v>
      </c>
      <c r="K1878">
        <v>1.1094900000000001</v>
      </c>
      <c r="L1878">
        <v>285.6925</v>
      </c>
      <c r="M1878">
        <v>-0.99984360000000005</v>
      </c>
      <c r="N1878">
        <v>0</v>
      </c>
      <c r="O1878">
        <v>1.2974680000000001E-2</v>
      </c>
      <c r="P1878">
        <v>-0.98963599999999996</v>
      </c>
      <c r="Q1878">
        <v>-3.648092E-2</v>
      </c>
      <c r="R1878">
        <v>0.13888800000000001</v>
      </c>
      <c r="S1878">
        <v>-2.928131</v>
      </c>
      <c r="T1878">
        <v>-0.67903859999999905</v>
      </c>
      <c r="U1878">
        <v>0.5583496</v>
      </c>
      <c r="V1878">
        <v>0.12604000000000001</v>
      </c>
      <c r="W1878">
        <v>-2.4537239999999998E-2</v>
      </c>
      <c r="X1878">
        <v>0.99172159999999998</v>
      </c>
      <c r="Y1878">
        <v>0.17051469999999999</v>
      </c>
      <c r="Z1878">
        <v>1.6401599999999999E-2</v>
      </c>
      <c r="AA1878">
        <v>0.98521860000000006</v>
      </c>
      <c r="AB1878">
        <v>43</v>
      </c>
      <c r="AC1878">
        <v>-0.70240000000001102</v>
      </c>
      <c r="AD1878">
        <v>-0.227252699999999</v>
      </c>
      <c r="AE1878">
        <v>0.183199999999999</v>
      </c>
      <c r="AF1878">
        <v>0.15853282845837199</v>
      </c>
      <c r="AG1878">
        <v>-0.227252699999999</v>
      </c>
      <c r="AH1878">
        <v>0.64181429694024095</v>
      </c>
      <c r="AI1878">
        <v>108.970273318469</v>
      </c>
      <c r="AJ1878">
        <v>76.125251488662698</v>
      </c>
      <c r="AK1878">
        <v>0.69907227030772501</v>
      </c>
      <c r="AL1878">
        <v>91.406021483223896</v>
      </c>
      <c r="AM1878">
        <v>82.756988736600107</v>
      </c>
      <c r="AN1878">
        <v>0.99999994482668697</v>
      </c>
    </row>
    <row r="1879" spans="1:40" x14ac:dyDescent="0.25">
      <c r="A1879" t="str">
        <f>"20190312161303961"</f>
        <v>20190312161303961</v>
      </c>
      <c r="B1879" t="str">
        <f>"1552378383947887"</f>
        <v>1552378383947887</v>
      </c>
      <c r="C1879" t="s">
        <v>40</v>
      </c>
      <c r="D1879">
        <v>5.5942249999999998</v>
      </c>
      <c r="E1879">
        <v>0.52064679999999997</v>
      </c>
      <c r="F1879" t="s">
        <v>43</v>
      </c>
      <c r="G1879">
        <v>-346.56889999999999</v>
      </c>
      <c r="H1879">
        <v>0.94050299999999998</v>
      </c>
      <c r="I1879">
        <v>285.83120000000002</v>
      </c>
      <c r="J1879">
        <v>-346.14879999999999</v>
      </c>
      <c r="K1879">
        <v>1.1095269999999999</v>
      </c>
      <c r="L1879">
        <v>285.69650000000001</v>
      </c>
      <c r="M1879">
        <v>-0.99984110000000004</v>
      </c>
      <c r="N1879">
        <v>0</v>
      </c>
      <c r="O1879">
        <v>1.2912170000000001E-2</v>
      </c>
      <c r="P1879">
        <v>-0.98959710000000001</v>
      </c>
      <c r="Q1879">
        <v>-3.6500039999999997E-2</v>
      </c>
      <c r="R1879">
        <v>0.13915959999999999</v>
      </c>
      <c r="S1879">
        <v>-2.927826</v>
      </c>
      <c r="T1879">
        <v>-0.68120919999999996</v>
      </c>
      <c r="U1879">
        <v>0.55923459999999903</v>
      </c>
      <c r="V1879">
        <v>0.12637370000000001</v>
      </c>
      <c r="W1879">
        <v>-2.4281400000000002E-2</v>
      </c>
      <c r="X1879">
        <v>0.9916855</v>
      </c>
      <c r="Y1879">
        <v>0.1708462</v>
      </c>
      <c r="Z1879">
        <v>1.6505840000000001E-2</v>
      </c>
      <c r="AA1879">
        <v>0.98515949999999997</v>
      </c>
      <c r="AB1879">
        <v>43</v>
      </c>
      <c r="AC1879">
        <v>-0.42009999999998998</v>
      </c>
      <c r="AD1879">
        <v>-0.16902400000000001</v>
      </c>
      <c r="AE1879">
        <v>0.13470000000000901</v>
      </c>
      <c r="AF1879">
        <v>0.112718245830391</v>
      </c>
      <c r="AG1879">
        <v>-0.16902400000000001</v>
      </c>
      <c r="AH1879">
        <v>0.36781366058251203</v>
      </c>
      <c r="AI1879">
        <v>113.719169477929</v>
      </c>
      <c r="AJ1879">
        <v>72.962067546999194</v>
      </c>
      <c r="AK1879">
        <v>0.420192104197816</v>
      </c>
      <c r="AL1879">
        <v>91.391358464097706</v>
      </c>
      <c r="AM1879">
        <v>82.737755255319001</v>
      </c>
      <c r="AN1879">
        <v>1.0000000146739401</v>
      </c>
    </row>
    <row r="1880" spans="1:40" x14ac:dyDescent="0.25">
      <c r="A1880" t="str">
        <f>"20190312161303975"</f>
        <v>20190312161303975</v>
      </c>
      <c r="B1880" t="str">
        <f>"1552378383967407"</f>
        <v>1552378383967407</v>
      </c>
      <c r="C1880" t="s">
        <v>40</v>
      </c>
      <c r="D1880">
        <v>5.5892619999999997</v>
      </c>
      <c r="E1880">
        <v>0.52022559999999995</v>
      </c>
      <c r="F1880" t="s">
        <v>43</v>
      </c>
      <c r="G1880">
        <v>-346.94869999999997</v>
      </c>
      <c r="H1880">
        <v>0.92466809999999999</v>
      </c>
      <c r="I1880">
        <v>285.8492</v>
      </c>
      <c r="J1880">
        <v>-346.40190000000001</v>
      </c>
      <c r="K1880">
        <v>1.109551</v>
      </c>
      <c r="L1880">
        <v>285.69970000000001</v>
      </c>
      <c r="M1880">
        <v>-0.99983889999999997</v>
      </c>
      <c r="N1880">
        <v>0</v>
      </c>
      <c r="O1880">
        <v>1.286172E-2</v>
      </c>
      <c r="P1880">
        <v>-0.98958749999999995</v>
      </c>
      <c r="Q1880">
        <v>-3.6845080000000002E-2</v>
      </c>
      <c r="R1880">
        <v>0.13913719999999999</v>
      </c>
      <c r="S1880">
        <v>-2.9281009999999998</v>
      </c>
      <c r="T1880">
        <v>-0.67669709999999905</v>
      </c>
      <c r="U1880">
        <v>0.55810550000000003</v>
      </c>
      <c r="V1880">
        <v>0.12640170000000001</v>
      </c>
      <c r="W1880">
        <v>-2.440823E-2</v>
      </c>
      <c r="X1880">
        <v>0.99167879999999997</v>
      </c>
      <c r="Y1880">
        <v>0.17057139999999901</v>
      </c>
      <c r="Z1880">
        <v>1.6378670000000001E-2</v>
      </c>
      <c r="AA1880">
        <v>0.98520920000000001</v>
      </c>
      <c r="AB1880">
        <v>43</v>
      </c>
      <c r="AC1880">
        <v>-0.54679999999996198</v>
      </c>
      <c r="AD1880">
        <v>-0.18488289999999899</v>
      </c>
      <c r="AE1880">
        <v>0.149499999999989</v>
      </c>
      <c r="AF1880">
        <v>0.12875802160444799</v>
      </c>
      <c r="AG1880">
        <v>-0.18488289999999899</v>
      </c>
      <c r="AH1880">
        <v>0.49592510966006198</v>
      </c>
      <c r="AI1880">
        <v>109.84149640608101</v>
      </c>
      <c r="AJ1880">
        <v>75.445536034180407</v>
      </c>
      <c r="AK1880">
        <v>0.54470361595205696</v>
      </c>
      <c r="AL1880">
        <v>91.398627466930705</v>
      </c>
      <c r="AM1880">
        <v>82.736114827520097</v>
      </c>
      <c r="AN1880">
        <v>0.99999999691203101</v>
      </c>
    </row>
    <row r="1881" spans="1:40" x14ac:dyDescent="0.25">
      <c r="A1881" t="str">
        <f>"20190312161303996"</f>
        <v>20190312161303996</v>
      </c>
      <c r="B1881" t="str">
        <f>"1552378383987903"</f>
        <v>1552378383987903</v>
      </c>
      <c r="C1881" t="s">
        <v>40</v>
      </c>
      <c r="D1881">
        <v>5.6276710000000003</v>
      </c>
      <c r="E1881">
        <v>0.51979679999999995</v>
      </c>
      <c r="F1881" t="s">
        <v>43</v>
      </c>
      <c r="G1881">
        <v>-347.32459999999998</v>
      </c>
      <c r="H1881">
        <v>0.89871979999999996</v>
      </c>
      <c r="I1881">
        <v>285.875</v>
      </c>
      <c r="J1881">
        <v>-346.82380000000001</v>
      </c>
      <c r="K1881">
        <v>1.1095839999999999</v>
      </c>
      <c r="L1881">
        <v>285.70510000000002</v>
      </c>
      <c r="M1881">
        <v>-0.99983560000000005</v>
      </c>
      <c r="N1881">
        <v>0</v>
      </c>
      <c r="O1881">
        <v>1.278028E-2</v>
      </c>
      <c r="P1881">
        <v>-0.9895967</v>
      </c>
      <c r="Q1881">
        <v>-3.7579439999999999E-2</v>
      </c>
      <c r="R1881">
        <v>0.1388751</v>
      </c>
      <c r="S1881">
        <v>-2.9286189999999999</v>
      </c>
      <c r="T1881">
        <v>-0.66925100000000004</v>
      </c>
      <c r="U1881">
        <v>0.55520630000000004</v>
      </c>
      <c r="V1881">
        <v>0.1262202</v>
      </c>
      <c r="W1881">
        <v>-2.4803889999999999E-2</v>
      </c>
      <c r="X1881">
        <v>0.99169209999999997</v>
      </c>
      <c r="Y1881">
        <v>0.16978279999999901</v>
      </c>
      <c r="Z1881">
        <v>1.6131550000000001E-2</v>
      </c>
      <c r="AA1881">
        <v>0.98534949999999999</v>
      </c>
      <c r="AB1881">
        <v>43</v>
      </c>
      <c r="AC1881">
        <v>-0.50079999999996905</v>
      </c>
      <c r="AD1881">
        <v>-0.210864199999999</v>
      </c>
      <c r="AE1881">
        <v>0.16989999999998401</v>
      </c>
      <c r="AF1881">
        <v>0.141058572661663</v>
      </c>
      <c r="AG1881">
        <v>-0.210864199999999</v>
      </c>
      <c r="AH1881">
        <v>0.43393937963161899</v>
      </c>
      <c r="AI1881">
        <v>114.802943554213</v>
      </c>
      <c r="AJ1881">
        <v>71.992461876814005</v>
      </c>
      <c r="AK1881">
        <v>0.50265755436286896</v>
      </c>
      <c r="AL1881">
        <v>91.421303981701598</v>
      </c>
      <c r="AM1881">
        <v>82.746530106738106</v>
      </c>
      <c r="AN1881">
        <v>0.99999999652479099</v>
      </c>
    </row>
    <row r="1882" spans="1:40" x14ac:dyDescent="0.25">
      <c r="A1882" t="str">
        <f>"20190312161304009"</f>
        <v>20190312161304009</v>
      </c>
      <c r="B1882" t="str">
        <f>"1552378383997663"</f>
        <v>1552378383997663</v>
      </c>
      <c r="C1882" t="s">
        <v>40</v>
      </c>
      <c r="D1882">
        <v>5.4467660000000002</v>
      </c>
      <c r="E1882">
        <v>0.47845320000000002</v>
      </c>
      <c r="F1882" t="s">
        <v>43</v>
      </c>
      <c r="G1882">
        <v>-347.7133</v>
      </c>
      <c r="H1882">
        <v>0.90636099999999997</v>
      </c>
      <c r="I1882">
        <v>285.87270000000001</v>
      </c>
      <c r="J1882">
        <v>-347.06330000000003</v>
      </c>
      <c r="K1882">
        <v>1.1096010000000001</v>
      </c>
      <c r="L1882">
        <v>285.7081</v>
      </c>
      <c r="M1882">
        <v>-0.99983390000000005</v>
      </c>
      <c r="N1882">
        <v>0</v>
      </c>
      <c r="O1882">
        <v>1.273519E-2</v>
      </c>
      <c r="P1882">
        <v>-0.98956849999999996</v>
      </c>
      <c r="Q1882">
        <v>-3.7918840000000002E-2</v>
      </c>
      <c r="R1882">
        <v>0.138984</v>
      </c>
      <c r="S1882">
        <v>-2.928833</v>
      </c>
      <c r="T1882">
        <v>-0.66923480000000002</v>
      </c>
      <c r="U1882">
        <v>0.55065920000000002</v>
      </c>
      <c r="V1882">
        <v>0.12637429999999999</v>
      </c>
      <c r="W1882">
        <v>-2.4963099999999998E-2</v>
      </c>
      <c r="X1882">
        <v>0.99166849999999995</v>
      </c>
      <c r="Y1882">
        <v>0.16837009999999999</v>
      </c>
      <c r="Z1882">
        <v>1.5984310000000002E-2</v>
      </c>
      <c r="AA1882">
        <v>0.98559419999999998</v>
      </c>
      <c r="AB1882">
        <v>43</v>
      </c>
      <c r="AC1882">
        <v>-0.64999999999997704</v>
      </c>
      <c r="AD1882">
        <v>-0.20324</v>
      </c>
      <c r="AE1882">
        <v>0.16460000000000699</v>
      </c>
      <c r="AF1882">
        <v>0.14315561037118801</v>
      </c>
      <c r="AG1882">
        <v>-0.20324</v>
      </c>
      <c r="AH1882">
        <v>0.59717779216630495</v>
      </c>
      <c r="AI1882">
        <v>108.31235463507799</v>
      </c>
      <c r="AJ1882">
        <v>76.519423149494799</v>
      </c>
      <c r="AK1882">
        <v>0.64685496197939896</v>
      </c>
      <c r="AL1882">
        <v>91.430428838986501</v>
      </c>
      <c r="AM1882">
        <v>82.737597976764405</v>
      </c>
      <c r="AN1882">
        <v>1.0000000169771699</v>
      </c>
    </row>
    <row r="1883" spans="1:40" x14ac:dyDescent="0.25">
      <c r="A1883" t="str">
        <f>"20190312161304021"</f>
        <v>20190312161304021</v>
      </c>
      <c r="B1883" t="str">
        <f>"1552378384017183"</f>
        <v>1552378384017183</v>
      </c>
      <c r="C1883" t="s">
        <v>40</v>
      </c>
      <c r="D1883">
        <v>5.4000089999999998</v>
      </c>
      <c r="E1883">
        <v>0.43893169999999998</v>
      </c>
      <c r="F1883" t="s">
        <v>43</v>
      </c>
      <c r="G1883">
        <v>-348.11320000000001</v>
      </c>
      <c r="H1883">
        <v>0.94265460000000001</v>
      </c>
      <c r="I1883">
        <v>285.79020000000003</v>
      </c>
      <c r="J1883">
        <v>-347.30540000000002</v>
      </c>
      <c r="K1883">
        <v>1.1096159999999999</v>
      </c>
      <c r="L1883">
        <v>285.71109999999999</v>
      </c>
      <c r="M1883">
        <v>-0.99983230000000001</v>
      </c>
      <c r="N1883">
        <v>0</v>
      </c>
      <c r="O1883">
        <v>1.2690949999999999E-2</v>
      </c>
      <c r="P1883">
        <v>-0.9895815</v>
      </c>
      <c r="Q1883">
        <v>-3.8125399999999997E-2</v>
      </c>
      <c r="R1883">
        <v>0.13883579999999901</v>
      </c>
      <c r="S1883">
        <v>-2.9808650000000001</v>
      </c>
      <c r="T1883">
        <v>-0.4741244</v>
      </c>
      <c r="U1883">
        <v>0.23202510000000001</v>
      </c>
      <c r="V1883">
        <v>0.12626969999999901</v>
      </c>
      <c r="W1883">
        <v>-2.5003290000000001E-2</v>
      </c>
      <c r="X1883">
        <v>0.99168080000000003</v>
      </c>
      <c r="Y1883">
        <v>6.4298739999999993E-2</v>
      </c>
      <c r="Z1883">
        <v>3.0712000000000001E-3</v>
      </c>
      <c r="AA1883">
        <v>0.99792599999999998</v>
      </c>
      <c r="AB1883">
        <v>43</v>
      </c>
      <c r="AC1883">
        <v>-0.80779999999998597</v>
      </c>
      <c r="AD1883">
        <v>-0.16696139999999901</v>
      </c>
      <c r="AE1883">
        <v>7.9100000000039403E-2</v>
      </c>
      <c r="AF1883">
        <v>6.6046326928868998E-2</v>
      </c>
      <c r="AG1883">
        <v>-0.16696139999999901</v>
      </c>
      <c r="AH1883">
        <v>0.77590742848142202</v>
      </c>
      <c r="AI1883">
        <v>102.101387651154</v>
      </c>
      <c r="AJ1883">
        <v>85.134631313239694</v>
      </c>
      <c r="AK1883">
        <v>0.79641105213539598</v>
      </c>
      <c r="AL1883">
        <v>91.432732291930094</v>
      </c>
      <c r="AM1883">
        <v>82.743634011580795</v>
      </c>
      <c r="AN1883">
        <v>1.0000000053687701</v>
      </c>
    </row>
    <row r="1884" spans="1:40" x14ac:dyDescent="0.25">
      <c r="A1884" t="str">
        <f>"20190312161304036"</f>
        <v>20190312161304036</v>
      </c>
      <c r="B1884" t="str">
        <f>"1552378384027919"</f>
        <v>1552378384027919</v>
      </c>
      <c r="C1884" t="s">
        <v>40</v>
      </c>
      <c r="D1884">
        <v>5.3182070000000001</v>
      </c>
      <c r="E1884">
        <v>0.43563740000000001</v>
      </c>
      <c r="F1884" t="s">
        <v>69</v>
      </c>
      <c r="G1884">
        <v>-368.84679999999997</v>
      </c>
      <c r="H1884" s="1">
        <v>3.1710389999999998E-6</v>
      </c>
      <c r="I1884">
        <v>285.22899999999998</v>
      </c>
      <c r="J1884">
        <v>-347.58839999999998</v>
      </c>
      <c r="K1884">
        <v>1.1096299999999999</v>
      </c>
      <c r="L1884">
        <v>285.71469999999999</v>
      </c>
      <c r="M1884">
        <v>-0.99983049999999996</v>
      </c>
      <c r="N1884">
        <v>0</v>
      </c>
      <c r="O1884">
        <v>1.2639249999999999E-2</v>
      </c>
      <c r="P1884">
        <v>-0.98958179999999996</v>
      </c>
      <c r="Q1884">
        <v>-3.8322149999999999E-2</v>
      </c>
      <c r="R1884">
        <v>0.13877719999999999</v>
      </c>
      <c r="S1884">
        <v>-3.0350950000000001</v>
      </c>
      <c r="T1884">
        <v>-0.15634000000000001</v>
      </c>
      <c r="U1884">
        <v>-6.7932129999999993E-2</v>
      </c>
      <c r="V1884">
        <v>0.12626229999999999</v>
      </c>
      <c r="W1884">
        <v>-2.5016409999999999E-2</v>
      </c>
      <c r="X1884">
        <v>0.99168140000000005</v>
      </c>
      <c r="Y1884">
        <v>-3.4948970000000003E-2</v>
      </c>
      <c r="Z1884">
        <v>-1.550028E-3</v>
      </c>
      <c r="AA1884">
        <v>0.9993879</v>
      </c>
      <c r="AB1884">
        <v>43</v>
      </c>
      <c r="AC1884">
        <v>-21.258399999999899</v>
      </c>
      <c r="AD1884">
        <v>-1.1096268289609901</v>
      </c>
      <c r="AE1884">
        <v>-0.485699999999951</v>
      </c>
      <c r="AF1884">
        <v>-0.752326835843243</v>
      </c>
      <c r="AG1884">
        <v>-1.1096268289609901</v>
      </c>
      <c r="AH1884">
        <v>21.192851584241598</v>
      </c>
      <c r="AI1884">
        <v>92.995303398016205</v>
      </c>
      <c r="AJ1884">
        <v>92.033093998365601</v>
      </c>
      <c r="AK1884">
        <v>21.235211928284901</v>
      </c>
      <c r="AL1884">
        <v>91.433484263863505</v>
      </c>
      <c r="AM1884">
        <v>82.744059079811606</v>
      </c>
      <c r="AN1884">
        <v>0.99999999413826901</v>
      </c>
    </row>
    <row r="1885" spans="1:40" x14ac:dyDescent="0.25">
      <c r="A1885" t="str">
        <f>"20190312161304052"</f>
        <v>20190312161304052</v>
      </c>
      <c r="B1885" t="str">
        <f>"1552378384047439"</f>
        <v>1552378384047439</v>
      </c>
      <c r="C1885" t="s">
        <v>40</v>
      </c>
      <c r="D1885">
        <v>5.4897530000000003</v>
      </c>
      <c r="E1885">
        <v>0.43317820000000001</v>
      </c>
      <c r="F1885" t="s">
        <v>69</v>
      </c>
      <c r="G1885">
        <v>-373.14060000000001</v>
      </c>
      <c r="H1885" s="1">
        <v>1.3447000000000001E-7</v>
      </c>
      <c r="I1885">
        <v>284.9332</v>
      </c>
      <c r="J1885">
        <v>-347.88260000000002</v>
      </c>
      <c r="K1885">
        <v>1.1096410000000001</v>
      </c>
      <c r="L1885">
        <v>285.7183</v>
      </c>
      <c r="M1885">
        <v>-0.99982879999999996</v>
      </c>
      <c r="N1885">
        <v>0</v>
      </c>
      <c r="O1885">
        <v>1.2585610000000001E-2</v>
      </c>
      <c r="P1885">
        <v>-0.98956980000000005</v>
      </c>
      <c r="Q1885">
        <v>-3.8735350000000002E-2</v>
      </c>
      <c r="R1885">
        <v>0.1387496</v>
      </c>
      <c r="S1885">
        <v>-3.03952</v>
      </c>
      <c r="T1885">
        <v>-0.13199449999999999</v>
      </c>
      <c r="U1885">
        <v>-9.2956540000000004E-2</v>
      </c>
      <c r="V1885">
        <v>0.12628819999999999</v>
      </c>
      <c r="W1885">
        <v>-2.5252199999999999E-2</v>
      </c>
      <c r="X1885">
        <v>0.99167209999999995</v>
      </c>
      <c r="Y1885">
        <v>-4.3094380000000002E-2</v>
      </c>
      <c r="Z1885">
        <v>-1.4812759999999999E-3</v>
      </c>
      <c r="AA1885">
        <v>0.99906989999999996</v>
      </c>
      <c r="AB1885">
        <v>43</v>
      </c>
      <c r="AC1885">
        <v>-25.2579999999999</v>
      </c>
      <c r="AD1885">
        <v>-1.1096408655300001</v>
      </c>
      <c r="AE1885">
        <v>-0.78509999999999902</v>
      </c>
      <c r="AF1885">
        <v>-1.1008317880898699</v>
      </c>
      <c r="AG1885">
        <v>-1.1096408655300001</v>
      </c>
      <c r="AH1885">
        <v>25.197531901688802</v>
      </c>
      <c r="AI1885">
        <v>92.519144229679895</v>
      </c>
      <c r="AJ1885">
        <v>92.501551877401795</v>
      </c>
      <c r="AK1885">
        <v>25.245964972897099</v>
      </c>
      <c r="AL1885">
        <v>91.446998342253906</v>
      </c>
      <c r="AM1885">
        <v>82.742519211771295</v>
      </c>
      <c r="AN1885">
        <v>0.99999996849124395</v>
      </c>
    </row>
    <row r="1886" spans="1:40" x14ac:dyDescent="0.25">
      <c r="A1886" t="str">
        <f>"20190312161304074"</f>
        <v>20190312161304074</v>
      </c>
      <c r="B1886" t="str">
        <f>"1552378384067936"</f>
        <v>1552378384067936</v>
      </c>
      <c r="C1886" t="s">
        <v>40</v>
      </c>
      <c r="D1886">
        <v>5.3874449999999996</v>
      </c>
      <c r="E1886">
        <v>0.43265720000000002</v>
      </c>
      <c r="F1886" t="s">
        <v>69</v>
      </c>
      <c r="G1886">
        <v>-382.15550000000002</v>
      </c>
      <c r="H1886" s="1">
        <v>-3.8972280000000002E-7</v>
      </c>
      <c r="I1886">
        <v>284.46800000000002</v>
      </c>
      <c r="J1886">
        <v>-348.31709999999998</v>
      </c>
      <c r="K1886">
        <v>1.1096569999999999</v>
      </c>
      <c r="L1886">
        <v>285.72379999999998</v>
      </c>
      <c r="M1886">
        <v>-0.99982649999999995</v>
      </c>
      <c r="N1886">
        <v>0</v>
      </c>
      <c r="O1886">
        <v>1.250487E-2</v>
      </c>
      <c r="P1886">
        <v>-0.98955649999999995</v>
      </c>
      <c r="Q1886">
        <v>-3.8887379999999999E-2</v>
      </c>
      <c r="R1886">
        <v>0.13880139999999999</v>
      </c>
      <c r="S1886">
        <v>-3.0433349999999999</v>
      </c>
      <c r="T1886">
        <v>-9.8532800000000004E-2</v>
      </c>
      <c r="U1886">
        <v>-0.11102289999999999</v>
      </c>
      <c r="V1886">
        <v>0.12642020000000001</v>
      </c>
      <c r="W1886">
        <v>-2.517086E-2</v>
      </c>
      <c r="X1886">
        <v>0.99165740000000002</v>
      </c>
      <c r="Y1886">
        <v>-4.891918E-2</v>
      </c>
      <c r="Z1886">
        <v>-1.196126E-3</v>
      </c>
      <c r="AA1886">
        <v>0.99880199999999997</v>
      </c>
      <c r="AB1886">
        <v>43</v>
      </c>
      <c r="AC1886">
        <v>-33.8384</v>
      </c>
      <c r="AD1886">
        <v>-1.1096573897227999</v>
      </c>
      <c r="AE1886">
        <v>-1.2557999999999601</v>
      </c>
      <c r="AF1886">
        <v>-1.67708590720433</v>
      </c>
      <c r="AG1886">
        <v>-1.1096573897227999</v>
      </c>
      <c r="AH1886">
        <v>33.783768488990802</v>
      </c>
      <c r="AI1886">
        <v>91.878941539224002</v>
      </c>
      <c r="AJ1886">
        <v>92.841930711719797</v>
      </c>
      <c r="AK1886">
        <v>33.843566153413001</v>
      </c>
      <c r="AL1886">
        <v>91.442336348592605</v>
      </c>
      <c r="AM1886">
        <v>82.734907949152003</v>
      </c>
      <c r="AN1886">
        <v>1.0000000190679601</v>
      </c>
    </row>
    <row r="1887" spans="1:40" x14ac:dyDescent="0.25">
      <c r="A1887" t="str">
        <f>"20190312161304098"</f>
        <v>20190312161304098</v>
      </c>
      <c r="B1887" t="str">
        <f>"1552378384087455"</f>
        <v>1552378384087455</v>
      </c>
      <c r="C1887" t="s">
        <v>40</v>
      </c>
      <c r="D1887">
        <v>5.4552139999999998</v>
      </c>
      <c r="E1887">
        <v>0.4326236</v>
      </c>
      <c r="F1887" t="s">
        <v>69</v>
      </c>
      <c r="G1887">
        <v>-386.06810000000002</v>
      </c>
      <c r="H1887" s="1">
        <v>1.692336E-6</v>
      </c>
      <c r="I1887">
        <v>284.30040000000002</v>
      </c>
      <c r="J1887">
        <v>-348.76929999999999</v>
      </c>
      <c r="K1887">
        <v>1.1096600000000001</v>
      </c>
      <c r="L1887">
        <v>285.72930000000002</v>
      </c>
      <c r="M1887">
        <v>-0.99982470000000001</v>
      </c>
      <c r="N1887">
        <v>0</v>
      </c>
      <c r="O1887">
        <v>1.2419060000000001E-2</v>
      </c>
      <c r="P1887">
        <v>-0.9895427</v>
      </c>
      <c r="Q1887">
        <v>-3.913295E-2</v>
      </c>
      <c r="R1887">
        <v>0.13883210000000001</v>
      </c>
      <c r="S1887">
        <v>-3.0442499999999999</v>
      </c>
      <c r="T1887">
        <v>-8.9483019999999996E-2</v>
      </c>
      <c r="U1887">
        <v>-0.11477660000000001</v>
      </c>
      <c r="V1887">
        <v>0.12653610000000001</v>
      </c>
      <c r="W1887">
        <v>-2.5203980000000001E-2</v>
      </c>
      <c r="X1887">
        <v>0.99164180000000002</v>
      </c>
      <c r="Y1887">
        <v>-5.0057589999999999E-2</v>
      </c>
      <c r="Z1887">
        <v>-1.1001679999999999E-3</v>
      </c>
      <c r="AA1887">
        <v>0.99874569999999996</v>
      </c>
      <c r="AB1887">
        <v>43</v>
      </c>
      <c r="AC1887">
        <v>-37.2988</v>
      </c>
      <c r="AD1887">
        <v>-1.1096583076639901</v>
      </c>
      <c r="AE1887">
        <v>-1.4288999999999901</v>
      </c>
      <c r="AF1887">
        <v>-1.89038058685619</v>
      </c>
      <c r="AG1887">
        <v>-1.1096583076639901</v>
      </c>
      <c r="AH1887">
        <v>37.245258432284501</v>
      </c>
      <c r="AI1887">
        <v>91.704331708254401</v>
      </c>
      <c r="AJ1887">
        <v>92.905550187146304</v>
      </c>
      <c r="AK1887">
        <v>37.3097059223279</v>
      </c>
      <c r="AL1887">
        <v>91.444234553351393</v>
      </c>
      <c r="AM1887">
        <v>82.728205520183806</v>
      </c>
      <c r="AN1887">
        <v>1.00000004235914</v>
      </c>
    </row>
    <row r="1888" spans="1:40" x14ac:dyDescent="0.25">
      <c r="A1888" t="str">
        <f>"20190312161304118"</f>
        <v>20190312161304118</v>
      </c>
      <c r="B1888" t="str">
        <f>"1552378384107951"</f>
        <v>1552378384107951</v>
      </c>
      <c r="C1888" t="s">
        <v>40</v>
      </c>
      <c r="D1888">
        <v>5.3903549999999996</v>
      </c>
      <c r="E1888">
        <v>0.43261620000000001</v>
      </c>
      <c r="F1888" t="s">
        <v>69</v>
      </c>
      <c r="G1888">
        <v>-388.1653</v>
      </c>
      <c r="H1888" s="1">
        <v>2.8083849999999999E-6</v>
      </c>
      <c r="I1888">
        <v>284.24639999999999</v>
      </c>
      <c r="J1888">
        <v>-349.16609999999997</v>
      </c>
      <c r="K1888">
        <v>1.1096710000000001</v>
      </c>
      <c r="L1888">
        <v>285.73419999999999</v>
      </c>
      <c r="M1888">
        <v>-0.99982320000000002</v>
      </c>
      <c r="N1888">
        <v>0</v>
      </c>
      <c r="O1888">
        <v>1.2343379999999999E-2</v>
      </c>
      <c r="P1888">
        <v>-0.98954759999999997</v>
      </c>
      <c r="Q1888">
        <v>-3.9270480000000003E-2</v>
      </c>
      <c r="R1888">
        <v>0.13875589999999999</v>
      </c>
      <c r="S1888">
        <v>-3.0444339999999999</v>
      </c>
      <c r="T1888">
        <v>-8.5751770000000005E-2</v>
      </c>
      <c r="U1888">
        <v>-0.1145935</v>
      </c>
      <c r="V1888">
        <v>0.1265346</v>
      </c>
      <c r="W1888">
        <v>-2.517809E-2</v>
      </c>
      <c r="X1888">
        <v>0.99164260000000004</v>
      </c>
      <c r="Y1888">
        <v>-4.9922050000000003E-2</v>
      </c>
      <c r="Z1888">
        <v>-1.050212E-3</v>
      </c>
      <c r="AA1888">
        <v>0.99875259999999999</v>
      </c>
      <c r="AB1888">
        <v>43</v>
      </c>
      <c r="AC1888">
        <v>-38.999200000000002</v>
      </c>
      <c r="AD1888">
        <v>-1.10966819161499</v>
      </c>
      <c r="AE1888">
        <v>-1.48779999999999</v>
      </c>
      <c r="AF1888">
        <v>-1.96752640446923</v>
      </c>
      <c r="AG1888">
        <v>-1.10966819161499</v>
      </c>
      <c r="AH1888">
        <v>38.946376539292302</v>
      </c>
      <c r="AI1888">
        <v>91.629964115419895</v>
      </c>
      <c r="AJ1888">
        <v>92.892058603762493</v>
      </c>
      <c r="AK1888">
        <v>39.0118285804203</v>
      </c>
      <c r="AL1888">
        <v>91.442750765043797</v>
      </c>
      <c r="AM1888">
        <v>82.728296603303306</v>
      </c>
      <c r="AN1888">
        <v>0.99999999367398396</v>
      </c>
    </row>
    <row r="1889" spans="1:40" x14ac:dyDescent="0.25">
      <c r="A1889" t="str">
        <f>"20190312161304132"</f>
        <v>20190312161304132</v>
      </c>
      <c r="B1889" t="str">
        <f>"1552378384127471"</f>
        <v>1552378384127471</v>
      </c>
      <c r="C1889" t="s">
        <v>40</v>
      </c>
      <c r="D1889">
        <v>5.4502009999999999</v>
      </c>
      <c r="E1889">
        <v>0.43269289999999999</v>
      </c>
      <c r="F1889" t="s">
        <v>69</v>
      </c>
      <c r="G1889">
        <v>-391.51240000000001</v>
      </c>
      <c r="H1889" s="1">
        <v>-7.3195840000000002E-7</v>
      </c>
      <c r="I1889">
        <v>284.13819999999998</v>
      </c>
      <c r="J1889">
        <v>-349.40609999999998</v>
      </c>
      <c r="K1889">
        <v>1.109675</v>
      </c>
      <c r="L1889">
        <v>285.7371</v>
      </c>
      <c r="M1889">
        <v>-0.9998224</v>
      </c>
      <c r="N1889">
        <v>0</v>
      </c>
      <c r="O1889">
        <v>1.229748E-2</v>
      </c>
      <c r="P1889">
        <v>-0.98956060000000001</v>
      </c>
      <c r="Q1889">
        <v>-3.9248270000000002E-2</v>
      </c>
      <c r="R1889">
        <v>0.13866989999999901</v>
      </c>
      <c r="S1889">
        <v>-3.0446170000000001</v>
      </c>
      <c r="T1889">
        <v>-7.9783320000000005E-2</v>
      </c>
      <c r="U1889">
        <v>-0.1147461</v>
      </c>
      <c r="V1889">
        <v>0.126494</v>
      </c>
      <c r="W1889">
        <v>-2.506537E-2</v>
      </c>
      <c r="X1889">
        <v>0.99165060000000005</v>
      </c>
      <c r="Y1889">
        <v>-4.9927279999999997E-2</v>
      </c>
      <c r="Z1889">
        <v>-9.7594839999999995E-4</v>
      </c>
      <c r="AA1889">
        <v>0.99875239999999998</v>
      </c>
      <c r="AB1889">
        <v>43</v>
      </c>
      <c r="AC1889">
        <v>-42.106299999999997</v>
      </c>
      <c r="AD1889">
        <v>-1.1096757319584001</v>
      </c>
      <c r="AE1889">
        <v>-1.59890000000001</v>
      </c>
      <c r="AF1889">
        <v>-2.1151663071653601</v>
      </c>
      <c r="AG1889">
        <v>-1.1096757319584001</v>
      </c>
      <c r="AH1889">
        <v>42.054284580816798</v>
      </c>
      <c r="AI1889">
        <v>91.509591142462099</v>
      </c>
      <c r="AJ1889">
        <v>92.879327682849095</v>
      </c>
      <c r="AK1889">
        <v>42.1220626316113</v>
      </c>
      <c r="AL1889">
        <v>91.436290396144102</v>
      </c>
      <c r="AM1889">
        <v>82.730662863554699</v>
      </c>
      <c r="AN1889">
        <v>0.99999995864479696</v>
      </c>
    </row>
    <row r="1890" spans="1:40" x14ac:dyDescent="0.25">
      <c r="A1890" t="str">
        <f>"20190312161304145"</f>
        <v>20190312161304145</v>
      </c>
      <c r="B1890" t="str">
        <f>"1552378384137231"</f>
        <v>1552378384137231</v>
      </c>
      <c r="C1890" t="s">
        <v>40</v>
      </c>
      <c r="D1890">
        <v>5.4601480000000002</v>
      </c>
      <c r="E1890">
        <v>0.43278030000000001</v>
      </c>
      <c r="F1890" t="s">
        <v>69</v>
      </c>
      <c r="G1890">
        <v>-394.2817</v>
      </c>
      <c r="H1890" s="1">
        <v>7.4174200000000003E-7</v>
      </c>
      <c r="I1890">
        <v>284.05259999999998</v>
      </c>
      <c r="J1890">
        <v>-349.68400000000003</v>
      </c>
      <c r="K1890">
        <v>1.10968</v>
      </c>
      <c r="L1890">
        <v>285.7405</v>
      </c>
      <c r="M1890">
        <v>-0.99982179999999998</v>
      </c>
      <c r="N1890">
        <v>0</v>
      </c>
      <c r="O1890">
        <v>1.2244619999999999E-2</v>
      </c>
      <c r="P1890">
        <v>-0.98958009999999996</v>
      </c>
      <c r="Q1890">
        <v>-3.9340159999999999E-2</v>
      </c>
      <c r="R1890">
        <v>0.13850560000000001</v>
      </c>
      <c r="S1890">
        <v>-3.0446780000000002</v>
      </c>
      <c r="T1890">
        <v>-7.5288060000000004E-2</v>
      </c>
      <c r="U1890">
        <v>-0.1142883</v>
      </c>
      <c r="V1890">
        <v>0.12638179999999999</v>
      </c>
      <c r="W1890">
        <v>-2.506216E-2</v>
      </c>
      <c r="X1890">
        <v>0.99166500000000002</v>
      </c>
      <c r="Y1890">
        <v>-4.9726199999999901E-2</v>
      </c>
      <c r="Z1890">
        <v>-9.1717079999999998E-4</v>
      </c>
      <c r="AA1890">
        <v>0.9987625</v>
      </c>
      <c r="AB1890">
        <v>43</v>
      </c>
      <c r="AC1890">
        <v>-44.597699999999897</v>
      </c>
      <c r="AD1890">
        <v>-1.109679258258</v>
      </c>
      <c r="AE1890">
        <v>-1.6879000000000099</v>
      </c>
      <c r="AF1890">
        <v>-2.2325314865803598</v>
      </c>
      <c r="AG1890">
        <v>-1.109679258258</v>
      </c>
      <c r="AH1890">
        <v>44.546146418091297</v>
      </c>
      <c r="AI1890">
        <v>91.425199438227096</v>
      </c>
      <c r="AJ1890">
        <v>92.869107813887098</v>
      </c>
      <c r="AK1890">
        <v>44.615857557563601</v>
      </c>
      <c r="AL1890">
        <v>91.436106400092797</v>
      </c>
      <c r="AM1890">
        <v>82.737146213473693</v>
      </c>
      <c r="AN1890">
        <v>0.99999997173005195</v>
      </c>
    </row>
    <row r="1891" spans="1:40" x14ac:dyDescent="0.25">
      <c r="A1891" t="str">
        <f>"20190312161304157"</f>
        <v>20190312161304157</v>
      </c>
      <c r="B1891" t="str">
        <f>"1552378384147967"</f>
        <v>1552378384147967</v>
      </c>
      <c r="C1891" t="s">
        <v>40</v>
      </c>
      <c r="D1891">
        <v>5.4266680000000003</v>
      </c>
      <c r="E1891">
        <v>0.43295309999999998</v>
      </c>
      <c r="F1891" t="s">
        <v>69</v>
      </c>
      <c r="G1891">
        <v>-395.4273</v>
      </c>
      <c r="H1891" s="1">
        <v>1.351349E-6</v>
      </c>
      <c r="I1891">
        <v>284.02749999999997</v>
      </c>
      <c r="J1891">
        <v>-349.91849999999999</v>
      </c>
      <c r="K1891">
        <v>1.1096839999999999</v>
      </c>
      <c r="L1891">
        <v>285.74329999999998</v>
      </c>
      <c r="M1891">
        <v>-0.99982130000000002</v>
      </c>
      <c r="N1891">
        <v>0</v>
      </c>
      <c r="O1891">
        <v>1.220021E-2</v>
      </c>
      <c r="P1891">
        <v>-0.98959200000000003</v>
      </c>
      <c r="Q1891">
        <v>-3.9477709999999999E-2</v>
      </c>
      <c r="R1891">
        <v>0.13838220000000001</v>
      </c>
      <c r="S1891">
        <v>-3.0446170000000001</v>
      </c>
      <c r="T1891">
        <v>-7.3858859999999998E-2</v>
      </c>
      <c r="U1891">
        <v>-0.1140137</v>
      </c>
      <c r="V1891">
        <v>0.12630239999999901</v>
      </c>
      <c r="W1891">
        <v>-2.512698E-2</v>
      </c>
      <c r="X1891">
        <v>0.99167349999999999</v>
      </c>
      <c r="Y1891">
        <v>-4.9593400000000003E-2</v>
      </c>
      <c r="Z1891">
        <v>-8.9709800000000004E-4</v>
      </c>
      <c r="AA1891">
        <v>0.99876909999999997</v>
      </c>
      <c r="AB1891">
        <v>43</v>
      </c>
      <c r="AC1891">
        <v>-45.508800000000001</v>
      </c>
      <c r="AD1891">
        <v>-1.1096826486509901</v>
      </c>
      <c r="AE1891">
        <v>-1.7158</v>
      </c>
      <c r="AF1891">
        <v>-2.2695995558051201</v>
      </c>
      <c r="AG1891">
        <v>-1.1096826486509901</v>
      </c>
      <c r="AH1891">
        <v>45.457487451397398</v>
      </c>
      <c r="AI1891">
        <v>91.396655633842698</v>
      </c>
      <c r="AJ1891">
        <v>92.858287841962095</v>
      </c>
      <c r="AK1891">
        <v>45.527636037009202</v>
      </c>
      <c r="AL1891">
        <v>91.439821447642501</v>
      </c>
      <c r="AM1891">
        <v>82.741722011508102</v>
      </c>
      <c r="AN1891">
        <v>0.99999999598596501</v>
      </c>
    </row>
    <row r="1892" spans="1:40" x14ac:dyDescent="0.25">
      <c r="A1892" t="str">
        <f>"20190312161304171"</f>
        <v>20190312161304171</v>
      </c>
      <c r="B1892" t="str">
        <f>"1552378384167488"</f>
        <v>1552378384167488</v>
      </c>
      <c r="C1892" t="s">
        <v>40</v>
      </c>
      <c r="D1892">
        <v>5.4436359999999997</v>
      </c>
      <c r="E1892">
        <v>0.43289430000000001</v>
      </c>
      <c r="F1892" t="s">
        <v>69</v>
      </c>
      <c r="G1892">
        <v>-396.423</v>
      </c>
      <c r="H1892" s="1">
        <v>1.881197E-6</v>
      </c>
      <c r="I1892">
        <v>284.0204</v>
      </c>
      <c r="J1892">
        <v>-350.16489999999999</v>
      </c>
      <c r="K1892">
        <v>1.1096870000000001</v>
      </c>
      <c r="L1892">
        <v>285.74630000000002</v>
      </c>
      <c r="M1892">
        <v>-0.99982070000000001</v>
      </c>
      <c r="N1892">
        <v>0</v>
      </c>
      <c r="O1892">
        <v>1.215377E-2</v>
      </c>
      <c r="P1892">
        <v>-0.9896163</v>
      </c>
      <c r="Q1892">
        <v>-3.953897E-2</v>
      </c>
      <c r="R1892">
        <v>0.1381896</v>
      </c>
      <c r="S1892">
        <v>-3.044403</v>
      </c>
      <c r="T1892">
        <v>-7.264495E-2</v>
      </c>
      <c r="U1892">
        <v>-0.112793</v>
      </c>
      <c r="V1892">
        <v>0.12615560000000001</v>
      </c>
      <c r="W1892">
        <v>-2.511561E-2</v>
      </c>
      <c r="X1892">
        <v>0.99169249999999998</v>
      </c>
      <c r="Y1892">
        <v>-4.915046E-2</v>
      </c>
      <c r="Z1892">
        <v>-8.7603669999999998E-4</v>
      </c>
      <c r="AA1892">
        <v>0.99879099999999998</v>
      </c>
      <c r="AB1892">
        <v>43</v>
      </c>
      <c r="AC1892">
        <v>-46.258099999999999</v>
      </c>
      <c r="AD1892">
        <v>-1.1096851188029999</v>
      </c>
      <c r="AE1892">
        <v>-1.72590000000002</v>
      </c>
      <c r="AF1892">
        <v>-2.2867279701587102</v>
      </c>
      <c r="AG1892">
        <v>-1.1096851188029999</v>
      </c>
      <c r="AH1892">
        <v>46.2071503212781</v>
      </c>
      <c r="AI1892">
        <v>91.374038088396702</v>
      </c>
      <c r="AJ1892">
        <v>92.833177469607904</v>
      </c>
      <c r="AK1892">
        <v>46.277005809425397</v>
      </c>
      <c r="AL1892">
        <v>91.439169751643703</v>
      </c>
      <c r="AM1892">
        <v>82.750205846727397</v>
      </c>
      <c r="AN1892">
        <v>1.0000000219166401</v>
      </c>
    </row>
    <row r="1893" spans="1:40" x14ac:dyDescent="0.25">
      <c r="A1893" t="str">
        <f>"20190312161304186"</f>
        <v>20190312161304186</v>
      </c>
      <c r="B1893" t="str">
        <f>"1552378384177247"</f>
        <v>1552378384177247</v>
      </c>
      <c r="C1893" t="s">
        <v>40</v>
      </c>
      <c r="D1893">
        <v>5.4805449999999896</v>
      </c>
      <c r="E1893">
        <v>0.43291390000000002</v>
      </c>
      <c r="F1893" t="s">
        <v>69</v>
      </c>
      <c r="G1893">
        <v>-399.3972</v>
      </c>
      <c r="H1893" s="1">
        <v>3.4639169999999998E-6</v>
      </c>
      <c r="I1893">
        <v>283.90769999999998</v>
      </c>
      <c r="J1893">
        <v>-350.45769999999999</v>
      </c>
      <c r="K1893">
        <v>1.109685</v>
      </c>
      <c r="L1893">
        <v>285.74979999999999</v>
      </c>
      <c r="M1893">
        <v>-0.9998203</v>
      </c>
      <c r="N1893">
        <v>0</v>
      </c>
      <c r="O1893">
        <v>1.209823E-2</v>
      </c>
      <c r="P1893">
        <v>-0.98964750000000001</v>
      </c>
      <c r="Q1893">
        <v>-3.9707930000000002E-2</v>
      </c>
      <c r="R1893">
        <v>0.13791809999999999</v>
      </c>
      <c r="S1893">
        <v>-3.0446170000000001</v>
      </c>
      <c r="T1893">
        <v>-6.8624850000000001E-2</v>
      </c>
      <c r="U1893">
        <v>-0.1137085</v>
      </c>
      <c r="V1893">
        <v>0.12593869999999999</v>
      </c>
      <c r="W1893">
        <v>-2.5206800000000001E-2</v>
      </c>
      <c r="X1893">
        <v>0.99171779999999998</v>
      </c>
      <c r="Y1893">
        <v>-4.9394140000000003E-2</v>
      </c>
      <c r="Z1893">
        <v>-8.2900159999999999E-4</v>
      </c>
      <c r="AA1893">
        <v>0.99877899999999997</v>
      </c>
      <c r="AB1893">
        <v>43</v>
      </c>
      <c r="AC1893">
        <v>-48.939500000000002</v>
      </c>
      <c r="AD1893">
        <v>-1.1096815360829999</v>
      </c>
      <c r="AE1893">
        <v>-1.8421000000000101</v>
      </c>
      <c r="AF1893">
        <v>-2.4328604983377402</v>
      </c>
      <c r="AG1893">
        <v>-1.1096815360829999</v>
      </c>
      <c r="AH1893">
        <v>48.888529243136503</v>
      </c>
      <c r="AI1893">
        <v>91.298681214860494</v>
      </c>
      <c r="AJ1893">
        <v>92.848883933084906</v>
      </c>
      <c r="AK1893">
        <v>48.961602249854003</v>
      </c>
      <c r="AL1893">
        <v>91.444396143366404</v>
      </c>
      <c r="AM1893">
        <v>82.762720855359802</v>
      </c>
      <c r="AN1893">
        <v>1.0000000668803799</v>
      </c>
    </row>
    <row r="1894" spans="1:40" x14ac:dyDescent="0.25">
      <c r="A1894" t="str">
        <f>"20190312161304198"</f>
        <v>20190312161304198</v>
      </c>
      <c r="B1894" t="str">
        <f>"1552378384187983"</f>
        <v>1552378384187983</v>
      </c>
      <c r="C1894" t="s">
        <v>40</v>
      </c>
      <c r="D1894">
        <v>5.4512580000000002</v>
      </c>
      <c r="E1894">
        <v>0.43287809999999999</v>
      </c>
      <c r="F1894" t="s">
        <v>74</v>
      </c>
      <c r="G1894">
        <v>-400.49290000000002</v>
      </c>
      <c r="H1894" s="1">
        <v>8.3376930000000007E-6</v>
      </c>
      <c r="I1894">
        <v>283.87110000000001</v>
      </c>
      <c r="J1894">
        <v>-350.6884</v>
      </c>
      <c r="K1894">
        <v>1.1096900000000001</v>
      </c>
      <c r="L1894">
        <v>285.75259999999997</v>
      </c>
      <c r="M1894">
        <v>-0.99981989999999998</v>
      </c>
      <c r="N1894">
        <v>0</v>
      </c>
      <c r="O1894">
        <v>1.2054550000000001E-2</v>
      </c>
      <c r="P1894">
        <v>-0.98966980000000004</v>
      </c>
      <c r="Q1894">
        <v>-3.9640399999999999E-2</v>
      </c>
      <c r="R1894">
        <v>0.13777690000000001</v>
      </c>
      <c r="S1894">
        <v>-3.044556</v>
      </c>
      <c r="T1894">
        <v>-6.752205E-2</v>
      </c>
      <c r="U1894">
        <v>-0.1143188</v>
      </c>
      <c r="V1894">
        <v>0.1258406</v>
      </c>
      <c r="W1894">
        <v>-2.508438E-2</v>
      </c>
      <c r="X1894">
        <v>0.99173330000000004</v>
      </c>
      <c r="Y1894">
        <v>-4.9551669999999999E-2</v>
      </c>
      <c r="Z1894">
        <v>-8.1647399999999998E-4</v>
      </c>
      <c r="AA1894">
        <v>0.99877130000000003</v>
      </c>
      <c r="AB1894">
        <v>43</v>
      </c>
      <c r="AC1894">
        <v>-49.804499999999997</v>
      </c>
      <c r="AD1894">
        <v>-1.109681662307</v>
      </c>
      <c r="AE1894">
        <v>-1.88149999999996</v>
      </c>
      <c r="AF1894">
        <v>-2.4805689270341702</v>
      </c>
      <c r="AG1894">
        <v>-1.109681662307</v>
      </c>
      <c r="AH1894">
        <v>49.753533378047102</v>
      </c>
      <c r="AI1894">
        <v>91.276104361894497</v>
      </c>
      <c r="AJ1894">
        <v>92.854240360122603</v>
      </c>
      <c r="AK1894">
        <v>49.827690084870198</v>
      </c>
      <c r="AL1894">
        <v>91.437379856941504</v>
      </c>
      <c r="AM1894">
        <v>82.768410460785802</v>
      </c>
      <c r="AN1894">
        <v>1.00000001052861</v>
      </c>
    </row>
    <row r="1895" spans="1:40" x14ac:dyDescent="0.25">
      <c r="A1895" t="str">
        <f>"20190312161304211"</f>
        <v>20190312161304211</v>
      </c>
      <c r="B1895" t="str">
        <f>"1552378384207504"</f>
        <v>1552378384207504</v>
      </c>
      <c r="C1895" t="s">
        <v>40</v>
      </c>
      <c r="D1895">
        <v>5.3577180000000002</v>
      </c>
      <c r="E1895">
        <v>0.43296590000000001</v>
      </c>
      <c r="F1895" t="s">
        <v>74</v>
      </c>
      <c r="G1895">
        <v>-402.28370000000001</v>
      </c>
      <c r="H1895" s="1">
        <v>7.5580100000000002E-6</v>
      </c>
      <c r="I1895">
        <v>283.80090000000001</v>
      </c>
      <c r="J1895">
        <v>-350.9348</v>
      </c>
      <c r="K1895">
        <v>1.1096950000000001</v>
      </c>
      <c r="L1895">
        <v>285.75549999999998</v>
      </c>
      <c r="M1895">
        <v>-0.99981980000000004</v>
      </c>
      <c r="N1895">
        <v>0</v>
      </c>
      <c r="O1895">
        <v>1.200758E-2</v>
      </c>
      <c r="P1895">
        <v>-0.98970239999999998</v>
      </c>
      <c r="Q1895">
        <v>-3.9581619999999998E-2</v>
      </c>
      <c r="R1895">
        <v>0.13755899999999999</v>
      </c>
      <c r="S1895">
        <v>-3.0447389999999999</v>
      </c>
      <c r="T1895">
        <v>-6.5484399999999998E-2</v>
      </c>
      <c r="U1895">
        <v>-0.11517330000000001</v>
      </c>
      <c r="V1895">
        <v>0.125668899999999</v>
      </c>
      <c r="W1895">
        <v>-2.4969890000000002E-2</v>
      </c>
      <c r="X1895">
        <v>0.99175789999999997</v>
      </c>
      <c r="Y1895">
        <v>-4.9783269999999998E-2</v>
      </c>
      <c r="Z1895">
        <v>-7.9326869999999999E-4</v>
      </c>
      <c r="AA1895">
        <v>0.99875970000000003</v>
      </c>
      <c r="AB1895">
        <v>43</v>
      </c>
      <c r="AC1895">
        <v>-51.3489</v>
      </c>
      <c r="AD1895">
        <v>-1.10968744199</v>
      </c>
      <c r="AE1895">
        <v>-1.9545999999999699</v>
      </c>
      <c r="AF1895">
        <v>-2.5699032687078298</v>
      </c>
      <c r="AG1895">
        <v>-1.10968744199</v>
      </c>
      <c r="AH1895">
        <v>51.297802085888797</v>
      </c>
      <c r="AI1895">
        <v>91.237692263787395</v>
      </c>
      <c r="AJ1895">
        <v>92.867990562356894</v>
      </c>
      <c r="AK1895">
        <v>51.374120993671902</v>
      </c>
      <c r="AL1895">
        <v>91.430818094447403</v>
      </c>
      <c r="AM1895">
        <v>82.778350416702807</v>
      </c>
      <c r="AN1895">
        <v>0.99999995002311404</v>
      </c>
    </row>
    <row r="1896" spans="1:40" x14ac:dyDescent="0.25">
      <c r="A1896" t="str">
        <f>"20190312161304224"</f>
        <v>20190312161304224</v>
      </c>
      <c r="B1896" t="str">
        <f>"1552378384217263"</f>
        <v>1552378384217263</v>
      </c>
      <c r="C1896" t="s">
        <v>40</v>
      </c>
      <c r="D1896">
        <v>5.3618750000000004</v>
      </c>
      <c r="E1896">
        <v>0.43304140000000002</v>
      </c>
      <c r="F1896" t="s">
        <v>74</v>
      </c>
      <c r="G1896">
        <v>-401.21780000000001</v>
      </c>
      <c r="H1896" s="1">
        <v>8.0190549999999994E-6</v>
      </c>
      <c r="I1896">
        <v>283.85730000000001</v>
      </c>
      <c r="J1896">
        <v>-351.18579999999997</v>
      </c>
      <c r="K1896">
        <v>1.1097060000000001</v>
      </c>
      <c r="L1896">
        <v>285.75850000000003</v>
      </c>
      <c r="M1896">
        <v>-0.99981949999999997</v>
      </c>
      <c r="N1896">
        <v>0</v>
      </c>
      <c r="O1896">
        <v>1.1959579999999999E-2</v>
      </c>
      <c r="P1896">
        <v>-0.98974249999999997</v>
      </c>
      <c r="Q1896">
        <v>-3.9341470000000003E-2</v>
      </c>
      <c r="R1896">
        <v>0.13734009999999999</v>
      </c>
      <c r="S1896">
        <v>-3.0444640000000001</v>
      </c>
      <c r="T1896">
        <v>-6.7187789999999997E-2</v>
      </c>
      <c r="U1896">
        <v>-0.1149292</v>
      </c>
      <c r="V1896">
        <v>0.125497</v>
      </c>
      <c r="W1896">
        <v>-2.4678579999999999E-2</v>
      </c>
      <c r="X1896">
        <v>0.99178699999999997</v>
      </c>
      <c r="Y1896">
        <v>-4.9658040000000001E-2</v>
      </c>
      <c r="Z1896">
        <v>-8.1153289999999901E-4</v>
      </c>
      <c r="AA1896">
        <v>0.99876589999999998</v>
      </c>
      <c r="AB1896">
        <v>43</v>
      </c>
      <c r="AC1896">
        <v>-50.031999999999996</v>
      </c>
      <c r="AD1896">
        <v>-1.1096979809449901</v>
      </c>
      <c r="AE1896">
        <v>-1.90120000000001</v>
      </c>
      <c r="AF1896">
        <v>-2.4982636905210098</v>
      </c>
      <c r="AG1896">
        <v>-1.1096979809449901</v>
      </c>
      <c r="AH1896">
        <v>49.981128621932001</v>
      </c>
      <c r="AI1896">
        <v>91.270306014964603</v>
      </c>
      <c r="AJ1896">
        <v>92.861498734846606</v>
      </c>
      <c r="AK1896">
        <v>50.055828525741099</v>
      </c>
      <c r="AL1896">
        <v>91.414122056398298</v>
      </c>
      <c r="AM1896">
        <v>82.788334065425005</v>
      </c>
      <c r="AN1896">
        <v>0.99999999134440798</v>
      </c>
    </row>
    <row r="1897" spans="1:40" x14ac:dyDescent="0.25">
      <c r="A1897" t="str">
        <f>"20190312161304241"</f>
        <v>20190312161304241</v>
      </c>
      <c r="B1897" t="str">
        <f>"1552378384237760"</f>
        <v>1552378384237760</v>
      </c>
      <c r="C1897" t="s">
        <v>40</v>
      </c>
      <c r="D1897">
        <v>5.6043699999999896</v>
      </c>
      <c r="E1897">
        <v>0.43299280000000001</v>
      </c>
      <c r="F1897" t="s">
        <v>74</v>
      </c>
      <c r="G1897">
        <v>-401.51209999999998</v>
      </c>
      <c r="H1897" s="1">
        <v>7.889332E-6</v>
      </c>
      <c r="I1897">
        <v>283.85359999999997</v>
      </c>
      <c r="J1897">
        <v>-351.51179999999999</v>
      </c>
      <c r="K1897">
        <v>1.1097129999999999</v>
      </c>
      <c r="L1897">
        <v>285.76229999999998</v>
      </c>
      <c r="M1897">
        <v>-0.99981940000000002</v>
      </c>
      <c r="N1897">
        <v>0</v>
      </c>
      <c r="O1897">
        <v>1.189697E-2</v>
      </c>
      <c r="P1897">
        <v>-0.98977360000000003</v>
      </c>
      <c r="Q1897">
        <v>-3.9268020000000001E-2</v>
      </c>
      <c r="R1897">
        <v>0.13713610000000001</v>
      </c>
      <c r="S1897">
        <v>-3.044403</v>
      </c>
      <c r="T1897">
        <v>-6.7129369999999994E-2</v>
      </c>
      <c r="U1897">
        <v>-0.1152344</v>
      </c>
      <c r="V1897">
        <v>0.12535450000000001</v>
      </c>
      <c r="W1897">
        <v>-2.4545589999999999E-2</v>
      </c>
      <c r="X1897">
        <v>0.99180829999999998</v>
      </c>
      <c r="Y1897">
        <v>-4.9696270000000001E-2</v>
      </c>
      <c r="Z1897">
        <v>-8.0988360000000005E-4</v>
      </c>
      <c r="AA1897">
        <v>0.99876399999999999</v>
      </c>
      <c r="AB1897">
        <v>43</v>
      </c>
      <c r="AC1897">
        <v>-50.000299999999903</v>
      </c>
      <c r="AD1897">
        <v>-1.109705110668</v>
      </c>
      <c r="AE1897">
        <v>-1.9087000000000101</v>
      </c>
      <c r="AF1897">
        <v>-2.5022515460194801</v>
      </c>
      <c r="AG1897">
        <v>-1.109705110668</v>
      </c>
      <c r="AH1897">
        <v>49.949482459820302</v>
      </c>
      <c r="AI1897">
        <v>91.271111661997196</v>
      </c>
      <c r="AJ1897">
        <v>92.8678715943459</v>
      </c>
      <c r="AK1897">
        <v>50.024429094554399</v>
      </c>
      <c r="AL1897">
        <v>91.406500011305198</v>
      </c>
      <c r="AM1897">
        <v>82.796589815640104</v>
      </c>
      <c r="AN1897">
        <v>0.99999997030379295</v>
      </c>
    </row>
    <row r="1898" spans="1:40" x14ac:dyDescent="0.25">
      <c r="A1898" t="str">
        <f>"20190312161304264"</f>
        <v>20190312161304264</v>
      </c>
      <c r="B1898" t="str">
        <f>"1552378384257279"</f>
        <v>1552378384257279</v>
      </c>
      <c r="C1898" t="s">
        <v>40</v>
      </c>
      <c r="D1898">
        <v>5.528626</v>
      </c>
      <c r="E1898">
        <v>0.41109800000000002</v>
      </c>
      <c r="F1898" t="s">
        <v>74</v>
      </c>
      <c r="G1898">
        <v>-403.01130000000001</v>
      </c>
      <c r="H1898" s="1">
        <v>7.2358259999999997E-6</v>
      </c>
      <c r="I1898">
        <v>283.79860000000002</v>
      </c>
      <c r="J1898">
        <v>-351.94709999999998</v>
      </c>
      <c r="K1898">
        <v>1.1097189999999999</v>
      </c>
      <c r="L1898">
        <v>285.76740000000001</v>
      </c>
      <c r="M1898">
        <v>-0.99981929999999997</v>
      </c>
      <c r="N1898">
        <v>0</v>
      </c>
      <c r="O1898">
        <v>1.1814180000000001E-2</v>
      </c>
      <c r="P1898">
        <v>-0.98978409999999994</v>
      </c>
      <c r="Q1898">
        <v>-3.9411469999999997E-2</v>
      </c>
      <c r="R1898">
        <v>0.13701930000000001</v>
      </c>
      <c r="S1898">
        <v>-3.0445250000000001</v>
      </c>
      <c r="T1898">
        <v>-6.5603140000000004E-2</v>
      </c>
      <c r="U1898">
        <v>-0.11608889999999999</v>
      </c>
      <c r="V1898">
        <v>0.12531989999999901</v>
      </c>
      <c r="W1898">
        <v>-2.4619470000000001E-2</v>
      </c>
      <c r="X1898">
        <v>0.99181090000000005</v>
      </c>
      <c r="Y1898">
        <v>-4.9892640000000002E-2</v>
      </c>
      <c r="Z1898">
        <v>-7.9177039999999896E-4</v>
      </c>
      <c r="AA1898">
        <v>0.99875429999999998</v>
      </c>
      <c r="AB1898">
        <v>43</v>
      </c>
      <c r="AC1898">
        <v>-51.0642</v>
      </c>
      <c r="AD1898">
        <v>-1.109711764174</v>
      </c>
      <c r="AE1898">
        <v>-1.9687999999999799</v>
      </c>
      <c r="AF1898">
        <v>-2.57079882985159</v>
      </c>
      <c r="AG1898">
        <v>-1.109711764174</v>
      </c>
      <c r="AH1898">
        <v>51.013316978077199</v>
      </c>
      <c r="AI1898">
        <v>91.244601070098994</v>
      </c>
      <c r="AJ1898">
        <v>92.884960816526501</v>
      </c>
      <c r="AK1898">
        <v>51.090106438809499</v>
      </c>
      <c r="AL1898">
        <v>91.410734221094202</v>
      </c>
      <c r="AM1898">
        <v>82.798575884233003</v>
      </c>
      <c r="AN1898">
        <v>1.0000000284989501</v>
      </c>
    </row>
    <row r="1899" spans="1:40" x14ac:dyDescent="0.25">
      <c r="A1899" t="str">
        <f>"20190312161304286"</f>
        <v>20190312161304286</v>
      </c>
      <c r="B1899" t="str">
        <f>"1552378384277775"</f>
        <v>1552378384277775</v>
      </c>
      <c r="C1899" t="s">
        <v>40</v>
      </c>
      <c r="D1899">
        <v>5.3762559999999997</v>
      </c>
      <c r="E1899">
        <v>0.40986270000000002</v>
      </c>
      <c r="F1899" t="s">
        <v>74</v>
      </c>
      <c r="G1899">
        <v>-404.17590000000001</v>
      </c>
      <c r="H1899" s="1">
        <v>7.3309520000000001E-6</v>
      </c>
      <c r="I1899">
        <v>280.83890000000002</v>
      </c>
      <c r="J1899">
        <v>-352.3691</v>
      </c>
      <c r="K1899">
        <v>1.109726</v>
      </c>
      <c r="L1899">
        <v>285.77229999999997</v>
      </c>
      <c r="M1899">
        <v>-0.99981940000000002</v>
      </c>
      <c r="N1899">
        <v>0</v>
      </c>
      <c r="O1899">
        <v>1.1733810000000001E-2</v>
      </c>
      <c r="P1899">
        <v>-0.98977519999999997</v>
      </c>
      <c r="Q1899">
        <v>-3.9445340000000002E-2</v>
      </c>
      <c r="R1899">
        <v>0.13707359999999999</v>
      </c>
      <c r="S1899">
        <v>-3.068451</v>
      </c>
      <c r="T1899">
        <v>-6.5195680000000006E-2</v>
      </c>
      <c r="U1899">
        <v>-0.2895508</v>
      </c>
      <c r="V1899">
        <v>0.12545390000000001</v>
      </c>
      <c r="W1899">
        <v>-2.4595909999999999E-2</v>
      </c>
      <c r="X1899">
        <v>0.99179450000000002</v>
      </c>
      <c r="Y1899">
        <v>-0.105597</v>
      </c>
      <c r="Z1899">
        <v>-1.3679899999999999E-3</v>
      </c>
      <c r="AA1899">
        <v>0.99440810000000002</v>
      </c>
      <c r="AB1899">
        <v>43</v>
      </c>
      <c r="AC1899">
        <v>-51.806800000000003</v>
      </c>
      <c r="AD1899">
        <v>-1.1097186690479901</v>
      </c>
      <c r="AE1899">
        <v>-4.9333999999999403</v>
      </c>
      <c r="AF1899">
        <v>-5.5385009822757896</v>
      </c>
      <c r="AG1899">
        <v>-1.1097186690479901</v>
      </c>
      <c r="AH1899">
        <v>51.721820312945297</v>
      </c>
      <c r="AI1899">
        <v>91.222137486561493</v>
      </c>
      <c r="AJ1899">
        <v>96.112083661667896</v>
      </c>
      <c r="AK1899">
        <v>52.029349074726198</v>
      </c>
      <c r="AL1899">
        <v>91.409383984964805</v>
      </c>
      <c r="AM1899">
        <v>82.790838680658396</v>
      </c>
      <c r="AN1899">
        <v>0.99999998502209397</v>
      </c>
    </row>
    <row r="1900" spans="1:40" x14ac:dyDescent="0.25">
      <c r="A1900" t="str">
        <f>"20190312161304300"</f>
        <v>20190312161304300</v>
      </c>
      <c r="B1900" t="str">
        <f>"1552378384287536"</f>
        <v>1552378384287536</v>
      </c>
      <c r="C1900" t="s">
        <v>40</v>
      </c>
      <c r="D1900">
        <v>5.548851</v>
      </c>
      <c r="E1900">
        <v>0.4090626</v>
      </c>
      <c r="F1900" t="s">
        <v>69</v>
      </c>
      <c r="G1900">
        <v>-399.0856</v>
      </c>
      <c r="H1900" s="1">
        <v>3.2981350000000001E-6</v>
      </c>
      <c r="I1900">
        <v>281.21609999999998</v>
      </c>
      <c r="J1900">
        <v>-352.6155</v>
      </c>
      <c r="K1900">
        <v>1.109731</v>
      </c>
      <c r="L1900">
        <v>285.77519999999998</v>
      </c>
      <c r="M1900">
        <v>-0.99981960000000003</v>
      </c>
      <c r="N1900">
        <v>0</v>
      </c>
      <c r="O1900">
        <v>1.1686800000000001E-2</v>
      </c>
      <c r="P1900">
        <v>-0.98975970000000002</v>
      </c>
      <c r="Q1900">
        <v>-3.9523509999999998E-2</v>
      </c>
      <c r="R1900">
        <v>0.1371638</v>
      </c>
      <c r="S1900">
        <v>-3.0695800000000002</v>
      </c>
      <c r="T1900">
        <v>-7.2916030000000007E-2</v>
      </c>
      <c r="U1900">
        <v>-0.29937740000000002</v>
      </c>
      <c r="V1900">
        <v>0.1255908</v>
      </c>
      <c r="W1900">
        <v>-2.464539E-2</v>
      </c>
      <c r="X1900">
        <v>0.99177590000000004</v>
      </c>
      <c r="Y1900">
        <v>-0.1086625</v>
      </c>
      <c r="Z1900">
        <v>-1.564354E-3</v>
      </c>
      <c r="AA1900">
        <v>0.9940774</v>
      </c>
      <c r="AB1900">
        <v>43</v>
      </c>
      <c r="AC1900">
        <v>-46.470100000000002</v>
      </c>
      <c r="AD1900">
        <v>-1.109727701865</v>
      </c>
      <c r="AE1900">
        <v>-4.5590999999999999</v>
      </c>
      <c r="AF1900">
        <v>-5.0990560759963897</v>
      </c>
      <c r="AG1900">
        <v>-1.109727701865</v>
      </c>
      <c r="AH1900">
        <v>46.387436963391899</v>
      </c>
      <c r="AI1900">
        <v>91.362224704376104</v>
      </c>
      <c r="AJ1900">
        <v>96.272951434476994</v>
      </c>
      <c r="AK1900">
        <v>46.6800404506155</v>
      </c>
      <c r="AL1900">
        <v>91.412219903336094</v>
      </c>
      <c r="AM1900">
        <v>82.782920753987199</v>
      </c>
      <c r="AN1900">
        <v>0.999999940056849</v>
      </c>
    </row>
    <row r="1901" spans="1:40" x14ac:dyDescent="0.25">
      <c r="A1901" t="str">
        <f>"20190312161304318"</f>
        <v>20190312161304318</v>
      </c>
      <c r="B1901" t="str">
        <f>"1552378384308032"</f>
        <v>1552378384308032</v>
      </c>
      <c r="C1901" t="s">
        <v>40</v>
      </c>
      <c r="D1901">
        <v>5.5201310000000001</v>
      </c>
      <c r="E1901">
        <v>0.40814790000000001</v>
      </c>
      <c r="F1901" t="s">
        <v>74</v>
      </c>
      <c r="G1901">
        <v>-401.84249999999997</v>
      </c>
      <c r="H1901" s="1">
        <v>8.357086E-6</v>
      </c>
      <c r="I1901">
        <v>280.88069999999999</v>
      </c>
      <c r="J1901">
        <v>-352.9751</v>
      </c>
      <c r="K1901">
        <v>1.109742</v>
      </c>
      <c r="L1901">
        <v>285.77929999999998</v>
      </c>
      <c r="M1901">
        <v>-0.99981980000000004</v>
      </c>
      <c r="N1901">
        <v>0</v>
      </c>
      <c r="O1901">
        <v>1.16185E-2</v>
      </c>
      <c r="P1901">
        <v>-0.98971330000000002</v>
      </c>
      <c r="Q1901">
        <v>-3.9367930000000002E-2</v>
      </c>
      <c r="R1901">
        <v>0.1375429</v>
      </c>
      <c r="S1901">
        <v>-3.0705870000000002</v>
      </c>
      <c r="T1901">
        <v>-6.9220190000000001E-2</v>
      </c>
      <c r="U1901">
        <v>-0.30529790000000001</v>
      </c>
      <c r="V1901">
        <v>0.12603819999999999</v>
      </c>
      <c r="W1901">
        <v>-2.445201E-2</v>
      </c>
      <c r="X1901">
        <v>0.99172400000000005</v>
      </c>
      <c r="Y1901">
        <v>-0.1104641</v>
      </c>
      <c r="Z1901">
        <v>-1.5031770000000001E-3</v>
      </c>
      <c r="AA1901">
        <v>0.99387899999999996</v>
      </c>
      <c r="AB1901">
        <v>42</v>
      </c>
      <c r="AC1901">
        <v>-48.867399999999897</v>
      </c>
      <c r="AD1901">
        <v>-1.1097336429139999</v>
      </c>
      <c r="AE1901">
        <v>-4.8985999999999796</v>
      </c>
      <c r="AF1901">
        <v>-5.4633097515623703</v>
      </c>
      <c r="AG1901">
        <v>-1.1097336429139999</v>
      </c>
      <c r="AH1901">
        <v>48.782273202459699</v>
      </c>
      <c r="AI1901">
        <v>91.295086352002997</v>
      </c>
      <c r="AJ1901">
        <v>96.390141700948405</v>
      </c>
      <c r="AK1901">
        <v>49.099790641092902</v>
      </c>
      <c r="AL1901">
        <v>91.401136606126798</v>
      </c>
      <c r="AM1901">
        <v>82.7571084187894</v>
      </c>
      <c r="AN1901">
        <v>1.00000001041414</v>
      </c>
    </row>
    <row r="1902" spans="1:40" x14ac:dyDescent="0.25">
      <c r="A1902" t="str">
        <f>"20190312161304332"</f>
        <v>20190312161304332</v>
      </c>
      <c r="B1902" t="str">
        <f>"1552378384327551"</f>
        <v>1552378384327551</v>
      </c>
      <c r="C1902" t="s">
        <v>40</v>
      </c>
      <c r="D1902">
        <v>5.5673110000000001</v>
      </c>
      <c r="E1902">
        <v>0.40750130000000001</v>
      </c>
      <c r="F1902" t="s">
        <v>74</v>
      </c>
      <c r="G1902">
        <v>-403.67149999999998</v>
      </c>
      <c r="H1902" s="1">
        <v>7.5949949999999998E-6</v>
      </c>
      <c r="I1902">
        <v>280.64350000000002</v>
      </c>
      <c r="J1902">
        <v>-353.23160000000001</v>
      </c>
      <c r="K1902">
        <v>1.109747</v>
      </c>
      <c r="L1902">
        <v>285.78230000000002</v>
      </c>
      <c r="M1902">
        <v>-0.99982000000000004</v>
      </c>
      <c r="N1902">
        <v>0</v>
      </c>
      <c r="O1902">
        <v>1.157003E-2</v>
      </c>
      <c r="P1902">
        <v>-0.9897108</v>
      </c>
      <c r="Q1902">
        <v>-3.9092839999999997E-2</v>
      </c>
      <c r="R1902">
        <v>0.1376395</v>
      </c>
      <c r="S1902">
        <v>-3.071777</v>
      </c>
      <c r="T1902">
        <v>-6.7240599999999998E-2</v>
      </c>
      <c r="U1902">
        <v>-0.31118770000000001</v>
      </c>
      <c r="V1902">
        <v>0.12618289999999999</v>
      </c>
      <c r="W1902">
        <v>-2.4152360000000001E-2</v>
      </c>
      <c r="X1902">
        <v>0.99171290000000001</v>
      </c>
      <c r="Y1902">
        <v>-0.1122659</v>
      </c>
      <c r="Z1902">
        <v>-1.478107E-3</v>
      </c>
      <c r="AA1902">
        <v>0.99367709999999998</v>
      </c>
      <c r="AB1902">
        <v>42</v>
      </c>
      <c r="AC1902">
        <v>-50.439899999999902</v>
      </c>
      <c r="AD1902">
        <v>-1.109739405005</v>
      </c>
      <c r="AE1902">
        <v>-5.1387999999999998</v>
      </c>
      <c r="AF1902">
        <v>-5.7193730556571296</v>
      </c>
      <c r="AG1902">
        <v>-1.109739405005</v>
      </c>
      <c r="AH1902">
        <v>50.352937104725498</v>
      </c>
      <c r="AI1902">
        <v>91.254485868873203</v>
      </c>
      <c r="AJ1902">
        <v>96.480207250256896</v>
      </c>
      <c r="AK1902">
        <v>50.688864899198897</v>
      </c>
      <c r="AL1902">
        <v>91.383962911961206</v>
      </c>
      <c r="AM1902">
        <v>82.748801268586206</v>
      </c>
      <c r="AN1902">
        <v>0.99999996838619398</v>
      </c>
    </row>
    <row r="1903" spans="1:40" x14ac:dyDescent="0.25">
      <c r="A1903" t="str">
        <f>"20190312161304345"</f>
        <v>20190312161304345</v>
      </c>
      <c r="B1903" t="str">
        <f>"1552378384337312"</f>
        <v>1552378384337312</v>
      </c>
      <c r="C1903" t="s">
        <v>40</v>
      </c>
      <c r="D1903">
        <v>5.4428239999999999</v>
      </c>
      <c r="E1903">
        <v>0.40715079999999998</v>
      </c>
      <c r="F1903" t="s">
        <v>74</v>
      </c>
      <c r="G1903">
        <v>-406.17219999999998</v>
      </c>
      <c r="H1903" s="1">
        <v>6.5491599999999997E-6</v>
      </c>
      <c r="I1903">
        <v>280.33800000000002</v>
      </c>
      <c r="J1903">
        <v>-353.49220000000003</v>
      </c>
      <c r="K1903">
        <v>1.1097549999999901</v>
      </c>
      <c r="L1903">
        <v>285.78530000000001</v>
      </c>
      <c r="M1903">
        <v>-0.99982020000000005</v>
      </c>
      <c r="N1903">
        <v>0</v>
      </c>
      <c r="O1903">
        <v>1.152039E-2</v>
      </c>
      <c r="P1903">
        <v>-0.98972610000000005</v>
      </c>
      <c r="Q1903">
        <v>-3.8995130000000003E-2</v>
      </c>
      <c r="R1903">
        <v>0.1375564</v>
      </c>
      <c r="S1903">
        <v>-3.072632</v>
      </c>
      <c r="T1903">
        <v>-6.4408419999999994E-2</v>
      </c>
      <c r="U1903">
        <v>-0.31597900000000001</v>
      </c>
      <c r="V1903">
        <v>0.1261486</v>
      </c>
      <c r="W1903">
        <v>-2.403214E-2</v>
      </c>
      <c r="X1903">
        <v>0.99172020000000005</v>
      </c>
      <c r="Y1903">
        <v>-0.1137243</v>
      </c>
      <c r="Z1903">
        <v>-1.4295670000000001E-3</v>
      </c>
      <c r="AA1903">
        <v>0.99351129999999999</v>
      </c>
      <c r="AB1903">
        <v>42</v>
      </c>
      <c r="AC1903">
        <v>-52.6799999999999</v>
      </c>
      <c r="AD1903">
        <v>-1.10974845083999</v>
      </c>
      <c r="AE1903">
        <v>-5.4473000000000402</v>
      </c>
      <c r="AF1903">
        <v>-6.0512444686574698</v>
      </c>
      <c r="AG1903">
        <v>-1.10974845083999</v>
      </c>
      <c r="AH1903">
        <v>52.590649888455403</v>
      </c>
      <c r="AI1903">
        <v>91.200933542817907</v>
      </c>
      <c r="AJ1903">
        <v>96.563765905970698</v>
      </c>
      <c r="AK1903">
        <v>52.949273431593902</v>
      </c>
      <c r="AL1903">
        <v>91.377072791613202</v>
      </c>
      <c r="AM1903">
        <v>82.750804167455797</v>
      </c>
      <c r="AN1903">
        <v>0.99999998406148904</v>
      </c>
    </row>
    <row r="1904" spans="1:40" x14ac:dyDescent="0.25">
      <c r="A1904" t="str">
        <f>"20190312161304357"</f>
        <v>20190312161304357</v>
      </c>
      <c r="B1904" t="str">
        <f>"1552378384348048"</f>
        <v>1552378384348048</v>
      </c>
      <c r="C1904" t="s">
        <v>40</v>
      </c>
      <c r="D1904">
        <v>5.4622590000000004</v>
      </c>
      <c r="E1904">
        <v>0.40685840000000001</v>
      </c>
      <c r="F1904" t="s">
        <v>74</v>
      </c>
      <c r="G1904">
        <v>-403.358</v>
      </c>
      <c r="H1904" s="1">
        <v>7.7419969999999999E-6</v>
      </c>
      <c r="I1904">
        <v>280.60500000000002</v>
      </c>
      <c r="J1904">
        <v>-353.71550000000002</v>
      </c>
      <c r="K1904">
        <v>1.1097549999999901</v>
      </c>
      <c r="L1904">
        <v>285.7878</v>
      </c>
      <c r="M1904">
        <v>-0.99982040000000005</v>
      </c>
      <c r="N1904">
        <v>0</v>
      </c>
      <c r="O1904">
        <v>1.1478169999999999E-2</v>
      </c>
      <c r="P1904">
        <v>-0.98975119999999905</v>
      </c>
      <c r="Q1904">
        <v>-3.8788309999999999E-2</v>
      </c>
      <c r="R1904">
        <v>0.13743420000000001</v>
      </c>
      <c r="S1904">
        <v>-3.072784</v>
      </c>
      <c r="T1904">
        <v>-6.8383810000000003E-2</v>
      </c>
      <c r="U1904">
        <v>-0.31921389999999999</v>
      </c>
      <c r="V1904">
        <v>0.12606789999999901</v>
      </c>
      <c r="W1904">
        <v>-2.3807970000000001E-2</v>
      </c>
      <c r="X1904">
        <v>0.9917359</v>
      </c>
      <c r="Y1904">
        <v>-0.1147085</v>
      </c>
      <c r="Z1904">
        <v>-1.527608E-3</v>
      </c>
      <c r="AA1904">
        <v>0.993398</v>
      </c>
      <c r="AB1904">
        <v>42</v>
      </c>
      <c r="AC1904">
        <v>-49.642499999999899</v>
      </c>
      <c r="AD1904">
        <v>-1.1097472580029999</v>
      </c>
      <c r="AE1904">
        <v>-5.1827999999999799</v>
      </c>
      <c r="AF1904">
        <v>-5.74948610933426</v>
      </c>
      <c r="AG1904">
        <v>-1.1097472580029999</v>
      </c>
      <c r="AH1904">
        <v>49.555235634980399</v>
      </c>
      <c r="AI1904">
        <v>91.274330320603099</v>
      </c>
      <c r="AJ1904">
        <v>96.617968615059894</v>
      </c>
      <c r="AK1904">
        <v>49.899995073511803</v>
      </c>
      <c r="AL1904">
        <v>91.364225078094407</v>
      </c>
      <c r="AM1904">
        <v>82.755505819367798</v>
      </c>
      <c r="AN1904">
        <v>1.00000001509737</v>
      </c>
    </row>
    <row r="1905" spans="1:40" x14ac:dyDescent="0.25">
      <c r="A1905" t="str">
        <f>"20190312161304370"</f>
        <v>20190312161304370</v>
      </c>
      <c r="B1905" t="str">
        <f>"1552378384357809"</f>
        <v>1552378384357809</v>
      </c>
      <c r="C1905" t="s">
        <v>40</v>
      </c>
      <c r="D1905">
        <v>5.4260419999999998</v>
      </c>
      <c r="E1905">
        <v>0.40654620000000002</v>
      </c>
      <c r="F1905" t="s">
        <v>74</v>
      </c>
      <c r="G1905">
        <v>-403.0197</v>
      </c>
      <c r="H1905" s="1">
        <v>7.8890500000000003E-6</v>
      </c>
      <c r="I1905">
        <v>280.61939999999998</v>
      </c>
      <c r="J1905">
        <v>-353.94959999999998</v>
      </c>
      <c r="K1905">
        <v>1.109758</v>
      </c>
      <c r="L1905">
        <v>285.79050000000001</v>
      </c>
      <c r="M1905">
        <v>-0.99982070000000001</v>
      </c>
      <c r="N1905">
        <v>0</v>
      </c>
      <c r="O1905">
        <v>1.1433820000000001E-2</v>
      </c>
      <c r="P1905">
        <v>-0.98978719999999998</v>
      </c>
      <c r="Q1905">
        <v>-3.8492020000000002E-2</v>
      </c>
      <c r="R1905">
        <v>0.137257399999999</v>
      </c>
      <c r="S1905">
        <v>-3.0731199999999999</v>
      </c>
      <c r="T1905">
        <v>-6.917036E-2</v>
      </c>
      <c r="U1905">
        <v>-0.32214359999999997</v>
      </c>
      <c r="V1905">
        <v>0.12593470000000001</v>
      </c>
      <c r="W1905">
        <v>-2.3494299999999999E-2</v>
      </c>
      <c r="X1905">
        <v>0.99176030000000004</v>
      </c>
      <c r="Y1905">
        <v>-0.1155891</v>
      </c>
      <c r="Z1905">
        <v>-1.553816E-3</v>
      </c>
      <c r="AA1905">
        <v>0.99329590000000001</v>
      </c>
      <c r="AB1905">
        <v>42</v>
      </c>
      <c r="AC1905">
        <v>-49.070099999999996</v>
      </c>
      <c r="AD1905">
        <v>-1.1097501109500001</v>
      </c>
      <c r="AE1905">
        <v>-5.1711000000000196</v>
      </c>
      <c r="AF1905">
        <v>-5.7289865166471401</v>
      </c>
      <c r="AG1905">
        <v>-1.1097501109500001</v>
      </c>
      <c r="AH1905">
        <v>48.982981531949598</v>
      </c>
      <c r="AI1905">
        <v>91.289077500214603</v>
      </c>
      <c r="AJ1905">
        <v>96.670932859896894</v>
      </c>
      <c r="AK1905">
        <v>49.329355474970399</v>
      </c>
      <c r="AL1905">
        <v>91.346248087016306</v>
      </c>
      <c r="AM1905">
        <v>82.763255127113197</v>
      </c>
      <c r="AN1905">
        <v>1.0000000117263299</v>
      </c>
    </row>
    <row r="1906" spans="1:40" x14ac:dyDescent="0.25">
      <c r="A1906" t="str">
        <f>"20190312161304385"</f>
        <v>20190312161304385</v>
      </c>
      <c r="B1906" t="str">
        <f>"1552378384377327"</f>
        <v>1552378384377327</v>
      </c>
      <c r="C1906" t="s">
        <v>40</v>
      </c>
      <c r="D1906">
        <v>5.4947660000000003</v>
      </c>
      <c r="E1906">
        <v>0.4059218</v>
      </c>
      <c r="F1906" t="s">
        <v>74</v>
      </c>
      <c r="G1906">
        <v>-402.50130000000001</v>
      </c>
      <c r="H1906" s="1">
        <v>8.1116649999999999E-6</v>
      </c>
      <c r="I1906">
        <v>280.65449999999998</v>
      </c>
      <c r="J1906">
        <v>-354.25450000000001</v>
      </c>
      <c r="K1906">
        <v>1.1097619999999999</v>
      </c>
      <c r="L1906">
        <v>285.79390000000001</v>
      </c>
      <c r="M1906">
        <v>-0.99982110000000002</v>
      </c>
      <c r="N1906">
        <v>0</v>
      </c>
      <c r="O1906">
        <v>1.1375680000000001E-2</v>
      </c>
      <c r="P1906">
        <v>-0.9898013</v>
      </c>
      <c r="Q1906">
        <v>-3.9336879999999998E-2</v>
      </c>
      <c r="R1906">
        <v>0.1369175</v>
      </c>
      <c r="S1906">
        <v>-3.0733030000000001</v>
      </c>
      <c r="T1906">
        <v>-7.0246699999999995E-2</v>
      </c>
      <c r="U1906">
        <v>-0.3251038</v>
      </c>
      <c r="V1906">
        <v>0.1256526</v>
      </c>
      <c r="W1906">
        <v>-2.4319759999999999E-2</v>
      </c>
      <c r="X1906">
        <v>0.9917762</v>
      </c>
      <c r="Y1906">
        <v>-0.1164702</v>
      </c>
      <c r="Z1906">
        <v>-1.586531E-3</v>
      </c>
      <c r="AA1906">
        <v>0.99319290000000005</v>
      </c>
      <c r="AB1906">
        <v>42</v>
      </c>
      <c r="AC1906">
        <v>-48.2468</v>
      </c>
      <c r="AD1906">
        <v>-1.109753888335</v>
      </c>
      <c r="AE1906">
        <v>-5.1394000000000197</v>
      </c>
      <c r="AF1906">
        <v>-5.6849961780002696</v>
      </c>
      <c r="AG1906">
        <v>-1.109753888335</v>
      </c>
      <c r="AH1906">
        <v>48.160012304194296</v>
      </c>
      <c r="AI1906">
        <v>91.310937549531204</v>
      </c>
      <c r="AJ1906">
        <v>96.732263279800904</v>
      </c>
      <c r="AK1906">
        <v>48.507087321098702</v>
      </c>
      <c r="AL1906">
        <v>91.393556959775793</v>
      </c>
      <c r="AM1906">
        <v>82.779409048996001</v>
      </c>
      <c r="AN1906">
        <v>1.0000000287498201</v>
      </c>
    </row>
    <row r="1907" spans="1:40" x14ac:dyDescent="0.25">
      <c r="A1907" t="str">
        <f>"20190312161304398"</f>
        <v>20190312161304398</v>
      </c>
      <c r="B1907" t="str">
        <f>"1552378384388064"</f>
        <v>1552378384388064</v>
      </c>
      <c r="C1907" t="s">
        <v>40</v>
      </c>
      <c r="D1907">
        <v>5.5042479999999996</v>
      </c>
      <c r="E1907">
        <v>0.4056998</v>
      </c>
      <c r="F1907" t="s">
        <v>74</v>
      </c>
      <c r="G1907">
        <v>-403.6918</v>
      </c>
      <c r="H1907" s="1">
        <v>7.6218219999999998E-6</v>
      </c>
      <c r="I1907">
        <v>280.4701</v>
      </c>
      <c r="J1907">
        <v>-354.49880000000002</v>
      </c>
      <c r="K1907">
        <v>1.109766</v>
      </c>
      <c r="L1907">
        <v>285.79660000000001</v>
      </c>
      <c r="M1907">
        <v>-0.99982130000000002</v>
      </c>
      <c r="N1907">
        <v>0</v>
      </c>
      <c r="O1907">
        <v>1.132914E-2</v>
      </c>
      <c r="P1907">
        <v>-0.98983010000000005</v>
      </c>
      <c r="Q1907">
        <v>-3.9377870000000002E-2</v>
      </c>
      <c r="R1907">
        <v>0.13669609999999999</v>
      </c>
      <c r="S1907">
        <v>-3.073944</v>
      </c>
      <c r="T1907">
        <v>-6.900299E-2</v>
      </c>
      <c r="U1907">
        <v>-0.33102419999999999</v>
      </c>
      <c r="V1907">
        <v>0.12547710000000001</v>
      </c>
      <c r="W1907">
        <v>-2.434687E-2</v>
      </c>
      <c r="X1907">
        <v>0.9917977</v>
      </c>
      <c r="Y1907">
        <v>-0.1182942</v>
      </c>
      <c r="Z1907">
        <v>-1.5773370000000001E-3</v>
      </c>
      <c r="AA1907">
        <v>0.99297729999999995</v>
      </c>
      <c r="AB1907">
        <v>42</v>
      </c>
      <c r="AC1907">
        <v>-49.192999999999898</v>
      </c>
      <c r="AD1907">
        <v>-1.109758378178</v>
      </c>
      <c r="AE1907">
        <v>-5.3265000000000002</v>
      </c>
      <c r="AF1907">
        <v>-5.8805782284377202</v>
      </c>
      <c r="AG1907">
        <v>-1.109758378178</v>
      </c>
      <c r="AH1907">
        <v>49.1047897959415</v>
      </c>
      <c r="AI1907">
        <v>91.285470900020201</v>
      </c>
      <c r="AJ1907">
        <v>96.828974071807295</v>
      </c>
      <c r="AK1907">
        <v>49.468102296958101</v>
      </c>
      <c r="AL1907">
        <v>91.3951107830799</v>
      </c>
      <c r="AM1907">
        <v>82.789542551108994</v>
      </c>
      <c r="AN1907">
        <v>0.99999997521424799</v>
      </c>
    </row>
    <row r="1908" spans="1:40" x14ac:dyDescent="0.25">
      <c r="A1908" t="str">
        <f>"20190312161304413"</f>
        <v>20190312161304413</v>
      </c>
      <c r="B1908" t="str">
        <f>"1552378384407584"</f>
        <v>1552378384407584</v>
      </c>
      <c r="C1908" t="s">
        <v>40</v>
      </c>
      <c r="D1908">
        <v>5.5470930000000003</v>
      </c>
      <c r="E1908">
        <v>0.40533930000000001</v>
      </c>
      <c r="F1908" t="s">
        <v>74</v>
      </c>
      <c r="G1908">
        <v>-404.21800000000002</v>
      </c>
      <c r="H1908" s="1">
        <v>7.4016549999999899E-6</v>
      </c>
      <c r="I1908">
        <v>280.40640000000002</v>
      </c>
      <c r="J1908">
        <v>-354.77260000000001</v>
      </c>
      <c r="K1908">
        <v>1.1097729999999999</v>
      </c>
      <c r="L1908">
        <v>285.79969999999997</v>
      </c>
      <c r="M1908">
        <v>-0.99982170000000004</v>
      </c>
      <c r="N1908">
        <v>0</v>
      </c>
      <c r="O1908">
        <v>1.127677E-2</v>
      </c>
      <c r="P1908">
        <v>-0.98982420000000004</v>
      </c>
      <c r="Q1908">
        <v>-3.9376330000000001E-2</v>
      </c>
      <c r="R1908">
        <v>0.13673950000000001</v>
      </c>
      <c r="S1908">
        <v>-3.0741580000000002</v>
      </c>
      <c r="T1908">
        <v>-6.8616869999999996E-2</v>
      </c>
      <c r="U1908">
        <v>-0.33328249999999998</v>
      </c>
      <c r="V1908">
        <v>0.1255723</v>
      </c>
      <c r="W1908">
        <v>-2.4331519999999999E-2</v>
      </c>
      <c r="X1908">
        <v>0.9917861</v>
      </c>
      <c r="Y1908">
        <v>-0.1189561</v>
      </c>
      <c r="Z1908">
        <v>-1.574541E-3</v>
      </c>
      <c r="AA1908">
        <v>0.99289830000000001</v>
      </c>
      <c r="AB1908">
        <v>42</v>
      </c>
      <c r="AC1908">
        <v>-49.445399999999999</v>
      </c>
      <c r="AD1908">
        <v>-1.1097655983450001</v>
      </c>
      <c r="AE1908">
        <v>-5.3932999999999502</v>
      </c>
      <c r="AF1908">
        <v>-5.9476444905362502</v>
      </c>
      <c r="AG1908">
        <v>-1.1097655983450001</v>
      </c>
      <c r="AH1908">
        <v>49.356858386655198</v>
      </c>
      <c r="AI1908">
        <v>91.278803301714007</v>
      </c>
      <c r="AJ1908">
        <v>96.871176644373904</v>
      </c>
      <c r="AK1908">
        <v>49.726306161521897</v>
      </c>
      <c r="AL1908">
        <v>91.394230932434198</v>
      </c>
      <c r="AM1908">
        <v>82.784046080869203</v>
      </c>
      <c r="AN1908">
        <v>1.0000000467729999</v>
      </c>
    </row>
    <row r="1909" spans="1:40" x14ac:dyDescent="0.25">
      <c r="A1909" t="str">
        <f>"20190312161304426"</f>
        <v>20190312161304426</v>
      </c>
      <c r="B1909" t="str">
        <f>"1552378384417344"</f>
        <v>1552378384417344</v>
      </c>
      <c r="C1909" t="s">
        <v>40</v>
      </c>
      <c r="D1909">
        <v>5.5281940000000001</v>
      </c>
      <c r="E1909">
        <v>0.40525640000000002</v>
      </c>
      <c r="F1909" t="s">
        <v>74</v>
      </c>
      <c r="G1909">
        <v>-404.70670000000001</v>
      </c>
      <c r="H1909" s="1">
        <v>7.1982769999999998E-6</v>
      </c>
      <c r="I1909">
        <v>280.34179999999998</v>
      </c>
      <c r="J1909">
        <v>-355.01479999999998</v>
      </c>
      <c r="K1909">
        <v>1.109775</v>
      </c>
      <c r="L1909">
        <v>285.80239999999998</v>
      </c>
      <c r="M1909">
        <v>-0.99982219999999999</v>
      </c>
      <c r="N1909">
        <v>0</v>
      </c>
      <c r="O1909">
        <v>1.123037E-2</v>
      </c>
      <c r="P1909">
        <v>-0.98987099999999995</v>
      </c>
      <c r="Q1909">
        <v>-3.9265420000000002E-2</v>
      </c>
      <c r="R1909">
        <v>0.13643229999999901</v>
      </c>
      <c r="S1909">
        <v>-3.0745849999999999</v>
      </c>
      <c r="T1909">
        <v>-6.833148E-2</v>
      </c>
      <c r="U1909">
        <v>-0.33605960000000001</v>
      </c>
      <c r="V1909">
        <v>0.12531049999999999</v>
      </c>
      <c r="W1909">
        <v>-2.4209060000000001E-2</v>
      </c>
      <c r="X1909">
        <v>0.99182219999999999</v>
      </c>
      <c r="Y1909">
        <v>-0.1197816</v>
      </c>
      <c r="Z1909">
        <v>-1.5758180000000001E-3</v>
      </c>
      <c r="AA1909">
        <v>0.99279899999999999</v>
      </c>
      <c r="AB1909">
        <v>42</v>
      </c>
      <c r="AC1909">
        <v>-49.691899999999997</v>
      </c>
      <c r="AD1909">
        <v>-1.1097678017229999</v>
      </c>
      <c r="AE1909">
        <v>-5.4606000000000003</v>
      </c>
      <c r="AF1909">
        <v>-6.0154135580827797</v>
      </c>
      <c r="AG1909">
        <v>-1.1097678017229999</v>
      </c>
      <c r="AH1909">
        <v>49.602989105153597</v>
      </c>
      <c r="AI1909">
        <v>91.272346042908794</v>
      </c>
      <c r="AJ1909">
        <v>96.914562530476601</v>
      </c>
      <c r="AK1909">
        <v>49.978728605422702</v>
      </c>
      <c r="AL1909">
        <v>91.3872124360675</v>
      </c>
      <c r="AM1909">
        <v>82.799191558439006</v>
      </c>
      <c r="AN1909">
        <v>1.0000000382045799</v>
      </c>
    </row>
    <row r="1910" spans="1:40" x14ac:dyDescent="0.25">
      <c r="A1910" t="str">
        <f>"20190312161304443"</f>
        <v>20190312161304443</v>
      </c>
      <c r="B1910" t="str">
        <f>"1552378384437840"</f>
        <v>1552378384437840</v>
      </c>
      <c r="C1910" t="s">
        <v>40</v>
      </c>
      <c r="D1910">
        <v>5.4319030000000001</v>
      </c>
      <c r="E1910">
        <v>0.40501680000000001</v>
      </c>
      <c r="F1910" t="s">
        <v>74</v>
      </c>
      <c r="G1910">
        <v>-405.30880000000002</v>
      </c>
      <c r="H1910" s="1">
        <v>6.9444339999999996E-6</v>
      </c>
      <c r="I1910">
        <v>280.27800000000002</v>
      </c>
      <c r="J1910">
        <v>-355.32229999999998</v>
      </c>
      <c r="K1910">
        <v>1.109777</v>
      </c>
      <c r="L1910">
        <v>285.80579999999998</v>
      </c>
      <c r="M1910">
        <v>-0.99982260000000001</v>
      </c>
      <c r="N1910">
        <v>0</v>
      </c>
      <c r="O1910">
        <v>1.1171449999999999E-2</v>
      </c>
      <c r="P1910">
        <v>-0.98990460000000002</v>
      </c>
      <c r="Q1910">
        <v>-3.9090890000000003E-2</v>
      </c>
      <c r="R1910">
        <v>0.1362401</v>
      </c>
      <c r="S1910">
        <v>-3.0745239999999998</v>
      </c>
      <c r="T1910">
        <v>-6.7841289999999999E-2</v>
      </c>
      <c r="U1910">
        <v>-0.33770749999999999</v>
      </c>
      <c r="V1910">
        <v>0.12517639999999999</v>
      </c>
      <c r="W1910">
        <v>-2.402224E-2</v>
      </c>
      <c r="X1910">
        <v>0.99184360000000005</v>
      </c>
      <c r="Y1910">
        <v>-0.12025139999999999</v>
      </c>
      <c r="Z1910">
        <v>-1.568372E-3</v>
      </c>
      <c r="AA1910">
        <v>0.99274220000000002</v>
      </c>
      <c r="AB1910">
        <v>42</v>
      </c>
      <c r="AC1910">
        <v>-49.986499999999999</v>
      </c>
      <c r="AD1910">
        <v>-1.1097700555659999</v>
      </c>
      <c r="AE1910">
        <v>-5.5277999999999503</v>
      </c>
      <c r="AF1910">
        <v>-6.0829787893218601</v>
      </c>
      <c r="AG1910">
        <v>-1.1097700555659999</v>
      </c>
      <c r="AH1910">
        <v>49.897322002039701</v>
      </c>
      <c r="AI1910">
        <v>91.264749011019703</v>
      </c>
      <c r="AJ1910">
        <v>96.950626134293699</v>
      </c>
      <c r="AK1910">
        <v>50.278991273719903</v>
      </c>
      <c r="AL1910">
        <v>91.376505428586</v>
      </c>
      <c r="AM1910">
        <v>82.806970260280806</v>
      </c>
      <c r="AN1910">
        <v>0.99999996299626803</v>
      </c>
    </row>
    <row r="1911" spans="1:40" x14ac:dyDescent="0.25">
      <c r="A1911" t="str">
        <f>"20190312161304466"</f>
        <v>20190312161304466</v>
      </c>
      <c r="B1911" t="str">
        <f>"1552378384457360"</f>
        <v>1552378384457360</v>
      </c>
      <c r="C1911" t="s">
        <v>40</v>
      </c>
      <c r="D1911">
        <v>5.504899</v>
      </c>
      <c r="E1911">
        <v>0.4046865</v>
      </c>
      <c r="F1911" t="s">
        <v>74</v>
      </c>
      <c r="G1911">
        <v>-403.06060000000002</v>
      </c>
      <c r="H1911" s="1">
        <v>7.890988E-6</v>
      </c>
      <c r="I1911">
        <v>280.52210000000002</v>
      </c>
      <c r="J1911">
        <v>-355.75630000000001</v>
      </c>
      <c r="K1911">
        <v>1.109782</v>
      </c>
      <c r="L1911">
        <v>285.81060000000002</v>
      </c>
      <c r="M1911">
        <v>-0.99982320000000002</v>
      </c>
      <c r="N1911">
        <v>0</v>
      </c>
      <c r="O1911">
        <v>1.1088560000000001E-2</v>
      </c>
      <c r="P1911">
        <v>-0.98990420000000001</v>
      </c>
      <c r="Q1911">
        <v>-3.9214909999999999E-2</v>
      </c>
      <c r="R1911">
        <v>0.13620689999999999</v>
      </c>
      <c r="S1911">
        <v>-3.0746150000000001</v>
      </c>
      <c r="T1911">
        <v>-7.1475269999999994E-2</v>
      </c>
      <c r="U1911">
        <v>-0.34030149999999998</v>
      </c>
      <c r="V1911">
        <v>0.12522549999999999</v>
      </c>
      <c r="W1911">
        <v>-2.413183E-2</v>
      </c>
      <c r="X1911">
        <v>0.99183480000000002</v>
      </c>
      <c r="Y1911">
        <v>-0.12098970000000001</v>
      </c>
      <c r="Z1911">
        <v>-1.65887E-3</v>
      </c>
      <c r="AA1911">
        <v>0.99265239999999999</v>
      </c>
      <c r="AB1911">
        <v>42</v>
      </c>
      <c r="AC1911">
        <v>-47.304299999999998</v>
      </c>
      <c r="AD1911">
        <v>-1.1097741090119999</v>
      </c>
      <c r="AE1911">
        <v>-5.2884999999999902</v>
      </c>
      <c r="AF1911">
        <v>-5.8096137871846496</v>
      </c>
      <c r="AG1911">
        <v>-1.1097741090119999</v>
      </c>
      <c r="AH1911">
        <v>47.217075600319497</v>
      </c>
      <c r="AI1911">
        <v>91.336338944595198</v>
      </c>
      <c r="AJ1911">
        <v>97.014447417974594</v>
      </c>
      <c r="AK1911">
        <v>47.586084511919701</v>
      </c>
      <c r="AL1911">
        <v>91.382786214164199</v>
      </c>
      <c r="AM1911">
        <v>82.8041152138412</v>
      </c>
      <c r="AN1911">
        <v>1.00000002078021</v>
      </c>
    </row>
    <row r="1912" spans="1:40" x14ac:dyDescent="0.25">
      <c r="A1912" t="str">
        <f>"20190312161304487"</f>
        <v>20190312161304487</v>
      </c>
      <c r="B1912" t="str">
        <f>"1552378384477386"</f>
        <v>1552378384477386</v>
      </c>
      <c r="C1912" t="s">
        <v>40</v>
      </c>
      <c r="D1912">
        <v>5.4961449999999896</v>
      </c>
      <c r="E1912">
        <v>0.40441060000000001</v>
      </c>
      <c r="F1912" t="s">
        <v>74</v>
      </c>
      <c r="G1912">
        <v>-404.23009999999999</v>
      </c>
      <c r="H1912" s="1">
        <v>7.3970060000000002E-6</v>
      </c>
      <c r="I1912">
        <v>280.40289999999999</v>
      </c>
      <c r="J1912">
        <v>-356.15980000000002</v>
      </c>
      <c r="K1912">
        <v>1.1097870000000001</v>
      </c>
      <c r="L1912">
        <v>285.815</v>
      </c>
      <c r="M1912">
        <v>-0.99982400000000005</v>
      </c>
      <c r="N1912">
        <v>0</v>
      </c>
      <c r="O1912">
        <v>1.101182E-2</v>
      </c>
      <c r="P1912">
        <v>-0.98992749999999996</v>
      </c>
      <c r="Q1912">
        <v>-3.9067310000000001E-2</v>
      </c>
      <c r="R1912">
        <v>0.136078799999999</v>
      </c>
      <c r="S1912">
        <v>-3.075043</v>
      </c>
      <c r="T1912">
        <v>-7.0400950000000004E-2</v>
      </c>
      <c r="U1912">
        <v>-0.34304810000000002</v>
      </c>
      <c r="V1912">
        <v>0.12517300000000001</v>
      </c>
      <c r="W1912">
        <v>-2.3972940000000002E-2</v>
      </c>
      <c r="X1912">
        <v>0.99184530000000004</v>
      </c>
      <c r="Y1912">
        <v>-0.1217751</v>
      </c>
      <c r="Z1912">
        <v>-1.640847E-3</v>
      </c>
      <c r="AA1912">
        <v>0.99255629999999995</v>
      </c>
      <c r="AB1912">
        <v>42</v>
      </c>
      <c r="AC1912">
        <v>-48.070299999999897</v>
      </c>
      <c r="AD1912">
        <v>-1.1097796029939999</v>
      </c>
      <c r="AE1912">
        <v>-5.4120999999999997</v>
      </c>
      <c r="AF1912">
        <v>-5.9380490314270897</v>
      </c>
      <c r="AG1912">
        <v>-1.1097796029939999</v>
      </c>
      <c r="AH1912">
        <v>47.982526652563003</v>
      </c>
      <c r="AI1912">
        <v>91.314920718895493</v>
      </c>
      <c r="AJ1912">
        <v>97.054736226748503</v>
      </c>
      <c r="AK1912">
        <v>48.361295485447599</v>
      </c>
      <c r="AL1912">
        <v>91.3736798264284</v>
      </c>
      <c r="AM1912">
        <v>82.807175787912897</v>
      </c>
      <c r="AN1912">
        <v>1.00000004045666</v>
      </c>
    </row>
    <row r="1913" spans="1:40" x14ac:dyDescent="0.25">
      <c r="A1913" t="str">
        <f>"20190312161304501"</f>
        <v>20190312161304501</v>
      </c>
      <c r="B1913" t="str">
        <f>"1552378384497882"</f>
        <v>1552378384497882</v>
      </c>
      <c r="C1913" t="s">
        <v>40</v>
      </c>
      <c r="D1913">
        <v>5.3550639999999996</v>
      </c>
      <c r="E1913">
        <v>0.40418989999999999</v>
      </c>
      <c r="F1913" t="s">
        <v>74</v>
      </c>
      <c r="G1913">
        <v>-406.04259999999999</v>
      </c>
      <c r="H1913" s="1">
        <v>6.6324710000000003E-6</v>
      </c>
      <c r="I1913">
        <v>280.21300000000002</v>
      </c>
      <c r="J1913">
        <v>-356.42149999999998</v>
      </c>
      <c r="K1913">
        <v>1.109791</v>
      </c>
      <c r="L1913">
        <v>285.81790000000001</v>
      </c>
      <c r="M1913">
        <v>-0.9998245</v>
      </c>
      <c r="N1913">
        <v>0</v>
      </c>
      <c r="O1913">
        <v>1.0961830000000001E-2</v>
      </c>
      <c r="P1913">
        <v>-0.98993869999999895</v>
      </c>
      <c r="Q1913">
        <v>-3.89293E-2</v>
      </c>
      <c r="R1913">
        <v>0.13603699999999999</v>
      </c>
      <c r="S1913">
        <v>-3.0753170000000001</v>
      </c>
      <c r="T1913">
        <v>-6.8418859999999998E-2</v>
      </c>
      <c r="U1913">
        <v>-0.34536739999999999</v>
      </c>
      <c r="V1913">
        <v>0.12518070000000001</v>
      </c>
      <c r="W1913">
        <v>-2.3829019999999999E-2</v>
      </c>
      <c r="X1913">
        <v>0.99184779999999995</v>
      </c>
      <c r="Y1913">
        <v>-0.1224568</v>
      </c>
      <c r="Z1913">
        <v>-1.600902E-3</v>
      </c>
      <c r="AA1913">
        <v>0.99247249999999998</v>
      </c>
      <c r="AB1913">
        <v>42</v>
      </c>
      <c r="AC1913">
        <v>-49.621099999999998</v>
      </c>
      <c r="AD1913">
        <v>-1.109784367529</v>
      </c>
      <c r="AE1913">
        <v>-5.6049000000000397</v>
      </c>
      <c r="AF1913">
        <v>-6.1455287379910297</v>
      </c>
      <c r="AG1913">
        <v>-1.109784367529</v>
      </c>
      <c r="AH1913">
        <v>49.532206964315598</v>
      </c>
      <c r="AI1913">
        <v>91.273751676748006</v>
      </c>
      <c r="AJ1913">
        <v>97.072622313626695</v>
      </c>
      <c r="AK1913">
        <v>49.924329455363498</v>
      </c>
      <c r="AL1913">
        <v>91.365431456880103</v>
      </c>
      <c r="AM1913">
        <v>82.806755897960599</v>
      </c>
      <c r="AN1913">
        <v>1.0000000441057399</v>
      </c>
    </row>
    <row r="1914" spans="1:40" x14ac:dyDescent="0.25">
      <c r="A1914" t="str">
        <f>"20190312161304519"</f>
        <v>20190312161304519</v>
      </c>
      <c r="B1914" t="str">
        <f>"1552378384507642"</f>
        <v>1552378384507642</v>
      </c>
      <c r="C1914" t="s">
        <v>40</v>
      </c>
      <c r="D1914">
        <v>5.4319989999999896</v>
      </c>
      <c r="E1914">
        <v>0.40407490000000001</v>
      </c>
      <c r="F1914" t="s">
        <v>74</v>
      </c>
      <c r="G1914">
        <v>-403.60149999999999</v>
      </c>
      <c r="H1914" s="1">
        <v>7.6584259999999904E-6</v>
      </c>
      <c r="I1914">
        <v>280.48680000000002</v>
      </c>
      <c r="J1914">
        <v>-356.76159999999999</v>
      </c>
      <c r="K1914">
        <v>1.109804</v>
      </c>
      <c r="L1914">
        <v>285.82150000000001</v>
      </c>
      <c r="M1914">
        <v>-0.99982510000000002</v>
      </c>
      <c r="N1914">
        <v>0</v>
      </c>
      <c r="O1914">
        <v>1.0896940000000001E-2</v>
      </c>
      <c r="P1914">
        <v>-0.99002420000000002</v>
      </c>
      <c r="Q1914">
        <v>-3.8582859999999997E-2</v>
      </c>
      <c r="R1914">
        <v>0.13551250000000001</v>
      </c>
      <c r="S1914">
        <v>-3.0754389999999998</v>
      </c>
      <c r="T1914">
        <v>-7.2341559999999999E-2</v>
      </c>
      <c r="U1914">
        <v>-0.34750370000000003</v>
      </c>
      <c r="V1914">
        <v>0.1247196</v>
      </c>
      <c r="W1914">
        <v>-2.3474999999999999E-2</v>
      </c>
      <c r="X1914">
        <v>0.99191430000000003</v>
      </c>
      <c r="Y1914">
        <v>-0.1230647</v>
      </c>
      <c r="Z1914">
        <v>-1.698136E-3</v>
      </c>
      <c r="AA1914">
        <v>0.99239719999999998</v>
      </c>
      <c r="AB1914">
        <v>42</v>
      </c>
      <c r="AC1914">
        <v>-46.8399</v>
      </c>
      <c r="AD1914">
        <v>-1.109796341574</v>
      </c>
      <c r="AE1914">
        <v>-5.33469999999999</v>
      </c>
      <c r="AF1914">
        <v>-5.8416163805338801</v>
      </c>
      <c r="AG1914">
        <v>-1.109796341574</v>
      </c>
      <c r="AH1914">
        <v>46.753069680034997</v>
      </c>
      <c r="AI1914">
        <v>91.349309816440396</v>
      </c>
      <c r="AJ1914">
        <v>97.121978808544497</v>
      </c>
      <c r="AK1914">
        <v>47.129668515313099</v>
      </c>
      <c r="AL1914">
        <v>91.345141967132193</v>
      </c>
      <c r="AM1914">
        <v>82.833451502080607</v>
      </c>
      <c r="AN1914">
        <v>1.0000000163968199</v>
      </c>
    </row>
    <row r="1915" spans="1:40" x14ac:dyDescent="0.25">
      <c r="A1915" t="str">
        <f>"20190312161304533"</f>
        <v>20190312161304533</v>
      </c>
      <c r="B1915" t="str">
        <f>"1552378384527162"</f>
        <v>1552378384527162</v>
      </c>
      <c r="C1915" t="s">
        <v>40</v>
      </c>
      <c r="D1915">
        <v>5.4262069999999998</v>
      </c>
      <c r="E1915">
        <v>0.40388790000000002</v>
      </c>
      <c r="F1915" t="s">
        <v>74</v>
      </c>
      <c r="G1915">
        <v>-405.2867</v>
      </c>
      <c r="H1915" s="1">
        <v>6.9499519999999999E-6</v>
      </c>
      <c r="I1915">
        <v>280.29899999999998</v>
      </c>
      <c r="J1915">
        <v>-357.00510000000003</v>
      </c>
      <c r="K1915">
        <v>1.1098079999999999</v>
      </c>
      <c r="L1915">
        <v>285.82420000000002</v>
      </c>
      <c r="M1915">
        <v>-0.99982550000000003</v>
      </c>
      <c r="N1915">
        <v>0</v>
      </c>
      <c r="O1915">
        <v>1.0850479999999999E-2</v>
      </c>
      <c r="P1915">
        <v>-0.99007750000000005</v>
      </c>
      <c r="Q1915">
        <v>-3.8584460000000001E-2</v>
      </c>
      <c r="R1915">
        <v>0.13512199999999999</v>
      </c>
      <c r="S1915">
        <v>-3.0753780000000002</v>
      </c>
      <c r="T1915">
        <v>-7.0335750000000002E-2</v>
      </c>
      <c r="U1915">
        <v>-0.35000609999999999</v>
      </c>
      <c r="V1915">
        <v>0.1243745</v>
      </c>
      <c r="W1915">
        <v>-2.347194E-2</v>
      </c>
      <c r="X1915">
        <v>0.99195770000000005</v>
      </c>
      <c r="Y1915">
        <v>-0.12381979999999999</v>
      </c>
      <c r="Z1915">
        <v>-1.65856799999999E-3</v>
      </c>
      <c r="AA1915">
        <v>0.9923033</v>
      </c>
      <c r="AB1915">
        <v>42</v>
      </c>
      <c r="AC1915">
        <v>-48.281599999999898</v>
      </c>
      <c r="AD1915">
        <v>-1.109801050048</v>
      </c>
      <c r="AE1915">
        <v>-5.5251999999999803</v>
      </c>
      <c r="AF1915">
        <v>-6.0456608091773001</v>
      </c>
      <c r="AG1915">
        <v>-1.109801050048</v>
      </c>
      <c r="AH1915">
        <v>48.1936648111298</v>
      </c>
      <c r="AI1915">
        <v>91.308915844882407</v>
      </c>
      <c r="AJ1915">
        <v>97.150126978027302</v>
      </c>
      <c r="AK1915">
        <v>48.584061181809901</v>
      </c>
      <c r="AL1915">
        <v>91.344966597754095</v>
      </c>
      <c r="AM1915">
        <v>82.853385514751196</v>
      </c>
      <c r="AN1915">
        <v>1.0000000134034499</v>
      </c>
    </row>
    <row r="1916" spans="1:40" x14ac:dyDescent="0.25">
      <c r="A1916" t="str">
        <f>"20190312161304544"</f>
        <v>20190312161304544</v>
      </c>
      <c r="B1916" t="str">
        <f>"1552378384537898"</f>
        <v>1552378384537898</v>
      </c>
      <c r="C1916" t="s">
        <v>40</v>
      </c>
      <c r="D1916">
        <v>5.3921650000000003</v>
      </c>
      <c r="E1916">
        <v>0.40375100000000003</v>
      </c>
      <c r="F1916" t="s">
        <v>74</v>
      </c>
      <c r="G1916">
        <v>-406.29289999999997</v>
      </c>
      <c r="H1916" s="1">
        <v>6.5296769999999999E-6</v>
      </c>
      <c r="I1916">
        <v>280.17340000000002</v>
      </c>
      <c r="J1916">
        <v>-357.23930000000001</v>
      </c>
      <c r="K1916">
        <v>1.1098110000000001</v>
      </c>
      <c r="L1916">
        <v>285.82670000000002</v>
      </c>
      <c r="M1916">
        <v>-0.99982590000000005</v>
      </c>
      <c r="N1916">
        <v>0</v>
      </c>
      <c r="O1916">
        <v>1.080563E-2</v>
      </c>
      <c r="P1916">
        <v>-0.99008350000000001</v>
      </c>
      <c r="Q1916">
        <v>-3.8571950000000001E-2</v>
      </c>
      <c r="R1916">
        <v>0.13508129999999999</v>
      </c>
      <c r="S1916">
        <v>-3.0754999999999999</v>
      </c>
      <c r="T1916">
        <v>-6.9250350000000002E-2</v>
      </c>
      <c r="U1916">
        <v>-0.35260010000000003</v>
      </c>
      <c r="V1916">
        <v>0.12437810000000001</v>
      </c>
      <c r="W1916">
        <v>-2.3456049999999999E-2</v>
      </c>
      <c r="X1916">
        <v>0.99195759999999999</v>
      </c>
      <c r="Y1916">
        <v>-0.1245979</v>
      </c>
      <c r="Z1916">
        <v>-1.6405619999999999E-3</v>
      </c>
      <c r="AA1916">
        <v>0.99220600000000003</v>
      </c>
      <c r="AB1916">
        <v>42</v>
      </c>
      <c r="AC1916">
        <v>-49.053599999999904</v>
      </c>
      <c r="AD1916">
        <v>-1.1098044703229999</v>
      </c>
      <c r="AE1916">
        <v>-5.6532999999999998</v>
      </c>
      <c r="AF1916">
        <v>-6.1799644489666496</v>
      </c>
      <c r="AG1916">
        <v>-1.1098044703229999</v>
      </c>
      <c r="AH1916">
        <v>48.964906275910998</v>
      </c>
      <c r="AI1916">
        <v>91.288187864385307</v>
      </c>
      <c r="AJ1916">
        <v>97.1933868205073</v>
      </c>
      <c r="AK1916">
        <v>49.365835080160402</v>
      </c>
      <c r="AL1916">
        <v>91.344055949748594</v>
      </c>
      <c r="AM1916">
        <v>82.853180083073298</v>
      </c>
      <c r="AN1916">
        <v>0.99999998911948595</v>
      </c>
    </row>
    <row r="1917" spans="1:40" x14ac:dyDescent="0.25">
      <c r="A1917" t="str">
        <f>"20190312161304556"</f>
        <v>20190312161304556</v>
      </c>
      <c r="B1917" t="str">
        <f>"1552378384547658"</f>
        <v>1552378384547658</v>
      </c>
      <c r="C1917" t="s">
        <v>40</v>
      </c>
      <c r="D1917">
        <v>5.3913589999999996</v>
      </c>
      <c r="E1917">
        <v>0.40365040000000002</v>
      </c>
      <c r="F1917" t="s">
        <v>74</v>
      </c>
      <c r="G1917">
        <v>-406.61680000000001</v>
      </c>
      <c r="H1917" s="1">
        <v>6.3916589999999996E-6</v>
      </c>
      <c r="I1917">
        <v>280.1463</v>
      </c>
      <c r="J1917">
        <v>-357.45299999999997</v>
      </c>
      <c r="K1917">
        <v>1.10981</v>
      </c>
      <c r="L1917">
        <v>285.82900000000001</v>
      </c>
      <c r="M1917">
        <v>-0.99982629999999995</v>
      </c>
      <c r="N1917">
        <v>0</v>
      </c>
      <c r="O1917">
        <v>1.076473E-2</v>
      </c>
      <c r="P1917">
        <v>-0.99010929999999997</v>
      </c>
      <c r="Q1917">
        <v>-3.8405580000000002E-2</v>
      </c>
      <c r="R1917">
        <v>0.1349399</v>
      </c>
      <c r="S1917">
        <v>-3.0756230000000002</v>
      </c>
      <c r="T1917">
        <v>-6.9127560000000005E-2</v>
      </c>
      <c r="U1917">
        <v>-0.35382079999999999</v>
      </c>
      <c r="V1917">
        <v>0.1242772</v>
      </c>
      <c r="W1917">
        <v>-2.328686E-2</v>
      </c>
      <c r="X1917">
        <v>0.99197420000000003</v>
      </c>
      <c r="Y1917">
        <v>-0.1249416</v>
      </c>
      <c r="Z1917">
        <v>-1.6404849999999999E-3</v>
      </c>
      <c r="AA1917">
        <v>0.99216280000000001</v>
      </c>
      <c r="AB1917">
        <v>42</v>
      </c>
      <c r="AC1917">
        <v>-49.163799999999902</v>
      </c>
      <c r="AD1917">
        <v>-1.1098036083409999</v>
      </c>
      <c r="AE1917">
        <v>-5.6827000000000103</v>
      </c>
      <c r="AF1917">
        <v>-6.2085450003695</v>
      </c>
      <c r="AG1917">
        <v>-1.1098036083409999</v>
      </c>
      <c r="AH1917">
        <v>49.075093554549703</v>
      </c>
      <c r="AI1917">
        <v>91.285247715066802</v>
      </c>
      <c r="AJ1917">
        <v>97.2102491634475</v>
      </c>
      <c r="AK1917">
        <v>49.478707566573597</v>
      </c>
      <c r="AL1917">
        <v>91.334359471123804</v>
      </c>
      <c r="AM1917">
        <v>82.859036229341001</v>
      </c>
      <c r="AN1917">
        <v>0.999999956877068</v>
      </c>
    </row>
    <row r="1918" spans="1:40" x14ac:dyDescent="0.25">
      <c r="A1918" t="str">
        <f>"20190312161304568"</f>
        <v>20190312161304568</v>
      </c>
      <c r="B1918" t="str">
        <f>"1552378384557418"</f>
        <v>1552378384557418</v>
      </c>
      <c r="C1918" t="s">
        <v>40</v>
      </c>
      <c r="D1918">
        <v>5.3831230000000003</v>
      </c>
      <c r="E1918">
        <v>0.40353020000000001</v>
      </c>
      <c r="F1918" t="s">
        <v>74</v>
      </c>
      <c r="G1918">
        <v>-407.85199999999998</v>
      </c>
      <c r="H1918" s="1">
        <v>5.872174E-6</v>
      </c>
      <c r="I1918">
        <v>280.0093</v>
      </c>
      <c r="J1918">
        <v>-357.68299999999999</v>
      </c>
      <c r="K1918">
        <v>1.109815</v>
      </c>
      <c r="L1918">
        <v>285.83139999999997</v>
      </c>
      <c r="M1918">
        <v>-0.99982680000000002</v>
      </c>
      <c r="N1918">
        <v>0</v>
      </c>
      <c r="O1918">
        <v>1.072043E-2</v>
      </c>
      <c r="P1918">
        <v>-0.99014190000000002</v>
      </c>
      <c r="Q1918">
        <v>-3.8354390000000002E-2</v>
      </c>
      <c r="R1918">
        <v>0.134715</v>
      </c>
      <c r="S1918">
        <v>-3.075745</v>
      </c>
      <c r="T1918">
        <v>-6.7728999999999998E-2</v>
      </c>
      <c r="U1918">
        <v>-0.35516360000000002</v>
      </c>
      <c r="V1918">
        <v>0.1240957</v>
      </c>
      <c r="W1918">
        <v>-2.323279E-2</v>
      </c>
      <c r="X1918">
        <v>0.9919983</v>
      </c>
      <c r="Y1918">
        <v>-0.12532190000000001</v>
      </c>
      <c r="Z1918">
        <v>-1.6103999999999999E-3</v>
      </c>
      <c r="AA1918">
        <v>0.99211479999999996</v>
      </c>
      <c r="AB1918">
        <v>42</v>
      </c>
      <c r="AC1918">
        <v>-50.168999999999897</v>
      </c>
      <c r="AD1918">
        <v>-1.1098091278260001</v>
      </c>
      <c r="AE1918">
        <v>-5.8220999999999696</v>
      </c>
      <c r="AF1918">
        <v>-6.3565915492914797</v>
      </c>
      <c r="AG1918">
        <v>-1.1098091278260001</v>
      </c>
      <c r="AH1918">
        <v>50.079512614408003</v>
      </c>
      <c r="AI1918">
        <v>91.259419039913695</v>
      </c>
      <c r="AJ1918">
        <v>97.233868860371501</v>
      </c>
      <c r="AK1918">
        <v>50.493519545792999</v>
      </c>
      <c r="AL1918">
        <v>91.331260504191704</v>
      </c>
      <c r="AM1918">
        <v>82.869529233768105</v>
      </c>
      <c r="AN1918">
        <v>1.00000006624628</v>
      </c>
    </row>
    <row r="1919" spans="1:40" x14ac:dyDescent="0.25">
      <c r="A1919" t="str">
        <f>"20190312161304581"</f>
        <v>20190312161304581</v>
      </c>
      <c r="B1919" t="str">
        <f>"1552378384567685"</f>
        <v>1552378384567685</v>
      </c>
      <c r="C1919" t="s">
        <v>40</v>
      </c>
      <c r="D1919">
        <v>5.1115909999999998</v>
      </c>
      <c r="E1919">
        <v>0.40343079999999998</v>
      </c>
      <c r="F1919" t="s">
        <v>74</v>
      </c>
      <c r="G1919">
        <v>-409.17219999999998</v>
      </c>
      <c r="H1919" s="1">
        <v>5.3178930000000004E-6</v>
      </c>
      <c r="I1919">
        <v>279.85840000000002</v>
      </c>
      <c r="J1919">
        <v>-357.91660000000002</v>
      </c>
      <c r="K1919">
        <v>1.1098170000000001</v>
      </c>
      <c r="L1919">
        <v>285.83390000000003</v>
      </c>
      <c r="M1919">
        <v>-0.99982720000000003</v>
      </c>
      <c r="N1919">
        <v>0</v>
      </c>
      <c r="O1919">
        <v>1.067601E-2</v>
      </c>
      <c r="P1919">
        <v>-0.9901413</v>
      </c>
      <c r="Q1919">
        <v>-3.8209809999999997E-2</v>
      </c>
      <c r="R1919">
        <v>0.1347604</v>
      </c>
      <c r="S1919">
        <v>-3.075806</v>
      </c>
      <c r="T1919">
        <v>-6.6296460000000002E-2</v>
      </c>
      <c r="U1919">
        <v>-0.3568115</v>
      </c>
      <c r="V1919">
        <v>0.124185199999999</v>
      </c>
      <c r="W1919">
        <v>-2.3086289999999999E-2</v>
      </c>
      <c r="X1919">
        <v>0.99199040000000005</v>
      </c>
      <c r="Y1919">
        <v>-0.12580139999999901</v>
      </c>
      <c r="Z1919">
        <v>-1.5804619999999999E-3</v>
      </c>
      <c r="AA1919">
        <v>0.9920542</v>
      </c>
      <c r="AB1919">
        <v>42</v>
      </c>
      <c r="AC1919">
        <v>-51.255599999999902</v>
      </c>
      <c r="AD1919">
        <v>-1.1098116821070001</v>
      </c>
      <c r="AE1919">
        <v>-5.97550000000001</v>
      </c>
      <c r="AF1919">
        <v>-6.5194125348691498</v>
      </c>
      <c r="AG1919">
        <v>-1.1098116821070001</v>
      </c>
      <c r="AH1919">
        <v>51.165210211024899</v>
      </c>
      <c r="AI1919">
        <v>91.232630637795396</v>
      </c>
      <c r="AJ1919">
        <v>97.261433542451201</v>
      </c>
      <c r="AK1919">
        <v>51.590824355770003</v>
      </c>
      <c r="AL1919">
        <v>91.322864578585495</v>
      </c>
      <c r="AM1919">
        <v>82.8643833637081</v>
      </c>
      <c r="AN1919">
        <v>0.99999994718857999</v>
      </c>
    </row>
    <row r="1920" spans="1:40" x14ac:dyDescent="0.25">
      <c r="A1920" t="str">
        <f>"20190312161304594"</f>
        <v>20190312161304594</v>
      </c>
      <c r="B1920" t="str">
        <f>"1552378384587205"</f>
        <v>1552378384587205</v>
      </c>
      <c r="C1920" t="s">
        <v>40</v>
      </c>
      <c r="D1920">
        <v>5.3610639999999998</v>
      </c>
      <c r="E1920">
        <v>0.40323350000000002</v>
      </c>
      <c r="F1920" t="s">
        <v>74</v>
      </c>
      <c r="G1920">
        <v>-410.48480000000001</v>
      </c>
      <c r="H1920" s="1">
        <v>2.719302E-6</v>
      </c>
      <c r="I1920">
        <v>279.72570000000002</v>
      </c>
      <c r="J1920">
        <v>-358.14299999999997</v>
      </c>
      <c r="K1920">
        <v>1.10982</v>
      </c>
      <c r="L1920">
        <v>285.83629999999999</v>
      </c>
      <c r="M1920">
        <v>-0.99982760000000004</v>
      </c>
      <c r="N1920">
        <v>0</v>
      </c>
      <c r="O1920">
        <v>1.063272E-2</v>
      </c>
      <c r="P1920">
        <v>-0.9901546</v>
      </c>
      <c r="Q1920">
        <v>-3.8057319999999999E-2</v>
      </c>
      <c r="R1920">
        <v>0.13470589999999999</v>
      </c>
      <c r="S1920">
        <v>-3.07605</v>
      </c>
      <c r="T1920">
        <v>-6.4941170000000006E-2</v>
      </c>
      <c r="U1920">
        <v>-0.35742190000000001</v>
      </c>
      <c r="V1920">
        <v>0.1241734</v>
      </c>
      <c r="W1920">
        <v>-2.2932049999999999E-2</v>
      </c>
      <c r="X1920">
        <v>0.99199550000000003</v>
      </c>
      <c r="Y1920">
        <v>-0.125944899999999</v>
      </c>
      <c r="Z1920">
        <v>-1.548619E-3</v>
      </c>
      <c r="AA1920">
        <v>0.99203600000000003</v>
      </c>
      <c r="AB1920">
        <v>42</v>
      </c>
      <c r="AC1920">
        <v>-52.3417999999999</v>
      </c>
      <c r="AD1920">
        <v>-1.109817280698</v>
      </c>
      <c r="AE1920">
        <v>-6.1105999999999696</v>
      </c>
      <c r="AF1920">
        <v>-6.6638990246788703</v>
      </c>
      <c r="AG1920">
        <v>-1.109817280698</v>
      </c>
      <c r="AH1920">
        <v>52.250685722971703</v>
      </c>
      <c r="AI1920">
        <v>91.207019353421501</v>
      </c>
      <c r="AJ1920">
        <v>97.2680980519781</v>
      </c>
      <c r="AK1920">
        <v>52.6856090704892</v>
      </c>
      <c r="AL1920">
        <v>91.314024877789507</v>
      </c>
      <c r="AM1920">
        <v>82.865090701189402</v>
      </c>
      <c r="AN1920">
        <v>0.99999999210250601</v>
      </c>
    </row>
    <row r="1921" spans="1:40" x14ac:dyDescent="0.25">
      <c r="A1921" t="str">
        <f>"20190312161304608"</f>
        <v>20190312161304608</v>
      </c>
      <c r="B1921" t="str">
        <f>"1552378384597941"</f>
        <v>1552378384597941</v>
      </c>
      <c r="C1921" t="s">
        <v>40</v>
      </c>
      <c r="D1921">
        <v>5.3350929999999996</v>
      </c>
      <c r="E1921">
        <v>0.40315570000000001</v>
      </c>
      <c r="F1921" t="s">
        <v>74</v>
      </c>
      <c r="G1921">
        <v>-412.7133</v>
      </c>
      <c r="H1921" s="1">
        <v>3.1770319999999999E-6</v>
      </c>
      <c r="I1921">
        <v>279.4667</v>
      </c>
      <c r="J1921">
        <v>-358.43079999999998</v>
      </c>
      <c r="K1921">
        <v>1.109828</v>
      </c>
      <c r="L1921">
        <v>285.83929999999998</v>
      </c>
      <c r="M1921">
        <v>-0.99982819999999994</v>
      </c>
      <c r="N1921">
        <v>0</v>
      </c>
      <c r="O1921">
        <v>1.0577049999999999E-2</v>
      </c>
      <c r="P1921">
        <v>-0.99014519999999995</v>
      </c>
      <c r="Q1921">
        <v>-3.8033360000000002E-2</v>
      </c>
      <c r="R1921">
        <v>0.1347807</v>
      </c>
      <c r="S1921">
        <v>-3.0762939999999999</v>
      </c>
      <c r="T1921">
        <v>-6.2563779999999999E-2</v>
      </c>
      <c r="U1921">
        <v>-0.35906979999999999</v>
      </c>
      <c r="V1921">
        <v>0.12430339999999999</v>
      </c>
      <c r="W1921">
        <v>-2.2906699999999999E-2</v>
      </c>
      <c r="X1921">
        <v>0.99197979999999997</v>
      </c>
      <c r="Y1921">
        <v>-0.12640699999999999</v>
      </c>
      <c r="Z1921">
        <v>-1.4953290000000001E-3</v>
      </c>
      <c r="AA1921">
        <v>0.99197729999999995</v>
      </c>
      <c r="AB1921">
        <v>42</v>
      </c>
      <c r="AC1921">
        <v>-54.282499999999999</v>
      </c>
      <c r="AD1921">
        <v>-1.1098248229679999</v>
      </c>
      <c r="AE1921">
        <v>-6.3725999999999701</v>
      </c>
      <c r="AF1921">
        <v>-6.9435956351087196</v>
      </c>
      <c r="AG1921">
        <v>-1.1098248229679999</v>
      </c>
      <c r="AH1921">
        <v>54.189707668215902</v>
      </c>
      <c r="AI1921">
        <v>91.163762166759696</v>
      </c>
      <c r="AJ1921">
        <v>97.301803763261503</v>
      </c>
      <c r="AK1921">
        <v>54.644026651119603</v>
      </c>
      <c r="AL1921">
        <v>91.312572053673506</v>
      </c>
      <c r="AM1921">
        <v>82.857586229321896</v>
      </c>
      <c r="AN1921">
        <v>0.99999998788224398</v>
      </c>
    </row>
    <row r="1922" spans="1:40" x14ac:dyDescent="0.25">
      <c r="A1922" t="str">
        <f>"20190312161304622"</f>
        <v>20190312161304622</v>
      </c>
      <c r="B1922" t="str">
        <f>"1552378384617461"</f>
        <v>1552378384617461</v>
      </c>
      <c r="C1922" t="s">
        <v>40</v>
      </c>
      <c r="D1922">
        <v>5.2886199999999999</v>
      </c>
      <c r="E1922">
        <v>0.40312360000000003</v>
      </c>
      <c r="F1922" t="s">
        <v>74</v>
      </c>
      <c r="G1922">
        <v>-413.46530000000001</v>
      </c>
      <c r="H1922" s="1">
        <v>3.3313070000000002E-6</v>
      </c>
      <c r="I1922">
        <v>279.40769999999998</v>
      </c>
      <c r="J1922">
        <v>-358.68040000000002</v>
      </c>
      <c r="K1922">
        <v>1.109834</v>
      </c>
      <c r="L1922">
        <v>285.84190000000001</v>
      </c>
      <c r="M1922">
        <v>-0.99982879999999996</v>
      </c>
      <c r="N1922">
        <v>0</v>
      </c>
      <c r="O1922">
        <v>1.052906E-2</v>
      </c>
      <c r="P1922">
        <v>-0.99016400000000004</v>
      </c>
      <c r="Q1922">
        <v>-3.776653E-2</v>
      </c>
      <c r="R1922">
        <v>0.13471939999999999</v>
      </c>
      <c r="S1922">
        <v>-3.0764469999999999</v>
      </c>
      <c r="T1922">
        <v>-6.2039490000000003E-2</v>
      </c>
      <c r="U1922">
        <v>-0.3595276</v>
      </c>
      <c r="V1922">
        <v>0.12428980000000001</v>
      </c>
      <c r="W1922">
        <v>-2.2638769999999999E-2</v>
      </c>
      <c r="X1922">
        <v>0.99198759999999997</v>
      </c>
      <c r="Y1922">
        <v>-0.1264998</v>
      </c>
      <c r="Z1922">
        <v>-1.4826829999999901E-3</v>
      </c>
      <c r="AA1922">
        <v>0.99196549999999994</v>
      </c>
      <c r="AB1922">
        <v>42</v>
      </c>
      <c r="AC1922">
        <v>-54.784899999999901</v>
      </c>
      <c r="AD1922">
        <v>-1.109830668693</v>
      </c>
      <c r="AE1922">
        <v>-6.4342000000000299</v>
      </c>
      <c r="AF1922">
        <v>-7.00790672597644</v>
      </c>
      <c r="AG1922">
        <v>-1.109830668693</v>
      </c>
      <c r="AH1922">
        <v>54.691969133947403</v>
      </c>
      <c r="AI1922">
        <v>91.153083897802404</v>
      </c>
      <c r="AJ1922">
        <v>97.301756188485498</v>
      </c>
      <c r="AK1922">
        <v>55.150285298825096</v>
      </c>
      <c r="AL1922">
        <v>91.297216883783904</v>
      </c>
      <c r="AM1922">
        <v>82.858415184445903</v>
      </c>
      <c r="AN1922">
        <v>0.99999993342245397</v>
      </c>
    </row>
    <row r="1923" spans="1:40" x14ac:dyDescent="0.25">
      <c r="A1923" t="str">
        <f>"20190312161304635"</f>
        <v>20190312161304635</v>
      </c>
      <c r="B1923" t="str">
        <f>"1552378384627221"</f>
        <v>1552378384627221</v>
      </c>
      <c r="C1923" t="s">
        <v>40</v>
      </c>
      <c r="D1923">
        <v>5.3993900000000004</v>
      </c>
      <c r="E1923">
        <v>0.40312360000000003</v>
      </c>
      <c r="F1923" t="s">
        <v>74</v>
      </c>
      <c r="G1923">
        <v>-413.77789999999999</v>
      </c>
      <c r="H1923" s="1">
        <v>3.3920840000000001E-6</v>
      </c>
      <c r="I1923">
        <v>279.39260000000002</v>
      </c>
      <c r="J1923">
        <v>-358.91120000000001</v>
      </c>
      <c r="K1923">
        <v>1.109837</v>
      </c>
      <c r="L1923">
        <v>285.8442</v>
      </c>
      <c r="M1923">
        <v>-0.99982910000000003</v>
      </c>
      <c r="N1923">
        <v>0</v>
      </c>
      <c r="O1923">
        <v>1.048466E-2</v>
      </c>
      <c r="P1923">
        <v>-0.99017699999999997</v>
      </c>
      <c r="Q1923">
        <v>-3.7455330000000002E-2</v>
      </c>
      <c r="R1923">
        <v>0.13471029999999901</v>
      </c>
      <c r="S1923">
        <v>-3.0764770000000001</v>
      </c>
      <c r="T1923">
        <v>-6.196952E-2</v>
      </c>
      <c r="U1923">
        <v>-0.36010740000000002</v>
      </c>
      <c r="V1923">
        <v>0.1243245</v>
      </c>
      <c r="W1923">
        <v>-2.232696E-2</v>
      </c>
      <c r="X1923">
        <v>0.99199040000000005</v>
      </c>
      <c r="Y1923">
        <v>-0.1266391</v>
      </c>
      <c r="Z1923">
        <v>-1.4814870000000001E-3</v>
      </c>
      <c r="AA1923">
        <v>0.99194780000000005</v>
      </c>
      <c r="AB1923">
        <v>42</v>
      </c>
      <c r="AC1923">
        <v>-54.866699999999902</v>
      </c>
      <c r="AD1923">
        <v>-1.1098336079160001</v>
      </c>
      <c r="AE1923">
        <v>-6.4515999999999796</v>
      </c>
      <c r="AF1923">
        <v>-7.0237360229477401</v>
      </c>
      <c r="AG1923">
        <v>-1.1098336079160001</v>
      </c>
      <c r="AH1923">
        <v>54.773926944989903</v>
      </c>
      <c r="AI1923">
        <v>91.151347941078498</v>
      </c>
      <c r="AJ1923">
        <v>97.307239099187697</v>
      </c>
      <c r="AK1923">
        <v>55.233573769333503</v>
      </c>
      <c r="AL1923">
        <v>91.279346865314807</v>
      </c>
      <c r="AM1923">
        <v>82.856461902951494</v>
      </c>
      <c r="AN1923">
        <v>1.00000001406762</v>
      </c>
    </row>
    <row r="1924" spans="1:40" x14ac:dyDescent="0.25">
      <c r="A1924" t="str">
        <f>"20190312161304656"</f>
        <v>20190312161304656</v>
      </c>
      <c r="B1924" t="str">
        <f>"1552378384647717"</f>
        <v>1552378384647717</v>
      </c>
      <c r="C1924" t="s">
        <v>40</v>
      </c>
      <c r="D1924">
        <v>5.091367</v>
      </c>
      <c r="E1924">
        <v>0.42959560000000002</v>
      </c>
      <c r="F1924" t="s">
        <v>74</v>
      </c>
      <c r="G1924">
        <v>-415.13510000000002</v>
      </c>
      <c r="H1924" s="1">
        <v>3.677074E-6</v>
      </c>
      <c r="I1924">
        <v>279.26749999999998</v>
      </c>
      <c r="J1924">
        <v>-359.29930000000002</v>
      </c>
      <c r="K1924">
        <v>1.109845</v>
      </c>
      <c r="L1924">
        <v>285.84829999999999</v>
      </c>
      <c r="M1924">
        <v>-0.99982990000000005</v>
      </c>
      <c r="N1924">
        <v>0</v>
      </c>
      <c r="O1924">
        <v>1.040951E-2</v>
      </c>
      <c r="P1924">
        <v>-0.99018479999999998</v>
      </c>
      <c r="Q1924">
        <v>-3.7269660000000003E-2</v>
      </c>
      <c r="R1924">
        <v>0.13470379999999901</v>
      </c>
      <c r="S1924">
        <v>-3.076416</v>
      </c>
      <c r="T1924">
        <v>-6.0727000000000003E-2</v>
      </c>
      <c r="U1924">
        <v>-0.3598633</v>
      </c>
      <c r="V1924">
        <v>0.12439210000000001</v>
      </c>
      <c r="W1924">
        <v>-2.2141129999999998E-2</v>
      </c>
      <c r="X1924">
        <v>0.99198609999999998</v>
      </c>
      <c r="Y1924">
        <v>-0.1264903</v>
      </c>
      <c r="Z1924">
        <v>-1.448881E-3</v>
      </c>
      <c r="AA1924">
        <v>0.99196680000000004</v>
      </c>
      <c r="AB1924">
        <v>42</v>
      </c>
      <c r="AC1924">
        <v>-55.835799999999999</v>
      </c>
      <c r="AD1924">
        <v>-1.109841322926</v>
      </c>
      <c r="AE1924">
        <v>-6.5808000000000098</v>
      </c>
      <c r="AF1924">
        <v>-7.15894438686838</v>
      </c>
      <c r="AG1924">
        <v>-1.109841322926</v>
      </c>
      <c r="AH1924">
        <v>55.7425416466276</v>
      </c>
      <c r="AI1924">
        <v>91.131326377778095</v>
      </c>
      <c r="AJ1924">
        <v>97.318364008465295</v>
      </c>
      <c r="AK1924">
        <v>56.211326098237201</v>
      </c>
      <c r="AL1924">
        <v>91.268696946186495</v>
      </c>
      <c r="AM1924">
        <v>82.852587185570798</v>
      </c>
      <c r="AN1924">
        <v>1.00000002338664</v>
      </c>
    </row>
    <row r="1925" spans="1:40" x14ac:dyDescent="0.25">
      <c r="A1925" t="str">
        <f>"20190312161304677"</f>
        <v>20190312161304677</v>
      </c>
      <c r="B1925" t="str">
        <f>"1552378384667744"</f>
        <v>1552378384667744</v>
      </c>
      <c r="C1925" t="s">
        <v>40</v>
      </c>
      <c r="D1925">
        <v>5.1024000000000003</v>
      </c>
      <c r="E1925">
        <v>0.4320271</v>
      </c>
      <c r="F1925" t="s">
        <v>63</v>
      </c>
      <c r="G1925">
        <v>-492.24369999999999</v>
      </c>
      <c r="H1925" s="1">
        <v>3.0818080000000001E-6</v>
      </c>
      <c r="I1925">
        <v>279.34559999999999</v>
      </c>
      <c r="J1925">
        <v>-359.70409999999998</v>
      </c>
      <c r="K1925">
        <v>1.109853</v>
      </c>
      <c r="L1925">
        <v>285.85239999999999</v>
      </c>
      <c r="M1925">
        <v>-0.99983060000000001</v>
      </c>
      <c r="N1925">
        <v>0</v>
      </c>
      <c r="O1925">
        <v>1.0331379999999999E-2</v>
      </c>
      <c r="P1925">
        <v>-0.99020019999999997</v>
      </c>
      <c r="Q1925">
        <v>-3.6722299999999999E-2</v>
      </c>
      <c r="R1925">
        <v>0.13474059999999999</v>
      </c>
      <c r="S1925">
        <v>-3.0490719999999998</v>
      </c>
      <c r="T1925">
        <v>-2.545416E-2</v>
      </c>
      <c r="U1925">
        <v>-0.14913940000000001</v>
      </c>
      <c r="V1925">
        <v>0.124506199999999</v>
      </c>
      <c r="W1925">
        <v>-2.1593999999999999E-2</v>
      </c>
      <c r="X1925">
        <v>0.99198379999999997</v>
      </c>
      <c r="Y1925">
        <v>-5.9169859999999998E-2</v>
      </c>
      <c r="Z1925">
        <v>-3.3303750000000001E-4</v>
      </c>
      <c r="AA1925">
        <v>0.99824789999999997</v>
      </c>
      <c r="AB1925">
        <v>42</v>
      </c>
      <c r="AC1925">
        <v>-132.53960000000001</v>
      </c>
      <c r="AD1925">
        <v>-1.1098499181919901</v>
      </c>
      <c r="AE1925">
        <v>-6.5067999999999904</v>
      </c>
      <c r="AF1925">
        <v>-7.8753776271381097</v>
      </c>
      <c r="AG1925">
        <v>-1.1098499181919901</v>
      </c>
      <c r="AH1925">
        <v>132.45602729363699</v>
      </c>
      <c r="AI1925">
        <v>90.4792242149733</v>
      </c>
      <c r="AJ1925">
        <v>93.402603321297207</v>
      </c>
      <c r="AK1925">
        <v>132.69458355947901</v>
      </c>
      <c r="AL1925">
        <v>91.237341266100799</v>
      </c>
      <c r="AM1925">
        <v>82.846082624242101</v>
      </c>
      <c r="AN1925">
        <v>0.99999997706843902</v>
      </c>
    </row>
    <row r="1926" spans="1:40" x14ac:dyDescent="0.25">
      <c r="A1926" t="str">
        <f>"20190312161304698"</f>
        <v>20190312161304698</v>
      </c>
      <c r="B1926" t="str">
        <f>"1552378384687265"</f>
        <v>1552378384687265</v>
      </c>
      <c r="C1926" t="s">
        <v>40</v>
      </c>
      <c r="D1926">
        <v>5.0801939999999997</v>
      </c>
      <c r="E1926">
        <v>0.43352400000000002</v>
      </c>
      <c r="F1926" t="s">
        <v>73</v>
      </c>
      <c r="G1926">
        <v>-515.44200000000001</v>
      </c>
      <c r="H1926">
        <v>1.3391709999999999</v>
      </c>
      <c r="I1926">
        <v>279.27539999999999</v>
      </c>
      <c r="J1926">
        <v>-360.09550000000002</v>
      </c>
      <c r="K1926">
        <v>1.1098570000000001</v>
      </c>
      <c r="L1926">
        <v>285.85640000000001</v>
      </c>
      <c r="M1926">
        <v>-0.99983149999999998</v>
      </c>
      <c r="N1926">
        <v>0</v>
      </c>
      <c r="O1926">
        <v>1.025558E-2</v>
      </c>
      <c r="P1926">
        <v>-0.99026720000000001</v>
      </c>
      <c r="Q1926">
        <v>-3.6068839999999998E-2</v>
      </c>
      <c r="R1926">
        <v>0.1344245</v>
      </c>
      <c r="S1926">
        <v>-3.0473629999999998</v>
      </c>
      <c r="T1926">
        <v>4.4887069999999998E-3</v>
      </c>
      <c r="U1926">
        <v>-0.12869259999999999</v>
      </c>
      <c r="V1926">
        <v>0.12426429999999999</v>
      </c>
      <c r="W1926">
        <v>-2.0940360000000002E-2</v>
      </c>
      <c r="X1926">
        <v>0.99202820000000003</v>
      </c>
      <c r="Y1926">
        <v>-5.243855E-2</v>
      </c>
      <c r="Z1926" s="1">
        <v>5.3705149999999999E-5</v>
      </c>
      <c r="AA1926">
        <v>0.99862410000000001</v>
      </c>
      <c r="AB1926">
        <v>42</v>
      </c>
      <c r="AC1926">
        <v>-155.34649999999999</v>
      </c>
      <c r="AD1926">
        <v>0.22931399999999999</v>
      </c>
      <c r="AE1926">
        <v>-6.5810000000000102</v>
      </c>
      <c r="AF1926">
        <v>-8.1739891813103593</v>
      </c>
      <c r="AG1926">
        <v>0.22931399999999999</v>
      </c>
      <c r="AH1926">
        <v>155.27049093319599</v>
      </c>
      <c r="AI1926">
        <v>89.915498775135603</v>
      </c>
      <c r="AJ1926">
        <v>93.0134712526595</v>
      </c>
      <c r="AK1926">
        <v>155.48566505849499</v>
      </c>
      <c r="AL1926">
        <v>91.199881912772</v>
      </c>
      <c r="AM1926">
        <v>82.860154471478296</v>
      </c>
      <c r="AN1926">
        <v>1.00000003226332</v>
      </c>
    </row>
    <row r="1927" spans="1:40" x14ac:dyDescent="0.25">
      <c r="A1927" t="str">
        <f>"20190312161304711"</f>
        <v>20190312161304711</v>
      </c>
      <c r="B1927" t="str">
        <f>"1552378384707761"</f>
        <v>1552378384707761</v>
      </c>
      <c r="C1927" t="s">
        <v>40</v>
      </c>
      <c r="D1927">
        <v>5.1880319999999998</v>
      </c>
      <c r="E1927">
        <v>0.43386609999999998</v>
      </c>
      <c r="F1927" t="s">
        <v>73</v>
      </c>
      <c r="G1927">
        <v>-551.06240000000003</v>
      </c>
      <c r="H1927">
        <v>1.705247</v>
      </c>
      <c r="I1927">
        <v>278.47449999999998</v>
      </c>
      <c r="J1927">
        <v>-360.34690000000001</v>
      </c>
      <c r="K1927">
        <v>1.109858</v>
      </c>
      <c r="L1927">
        <v>285.85890000000001</v>
      </c>
      <c r="M1927">
        <v>-0.9998319</v>
      </c>
      <c r="N1927">
        <v>0</v>
      </c>
      <c r="O1927">
        <v>1.020713E-2</v>
      </c>
      <c r="P1927">
        <v>-0.99025549999999996</v>
      </c>
      <c r="Q1927">
        <v>-3.5872179999999997E-2</v>
      </c>
      <c r="R1927">
        <v>0.1345634</v>
      </c>
      <c r="S1927">
        <v>-3.0458069999999999</v>
      </c>
      <c r="T1927">
        <v>9.4974039999999992E-3</v>
      </c>
      <c r="U1927">
        <v>-0.1177368</v>
      </c>
      <c r="V1927">
        <v>0.12445150000000001</v>
      </c>
      <c r="W1927">
        <v>-2.0744430000000001E-2</v>
      </c>
      <c r="X1927">
        <v>0.99200880000000002</v>
      </c>
      <c r="Y1927">
        <v>-4.8824920000000001E-2</v>
      </c>
      <c r="Z1927">
        <v>1.0791470000000001E-4</v>
      </c>
      <c r="AA1927">
        <v>0.99880740000000001</v>
      </c>
      <c r="AB1927">
        <v>42</v>
      </c>
      <c r="AC1927">
        <v>-190.71549999999999</v>
      </c>
      <c r="AD1927">
        <v>0.59538899999999995</v>
      </c>
      <c r="AE1927">
        <v>-7.3844000000000198</v>
      </c>
      <c r="AF1927">
        <v>-9.3308081641339502</v>
      </c>
      <c r="AG1927">
        <v>0.59538899999999995</v>
      </c>
      <c r="AH1927">
        <v>190.62832516926801</v>
      </c>
      <c r="AI1927">
        <v>89.821262794655695</v>
      </c>
      <c r="AJ1927">
        <v>92.802257126976698</v>
      </c>
      <c r="AK1927">
        <v>190.85747778354801</v>
      </c>
      <c r="AL1927">
        <v>91.188653570197204</v>
      </c>
      <c r="AM1927">
        <v>82.849371396513206</v>
      </c>
      <c r="AN1927">
        <v>0.99999998325285699</v>
      </c>
    </row>
    <row r="1928" spans="1:40" x14ac:dyDescent="0.25">
      <c r="A1928" t="str">
        <f>"20190312161304724"</f>
        <v>20190312161304724</v>
      </c>
      <c r="B1928" t="str">
        <f>"1552378384717521"</f>
        <v>1552378384717521</v>
      </c>
      <c r="C1928" t="s">
        <v>40</v>
      </c>
      <c r="D1928">
        <v>5.2516439999999998</v>
      </c>
      <c r="E1928">
        <v>0.4344615</v>
      </c>
      <c r="F1928" t="s">
        <v>73</v>
      </c>
      <c r="G1928">
        <v>-551.06230000000005</v>
      </c>
      <c r="H1928">
        <v>1.1425069999999999</v>
      </c>
      <c r="I1928">
        <v>278.64389999999997</v>
      </c>
      <c r="J1928">
        <v>-360.57850000000002</v>
      </c>
      <c r="K1928">
        <v>1.109853</v>
      </c>
      <c r="L1928">
        <v>285.8612</v>
      </c>
      <c r="M1928">
        <v>-0.99983250000000001</v>
      </c>
      <c r="N1928">
        <v>0</v>
      </c>
      <c r="O1928">
        <v>1.01622E-2</v>
      </c>
      <c r="P1928">
        <v>-0.99027449999999995</v>
      </c>
      <c r="Q1928">
        <v>-3.588628E-2</v>
      </c>
      <c r="R1928">
        <v>0.1344205</v>
      </c>
      <c r="S1928">
        <v>-3.0451969999999999</v>
      </c>
      <c r="T1928">
        <v>5.2261349999999996E-4</v>
      </c>
      <c r="U1928">
        <v>-0.1152039</v>
      </c>
      <c r="V1928">
        <v>0.1243529</v>
      </c>
      <c r="W1928">
        <v>-2.0759030000000001E-2</v>
      </c>
      <c r="X1928">
        <v>0.99202080000000004</v>
      </c>
      <c r="Y1928">
        <v>-4.795845E-2</v>
      </c>
      <c r="Z1928" s="1">
        <v>5.8574839999999998E-6</v>
      </c>
      <c r="AA1928">
        <v>0.99884930000000005</v>
      </c>
      <c r="AB1928">
        <v>41</v>
      </c>
      <c r="AC1928">
        <v>-190.4838</v>
      </c>
      <c r="AD1928">
        <v>3.2653999999999898E-2</v>
      </c>
      <c r="AE1928">
        <v>-7.2173000000000203</v>
      </c>
      <c r="AF1928">
        <v>-9.1528857367741097</v>
      </c>
      <c r="AG1928">
        <v>3.2653999999999898E-2</v>
      </c>
      <c r="AH1928">
        <v>190.400604074283</v>
      </c>
      <c r="AI1928">
        <v>89.990185018846802</v>
      </c>
      <c r="AJ1928">
        <v>92.752188336557595</v>
      </c>
      <c r="AK1928">
        <v>190.620477429489</v>
      </c>
      <c r="AL1928">
        <v>91.189490338842901</v>
      </c>
      <c r="AM1928">
        <v>82.855063633533305</v>
      </c>
      <c r="AN1928">
        <v>0.99999992434879204</v>
      </c>
    </row>
    <row r="1929" spans="1:40" x14ac:dyDescent="0.25">
      <c r="A1929" t="str">
        <f>"20190312161304736"</f>
        <v>20190312161304736</v>
      </c>
      <c r="B1929" t="str">
        <f>"1552378384727281"</f>
        <v>1552378384727281</v>
      </c>
      <c r="C1929" t="s">
        <v>40</v>
      </c>
      <c r="D1929">
        <v>5.2080890000000002</v>
      </c>
      <c r="E1929">
        <v>0.43520510000000001</v>
      </c>
      <c r="F1929" t="s">
        <v>73</v>
      </c>
      <c r="G1929">
        <v>-551.06190000000004</v>
      </c>
      <c r="H1929">
        <v>0.1872326</v>
      </c>
      <c r="I1929">
        <v>278.89100000000002</v>
      </c>
      <c r="J1929">
        <v>-360.80439999999999</v>
      </c>
      <c r="K1929">
        <v>1.1098539999999999</v>
      </c>
      <c r="L1929">
        <v>285.86349999999999</v>
      </c>
      <c r="M1929">
        <v>-0.99983299999999997</v>
      </c>
      <c r="N1929">
        <v>0</v>
      </c>
      <c r="O1929">
        <v>1.0118459999999999E-2</v>
      </c>
      <c r="P1929">
        <v>-0.99025030000000003</v>
      </c>
      <c r="Q1929">
        <v>-3.5668539999999999E-2</v>
      </c>
      <c r="R1929">
        <v>0.13465639999999901</v>
      </c>
      <c r="S1929">
        <v>-3.0440670000000001</v>
      </c>
      <c r="T1929">
        <v>-1.474285E-2</v>
      </c>
      <c r="U1929">
        <v>-0.11138919999999999</v>
      </c>
      <c r="V1929">
        <v>0.12463249999999999</v>
      </c>
      <c r="W1929">
        <v>-2.054251E-2</v>
      </c>
      <c r="X1929">
        <v>0.99199029999999999</v>
      </c>
      <c r="Y1929">
        <v>-4.667806E-2</v>
      </c>
      <c r="Z1929">
        <v>-1.6199150000000001E-4</v>
      </c>
      <c r="AA1929">
        <v>0.99890999999999996</v>
      </c>
      <c r="AB1929">
        <v>41</v>
      </c>
      <c r="AC1929">
        <v>-190.25749999999999</v>
      </c>
      <c r="AD1929">
        <v>-0.92262140000000004</v>
      </c>
      <c r="AE1929">
        <v>-6.9725000000000197</v>
      </c>
      <c r="AF1929">
        <v>-8.8972698865957902</v>
      </c>
      <c r="AG1929">
        <v>-0.92262140000000004</v>
      </c>
      <c r="AH1929">
        <v>190.17273266832899</v>
      </c>
      <c r="AI1929">
        <v>90.277664095269998</v>
      </c>
      <c r="AJ1929">
        <v>92.678641424013094</v>
      </c>
      <c r="AK1929">
        <v>190.38298477601001</v>
      </c>
      <c r="AL1929">
        <v>91.177081914638606</v>
      </c>
      <c r="AM1929">
        <v>82.838947375841798</v>
      </c>
      <c r="AN1929">
        <v>1.0000000050337099</v>
      </c>
    </row>
    <row r="1930" spans="1:40" x14ac:dyDescent="0.25">
      <c r="A1930" t="str">
        <f>"20190312161304749"</f>
        <v>20190312161304749</v>
      </c>
      <c r="B1930" t="str">
        <f>"1552378384738016"</f>
        <v>1552378384738016</v>
      </c>
      <c r="C1930" t="s">
        <v>40</v>
      </c>
      <c r="D1930">
        <v>5.1357980000000003</v>
      </c>
      <c r="E1930">
        <v>0.43525960000000002</v>
      </c>
      <c r="F1930" t="s">
        <v>73</v>
      </c>
      <c r="G1930">
        <v>-551.71889999999996</v>
      </c>
      <c r="H1930">
        <v>-3.6348940000000003E-2</v>
      </c>
      <c r="I1930">
        <v>279.27539999999999</v>
      </c>
      <c r="J1930">
        <v>-361.03699999999998</v>
      </c>
      <c r="K1930">
        <v>1.109856</v>
      </c>
      <c r="L1930">
        <v>285.86579999999998</v>
      </c>
      <c r="M1930">
        <v>-0.99983330000000004</v>
      </c>
      <c r="N1930">
        <v>0</v>
      </c>
      <c r="O1930">
        <v>1.0073530000000001E-2</v>
      </c>
      <c r="P1930">
        <v>-0.99024179999999995</v>
      </c>
      <c r="Q1930">
        <v>-3.5580760000000003E-2</v>
      </c>
      <c r="R1930">
        <v>0.13474069999999999</v>
      </c>
      <c r="S1930">
        <v>-3.0431210000000002</v>
      </c>
      <c r="T1930">
        <v>-1.8268820000000002E-2</v>
      </c>
      <c r="U1930">
        <v>-0.10501099999999999</v>
      </c>
      <c r="V1930">
        <v>0.12476130000000001</v>
      </c>
      <c r="W1930">
        <v>-2.0455850000000001E-2</v>
      </c>
      <c r="X1930">
        <v>0.99197590000000002</v>
      </c>
      <c r="Y1930">
        <v>-4.4553099999999998E-2</v>
      </c>
      <c r="Z1930">
        <v>-1.9415710000000001E-4</v>
      </c>
      <c r="AA1930">
        <v>0.99900699999999998</v>
      </c>
      <c r="AB1930">
        <v>41</v>
      </c>
      <c r="AC1930">
        <v>-190.68190000000001</v>
      </c>
      <c r="AD1930">
        <v>-1.1462049400000001</v>
      </c>
      <c r="AE1930">
        <v>-6.5903999999999803</v>
      </c>
      <c r="AF1930">
        <v>-8.5108209710928993</v>
      </c>
      <c r="AG1930">
        <v>-1.1462049400000001</v>
      </c>
      <c r="AH1930">
        <v>190.59894768039999</v>
      </c>
      <c r="AI1930">
        <v>90.344212507903904</v>
      </c>
      <c r="AJ1930">
        <v>92.556731913480604</v>
      </c>
      <c r="AK1930">
        <v>190.79231304285301</v>
      </c>
      <c r="AL1930">
        <v>91.172115618904698</v>
      </c>
      <c r="AM1930">
        <v>82.831520838687894</v>
      </c>
      <c r="AN1930">
        <v>1.00000000497886</v>
      </c>
    </row>
    <row r="1931" spans="1:40" x14ac:dyDescent="0.25">
      <c r="A1931" t="str">
        <f>"20190312161304777"</f>
        <v>20190312161304777</v>
      </c>
      <c r="B1931" t="str">
        <f>"1552378384767297"</f>
        <v>1552378384767297</v>
      </c>
      <c r="C1931" t="s">
        <v>40</v>
      </c>
      <c r="D1931">
        <v>4.9544040000000003</v>
      </c>
      <c r="E1931">
        <v>0.43525960000000002</v>
      </c>
      <c r="F1931" t="s">
        <v>63</v>
      </c>
      <c r="G1931">
        <v>-500.70949999999999</v>
      </c>
      <c r="H1931">
        <v>7.9980789999999996E-2</v>
      </c>
      <c r="I1931">
        <v>281.07369999999997</v>
      </c>
      <c r="J1931">
        <v>-361.5487</v>
      </c>
      <c r="K1931">
        <v>1.109858</v>
      </c>
      <c r="L1931">
        <v>285.87079999999997</v>
      </c>
      <c r="M1931">
        <v>-0.99983449999999996</v>
      </c>
      <c r="N1931">
        <v>0</v>
      </c>
      <c r="O1931">
        <v>9.9742589999999992E-3</v>
      </c>
      <c r="P1931">
        <v>-0.99020370000000002</v>
      </c>
      <c r="Q1931">
        <v>-3.5644080000000002E-2</v>
      </c>
      <c r="R1931">
        <v>0.13500509999999999</v>
      </c>
      <c r="S1931">
        <v>-3.0429379999999999</v>
      </c>
      <c r="T1931">
        <v>-2.2437100000000001E-2</v>
      </c>
      <c r="U1931">
        <v>-0.1044006</v>
      </c>
      <c r="V1931">
        <v>0.1251245</v>
      </c>
      <c r="W1931">
        <v>-2.0522510000000001E-2</v>
      </c>
      <c r="X1931">
        <v>0.99192880000000005</v>
      </c>
      <c r="Y1931">
        <v>-4.4255349999999999E-2</v>
      </c>
      <c r="Z1931">
        <v>-2.366414E-4</v>
      </c>
      <c r="AA1931">
        <v>0.99902020000000002</v>
      </c>
      <c r="AB1931">
        <v>41</v>
      </c>
      <c r="AC1931">
        <v>-139.16079999999999</v>
      </c>
      <c r="AD1931">
        <v>-1.02987721</v>
      </c>
      <c r="AE1931">
        <v>-4.7971000000000004</v>
      </c>
      <c r="AF1931">
        <v>-6.1847095315217704</v>
      </c>
      <c r="AG1931">
        <v>-1.02987721</v>
      </c>
      <c r="AH1931">
        <v>139.098413624952</v>
      </c>
      <c r="AI1931">
        <v>90.423788452939206</v>
      </c>
      <c r="AJ1931">
        <v>92.5458558868593</v>
      </c>
      <c r="AK1931">
        <v>139.23964935331901</v>
      </c>
      <c r="AL1931">
        <v>91.175935729131496</v>
      </c>
      <c r="AM1931">
        <v>82.810532496144006</v>
      </c>
      <c r="AN1931">
        <v>1.0000000290931901</v>
      </c>
    </row>
    <row r="1932" spans="1:40" x14ac:dyDescent="0.25">
      <c r="A1932" t="str">
        <f>"20190312161304799"</f>
        <v>20190312161304799</v>
      </c>
      <c r="B1932" t="str">
        <f>"1552378384787793"</f>
        <v>1552378384787793</v>
      </c>
      <c r="C1932" t="s">
        <v>40</v>
      </c>
      <c r="D1932">
        <v>4.2482139999999999</v>
      </c>
      <c r="E1932">
        <v>0.47645149999999997</v>
      </c>
      <c r="F1932" t="s">
        <v>63</v>
      </c>
      <c r="G1932">
        <v>-500.5926</v>
      </c>
      <c r="H1932">
        <v>7.9980789999999996E-2</v>
      </c>
      <c r="I1932">
        <v>281.13679999999999</v>
      </c>
      <c r="J1932">
        <v>-361.9563</v>
      </c>
      <c r="K1932">
        <v>1.1098650000000001</v>
      </c>
      <c r="L1932">
        <v>285.87479999999999</v>
      </c>
      <c r="M1932">
        <v>-0.99983529999999998</v>
      </c>
      <c r="N1932">
        <v>0</v>
      </c>
      <c r="O1932">
        <v>9.8956089999999997E-3</v>
      </c>
      <c r="P1932">
        <v>-0.99019330000000005</v>
      </c>
      <c r="Q1932">
        <v>-3.557279E-2</v>
      </c>
      <c r="R1932">
        <v>0.13509949999999901</v>
      </c>
      <c r="S1932">
        <v>-3.0430299999999999</v>
      </c>
      <c r="T1932">
        <v>-2.2539259999999998E-2</v>
      </c>
      <c r="U1932">
        <v>-0.103607199999999</v>
      </c>
      <c r="V1932">
        <v>0.12529709999999999</v>
      </c>
      <c r="W1932">
        <v>-2.0454079999999999E-2</v>
      </c>
      <c r="X1932">
        <v>0.99190840000000002</v>
      </c>
      <c r="Y1932">
        <v>-4.3915549999999998E-2</v>
      </c>
      <c r="Z1932">
        <v>-2.358723E-4</v>
      </c>
      <c r="AA1932">
        <v>0.99903520000000001</v>
      </c>
      <c r="AB1932">
        <v>41</v>
      </c>
      <c r="AC1932">
        <v>-138.63630000000001</v>
      </c>
      <c r="AD1932">
        <v>-1.0298842100000001</v>
      </c>
      <c r="AE1932">
        <v>-4.7380000000000004</v>
      </c>
      <c r="AF1932">
        <v>-6.1094806085347599</v>
      </c>
      <c r="AG1932">
        <v>-1.0298842100000001</v>
      </c>
      <c r="AH1932">
        <v>138.574981222415</v>
      </c>
      <c r="AI1932">
        <v>90.425399088082202</v>
      </c>
      <c r="AJ1932">
        <v>92.524416125720407</v>
      </c>
      <c r="AK1932">
        <v>138.71341620616499</v>
      </c>
      <c r="AL1932">
        <v>91.172014186092795</v>
      </c>
      <c r="AM1932">
        <v>82.800572632376202</v>
      </c>
      <c r="AN1932">
        <v>1.0000000033237999</v>
      </c>
    </row>
    <row r="1933" spans="1:40" x14ac:dyDescent="0.25">
      <c r="A1933" t="str">
        <f>"20190312161304812"</f>
        <v>20190312161304812</v>
      </c>
      <c r="B1933" t="str">
        <f>"1552378384807313"</f>
        <v>1552378384807313</v>
      </c>
      <c r="C1933" t="s">
        <v>40</v>
      </c>
      <c r="D1933">
        <v>5.8095980000000003</v>
      </c>
      <c r="E1933">
        <v>0.49712220000000001</v>
      </c>
      <c r="F1933" t="s">
        <v>43</v>
      </c>
      <c r="G1933">
        <v>-362.73820000000001</v>
      </c>
      <c r="H1933">
        <v>0.77776709999999905</v>
      </c>
      <c r="I1933">
        <v>285.92090000000002</v>
      </c>
      <c r="J1933">
        <v>-362.1943</v>
      </c>
      <c r="K1933">
        <v>1.1098680000000001</v>
      </c>
      <c r="L1933">
        <v>285.87709999999998</v>
      </c>
      <c r="M1933">
        <v>-0.99983580000000005</v>
      </c>
      <c r="N1933">
        <v>0</v>
      </c>
      <c r="O1933">
        <v>9.8494919999999996E-3</v>
      </c>
      <c r="P1933">
        <v>-0.99014650000000004</v>
      </c>
      <c r="Q1933">
        <v>-3.5730970000000001E-2</v>
      </c>
      <c r="R1933">
        <v>0.1354011</v>
      </c>
      <c r="S1933">
        <v>-2.9609070000000002</v>
      </c>
      <c r="T1933">
        <v>-1.257452</v>
      </c>
      <c r="U1933">
        <v>0.17312620000000001</v>
      </c>
      <c r="V1933">
        <v>0.1256447</v>
      </c>
      <c r="W1933">
        <v>-2.0614509999999999E-2</v>
      </c>
      <c r="X1933">
        <v>0.99186110000000005</v>
      </c>
      <c r="Y1933">
        <v>4.546613E-2</v>
      </c>
      <c r="Z1933">
        <v>5.2406830000000003E-3</v>
      </c>
      <c r="AA1933">
        <v>0.99895219999999996</v>
      </c>
      <c r="AB1933">
        <v>41</v>
      </c>
      <c r="AC1933">
        <v>-0.54390000000000704</v>
      </c>
      <c r="AD1933">
        <v>-0.33210089999999998</v>
      </c>
      <c r="AE1933">
        <v>4.3800000000032903E-2</v>
      </c>
      <c r="AF1933">
        <v>2.8049875455828498E-2</v>
      </c>
      <c r="AG1933">
        <v>-0.33210089999999998</v>
      </c>
      <c r="AH1933">
        <v>0.39718114363001999</v>
      </c>
      <c r="AI1933">
        <v>129.83038050819201</v>
      </c>
      <c r="AJ1933">
        <v>85.9603430512784</v>
      </c>
      <c r="AK1933">
        <v>0.51848882741014601</v>
      </c>
      <c r="AL1933">
        <v>91.181208096145795</v>
      </c>
      <c r="AM1933">
        <v>82.780469728256193</v>
      </c>
      <c r="AN1933">
        <v>0.99999999517691995</v>
      </c>
    </row>
    <row r="1934" spans="1:40" x14ac:dyDescent="0.25">
      <c r="A1934" t="str">
        <f>"20190312161304823"</f>
        <v>20190312161304823</v>
      </c>
      <c r="B1934" t="str">
        <f>"1552378384818049"</f>
        <v>1552378384818049</v>
      </c>
      <c r="C1934" t="s">
        <v>40</v>
      </c>
      <c r="D1934">
        <v>5.4546650000000003</v>
      </c>
      <c r="E1934">
        <v>0.50260260000000001</v>
      </c>
      <c r="F1934" t="s">
        <v>43</v>
      </c>
      <c r="G1934">
        <v>-363.09089999999998</v>
      </c>
      <c r="H1934">
        <v>0.72785829999999996</v>
      </c>
      <c r="I1934">
        <v>285.9803</v>
      </c>
      <c r="J1934">
        <v>-362.42410000000001</v>
      </c>
      <c r="K1934">
        <v>1.109872</v>
      </c>
      <c r="L1934">
        <v>285.8793</v>
      </c>
      <c r="M1934">
        <v>-0.99983630000000001</v>
      </c>
      <c r="N1934">
        <v>0</v>
      </c>
      <c r="O1934">
        <v>9.8048649999999994E-3</v>
      </c>
      <c r="P1934">
        <v>-0.99009290000000005</v>
      </c>
      <c r="Q1934">
        <v>-3.5759810000000003E-2</v>
      </c>
      <c r="R1934">
        <v>0.1357843</v>
      </c>
      <c r="S1934">
        <v>-2.9384769999999998</v>
      </c>
      <c r="T1934">
        <v>-1.2518450000000001</v>
      </c>
      <c r="U1934">
        <v>0.33731080000000002</v>
      </c>
      <c r="V1934">
        <v>0.12607260000000001</v>
      </c>
      <c r="W1934">
        <v>-2.0645750000000001E-2</v>
      </c>
      <c r="X1934">
        <v>0.99180610000000002</v>
      </c>
      <c r="Y1934">
        <v>9.6823880000000001E-2</v>
      </c>
      <c r="Z1934">
        <v>1.5716560000000001E-2</v>
      </c>
      <c r="AA1934">
        <v>0.99517739999999999</v>
      </c>
      <c r="AB1934">
        <v>41</v>
      </c>
      <c r="AC1934">
        <v>-0.66679999999996598</v>
      </c>
      <c r="AD1934">
        <v>-0.38201369999999901</v>
      </c>
      <c r="AE1934">
        <v>0.10099999999999899</v>
      </c>
      <c r="AF1934">
        <v>7.1511380789043302E-2</v>
      </c>
      <c r="AG1934">
        <v>-0.38201369999999901</v>
      </c>
      <c r="AH1934">
        <v>0.505548261813352</v>
      </c>
      <c r="AI1934">
        <v>126.80362157074001</v>
      </c>
      <c r="AJ1934">
        <v>81.948748582683606</v>
      </c>
      <c r="AK1934">
        <v>0.63767341923005305</v>
      </c>
      <c r="AL1934">
        <v>91.182998458194803</v>
      </c>
      <c r="AM1934">
        <v>82.755745939617</v>
      </c>
      <c r="AN1934">
        <v>0.99999994373051404</v>
      </c>
    </row>
    <row r="1935" spans="1:40" x14ac:dyDescent="0.25">
      <c r="A1935" t="str">
        <f>"20190312161304836"</f>
        <v>20190312161304836</v>
      </c>
      <c r="B1935" t="str">
        <f>"1552378384827809"</f>
        <v>1552378384827809</v>
      </c>
      <c r="C1935" t="s">
        <v>40</v>
      </c>
      <c r="D1935">
        <v>5.4093070000000001</v>
      </c>
      <c r="E1935">
        <v>0.50556459999999903</v>
      </c>
      <c r="F1935" t="s">
        <v>43</v>
      </c>
      <c r="G1935">
        <v>-363.12450000000001</v>
      </c>
      <c r="H1935">
        <v>0.82380219999999904</v>
      </c>
      <c r="I1935">
        <v>285.97129999999999</v>
      </c>
      <c r="J1935">
        <v>-362.64400000000001</v>
      </c>
      <c r="K1935">
        <v>1.109874</v>
      </c>
      <c r="L1935">
        <v>285.88150000000002</v>
      </c>
      <c r="M1935">
        <v>-0.99983659999999996</v>
      </c>
      <c r="N1935">
        <v>0</v>
      </c>
      <c r="O1935">
        <v>9.7624449999999998E-3</v>
      </c>
      <c r="P1935">
        <v>-0.99010169999999997</v>
      </c>
      <c r="Q1935">
        <v>-3.5835249999999999E-2</v>
      </c>
      <c r="R1935">
        <v>0.1357005</v>
      </c>
      <c r="S1935">
        <v>-2.934021</v>
      </c>
      <c r="T1935">
        <v>-1.1981839999999999</v>
      </c>
      <c r="U1935">
        <v>0.38442989999999999</v>
      </c>
      <c r="V1935">
        <v>0.126031</v>
      </c>
      <c r="W1935">
        <v>-2.0722770000000001E-2</v>
      </c>
      <c r="X1935">
        <v>0.99180979999999996</v>
      </c>
      <c r="Y1935">
        <v>0.1121548</v>
      </c>
      <c r="Z1935">
        <v>1.8116190000000001E-2</v>
      </c>
      <c r="AA1935">
        <v>0.99352560000000001</v>
      </c>
      <c r="AB1935">
        <v>41</v>
      </c>
      <c r="AC1935">
        <v>-0.48050000000000598</v>
      </c>
      <c r="AD1935">
        <v>-0.28607179999999999</v>
      </c>
      <c r="AE1935">
        <v>8.9799999999968294E-2</v>
      </c>
      <c r="AF1935">
        <v>6.3392684252052606E-2</v>
      </c>
      <c r="AG1935">
        <v>-0.28607179999999999</v>
      </c>
      <c r="AH1935">
        <v>0.35855186867969002</v>
      </c>
      <c r="AI1935">
        <v>128.15559513791999</v>
      </c>
      <c r="AJ1935">
        <v>79.973606727409603</v>
      </c>
      <c r="AK1935">
        <v>0.46304983501305602</v>
      </c>
      <c r="AL1935">
        <v>91.187412301087406</v>
      </c>
      <c r="AM1935">
        <v>82.758137664030897</v>
      </c>
      <c r="AN1935">
        <v>0.99999996276675496</v>
      </c>
    </row>
    <row r="1936" spans="1:40" x14ac:dyDescent="0.25">
      <c r="A1936" t="str">
        <f>"20190312161304849"</f>
        <v>20190312161304849</v>
      </c>
      <c r="B1936" t="str">
        <f>"1552378384837569"</f>
        <v>1552378384837569</v>
      </c>
      <c r="C1936" t="s">
        <v>40</v>
      </c>
      <c r="D1936">
        <v>5.3214449999999998</v>
      </c>
      <c r="E1936">
        <v>0.50757589999999997</v>
      </c>
      <c r="F1936" t="s">
        <v>43</v>
      </c>
      <c r="G1936">
        <v>-363.47800000000001</v>
      </c>
      <c r="H1936">
        <v>0.78783009999999998</v>
      </c>
      <c r="I1936">
        <v>285.99829999999997</v>
      </c>
      <c r="J1936">
        <v>-362.88440000000003</v>
      </c>
      <c r="K1936">
        <v>1.1098749999999999</v>
      </c>
      <c r="L1936">
        <v>285.88380000000001</v>
      </c>
      <c r="M1936">
        <v>-0.99983699999999998</v>
      </c>
      <c r="N1936">
        <v>0</v>
      </c>
      <c r="O1936">
        <v>9.7158539999999995E-3</v>
      </c>
      <c r="P1936">
        <v>-0.99008770000000001</v>
      </c>
      <c r="Q1936">
        <v>-3.5740349999999997E-2</v>
      </c>
      <c r="R1936">
        <v>0.13582729999999901</v>
      </c>
      <c r="S1936">
        <v>-2.9327999999999999</v>
      </c>
      <c r="T1936">
        <v>-1.132447</v>
      </c>
      <c r="U1936">
        <v>0.40994259999999899</v>
      </c>
      <c r="V1936">
        <v>0.12620410000000001</v>
      </c>
      <c r="W1936">
        <v>-2.0629970000000001E-2</v>
      </c>
      <c r="X1936">
        <v>0.99178980000000005</v>
      </c>
      <c r="Y1936">
        <v>0.1209496</v>
      </c>
      <c r="Z1936">
        <v>1.883665E-2</v>
      </c>
      <c r="AA1936">
        <v>0.99247989999999997</v>
      </c>
      <c r="AB1936">
        <v>41</v>
      </c>
      <c r="AC1936">
        <v>-0.59359999999998003</v>
      </c>
      <c r="AD1936">
        <v>-0.32204490000000002</v>
      </c>
      <c r="AE1936">
        <v>0.11449999999996401</v>
      </c>
      <c r="AF1936">
        <v>8.4692635749540404E-2</v>
      </c>
      <c r="AG1936">
        <v>-0.32204490000000002</v>
      </c>
      <c r="AH1936">
        <v>0.46322984189127903</v>
      </c>
      <c r="AI1936">
        <v>124.367448407314</v>
      </c>
      <c r="AJ1936">
        <v>79.639007013164701</v>
      </c>
      <c r="AK1936">
        <v>0.57049771829940998</v>
      </c>
      <c r="AL1936">
        <v>91.182094025561994</v>
      </c>
      <c r="AM1936">
        <v>82.748152304370606</v>
      </c>
      <c r="AN1936">
        <v>1.00000003895152</v>
      </c>
    </row>
    <row r="1937" spans="1:40" x14ac:dyDescent="0.25">
      <c r="A1937" t="str">
        <f>"20190312161304864"</f>
        <v>20190312161304864</v>
      </c>
      <c r="B1937" t="str">
        <f>"1552378384858065"</f>
        <v>1552378384858065</v>
      </c>
      <c r="C1937" t="s">
        <v>40</v>
      </c>
      <c r="D1937">
        <v>5.1556810000000004</v>
      </c>
      <c r="E1937">
        <v>0.51183190000000001</v>
      </c>
      <c r="F1937" t="s">
        <v>43</v>
      </c>
      <c r="G1937">
        <v>-363.83589999999998</v>
      </c>
      <c r="H1937">
        <v>0.76405869999999998</v>
      </c>
      <c r="I1937">
        <v>286.0231</v>
      </c>
      <c r="J1937">
        <v>-363.17270000000002</v>
      </c>
      <c r="K1937">
        <v>1.1098709999999901</v>
      </c>
      <c r="L1937">
        <v>285.88650000000001</v>
      </c>
      <c r="M1937">
        <v>-0.99983759999999999</v>
      </c>
      <c r="N1937">
        <v>0</v>
      </c>
      <c r="O1937">
        <v>9.6599709999999998E-3</v>
      </c>
      <c r="P1937">
        <v>-0.99011179999999999</v>
      </c>
      <c r="Q1937">
        <v>-3.5434170000000001E-2</v>
      </c>
      <c r="R1937">
        <v>0.1357313</v>
      </c>
      <c r="S1937">
        <v>-2.9326479999999999</v>
      </c>
      <c r="T1937">
        <v>-1.065801</v>
      </c>
      <c r="U1937">
        <v>0.4291992</v>
      </c>
      <c r="V1937">
        <v>0.1261631</v>
      </c>
      <c r="W1937">
        <v>-2.0325969999999999E-2</v>
      </c>
      <c r="X1937">
        <v>0.9918013</v>
      </c>
      <c r="Y1937">
        <v>0.1278377</v>
      </c>
      <c r="Z1937">
        <v>1.901566E-2</v>
      </c>
      <c r="AA1937">
        <v>0.99161279999999996</v>
      </c>
      <c r="AB1937">
        <v>41</v>
      </c>
      <c r="AC1937">
        <v>-0.66319999999996004</v>
      </c>
      <c r="AD1937">
        <v>-0.34581229999999902</v>
      </c>
      <c r="AE1937">
        <v>0.13659999999998701</v>
      </c>
      <c r="AF1937">
        <v>0.10325501391578901</v>
      </c>
      <c r="AG1937">
        <v>-0.34581229999999902</v>
      </c>
      <c r="AH1937">
        <v>0.52702740403943704</v>
      </c>
      <c r="AI1937">
        <v>122.778068503497</v>
      </c>
      <c r="AJ1937">
        <v>78.915039046054005</v>
      </c>
      <c r="AK1937">
        <v>0.63875318342736098</v>
      </c>
      <c r="AL1937">
        <v>91.164672448032604</v>
      </c>
      <c r="AM1937">
        <v>82.7505663127546</v>
      </c>
      <c r="AN1937">
        <v>1.0000000457698599</v>
      </c>
    </row>
    <row r="1938" spans="1:40" x14ac:dyDescent="0.25">
      <c r="A1938" t="str">
        <f>"20190312161304879"</f>
        <v>20190312161304879</v>
      </c>
      <c r="B1938" t="str">
        <f>"1552378384867824"</f>
        <v>1552378384867824</v>
      </c>
      <c r="C1938" t="s">
        <v>40</v>
      </c>
      <c r="D1938">
        <v>5.1617439999999997</v>
      </c>
      <c r="E1938">
        <v>0.51352469999999995</v>
      </c>
      <c r="F1938" t="s">
        <v>43</v>
      </c>
      <c r="G1938">
        <v>-363.88010000000003</v>
      </c>
      <c r="H1938">
        <v>0.8727509</v>
      </c>
      <c r="I1938">
        <v>285.9991</v>
      </c>
      <c r="J1938">
        <v>-363.42270000000002</v>
      </c>
      <c r="K1938">
        <v>1.109874</v>
      </c>
      <c r="L1938">
        <v>285.88889999999998</v>
      </c>
      <c r="M1938">
        <v>-0.99983809999999995</v>
      </c>
      <c r="N1938">
        <v>0</v>
      </c>
      <c r="O1938">
        <v>9.6113559999999997E-3</v>
      </c>
      <c r="P1938">
        <v>-0.99016280000000001</v>
      </c>
      <c r="Q1938">
        <v>-3.4988749999999999E-2</v>
      </c>
      <c r="R1938">
        <v>0.13547529999999999</v>
      </c>
      <c r="S1938">
        <v>-2.930939</v>
      </c>
      <c r="T1938">
        <v>-0.98241259999999997</v>
      </c>
      <c r="U1938">
        <v>0.46606449999999999</v>
      </c>
      <c r="V1938">
        <v>0.12595480000000001</v>
      </c>
      <c r="W1938">
        <v>-1.988214E-2</v>
      </c>
      <c r="X1938">
        <v>0.99183670000000002</v>
      </c>
      <c r="Y1938">
        <v>0.14055670000000001</v>
      </c>
      <c r="Z1938">
        <v>1.967971E-2</v>
      </c>
      <c r="AA1938">
        <v>0.98987700000000001</v>
      </c>
      <c r="AB1938">
        <v>41</v>
      </c>
      <c r="AC1938">
        <v>-0.45740000000000602</v>
      </c>
      <c r="AD1938">
        <v>-0.2371231</v>
      </c>
      <c r="AE1938">
        <v>0.11020000000002</v>
      </c>
      <c r="AF1938">
        <v>8.4367875616032997E-2</v>
      </c>
      <c r="AG1938">
        <v>-0.2371231</v>
      </c>
      <c r="AH1938">
        <v>0.36557773518155701</v>
      </c>
      <c r="AI1938">
        <v>122.293447410676</v>
      </c>
      <c r="AJ1938">
        <v>77.004820307904495</v>
      </c>
      <c r="AK1938">
        <v>0.44383824018447199</v>
      </c>
      <c r="AL1938">
        <v>91.1392378029242</v>
      </c>
      <c r="AM1938">
        <v>82.762663957391894</v>
      </c>
      <c r="AN1938">
        <v>0.99999997530045404</v>
      </c>
    </row>
    <row r="1939" spans="1:40" x14ac:dyDescent="0.25">
      <c r="A1939" t="str">
        <f>"20190312161304900"</f>
        <v>20190312161304900</v>
      </c>
      <c r="B1939" t="str">
        <f>"1552378384898081"</f>
        <v>1552378384898081</v>
      </c>
      <c r="C1939" t="s">
        <v>40</v>
      </c>
      <c r="D1939">
        <v>5.4616259999999999</v>
      </c>
      <c r="E1939">
        <v>0.52455399999999996</v>
      </c>
      <c r="F1939" t="s">
        <v>43</v>
      </c>
      <c r="G1939">
        <v>-364.23559999999998</v>
      </c>
      <c r="H1939">
        <v>0.843230699999999</v>
      </c>
      <c r="I1939">
        <v>286.02229999999997</v>
      </c>
      <c r="J1939">
        <v>-363.81330000000003</v>
      </c>
      <c r="K1939">
        <v>1.10988</v>
      </c>
      <c r="L1939">
        <v>285.89249999999998</v>
      </c>
      <c r="M1939">
        <v>-0.99983900000000003</v>
      </c>
      <c r="N1939">
        <v>0</v>
      </c>
      <c r="O1939">
        <v>9.5352179999999998E-3</v>
      </c>
      <c r="P1939">
        <v>-0.99020050000000004</v>
      </c>
      <c r="Q1939">
        <v>-3.4657359999999998E-2</v>
      </c>
      <c r="R1939">
        <v>0.135286299999999</v>
      </c>
      <c r="S1939">
        <v>-2.9301759999999999</v>
      </c>
      <c r="T1939">
        <v>-0.9612271</v>
      </c>
      <c r="U1939">
        <v>0.47967530000000003</v>
      </c>
      <c r="V1939">
        <v>0.12584089999999901</v>
      </c>
      <c r="W1939">
        <v>-1.9553879999999999E-2</v>
      </c>
      <c r="X1939">
        <v>0.99185769999999995</v>
      </c>
      <c r="Y1939">
        <v>0.14520379999999899</v>
      </c>
      <c r="Z1939">
        <v>2.0036849999999998E-2</v>
      </c>
      <c r="AA1939">
        <v>0.98919889999999999</v>
      </c>
      <c r="AB1939">
        <v>41</v>
      </c>
      <c r="AC1939">
        <v>-0.42229999999994999</v>
      </c>
      <c r="AD1939">
        <v>-0.26664929999999998</v>
      </c>
      <c r="AE1939">
        <v>0.12979999999998801</v>
      </c>
      <c r="AF1939">
        <v>9.21856466875937E-2</v>
      </c>
      <c r="AG1939">
        <v>-0.26664929999999998</v>
      </c>
      <c r="AH1939">
        <v>0.31043409681336998</v>
      </c>
      <c r="AI1939">
        <v>129.468629281842</v>
      </c>
      <c r="AJ1939">
        <v>73.460832890716802</v>
      </c>
      <c r="AK1939">
        <v>0.41948703330381099</v>
      </c>
      <c r="AL1939">
        <v>91.120426214099297</v>
      </c>
      <c r="AM1939">
        <v>82.769290800245699</v>
      </c>
      <c r="AN1939">
        <v>0.99999999169257703</v>
      </c>
    </row>
    <row r="1940" spans="1:40" x14ac:dyDescent="0.25">
      <c r="A1940" t="str">
        <f>"20190312161304913"</f>
        <v>20190312161304913</v>
      </c>
      <c r="B1940" t="str">
        <f>"1552378384907841"</f>
        <v>1552378384907841</v>
      </c>
      <c r="C1940" t="s">
        <v>40</v>
      </c>
      <c r="D1940">
        <v>5.1447370000000001</v>
      </c>
      <c r="E1940">
        <v>0.52645959999999903</v>
      </c>
      <c r="F1940" t="s">
        <v>43</v>
      </c>
      <c r="G1940">
        <v>-364.64960000000002</v>
      </c>
      <c r="H1940">
        <v>0.94809080000000001</v>
      </c>
      <c r="I1940">
        <v>286.05869999999999</v>
      </c>
      <c r="J1940">
        <v>-364.06979999999999</v>
      </c>
      <c r="K1940">
        <v>1.1098809999999999</v>
      </c>
      <c r="L1940">
        <v>285.89499999999998</v>
      </c>
      <c r="M1940">
        <v>-0.99983949999999999</v>
      </c>
      <c r="N1940">
        <v>0</v>
      </c>
      <c r="O1940">
        <v>9.4854109999999991E-3</v>
      </c>
      <c r="P1940">
        <v>-0.99023380000000005</v>
      </c>
      <c r="Q1940">
        <v>-3.4613209999999998E-2</v>
      </c>
      <c r="R1940">
        <v>0.135053799999999</v>
      </c>
      <c r="S1940">
        <v>-2.9303279999999998</v>
      </c>
      <c r="T1940">
        <v>-0.56693470000000001</v>
      </c>
      <c r="U1940">
        <v>0.58172609999999902</v>
      </c>
      <c r="V1940">
        <v>0.12565770000000001</v>
      </c>
      <c r="W1940">
        <v>-1.9511730000000001E-2</v>
      </c>
      <c r="X1940">
        <v>0.99188180000000004</v>
      </c>
      <c r="Y1940">
        <v>0.1823225</v>
      </c>
      <c r="Z1940">
        <v>1.5509729999999999E-2</v>
      </c>
      <c r="AA1940">
        <v>0.9831164</v>
      </c>
      <c r="AB1940">
        <v>41</v>
      </c>
      <c r="AC1940">
        <v>-0.57980000000003395</v>
      </c>
      <c r="AD1940">
        <v>-0.161790199999999</v>
      </c>
      <c r="AE1940">
        <v>0.16370000000000501</v>
      </c>
      <c r="AF1940">
        <v>0.14755136712085401</v>
      </c>
      <c r="AG1940">
        <v>-0.161790199999999</v>
      </c>
      <c r="AH1940">
        <v>0.54222323486178403</v>
      </c>
      <c r="AI1940">
        <v>106.061811009097</v>
      </c>
      <c r="AJ1940">
        <v>74.777116134706503</v>
      </c>
      <c r="AK1940">
        <v>0.58476791223463198</v>
      </c>
      <c r="AL1940">
        <v>91.118010687520496</v>
      </c>
      <c r="AM1940">
        <v>82.779879725146003</v>
      </c>
      <c r="AN1940">
        <v>1.0000000351740601</v>
      </c>
    </row>
    <row r="1941" spans="1:40" x14ac:dyDescent="0.25">
      <c r="A1941" t="str">
        <f>"20190312161304934"</f>
        <v>20190312161304934</v>
      </c>
      <c r="B1941" t="str">
        <f>"1552378384927361"</f>
        <v>1552378384927361</v>
      </c>
      <c r="C1941" t="s">
        <v>40</v>
      </c>
      <c r="D1941">
        <v>5.1604720000000004</v>
      </c>
      <c r="E1941">
        <v>0.52748729999999999</v>
      </c>
      <c r="F1941" t="s">
        <v>43</v>
      </c>
      <c r="G1941">
        <v>-365.00259999999997</v>
      </c>
      <c r="H1941">
        <v>0.91580399999999995</v>
      </c>
      <c r="I1941">
        <v>286.08460000000002</v>
      </c>
      <c r="J1941">
        <v>-364.42939999999999</v>
      </c>
      <c r="K1941">
        <v>1.1098859999999999</v>
      </c>
      <c r="L1941">
        <v>285.89830000000001</v>
      </c>
      <c r="M1941">
        <v>-0.99984010000000001</v>
      </c>
      <c r="N1941">
        <v>0</v>
      </c>
      <c r="O1941">
        <v>9.4160019999999997E-3</v>
      </c>
      <c r="P1941">
        <v>-0.99030830000000003</v>
      </c>
      <c r="Q1941">
        <v>-3.4227399999999998E-2</v>
      </c>
      <c r="R1941">
        <v>0.13460259999999999</v>
      </c>
      <c r="S1941">
        <v>-2.927216</v>
      </c>
      <c r="T1941">
        <v>-0.60908390000000001</v>
      </c>
      <c r="U1941">
        <v>0.59451290000000001</v>
      </c>
      <c r="V1941">
        <v>0.12527430000000001</v>
      </c>
      <c r="W1941">
        <v>-1.9128429999999998E-2</v>
      </c>
      <c r="X1941">
        <v>0.99193770000000003</v>
      </c>
      <c r="Y1941">
        <v>0.18616199999999999</v>
      </c>
      <c r="Z1941">
        <v>1.7055770000000001E-2</v>
      </c>
      <c r="AA1941">
        <v>0.98237099999999999</v>
      </c>
      <c r="AB1941">
        <v>41</v>
      </c>
      <c r="AC1941">
        <v>-0.57319999999998505</v>
      </c>
      <c r="AD1941">
        <v>-0.194082</v>
      </c>
      <c r="AE1941">
        <v>0.18630000000001601</v>
      </c>
      <c r="AF1941">
        <v>0.163898840947272</v>
      </c>
      <c r="AG1941">
        <v>-0.194082</v>
      </c>
      <c r="AH1941">
        <v>0.52091427026030102</v>
      </c>
      <c r="AI1941">
        <v>109.56535676194601</v>
      </c>
      <c r="AJ1941">
        <v>72.534501818044404</v>
      </c>
      <c r="AK1941">
        <v>0.57955356072470299</v>
      </c>
      <c r="AL1941">
        <v>91.096045183185097</v>
      </c>
      <c r="AM1941">
        <v>82.802079341157295</v>
      </c>
      <c r="AN1941">
        <v>0.99999997387802197</v>
      </c>
    </row>
    <row r="1942" spans="1:40" x14ac:dyDescent="0.25">
      <c r="A1942" t="str">
        <f>"20190312161304947"</f>
        <v>20190312161304947</v>
      </c>
      <c r="B1942" t="str">
        <f>"1552378384938097"</f>
        <v>1552378384938097</v>
      </c>
      <c r="C1942" t="s">
        <v>40</v>
      </c>
      <c r="D1942">
        <v>5.626315</v>
      </c>
      <c r="E1942">
        <v>0.52696529999999997</v>
      </c>
      <c r="F1942" t="s">
        <v>43</v>
      </c>
      <c r="G1942">
        <v>-365.36450000000002</v>
      </c>
      <c r="H1942">
        <v>0.90632060000000003</v>
      </c>
      <c r="I1942">
        <v>286.09030000000001</v>
      </c>
      <c r="J1942">
        <v>-364.69580000000002</v>
      </c>
      <c r="K1942">
        <v>1.109888</v>
      </c>
      <c r="L1942">
        <v>285.90069999999997</v>
      </c>
      <c r="M1942">
        <v>-0.99984059999999997</v>
      </c>
      <c r="N1942">
        <v>0</v>
      </c>
      <c r="O1942">
        <v>9.3645289999999999E-3</v>
      </c>
      <c r="P1942">
        <v>-0.99034710000000004</v>
      </c>
      <c r="Q1942">
        <v>-3.4116970000000003E-2</v>
      </c>
      <c r="R1942">
        <v>0.13434679999999999</v>
      </c>
      <c r="S1942">
        <v>-2.9257810000000002</v>
      </c>
      <c r="T1942">
        <v>-0.63695570000000001</v>
      </c>
      <c r="U1942">
        <v>0.60028079999999995</v>
      </c>
      <c r="V1942">
        <v>0.12506919999999999</v>
      </c>
      <c r="W1942">
        <v>-1.9020189999999999E-2</v>
      </c>
      <c r="X1942">
        <v>0.99196569999999995</v>
      </c>
      <c r="Y1942">
        <v>0.18778919999999999</v>
      </c>
      <c r="Z1942">
        <v>1.800858E-2</v>
      </c>
      <c r="AA1942">
        <v>0.98204429999999998</v>
      </c>
      <c r="AB1942">
        <v>41</v>
      </c>
      <c r="AC1942">
        <v>-0.66870000000000096</v>
      </c>
      <c r="AD1942">
        <v>-0.20356739999999901</v>
      </c>
      <c r="AE1942">
        <v>0.18960000000004101</v>
      </c>
      <c r="AF1942">
        <v>0.16884576653361399</v>
      </c>
      <c r="AG1942">
        <v>-0.20356739999999901</v>
      </c>
      <c r="AH1942">
        <v>0.61748057603524698</v>
      </c>
      <c r="AI1942">
        <v>107.64065714301699</v>
      </c>
      <c r="AJ1942">
        <v>74.706716918733207</v>
      </c>
      <c r="AK1942">
        <v>0.67173718149281003</v>
      </c>
      <c r="AL1942">
        <v>91.089842318682301</v>
      </c>
      <c r="AM1942">
        <v>82.813941253801104</v>
      </c>
      <c r="AN1942">
        <v>1.00000001119638</v>
      </c>
    </row>
    <row r="1943" spans="1:40" x14ac:dyDescent="0.25">
      <c r="A1943" t="str">
        <f>"20190312161304960"</f>
        <v>20190312161304960</v>
      </c>
      <c r="B1943" t="str">
        <f>"1552378384957617"</f>
        <v>1552378384957617</v>
      </c>
      <c r="C1943" t="s">
        <v>40</v>
      </c>
      <c r="D1943">
        <v>5.1637559999999896</v>
      </c>
      <c r="E1943">
        <v>0.52609410000000001</v>
      </c>
      <c r="F1943" t="s">
        <v>43</v>
      </c>
      <c r="G1943">
        <v>-365.3879</v>
      </c>
      <c r="H1943">
        <v>0.96186360000000004</v>
      </c>
      <c r="I1943">
        <v>286.04180000000002</v>
      </c>
      <c r="J1943">
        <v>-364.9205</v>
      </c>
      <c r="K1943">
        <v>1.109891</v>
      </c>
      <c r="L1943">
        <v>285.90280000000001</v>
      </c>
      <c r="M1943">
        <v>-0.99984119999999999</v>
      </c>
      <c r="N1943">
        <v>0</v>
      </c>
      <c r="O1943">
        <v>9.3207419999999999E-3</v>
      </c>
      <c r="P1943">
        <v>-0.99039279999999996</v>
      </c>
      <c r="Q1943">
        <v>-3.3800230000000001E-2</v>
      </c>
      <c r="R1943">
        <v>0.1340886</v>
      </c>
      <c r="S1943">
        <v>-2.9268489999999998</v>
      </c>
      <c r="T1943">
        <v>-0.62601890000000004</v>
      </c>
      <c r="U1943">
        <v>0.59585569999999999</v>
      </c>
      <c r="V1943">
        <v>0.1248539</v>
      </c>
      <c r="W1943">
        <v>-1.870519E-2</v>
      </c>
      <c r="X1943">
        <v>0.99199879999999996</v>
      </c>
      <c r="Y1943">
        <v>0.18649959999999999</v>
      </c>
      <c r="Z1943">
        <v>1.757657E-2</v>
      </c>
      <c r="AA1943">
        <v>0.9822978</v>
      </c>
      <c r="AB1943">
        <v>41</v>
      </c>
      <c r="AC1943">
        <v>-0.46739999999999698</v>
      </c>
      <c r="AD1943">
        <v>-0.148027399999999</v>
      </c>
      <c r="AE1943">
        <v>0.13900000000001</v>
      </c>
      <c r="AF1943">
        <v>0.123276810052317</v>
      </c>
      <c r="AG1943">
        <v>-0.148027399999999</v>
      </c>
      <c r="AH1943">
        <v>0.42913044464299299</v>
      </c>
      <c r="AI1943">
        <v>108.342342466397</v>
      </c>
      <c r="AJ1943">
        <v>73.972166820144096</v>
      </c>
      <c r="AK1943">
        <v>0.47038518425533798</v>
      </c>
      <c r="AL1943">
        <v>91.0717909488001</v>
      </c>
      <c r="AM1943">
        <v>82.826419558352001</v>
      </c>
      <c r="AN1943">
        <v>0.99999999983979204</v>
      </c>
    </row>
    <row r="1944" spans="1:40" x14ac:dyDescent="0.25">
      <c r="A1944" t="str">
        <f>"20190312161304978"</f>
        <v>20190312161304978</v>
      </c>
      <c r="B1944" t="str">
        <f>"1552378384967377"</f>
        <v>1552378384967377</v>
      </c>
      <c r="C1944" t="s">
        <v>40</v>
      </c>
      <c r="D1944">
        <v>5.3538209999999999</v>
      </c>
      <c r="E1944">
        <v>0.52544619999999997</v>
      </c>
      <c r="F1944" t="s">
        <v>43</v>
      </c>
      <c r="G1944">
        <v>-365.7432</v>
      </c>
      <c r="H1944">
        <v>0.93894710000000003</v>
      </c>
      <c r="I1944">
        <v>286.06880000000001</v>
      </c>
      <c r="J1944">
        <v>-365.24970000000002</v>
      </c>
      <c r="K1944">
        <v>1.1098950000000001</v>
      </c>
      <c r="L1944">
        <v>285.9058</v>
      </c>
      <c r="M1944">
        <v>-0.99984189999999995</v>
      </c>
      <c r="N1944">
        <v>0</v>
      </c>
      <c r="O1944">
        <v>9.2569950000000005E-3</v>
      </c>
      <c r="P1944">
        <v>-0.99042160000000001</v>
      </c>
      <c r="Q1944">
        <v>-3.392187E-2</v>
      </c>
      <c r="R1944">
        <v>0.13384550000000001</v>
      </c>
      <c r="S1944">
        <v>-2.9285890000000001</v>
      </c>
      <c r="T1944">
        <v>-0.60861160000000003</v>
      </c>
      <c r="U1944">
        <v>0.58892819999999901</v>
      </c>
      <c r="V1944">
        <v>0.1246738</v>
      </c>
      <c r="W1944">
        <v>-1.8829849999999999E-2</v>
      </c>
      <c r="X1944">
        <v>0.99201910000000004</v>
      </c>
      <c r="Y1944">
        <v>0.18446689999999999</v>
      </c>
      <c r="Z1944">
        <v>1.6897990000000002E-2</v>
      </c>
      <c r="AA1944">
        <v>0.98269340000000005</v>
      </c>
      <c r="AB1944">
        <v>41</v>
      </c>
      <c r="AC1944">
        <v>-0.49349999999998301</v>
      </c>
      <c r="AD1944">
        <v>-0.17094790000000001</v>
      </c>
      <c r="AE1944">
        <v>0.16300000000001</v>
      </c>
      <c r="AF1944">
        <v>0.142957652576338</v>
      </c>
      <c r="AG1944">
        <v>-0.17094790000000001</v>
      </c>
      <c r="AH1944">
        <v>0.44666362718673402</v>
      </c>
      <c r="AI1944">
        <v>110.027176240983</v>
      </c>
      <c r="AJ1944">
        <v>72.252385466473996</v>
      </c>
      <c r="AK1944">
        <v>0.49916777820303798</v>
      </c>
      <c r="AL1944">
        <v>91.078934690921798</v>
      </c>
      <c r="AM1944">
        <v>82.836804840137304</v>
      </c>
      <c r="AN1944">
        <v>1.0000000072111299</v>
      </c>
    </row>
    <row r="1945" spans="1:40" x14ac:dyDescent="0.25">
      <c r="A1945" t="str">
        <f>"20190312161304995"</f>
        <v>20190312161304995</v>
      </c>
      <c r="B1945" t="str">
        <f>"1552378384987873"</f>
        <v>1552378384987873</v>
      </c>
      <c r="C1945" t="s">
        <v>40</v>
      </c>
      <c r="D1945">
        <v>5.1287699999999896</v>
      </c>
      <c r="E1945">
        <v>0.52461759999999902</v>
      </c>
      <c r="F1945" t="s">
        <v>43</v>
      </c>
      <c r="G1945">
        <v>-366.1062</v>
      </c>
      <c r="H1945">
        <v>0.93361570000000005</v>
      </c>
      <c r="I1945">
        <v>286.07639999999998</v>
      </c>
      <c r="J1945">
        <v>-365.55790000000002</v>
      </c>
      <c r="K1945">
        <v>1.109896</v>
      </c>
      <c r="L1945">
        <v>285.90859999999998</v>
      </c>
      <c r="M1945">
        <v>-0.99984229999999996</v>
      </c>
      <c r="N1945">
        <v>0</v>
      </c>
      <c r="O1945">
        <v>9.1975970000000001E-3</v>
      </c>
      <c r="P1945">
        <v>-0.99043579999999998</v>
      </c>
      <c r="Q1945">
        <v>-3.3977239999999999E-2</v>
      </c>
      <c r="R1945">
        <v>0.13372539999999999</v>
      </c>
      <c r="S1945">
        <v>-2.9295960000000001</v>
      </c>
      <c r="T1945">
        <v>-0.60287609999999903</v>
      </c>
      <c r="U1945">
        <v>0.58328250000000004</v>
      </c>
      <c r="V1945">
        <v>0.1246125</v>
      </c>
      <c r="W1945">
        <v>-1.888826E-2</v>
      </c>
      <c r="X1945">
        <v>0.99202570000000001</v>
      </c>
      <c r="Y1945">
        <v>0.18273980000000001</v>
      </c>
      <c r="Z1945">
        <v>1.657722E-2</v>
      </c>
      <c r="AA1945">
        <v>0.98302160000000005</v>
      </c>
      <c r="AB1945">
        <v>41</v>
      </c>
      <c r="AC1945">
        <v>-0.54829999999998302</v>
      </c>
      <c r="AD1945">
        <v>-0.1762803</v>
      </c>
      <c r="AE1945">
        <v>0.16779999999999901</v>
      </c>
      <c r="AF1945">
        <v>0.14869567409947099</v>
      </c>
      <c r="AG1945">
        <v>-0.1762803</v>
      </c>
      <c r="AH1945">
        <v>0.50234266832352403</v>
      </c>
      <c r="AI1945">
        <v>108.597301669524</v>
      </c>
      <c r="AJ1945">
        <v>73.511010939527097</v>
      </c>
      <c r="AK1945">
        <v>0.552750670811338</v>
      </c>
      <c r="AL1945">
        <v>91.082281923716593</v>
      </c>
      <c r="AM1945">
        <v>82.840337442664094</v>
      </c>
      <c r="AN1945">
        <v>1.00000001549128</v>
      </c>
    </row>
    <row r="1946" spans="1:40" x14ac:dyDescent="0.25">
      <c r="A1946" t="str">
        <f>"20190312161305011"</f>
        <v>20190312161305011</v>
      </c>
      <c r="B1946" t="str">
        <f>"1552378385007394"</f>
        <v>1552378385007394</v>
      </c>
      <c r="C1946" t="s">
        <v>40</v>
      </c>
      <c r="D1946">
        <v>5.0926519999999904</v>
      </c>
      <c r="E1946">
        <v>0.52406940000000002</v>
      </c>
      <c r="F1946" t="s">
        <v>43</v>
      </c>
      <c r="G1946">
        <v>-366.46769999999998</v>
      </c>
      <c r="H1946">
        <v>0.92526439999999999</v>
      </c>
      <c r="I1946">
        <v>286.0881</v>
      </c>
      <c r="J1946">
        <v>-365.84269999999998</v>
      </c>
      <c r="K1946">
        <v>1.1098980000000001</v>
      </c>
      <c r="L1946">
        <v>285.91120000000001</v>
      </c>
      <c r="M1946">
        <v>-0.99984289999999998</v>
      </c>
      <c r="N1946">
        <v>0</v>
      </c>
      <c r="O1946">
        <v>9.1422540000000007E-3</v>
      </c>
      <c r="P1946">
        <v>-0.99044980000000005</v>
      </c>
      <c r="Q1946">
        <v>-3.3765530000000002E-2</v>
      </c>
      <c r="R1946">
        <v>0.13367479999999901</v>
      </c>
      <c r="S1946">
        <v>-2.9307560000000001</v>
      </c>
      <c r="T1946">
        <v>-0.59476890000000004</v>
      </c>
      <c r="U1946">
        <v>0.57659910000000003</v>
      </c>
      <c r="V1946">
        <v>0.1246167</v>
      </c>
      <c r="W1946">
        <v>-1.8679399999999999E-2</v>
      </c>
      <c r="X1946">
        <v>0.9920291</v>
      </c>
      <c r="Y1946">
        <v>0.18069440000000001</v>
      </c>
      <c r="Z1946">
        <v>1.6163360000000002E-2</v>
      </c>
      <c r="AA1946">
        <v>0.98340649999999996</v>
      </c>
      <c r="AB1946">
        <v>41</v>
      </c>
      <c r="AC1946">
        <v>-0.625</v>
      </c>
      <c r="AD1946">
        <v>-0.18463360000000001</v>
      </c>
      <c r="AE1946">
        <v>0.17689999999998901</v>
      </c>
      <c r="AF1946">
        <v>0.158381370146878</v>
      </c>
      <c r="AG1946">
        <v>-0.18463360000000001</v>
      </c>
      <c r="AH1946">
        <v>0.57974956355916396</v>
      </c>
      <c r="AI1946">
        <v>107.07766638073301</v>
      </c>
      <c r="AJ1946">
        <v>74.7202453379264</v>
      </c>
      <c r="AK1946">
        <v>0.62871597808995106</v>
      </c>
      <c r="AL1946">
        <v>91.070313044488501</v>
      </c>
      <c r="AM1946">
        <v>82.840122918870605</v>
      </c>
      <c r="AN1946">
        <v>0.99999998857502903</v>
      </c>
    </row>
    <row r="1947" spans="1:40" x14ac:dyDescent="0.25">
      <c r="A1947" t="str">
        <f>"20190312161305035"</f>
        <v>20190312161305035</v>
      </c>
      <c r="B1947" t="str">
        <f>"1552378385027893"</f>
        <v>1552378385027893</v>
      </c>
      <c r="C1947" t="s">
        <v>40</v>
      </c>
      <c r="D1947">
        <v>5.1467939999999999</v>
      </c>
      <c r="E1947">
        <v>0.52364500000000003</v>
      </c>
      <c r="F1947" t="s">
        <v>43</v>
      </c>
      <c r="G1947">
        <v>-366.827</v>
      </c>
      <c r="H1947">
        <v>0.91231189999999995</v>
      </c>
      <c r="I1947">
        <v>286.1035</v>
      </c>
      <c r="J1947">
        <v>-366.28820000000002</v>
      </c>
      <c r="K1947">
        <v>1.109899</v>
      </c>
      <c r="L1947">
        <v>285.91520000000003</v>
      </c>
      <c r="M1947">
        <v>-0.9998437</v>
      </c>
      <c r="N1947">
        <v>0</v>
      </c>
      <c r="O1947">
        <v>9.0564029999999993E-3</v>
      </c>
      <c r="P1947">
        <v>-0.99048349999999996</v>
      </c>
      <c r="Q1947">
        <v>-3.3612669999999997E-2</v>
      </c>
      <c r="R1947">
        <v>0.1334641</v>
      </c>
      <c r="S1947">
        <v>-2.93161</v>
      </c>
      <c r="T1947">
        <v>-0.5885667</v>
      </c>
      <c r="U1947">
        <v>0.57247919999999997</v>
      </c>
      <c r="V1947">
        <v>0.1244907</v>
      </c>
      <c r="W1947">
        <v>-1.853084E-2</v>
      </c>
      <c r="X1947">
        <v>0.99204769999999998</v>
      </c>
      <c r="Y1947">
        <v>0.17948499999999901</v>
      </c>
      <c r="Z1947">
        <v>1.589341E-2</v>
      </c>
      <c r="AA1947">
        <v>0.98363230000000001</v>
      </c>
      <c r="AB1947">
        <v>41</v>
      </c>
      <c r="AC1947">
        <v>-0.53879999999997996</v>
      </c>
      <c r="AD1947">
        <v>-0.19758709999999899</v>
      </c>
      <c r="AE1947">
        <v>0.18829999999996899</v>
      </c>
      <c r="AF1947">
        <v>0.16378363662296799</v>
      </c>
      <c r="AG1947">
        <v>-0.19758709999999899</v>
      </c>
      <c r="AH1947">
        <v>0.48264170179209498</v>
      </c>
      <c r="AI1947">
        <v>111.189972879794</v>
      </c>
      <c r="AJ1947">
        <v>71.255444363000905</v>
      </c>
      <c r="AK1947">
        <v>0.54663402201164202</v>
      </c>
      <c r="AL1947">
        <v>91.061799715993402</v>
      </c>
      <c r="AM1947">
        <v>82.847419973376404</v>
      </c>
      <c r="AN1947">
        <v>0.99999998274644197</v>
      </c>
    </row>
    <row r="1948" spans="1:40" x14ac:dyDescent="0.25">
      <c r="A1948" t="str">
        <f>"20190312161305049"</f>
        <v>20190312161305049</v>
      </c>
      <c r="B1948" t="str">
        <f>"1552378385037650"</f>
        <v>1552378385037650</v>
      </c>
      <c r="C1948" t="s">
        <v>40</v>
      </c>
      <c r="D1948">
        <v>5.1410049999999998</v>
      </c>
      <c r="E1948">
        <v>0.52325239999999995</v>
      </c>
      <c r="F1948" t="s">
        <v>43</v>
      </c>
      <c r="G1948">
        <v>-367.19600000000003</v>
      </c>
      <c r="H1948">
        <v>0.92558289999999999</v>
      </c>
      <c r="I1948">
        <v>286.09160000000003</v>
      </c>
      <c r="J1948">
        <v>-366.53620000000001</v>
      </c>
      <c r="K1948">
        <v>1.1099000000000001</v>
      </c>
      <c r="L1948">
        <v>285.91739999999999</v>
      </c>
      <c r="M1948">
        <v>-0.99984430000000002</v>
      </c>
      <c r="N1948">
        <v>0</v>
      </c>
      <c r="O1948">
        <v>9.008561E-3</v>
      </c>
      <c r="P1948">
        <v>-0.99048579999999997</v>
      </c>
      <c r="Q1948">
        <v>-3.3516329999999997E-2</v>
      </c>
      <c r="R1948">
        <v>0.1334716</v>
      </c>
      <c r="S1948">
        <v>-2.932007</v>
      </c>
      <c r="T1948">
        <v>-0.59543469999999998</v>
      </c>
      <c r="U1948">
        <v>0.56820680000000001</v>
      </c>
      <c r="V1948">
        <v>0.1245455</v>
      </c>
      <c r="W1948">
        <v>-1.8437080000000002E-2</v>
      </c>
      <c r="X1948">
        <v>0.9920426</v>
      </c>
      <c r="Y1948">
        <v>0.17807609999999999</v>
      </c>
      <c r="Z1948">
        <v>1.594452E-2</v>
      </c>
      <c r="AA1948">
        <v>0.98388759999999997</v>
      </c>
      <c r="AB1948">
        <v>41</v>
      </c>
      <c r="AC1948">
        <v>-0.65979999999996097</v>
      </c>
      <c r="AD1948">
        <v>-0.18431710000000001</v>
      </c>
      <c r="AE1948">
        <v>0.17420000000004099</v>
      </c>
      <c r="AF1948">
        <v>0.15680875539655001</v>
      </c>
      <c r="AG1948">
        <v>-0.18431710000000001</v>
      </c>
      <c r="AH1948">
        <v>0.61637630110020403</v>
      </c>
      <c r="AI1948">
        <v>106.161704570262</v>
      </c>
      <c r="AJ1948">
        <v>75.726502218408598</v>
      </c>
      <c r="AK1948">
        <v>0.66217937424794104</v>
      </c>
      <c r="AL1948">
        <v>91.056426712812893</v>
      </c>
      <c r="AM1948">
        <v>82.844267679100398</v>
      </c>
      <c r="AN1948">
        <v>1.00000001385196</v>
      </c>
    </row>
    <row r="1949" spans="1:40" x14ac:dyDescent="0.25">
      <c r="A1949" t="str">
        <f>"20190312161305068"</f>
        <v>20190312161305068</v>
      </c>
      <c r="B1949" t="str">
        <f>"1552378385058145"</f>
        <v>1552378385058145</v>
      </c>
      <c r="C1949" t="s">
        <v>40</v>
      </c>
      <c r="D1949">
        <v>5.3647260000000001</v>
      </c>
      <c r="E1949">
        <v>0.52295729999999996</v>
      </c>
      <c r="F1949" t="s">
        <v>43</v>
      </c>
      <c r="G1949">
        <v>-367.55040000000002</v>
      </c>
      <c r="H1949">
        <v>0.90253589999999995</v>
      </c>
      <c r="I1949">
        <v>286.11309999999997</v>
      </c>
      <c r="J1949">
        <v>-366.89280000000002</v>
      </c>
      <c r="K1949">
        <v>1.1099019999999999</v>
      </c>
      <c r="L1949">
        <v>285.92059999999998</v>
      </c>
      <c r="M1949">
        <v>-0.99984479999999998</v>
      </c>
      <c r="N1949">
        <v>0</v>
      </c>
      <c r="O1949">
        <v>8.9398120000000001E-3</v>
      </c>
      <c r="P1949">
        <v>-0.99048480000000005</v>
      </c>
      <c r="Q1949">
        <v>-3.3244759999999998E-2</v>
      </c>
      <c r="R1949">
        <v>0.13354649999999901</v>
      </c>
      <c r="S1949">
        <v>-2.9323730000000001</v>
      </c>
      <c r="T1949">
        <v>-0.59963129999999998</v>
      </c>
      <c r="U1949">
        <v>0.56515499999999996</v>
      </c>
      <c r="V1949">
        <v>0.1246886</v>
      </c>
      <c r="W1949">
        <v>-1.8169479999999998E-2</v>
      </c>
      <c r="X1949">
        <v>0.99202950000000001</v>
      </c>
      <c r="Y1949">
        <v>0.17710499999999901</v>
      </c>
      <c r="Z1949">
        <v>1.5970660000000001E-2</v>
      </c>
      <c r="AA1949">
        <v>0.9840624</v>
      </c>
      <c r="AB1949">
        <v>41</v>
      </c>
      <c r="AC1949">
        <v>-0.65760000000000196</v>
      </c>
      <c r="AD1949">
        <v>-0.207366099999999</v>
      </c>
      <c r="AE1949">
        <v>0.19249999999999501</v>
      </c>
      <c r="AF1949">
        <v>0.17095512181231001</v>
      </c>
      <c r="AG1949">
        <v>-0.207366099999999</v>
      </c>
      <c r="AH1949">
        <v>0.60397691288077404</v>
      </c>
      <c r="AI1949">
        <v>108.281276810348</v>
      </c>
      <c r="AJ1949">
        <v>74.195882327747299</v>
      </c>
      <c r="AK1949">
        <v>0.66107069546007102</v>
      </c>
      <c r="AL1949">
        <v>91.041091856931402</v>
      </c>
      <c r="AM1949">
        <v>82.836037657690099</v>
      </c>
      <c r="AN1949">
        <v>0.99999995292183896</v>
      </c>
    </row>
    <row r="1950" spans="1:40" x14ac:dyDescent="0.25">
      <c r="A1950" t="str">
        <f>"20190312161305091"</f>
        <v>20190312161305091</v>
      </c>
      <c r="B1950" t="str">
        <f>"1552378385087425"</f>
        <v>1552378385087425</v>
      </c>
      <c r="C1950" t="s">
        <v>40</v>
      </c>
      <c r="D1950">
        <v>5.1760910000000004</v>
      </c>
      <c r="E1950">
        <v>0.52220500000000003</v>
      </c>
      <c r="F1950" t="s">
        <v>43</v>
      </c>
      <c r="G1950">
        <v>-367.91180000000003</v>
      </c>
      <c r="H1950">
        <v>0.89864359999999999</v>
      </c>
      <c r="I1950">
        <v>286.1164</v>
      </c>
      <c r="J1950">
        <v>-367.28730000000002</v>
      </c>
      <c r="K1950">
        <v>1.1099079999999999</v>
      </c>
      <c r="L1950">
        <v>285.92410000000001</v>
      </c>
      <c r="M1950">
        <v>-0.99984569999999995</v>
      </c>
      <c r="N1950">
        <v>0</v>
      </c>
      <c r="O1950">
        <v>8.8636759999999992E-3</v>
      </c>
      <c r="P1950">
        <v>-0.99051650000000002</v>
      </c>
      <c r="Q1950">
        <v>-3.317846E-2</v>
      </c>
      <c r="R1950">
        <v>0.133328</v>
      </c>
      <c r="S1950">
        <v>-2.9325260000000002</v>
      </c>
      <c r="T1950">
        <v>-0.60806569999999904</v>
      </c>
      <c r="U1950">
        <v>0.56274409999999997</v>
      </c>
      <c r="V1950">
        <v>0.1245454</v>
      </c>
      <c r="W1950">
        <v>-1.8107160000000001E-2</v>
      </c>
      <c r="X1950">
        <v>0.99204870000000001</v>
      </c>
      <c r="Y1950">
        <v>0.17631050000000001</v>
      </c>
      <c r="Z1950">
        <v>1.6125859999999999E-2</v>
      </c>
      <c r="AA1950">
        <v>0.98420249999999998</v>
      </c>
      <c r="AB1950">
        <v>41</v>
      </c>
      <c r="AC1950">
        <v>-0.62450000000001105</v>
      </c>
      <c r="AD1950">
        <v>-0.21126439999999899</v>
      </c>
      <c r="AE1950">
        <v>0.19229999999998801</v>
      </c>
      <c r="AF1950">
        <v>0.16908210142708799</v>
      </c>
      <c r="AG1950">
        <v>-0.21126439999999899</v>
      </c>
      <c r="AH1950">
        <v>0.566919424358445</v>
      </c>
      <c r="AI1950">
        <v>109.652101373516</v>
      </c>
      <c r="AJ1950">
        <v>73.392938714055106</v>
      </c>
      <c r="AK1950">
        <v>0.62818710385144805</v>
      </c>
      <c r="AL1950">
        <v>91.037520521953695</v>
      </c>
      <c r="AM1950">
        <v>82.844316908703703</v>
      </c>
      <c r="AN1950">
        <v>1.00000002453805</v>
      </c>
    </row>
    <row r="1951" spans="1:40" x14ac:dyDescent="0.25">
      <c r="A1951" t="str">
        <f>"20190312161305112"</f>
        <v>20190312161305112</v>
      </c>
      <c r="B1951" t="str">
        <f>"1552378385107922"</f>
        <v>1552378385107922</v>
      </c>
      <c r="C1951" t="s">
        <v>40</v>
      </c>
      <c r="D1951">
        <v>5.0571000000000002</v>
      </c>
      <c r="E1951">
        <v>0.48123199999999999</v>
      </c>
      <c r="F1951" t="s">
        <v>43</v>
      </c>
      <c r="G1951">
        <v>-368.27600000000001</v>
      </c>
      <c r="H1951">
        <v>0.90300139999999995</v>
      </c>
      <c r="I1951">
        <v>286.11160000000001</v>
      </c>
      <c r="J1951">
        <v>-367.69200000000001</v>
      </c>
      <c r="K1951">
        <v>1.1099079999999999</v>
      </c>
      <c r="L1951">
        <v>285.92759999999998</v>
      </c>
      <c r="M1951">
        <v>-0.99984629999999997</v>
      </c>
      <c r="N1951">
        <v>0</v>
      </c>
      <c r="O1951">
        <v>8.7858150000000006E-3</v>
      </c>
      <c r="P1951">
        <v>-0.99053500000000005</v>
      </c>
      <c r="Q1951">
        <v>-3.2794579999999997E-2</v>
      </c>
      <c r="R1951">
        <v>0.1332854</v>
      </c>
      <c r="S1951">
        <v>-2.933319</v>
      </c>
      <c r="T1951">
        <v>-0.61384499999999997</v>
      </c>
      <c r="U1951">
        <v>0.55584719999999999</v>
      </c>
      <c r="V1951">
        <v>0.1245798</v>
      </c>
      <c r="W1951">
        <v>-1.772758E-2</v>
      </c>
      <c r="X1951">
        <v>0.99205120000000002</v>
      </c>
      <c r="Y1951">
        <v>0.1740844</v>
      </c>
      <c r="Z1951">
        <v>1.6062690000000001E-2</v>
      </c>
      <c r="AA1951">
        <v>0.98459969999999997</v>
      </c>
      <c r="AB1951">
        <v>41</v>
      </c>
      <c r="AC1951">
        <v>-0.58400000000006003</v>
      </c>
      <c r="AD1951">
        <v>-0.206906599999999</v>
      </c>
      <c r="AE1951">
        <v>0.184000000000025</v>
      </c>
      <c r="AF1951">
        <v>0.16053075185344201</v>
      </c>
      <c r="AG1951">
        <v>-0.206906599999999</v>
      </c>
      <c r="AH1951">
        <v>0.52557951212774401</v>
      </c>
      <c r="AI1951">
        <v>110.631488817624</v>
      </c>
      <c r="AJ1951">
        <v>73.015457168195496</v>
      </c>
      <c r="AK1951">
        <v>0.58720889552409605</v>
      </c>
      <c r="AL1951">
        <v>91.015768735140099</v>
      </c>
      <c r="AM1951">
        <v>82.842378823282402</v>
      </c>
      <c r="AN1951">
        <v>0.99999998854106797</v>
      </c>
    </row>
    <row r="1952" spans="1:40" x14ac:dyDescent="0.25">
      <c r="A1952" t="str">
        <f>"20190312161305135"</f>
        <v>20190312161305135</v>
      </c>
      <c r="B1952" t="str">
        <f>"1552378385127735"</f>
        <v>1552378385127735</v>
      </c>
      <c r="C1952" t="s">
        <v>40</v>
      </c>
      <c r="D1952">
        <v>5.11897</v>
      </c>
      <c r="E1952">
        <v>0.45006659999999998</v>
      </c>
      <c r="F1952" t="s">
        <v>43</v>
      </c>
      <c r="G1952">
        <v>-368.66849999999999</v>
      </c>
      <c r="H1952">
        <v>0.97378129999999996</v>
      </c>
      <c r="I1952">
        <v>286.00630000000001</v>
      </c>
      <c r="J1952">
        <v>-368.10180000000003</v>
      </c>
      <c r="K1952">
        <v>1.109904</v>
      </c>
      <c r="L1952">
        <v>285.93110000000001</v>
      </c>
      <c r="M1952">
        <v>-0.99984720000000005</v>
      </c>
      <c r="N1952">
        <v>0</v>
      </c>
      <c r="O1952">
        <v>8.7064640000000006E-3</v>
      </c>
      <c r="P1952">
        <v>-0.99056330000000004</v>
      </c>
      <c r="Q1952">
        <v>-3.3195460000000003E-2</v>
      </c>
      <c r="R1952">
        <v>0.1329767</v>
      </c>
      <c r="S1952">
        <v>-2.9826969999999999</v>
      </c>
      <c r="T1952">
        <v>-0.4159487</v>
      </c>
      <c r="U1952">
        <v>0.2392273</v>
      </c>
      <c r="V1952">
        <v>0.1243496</v>
      </c>
      <c r="W1952">
        <v>-1.813271E-2</v>
      </c>
      <c r="X1952">
        <v>0.99207279999999998</v>
      </c>
      <c r="Y1952">
        <v>7.0669990000000002E-2</v>
      </c>
      <c r="Z1952">
        <v>3.689711E-3</v>
      </c>
      <c r="AA1952">
        <v>0.99749290000000002</v>
      </c>
      <c r="AB1952">
        <v>41</v>
      </c>
      <c r="AC1952">
        <v>-0.56669999999996801</v>
      </c>
      <c r="AD1952">
        <v>-0.13612270000000001</v>
      </c>
      <c r="AE1952">
        <v>7.5199999999995201E-2</v>
      </c>
      <c r="AF1952">
        <v>6.6492579786033901E-2</v>
      </c>
      <c r="AG1952">
        <v>-0.13612270000000001</v>
      </c>
      <c r="AH1952">
        <v>0.53689217715439896</v>
      </c>
      <c r="AI1952">
        <v>104.123349986891</v>
      </c>
      <c r="AJ1952">
        <v>82.940028635986906</v>
      </c>
      <c r="AK1952">
        <v>0.55785648917215502</v>
      </c>
      <c r="AL1952">
        <v>91.0389846644714</v>
      </c>
      <c r="AM1952">
        <v>82.855621907635594</v>
      </c>
      <c r="AN1952">
        <v>1.0000000293459701</v>
      </c>
    </row>
    <row r="1953" spans="1:40" x14ac:dyDescent="0.25">
      <c r="A1953" t="str">
        <f>"20190312161305149"</f>
        <v>20190312161305149</v>
      </c>
      <c r="B1953" t="str">
        <f>"1552378385137494"</f>
        <v>1552378385137494</v>
      </c>
      <c r="C1953" t="s">
        <v>40</v>
      </c>
      <c r="D1953">
        <v>5.1042589999999999</v>
      </c>
      <c r="E1953">
        <v>0.44831789999999999</v>
      </c>
      <c r="F1953" t="s">
        <v>74</v>
      </c>
      <c r="G1953">
        <v>-404.13080000000002</v>
      </c>
      <c r="H1953" s="1">
        <v>6.2882280000000001E-6</v>
      </c>
      <c r="I1953">
        <v>285.98200000000003</v>
      </c>
      <c r="J1953">
        <v>-368.35149999999999</v>
      </c>
      <c r="K1953">
        <v>1.109904</v>
      </c>
      <c r="L1953">
        <v>285.93329999999997</v>
      </c>
      <c r="M1953">
        <v>-0.9998475</v>
      </c>
      <c r="N1953">
        <v>0</v>
      </c>
      <c r="O1953">
        <v>8.6581519999999901E-3</v>
      </c>
      <c r="P1953">
        <v>-0.99058069999999998</v>
      </c>
      <c r="Q1953">
        <v>-3.2970729999999997E-2</v>
      </c>
      <c r="R1953">
        <v>0.1329022</v>
      </c>
      <c r="S1953">
        <v>-3.0248719999999998</v>
      </c>
      <c r="T1953">
        <v>-9.3183160000000001E-2</v>
      </c>
      <c r="U1953">
        <v>4.272461E-3</v>
      </c>
      <c r="V1953">
        <v>0.1243229</v>
      </c>
      <c r="W1953">
        <v>-1.791061E-2</v>
      </c>
      <c r="X1953">
        <v>0.99208019999999997</v>
      </c>
      <c r="Y1953">
        <v>-7.2392100000000003E-3</v>
      </c>
      <c r="Z1953">
        <v>-3.7816230000000002E-4</v>
      </c>
      <c r="AA1953">
        <v>0.99997369999999997</v>
      </c>
      <c r="AB1953">
        <v>41</v>
      </c>
      <c r="AC1953">
        <v>-35.779299999999999</v>
      </c>
      <c r="AD1953">
        <v>-1.1098977117719999</v>
      </c>
      <c r="AE1953">
        <v>4.8700000000053402E-2</v>
      </c>
      <c r="AF1953">
        <v>-0.26086904780675801</v>
      </c>
      <c r="AG1953">
        <v>-1.1098977117719999</v>
      </c>
      <c r="AH1953">
        <v>35.743984575326898</v>
      </c>
      <c r="AI1953">
        <v>91.778490477532003</v>
      </c>
      <c r="AJ1953">
        <v>90.418152320008204</v>
      </c>
      <c r="AK1953">
        <v>35.762163789568298</v>
      </c>
      <c r="AL1953">
        <v>91.026257185729605</v>
      </c>
      <c r="AM1953">
        <v>82.857192810868995</v>
      </c>
      <c r="AN1953">
        <v>1.0000000483235001</v>
      </c>
    </row>
    <row r="1954" spans="1:40" x14ac:dyDescent="0.25">
      <c r="A1954" t="str">
        <f>"20190312161305162"</f>
        <v>20190312161305162</v>
      </c>
      <c r="B1954" t="str">
        <f>"1552378385157989"</f>
        <v>1552378385157989</v>
      </c>
      <c r="C1954" t="s">
        <v>40</v>
      </c>
      <c r="D1954">
        <v>5.1242039999999998</v>
      </c>
      <c r="E1954">
        <v>0.44812220000000003</v>
      </c>
      <c r="F1954" t="s">
        <v>74</v>
      </c>
      <c r="G1954">
        <v>-412.98160000000001</v>
      </c>
      <c r="H1954" s="1">
        <v>2.6313440000000001E-6</v>
      </c>
      <c r="I1954">
        <v>285.7978</v>
      </c>
      <c r="J1954">
        <v>-368.60939999999999</v>
      </c>
      <c r="K1954">
        <v>1.1099079999999999</v>
      </c>
      <c r="L1954">
        <v>285.93549999999999</v>
      </c>
      <c r="M1954">
        <v>-0.99984819999999996</v>
      </c>
      <c r="N1954">
        <v>0</v>
      </c>
      <c r="O1954">
        <v>8.608526E-3</v>
      </c>
      <c r="P1954">
        <v>-0.99061100000000002</v>
      </c>
      <c r="Q1954">
        <v>-3.2564669999999997E-2</v>
      </c>
      <c r="R1954">
        <v>0.1327776</v>
      </c>
      <c r="S1954">
        <v>-3.0272220000000001</v>
      </c>
      <c r="T1954">
        <v>-7.528377E-2</v>
      </c>
      <c r="U1954">
        <v>-9.1857910000000004E-3</v>
      </c>
      <c r="V1954">
        <v>0.1242472</v>
      </c>
      <c r="W1954">
        <v>-1.7507080000000001E-2</v>
      </c>
      <c r="X1954">
        <v>0.9920968</v>
      </c>
      <c r="Y1954">
        <v>-1.163749E-2</v>
      </c>
      <c r="Z1954">
        <v>-3.5875780000000002E-4</v>
      </c>
      <c r="AA1954">
        <v>0.99993220000000005</v>
      </c>
      <c r="AB1954">
        <v>40</v>
      </c>
      <c r="AC1954">
        <v>-44.372199999999999</v>
      </c>
      <c r="AD1954">
        <v>-1.1099053686560001</v>
      </c>
      <c r="AE1954">
        <v>-0.13769999999999499</v>
      </c>
      <c r="AF1954">
        <v>-0.51939299887436396</v>
      </c>
      <c r="AG1954">
        <v>-1.1099053686560001</v>
      </c>
      <c r="AH1954">
        <v>44.341626667644</v>
      </c>
      <c r="AI1954">
        <v>91.433760158350196</v>
      </c>
      <c r="AJ1954">
        <v>90.671100003914106</v>
      </c>
      <c r="AK1954">
        <v>44.358556272126002</v>
      </c>
      <c r="AL1954">
        <v>91.003133080625702</v>
      </c>
      <c r="AM1954">
        <v>82.861615382719805</v>
      </c>
      <c r="AN1954">
        <v>0.99999996256410195</v>
      </c>
    </row>
    <row r="1955" spans="1:40" x14ac:dyDescent="0.25">
      <c r="A1955" t="str">
        <f>"20190312161305178"</f>
        <v>20190312161305178</v>
      </c>
      <c r="B1955" t="str">
        <f>"1552378385167750"</f>
        <v>1552378385167750</v>
      </c>
      <c r="C1955" t="s">
        <v>40</v>
      </c>
      <c r="D1955">
        <v>5.0630610000000003</v>
      </c>
      <c r="E1955">
        <v>0.44813940000000002</v>
      </c>
      <c r="F1955" t="s">
        <v>74</v>
      </c>
      <c r="G1955">
        <v>-426.57040000000001</v>
      </c>
      <c r="H1955" s="1">
        <v>2.7011050000000002E-6</v>
      </c>
      <c r="I1955">
        <v>285.73750000000001</v>
      </c>
      <c r="J1955">
        <v>-368.88479999999998</v>
      </c>
      <c r="K1955">
        <v>1.10991</v>
      </c>
      <c r="L1955">
        <v>285.93779999999998</v>
      </c>
      <c r="M1955">
        <v>-0.99984870000000003</v>
      </c>
      <c r="N1955">
        <v>0</v>
      </c>
      <c r="O1955">
        <v>8.5551489999999997E-3</v>
      </c>
      <c r="P1955">
        <v>-0.99060110000000001</v>
      </c>
      <c r="Q1955">
        <v>-3.246127E-2</v>
      </c>
      <c r="R1955">
        <v>0.13287579999999999</v>
      </c>
      <c r="S1955">
        <v>-3.0279240000000001</v>
      </c>
      <c r="T1955">
        <v>-5.7982209999999999E-2</v>
      </c>
      <c r="U1955">
        <v>-1.0345460000000001E-2</v>
      </c>
      <c r="V1955">
        <v>0.12439840000000001</v>
      </c>
      <c r="W1955">
        <v>-1.7407120000000002E-2</v>
      </c>
      <c r="X1955">
        <v>0.99207959999999995</v>
      </c>
      <c r="Y1955">
        <v>-1.196886E-2</v>
      </c>
      <c r="Z1955">
        <v>-2.7841230000000001E-4</v>
      </c>
      <c r="AA1955">
        <v>0.99992840000000005</v>
      </c>
      <c r="AB1955">
        <v>40</v>
      </c>
      <c r="AC1955">
        <v>-57.685600000000001</v>
      </c>
      <c r="AD1955">
        <v>-1.1099072988950001</v>
      </c>
      <c r="AE1955">
        <v>-0.20029999999997</v>
      </c>
      <c r="AF1955">
        <v>-0.69360141375866002</v>
      </c>
      <c r="AG1955">
        <v>-1.1099072988950001</v>
      </c>
      <c r="AH1955">
        <v>57.660428922803</v>
      </c>
      <c r="AI1955">
        <v>91.102672211032001</v>
      </c>
      <c r="AJ1955">
        <v>90.689181780069603</v>
      </c>
      <c r="AK1955">
        <v>57.675281019644103</v>
      </c>
      <c r="AL1955">
        <v>90.997404932686194</v>
      </c>
      <c r="AM1955">
        <v>82.852895625034904</v>
      </c>
      <c r="AN1955">
        <v>0.99999995124270602</v>
      </c>
    </row>
    <row r="1956" spans="1:40" x14ac:dyDescent="0.25">
      <c r="A1956" t="str">
        <f>"20190312161305201"</f>
        <v>20190312161305201</v>
      </c>
      <c r="B1956" t="str">
        <f>"1552378385198006"</f>
        <v>1552378385198006</v>
      </c>
      <c r="C1956" t="s">
        <v>40</v>
      </c>
      <c r="D1956">
        <v>5.1143400000000003</v>
      </c>
      <c r="E1956">
        <v>0.44839790000000002</v>
      </c>
      <c r="F1956" t="s">
        <v>74</v>
      </c>
      <c r="G1956">
        <v>-436.01929999999999</v>
      </c>
      <c r="H1956" s="1">
        <v>4.7895359999999998E-6</v>
      </c>
      <c r="I1956">
        <v>285.72340000000003</v>
      </c>
      <c r="J1956">
        <v>-369.28820000000002</v>
      </c>
      <c r="K1956">
        <v>1.1099159999999999</v>
      </c>
      <c r="L1956">
        <v>285.94119999999998</v>
      </c>
      <c r="M1956">
        <v>-0.9998494</v>
      </c>
      <c r="N1956">
        <v>0</v>
      </c>
      <c r="O1956">
        <v>8.4771699999999992E-3</v>
      </c>
      <c r="P1956">
        <v>-0.99060459999999995</v>
      </c>
      <c r="Q1956">
        <v>-3.2575590000000001E-2</v>
      </c>
      <c r="R1956">
        <v>0.1328211</v>
      </c>
      <c r="S1956">
        <v>-3.0281980000000002</v>
      </c>
      <c r="T1956">
        <v>-5.006385E-2</v>
      </c>
      <c r="U1956">
        <v>-9.6740720000000006E-3</v>
      </c>
      <c r="V1956">
        <v>0.12442110000000001</v>
      </c>
      <c r="W1956">
        <v>-1.752627E-2</v>
      </c>
      <c r="X1956">
        <v>0.99207469999999998</v>
      </c>
      <c r="Y1956">
        <v>-1.1669880000000001E-2</v>
      </c>
      <c r="Z1956">
        <v>-2.366143E-4</v>
      </c>
      <c r="AA1956">
        <v>0.99993189999999998</v>
      </c>
      <c r="AB1956">
        <v>40</v>
      </c>
      <c r="AC1956">
        <v>-66.731099999999898</v>
      </c>
      <c r="AD1956">
        <v>-1.1099112104640001</v>
      </c>
      <c r="AE1956">
        <v>-0.217799999999954</v>
      </c>
      <c r="AF1956">
        <v>-0.78333122216613504</v>
      </c>
      <c r="AG1956">
        <v>-1.1099112104640001</v>
      </c>
      <c r="AH1956">
        <v>66.708400913683505</v>
      </c>
      <c r="AI1956">
        <v>90.953147986717099</v>
      </c>
      <c r="AJ1956">
        <v>90.672771489861006</v>
      </c>
      <c r="AK1956">
        <v>66.7222321506068</v>
      </c>
      <c r="AL1956">
        <v>91.004232722496894</v>
      </c>
      <c r="AM1956">
        <v>82.851569982948703</v>
      </c>
      <c r="AN1956">
        <v>0.999999995322706</v>
      </c>
    </row>
    <row r="1957" spans="1:40" x14ac:dyDescent="0.25">
      <c r="A1957" t="str">
        <f>"20190312161305214"</f>
        <v>20190312161305214</v>
      </c>
      <c r="B1957" t="str">
        <f>"1552378385207765"</f>
        <v>1552378385207765</v>
      </c>
      <c r="C1957" t="s">
        <v>40</v>
      </c>
      <c r="D1957">
        <v>5.157241</v>
      </c>
      <c r="E1957">
        <v>0.44834479999999999</v>
      </c>
      <c r="F1957" t="s">
        <v>69</v>
      </c>
      <c r="G1957">
        <v>-440.51580000000001</v>
      </c>
      <c r="H1957" s="1">
        <v>-1.3124109999999901E-6</v>
      </c>
      <c r="I1957">
        <v>285.76240000000001</v>
      </c>
      <c r="J1957">
        <v>-369.53019999999998</v>
      </c>
      <c r="K1957">
        <v>1.1099159999999999</v>
      </c>
      <c r="L1957">
        <v>285.94319999999999</v>
      </c>
      <c r="M1957">
        <v>-0.99984969999999995</v>
      </c>
      <c r="N1957">
        <v>0</v>
      </c>
      <c r="O1957">
        <v>8.4303469999999995E-3</v>
      </c>
      <c r="P1957">
        <v>-0.99060409999999999</v>
      </c>
      <c r="Q1957">
        <v>-3.247382E-2</v>
      </c>
      <c r="R1957">
        <v>0.13284969999999999</v>
      </c>
      <c r="S1957">
        <v>-3.0279539999999998</v>
      </c>
      <c r="T1957">
        <v>-4.7183629999999997E-2</v>
      </c>
      <c r="U1957">
        <v>-7.59887699999999E-3</v>
      </c>
      <c r="V1957">
        <v>0.1244961</v>
      </c>
      <c r="W1957">
        <v>-1.7427330000000001E-2</v>
      </c>
      <c r="X1957">
        <v>0.99206700000000003</v>
      </c>
      <c r="Y1957">
        <v>-1.0938410000000001E-2</v>
      </c>
      <c r="Z1957">
        <v>-2.16593E-4</v>
      </c>
      <c r="AA1957">
        <v>0.99994019999999995</v>
      </c>
      <c r="AB1957">
        <v>40</v>
      </c>
      <c r="AC1957">
        <v>-70.985600000000005</v>
      </c>
      <c r="AD1957">
        <v>-1.109917312411</v>
      </c>
      <c r="AE1957">
        <v>-0.18079999999997601</v>
      </c>
      <c r="AF1957">
        <v>-0.77910502442789897</v>
      </c>
      <c r="AG1957">
        <v>-1.109917312411</v>
      </c>
      <c r="AH1957">
        <v>70.964203382488705</v>
      </c>
      <c r="AI1957">
        <v>90.896008951680699</v>
      </c>
      <c r="AJ1957">
        <v>90.629016238619002</v>
      </c>
      <c r="AK1957">
        <v>70.977158880802605</v>
      </c>
      <c r="AL1957">
        <v>90.998563045763007</v>
      </c>
      <c r="AM1957">
        <v>82.847250644670197</v>
      </c>
      <c r="AN1957">
        <v>0.99999996161756799</v>
      </c>
    </row>
    <row r="1958" spans="1:40" x14ac:dyDescent="0.25">
      <c r="A1958" t="str">
        <f>"20190312161305226"</f>
        <v>20190312161305226</v>
      </c>
      <c r="B1958" t="str">
        <f>"1552378385217525"</f>
        <v>1552378385217525</v>
      </c>
      <c r="C1958" t="s">
        <v>40</v>
      </c>
      <c r="D1958">
        <v>5.1235280000000003</v>
      </c>
      <c r="E1958">
        <v>0.44801039999999998</v>
      </c>
      <c r="F1958" t="s">
        <v>69</v>
      </c>
      <c r="G1958">
        <v>-443.51319999999998</v>
      </c>
      <c r="H1958" s="1">
        <v>2.8323760000000002E-7</v>
      </c>
      <c r="I1958">
        <v>285.74860000000001</v>
      </c>
      <c r="J1958">
        <v>-369.75940000000003</v>
      </c>
      <c r="K1958">
        <v>1.109912</v>
      </c>
      <c r="L1958">
        <v>285.94510000000002</v>
      </c>
      <c r="M1958">
        <v>-0.99985029999999997</v>
      </c>
      <c r="N1958">
        <v>0</v>
      </c>
      <c r="O1958">
        <v>8.3857269999999904E-3</v>
      </c>
      <c r="P1958">
        <v>-0.990595</v>
      </c>
      <c r="Q1958">
        <v>-3.2406240000000003E-2</v>
      </c>
      <c r="R1958">
        <v>0.1329342</v>
      </c>
      <c r="S1958">
        <v>-3.0280459999999998</v>
      </c>
      <c r="T1958">
        <v>-4.5427679999999998E-2</v>
      </c>
      <c r="U1958">
        <v>-7.9650880000000004E-3</v>
      </c>
      <c r="V1958">
        <v>0.12462479999999999</v>
      </c>
      <c r="W1958">
        <v>-1.7362470000000001E-2</v>
      </c>
      <c r="X1958">
        <v>0.99205200000000004</v>
      </c>
      <c r="Y1958">
        <v>-1.101481E-2</v>
      </c>
      <c r="Z1958">
        <v>-2.084307E-4</v>
      </c>
      <c r="AA1958">
        <v>0.99993929999999998</v>
      </c>
      <c r="AB1958">
        <v>40</v>
      </c>
      <c r="AC1958">
        <v>-73.753799999999899</v>
      </c>
      <c r="AD1958">
        <v>-1.1099117167624</v>
      </c>
      <c r="AE1958">
        <v>-0.196500000000014</v>
      </c>
      <c r="AF1958">
        <v>-0.81485862843591494</v>
      </c>
      <c r="AG1958">
        <v>-1.1099117167624</v>
      </c>
      <c r="AH1958">
        <v>73.732860115228902</v>
      </c>
      <c r="AI1958">
        <v>90.862364106547204</v>
      </c>
      <c r="AJ1958">
        <v>90.633178471864994</v>
      </c>
      <c r="AK1958">
        <v>73.745715532329498</v>
      </c>
      <c r="AL1958">
        <v>90.994846257309504</v>
      </c>
      <c r="AM1958">
        <v>82.839825931984095</v>
      </c>
      <c r="AN1958">
        <v>0.99999998342176999</v>
      </c>
    </row>
    <row r="1959" spans="1:40" x14ac:dyDescent="0.25">
      <c r="A1959" t="str">
        <f>"20190312161305255"</f>
        <v>20190312161305255</v>
      </c>
      <c r="B1959" t="str">
        <f>"1552378385247781"</f>
        <v>1552378385247781</v>
      </c>
      <c r="C1959" t="s">
        <v>40</v>
      </c>
      <c r="D1959">
        <v>5.0223509999999996</v>
      </c>
      <c r="E1959">
        <v>0.44744980000000001</v>
      </c>
      <c r="F1959" t="s">
        <v>69</v>
      </c>
      <c r="G1959">
        <v>-444.67160000000001</v>
      </c>
      <c r="H1959" s="1">
        <v>9.0219189999999996E-7</v>
      </c>
      <c r="I1959">
        <v>285.69139999999999</v>
      </c>
      <c r="J1959">
        <v>-370.26990000000001</v>
      </c>
      <c r="K1959">
        <v>1.1099159999999999</v>
      </c>
      <c r="L1959">
        <v>285.94920000000002</v>
      </c>
      <c r="M1959">
        <v>-0.99985119999999905</v>
      </c>
      <c r="N1959">
        <v>0</v>
      </c>
      <c r="O1959">
        <v>8.2867159999999995E-3</v>
      </c>
      <c r="P1959">
        <v>-0.99064890000000005</v>
      </c>
      <c r="Q1959">
        <v>-3.2099919999999997E-2</v>
      </c>
      <c r="R1959">
        <v>0.1326077</v>
      </c>
      <c r="S1959">
        <v>-3.0284420000000001</v>
      </c>
      <c r="T1959">
        <v>-4.4869899999999997E-2</v>
      </c>
      <c r="U1959">
        <v>-1.025391E-2</v>
      </c>
      <c r="V1959">
        <v>0.1243961</v>
      </c>
      <c r="W1959">
        <v>-1.7061099999999999E-2</v>
      </c>
      <c r="X1959">
        <v>0.99208589999999997</v>
      </c>
      <c r="Y1959">
        <v>-1.167116E-2</v>
      </c>
      <c r="Z1959">
        <v>-2.0923959999999999E-4</v>
      </c>
      <c r="AA1959">
        <v>0.99993189999999998</v>
      </c>
      <c r="AB1959">
        <v>40</v>
      </c>
      <c r="AC1959">
        <v>-74.401700000000005</v>
      </c>
      <c r="AD1959">
        <v>-1.1099150978080901</v>
      </c>
      <c r="AE1959">
        <v>-0.257800000000031</v>
      </c>
      <c r="AF1959">
        <v>-0.87421293485342</v>
      </c>
      <c r="AG1959">
        <v>-1.1099150978080901</v>
      </c>
      <c r="AH1959">
        <v>74.380455595751698</v>
      </c>
      <c r="AI1959">
        <v>90.854852794111807</v>
      </c>
      <c r="AJ1959">
        <v>90.673381265935504</v>
      </c>
      <c r="AK1959">
        <v>74.393872962841499</v>
      </c>
      <c r="AL1959">
        <v>90.977576500462007</v>
      </c>
      <c r="AM1959">
        <v>82.853071317051302</v>
      </c>
      <c r="AN1959">
        <v>0.99999995190361302</v>
      </c>
    </row>
    <row r="1960" spans="1:40" x14ac:dyDescent="0.25">
      <c r="A1960" t="str">
        <f>"20190312161305269"</f>
        <v>20190312161305269</v>
      </c>
      <c r="B1960" t="str">
        <f>"1552378385257542"</f>
        <v>1552378385257542</v>
      </c>
      <c r="C1960" t="s">
        <v>40</v>
      </c>
      <c r="D1960">
        <v>5.1463580000000002</v>
      </c>
      <c r="E1960">
        <v>0.44720199999999999</v>
      </c>
      <c r="F1960" t="s">
        <v>69</v>
      </c>
      <c r="G1960">
        <v>-448.15809999999999</v>
      </c>
      <c r="H1960" s="1">
        <v>2.7640499999999998E-6</v>
      </c>
      <c r="I1960">
        <v>285.5428</v>
      </c>
      <c r="J1960">
        <v>-370.50990000000002</v>
      </c>
      <c r="K1960">
        <v>1.109918</v>
      </c>
      <c r="L1960">
        <v>285.95119999999997</v>
      </c>
      <c r="M1960">
        <v>-0.9998515</v>
      </c>
      <c r="N1960">
        <v>0</v>
      </c>
      <c r="O1960">
        <v>8.2400709999999999E-3</v>
      </c>
      <c r="P1960">
        <v>-0.9906973</v>
      </c>
      <c r="Q1960">
        <v>-3.208689E-2</v>
      </c>
      <c r="R1960">
        <v>0.13224820000000001</v>
      </c>
      <c r="S1960">
        <v>-3.0290530000000002</v>
      </c>
      <c r="T1960">
        <v>-4.3164250000000001E-2</v>
      </c>
      <c r="U1960">
        <v>-1.580811E-2</v>
      </c>
      <c r="V1960">
        <v>0.12408230000000001</v>
      </c>
      <c r="W1960">
        <v>-1.7050099999999999E-2</v>
      </c>
      <c r="X1960">
        <v>0.99212549999999999</v>
      </c>
      <c r="Y1960">
        <v>-1.345728E-2</v>
      </c>
      <c r="Z1960">
        <v>-2.1330620000000001E-4</v>
      </c>
      <c r="AA1960">
        <v>0.99990939999999995</v>
      </c>
      <c r="AB1960">
        <v>40</v>
      </c>
      <c r="AC1960">
        <v>-77.648199999999903</v>
      </c>
      <c r="AD1960">
        <v>-1.10991523595</v>
      </c>
      <c r="AE1960">
        <v>-0.40839999999997101</v>
      </c>
      <c r="AF1960">
        <v>-1.0480719716787901</v>
      </c>
      <c r="AG1960">
        <v>-1.10991523595</v>
      </c>
      <c r="AH1960">
        <v>77.626337219893799</v>
      </c>
      <c r="AI1960">
        <v>90.819094827131593</v>
      </c>
      <c r="AJ1960">
        <v>90.773531951892807</v>
      </c>
      <c r="AK1960">
        <v>77.641345923840603</v>
      </c>
      <c r="AL1960">
        <v>90.976946044261695</v>
      </c>
      <c r="AM1960">
        <v>82.871195958010404</v>
      </c>
      <c r="AN1960">
        <v>1.00000006541677</v>
      </c>
    </row>
    <row r="1961" spans="1:40" x14ac:dyDescent="0.25">
      <c r="A1961" t="str">
        <f>"20190312161305291"</f>
        <v>20190312161305291</v>
      </c>
      <c r="B1961" t="str">
        <f>"1552378385287799"</f>
        <v>1552378385287799</v>
      </c>
      <c r="C1961" t="s">
        <v>40</v>
      </c>
      <c r="D1961">
        <v>5.1666790000000002</v>
      </c>
      <c r="E1961">
        <v>0.4467082</v>
      </c>
      <c r="F1961" t="s">
        <v>69</v>
      </c>
      <c r="G1961">
        <v>-445.5641</v>
      </c>
      <c r="H1961" s="1">
        <v>1.3862669999999999E-6</v>
      </c>
      <c r="I1961">
        <v>285.48239999999998</v>
      </c>
      <c r="J1961">
        <v>-370.90550000000002</v>
      </c>
      <c r="K1961">
        <v>1.1099250000000001</v>
      </c>
      <c r="L1961">
        <v>285.95429999999999</v>
      </c>
      <c r="M1961">
        <v>-0.99985230000000003</v>
      </c>
      <c r="N1961">
        <v>0</v>
      </c>
      <c r="O1961">
        <v>8.1632219999999995E-3</v>
      </c>
      <c r="P1961">
        <v>-0.99074689999999999</v>
      </c>
      <c r="Q1961">
        <v>-3.221736E-2</v>
      </c>
      <c r="R1961">
        <v>0.13184399999999999</v>
      </c>
      <c r="S1961">
        <v>-3.0292970000000001</v>
      </c>
      <c r="T1961">
        <v>-4.4797900000000002E-2</v>
      </c>
      <c r="U1961">
        <v>-1.8920900000000001E-2</v>
      </c>
      <c r="V1961">
        <v>0.1237539</v>
      </c>
      <c r="W1961">
        <v>-1.7184330000000001E-2</v>
      </c>
      <c r="X1961">
        <v>0.99216409999999999</v>
      </c>
      <c r="Y1961">
        <v>-1.440717E-2</v>
      </c>
      <c r="Z1961">
        <v>-2.272466E-4</v>
      </c>
      <c r="AA1961">
        <v>0.99989620000000001</v>
      </c>
      <c r="AB1961">
        <v>40</v>
      </c>
      <c r="AC1961">
        <v>-74.658599999999893</v>
      </c>
      <c r="AD1961">
        <v>-1.109923613733</v>
      </c>
      <c r="AE1961">
        <v>-0.47190000000000498</v>
      </c>
      <c r="AF1961">
        <v>-1.08116976636016</v>
      </c>
      <c r="AG1961">
        <v>-1.109923613733</v>
      </c>
      <c r="AH1961">
        <v>74.635764022421895</v>
      </c>
      <c r="AI1961">
        <v>90.851905011988705</v>
      </c>
      <c r="AJ1961">
        <v>90.8299256114326</v>
      </c>
      <c r="AK1961">
        <v>74.651846123874606</v>
      </c>
      <c r="AL1961">
        <v>90.984638081936495</v>
      </c>
      <c r="AM1961">
        <v>82.890143699987405</v>
      </c>
      <c r="AN1961">
        <v>0.99999996514578304</v>
      </c>
    </row>
    <row r="1962" spans="1:40" x14ac:dyDescent="0.25">
      <c r="A1962" t="str">
        <f>"20190312161305313"</f>
        <v>20190312161305313</v>
      </c>
      <c r="B1962" t="str">
        <f>"1552378385307317"</f>
        <v>1552378385307317</v>
      </c>
      <c r="C1962" t="s">
        <v>40</v>
      </c>
      <c r="D1962">
        <v>5.3261779999999996</v>
      </c>
      <c r="E1962">
        <v>0.44667400000000002</v>
      </c>
      <c r="F1962" t="s">
        <v>74</v>
      </c>
      <c r="G1962">
        <v>-437.9676</v>
      </c>
      <c r="H1962" s="1">
        <v>5.680259E-6</v>
      </c>
      <c r="I1962">
        <v>285.41730000000001</v>
      </c>
      <c r="J1962">
        <v>-371.3064</v>
      </c>
      <c r="K1962">
        <v>1.109928</v>
      </c>
      <c r="L1962">
        <v>285.95749999999998</v>
      </c>
      <c r="M1962">
        <v>-0.99985290000000004</v>
      </c>
      <c r="N1962">
        <v>0</v>
      </c>
      <c r="O1962">
        <v>8.0858330000000006E-3</v>
      </c>
      <c r="P1962">
        <v>-0.99080500000000005</v>
      </c>
      <c r="Q1962">
        <v>-3.1755529999999997E-2</v>
      </c>
      <c r="R1962">
        <v>0.13151889999999999</v>
      </c>
      <c r="S1962">
        <v>-3.0296020000000001</v>
      </c>
      <c r="T1962">
        <v>-5.0141810000000002E-2</v>
      </c>
      <c r="U1962">
        <v>-2.426147E-2</v>
      </c>
      <c r="V1962">
        <v>0.1235053</v>
      </c>
      <c r="W1962">
        <v>-1.6726250000000002E-2</v>
      </c>
      <c r="X1962">
        <v>0.9922029</v>
      </c>
      <c r="Y1962">
        <v>-1.6090810000000001E-2</v>
      </c>
      <c r="Z1962">
        <v>-2.6697489999999999E-4</v>
      </c>
      <c r="AA1962">
        <v>0.9998705</v>
      </c>
      <c r="AB1962">
        <v>40</v>
      </c>
      <c r="AC1962">
        <v>-66.661199999999994</v>
      </c>
      <c r="AD1962">
        <v>-1.109922319741</v>
      </c>
      <c r="AE1962">
        <v>-0.54019999999997004</v>
      </c>
      <c r="AF1962">
        <v>-1.0789562414791101</v>
      </c>
      <c r="AG1962">
        <v>-1.109922319741</v>
      </c>
      <c r="AH1962">
        <v>66.636179541823694</v>
      </c>
      <c r="AI1962">
        <v>90.954131111379695</v>
      </c>
      <c r="AJ1962">
        <v>90.927637774503907</v>
      </c>
      <c r="AK1962">
        <v>66.654155894865596</v>
      </c>
      <c r="AL1962">
        <v>90.958388260958998</v>
      </c>
      <c r="AM1962">
        <v>82.904555077666799</v>
      </c>
      <c r="AN1962">
        <v>0.99999996066777996</v>
      </c>
    </row>
    <row r="1963" spans="1:40" x14ac:dyDescent="0.25">
      <c r="A1963" t="str">
        <f>"20190312161305335"</f>
        <v>20190312161305335</v>
      </c>
      <c r="B1963" t="str">
        <f>"1552378385327818"</f>
        <v>1552378385327818</v>
      </c>
      <c r="C1963" t="s">
        <v>40</v>
      </c>
      <c r="D1963">
        <v>5.3014859999999997</v>
      </c>
      <c r="E1963">
        <v>0.41945310000000002</v>
      </c>
      <c r="F1963" t="s">
        <v>74</v>
      </c>
      <c r="G1963">
        <v>-437.14190000000002</v>
      </c>
      <c r="H1963" s="1">
        <v>5.3157330000000001E-6</v>
      </c>
      <c r="I1963">
        <v>285.39850000000001</v>
      </c>
      <c r="J1963">
        <v>-371.70859999999999</v>
      </c>
      <c r="K1963">
        <v>1.109931</v>
      </c>
      <c r="L1963">
        <v>285.96069999999997</v>
      </c>
      <c r="M1963">
        <v>-0.99985369999999996</v>
      </c>
      <c r="N1963">
        <v>0</v>
      </c>
      <c r="O1963">
        <v>8.0076190000000005E-3</v>
      </c>
      <c r="P1963">
        <v>-0.99083569999999999</v>
      </c>
      <c r="Q1963">
        <v>-3.1829250000000003E-2</v>
      </c>
      <c r="R1963">
        <v>0.1312712</v>
      </c>
      <c r="S1963">
        <v>-3.0295719999999999</v>
      </c>
      <c r="T1963">
        <v>-5.1075700000000002E-2</v>
      </c>
      <c r="U1963">
        <v>-2.572632E-2</v>
      </c>
      <c r="V1963">
        <v>0.12333479999999999</v>
      </c>
      <c r="W1963">
        <v>-1.6804309999999999E-2</v>
      </c>
      <c r="X1963">
        <v>0.99222279999999996</v>
      </c>
      <c r="Y1963">
        <v>-1.6495920000000001E-2</v>
      </c>
      <c r="Z1963">
        <v>-2.7404479999999998E-4</v>
      </c>
      <c r="AA1963">
        <v>0.99986390000000003</v>
      </c>
      <c r="AB1963">
        <v>40</v>
      </c>
      <c r="AC1963">
        <v>-65.433300000000003</v>
      </c>
      <c r="AD1963">
        <v>-1.109925684267</v>
      </c>
      <c r="AE1963">
        <v>-0.56219999999996095</v>
      </c>
      <c r="AF1963">
        <v>-1.0858943441912099</v>
      </c>
      <c r="AG1963">
        <v>-1.109925684267</v>
      </c>
      <c r="AH1963">
        <v>65.407880596102999</v>
      </c>
      <c r="AI1963">
        <v>90.972041808859302</v>
      </c>
      <c r="AJ1963">
        <v>90.951130768084894</v>
      </c>
      <c r="AK1963">
        <v>65.426309277120296</v>
      </c>
      <c r="AL1963">
        <v>90.962861388150003</v>
      </c>
      <c r="AM1963">
        <v>82.914391423241696</v>
      </c>
      <c r="AN1963">
        <v>0.999999971282727</v>
      </c>
    </row>
    <row r="1964" spans="1:40" x14ac:dyDescent="0.25">
      <c r="A1964" t="str">
        <f>"20190312161305357"</f>
        <v>20190312161305357</v>
      </c>
      <c r="B1964" t="str">
        <f>"1552378385347334"</f>
        <v>1552378385347334</v>
      </c>
      <c r="C1964" t="s">
        <v>40</v>
      </c>
      <c r="D1964">
        <v>5.2839929999999997</v>
      </c>
      <c r="E1964">
        <v>0.41689609999999999</v>
      </c>
      <c r="F1964" t="s">
        <v>74</v>
      </c>
      <c r="G1964">
        <v>-426.60539999999997</v>
      </c>
      <c r="H1964" s="1">
        <v>3.0552960000000001E-6</v>
      </c>
      <c r="I1964">
        <v>281.61500000000001</v>
      </c>
      <c r="J1964">
        <v>-372.09070000000003</v>
      </c>
      <c r="K1964">
        <v>1.109923</v>
      </c>
      <c r="L1964">
        <v>285.96370000000002</v>
      </c>
      <c r="M1964">
        <v>-0.99985440000000003</v>
      </c>
      <c r="N1964">
        <v>0</v>
      </c>
      <c r="O1964">
        <v>7.9331569999999997E-3</v>
      </c>
      <c r="P1964">
        <v>-0.99083690000000002</v>
      </c>
      <c r="Q1964">
        <v>-3.1852699999999998E-2</v>
      </c>
      <c r="R1964">
        <v>0.13125609999999999</v>
      </c>
      <c r="S1964">
        <v>-3.0578609999999999</v>
      </c>
      <c r="T1964">
        <v>-6.1825159999999997E-2</v>
      </c>
      <c r="U1964">
        <v>-0.24206539999999999</v>
      </c>
      <c r="V1964">
        <v>0.1233937</v>
      </c>
      <c r="W1964">
        <v>-1.6832260000000002E-2</v>
      </c>
      <c r="X1964">
        <v>0.99221499999999996</v>
      </c>
      <c r="Y1964">
        <v>-8.6802389999999993E-2</v>
      </c>
      <c r="Z1964">
        <v>-1.0362030000000001E-3</v>
      </c>
      <c r="AA1964">
        <v>0.99622500000000003</v>
      </c>
      <c r="AB1964">
        <v>40</v>
      </c>
      <c r="AC1964">
        <v>-54.514699999999898</v>
      </c>
      <c r="AD1964">
        <v>-1.109919944704</v>
      </c>
      <c r="AE1964">
        <v>-4.3487</v>
      </c>
      <c r="AF1964">
        <v>-4.7791175997868702</v>
      </c>
      <c r="AG1964">
        <v>-1.109919944704</v>
      </c>
      <c r="AH1964">
        <v>54.456050349468299</v>
      </c>
      <c r="AI1964">
        <v>91.163167934986404</v>
      </c>
      <c r="AJ1964">
        <v>95.015485008533503</v>
      </c>
      <c r="AK1964">
        <v>54.676624868220102</v>
      </c>
      <c r="AL1964">
        <v>90.9644630347385</v>
      </c>
      <c r="AM1964">
        <v>82.910986865312395</v>
      </c>
      <c r="AN1964">
        <v>0.99999996820069803</v>
      </c>
    </row>
    <row r="1965" spans="1:40" x14ac:dyDescent="0.25">
      <c r="A1965" t="str">
        <f>"20190312161305369"</f>
        <v>20190312161305369</v>
      </c>
      <c r="B1965" t="str">
        <f>"1552378385358071"</f>
        <v>1552378385358071</v>
      </c>
      <c r="C1965" t="s">
        <v>40</v>
      </c>
      <c r="D1965">
        <v>5.2691650000000001</v>
      </c>
      <c r="E1965">
        <v>0.4164117</v>
      </c>
      <c r="F1965" t="s">
        <v>74</v>
      </c>
      <c r="G1965">
        <v>-434.54039999999998</v>
      </c>
      <c r="H1965" s="1">
        <v>4.5800019999999998E-6</v>
      </c>
      <c r="I1965">
        <v>280.61810000000003</v>
      </c>
      <c r="J1965">
        <v>-372.3134</v>
      </c>
      <c r="K1965">
        <v>1.1099250000000001</v>
      </c>
      <c r="L1965">
        <v>285.96550000000002</v>
      </c>
      <c r="M1965">
        <v>-0.99985469999999999</v>
      </c>
      <c r="N1965">
        <v>0</v>
      </c>
      <c r="O1965">
        <v>7.8898479999999997E-3</v>
      </c>
      <c r="P1965">
        <v>-0.99084680000000003</v>
      </c>
      <c r="Q1965">
        <v>-3.2103729999999997E-2</v>
      </c>
      <c r="R1965">
        <v>0.1311194</v>
      </c>
      <c r="S1965">
        <v>-3.0606990000000001</v>
      </c>
      <c r="T1965">
        <v>-5.439782E-2</v>
      </c>
      <c r="U1965">
        <v>-0.26199339999999999</v>
      </c>
      <c r="V1965">
        <v>0.1232999</v>
      </c>
      <c r="W1965">
        <v>-1.7085719999999999E-2</v>
      </c>
      <c r="X1965">
        <v>0.99222239999999995</v>
      </c>
      <c r="Y1965">
        <v>-9.3130829999999998E-2</v>
      </c>
      <c r="Z1965">
        <v>-9.6601779999999995E-4</v>
      </c>
      <c r="AA1965">
        <v>0.99565340000000002</v>
      </c>
      <c r="AB1965">
        <v>40</v>
      </c>
      <c r="AC1965">
        <v>-62.226999999999897</v>
      </c>
      <c r="AD1965">
        <v>-1.109920419998</v>
      </c>
      <c r="AE1965">
        <v>-5.3473999999999897</v>
      </c>
      <c r="AF1965">
        <v>-5.8364079376792901</v>
      </c>
      <c r="AG1965">
        <v>-1.109920419998</v>
      </c>
      <c r="AH1965">
        <v>62.163235743887903</v>
      </c>
      <c r="AI1965">
        <v>91.018425692502603</v>
      </c>
      <c r="AJ1965">
        <v>95.363686681540997</v>
      </c>
      <c r="AK1965">
        <v>62.446484761785499</v>
      </c>
      <c r="AL1965">
        <v>90.978987242878603</v>
      </c>
      <c r="AM1965">
        <v>82.916373236919796</v>
      </c>
      <c r="AN1965">
        <v>1.00000003911484</v>
      </c>
    </row>
    <row r="1966" spans="1:40" x14ac:dyDescent="0.25">
      <c r="A1966" t="str">
        <f>"20190312161305382"</f>
        <v>20190312161305382</v>
      </c>
      <c r="B1966" t="str">
        <f>"1552378385377590"</f>
        <v>1552378385377590</v>
      </c>
      <c r="C1966" t="s">
        <v>40</v>
      </c>
      <c r="D1966">
        <v>5.298705</v>
      </c>
      <c r="E1966">
        <v>0.41613339999999999</v>
      </c>
      <c r="F1966" t="s">
        <v>74</v>
      </c>
      <c r="G1966">
        <v>-433.11040000000003</v>
      </c>
      <c r="H1966" s="1">
        <v>3.9406180000000001E-6</v>
      </c>
      <c r="I1966">
        <v>280.67779999999999</v>
      </c>
      <c r="J1966">
        <v>-372.55149999999998</v>
      </c>
      <c r="K1966">
        <v>1.1099250000000001</v>
      </c>
      <c r="L1966">
        <v>285.96730000000002</v>
      </c>
      <c r="M1966">
        <v>-0.99985500000000005</v>
      </c>
      <c r="N1966">
        <v>0</v>
      </c>
      <c r="O1966">
        <v>7.8433830000000006E-3</v>
      </c>
      <c r="P1966">
        <v>-0.99085160000000005</v>
      </c>
      <c r="Q1966">
        <v>-3.1987969999999998E-2</v>
      </c>
      <c r="R1966">
        <v>0.13111120000000001</v>
      </c>
      <c r="S1966">
        <v>-3.0611570000000001</v>
      </c>
      <c r="T1966">
        <v>-5.5885079999999997E-2</v>
      </c>
      <c r="U1966">
        <v>-0.26623540000000001</v>
      </c>
      <c r="V1966">
        <v>0.12333769999999999</v>
      </c>
      <c r="W1966">
        <v>-1.6972649999999999E-2</v>
      </c>
      <c r="X1966">
        <v>0.99221959999999998</v>
      </c>
      <c r="Y1966">
        <v>-9.4440239999999995E-2</v>
      </c>
      <c r="Z1966">
        <v>-1.0032999999999999E-3</v>
      </c>
      <c r="AA1966">
        <v>0.99553000000000003</v>
      </c>
      <c r="AB1966">
        <v>40</v>
      </c>
      <c r="AC1966">
        <v>-60.558900000000001</v>
      </c>
      <c r="AD1966">
        <v>-1.1099210593819999</v>
      </c>
      <c r="AE1966">
        <v>-5.2895000000000296</v>
      </c>
      <c r="AF1966">
        <v>-5.7624571378979104</v>
      </c>
      <c r="AG1966">
        <v>-1.1099210593819999</v>
      </c>
      <c r="AH1966">
        <v>60.4953770894396</v>
      </c>
      <c r="AI1966">
        <v>91.046364186802407</v>
      </c>
      <c r="AJ1966">
        <v>95.441263730569801</v>
      </c>
      <c r="AK1966">
        <v>60.779342594484099</v>
      </c>
      <c r="AL1966">
        <v>90.972507910884303</v>
      </c>
      <c r="AM1966">
        <v>82.914203891224702</v>
      </c>
      <c r="AN1966">
        <v>0.99999999685673602</v>
      </c>
    </row>
    <row r="1967" spans="1:40" x14ac:dyDescent="0.25">
      <c r="A1967" t="str">
        <f>"20190312161305396"</f>
        <v>20190312161305396</v>
      </c>
      <c r="B1967" t="str">
        <f>"1552378385387351"</f>
        <v>1552378385387351</v>
      </c>
      <c r="C1967" t="s">
        <v>40</v>
      </c>
      <c r="D1967">
        <v>5.209689</v>
      </c>
      <c r="E1967">
        <v>0.41524090000000002</v>
      </c>
      <c r="F1967" t="s">
        <v>74</v>
      </c>
      <c r="G1967">
        <v>-428.83969999999999</v>
      </c>
      <c r="H1967" s="1">
        <v>2.710372E-6</v>
      </c>
      <c r="I1967">
        <v>281.02710000000002</v>
      </c>
      <c r="J1967">
        <v>-372.78629999999998</v>
      </c>
      <c r="K1967">
        <v>1.1099270000000001</v>
      </c>
      <c r="L1967">
        <v>285.96910000000003</v>
      </c>
      <c r="M1967">
        <v>-0.99985559999999996</v>
      </c>
      <c r="N1967">
        <v>0</v>
      </c>
      <c r="O1967">
        <v>7.79751199999999E-3</v>
      </c>
      <c r="P1967">
        <v>-0.9908806</v>
      </c>
      <c r="Q1967">
        <v>-3.1928329999999998E-2</v>
      </c>
      <c r="R1967">
        <v>0.130907</v>
      </c>
      <c r="S1967">
        <v>-3.0612789999999999</v>
      </c>
      <c r="T1967">
        <v>-6.0364130000000002E-2</v>
      </c>
      <c r="U1967">
        <v>-0.26867679999999999</v>
      </c>
      <c r="V1967">
        <v>0.1231787</v>
      </c>
      <c r="W1967">
        <v>-1.6915329999999999E-2</v>
      </c>
      <c r="X1967">
        <v>0.99224029999999996</v>
      </c>
      <c r="Y1967">
        <v>-9.5176090000000005E-2</v>
      </c>
      <c r="Z1967">
        <v>-1.089954E-3</v>
      </c>
      <c r="AA1967">
        <v>0.99545989999999995</v>
      </c>
      <c r="AB1967">
        <v>40</v>
      </c>
      <c r="AC1967">
        <v>-56.053400000000003</v>
      </c>
      <c r="AD1967">
        <v>-1.1099242896279999</v>
      </c>
      <c r="AE1967">
        <v>-4.9420000000000002</v>
      </c>
      <c r="AF1967">
        <v>-5.3768846662595298</v>
      </c>
      <c r="AG1967">
        <v>-1.1099242896279999</v>
      </c>
      <c r="AH1967">
        <v>55.9913716579645</v>
      </c>
      <c r="AI1967">
        <v>91.130433961710594</v>
      </c>
      <c r="AJ1967">
        <v>95.485327326109001</v>
      </c>
      <c r="AK1967">
        <v>56.259901535492197</v>
      </c>
      <c r="AL1967">
        <v>90.969223274445298</v>
      </c>
      <c r="AM1967">
        <v>82.923391960067093</v>
      </c>
      <c r="AN1967">
        <v>0.99999996673339298</v>
      </c>
    </row>
    <row r="1968" spans="1:40" x14ac:dyDescent="0.25">
      <c r="A1968" t="str">
        <f>"20190312161305407"</f>
        <v>20190312161305407</v>
      </c>
      <c r="B1968" t="str">
        <f>"1552378385398085"</f>
        <v>1552378385398085</v>
      </c>
      <c r="C1968" t="s">
        <v>40</v>
      </c>
      <c r="D1968">
        <v>5.1856960000000001</v>
      </c>
      <c r="E1968">
        <v>0.41453600000000002</v>
      </c>
      <c r="F1968" t="s">
        <v>74</v>
      </c>
      <c r="G1968">
        <v>-429.95510000000002</v>
      </c>
      <c r="H1968" s="1">
        <v>2.531683E-6</v>
      </c>
      <c r="I1968">
        <v>280.80779999999999</v>
      </c>
      <c r="J1968">
        <v>-373.00189999999998</v>
      </c>
      <c r="K1968">
        <v>1.109928</v>
      </c>
      <c r="L1968">
        <v>285.9708</v>
      </c>
      <c r="M1968">
        <v>-0.99985590000000002</v>
      </c>
      <c r="N1968">
        <v>0</v>
      </c>
      <c r="O1968">
        <v>7.7555719999999996E-3</v>
      </c>
      <c r="P1968">
        <v>-0.99089680000000002</v>
      </c>
      <c r="Q1968">
        <v>-3.1982389999999999E-2</v>
      </c>
      <c r="R1968">
        <v>0.1307702</v>
      </c>
      <c r="S1968">
        <v>-3.062195</v>
      </c>
      <c r="T1968">
        <v>-5.9452060000000001E-2</v>
      </c>
      <c r="U1968">
        <v>-0.2764587</v>
      </c>
      <c r="V1968">
        <v>0.12308330000000001</v>
      </c>
      <c r="W1968">
        <v>-1.6971670000000001E-2</v>
      </c>
      <c r="X1968">
        <v>0.9922512</v>
      </c>
      <c r="Y1968">
        <v>-9.7618179999999999E-2</v>
      </c>
      <c r="Z1968">
        <v>-1.095892E-3</v>
      </c>
      <c r="AA1968">
        <v>0.99522330000000003</v>
      </c>
      <c r="AB1968">
        <v>40</v>
      </c>
      <c r="AC1968">
        <v>-56.953200000000002</v>
      </c>
      <c r="AD1968">
        <v>-1.1099254683169999</v>
      </c>
      <c r="AE1968">
        <v>-5.16300000000001</v>
      </c>
      <c r="AF1968">
        <v>-5.6024892367790704</v>
      </c>
      <c r="AG1968">
        <v>-1.1099254683169999</v>
      </c>
      <c r="AH1968">
        <v>56.890009632762101</v>
      </c>
      <c r="AI1968">
        <v>91.112320883066701</v>
      </c>
      <c r="AJ1968">
        <v>95.624314099169993</v>
      </c>
      <c r="AK1968">
        <v>57.175982861768198</v>
      </c>
      <c r="AL1968">
        <v>90.972451759491506</v>
      </c>
      <c r="AM1968">
        <v>82.928894070639899</v>
      </c>
      <c r="AN1968">
        <v>0.99999999011145901</v>
      </c>
    </row>
    <row r="1969" spans="1:40" x14ac:dyDescent="0.25">
      <c r="A1969" t="str">
        <f>"20190312161305420"</f>
        <v>20190312161305420</v>
      </c>
      <c r="B1969" t="str">
        <f>"1552378385407846"</f>
        <v>1552378385407846</v>
      </c>
      <c r="C1969" t="s">
        <v>40</v>
      </c>
      <c r="D1969">
        <v>5.1622500000000002</v>
      </c>
      <c r="E1969">
        <v>0.41388920000000001</v>
      </c>
      <c r="F1969" t="s">
        <v>74</v>
      </c>
      <c r="G1969">
        <v>-430.71019999999999</v>
      </c>
      <c r="H1969" s="1">
        <v>2.8788069999999998E-6</v>
      </c>
      <c r="I1969">
        <v>280.64879999999999</v>
      </c>
      <c r="J1969">
        <v>-373.20890000000003</v>
      </c>
      <c r="K1969">
        <v>1.1099289999999999</v>
      </c>
      <c r="L1969">
        <v>285.97239999999999</v>
      </c>
      <c r="M1969">
        <v>-0.99985619999999997</v>
      </c>
      <c r="N1969">
        <v>0</v>
      </c>
      <c r="O1969">
        <v>7.7154769999999897E-3</v>
      </c>
      <c r="P1969">
        <v>-0.990923</v>
      </c>
      <c r="Q1969">
        <v>-3.2049380000000002E-2</v>
      </c>
      <c r="R1969">
        <v>0.130555</v>
      </c>
      <c r="S1969">
        <v>-3.0629270000000002</v>
      </c>
      <c r="T1969">
        <v>-5.8910369999999997E-2</v>
      </c>
      <c r="U1969">
        <v>-0.28247070000000002</v>
      </c>
      <c r="V1969">
        <v>0.12290769999999999</v>
      </c>
      <c r="W1969">
        <v>-1.7040650000000001E-2</v>
      </c>
      <c r="X1969">
        <v>0.99227180000000004</v>
      </c>
      <c r="Y1969">
        <v>-9.9494120000000005E-2</v>
      </c>
      <c r="Z1969">
        <v>-1.102785E-3</v>
      </c>
      <c r="AA1969">
        <v>0.99503759999999997</v>
      </c>
      <c r="AB1969">
        <v>40</v>
      </c>
      <c r="AC1969">
        <v>-57.501299999999901</v>
      </c>
      <c r="AD1969">
        <v>-1.109926121193</v>
      </c>
      <c r="AE1969">
        <v>-5.3235999999999901</v>
      </c>
      <c r="AF1969">
        <v>-5.7650123229652204</v>
      </c>
      <c r="AG1969">
        <v>-1.109926121193</v>
      </c>
      <c r="AH1969">
        <v>57.437290536969499</v>
      </c>
      <c r="AI1969">
        <v>91.101520540132</v>
      </c>
      <c r="AJ1969">
        <v>95.731612991768998</v>
      </c>
      <c r="AK1969">
        <v>57.736553822571501</v>
      </c>
      <c r="AL1969">
        <v>90.976404578748202</v>
      </c>
      <c r="AM1969">
        <v>82.939025452332103</v>
      </c>
      <c r="AN1969">
        <v>1.0000000057734699</v>
      </c>
    </row>
    <row r="1970" spans="1:40" x14ac:dyDescent="0.25">
      <c r="A1970" t="str">
        <f>"20190312161305436"</f>
        <v>20190312161305436</v>
      </c>
      <c r="B1970" t="str">
        <f>"1552378385427365"</f>
        <v>1552378385427365</v>
      </c>
      <c r="C1970" t="s">
        <v>40</v>
      </c>
      <c r="D1970">
        <v>5.1562190000000001</v>
      </c>
      <c r="E1970">
        <v>0.41295110000000002</v>
      </c>
      <c r="F1970" t="s">
        <v>74</v>
      </c>
      <c r="G1970">
        <v>-431.92419999999998</v>
      </c>
      <c r="H1970" s="1">
        <v>3.4345739999999998E-6</v>
      </c>
      <c r="I1970">
        <v>280.44929999999999</v>
      </c>
      <c r="J1970">
        <v>-373.50080000000003</v>
      </c>
      <c r="K1970">
        <v>1.109928</v>
      </c>
      <c r="L1970">
        <v>285.97449999999998</v>
      </c>
      <c r="M1970">
        <v>-0.99985679999999999</v>
      </c>
      <c r="N1970">
        <v>0</v>
      </c>
      <c r="O1970">
        <v>7.6590599999999997E-3</v>
      </c>
      <c r="P1970">
        <v>-0.99097789999999997</v>
      </c>
      <c r="Q1970">
        <v>-3.1910929999999997E-2</v>
      </c>
      <c r="R1970">
        <v>0.13017229999999999</v>
      </c>
      <c r="S1970">
        <v>-3.063599</v>
      </c>
      <c r="T1970">
        <v>-5.7912829999999998E-2</v>
      </c>
      <c r="U1970">
        <v>-0.28817749999999998</v>
      </c>
      <c r="V1970">
        <v>0.1225807</v>
      </c>
      <c r="W1970">
        <v>-1.6904820000000001E-2</v>
      </c>
      <c r="X1970">
        <v>0.99231460000000005</v>
      </c>
      <c r="Y1970">
        <v>-0.10125580000000001</v>
      </c>
      <c r="Z1970">
        <v>-1.099334E-3</v>
      </c>
      <c r="AA1970">
        <v>0.99485979999999996</v>
      </c>
      <c r="AB1970">
        <v>40</v>
      </c>
      <c r="AC1970">
        <v>-58.423399999999901</v>
      </c>
      <c r="AD1970">
        <v>-1.1099245654259999</v>
      </c>
      <c r="AE1970">
        <v>-5.5251999999999803</v>
      </c>
      <c r="AF1970">
        <v>-5.97042143208777</v>
      </c>
      <c r="AG1970">
        <v>-1.1099245654259999</v>
      </c>
      <c r="AH1970">
        <v>58.358487188078797</v>
      </c>
      <c r="AI1970">
        <v>91.083925151318695</v>
      </c>
      <c r="AJ1970">
        <v>95.841377055560301</v>
      </c>
      <c r="AK1970">
        <v>58.673596203904502</v>
      </c>
      <c r="AL1970">
        <v>90.968620945316701</v>
      </c>
      <c r="AM1970">
        <v>82.957923224046098</v>
      </c>
      <c r="AN1970">
        <v>1.0000000331624399</v>
      </c>
    </row>
    <row r="1971" spans="1:40" x14ac:dyDescent="0.25">
      <c r="A1971" t="str">
        <f>"20190312161305448"</f>
        <v>20190312161305448</v>
      </c>
      <c r="B1971" t="str">
        <f>"1552378385437125"</f>
        <v>1552378385437125</v>
      </c>
      <c r="C1971" t="s">
        <v>40</v>
      </c>
      <c r="D1971">
        <v>5.163373</v>
      </c>
      <c r="E1971">
        <v>0.4127074</v>
      </c>
      <c r="F1971" t="s">
        <v>74</v>
      </c>
      <c r="G1971">
        <v>-432.44490000000002</v>
      </c>
      <c r="H1971" s="1">
        <v>3.681607E-6</v>
      </c>
      <c r="I1971">
        <v>280.26479999999998</v>
      </c>
      <c r="J1971">
        <v>-373.7242</v>
      </c>
      <c r="K1971">
        <v>1.1099289999999999</v>
      </c>
      <c r="L1971">
        <v>285.97620000000001</v>
      </c>
      <c r="M1971">
        <v>-0.999857</v>
      </c>
      <c r="N1971">
        <v>0</v>
      </c>
      <c r="O1971">
        <v>7.6157509999999996E-3</v>
      </c>
      <c r="P1971">
        <v>-0.99099479999999995</v>
      </c>
      <c r="Q1971">
        <v>-3.1845110000000003E-2</v>
      </c>
      <c r="R1971">
        <v>0.13005890000000001</v>
      </c>
      <c r="S1971">
        <v>-3.0644840000000002</v>
      </c>
      <c r="T1971">
        <v>-5.7704569999999997E-2</v>
      </c>
      <c r="U1971">
        <v>-0.29684450000000001</v>
      </c>
      <c r="V1971">
        <v>0.1225101</v>
      </c>
      <c r="W1971">
        <v>-1.684134E-2</v>
      </c>
      <c r="X1971">
        <v>0.9923244</v>
      </c>
      <c r="Y1971">
        <v>-0.1039735</v>
      </c>
      <c r="Z1971">
        <v>-1.1196310000000001E-3</v>
      </c>
      <c r="AA1971">
        <v>0.9945794</v>
      </c>
      <c r="AB1971">
        <v>40</v>
      </c>
      <c r="AC1971">
        <v>-58.720700000000001</v>
      </c>
      <c r="AD1971">
        <v>-1.109925318393</v>
      </c>
      <c r="AE1971">
        <v>-5.7114000000000198</v>
      </c>
      <c r="AF1971">
        <v>-6.1563086505712299</v>
      </c>
      <c r="AG1971">
        <v>-1.109925318393</v>
      </c>
      <c r="AH1971">
        <v>58.6547355399195</v>
      </c>
      <c r="AI1971">
        <v>91.078159396358302</v>
      </c>
      <c r="AJ1971">
        <v>95.991736832727</v>
      </c>
      <c r="AK1971">
        <v>58.987372137360097</v>
      </c>
      <c r="AL1971">
        <v>90.964983289639306</v>
      </c>
      <c r="AM1971">
        <v>82.962007209345401</v>
      </c>
      <c r="AN1971">
        <v>1.0000000350851801</v>
      </c>
    </row>
    <row r="1972" spans="1:40" x14ac:dyDescent="0.25">
      <c r="A1972" t="str">
        <f>"20190312161305462"</f>
        <v>20190312161305462</v>
      </c>
      <c r="B1972" t="str">
        <f>"1552378385457622"</f>
        <v>1552378385457622</v>
      </c>
      <c r="C1972" t="s">
        <v>40</v>
      </c>
      <c r="D1972">
        <v>5.1588890000000003</v>
      </c>
      <c r="E1972">
        <v>0.41222180000000003</v>
      </c>
      <c r="F1972" t="s">
        <v>74</v>
      </c>
      <c r="G1972">
        <v>-432.44470000000001</v>
      </c>
      <c r="H1972" s="1">
        <v>3.683093E-6</v>
      </c>
      <c r="I1972">
        <v>280.24689999999998</v>
      </c>
      <c r="J1972">
        <v>-373.97190000000001</v>
      </c>
      <c r="K1972">
        <v>1.109926</v>
      </c>
      <c r="L1972">
        <v>285.97809999999998</v>
      </c>
      <c r="M1972">
        <v>-0.99985740000000001</v>
      </c>
      <c r="N1972">
        <v>0</v>
      </c>
      <c r="O1972">
        <v>7.5675569999999999E-3</v>
      </c>
      <c r="P1972">
        <v>-0.99103810000000003</v>
      </c>
      <c r="Q1972">
        <v>-3.1826529999999999E-2</v>
      </c>
      <c r="R1972">
        <v>0.12973280000000001</v>
      </c>
      <c r="S1972">
        <v>-3.0646059999999999</v>
      </c>
      <c r="T1972">
        <v>-5.7926650000000003E-2</v>
      </c>
      <c r="U1972">
        <v>-0.29901119999999998</v>
      </c>
      <c r="V1972">
        <v>0.12223150000000001</v>
      </c>
      <c r="W1972">
        <v>-1.6825039999999999E-2</v>
      </c>
      <c r="X1972">
        <v>0.99235899999999999</v>
      </c>
      <c r="Y1972">
        <v>-0.10461810000000001</v>
      </c>
      <c r="Z1972">
        <v>-1.1290250000000001E-3</v>
      </c>
      <c r="AA1972">
        <v>0.99451179999999995</v>
      </c>
      <c r="AB1972">
        <v>40</v>
      </c>
      <c r="AC1972">
        <v>-58.472799999999999</v>
      </c>
      <c r="AD1972">
        <v>-1.1099223169070001</v>
      </c>
      <c r="AE1972">
        <v>-5.7312000000000003</v>
      </c>
      <c r="AF1972">
        <v>-6.1713800772560301</v>
      </c>
      <c r="AG1972">
        <v>-1.1099223169070001</v>
      </c>
      <c r="AH1972">
        <v>58.406904766946703</v>
      </c>
      <c r="AI1972">
        <v>91.082650900598907</v>
      </c>
      <c r="AJ1972">
        <v>96.031596567759394</v>
      </c>
      <c r="AK1972">
        <v>58.742526197489198</v>
      </c>
      <c r="AL1972">
        <v>90.964049266842096</v>
      </c>
      <c r="AM1972">
        <v>82.978094717229794</v>
      </c>
      <c r="AN1972">
        <v>1.0000000032221199</v>
      </c>
    </row>
    <row r="1973" spans="1:40" x14ac:dyDescent="0.25">
      <c r="A1973" t="str">
        <f>"20190312161305483"</f>
        <v>20190312161305483</v>
      </c>
      <c r="B1973" t="str">
        <f>"1552378385477142"</f>
        <v>1552378385477142</v>
      </c>
      <c r="C1973" t="s">
        <v>40</v>
      </c>
      <c r="D1973">
        <v>5.1860359999999996</v>
      </c>
      <c r="E1973">
        <v>0.41188829999999998</v>
      </c>
      <c r="F1973" t="s">
        <v>74</v>
      </c>
      <c r="G1973">
        <v>-432.02910000000003</v>
      </c>
      <c r="H1973" s="1">
        <v>3.5011659999999999E-6</v>
      </c>
      <c r="I1973">
        <v>280.22000000000003</v>
      </c>
      <c r="J1973">
        <v>-374.3313</v>
      </c>
      <c r="K1973">
        <v>1.109928</v>
      </c>
      <c r="L1973">
        <v>285.98070000000001</v>
      </c>
      <c r="M1973">
        <v>-0.99985809999999997</v>
      </c>
      <c r="N1973">
        <v>0</v>
      </c>
      <c r="O1973">
        <v>7.4976189999999996E-3</v>
      </c>
      <c r="P1973">
        <v>-0.99107350000000005</v>
      </c>
      <c r="Q1973">
        <v>-3.1671489999999997E-2</v>
      </c>
      <c r="R1973">
        <v>0.12950029999999901</v>
      </c>
      <c r="S1973">
        <v>-3.0650330000000001</v>
      </c>
      <c r="T1973">
        <v>-5.8596490000000001E-2</v>
      </c>
      <c r="U1973">
        <v>-0.30398560000000002</v>
      </c>
      <c r="V1973">
        <v>0.12206789999999899</v>
      </c>
      <c r="W1973">
        <v>-1.667366E-2</v>
      </c>
      <c r="X1973">
        <v>0.99238170000000003</v>
      </c>
      <c r="Y1973">
        <v>-0.1061329</v>
      </c>
      <c r="Z1973">
        <v>-1.1549380000000001E-3</v>
      </c>
      <c r="AA1973">
        <v>0.99435130000000005</v>
      </c>
      <c r="AB1973">
        <v>40</v>
      </c>
      <c r="AC1973">
        <v>-57.697800000000001</v>
      </c>
      <c r="AD1973">
        <v>-1.109924498834</v>
      </c>
      <c r="AE1973">
        <v>-5.7606999999999804</v>
      </c>
      <c r="AF1973">
        <v>-6.1909150183213102</v>
      </c>
      <c r="AG1973">
        <v>-1.109924498834</v>
      </c>
      <c r="AH1973">
        <v>57.631864877637597</v>
      </c>
      <c r="AI1973">
        <v>91.097005780502499</v>
      </c>
      <c r="AJ1973">
        <v>96.131300378416498</v>
      </c>
      <c r="AK1973">
        <v>57.974056356541602</v>
      </c>
      <c r="AL1973">
        <v>90.955374607616093</v>
      </c>
      <c r="AM1973">
        <v>82.987558314073198</v>
      </c>
      <c r="AN1973">
        <v>1.0000000108215401</v>
      </c>
    </row>
    <row r="1974" spans="1:40" x14ac:dyDescent="0.25">
      <c r="A1974" t="str">
        <f>"20190312161305503"</f>
        <v>20190312161305503</v>
      </c>
      <c r="B1974" t="str">
        <f>"1552378385497637"</f>
        <v>1552378385497637</v>
      </c>
      <c r="C1974" t="s">
        <v>40</v>
      </c>
      <c r="D1974">
        <v>5.2090389999999998</v>
      </c>
      <c r="E1974">
        <v>0.41161700000000001</v>
      </c>
      <c r="F1974" t="s">
        <v>74</v>
      </c>
      <c r="G1974">
        <v>-431.90870000000001</v>
      </c>
      <c r="H1974" s="1">
        <v>3.4488310000000001E-6</v>
      </c>
      <c r="I1974">
        <v>280.20769999999999</v>
      </c>
      <c r="J1974">
        <v>-374.69229999999999</v>
      </c>
      <c r="K1974">
        <v>1.109934</v>
      </c>
      <c r="L1974">
        <v>285.98329999999999</v>
      </c>
      <c r="M1974">
        <v>-0.99985860000000004</v>
      </c>
      <c r="N1974">
        <v>0</v>
      </c>
      <c r="O1974">
        <v>7.4272649999999997E-3</v>
      </c>
      <c r="P1974">
        <v>-0.99109749999999996</v>
      </c>
      <c r="Q1974">
        <v>-3.1777479999999997E-2</v>
      </c>
      <c r="R1974">
        <v>0.12929080000000001</v>
      </c>
      <c r="S1974">
        <v>-3.065277</v>
      </c>
      <c r="T1974">
        <v>-5.9089660000000002E-2</v>
      </c>
      <c r="U1974">
        <v>-0.30734250000000002</v>
      </c>
      <c r="V1974">
        <v>0.1219282</v>
      </c>
      <c r="W1974">
        <v>-1.678344E-2</v>
      </c>
      <c r="X1974">
        <v>0.99239699999999997</v>
      </c>
      <c r="Y1974">
        <v>-0.1071328</v>
      </c>
      <c r="Z1974">
        <v>-1.1727619999999999E-3</v>
      </c>
      <c r="AA1974">
        <v>0.99424400000000002</v>
      </c>
      <c r="AB1974">
        <v>40</v>
      </c>
      <c r="AC1974">
        <v>-57.2164</v>
      </c>
      <c r="AD1974">
        <v>-1.1099305511690001</v>
      </c>
      <c r="AE1974">
        <v>-5.7755999999999901</v>
      </c>
      <c r="AF1974">
        <v>-6.1981414739267802</v>
      </c>
      <c r="AG1974">
        <v>-1.1099305511690001</v>
      </c>
      <c r="AH1974">
        <v>57.150630014167099</v>
      </c>
      <c r="AI1974">
        <v>91.106125173285406</v>
      </c>
      <c r="AJ1974">
        <v>96.189691281082901</v>
      </c>
      <c r="AK1974">
        <v>57.496464365867297</v>
      </c>
      <c r="AL1974">
        <v>90.961665440738301</v>
      </c>
      <c r="AM1974">
        <v>82.995610817254203</v>
      </c>
      <c r="AN1974">
        <v>0.99999998771123599</v>
      </c>
    </row>
    <row r="1975" spans="1:40" x14ac:dyDescent="0.25">
      <c r="A1975" t="str">
        <f>"20190312161305525"</f>
        <v>20190312161305525</v>
      </c>
      <c r="B1975" t="str">
        <f>"1552378385517170"</f>
        <v>1552378385517170</v>
      </c>
      <c r="C1975" t="s">
        <v>40</v>
      </c>
      <c r="D1975">
        <v>5.3108649999999997</v>
      </c>
      <c r="E1975">
        <v>0.41168399999999999</v>
      </c>
      <c r="F1975" t="s">
        <v>74</v>
      </c>
      <c r="G1975">
        <v>-430.66320000000002</v>
      </c>
      <c r="H1975" s="1">
        <v>2.8867970000000002E-6</v>
      </c>
      <c r="I1975">
        <v>280.31880000000001</v>
      </c>
      <c r="J1975">
        <v>-375.09429999999998</v>
      </c>
      <c r="K1975">
        <v>1.109939</v>
      </c>
      <c r="L1975">
        <v>285.98630000000003</v>
      </c>
      <c r="M1975">
        <v>-0.99985930000000001</v>
      </c>
      <c r="N1975">
        <v>0</v>
      </c>
      <c r="O1975">
        <v>7.3486899999999997E-3</v>
      </c>
      <c r="P1975">
        <v>-0.99116230000000005</v>
      </c>
      <c r="Q1975">
        <v>-3.1477909999999998E-2</v>
      </c>
      <c r="R1975">
        <v>0.12886629999999999</v>
      </c>
      <c r="S1975">
        <v>-3.0654599999999999</v>
      </c>
      <c r="T1975">
        <v>-6.0789589999999998E-2</v>
      </c>
      <c r="U1975">
        <v>-0.31024170000000001</v>
      </c>
      <c r="V1975">
        <v>0.12158099999999999</v>
      </c>
      <c r="W1975">
        <v>-1.6487640000000001E-2</v>
      </c>
      <c r="X1975">
        <v>0.99244460000000001</v>
      </c>
      <c r="Y1975">
        <v>-0.1079782</v>
      </c>
      <c r="Z1975">
        <v>-1.2131710000000001E-3</v>
      </c>
      <c r="AA1975">
        <v>0.99415249999999999</v>
      </c>
      <c r="AB1975">
        <v>40</v>
      </c>
      <c r="AC1975">
        <v>-55.568899999999999</v>
      </c>
      <c r="AD1975">
        <v>-1.1099361132029999</v>
      </c>
      <c r="AE1975">
        <v>-5.6675000000000102</v>
      </c>
      <c r="AF1975">
        <v>-6.0733538878639202</v>
      </c>
      <c r="AG1975">
        <v>-1.1099361132029999</v>
      </c>
      <c r="AH1975">
        <v>55.503829761830602</v>
      </c>
      <c r="AI1975">
        <v>91.138822281234098</v>
      </c>
      <c r="AJ1975">
        <v>96.244589506680796</v>
      </c>
      <c r="AK1975">
        <v>55.846152095313599</v>
      </c>
      <c r="AL1975">
        <v>90.944714960540693</v>
      </c>
      <c r="AM1975">
        <v>83.015690754315898</v>
      </c>
      <c r="AN1975">
        <v>1.00000003295146</v>
      </c>
    </row>
    <row r="1976" spans="1:40" x14ac:dyDescent="0.25">
      <c r="A1976" t="str">
        <f>"20190312161305547"</f>
        <v>20190312161305547</v>
      </c>
      <c r="B1976" t="str">
        <f>"1552378385537654"</f>
        <v>1552378385537654</v>
      </c>
      <c r="C1976" t="s">
        <v>40</v>
      </c>
      <c r="D1976">
        <v>5.2813499999999998</v>
      </c>
      <c r="E1976">
        <v>0.41182970000000002</v>
      </c>
      <c r="F1976" t="s">
        <v>74</v>
      </c>
      <c r="G1976">
        <v>-430.10120000000001</v>
      </c>
      <c r="H1976" s="1">
        <v>2.6302639999999999E-6</v>
      </c>
      <c r="I1976">
        <v>280.40249999999997</v>
      </c>
      <c r="J1976">
        <v>-375.47149999999999</v>
      </c>
      <c r="K1976">
        <v>1.1099410000000001</v>
      </c>
      <c r="L1976">
        <v>285.98899999999998</v>
      </c>
      <c r="M1976">
        <v>-0.99985990000000002</v>
      </c>
      <c r="N1976">
        <v>0</v>
      </c>
      <c r="O1976">
        <v>7.2748200000000004E-3</v>
      </c>
      <c r="P1976">
        <v>-0.99122540000000003</v>
      </c>
      <c r="Q1976">
        <v>-3.092903E-2</v>
      </c>
      <c r="R1976">
        <v>0.1285135</v>
      </c>
      <c r="S1976">
        <v>-3.0652469999999998</v>
      </c>
      <c r="T1976">
        <v>-6.1850910000000002E-2</v>
      </c>
      <c r="U1976">
        <v>-0.31115720000000002</v>
      </c>
      <c r="V1976">
        <v>0.12130100000000001</v>
      </c>
      <c r="W1976">
        <v>-1.59423E-2</v>
      </c>
      <c r="X1976">
        <v>0.99248769999999997</v>
      </c>
      <c r="Y1976">
        <v>-0.1082048</v>
      </c>
      <c r="Z1976">
        <v>-1.2352070000000001E-3</v>
      </c>
      <c r="AA1976">
        <v>0.99412789999999995</v>
      </c>
      <c r="AB1976">
        <v>40</v>
      </c>
      <c r="AC1976">
        <v>-54.6297</v>
      </c>
      <c r="AD1976">
        <v>-1.1099383697359999</v>
      </c>
      <c r="AE1976">
        <v>-5.5865000000000498</v>
      </c>
      <c r="AF1976">
        <v>-5.9813749768259701</v>
      </c>
      <c r="AG1976">
        <v>-1.1099383697359999</v>
      </c>
      <c r="AH1976">
        <v>54.5653171933482</v>
      </c>
      <c r="AI1976">
        <v>91.158382247767605</v>
      </c>
      <c r="AJ1976">
        <v>96.255707586943601</v>
      </c>
      <c r="AK1976">
        <v>54.903393794998799</v>
      </c>
      <c r="AL1976">
        <v>90.913465237068294</v>
      </c>
      <c r="AM1976">
        <v>83.031916868398994</v>
      </c>
      <c r="AN1976">
        <v>0.99999996209078901</v>
      </c>
    </row>
    <row r="1977" spans="1:40" x14ac:dyDescent="0.25">
      <c r="A1977" t="str">
        <f>"20190312161305560"</f>
        <v>20190312161305560</v>
      </c>
      <c r="B1977" t="str">
        <f>"1552378385547415"</f>
        <v>1552378385547415</v>
      </c>
      <c r="C1977" t="s">
        <v>40</v>
      </c>
      <c r="D1977">
        <v>5.2908089999999897</v>
      </c>
      <c r="E1977">
        <v>0.4117962</v>
      </c>
      <c r="F1977" t="s">
        <v>74</v>
      </c>
      <c r="G1977">
        <v>-430.69880000000001</v>
      </c>
      <c r="H1977" s="1">
        <v>2.8966579999999998E-6</v>
      </c>
      <c r="I1977">
        <v>280.38659999999999</v>
      </c>
      <c r="J1977">
        <v>-375.68560000000002</v>
      </c>
      <c r="K1977">
        <v>1.109937</v>
      </c>
      <c r="L1977">
        <v>285.9905</v>
      </c>
      <c r="M1977">
        <v>-0.99986030000000004</v>
      </c>
      <c r="N1977">
        <v>0</v>
      </c>
      <c r="O1977">
        <v>7.2327049999999999E-3</v>
      </c>
      <c r="P1977">
        <v>-0.99122710000000003</v>
      </c>
      <c r="Q1977">
        <v>-3.0825439999999999E-2</v>
      </c>
      <c r="R1977">
        <v>0.12852620000000001</v>
      </c>
      <c r="S1977">
        <v>-3.0649109999999999</v>
      </c>
      <c r="T1977">
        <v>-6.1597470000000001E-2</v>
      </c>
      <c r="U1977">
        <v>-0.3109131</v>
      </c>
      <c r="V1977">
        <v>0.12135559999999999</v>
      </c>
      <c r="W1977">
        <v>-1.58412E-2</v>
      </c>
      <c r="X1977">
        <v>0.99248270000000005</v>
      </c>
      <c r="Y1977">
        <v>-0.1080957</v>
      </c>
      <c r="Z1977">
        <v>-1.228348E-3</v>
      </c>
      <c r="AA1977">
        <v>0.99413969999999896</v>
      </c>
      <c r="AB1977">
        <v>40</v>
      </c>
      <c r="AC1977">
        <v>-55.013199999999898</v>
      </c>
      <c r="AD1977">
        <v>-1.109934103342</v>
      </c>
      <c r="AE1977">
        <v>-5.6039000000000003</v>
      </c>
      <c r="AF1977">
        <v>-5.9992758205968304</v>
      </c>
      <c r="AG1977">
        <v>-1.109934103342</v>
      </c>
      <c r="AH1977">
        <v>54.9490867971952</v>
      </c>
      <c r="AI1977">
        <v>91.150344436479401</v>
      </c>
      <c r="AJ1977">
        <v>96.230806047382401</v>
      </c>
      <c r="AK1977">
        <v>55.2867561350008</v>
      </c>
      <c r="AL1977">
        <v>90.907671851615902</v>
      </c>
      <c r="AM1977">
        <v>83.028776476588902</v>
      </c>
      <c r="AN1977">
        <v>1.00000001753404</v>
      </c>
    </row>
    <row r="1978" spans="1:40" x14ac:dyDescent="0.25">
      <c r="A1978" t="str">
        <f>"20190312161305682"</f>
        <v>20190312161305682</v>
      </c>
      <c r="B1978" t="str">
        <f>"1552378385677222"</f>
        <v>1552378385677222</v>
      </c>
      <c r="C1978" t="s">
        <v>40</v>
      </c>
      <c r="D1978">
        <v>4.9990119999999996</v>
      </c>
      <c r="E1978">
        <v>0.41093109999999999</v>
      </c>
      <c r="F1978" t="s">
        <v>74</v>
      </c>
      <c r="G1978">
        <v>-429.94060000000002</v>
      </c>
      <c r="H1978" s="1">
        <v>2.5628310000000001E-6</v>
      </c>
      <c r="I1978">
        <v>280.48090000000002</v>
      </c>
      <c r="J1978">
        <v>-377.83519999999999</v>
      </c>
      <c r="K1978">
        <v>1.109944</v>
      </c>
      <c r="L1978">
        <v>286.00529999999998</v>
      </c>
      <c r="M1978">
        <v>-0.99986339999999996</v>
      </c>
      <c r="N1978">
        <v>0</v>
      </c>
      <c r="O1978">
        <v>6.813131E-3</v>
      </c>
      <c r="P1978">
        <v>-0.99128859999999996</v>
      </c>
      <c r="Q1978">
        <v>-3.1311499999999999E-2</v>
      </c>
      <c r="R1978">
        <v>0.12793180000000001</v>
      </c>
      <c r="S1978">
        <v>-3.064972</v>
      </c>
      <c r="T1978">
        <v>-6.2702419999999995E-2</v>
      </c>
      <c r="U1978">
        <v>-0.31124879999999999</v>
      </c>
      <c r="V1978">
        <v>0.1211771</v>
      </c>
      <c r="W1978">
        <v>-1.6351210000000001E-2</v>
      </c>
      <c r="X1978">
        <v>0.9924963</v>
      </c>
      <c r="Y1978">
        <v>-0.1077837</v>
      </c>
      <c r="Z1978">
        <v>-1.2386000000000001E-3</v>
      </c>
      <c r="AA1978">
        <v>0.99417359999999999</v>
      </c>
      <c r="AB1978">
        <v>39</v>
      </c>
      <c r="AC1978">
        <v>-52.105400000000003</v>
      </c>
      <c r="AD1978">
        <v>-1.109941437169</v>
      </c>
      <c r="AE1978">
        <v>-5.5243999999999502</v>
      </c>
      <c r="AF1978">
        <v>-5.8766759151151096</v>
      </c>
      <c r="AG1978">
        <v>-1.109941437169</v>
      </c>
      <c r="AH1978">
        <v>52.043194580802698</v>
      </c>
      <c r="AI1978">
        <v>91.214066454286495</v>
      </c>
      <c r="AJ1978">
        <v>96.442503850715994</v>
      </c>
      <c r="AK1978">
        <v>52.385698353467902</v>
      </c>
      <c r="AL1978">
        <v>90.936897000930102</v>
      </c>
      <c r="AM1978">
        <v>83.039024109374495</v>
      </c>
      <c r="AN1978">
        <v>1.0000000785732699</v>
      </c>
    </row>
    <row r="1979" spans="1:40" x14ac:dyDescent="0.25">
      <c r="A1979" t="str">
        <f>"20190312161305705"</f>
        <v>20190312161305705</v>
      </c>
      <c r="B1979" t="str">
        <f>"1552378385697718"</f>
        <v>1552378385697718</v>
      </c>
      <c r="C1979" t="s">
        <v>40</v>
      </c>
      <c r="D1979">
        <v>5.0543649999999998</v>
      </c>
      <c r="E1979">
        <v>0.38495659999999998</v>
      </c>
      <c r="F1979" t="s">
        <v>74</v>
      </c>
      <c r="G1979">
        <v>-433.6508</v>
      </c>
      <c r="H1979" s="1">
        <v>4.2237099999999997E-6</v>
      </c>
      <c r="I1979">
        <v>280.18079999999998</v>
      </c>
      <c r="J1979">
        <v>-378.2516</v>
      </c>
      <c r="K1979">
        <v>1.1099319999999999</v>
      </c>
      <c r="L1979">
        <v>286.00810000000001</v>
      </c>
      <c r="M1979">
        <v>-0.99986419999999998</v>
      </c>
      <c r="N1979">
        <v>0</v>
      </c>
      <c r="O1979">
        <v>6.7313390000000002E-3</v>
      </c>
      <c r="P1979">
        <v>-0.99131849999999999</v>
      </c>
      <c r="Q1979">
        <v>-3.1826460000000001E-2</v>
      </c>
      <c r="R1979">
        <v>0.12757349999999901</v>
      </c>
      <c r="S1979">
        <v>-3.0657350000000001</v>
      </c>
      <c r="T1979">
        <v>-6.0964699999999997E-2</v>
      </c>
      <c r="U1979">
        <v>-0.31991579999999997</v>
      </c>
      <c r="V1979">
        <v>0.1208999</v>
      </c>
      <c r="W1979">
        <v>-1.6870619999999999E-2</v>
      </c>
      <c r="X1979">
        <v>0.99252130000000005</v>
      </c>
      <c r="Y1979">
        <v>-0.110459</v>
      </c>
      <c r="Z1979">
        <v>-1.2287120000000001E-3</v>
      </c>
      <c r="AA1979">
        <v>0.99387990000000004</v>
      </c>
      <c r="AB1979">
        <v>39</v>
      </c>
      <c r="AC1979">
        <v>-55.3992</v>
      </c>
      <c r="AD1979">
        <v>-1.1099277762899999</v>
      </c>
      <c r="AE1979">
        <v>-5.8273000000000303</v>
      </c>
      <c r="AF1979">
        <v>-6.1976603949625897</v>
      </c>
      <c r="AG1979">
        <v>-1.1099277762899999</v>
      </c>
      <c r="AH1979">
        <v>55.336745284934501</v>
      </c>
      <c r="AI1979">
        <v>91.141929590538993</v>
      </c>
      <c r="AJ1979">
        <v>96.390438994335597</v>
      </c>
      <c r="AK1979">
        <v>55.693790612325799</v>
      </c>
      <c r="AL1979">
        <v>90.966661213916495</v>
      </c>
      <c r="AM1979">
        <v>83.054965295257105</v>
      </c>
      <c r="AN1979">
        <v>0.99999996729644103</v>
      </c>
    </row>
    <row r="1980" spans="1:40" x14ac:dyDescent="0.25">
      <c r="A1980" t="str">
        <f>"20190312161305726"</f>
        <v>20190312161305726</v>
      </c>
      <c r="B1980" t="str">
        <f>"1552378385717238"</f>
        <v>1552378385717238</v>
      </c>
      <c r="C1980" t="s">
        <v>40</v>
      </c>
      <c r="D1980">
        <v>5.2614140000000003</v>
      </c>
      <c r="E1980">
        <v>0.38915830000000001</v>
      </c>
      <c r="F1980" t="s">
        <v>73</v>
      </c>
      <c r="G1980">
        <v>-512.82569999999998</v>
      </c>
      <c r="H1980">
        <v>1.69131899999999</v>
      </c>
      <c r="I1980">
        <v>263.23919999999998</v>
      </c>
      <c r="J1980">
        <v>-378.62020000000001</v>
      </c>
      <c r="K1980">
        <v>1.109931</v>
      </c>
      <c r="L1980">
        <v>286.0104</v>
      </c>
      <c r="M1980">
        <v>-0.99986470000000005</v>
      </c>
      <c r="N1980">
        <v>0</v>
      </c>
      <c r="O1980">
        <v>6.6596090000000004E-3</v>
      </c>
      <c r="P1980">
        <v>-0.99130890000000005</v>
      </c>
      <c r="Q1980">
        <v>-3.2431260000000003E-2</v>
      </c>
      <c r="R1980">
        <v>0.12749460000000001</v>
      </c>
      <c r="S1980">
        <v>-3.0941160000000001</v>
      </c>
      <c r="T1980">
        <v>1.3368959999999999E-2</v>
      </c>
      <c r="U1980">
        <v>-0.52349849999999998</v>
      </c>
      <c r="V1980">
        <v>0.12089220000000001</v>
      </c>
      <c r="W1980">
        <v>-1.7479740000000001E-2</v>
      </c>
      <c r="X1980">
        <v>0.9925117</v>
      </c>
      <c r="Y1980">
        <v>-0.17338249999999999</v>
      </c>
      <c r="Z1980">
        <v>4.0050680000000002E-4</v>
      </c>
      <c r="AA1980">
        <v>0.98485449999999997</v>
      </c>
      <c r="AB1980">
        <v>39</v>
      </c>
      <c r="AC1980">
        <v>-134.20549999999901</v>
      </c>
      <c r="AD1980">
        <v>0.58138799999999902</v>
      </c>
      <c r="AE1980">
        <v>-22.7712</v>
      </c>
      <c r="AF1980">
        <v>-23.664120521391499</v>
      </c>
      <c r="AG1980">
        <v>0.58138799999999902</v>
      </c>
      <c r="AH1980">
        <v>134.04841354571499</v>
      </c>
      <c r="AI1980">
        <v>89.755285083637403</v>
      </c>
      <c r="AJ1980">
        <v>100.011510674647</v>
      </c>
      <c r="AK1980">
        <v>136.12239266990801</v>
      </c>
      <c r="AL1980">
        <v>91.001566366783194</v>
      </c>
      <c r="AM1980">
        <v>83.055336783248507</v>
      </c>
      <c r="AN1980">
        <v>0.99999996998409801</v>
      </c>
    </row>
    <row r="1981" spans="1:40" x14ac:dyDescent="0.25">
      <c r="A1981" t="str">
        <f>"20190312161305739"</f>
        <v>20190312161305739</v>
      </c>
      <c r="B1981" t="str">
        <f>"1552378385727974"</f>
        <v>1552378385727974</v>
      </c>
      <c r="C1981" t="s">
        <v>40</v>
      </c>
      <c r="D1981">
        <v>5.2915640000000002</v>
      </c>
      <c r="E1981">
        <v>0.39249050000000002</v>
      </c>
      <c r="F1981" t="s">
        <v>73</v>
      </c>
      <c r="G1981">
        <v>-512.82560000000001</v>
      </c>
      <c r="H1981">
        <v>1.3833009999999999</v>
      </c>
      <c r="I1981">
        <v>264.69869999999997</v>
      </c>
      <c r="J1981">
        <v>-378.8503</v>
      </c>
      <c r="K1981">
        <v>1.1099300000000001</v>
      </c>
      <c r="L1981">
        <v>286.01190000000003</v>
      </c>
      <c r="M1981">
        <v>-0.99986509999999995</v>
      </c>
      <c r="N1981">
        <v>0</v>
      </c>
      <c r="O1981">
        <v>6.6142780000000003E-3</v>
      </c>
      <c r="P1981">
        <v>-0.99129100000000003</v>
      </c>
      <c r="Q1981">
        <v>-3.2934390000000001E-2</v>
      </c>
      <c r="R1981">
        <v>0.12750719999999999</v>
      </c>
      <c r="S1981">
        <v>-3.0896300000000001</v>
      </c>
      <c r="T1981">
        <v>6.2952040000000004E-3</v>
      </c>
      <c r="U1981">
        <v>-0.49063109999999999</v>
      </c>
      <c r="V1981">
        <v>0.1209501</v>
      </c>
      <c r="W1981">
        <v>-1.7985930000000001E-2</v>
      </c>
      <c r="X1981">
        <v>0.99249569999999998</v>
      </c>
      <c r="Y1981">
        <v>-0.16336349999999999</v>
      </c>
      <c r="Z1981">
        <v>1.7878849999999999E-4</v>
      </c>
      <c r="AA1981">
        <v>0.9865659</v>
      </c>
      <c r="AB1981">
        <v>39</v>
      </c>
      <c r="AC1981">
        <v>-133.9753</v>
      </c>
      <c r="AD1981">
        <v>0.27337099999999998</v>
      </c>
      <c r="AE1981">
        <v>-21.313199999999998</v>
      </c>
      <c r="AF1981">
        <v>-22.198893580180499</v>
      </c>
      <c r="AG1981">
        <v>0.27337099999999998</v>
      </c>
      <c r="AH1981">
        <v>133.830837872475</v>
      </c>
      <c r="AI1981">
        <v>89.884541885340198</v>
      </c>
      <c r="AJ1981">
        <v>99.418059712624498</v>
      </c>
      <c r="AK1981">
        <v>135.659716841576</v>
      </c>
      <c r="AL1981">
        <v>91.030573379197904</v>
      </c>
      <c r="AM1981">
        <v>83.051932303044396</v>
      </c>
      <c r="AN1981">
        <v>1.0000000674432299</v>
      </c>
    </row>
    <row r="1982" spans="1:40" x14ac:dyDescent="0.25">
      <c r="A1982" t="str">
        <f>"20190312161305753"</f>
        <v>20190312161305753</v>
      </c>
      <c r="B1982" t="str">
        <f>"1552378385747494"</f>
        <v>1552378385747494</v>
      </c>
      <c r="C1982" t="s">
        <v>40</v>
      </c>
      <c r="D1982">
        <v>5.3375820000000003</v>
      </c>
      <c r="E1982">
        <v>0.39706140000000001</v>
      </c>
      <c r="F1982" t="s">
        <v>73</v>
      </c>
      <c r="G1982">
        <v>-512.82529999999997</v>
      </c>
      <c r="H1982">
        <v>0.22943340000000001</v>
      </c>
      <c r="I1982">
        <v>265.80180000000001</v>
      </c>
      <c r="J1982">
        <v>-379.08890000000002</v>
      </c>
      <c r="K1982">
        <v>1.109928</v>
      </c>
      <c r="L1982">
        <v>286.01350000000002</v>
      </c>
      <c r="M1982">
        <v>-0.99986520000000001</v>
      </c>
      <c r="N1982">
        <v>0</v>
      </c>
      <c r="O1982">
        <v>6.5676370000000003E-3</v>
      </c>
      <c r="P1982">
        <v>-0.99127759999999998</v>
      </c>
      <c r="Q1982">
        <v>-3.287673E-2</v>
      </c>
      <c r="R1982">
        <v>0.1276236</v>
      </c>
      <c r="S1982">
        <v>-3.0855410000000001</v>
      </c>
      <c r="T1982">
        <v>-2.027667E-2</v>
      </c>
      <c r="U1982">
        <v>-0.46545409999999998</v>
      </c>
      <c r="V1982">
        <v>0.12111280000000001</v>
      </c>
      <c r="W1982">
        <v>-1.7931430000000002E-2</v>
      </c>
      <c r="X1982">
        <v>0.99247680000000005</v>
      </c>
      <c r="Y1982">
        <v>-0.1556507</v>
      </c>
      <c r="Z1982">
        <v>-5.5147400000000004E-4</v>
      </c>
      <c r="AA1982">
        <v>0.98781200000000002</v>
      </c>
      <c r="AB1982">
        <v>39</v>
      </c>
      <c r="AC1982">
        <v>-133.73639999999901</v>
      </c>
      <c r="AD1982">
        <v>-0.88049460000000002</v>
      </c>
      <c r="AE1982">
        <v>-20.2117</v>
      </c>
      <c r="AF1982">
        <v>-21.088801873264</v>
      </c>
      <c r="AG1982">
        <v>-0.88049460000000002</v>
      </c>
      <c r="AH1982">
        <v>133.595095323436</v>
      </c>
      <c r="AI1982">
        <v>90.372999287954102</v>
      </c>
      <c r="AJ1982">
        <v>98.9704672011936</v>
      </c>
      <c r="AK1982">
        <v>135.25221746673199</v>
      </c>
      <c r="AL1982">
        <v>91.027450301917597</v>
      </c>
      <c r="AM1982">
        <v>83.042546232950002</v>
      </c>
      <c r="AN1982">
        <v>1.0000000225219601</v>
      </c>
    </row>
    <row r="1983" spans="1:40" x14ac:dyDescent="0.25">
      <c r="A1983" t="str">
        <f>"20190312161305766"</f>
        <v>20190312161305766</v>
      </c>
      <c r="B1983" t="str">
        <f>"1552378385757253"</f>
        <v>1552378385757253</v>
      </c>
      <c r="C1983" t="s">
        <v>40</v>
      </c>
      <c r="D1983">
        <v>5.2935230000000004</v>
      </c>
      <c r="E1983">
        <v>0.39851500000000001</v>
      </c>
      <c r="F1983" t="s">
        <v>69</v>
      </c>
      <c r="G1983">
        <v>-452.05020000000002</v>
      </c>
      <c r="H1983">
        <v>8.0001240000000001E-2</v>
      </c>
      <c r="I1983">
        <v>275.83640000000003</v>
      </c>
      <c r="J1983">
        <v>-379.32819999999998</v>
      </c>
      <c r="K1983">
        <v>1.1099319999999999</v>
      </c>
      <c r="L1983">
        <v>286.01499999999999</v>
      </c>
      <c r="M1983">
        <v>-0.99986580000000003</v>
      </c>
      <c r="N1983">
        <v>0</v>
      </c>
      <c r="O1983">
        <v>6.5205749999999998E-3</v>
      </c>
      <c r="P1983">
        <v>-0.99124889999999999</v>
      </c>
      <c r="Q1983">
        <v>-3.3279080000000003E-2</v>
      </c>
      <c r="R1983">
        <v>0.1277432</v>
      </c>
      <c r="S1983">
        <v>-3.080292</v>
      </c>
      <c r="T1983">
        <v>-4.3481590000000001E-2</v>
      </c>
      <c r="U1983">
        <v>-0.42965700000000001</v>
      </c>
      <c r="V1983">
        <v>0.12127930000000001</v>
      </c>
      <c r="W1983">
        <v>-1.8336979999999999E-2</v>
      </c>
      <c r="X1983">
        <v>0.99244900000000003</v>
      </c>
      <c r="Y1983">
        <v>-0.14458940000000001</v>
      </c>
      <c r="Z1983">
        <v>-1.107168E-3</v>
      </c>
      <c r="AA1983">
        <v>0.98949109999999996</v>
      </c>
      <c r="AB1983">
        <v>39</v>
      </c>
      <c r="AC1983">
        <v>-72.721999999999994</v>
      </c>
      <c r="AD1983">
        <v>-1.0299307599999901</v>
      </c>
      <c r="AE1983">
        <v>-10.1785999999999</v>
      </c>
      <c r="AF1983">
        <v>-10.6505311563861</v>
      </c>
      <c r="AG1983">
        <v>-1.0299307599999901</v>
      </c>
      <c r="AH1983">
        <v>72.639785786943904</v>
      </c>
      <c r="AI1983">
        <v>90.803727646694099</v>
      </c>
      <c r="AJ1983">
        <v>98.341340293025894</v>
      </c>
      <c r="AK1983">
        <v>73.423654570285706</v>
      </c>
      <c r="AL1983">
        <v>91.050690486395197</v>
      </c>
      <c r="AM1983">
        <v>83.032882165292605</v>
      </c>
      <c r="AN1983">
        <v>0.99999996552250403</v>
      </c>
    </row>
    <row r="1984" spans="1:40" x14ac:dyDescent="0.25">
      <c r="A1984" t="str">
        <f>"20190312161305782"</f>
        <v>20190312161305782</v>
      </c>
      <c r="B1984" t="str">
        <f>"1552378385777750"</f>
        <v>1552378385777750</v>
      </c>
      <c r="C1984" t="s">
        <v>40</v>
      </c>
      <c r="D1984">
        <v>5.3124960000000003</v>
      </c>
      <c r="E1984">
        <v>0.40062370000000003</v>
      </c>
      <c r="F1984" t="s">
        <v>69</v>
      </c>
      <c r="G1984">
        <v>-446.80149999999998</v>
      </c>
      <c r="H1984">
        <v>8.0001269999999999E-2</v>
      </c>
      <c r="I1984">
        <v>276.85489999999999</v>
      </c>
      <c r="J1984">
        <v>-379.5942</v>
      </c>
      <c r="K1984">
        <v>1.109934</v>
      </c>
      <c r="L1984">
        <v>286.01670000000001</v>
      </c>
      <c r="M1984">
        <v>-0.99986609999999998</v>
      </c>
      <c r="N1984">
        <v>0</v>
      </c>
      <c r="O1984">
        <v>6.4685080000000004E-3</v>
      </c>
      <c r="P1984">
        <v>-0.9912301</v>
      </c>
      <c r="Q1984">
        <v>-3.3481370000000003E-2</v>
      </c>
      <c r="R1984">
        <v>0.12783610000000001</v>
      </c>
      <c r="S1984">
        <v>-3.0787659999999999</v>
      </c>
      <c r="T1984">
        <v>-4.6995160000000001E-2</v>
      </c>
      <c r="U1984">
        <v>-0.41796879999999997</v>
      </c>
      <c r="V1984">
        <v>0.121424</v>
      </c>
      <c r="W1984">
        <v>-1.8542510000000002E-2</v>
      </c>
      <c r="X1984">
        <v>0.99242750000000002</v>
      </c>
      <c r="Y1984">
        <v>-0.14091529999999899</v>
      </c>
      <c r="Z1984">
        <v>-1.168816E-3</v>
      </c>
      <c r="AA1984">
        <v>0.99002100000000004</v>
      </c>
      <c r="AB1984">
        <v>39</v>
      </c>
      <c r="AC1984">
        <v>-67.207299999999904</v>
      </c>
      <c r="AD1984">
        <v>-1.0299327300000001</v>
      </c>
      <c r="AE1984">
        <v>-9.1618000000000208</v>
      </c>
      <c r="AF1984">
        <v>-9.5941763055194205</v>
      </c>
      <c r="AG1984">
        <v>-1.0299327300000001</v>
      </c>
      <c r="AH1984">
        <v>67.131145857798501</v>
      </c>
      <c r="AI1984">
        <v>90.870128603687505</v>
      </c>
      <c r="AJ1984">
        <v>98.1334585564652</v>
      </c>
      <c r="AK1984">
        <v>67.8210861354397</v>
      </c>
      <c r="AL1984">
        <v>91.062468478120493</v>
      </c>
      <c r="AM1984">
        <v>83.0245018199236</v>
      </c>
      <c r="AN1984">
        <v>0.99999997760467496</v>
      </c>
    </row>
    <row r="1985" spans="1:40" x14ac:dyDescent="0.25">
      <c r="A1985" t="str">
        <f>"20190312161305795"</f>
        <v>20190312161305795</v>
      </c>
      <c r="B1985" t="str">
        <f>"1552378385787510"</f>
        <v>1552378385787510</v>
      </c>
      <c r="C1985" t="s">
        <v>40</v>
      </c>
      <c r="D1985">
        <v>5.3614540000000002</v>
      </c>
      <c r="E1985">
        <v>0.40163130000000002</v>
      </c>
      <c r="F1985" t="s">
        <v>74</v>
      </c>
      <c r="G1985">
        <v>-437.91890000000001</v>
      </c>
      <c r="H1985">
        <v>8.0000740000000001E-2</v>
      </c>
      <c r="I1985">
        <v>278.40699999999998</v>
      </c>
      <c r="J1985">
        <v>-379.81470000000002</v>
      </c>
      <c r="K1985">
        <v>1.109936</v>
      </c>
      <c r="L1985">
        <v>286.0181</v>
      </c>
      <c r="M1985">
        <v>-0.99986629999999999</v>
      </c>
      <c r="N1985">
        <v>0</v>
      </c>
      <c r="O1985">
        <v>6.4255559999999998E-3</v>
      </c>
      <c r="P1985">
        <v>-0.99123340000000004</v>
      </c>
      <c r="Q1985">
        <v>-3.3676980000000002E-2</v>
      </c>
      <c r="R1985">
        <v>0.1277587</v>
      </c>
      <c r="S1985">
        <v>-3.076508</v>
      </c>
      <c r="T1985">
        <v>-5.4326890000000003E-2</v>
      </c>
      <c r="U1985">
        <v>-0.40139770000000002</v>
      </c>
      <c r="V1985">
        <v>0.12138939999999999</v>
      </c>
      <c r="W1985">
        <v>-1.87405E-2</v>
      </c>
      <c r="X1985">
        <v>0.99242799999999998</v>
      </c>
      <c r="Y1985">
        <v>-0.13572319999999999</v>
      </c>
      <c r="Z1985">
        <v>-1.306197E-3</v>
      </c>
      <c r="AA1985">
        <v>0.99074600000000002</v>
      </c>
      <c r="AB1985">
        <v>39</v>
      </c>
      <c r="AC1985">
        <v>-58.104199999999899</v>
      </c>
      <c r="AD1985">
        <v>-1.02993526</v>
      </c>
      <c r="AE1985">
        <v>-7.61110000000002</v>
      </c>
      <c r="AF1985">
        <v>-7.9818712545258297</v>
      </c>
      <c r="AG1985">
        <v>-1.02993526</v>
      </c>
      <c r="AH1985">
        <v>58.036161842857602</v>
      </c>
      <c r="AI1985">
        <v>91.007210177422294</v>
      </c>
      <c r="AJ1985">
        <v>97.830916489748802</v>
      </c>
      <c r="AK1985">
        <v>58.5915276880026</v>
      </c>
      <c r="AL1985">
        <v>91.073814455977697</v>
      </c>
      <c r="AM1985">
        <v>83.026473405727003</v>
      </c>
      <c r="AN1985">
        <v>0.99999996397830404</v>
      </c>
    </row>
    <row r="1986" spans="1:40" x14ac:dyDescent="0.25">
      <c r="A1986" t="str">
        <f>"20190312161305807"</f>
        <v>20190312161305807</v>
      </c>
      <c r="B1986" t="str">
        <f>"1552378385797270"</f>
        <v>1552378385797270</v>
      </c>
      <c r="C1986" t="s">
        <v>40</v>
      </c>
      <c r="D1986">
        <v>5.297447</v>
      </c>
      <c r="E1986">
        <v>0.40251140000000002</v>
      </c>
      <c r="F1986" t="s">
        <v>74</v>
      </c>
      <c r="G1986">
        <v>-432.0727</v>
      </c>
      <c r="H1986">
        <v>7.9228480000000004E-2</v>
      </c>
      <c r="I1986">
        <v>279.32870000000003</v>
      </c>
      <c r="J1986">
        <v>-380.04790000000003</v>
      </c>
      <c r="K1986">
        <v>1.1099349999999999</v>
      </c>
      <c r="L1986">
        <v>286.01960000000003</v>
      </c>
      <c r="M1986">
        <v>-0.9998667</v>
      </c>
      <c r="N1986">
        <v>0</v>
      </c>
      <c r="O1986">
        <v>6.379684E-3</v>
      </c>
      <c r="P1986">
        <v>-0.99126110000000001</v>
      </c>
      <c r="Q1986">
        <v>-3.3571410000000003E-2</v>
      </c>
      <c r="R1986">
        <v>0.12757169999999901</v>
      </c>
      <c r="S1986">
        <v>-3.0751949999999999</v>
      </c>
      <c r="T1986">
        <v>-6.0653449999999998E-2</v>
      </c>
      <c r="U1986">
        <v>-0.3936462</v>
      </c>
      <c r="V1986">
        <v>0.1212476</v>
      </c>
      <c r="W1986">
        <v>-1.863712E-2</v>
      </c>
      <c r="X1986">
        <v>0.99244730000000003</v>
      </c>
      <c r="Y1986">
        <v>-0.13327039999999901</v>
      </c>
      <c r="Z1986">
        <v>-1.434142E-3</v>
      </c>
      <c r="AA1986">
        <v>0.99107869999999998</v>
      </c>
      <c r="AB1986">
        <v>39</v>
      </c>
      <c r="AC1986">
        <v>-52.0247999999999</v>
      </c>
      <c r="AD1986">
        <v>-1.0307065200000001</v>
      </c>
      <c r="AE1986">
        <v>-6.6908999999999903</v>
      </c>
      <c r="AF1986">
        <v>-7.0199925091854896</v>
      </c>
      <c r="AG1986">
        <v>-1.0307065200000001</v>
      </c>
      <c r="AH1986">
        <v>51.960987106904803</v>
      </c>
      <c r="AI1986">
        <v>91.126150993112702</v>
      </c>
      <c r="AJ1986">
        <v>97.694143107200304</v>
      </c>
      <c r="AK1986">
        <v>52.443177171900203</v>
      </c>
      <c r="AL1986">
        <v>91.067890163066295</v>
      </c>
      <c r="AM1986">
        <v>83.034673526223202</v>
      </c>
      <c r="AN1986">
        <v>0.99999998301247195</v>
      </c>
    </row>
    <row r="1987" spans="1:40" x14ac:dyDescent="0.25">
      <c r="A1987" t="str">
        <f>"20190312161305819"</f>
        <v>20190312161305819</v>
      </c>
      <c r="B1987" t="str">
        <f>"1552378385817767"</f>
        <v>1552378385817767</v>
      </c>
      <c r="C1987" t="s">
        <v>40</v>
      </c>
      <c r="D1987">
        <v>5.2854380000000001</v>
      </c>
      <c r="E1987">
        <v>0.4040319</v>
      </c>
      <c r="F1987" t="s">
        <v>74</v>
      </c>
      <c r="G1987">
        <v>-432.61950000000002</v>
      </c>
      <c r="H1987">
        <v>8.0001149999999993E-2</v>
      </c>
      <c r="I1987">
        <v>279.39240000000001</v>
      </c>
      <c r="J1987">
        <v>-380.25729999999999</v>
      </c>
      <c r="K1987">
        <v>1.1099349999999999</v>
      </c>
      <c r="L1987">
        <v>286.02089999999998</v>
      </c>
      <c r="M1987">
        <v>-0.99986699999999995</v>
      </c>
      <c r="N1987">
        <v>0</v>
      </c>
      <c r="O1987">
        <v>6.3385189999999999E-3</v>
      </c>
      <c r="P1987">
        <v>-0.99128459999999996</v>
      </c>
      <c r="Q1987">
        <v>-3.3647049999999998E-2</v>
      </c>
      <c r="R1987">
        <v>0.12736910000000001</v>
      </c>
      <c r="S1987">
        <v>-3.0742799999999999</v>
      </c>
      <c r="T1987">
        <v>-6.0228469999999999E-2</v>
      </c>
      <c r="U1987">
        <v>-0.38754270000000002</v>
      </c>
      <c r="V1987">
        <v>0.1210857</v>
      </c>
      <c r="W1987">
        <v>-1.871476E-2</v>
      </c>
      <c r="X1987">
        <v>0.99246559999999995</v>
      </c>
      <c r="Y1987">
        <v>-0.1313308</v>
      </c>
      <c r="Z1987">
        <v>-1.404967E-3</v>
      </c>
      <c r="AA1987">
        <v>0.99133760000000004</v>
      </c>
      <c r="AB1987">
        <v>39</v>
      </c>
      <c r="AC1987">
        <v>-52.362200000000001</v>
      </c>
      <c r="AD1987">
        <v>-1.0299338499999999</v>
      </c>
      <c r="AE1987">
        <v>-6.6284999999999696</v>
      </c>
      <c r="AF1987">
        <v>-6.9576537284049804</v>
      </c>
      <c r="AG1987">
        <v>-1.0299338499999999</v>
      </c>
      <c r="AH1987">
        <v>52.299213563543297</v>
      </c>
      <c r="AI1987">
        <v>91.118335450384507</v>
      </c>
      <c r="AJ1987">
        <v>97.577878025932193</v>
      </c>
      <c r="AK1987">
        <v>52.770043097432399</v>
      </c>
      <c r="AL1987">
        <v>91.072339388740204</v>
      </c>
      <c r="AM1987">
        <v>83.044010039235204</v>
      </c>
      <c r="AN1987">
        <v>0.99999997808485297</v>
      </c>
    </row>
    <row r="1988" spans="1:40" x14ac:dyDescent="0.25">
      <c r="A1988" t="str">
        <f>"20190312161305837"</f>
        <v>20190312161305837</v>
      </c>
      <c r="B1988" t="str">
        <f>"1552378385827526"</f>
        <v>1552378385827526</v>
      </c>
      <c r="C1988" t="s">
        <v>40</v>
      </c>
      <c r="D1988">
        <v>5.3229480000000002</v>
      </c>
      <c r="E1988">
        <v>0.4046015</v>
      </c>
      <c r="F1988" t="s">
        <v>74</v>
      </c>
      <c r="G1988">
        <v>-433.78530000000001</v>
      </c>
      <c r="H1988">
        <v>8.0001320000000001E-2</v>
      </c>
      <c r="I1988">
        <v>279.47120000000001</v>
      </c>
      <c r="J1988">
        <v>-380.56009999999998</v>
      </c>
      <c r="K1988">
        <v>1.1099399999999999</v>
      </c>
      <c r="L1988">
        <v>286.02269999999999</v>
      </c>
      <c r="M1988">
        <v>-0.99986750000000002</v>
      </c>
      <c r="N1988">
        <v>0</v>
      </c>
      <c r="O1988">
        <v>6.279064E-3</v>
      </c>
      <c r="P1988">
        <v>-0.99133530000000003</v>
      </c>
      <c r="Q1988">
        <v>-3.4132620000000002E-2</v>
      </c>
      <c r="R1988">
        <v>0.12684400000000001</v>
      </c>
      <c r="S1988">
        <v>-3.0726930000000001</v>
      </c>
      <c r="T1988">
        <v>-5.9121849999999997E-2</v>
      </c>
      <c r="U1988">
        <v>-0.37597659999999999</v>
      </c>
      <c r="V1988">
        <v>0.1206192</v>
      </c>
      <c r="W1988">
        <v>-1.9203000000000001E-2</v>
      </c>
      <c r="X1988">
        <v>0.99251310000000004</v>
      </c>
      <c r="Y1988">
        <v>-0.1276612</v>
      </c>
      <c r="Z1988">
        <v>-1.3438739999999999E-3</v>
      </c>
      <c r="AA1988">
        <v>0.9918169</v>
      </c>
      <c r="AB1988">
        <v>39</v>
      </c>
      <c r="AC1988">
        <v>-53.225200000000001</v>
      </c>
      <c r="AD1988">
        <v>-1.0299386800000001</v>
      </c>
      <c r="AE1988">
        <v>-6.5514999999999697</v>
      </c>
      <c r="AF1988">
        <v>-6.8830740858271096</v>
      </c>
      <c r="AG1988">
        <v>-1.0299386800000001</v>
      </c>
      <c r="AH1988">
        <v>53.163398915913596</v>
      </c>
      <c r="AI1988">
        <v>91.100672379774196</v>
      </c>
      <c r="AJ1988">
        <v>97.377057371541696</v>
      </c>
      <c r="AK1988">
        <v>53.617016579143197</v>
      </c>
      <c r="AL1988">
        <v>91.100318485592894</v>
      </c>
      <c r="AM1988">
        <v>83.070876338009697</v>
      </c>
      <c r="AN1988">
        <v>1.0000000001446201</v>
      </c>
    </row>
    <row r="1989" spans="1:40" x14ac:dyDescent="0.25">
      <c r="A1989" t="str">
        <f>"20190312161305859"</f>
        <v>20190312161305859</v>
      </c>
      <c r="B1989" t="str">
        <f>"1552378385857782"</f>
        <v>1552378385857782</v>
      </c>
      <c r="C1989" t="s">
        <v>40</v>
      </c>
      <c r="D1989">
        <v>5.3890719999999996</v>
      </c>
      <c r="E1989">
        <v>0.4054912</v>
      </c>
      <c r="F1989" t="s">
        <v>74</v>
      </c>
      <c r="G1989">
        <v>-433.53859999999997</v>
      </c>
      <c r="H1989">
        <v>6.0806350000000002E-2</v>
      </c>
      <c r="I1989">
        <v>279.5899</v>
      </c>
      <c r="J1989">
        <v>-380.94909999999999</v>
      </c>
      <c r="K1989">
        <v>1.109939</v>
      </c>
      <c r="L1989">
        <v>286.02510000000001</v>
      </c>
      <c r="M1989">
        <v>-0.99986799999999998</v>
      </c>
      <c r="N1989">
        <v>0</v>
      </c>
      <c r="O1989">
        <v>6.2028099999999996E-3</v>
      </c>
      <c r="P1989">
        <v>-0.9913824</v>
      </c>
      <c r="Q1989">
        <v>-3.4421939999999998E-2</v>
      </c>
      <c r="R1989">
        <v>0.12639839999999999</v>
      </c>
      <c r="S1989">
        <v>-3.071777</v>
      </c>
      <c r="T1989">
        <v>-6.0830349999999998E-2</v>
      </c>
      <c r="U1989">
        <v>-0.37298579999999998</v>
      </c>
      <c r="V1989">
        <v>0.12024940000000001</v>
      </c>
      <c r="W1989">
        <v>-1.9496039999999999E-2</v>
      </c>
      <c r="X1989">
        <v>0.99255230000000005</v>
      </c>
      <c r="Y1989">
        <v>-0.12666839999999999</v>
      </c>
      <c r="Z1989">
        <v>-1.371894E-3</v>
      </c>
      <c r="AA1989">
        <v>0.99194420000000005</v>
      </c>
      <c r="AB1989">
        <v>39</v>
      </c>
      <c r="AC1989">
        <v>-52.589500000000001</v>
      </c>
      <c r="AD1989">
        <v>-1.04913265</v>
      </c>
      <c r="AE1989">
        <v>-6.4352</v>
      </c>
      <c r="AF1989">
        <v>-6.7586654968299804</v>
      </c>
      <c r="AG1989">
        <v>-1.04913265</v>
      </c>
      <c r="AH1989">
        <v>52.527970505655901</v>
      </c>
      <c r="AI1989">
        <v>91.134854231413001</v>
      </c>
      <c r="AJ1989">
        <v>97.331846088944999</v>
      </c>
      <c r="AK1989">
        <v>52.971387786789101</v>
      </c>
      <c r="AL1989">
        <v>91.117111539222407</v>
      </c>
      <c r="AM1989">
        <v>83.092184573017093</v>
      </c>
      <c r="AN1989">
        <v>1.00000004100566</v>
      </c>
    </row>
    <row r="1990" spans="1:40" x14ac:dyDescent="0.25">
      <c r="A1990" t="str">
        <f>"20190312161305873"</f>
        <v>20190312161305873</v>
      </c>
      <c r="B1990" t="str">
        <f>"1552378385867542"</f>
        <v>1552378385867542</v>
      </c>
      <c r="C1990" t="s">
        <v>40</v>
      </c>
      <c r="D1990">
        <v>5.4265299999999996</v>
      </c>
      <c r="E1990">
        <v>0.43965799999999999</v>
      </c>
      <c r="F1990" t="s">
        <v>74</v>
      </c>
      <c r="G1990">
        <v>-434.54289999999997</v>
      </c>
      <c r="H1990">
        <v>3.393086E-2</v>
      </c>
      <c r="I1990">
        <v>279.61610000000002</v>
      </c>
      <c r="J1990">
        <v>-381.18770000000001</v>
      </c>
      <c r="K1990">
        <v>1.1099399999999999</v>
      </c>
      <c r="L1990">
        <v>286.0265</v>
      </c>
      <c r="M1990">
        <v>-0.99986830000000004</v>
      </c>
      <c r="N1990">
        <v>0</v>
      </c>
      <c r="O1990">
        <v>6.1561039999999999E-3</v>
      </c>
      <c r="P1990">
        <v>-0.99142359999999896</v>
      </c>
      <c r="Q1990">
        <v>-3.4605070000000002E-2</v>
      </c>
      <c r="R1990">
        <v>0.12602289999999999</v>
      </c>
      <c r="S1990">
        <v>-3.07077</v>
      </c>
      <c r="T1990">
        <v>-6.1652180000000001E-2</v>
      </c>
      <c r="U1990">
        <v>-0.36721799999999999</v>
      </c>
      <c r="V1990">
        <v>0.1199197</v>
      </c>
      <c r="W1990">
        <v>-1.9681259999999999E-2</v>
      </c>
      <c r="X1990">
        <v>0.99258849999999998</v>
      </c>
      <c r="Y1990">
        <v>-0.1248239</v>
      </c>
      <c r="Z1990">
        <v>-1.3716500000000001E-3</v>
      </c>
      <c r="AA1990">
        <v>0.992178</v>
      </c>
      <c r="AB1990">
        <v>39</v>
      </c>
      <c r="AC1990">
        <v>-53.355199999999897</v>
      </c>
      <c r="AD1990">
        <v>-1.07600914</v>
      </c>
      <c r="AE1990">
        <v>-6.4103999999999797</v>
      </c>
      <c r="AF1990">
        <v>-6.7360750945645496</v>
      </c>
      <c r="AG1990">
        <v>-1.07600914</v>
      </c>
      <c r="AH1990">
        <v>53.293355007698999</v>
      </c>
      <c r="AI1990">
        <v>91.147534455515697</v>
      </c>
      <c r="AJ1990">
        <v>97.203765813521798</v>
      </c>
      <c r="AK1990">
        <v>53.728150827341999</v>
      </c>
      <c r="AL1990">
        <v>91.127725936513698</v>
      </c>
      <c r="AM1990">
        <v>83.111191004130703</v>
      </c>
      <c r="AN1990">
        <v>1.00000000838776</v>
      </c>
    </row>
    <row r="1991" spans="1:40" x14ac:dyDescent="0.25">
      <c r="A1991" t="str">
        <f>"20190312161305894"</f>
        <v>20190312161305894</v>
      </c>
      <c r="B1991" t="str">
        <f>"1552378385888038"</f>
        <v>1552378385888038</v>
      </c>
      <c r="C1991" t="s">
        <v>40</v>
      </c>
      <c r="D1991">
        <v>5.4122329999999996</v>
      </c>
      <c r="E1991">
        <v>0.49789949999999999</v>
      </c>
      <c r="F1991" t="s">
        <v>69</v>
      </c>
      <c r="G1991">
        <v>-397.04700000000003</v>
      </c>
      <c r="H1991" s="1">
        <v>2.2132790000000001E-6</v>
      </c>
      <c r="I1991">
        <v>285.48329999999999</v>
      </c>
      <c r="J1991">
        <v>-381.56189999999998</v>
      </c>
      <c r="K1991">
        <v>1.1099399999999999</v>
      </c>
      <c r="L1991">
        <v>286.02870000000001</v>
      </c>
      <c r="M1991">
        <v>-0.99986900000000001</v>
      </c>
      <c r="N1991">
        <v>0</v>
      </c>
      <c r="O1991">
        <v>6.082886E-3</v>
      </c>
      <c r="P1991">
        <v>-0.99150280000000002</v>
      </c>
      <c r="Q1991">
        <v>-3.4879859999999999E-2</v>
      </c>
      <c r="R1991">
        <v>0.1253225</v>
      </c>
      <c r="S1991">
        <v>-3.0317379999999998</v>
      </c>
      <c r="T1991">
        <v>-0.21218049999999999</v>
      </c>
      <c r="U1991">
        <v>-0.10385129999999999</v>
      </c>
      <c r="V1991">
        <v>0.11929140000000001</v>
      </c>
      <c r="W1991">
        <v>-1.99592E-2</v>
      </c>
      <c r="X1991">
        <v>0.9926587</v>
      </c>
      <c r="Y1991">
        <v>-4.0200920000000001E-2</v>
      </c>
      <c r="Z1991">
        <v>-1.8297630000000001E-3</v>
      </c>
      <c r="AA1991">
        <v>0.99918989999999996</v>
      </c>
      <c r="AB1991">
        <v>39</v>
      </c>
      <c r="AC1991">
        <v>-15.4850999999999</v>
      </c>
      <c r="AD1991">
        <v>-1.1099377867210001</v>
      </c>
      <c r="AE1991">
        <v>-0.54540000000002897</v>
      </c>
      <c r="AF1991">
        <v>-0.63632938038189701</v>
      </c>
      <c r="AG1991">
        <v>-1.1099377867210001</v>
      </c>
      <c r="AH1991">
        <v>15.4024602005729</v>
      </c>
      <c r="AI1991">
        <v>94.118243881643295</v>
      </c>
      <c r="AJ1991">
        <v>92.365743253395493</v>
      </c>
      <c r="AK1991">
        <v>15.455505724529401</v>
      </c>
      <c r="AL1991">
        <v>91.143653805264606</v>
      </c>
      <c r="AM1991">
        <v>83.147419706026298</v>
      </c>
      <c r="AN1991">
        <v>1.0000000512321401</v>
      </c>
    </row>
    <row r="1992" spans="1:40" x14ac:dyDescent="0.25">
      <c r="A1992" t="str">
        <f>"20190312161305918"</f>
        <v>20190312161305918</v>
      </c>
      <c r="B1992" t="str">
        <f>"1552378385907557"</f>
        <v>1552378385907557</v>
      </c>
      <c r="C1992" t="s">
        <v>40</v>
      </c>
      <c r="D1992">
        <v>5.3705400000000001</v>
      </c>
      <c r="E1992">
        <v>0.50869739999999997</v>
      </c>
      <c r="F1992" t="s">
        <v>43</v>
      </c>
      <c r="G1992">
        <v>-382.48140000000001</v>
      </c>
      <c r="H1992">
        <v>0.96309900000000004</v>
      </c>
      <c r="I1992">
        <v>286.13600000000002</v>
      </c>
      <c r="J1992">
        <v>-381.95409999999998</v>
      </c>
      <c r="K1992">
        <v>1.1099410000000001</v>
      </c>
      <c r="L1992">
        <v>286.03109999999998</v>
      </c>
      <c r="M1992">
        <v>-0.99986929999999996</v>
      </c>
      <c r="N1992">
        <v>0</v>
      </c>
      <c r="O1992">
        <v>6.0059220000000003E-3</v>
      </c>
      <c r="P1992">
        <v>-0.99157779999999995</v>
      </c>
      <c r="Q1992">
        <v>-3.4955859999999998E-2</v>
      </c>
      <c r="R1992">
        <v>0.12470530000000001</v>
      </c>
      <c r="S1992">
        <v>-2.9654240000000001</v>
      </c>
      <c r="T1992">
        <v>-0.4736321</v>
      </c>
      <c r="U1992">
        <v>0.34515380000000001</v>
      </c>
      <c r="V1992">
        <v>0.1187503</v>
      </c>
      <c r="W1992">
        <v>-2.0038879999999998E-2</v>
      </c>
      <c r="X1992">
        <v>0.99272190000000005</v>
      </c>
      <c r="Y1992">
        <v>0.108364</v>
      </c>
      <c r="Z1992">
        <v>7.620875E-3</v>
      </c>
      <c r="AA1992">
        <v>0.99408209999999997</v>
      </c>
      <c r="AB1992">
        <v>39</v>
      </c>
      <c r="AC1992">
        <v>-0.52730000000002497</v>
      </c>
      <c r="AD1992">
        <v>-0.146842</v>
      </c>
      <c r="AE1992">
        <v>0.104899999999986</v>
      </c>
      <c r="AF1992">
        <v>9.4668707854112494E-2</v>
      </c>
      <c r="AG1992">
        <v>-0.146842</v>
      </c>
      <c r="AH1992">
        <v>0.49127250867667099</v>
      </c>
      <c r="AI1992">
        <v>106.35704783254</v>
      </c>
      <c r="AJ1992">
        <v>79.092742861455207</v>
      </c>
      <c r="AK1992">
        <v>0.52141482045703003</v>
      </c>
      <c r="AL1992">
        <v>91.148220127106597</v>
      </c>
      <c r="AM1992">
        <v>83.178639304385101</v>
      </c>
      <c r="AN1992">
        <v>0.99999998060067696</v>
      </c>
    </row>
    <row r="1993" spans="1:40" x14ac:dyDescent="0.25">
      <c r="A1993" t="str">
        <f>"20190312161305937"</f>
        <v>20190312161305937</v>
      </c>
      <c r="B1993" t="str">
        <f>"1552378385928054"</f>
        <v>1552378385928054</v>
      </c>
      <c r="C1993" t="s">
        <v>40</v>
      </c>
      <c r="D1993">
        <v>5.4462780000000004</v>
      </c>
      <c r="E1993">
        <v>0.51127149999999999</v>
      </c>
      <c r="F1993" t="s">
        <v>43</v>
      </c>
      <c r="G1993">
        <v>-382.80959999999999</v>
      </c>
      <c r="H1993">
        <v>0.92439769999999999</v>
      </c>
      <c r="I1993">
        <v>286.15390000000002</v>
      </c>
      <c r="J1993">
        <v>-382.3048</v>
      </c>
      <c r="K1993">
        <v>1.109939</v>
      </c>
      <c r="L1993">
        <v>286.03309999999999</v>
      </c>
      <c r="M1993">
        <v>-0.99986989999999998</v>
      </c>
      <c r="N1993">
        <v>0</v>
      </c>
      <c r="O1993">
        <v>5.9368769999999897E-3</v>
      </c>
      <c r="P1993">
        <v>-0.99162399999999995</v>
      </c>
      <c r="Q1993">
        <v>-3.4927890000000003E-2</v>
      </c>
      <c r="R1993">
        <v>0.12434679999999999</v>
      </c>
      <c r="S1993">
        <v>-2.9498289999999998</v>
      </c>
      <c r="T1993">
        <v>-0.63976650000000002</v>
      </c>
      <c r="U1993">
        <v>0.4225159</v>
      </c>
      <c r="V1993">
        <v>0.1184602</v>
      </c>
      <c r="W1993">
        <v>-2.0014379999999998E-2</v>
      </c>
      <c r="X1993">
        <v>0.99275709999999995</v>
      </c>
      <c r="Y1993">
        <v>0.13301189999999999</v>
      </c>
      <c r="Z1993">
        <v>1.2921709999999999E-2</v>
      </c>
      <c r="AA1993">
        <v>0.99103019999999997</v>
      </c>
      <c r="AB1993">
        <v>39</v>
      </c>
      <c r="AC1993">
        <v>-0.50479999999998804</v>
      </c>
      <c r="AD1993">
        <v>-0.18554129999999999</v>
      </c>
      <c r="AE1993">
        <v>0.12080000000003099</v>
      </c>
      <c r="AF1993">
        <v>0.10445365068941</v>
      </c>
      <c r="AG1993">
        <v>-0.18554129999999999</v>
      </c>
      <c r="AH1993">
        <v>0.44823366143529703</v>
      </c>
      <c r="AI1993">
        <v>111.956204327606</v>
      </c>
      <c r="AJ1993">
        <v>76.882247693027693</v>
      </c>
      <c r="AK1993">
        <v>0.49623538204336898</v>
      </c>
      <c r="AL1993">
        <v>91.146816045685497</v>
      </c>
      <c r="AM1993">
        <v>83.195386050667807</v>
      </c>
      <c r="AN1993">
        <v>1.00000002699561</v>
      </c>
    </row>
    <row r="1994" spans="1:40" x14ac:dyDescent="0.25">
      <c r="A1994" t="str">
        <f>"20190312161305954"</f>
        <v>20190312161305954</v>
      </c>
      <c r="B1994" t="str">
        <f>"1552378385947575"</f>
        <v>1552378385947575</v>
      </c>
      <c r="C1994" t="s">
        <v>40</v>
      </c>
      <c r="D1994">
        <v>6.286314</v>
      </c>
      <c r="E1994">
        <v>0.51031949999999904</v>
      </c>
      <c r="F1994" t="s">
        <v>43</v>
      </c>
      <c r="G1994">
        <v>-383.15190000000001</v>
      </c>
      <c r="H1994">
        <v>0.91615500000000005</v>
      </c>
      <c r="I1994">
        <v>286.16000000000003</v>
      </c>
      <c r="J1994">
        <v>-382.56700000000001</v>
      </c>
      <c r="K1994">
        <v>1.1099399999999999</v>
      </c>
      <c r="L1994">
        <v>286.03449999999998</v>
      </c>
      <c r="M1994">
        <v>-0.99987020000000004</v>
      </c>
      <c r="N1994">
        <v>0</v>
      </c>
      <c r="O1994">
        <v>5.8853469999999904E-3</v>
      </c>
      <c r="P1994">
        <v>-0.99167439999999996</v>
      </c>
      <c r="Q1994">
        <v>-3.4715370000000002E-2</v>
      </c>
      <c r="R1994">
        <v>0.124004</v>
      </c>
      <c r="S1994">
        <v>-2.9462890000000002</v>
      </c>
      <c r="T1994">
        <v>-0.67404889999999995</v>
      </c>
      <c r="U1994">
        <v>0.44049070000000001</v>
      </c>
      <c r="V1994">
        <v>0.1181681</v>
      </c>
      <c r="W1994">
        <v>-1.9804240000000001E-2</v>
      </c>
      <c r="X1994">
        <v>0.99279609999999996</v>
      </c>
      <c r="Y1994">
        <v>0.13868359999999999</v>
      </c>
      <c r="Z1994">
        <v>1.4256080000000001E-2</v>
      </c>
      <c r="AA1994">
        <v>0.99023410000000001</v>
      </c>
      <c r="AB1994">
        <v>39</v>
      </c>
      <c r="AC1994">
        <v>-0.58490000000006104</v>
      </c>
      <c r="AD1994">
        <v>-0.19378500000000001</v>
      </c>
      <c r="AE1994">
        <v>0.12550000000004499</v>
      </c>
      <c r="AF1994">
        <v>0.11046338627286</v>
      </c>
      <c r="AG1994">
        <v>-0.19378500000000001</v>
      </c>
      <c r="AH1994">
        <v>0.53001074461055198</v>
      </c>
      <c r="AI1994">
        <v>109.69398427127101</v>
      </c>
      <c r="AJ1994">
        <v>78.227102620355197</v>
      </c>
      <c r="AK1994">
        <v>0.57503580352400596</v>
      </c>
      <c r="AL1994">
        <v>91.134773552327601</v>
      </c>
      <c r="AM1994">
        <v>83.212272326830103</v>
      </c>
      <c r="AN1994">
        <v>1.00000000197739</v>
      </c>
    </row>
    <row r="1995" spans="1:40" x14ac:dyDescent="0.25">
      <c r="A1995" t="str">
        <f>"20190312161305971"</f>
        <v>20190312161305971</v>
      </c>
      <c r="B1995" t="str">
        <f>"1552378385968071"</f>
        <v>1552378385968071</v>
      </c>
      <c r="C1995" t="s">
        <v>40</v>
      </c>
      <c r="D1995">
        <v>5.5756899999999998</v>
      </c>
      <c r="E1995">
        <v>0.50990800000000003</v>
      </c>
      <c r="F1995" t="s">
        <v>43</v>
      </c>
      <c r="G1995">
        <v>-383.4932</v>
      </c>
      <c r="H1995">
        <v>0.90511779999999997</v>
      </c>
      <c r="I1995">
        <v>286.17079999999999</v>
      </c>
      <c r="J1995">
        <v>-382.88560000000001</v>
      </c>
      <c r="K1995">
        <v>1.109936</v>
      </c>
      <c r="L1995">
        <v>286.03640000000001</v>
      </c>
      <c r="M1995">
        <v>-0.9998707</v>
      </c>
      <c r="N1995">
        <v>0</v>
      </c>
      <c r="O1995">
        <v>5.8226759999999997E-3</v>
      </c>
      <c r="P1995">
        <v>-0.99173199999999995</v>
      </c>
      <c r="Q1995">
        <v>-3.439909E-2</v>
      </c>
      <c r="R1995">
        <v>0.12363059999999999</v>
      </c>
      <c r="S1995">
        <v>-2.948242</v>
      </c>
      <c r="T1995">
        <v>-0.6519855</v>
      </c>
      <c r="U1995">
        <v>0.43283080000000002</v>
      </c>
      <c r="V1995">
        <v>0.11785660000000001</v>
      </c>
      <c r="W1995">
        <v>-1.949087E-2</v>
      </c>
      <c r="X1995">
        <v>0.99283929999999998</v>
      </c>
      <c r="Y1995">
        <v>0.13640039999999901</v>
      </c>
      <c r="Z1995">
        <v>1.355962E-2</v>
      </c>
      <c r="AA1995">
        <v>0.99056100000000002</v>
      </c>
      <c r="AB1995">
        <v>39</v>
      </c>
      <c r="AC1995">
        <v>-0.60759999999999004</v>
      </c>
      <c r="AD1995">
        <v>-0.20481820000000001</v>
      </c>
      <c r="AE1995">
        <v>0.13439999999997099</v>
      </c>
      <c r="AF1995">
        <v>0.118068863146916</v>
      </c>
      <c r="AG1995">
        <v>-0.20481820000000001</v>
      </c>
      <c r="AH1995">
        <v>0.54890818739138902</v>
      </c>
      <c r="AI1995">
        <v>110.041661264448</v>
      </c>
      <c r="AJ1995">
        <v>77.860772005958296</v>
      </c>
      <c r="AK1995">
        <v>0.59765454041724297</v>
      </c>
      <c r="AL1995">
        <v>91.116815338710893</v>
      </c>
      <c r="AM1995">
        <v>83.230290833405107</v>
      </c>
      <c r="AN1995">
        <v>0.99999997390070305</v>
      </c>
    </row>
    <row r="1996" spans="1:40" x14ac:dyDescent="0.25">
      <c r="A1996" t="str">
        <f>"20190312161305995"</f>
        <v>20190312161305995</v>
      </c>
      <c r="B1996" t="str">
        <f>"1552378385987591"</f>
        <v>1552378385987591</v>
      </c>
      <c r="C1996" t="s">
        <v>40</v>
      </c>
      <c r="D1996">
        <v>5.4668190000000001</v>
      </c>
      <c r="E1996">
        <v>0.51088339999999999</v>
      </c>
      <c r="F1996" t="s">
        <v>43</v>
      </c>
      <c r="G1996">
        <v>-383.83819999999997</v>
      </c>
      <c r="H1996">
        <v>0.90417829999999999</v>
      </c>
      <c r="I1996">
        <v>286.17529999999999</v>
      </c>
      <c r="J1996">
        <v>-383.2987</v>
      </c>
      <c r="K1996">
        <v>1.109939</v>
      </c>
      <c r="L1996">
        <v>286.03870000000001</v>
      </c>
      <c r="M1996">
        <v>-0.99987119999999996</v>
      </c>
      <c r="N1996">
        <v>0</v>
      </c>
      <c r="O1996">
        <v>5.741538E-3</v>
      </c>
      <c r="P1996">
        <v>-0.99179700000000004</v>
      </c>
      <c r="Q1996">
        <v>-3.4434220000000001E-2</v>
      </c>
      <c r="R1996">
        <v>0.12309829999999999</v>
      </c>
      <c r="S1996">
        <v>-2.9493710000000002</v>
      </c>
      <c r="T1996">
        <v>-0.63705400000000001</v>
      </c>
      <c r="U1996">
        <v>0.42935180000000001</v>
      </c>
      <c r="V1996">
        <v>0.11740440000000001</v>
      </c>
      <c r="W1996">
        <v>-1.9529919999999999E-2</v>
      </c>
      <c r="X1996">
        <v>0.99289210000000006</v>
      </c>
      <c r="Y1996">
        <v>0.135441899999999</v>
      </c>
      <c r="Z1996">
        <v>1.3167649999999999E-2</v>
      </c>
      <c r="AA1996">
        <v>0.99069779999999996</v>
      </c>
      <c r="AB1996">
        <v>39</v>
      </c>
      <c r="AC1996">
        <v>-0.539499999999975</v>
      </c>
      <c r="AD1996">
        <v>-0.20576069999999899</v>
      </c>
      <c r="AE1996">
        <v>0.13659999999998701</v>
      </c>
      <c r="AF1996">
        <v>0.117445506787727</v>
      </c>
      <c r="AG1996">
        <v>-0.20576069999999899</v>
      </c>
      <c r="AH1996">
        <v>0.475303403670427</v>
      </c>
      <c r="AI1996">
        <v>112.795266546514</v>
      </c>
      <c r="AJ1996">
        <v>76.120469856982197</v>
      </c>
      <c r="AK1996">
        <v>0.53107837300139504</v>
      </c>
      <c r="AL1996">
        <v>91.119053173115503</v>
      </c>
      <c r="AM1996">
        <v>83.256380932852693</v>
      </c>
      <c r="AN1996">
        <v>0.999999966578487</v>
      </c>
    </row>
    <row r="1997" spans="1:40" x14ac:dyDescent="0.25">
      <c r="A1997" t="str">
        <f>"20190312161306009"</f>
        <v>20190312161306009</v>
      </c>
      <c r="B1997" t="str">
        <f>"1552378385997350"</f>
        <v>1552378385997350</v>
      </c>
      <c r="C1997" t="s">
        <v>40</v>
      </c>
      <c r="D1997">
        <v>5.5185000000000004</v>
      </c>
      <c r="E1997">
        <v>0.51068150000000001</v>
      </c>
      <c r="F1997" t="s">
        <v>43</v>
      </c>
      <c r="G1997">
        <v>-384.1866</v>
      </c>
      <c r="H1997">
        <v>0.91311050000000005</v>
      </c>
      <c r="I1997">
        <v>286.17009999999999</v>
      </c>
      <c r="J1997">
        <v>-383.5385</v>
      </c>
      <c r="K1997">
        <v>1.1099399999999999</v>
      </c>
      <c r="L1997">
        <v>286.04000000000002</v>
      </c>
      <c r="M1997">
        <v>-0.99987159999999997</v>
      </c>
      <c r="N1997">
        <v>0</v>
      </c>
      <c r="O1997">
        <v>5.6942959999999997E-3</v>
      </c>
      <c r="P1997">
        <v>-0.99180140000000006</v>
      </c>
      <c r="Q1997">
        <v>-3.4444379999999997E-2</v>
      </c>
      <c r="R1997">
        <v>0.12306060000000001</v>
      </c>
      <c r="S1997">
        <v>-2.9480900000000001</v>
      </c>
      <c r="T1997">
        <v>-0.65368559999999998</v>
      </c>
      <c r="U1997">
        <v>0.43499759999999998</v>
      </c>
      <c r="V1997">
        <v>0.1174137</v>
      </c>
      <c r="W1997">
        <v>-1.9542819999999999E-2</v>
      </c>
      <c r="X1997">
        <v>0.99289079999999996</v>
      </c>
      <c r="Y1997">
        <v>0.13720929999999901</v>
      </c>
      <c r="Z1997">
        <v>1.371026E-2</v>
      </c>
      <c r="AA1997">
        <v>0.99044719999999997</v>
      </c>
      <c r="AB1997">
        <v>39</v>
      </c>
      <c r="AC1997">
        <v>-0.64809999999999901</v>
      </c>
      <c r="AD1997">
        <v>-0.19682949999999999</v>
      </c>
      <c r="AE1997">
        <v>0.13009999999996999</v>
      </c>
      <c r="AF1997">
        <v>0.116112224203985</v>
      </c>
      <c r="AG1997">
        <v>-0.19682949999999999</v>
      </c>
      <c r="AH1997">
        <v>0.59598866563570896</v>
      </c>
      <c r="AI1997">
        <v>107.96074815630401</v>
      </c>
      <c r="AJ1997">
        <v>78.975568177979397</v>
      </c>
      <c r="AK1997">
        <v>0.63829960852728096</v>
      </c>
      <c r="AL1997">
        <v>91.119792370244596</v>
      </c>
      <c r="AM1997">
        <v>83.255842919392606</v>
      </c>
      <c r="AN1997">
        <v>1.0000000197429399</v>
      </c>
    </row>
    <row r="1998" spans="1:40" x14ac:dyDescent="0.25">
      <c r="A1998" t="str">
        <f>"20190312161306026"</f>
        <v>20190312161306026</v>
      </c>
      <c r="B1998" t="str">
        <f>"1552378386017846"</f>
        <v>1552378386017846</v>
      </c>
      <c r="C1998" t="s">
        <v>40</v>
      </c>
      <c r="D1998">
        <v>5.560778</v>
      </c>
      <c r="E1998">
        <v>0.51074070000000005</v>
      </c>
      <c r="F1998" t="s">
        <v>43</v>
      </c>
      <c r="G1998">
        <v>-384.52359999999999</v>
      </c>
      <c r="H1998">
        <v>0.89456179999999996</v>
      </c>
      <c r="I1998">
        <v>286.185</v>
      </c>
      <c r="J1998">
        <v>-383.8449</v>
      </c>
      <c r="K1998">
        <v>1.109937</v>
      </c>
      <c r="L1998">
        <v>286.04169999999999</v>
      </c>
      <c r="M1998">
        <v>-0.99987190000000004</v>
      </c>
      <c r="N1998">
        <v>0</v>
      </c>
      <c r="O1998">
        <v>5.6336550000000004E-3</v>
      </c>
      <c r="P1998">
        <v>-0.99181299999999994</v>
      </c>
      <c r="Q1998">
        <v>-3.4579470000000001E-2</v>
      </c>
      <c r="R1998">
        <v>0.122928</v>
      </c>
      <c r="S1998">
        <v>-2.948639</v>
      </c>
      <c r="T1998">
        <v>-0.64467479999999999</v>
      </c>
      <c r="U1998">
        <v>0.4336853</v>
      </c>
      <c r="V1998">
        <v>0.117341</v>
      </c>
      <c r="W1998">
        <v>-1.968139E-2</v>
      </c>
      <c r="X1998">
        <v>0.99289660000000002</v>
      </c>
      <c r="Y1998">
        <v>0.13690250000000001</v>
      </c>
      <c r="Z1998">
        <v>1.3503630000000001E-2</v>
      </c>
      <c r="AA1998">
        <v>0.9904925</v>
      </c>
      <c r="AB1998">
        <v>39</v>
      </c>
      <c r="AC1998">
        <v>-0.67869999999999198</v>
      </c>
      <c r="AD1998">
        <v>-0.21537519999999999</v>
      </c>
      <c r="AE1998">
        <v>0.14330000000001</v>
      </c>
      <c r="AF1998">
        <v>0.12721018967807701</v>
      </c>
      <c r="AG1998">
        <v>-0.21537519999999999</v>
      </c>
      <c r="AH1998">
        <v>0.61975033663239198</v>
      </c>
      <c r="AI1998">
        <v>108.799702781767</v>
      </c>
      <c r="AJ1998">
        <v>78.400557499055196</v>
      </c>
      <c r="AK1998">
        <v>0.66832581043151096</v>
      </c>
      <c r="AL1998">
        <v>91.127733437777593</v>
      </c>
      <c r="AM1998">
        <v>83.260019334764493</v>
      </c>
      <c r="AN1998">
        <v>0.99999996284244497</v>
      </c>
    </row>
    <row r="1999" spans="1:40" x14ac:dyDescent="0.25">
      <c r="A1999" t="str">
        <f>"20190312161306040"</f>
        <v>20190312161306040</v>
      </c>
      <c r="B1999" t="str">
        <f>"1552378386027606"</f>
        <v>1552378386027606</v>
      </c>
      <c r="C1999" t="s">
        <v>40</v>
      </c>
      <c r="D1999">
        <v>5.4226380000000001</v>
      </c>
      <c r="E1999">
        <v>0.51199439999999996</v>
      </c>
      <c r="F1999" t="s">
        <v>43</v>
      </c>
      <c r="G1999">
        <v>-384.55119999999999</v>
      </c>
      <c r="H1999">
        <v>0.95739879999999999</v>
      </c>
      <c r="I1999">
        <v>286.14580000000001</v>
      </c>
      <c r="J1999">
        <v>-384.06319999999999</v>
      </c>
      <c r="K1999">
        <v>1.1099380000000001</v>
      </c>
      <c r="L1999">
        <v>286.04289999999997</v>
      </c>
      <c r="M1999">
        <v>-0.99987199999999998</v>
      </c>
      <c r="N1999">
        <v>0</v>
      </c>
      <c r="O1999">
        <v>5.591118E-3</v>
      </c>
      <c r="P1999">
        <v>-0.99181419999999998</v>
      </c>
      <c r="Q1999">
        <v>-3.4594729999999997E-2</v>
      </c>
      <c r="R1999">
        <v>0.1229126</v>
      </c>
      <c r="S1999">
        <v>-2.9487299999999999</v>
      </c>
      <c r="T1999">
        <v>-0.63691660000000005</v>
      </c>
      <c r="U1999">
        <v>0.43408200000000002</v>
      </c>
      <c r="V1999">
        <v>0.11736779999999999</v>
      </c>
      <c r="W1999">
        <v>-1.9699169999999998E-2</v>
      </c>
      <c r="X1999">
        <v>0.99289309999999997</v>
      </c>
      <c r="Y1999">
        <v>0.13713649999999999</v>
      </c>
      <c r="Z1999">
        <v>1.337811E-2</v>
      </c>
      <c r="AA1999">
        <v>0.99046179999999995</v>
      </c>
      <c r="AB1999">
        <v>39</v>
      </c>
      <c r="AC1999">
        <v>-0.48799999999999899</v>
      </c>
      <c r="AD1999">
        <v>-0.15253919999999899</v>
      </c>
      <c r="AE1999">
        <v>0.10290000000003301</v>
      </c>
      <c r="AF1999">
        <v>9.1600640405484102E-2</v>
      </c>
      <c r="AG1999">
        <v>-0.15253919999999899</v>
      </c>
      <c r="AH1999">
        <v>0.44677338539232397</v>
      </c>
      <c r="AI1999">
        <v>108.493368479895</v>
      </c>
      <c r="AJ1999">
        <v>78.413385061982893</v>
      </c>
      <c r="AK1999">
        <v>0.480900553913439</v>
      </c>
      <c r="AL1999">
        <v>91.128752331670199</v>
      </c>
      <c r="AM1999">
        <v>83.258470583784899</v>
      </c>
      <c r="AN1999">
        <v>0.999999982901569</v>
      </c>
    </row>
    <row r="2000" spans="1:40" x14ac:dyDescent="0.25">
      <c r="A2000" t="str">
        <f>"20190312161306061"</f>
        <v>20190312161306061</v>
      </c>
      <c r="B2000" t="str">
        <f>"1552378386057863"</f>
        <v>1552378386057863</v>
      </c>
      <c r="C2000" t="s">
        <v>40</v>
      </c>
      <c r="D2000">
        <v>5.4856119999999997</v>
      </c>
      <c r="E2000">
        <v>0.51460980000000001</v>
      </c>
      <c r="F2000" t="s">
        <v>43</v>
      </c>
      <c r="G2000">
        <v>-384.88260000000002</v>
      </c>
      <c r="H2000">
        <v>0.92990229999999996</v>
      </c>
      <c r="I2000">
        <v>286.16649999999998</v>
      </c>
      <c r="J2000">
        <v>-384.43209999999999</v>
      </c>
      <c r="K2000">
        <v>1.1099399999999999</v>
      </c>
      <c r="L2000">
        <v>286.04489999999998</v>
      </c>
      <c r="M2000">
        <v>-0.9998726</v>
      </c>
      <c r="N2000">
        <v>0</v>
      </c>
      <c r="O2000">
        <v>5.5185570000000003E-3</v>
      </c>
      <c r="P2000">
        <v>-0.99187890000000001</v>
      </c>
      <c r="Q2000">
        <v>-3.4364390000000002E-2</v>
      </c>
      <c r="R2000">
        <v>0.1224562</v>
      </c>
      <c r="S2000">
        <v>-2.9472049999999999</v>
      </c>
      <c r="T2000">
        <v>-0.64770689999999997</v>
      </c>
      <c r="U2000">
        <v>0.44351200000000002</v>
      </c>
      <c r="V2000">
        <v>0.116983199999999</v>
      </c>
      <c r="W2000">
        <v>-1.947233E-2</v>
      </c>
      <c r="X2000">
        <v>0.99294300000000002</v>
      </c>
      <c r="Y2000">
        <v>0.1402069</v>
      </c>
      <c r="Z2000">
        <v>1.395061E-2</v>
      </c>
      <c r="AA2000">
        <v>0.99002400000000002</v>
      </c>
      <c r="AB2000">
        <v>39</v>
      </c>
      <c r="AC2000">
        <v>-0.45050000000003299</v>
      </c>
      <c r="AD2000">
        <v>-0.180037699999999</v>
      </c>
      <c r="AE2000">
        <v>0.1216</v>
      </c>
      <c r="AF2000">
        <v>0.10367769222369</v>
      </c>
      <c r="AG2000">
        <v>-0.180037699999999</v>
      </c>
      <c r="AH2000">
        <v>0.39270405133415098</v>
      </c>
      <c r="AI2000">
        <v>113.90620022919801</v>
      </c>
      <c r="AJ2000">
        <v>75.210800995697994</v>
      </c>
      <c r="AK2000">
        <v>0.44427368729238997</v>
      </c>
      <c r="AL2000">
        <v>91.115752820752306</v>
      </c>
      <c r="AM2000">
        <v>83.280694020458597</v>
      </c>
      <c r="AN2000">
        <v>1.0000000209834301</v>
      </c>
    </row>
    <row r="2001" spans="1:40" x14ac:dyDescent="0.25">
      <c r="A2001" t="str">
        <f>"20190312161306085"</f>
        <v>20190312161306085</v>
      </c>
      <c r="B2001" t="str">
        <f>"1552378386077382"</f>
        <v>1552378386077382</v>
      </c>
      <c r="C2001" t="s">
        <v>40</v>
      </c>
      <c r="D2001">
        <v>5.487762</v>
      </c>
      <c r="E2001">
        <v>0.51522089999999998</v>
      </c>
      <c r="F2001" t="s">
        <v>43</v>
      </c>
      <c r="G2001">
        <v>-385.2269</v>
      </c>
      <c r="H2001">
        <v>0.93112609999999996</v>
      </c>
      <c r="I2001">
        <v>286.16989999999998</v>
      </c>
      <c r="J2001">
        <v>-384.83769999999998</v>
      </c>
      <c r="K2001">
        <v>1.1099429999999999</v>
      </c>
      <c r="L2001">
        <v>286.0471</v>
      </c>
      <c r="M2001">
        <v>-0.99987300000000001</v>
      </c>
      <c r="N2001">
        <v>0</v>
      </c>
      <c r="O2001">
        <v>5.4389089999999996E-3</v>
      </c>
      <c r="P2001">
        <v>-0.99197029999999997</v>
      </c>
      <c r="Q2001">
        <v>-3.3955590000000001E-2</v>
      </c>
      <c r="R2001">
        <v>0.1218283</v>
      </c>
      <c r="S2001">
        <v>-2.9445190000000001</v>
      </c>
      <c r="T2001">
        <v>-0.66247339999999999</v>
      </c>
      <c r="U2001">
        <v>0.46231080000000002</v>
      </c>
      <c r="V2001">
        <v>0.1164338</v>
      </c>
      <c r="W2001">
        <v>-1.906716E-2</v>
      </c>
      <c r="X2001">
        <v>0.99301539999999999</v>
      </c>
      <c r="Y2001">
        <v>0.1462946</v>
      </c>
      <c r="Z2001">
        <v>1.495704E-2</v>
      </c>
      <c r="AA2001">
        <v>0.98912800000000001</v>
      </c>
      <c r="AB2001">
        <v>38</v>
      </c>
      <c r="AC2001">
        <v>-0.38920000000001598</v>
      </c>
      <c r="AD2001">
        <v>-0.1788169</v>
      </c>
      <c r="AE2001">
        <v>0.12279999999998301</v>
      </c>
      <c r="AF2001">
        <v>0.101244265961994</v>
      </c>
      <c r="AG2001">
        <v>-0.1788169</v>
      </c>
      <c r="AH2001">
        <v>0.32707115269023801</v>
      </c>
      <c r="AI2001">
        <v>117.576802451831</v>
      </c>
      <c r="AJ2001">
        <v>72.800186793864398</v>
      </c>
      <c r="AK2001">
        <v>0.38626600165936698</v>
      </c>
      <c r="AL2001">
        <v>91.092534017615293</v>
      </c>
      <c r="AM2001">
        <v>83.312447244177605</v>
      </c>
      <c r="AN2001">
        <v>0.999999985505032</v>
      </c>
    </row>
    <row r="2002" spans="1:40" x14ac:dyDescent="0.25">
      <c r="A2002" t="str">
        <f>"20190312161306107"</f>
        <v>20190312161306107</v>
      </c>
      <c r="B2002" t="str">
        <f>"1552378386097879"</f>
        <v>1552378386097879</v>
      </c>
      <c r="C2002" t="s">
        <v>40</v>
      </c>
      <c r="D2002">
        <v>5.4542029999999997</v>
      </c>
      <c r="E2002">
        <v>0.5157621</v>
      </c>
      <c r="F2002" t="s">
        <v>43</v>
      </c>
      <c r="G2002">
        <v>-385.5752</v>
      </c>
      <c r="H2002">
        <v>0.94226960000000004</v>
      </c>
      <c r="I2002">
        <v>286.16399999999999</v>
      </c>
      <c r="J2002">
        <v>-385.22070000000002</v>
      </c>
      <c r="K2002">
        <v>1.109942</v>
      </c>
      <c r="L2002">
        <v>286.04899999999998</v>
      </c>
      <c r="M2002">
        <v>-0.99987360000000003</v>
      </c>
      <c r="N2002">
        <v>0</v>
      </c>
      <c r="O2002">
        <v>5.3634909999999997E-3</v>
      </c>
      <c r="P2002">
        <v>-0.99204990000000004</v>
      </c>
      <c r="Q2002">
        <v>-3.3817899999999998E-2</v>
      </c>
      <c r="R2002">
        <v>0.12121709999999999</v>
      </c>
      <c r="S2002">
        <v>-2.9442140000000001</v>
      </c>
      <c r="T2002">
        <v>-0.66943069999999905</v>
      </c>
      <c r="U2002">
        <v>0.46530149999999998</v>
      </c>
      <c r="V2002">
        <v>0.1158971</v>
      </c>
      <c r="W2002">
        <v>-1.8932979999999999E-2</v>
      </c>
      <c r="X2002">
        <v>0.99308070000000004</v>
      </c>
      <c r="Y2002">
        <v>0.14726739999999999</v>
      </c>
      <c r="Z2002">
        <v>1.5236049999999999E-2</v>
      </c>
      <c r="AA2002">
        <v>0.98897930000000001</v>
      </c>
      <c r="AB2002">
        <v>38</v>
      </c>
      <c r="AC2002">
        <v>-0.354499999999973</v>
      </c>
      <c r="AD2002">
        <v>-0.167672399999999</v>
      </c>
      <c r="AE2002">
        <v>0.114999999999952</v>
      </c>
      <c r="AF2002">
        <v>9.4058273173355397E-2</v>
      </c>
      <c r="AG2002">
        <v>-0.167672399999999</v>
      </c>
      <c r="AH2002">
        <v>0.29533291223268399</v>
      </c>
      <c r="AI2002">
        <v>118.411943606845</v>
      </c>
      <c r="AJ2002">
        <v>72.334249171007798</v>
      </c>
      <c r="AK2002">
        <v>0.35239540508064499</v>
      </c>
      <c r="AL2002">
        <v>91.084844735327806</v>
      </c>
      <c r="AM2002">
        <v>83.343429924091595</v>
      </c>
      <c r="AN2002">
        <v>0.99999993611628801</v>
      </c>
    </row>
    <row r="2003" spans="1:40" x14ac:dyDescent="0.25">
      <c r="A2003" t="str">
        <f>"20190312161306129"</f>
        <v>20190312161306129</v>
      </c>
      <c r="B2003" t="str">
        <f>"1552378386117398"</f>
        <v>1552378386117398</v>
      </c>
      <c r="C2003" t="s">
        <v>40</v>
      </c>
      <c r="D2003">
        <v>5.418463</v>
      </c>
      <c r="E2003">
        <v>0.51628669999999999</v>
      </c>
      <c r="F2003" t="s">
        <v>43</v>
      </c>
      <c r="G2003">
        <v>-385.92129999999997</v>
      </c>
      <c r="H2003">
        <v>0.94904569999999999</v>
      </c>
      <c r="I2003">
        <v>286.16019999999997</v>
      </c>
      <c r="J2003">
        <v>-385.58600000000001</v>
      </c>
      <c r="K2003">
        <v>1.109944</v>
      </c>
      <c r="L2003">
        <v>286.05090000000001</v>
      </c>
      <c r="M2003">
        <v>-0.99987409999999999</v>
      </c>
      <c r="N2003">
        <v>0</v>
      </c>
      <c r="O2003">
        <v>5.2915280000000002E-3</v>
      </c>
      <c r="P2003">
        <v>-0.99205080000000001</v>
      </c>
      <c r="Q2003">
        <v>-3.3970569999999999E-2</v>
      </c>
      <c r="R2003">
        <v>0.12116680000000001</v>
      </c>
      <c r="S2003">
        <v>-2.9438170000000001</v>
      </c>
      <c r="T2003">
        <v>-0.67608419999999902</v>
      </c>
      <c r="U2003">
        <v>0.46783449999999999</v>
      </c>
      <c r="V2003">
        <v>0.11591799999999999</v>
      </c>
      <c r="W2003">
        <v>-1.9089950000000001E-2</v>
      </c>
      <c r="X2003">
        <v>0.99307529999999999</v>
      </c>
      <c r="Y2003">
        <v>0.14809620000000001</v>
      </c>
      <c r="Z2003">
        <v>1.5494330000000001E-2</v>
      </c>
      <c r="AA2003">
        <v>0.98885149999999999</v>
      </c>
      <c r="AB2003">
        <v>38</v>
      </c>
      <c r="AC2003">
        <v>-0.33529999999996102</v>
      </c>
      <c r="AD2003">
        <v>-0.16089829999999999</v>
      </c>
      <c r="AE2003">
        <v>0.109299999999961</v>
      </c>
      <c r="AF2003">
        <v>8.8998835015891203E-2</v>
      </c>
      <c r="AG2003">
        <v>-0.16089829999999999</v>
      </c>
      <c r="AH2003">
        <v>0.278006445058468</v>
      </c>
      <c r="AI2003">
        <v>118.863615367699</v>
      </c>
      <c r="AJ2003">
        <v>72.248453952903006</v>
      </c>
      <c r="AK2003">
        <v>0.33331162456644498</v>
      </c>
      <c r="AL2003">
        <v>91.093840031970501</v>
      </c>
      <c r="AM2003">
        <v>83.342204426747401</v>
      </c>
      <c r="AN2003">
        <v>0.99999998019254599</v>
      </c>
    </row>
    <row r="2004" spans="1:40" x14ac:dyDescent="0.25">
      <c r="A2004" t="str">
        <f>"20190312161306150"</f>
        <v>20190312161306150</v>
      </c>
      <c r="B2004" t="str">
        <f>"1552378386137894"</f>
        <v>1552378386137894</v>
      </c>
      <c r="C2004" t="s">
        <v>40</v>
      </c>
      <c r="D2004">
        <v>5.4924350000000004</v>
      </c>
      <c r="E2004">
        <v>0.51678539999999995</v>
      </c>
      <c r="F2004" t="s">
        <v>43</v>
      </c>
      <c r="G2004">
        <v>-386.57659999999998</v>
      </c>
      <c r="H2004">
        <v>0.87982320000000003</v>
      </c>
      <c r="I2004">
        <v>286.20940000000002</v>
      </c>
      <c r="J2004">
        <v>-385.95319999999998</v>
      </c>
      <c r="K2004">
        <v>1.109944</v>
      </c>
      <c r="L2004">
        <v>286.05279999999999</v>
      </c>
      <c r="M2004">
        <v>-0.9998745</v>
      </c>
      <c r="N2004">
        <v>0</v>
      </c>
      <c r="O2004">
        <v>5.2189740000000004E-3</v>
      </c>
      <c r="P2004">
        <v>-0.99215690000000001</v>
      </c>
      <c r="Q2004">
        <v>-3.3586249999999998E-2</v>
      </c>
      <c r="R2004">
        <v>0.1204031</v>
      </c>
      <c r="S2004">
        <v>-2.9431150000000001</v>
      </c>
      <c r="T2004">
        <v>-0.68370259999999905</v>
      </c>
      <c r="U2004">
        <v>0.4709778</v>
      </c>
      <c r="V2004">
        <v>0.115226</v>
      </c>
      <c r="W2004">
        <v>-1.8708740000000001E-2</v>
      </c>
      <c r="X2004">
        <v>0.99316309999999997</v>
      </c>
      <c r="Y2004">
        <v>0.1491237</v>
      </c>
      <c r="Z2004">
        <v>1.5800419999999999E-2</v>
      </c>
      <c r="AA2004">
        <v>0.98869229999999997</v>
      </c>
      <c r="AB2004">
        <v>38</v>
      </c>
      <c r="AC2004">
        <v>-0.62340000000000295</v>
      </c>
      <c r="AD2004">
        <v>-0.23012079999999999</v>
      </c>
      <c r="AE2004">
        <v>0.156600000000025</v>
      </c>
      <c r="AF2004">
        <v>0.13592218834070399</v>
      </c>
      <c r="AG2004">
        <v>-0.23012079999999999</v>
      </c>
      <c r="AH2004">
        <v>0.55329091155810295</v>
      </c>
      <c r="AI2004">
        <v>111.993964221879</v>
      </c>
      <c r="AJ2004">
        <v>76.1979583081812</v>
      </c>
      <c r="AK2004">
        <v>0.61446013433644497</v>
      </c>
      <c r="AL2004">
        <v>91.071994388946294</v>
      </c>
      <c r="AM2004">
        <v>83.382175967414398</v>
      </c>
      <c r="AN2004">
        <v>0.99999999561499797</v>
      </c>
    </row>
    <row r="2005" spans="1:40" x14ac:dyDescent="0.25">
      <c r="A2005" t="str">
        <f>"20190312161306164"</f>
        <v>20190312161306164</v>
      </c>
      <c r="B2005" t="str">
        <f>"1552378386157415"</f>
        <v>1552378386157415</v>
      </c>
      <c r="C2005" t="s">
        <v>40</v>
      </c>
      <c r="D2005">
        <v>5.3970849999999997</v>
      </c>
      <c r="E2005">
        <v>0.51667359999999996</v>
      </c>
      <c r="F2005" t="s">
        <v>43</v>
      </c>
      <c r="G2005">
        <v>-386.91989999999998</v>
      </c>
      <c r="H2005">
        <v>0.88371039999999901</v>
      </c>
      <c r="I2005">
        <v>286.20839999999998</v>
      </c>
      <c r="J2005">
        <v>-386.19220000000001</v>
      </c>
      <c r="K2005">
        <v>1.109944</v>
      </c>
      <c r="L2005">
        <v>286.05399999999997</v>
      </c>
      <c r="M2005">
        <v>-0.99987479999999995</v>
      </c>
      <c r="N2005">
        <v>0</v>
      </c>
      <c r="O2005">
        <v>5.1715550000000004E-3</v>
      </c>
      <c r="P2005">
        <v>-0.99227319999999997</v>
      </c>
      <c r="Q2005">
        <v>-3.3190530000000003E-2</v>
      </c>
      <c r="R2005">
        <v>0.11955060000000001</v>
      </c>
      <c r="S2005">
        <v>-2.9430540000000001</v>
      </c>
      <c r="T2005">
        <v>-0.68876040000000005</v>
      </c>
      <c r="U2005">
        <v>0.47253420000000002</v>
      </c>
      <c r="V2005">
        <v>0.1144197</v>
      </c>
      <c r="W2005">
        <v>-1.8314380000000002E-2</v>
      </c>
      <c r="X2005">
        <v>0.99326369999999997</v>
      </c>
      <c r="Y2005">
        <v>0.14961469999999999</v>
      </c>
      <c r="Z2005">
        <v>1.5981220000000001E-2</v>
      </c>
      <c r="AA2005">
        <v>0.98861520000000003</v>
      </c>
      <c r="AB2005">
        <v>38</v>
      </c>
      <c r="AC2005">
        <v>-0.72769999999997004</v>
      </c>
      <c r="AD2005">
        <v>-0.22623360000000001</v>
      </c>
      <c r="AE2005">
        <v>0.15439999999995199</v>
      </c>
      <c r="AF2005">
        <v>0.13788176075684</v>
      </c>
      <c r="AG2005">
        <v>-0.22623360000000001</v>
      </c>
      <c r="AH2005">
        <v>0.66681631575258604</v>
      </c>
      <c r="AI2005">
        <v>108.378848820128</v>
      </c>
      <c r="AJ2005">
        <v>78.3172421771514</v>
      </c>
      <c r="AK2005">
        <v>0.717521442656747</v>
      </c>
      <c r="AL2005">
        <v>91.049395315528002</v>
      </c>
      <c r="AM2005">
        <v>83.428737825093194</v>
      </c>
      <c r="AN2005">
        <v>1.0000000310002799</v>
      </c>
    </row>
    <row r="2006" spans="1:40" x14ac:dyDescent="0.25">
      <c r="A2006" t="str">
        <f>"20190312161306176"</f>
        <v>20190312161306176</v>
      </c>
      <c r="B2006" t="str">
        <f>"1552378386168150"</f>
        <v>1552378386168150</v>
      </c>
      <c r="C2006" t="s">
        <v>40</v>
      </c>
      <c r="D2006">
        <v>6.3975849999999896</v>
      </c>
      <c r="E2006">
        <v>0.51664500000000002</v>
      </c>
      <c r="F2006" t="s">
        <v>43</v>
      </c>
      <c r="G2006">
        <v>-386.94229999999999</v>
      </c>
      <c r="H2006">
        <v>0.93731640000000005</v>
      </c>
      <c r="I2006">
        <v>286.17410000000001</v>
      </c>
      <c r="J2006">
        <v>-386.40940000000001</v>
      </c>
      <c r="K2006">
        <v>1.109947</v>
      </c>
      <c r="L2006">
        <v>286.05509999999998</v>
      </c>
      <c r="M2006">
        <v>-0.99987510000000002</v>
      </c>
      <c r="N2006">
        <v>0</v>
      </c>
      <c r="O2006">
        <v>5.1287219999999996E-3</v>
      </c>
      <c r="P2006">
        <v>-0.99241469999999998</v>
      </c>
      <c r="Q2006">
        <v>-3.2962680000000001E-2</v>
      </c>
      <c r="R2006">
        <v>0.1184354</v>
      </c>
      <c r="S2006">
        <v>-2.9440919999999999</v>
      </c>
      <c r="T2006">
        <v>-0.67755379999999998</v>
      </c>
      <c r="U2006">
        <v>0.46990969999999999</v>
      </c>
      <c r="V2006">
        <v>0.1133463</v>
      </c>
      <c r="W2006">
        <v>-1.8087220000000001E-2</v>
      </c>
      <c r="X2006">
        <v>0.99339089999999997</v>
      </c>
      <c r="Y2006">
        <v>0.14888390000000001</v>
      </c>
      <c r="Z2006">
        <v>1.565064E-2</v>
      </c>
      <c r="AA2006">
        <v>0.98873080000000002</v>
      </c>
      <c r="AB2006">
        <v>38</v>
      </c>
      <c r="AC2006">
        <v>-0.53289999999998305</v>
      </c>
      <c r="AD2006">
        <v>-0.172630599999999</v>
      </c>
      <c r="AE2006">
        <v>0.119000000000028</v>
      </c>
      <c r="AF2006">
        <v>0.105699680010286</v>
      </c>
      <c r="AG2006">
        <v>-0.172630599999999</v>
      </c>
      <c r="AH2006">
        <v>0.48502231995220302</v>
      </c>
      <c r="AI2006">
        <v>109.17567075255199</v>
      </c>
      <c r="AJ2006">
        <v>77.705896590360894</v>
      </c>
      <c r="AK2006">
        <v>0.52556673911355301</v>
      </c>
      <c r="AL2006">
        <v>91.036377876504304</v>
      </c>
      <c r="AM2006">
        <v>83.490679246973997</v>
      </c>
      <c r="AN2006">
        <v>1.0000000057269101</v>
      </c>
    </row>
    <row r="2007" spans="1:40" x14ac:dyDescent="0.25">
      <c r="A2007" t="str">
        <f>"20190312161306196"</f>
        <v>20190312161306196</v>
      </c>
      <c r="B2007" t="str">
        <f>"1552378386187670"</f>
        <v>1552378386187670</v>
      </c>
      <c r="C2007" t="s">
        <v>40</v>
      </c>
      <c r="D2007">
        <v>5.4460980000000001</v>
      </c>
      <c r="E2007">
        <v>0.51726720000000004</v>
      </c>
      <c r="F2007" t="s">
        <v>43</v>
      </c>
      <c r="G2007">
        <v>-387.27300000000002</v>
      </c>
      <c r="H2007">
        <v>0.91261340000000002</v>
      </c>
      <c r="I2007">
        <v>286.19229999999999</v>
      </c>
      <c r="J2007">
        <v>-386.73930000000001</v>
      </c>
      <c r="K2007">
        <v>1.10995</v>
      </c>
      <c r="L2007">
        <v>286.05669999999998</v>
      </c>
      <c r="M2007">
        <v>-0.99987539999999997</v>
      </c>
      <c r="N2007">
        <v>0</v>
      </c>
      <c r="O2007">
        <v>5.063667E-3</v>
      </c>
      <c r="P2007">
        <v>-0.99260720000000002</v>
      </c>
      <c r="Q2007">
        <v>-3.3294089999999998E-2</v>
      </c>
      <c r="R2007">
        <v>0.1167156</v>
      </c>
      <c r="S2007">
        <v>-2.944855</v>
      </c>
      <c r="T2007">
        <v>-0.67294759999999998</v>
      </c>
      <c r="U2007">
        <v>0.46679690000000001</v>
      </c>
      <c r="V2007">
        <v>0.1116902</v>
      </c>
      <c r="W2007">
        <v>-1.8419939999999999E-2</v>
      </c>
      <c r="X2007">
        <v>0.99357240000000002</v>
      </c>
      <c r="Y2007">
        <v>0.1479606</v>
      </c>
      <c r="Z2007">
        <v>1.545529E-2</v>
      </c>
      <c r="AA2007">
        <v>0.98887250000000004</v>
      </c>
      <c r="AB2007">
        <v>38</v>
      </c>
      <c r="AC2007">
        <v>-0.53370000000001006</v>
      </c>
      <c r="AD2007">
        <v>-0.1973366</v>
      </c>
      <c r="AE2007">
        <v>0.13560000000000999</v>
      </c>
      <c r="AF2007">
        <v>0.11777066105937301</v>
      </c>
      <c r="AG2007">
        <v>-0.1973366</v>
      </c>
      <c r="AH2007">
        <v>0.47356215662190498</v>
      </c>
      <c r="AI2007">
        <v>112.017880063581</v>
      </c>
      <c r="AJ2007">
        <v>76.034364962041707</v>
      </c>
      <c r="AK2007">
        <v>0.52637703073967002</v>
      </c>
      <c r="AL2007">
        <v>91.055444453455706</v>
      </c>
      <c r="AM2007">
        <v>83.586150226547005</v>
      </c>
      <c r="AN2007">
        <v>1.0000000545037</v>
      </c>
    </row>
    <row r="2008" spans="1:40" x14ac:dyDescent="0.25">
      <c r="A2008" t="str">
        <f>"20190312161306217"</f>
        <v>20190312161306217</v>
      </c>
      <c r="B2008" t="str">
        <f>"1552378386208177"</f>
        <v>1552378386208177</v>
      </c>
      <c r="C2008" t="s">
        <v>40</v>
      </c>
      <c r="D2008">
        <v>5.4641330000000004</v>
      </c>
      <c r="E2008">
        <v>0.51718900000000001</v>
      </c>
      <c r="F2008" t="s">
        <v>43</v>
      </c>
      <c r="G2008">
        <v>-387.61279999999999</v>
      </c>
      <c r="H2008">
        <v>0.90970399999999996</v>
      </c>
      <c r="I2008">
        <v>286.19540000000001</v>
      </c>
      <c r="J2008">
        <v>-387.10359999999997</v>
      </c>
      <c r="K2008">
        <v>1.109952</v>
      </c>
      <c r="L2008">
        <v>286.05849999999998</v>
      </c>
      <c r="M2008">
        <v>-0.99987590000000004</v>
      </c>
      <c r="N2008">
        <v>0</v>
      </c>
      <c r="O2008">
        <v>4.9918790000000003E-3</v>
      </c>
      <c r="P2008">
        <v>-0.99275780000000002</v>
      </c>
      <c r="Q2008">
        <v>-3.3891539999999998E-2</v>
      </c>
      <c r="R2008">
        <v>0.115255</v>
      </c>
      <c r="S2008">
        <v>-2.944855</v>
      </c>
      <c r="T2008">
        <v>-0.6751568</v>
      </c>
      <c r="U2008">
        <v>0.46643069999999998</v>
      </c>
      <c r="V2008">
        <v>0.1103003</v>
      </c>
      <c r="W2008">
        <v>-1.90197E-2</v>
      </c>
      <c r="X2008">
        <v>0.9937163</v>
      </c>
      <c r="Y2008">
        <v>0.1478882</v>
      </c>
      <c r="Z2008">
        <v>1.551291E-2</v>
      </c>
      <c r="AA2008">
        <v>0.98888240000000005</v>
      </c>
      <c r="AB2008">
        <v>38</v>
      </c>
      <c r="AC2008">
        <v>-0.50920000000002097</v>
      </c>
      <c r="AD2008">
        <v>-0.20024800000000001</v>
      </c>
      <c r="AE2008">
        <v>0.136900000000025</v>
      </c>
      <c r="AF2008">
        <v>0.11742074715087999</v>
      </c>
      <c r="AG2008">
        <v>-0.20024800000000001</v>
      </c>
      <c r="AH2008">
        <v>0.44560784394101699</v>
      </c>
      <c r="AI2008">
        <v>113.48727060935001</v>
      </c>
      <c r="AJ2008">
        <v>75.237736683082204</v>
      </c>
      <c r="AK2008">
        <v>0.50244725489073305</v>
      </c>
      <c r="AL2008">
        <v>91.0898142562949</v>
      </c>
      <c r="AM2008">
        <v>83.666222725564893</v>
      </c>
      <c r="AN2008">
        <v>0.99999999502693404</v>
      </c>
    </row>
    <row r="2009" spans="1:40" x14ac:dyDescent="0.25">
      <c r="A2009" t="str">
        <f>"20190312161306232"</f>
        <v>20190312161306232</v>
      </c>
      <c r="B2009" t="str">
        <f>"1552378386227686"</f>
        <v>1552378386227686</v>
      </c>
      <c r="C2009" t="s">
        <v>40</v>
      </c>
      <c r="D2009">
        <v>5.3481589999999999</v>
      </c>
      <c r="E2009">
        <v>0.51728640000000004</v>
      </c>
      <c r="F2009" t="s">
        <v>43</v>
      </c>
      <c r="G2009">
        <v>-387.95580000000001</v>
      </c>
      <c r="H2009">
        <v>0.91588009999999997</v>
      </c>
      <c r="I2009">
        <v>286.19189999999998</v>
      </c>
      <c r="J2009">
        <v>-387.34039999999999</v>
      </c>
      <c r="K2009">
        <v>1.1099540000000001</v>
      </c>
      <c r="L2009">
        <v>286.05959999999999</v>
      </c>
      <c r="M2009">
        <v>-0.99987599999999999</v>
      </c>
      <c r="N2009">
        <v>0</v>
      </c>
      <c r="O2009">
        <v>4.9456470000000001E-3</v>
      </c>
      <c r="P2009">
        <v>-0.99285599999999996</v>
      </c>
      <c r="Q2009">
        <v>-3.3830140000000002E-2</v>
      </c>
      <c r="R2009">
        <v>0.11442280000000001</v>
      </c>
      <c r="S2009">
        <v>-2.945465</v>
      </c>
      <c r="T2009">
        <v>-0.67078470000000001</v>
      </c>
      <c r="U2009">
        <v>0.46072390000000002</v>
      </c>
      <c r="V2009">
        <v>0.1095136</v>
      </c>
      <c r="W2009">
        <v>-1.8959779999999999E-2</v>
      </c>
      <c r="X2009">
        <v>0.99380449999999998</v>
      </c>
      <c r="Y2009">
        <v>0.14612159999999999</v>
      </c>
      <c r="Z2009">
        <v>1.522695E-2</v>
      </c>
      <c r="AA2009">
        <v>0.98914950000000001</v>
      </c>
      <c r="AB2009">
        <v>38</v>
      </c>
      <c r="AC2009">
        <v>-0.61540000000002204</v>
      </c>
      <c r="AD2009">
        <v>-0.19407389999999999</v>
      </c>
      <c r="AE2009">
        <v>0.13229999999998601</v>
      </c>
      <c r="AF2009">
        <v>0.118034172901748</v>
      </c>
      <c r="AG2009">
        <v>-0.19407389999999999</v>
      </c>
      <c r="AH2009">
        <v>0.562569089663146</v>
      </c>
      <c r="AI2009">
        <v>108.65604691196501</v>
      </c>
      <c r="AJ2009">
        <v>78.150496250853493</v>
      </c>
      <c r="AK2009">
        <v>0.60669656771588099</v>
      </c>
      <c r="AL2009">
        <v>91.086380421827201</v>
      </c>
      <c r="AM2009">
        <v>83.711587843501306</v>
      </c>
      <c r="AN2009">
        <v>1.00000004303142</v>
      </c>
    </row>
    <row r="2010" spans="1:40" x14ac:dyDescent="0.25">
      <c r="A2010" t="str">
        <f>"20190312161306251"</f>
        <v>20190312161306251</v>
      </c>
      <c r="B2010" t="str">
        <f>"1552378386248182"</f>
        <v>1552378386248182</v>
      </c>
      <c r="C2010" t="s">
        <v>40</v>
      </c>
      <c r="D2010">
        <v>5.4609809999999896</v>
      </c>
      <c r="E2010">
        <v>0.51736329999999997</v>
      </c>
      <c r="F2010" t="s">
        <v>43</v>
      </c>
      <c r="G2010">
        <v>-388.2876</v>
      </c>
      <c r="H2010">
        <v>0.89473879999999995</v>
      </c>
      <c r="I2010">
        <v>286.20769999999999</v>
      </c>
      <c r="J2010">
        <v>-387.67809999999997</v>
      </c>
      <c r="K2010">
        <v>1.1099490000000001</v>
      </c>
      <c r="L2010">
        <v>286.06119999999999</v>
      </c>
      <c r="M2010">
        <v>-0.9998764</v>
      </c>
      <c r="N2010">
        <v>0</v>
      </c>
      <c r="O2010">
        <v>4.8791040000000004E-3</v>
      </c>
      <c r="P2010">
        <v>-0.99309930000000002</v>
      </c>
      <c r="Q2010">
        <v>-3.3395189999999998E-2</v>
      </c>
      <c r="R2010">
        <v>0.11242240000000001</v>
      </c>
      <c r="S2010">
        <v>-2.9458310000000001</v>
      </c>
      <c r="T2010">
        <v>-0.66939569999999904</v>
      </c>
      <c r="U2010">
        <v>0.459198</v>
      </c>
      <c r="V2010">
        <v>0.10757799999999999</v>
      </c>
      <c r="W2010">
        <v>-1.8525739999999999E-2</v>
      </c>
      <c r="X2010">
        <v>0.99402400000000002</v>
      </c>
      <c r="Y2010">
        <v>0.1456924</v>
      </c>
      <c r="Z2010">
        <v>1.5161920000000001E-2</v>
      </c>
      <c r="AA2010">
        <v>0.98921380000000003</v>
      </c>
      <c r="AB2010">
        <v>38</v>
      </c>
      <c r="AC2010">
        <v>-0.60950000000002502</v>
      </c>
      <c r="AD2010">
        <v>-0.21521019999999999</v>
      </c>
      <c r="AE2010">
        <v>0.14650000000000299</v>
      </c>
      <c r="AF2010">
        <v>0.128391247938799</v>
      </c>
      <c r="AG2010">
        <v>-0.21521019999999999</v>
      </c>
      <c r="AH2010">
        <v>0.54586868340553296</v>
      </c>
      <c r="AI2010">
        <v>110.995800126617</v>
      </c>
      <c r="AJ2010">
        <v>76.7642980712412</v>
      </c>
      <c r="AK2010">
        <v>0.60064329035977104</v>
      </c>
      <c r="AL2010">
        <v>91.061507469971005</v>
      </c>
      <c r="AM2010">
        <v>83.823219041554296</v>
      </c>
      <c r="AN2010">
        <v>0.99999997085127301</v>
      </c>
    </row>
    <row r="2011" spans="1:40" x14ac:dyDescent="0.25">
      <c r="A2011" t="str">
        <f>"20190312161306263"</f>
        <v>20190312161306263</v>
      </c>
      <c r="B2011" t="str">
        <f>"1552378386257943"</f>
        <v>1552378386257943</v>
      </c>
      <c r="C2011" t="s">
        <v>40</v>
      </c>
      <c r="D2011">
        <v>5.3391970000000004</v>
      </c>
      <c r="E2011">
        <v>0.51773999999999998</v>
      </c>
      <c r="F2011" t="s">
        <v>43</v>
      </c>
      <c r="G2011">
        <v>-388.62790000000001</v>
      </c>
      <c r="H2011">
        <v>0.89610109999999998</v>
      </c>
      <c r="I2011">
        <v>286.2079</v>
      </c>
      <c r="J2011">
        <v>-387.88850000000002</v>
      </c>
      <c r="K2011">
        <v>1.1099490000000001</v>
      </c>
      <c r="L2011">
        <v>286.06220000000002</v>
      </c>
      <c r="M2011">
        <v>-0.99987669999999995</v>
      </c>
      <c r="N2011">
        <v>0</v>
      </c>
      <c r="O2011">
        <v>4.8377619999999998E-3</v>
      </c>
      <c r="P2011">
        <v>-0.99322949999999999</v>
      </c>
      <c r="Q2011">
        <v>-3.3328950000000003E-2</v>
      </c>
      <c r="R2011">
        <v>0.1112853</v>
      </c>
      <c r="S2011">
        <v>-2.9470830000000001</v>
      </c>
      <c r="T2011">
        <v>-0.66359040000000002</v>
      </c>
      <c r="U2011">
        <v>0.45443729999999899</v>
      </c>
      <c r="V2011">
        <v>0.1064813</v>
      </c>
      <c r="W2011">
        <v>-1.8460319999999999E-2</v>
      </c>
      <c r="X2011">
        <v>0.99414329999999995</v>
      </c>
      <c r="Y2011">
        <v>0.14420569999999999</v>
      </c>
      <c r="Z2011">
        <v>1.487399E-2</v>
      </c>
      <c r="AA2011">
        <v>0.98943599999999998</v>
      </c>
      <c r="AB2011">
        <v>38</v>
      </c>
      <c r="AC2011">
        <v>-0.73939999999998895</v>
      </c>
      <c r="AD2011">
        <v>-0.21384790000000001</v>
      </c>
      <c r="AE2011">
        <v>0.14569999999997599</v>
      </c>
      <c r="AF2011">
        <v>0.13152998410712899</v>
      </c>
      <c r="AG2011">
        <v>-0.21384790000000001</v>
      </c>
      <c r="AH2011">
        <v>0.68494418585073202</v>
      </c>
      <c r="AI2011">
        <v>107.04606926602401</v>
      </c>
      <c r="AJ2011">
        <v>79.129804636806099</v>
      </c>
      <c r="AK2011">
        <v>0.72950640763762598</v>
      </c>
      <c r="AL2011">
        <v>91.0577585336233</v>
      </c>
      <c r="AM2011">
        <v>83.886436786773004</v>
      </c>
      <c r="AN2011">
        <v>0.99999997579954003</v>
      </c>
    </row>
    <row r="2012" spans="1:40" x14ac:dyDescent="0.25">
      <c r="A2012" t="str">
        <f>"20190312161306277"</f>
        <v>20190312161306277</v>
      </c>
      <c r="B2012" t="str">
        <f>"1552378386267703"</f>
        <v>1552378386267703</v>
      </c>
      <c r="C2012" t="s">
        <v>40</v>
      </c>
      <c r="D2012">
        <v>5.3434480000000004</v>
      </c>
      <c r="E2012">
        <v>0.51781339999999998</v>
      </c>
      <c r="F2012" t="s">
        <v>43</v>
      </c>
      <c r="G2012">
        <v>-388.64569999999998</v>
      </c>
      <c r="H2012">
        <v>0.93824050000000003</v>
      </c>
      <c r="I2012">
        <v>286.17919999999998</v>
      </c>
      <c r="J2012">
        <v>-388.11930000000001</v>
      </c>
      <c r="K2012">
        <v>1.10995</v>
      </c>
      <c r="L2012">
        <v>286.06330000000003</v>
      </c>
      <c r="M2012">
        <v>-0.99987689999999996</v>
      </c>
      <c r="N2012">
        <v>0</v>
      </c>
      <c r="O2012">
        <v>4.792368E-3</v>
      </c>
      <c r="P2012">
        <v>-0.99334869999999997</v>
      </c>
      <c r="Q2012">
        <v>-3.3309320000000003E-2</v>
      </c>
      <c r="R2012">
        <v>0.11022120000000001</v>
      </c>
      <c r="S2012">
        <v>-2.9470830000000001</v>
      </c>
      <c r="T2012">
        <v>-0.66833319999999996</v>
      </c>
      <c r="U2012">
        <v>0.45449830000000002</v>
      </c>
      <c r="V2012">
        <v>0.10546179999999999</v>
      </c>
      <c r="W2012">
        <v>-1.8441889999999999E-2</v>
      </c>
      <c r="X2012">
        <v>0.99425229999999998</v>
      </c>
      <c r="Y2012">
        <v>0.14422079999999901</v>
      </c>
      <c r="Z2012">
        <v>1.4989479999999999E-2</v>
      </c>
      <c r="AA2012">
        <v>0.98943199999999998</v>
      </c>
      <c r="AB2012">
        <v>38</v>
      </c>
      <c r="AC2012">
        <v>-0.52639999999996601</v>
      </c>
      <c r="AD2012">
        <v>-0.17170949999999899</v>
      </c>
      <c r="AE2012">
        <v>0.115899999999953</v>
      </c>
      <c r="AF2012">
        <v>0.102929932982878</v>
      </c>
      <c r="AG2012">
        <v>-0.17170949999999899</v>
      </c>
      <c r="AH2012">
        <v>0.47839950749017002</v>
      </c>
      <c r="AI2012">
        <v>109.33571927785199</v>
      </c>
      <c r="AJ2012">
        <v>77.857644573931793</v>
      </c>
      <c r="AK2012">
        <v>0.51859889342433696</v>
      </c>
      <c r="AL2012">
        <v>91.056702403672801</v>
      </c>
      <c r="AM2012">
        <v>83.945192744393907</v>
      </c>
      <c r="AN2012">
        <v>0.99999996531065005</v>
      </c>
    </row>
    <row r="2013" spans="1:40" x14ac:dyDescent="0.25">
      <c r="A2013" t="str">
        <f>"20190312161306296"</f>
        <v>20190312161306296</v>
      </c>
      <c r="B2013" t="str">
        <f>"1552378386288198"</f>
        <v>1552378386288198</v>
      </c>
      <c r="C2013" t="s">
        <v>40</v>
      </c>
      <c r="D2013">
        <v>5.4094899999999999</v>
      </c>
      <c r="E2013">
        <v>0.51780029999999999</v>
      </c>
      <c r="F2013" t="s">
        <v>43</v>
      </c>
      <c r="G2013">
        <v>-388.9753</v>
      </c>
      <c r="H2013">
        <v>0.91602649999999997</v>
      </c>
      <c r="I2013">
        <v>286.19490000000002</v>
      </c>
      <c r="J2013">
        <v>-388.45</v>
      </c>
      <c r="K2013">
        <v>1.1099540000000001</v>
      </c>
      <c r="L2013">
        <v>286.06479999999999</v>
      </c>
      <c r="M2013">
        <v>-0.99987729999999997</v>
      </c>
      <c r="N2013">
        <v>0</v>
      </c>
      <c r="O2013">
        <v>4.7278600000000004E-3</v>
      </c>
      <c r="P2013">
        <v>-0.9935408</v>
      </c>
      <c r="Q2013">
        <v>-3.3575199999999902E-2</v>
      </c>
      <c r="R2013">
        <v>0.10839600000000001</v>
      </c>
      <c r="S2013">
        <v>-2.94754</v>
      </c>
      <c r="T2013">
        <v>-0.66781769999999996</v>
      </c>
      <c r="U2013">
        <v>0.45214840000000001</v>
      </c>
      <c r="V2013">
        <v>0.10369979999999999</v>
      </c>
      <c r="W2013">
        <v>-1.870929E-2</v>
      </c>
      <c r="X2013">
        <v>0.9944326</v>
      </c>
      <c r="Y2013">
        <v>0.14351259999999999</v>
      </c>
      <c r="Z2013">
        <v>1.4912399999999999E-2</v>
      </c>
      <c r="AA2013">
        <v>0.98953619999999998</v>
      </c>
      <c r="AB2013">
        <v>38</v>
      </c>
      <c r="AC2013">
        <v>-0.52530000000001498</v>
      </c>
      <c r="AD2013">
        <v>-0.1939275</v>
      </c>
      <c r="AE2013">
        <v>0.130100000000027</v>
      </c>
      <c r="AF2013">
        <v>0.113092192579849</v>
      </c>
      <c r="AG2013">
        <v>-0.1939275</v>
      </c>
      <c r="AH2013">
        <v>0.466060914075281</v>
      </c>
      <c r="AI2013">
        <v>112.016659275869</v>
      </c>
      <c r="AJ2013">
        <v>76.360497182750393</v>
      </c>
      <c r="AK2013">
        <v>0.51731083006974998</v>
      </c>
      <c r="AL2013">
        <v>91.072025965699893</v>
      </c>
      <c r="AM2013">
        <v>84.046692200584999</v>
      </c>
      <c r="AN2013">
        <v>0.99999994099754996</v>
      </c>
    </row>
    <row r="2014" spans="1:40" x14ac:dyDescent="0.25">
      <c r="A2014" t="str">
        <f>"20190312161306318"</f>
        <v>20190312161306318</v>
      </c>
      <c r="B2014" t="str">
        <f>"1552378386307720"</f>
        <v>1552378386307720</v>
      </c>
      <c r="C2014" t="s">
        <v>40</v>
      </c>
      <c r="D2014">
        <v>5.4799610000000003</v>
      </c>
      <c r="E2014">
        <v>0.51715480000000003</v>
      </c>
      <c r="F2014" t="s">
        <v>43</v>
      </c>
      <c r="G2014">
        <v>-389.31389999999999</v>
      </c>
      <c r="H2014">
        <v>0.91494810000000004</v>
      </c>
      <c r="I2014">
        <v>286.19600000000003</v>
      </c>
      <c r="J2014">
        <v>-388.81490000000002</v>
      </c>
      <c r="K2014">
        <v>1.1099479999999999</v>
      </c>
      <c r="L2014">
        <v>286.06639999999999</v>
      </c>
      <c r="M2014">
        <v>-0.99987769999999998</v>
      </c>
      <c r="N2014">
        <v>0</v>
      </c>
      <c r="O2014">
        <v>4.6594449999999999E-3</v>
      </c>
      <c r="P2014">
        <v>-0.9937279</v>
      </c>
      <c r="Q2014">
        <v>-3.3737580000000003E-2</v>
      </c>
      <c r="R2014">
        <v>0.106614</v>
      </c>
      <c r="S2014">
        <v>-2.9482729999999999</v>
      </c>
      <c r="T2014">
        <v>-0.66562809999999994</v>
      </c>
      <c r="U2014">
        <v>0.44653320000000002</v>
      </c>
      <c r="V2014">
        <v>0.1019849</v>
      </c>
      <c r="W2014">
        <v>-1.8874060000000002E-2</v>
      </c>
      <c r="X2014">
        <v>0.99460689999999996</v>
      </c>
      <c r="Y2014">
        <v>0.14176529999999901</v>
      </c>
      <c r="Z2014">
        <v>1.4684610000000001E-2</v>
      </c>
      <c r="AA2014">
        <v>0.98979139999999999</v>
      </c>
      <c r="AB2014">
        <v>38</v>
      </c>
      <c r="AC2014">
        <v>-0.49899999999996603</v>
      </c>
      <c r="AD2014">
        <v>-0.1949999</v>
      </c>
      <c r="AE2014">
        <v>0.12959999999998201</v>
      </c>
      <c r="AF2014">
        <v>0.111344341123853</v>
      </c>
      <c r="AG2014">
        <v>-0.1949999</v>
      </c>
      <c r="AH2014">
        <v>0.43707109133974598</v>
      </c>
      <c r="AI2014">
        <v>113.38089654869</v>
      </c>
      <c r="AJ2014">
        <v>75.707839192915202</v>
      </c>
      <c r="AK2014">
        <v>0.49137934651878801</v>
      </c>
      <c r="AL2014">
        <v>91.081468176156704</v>
      </c>
      <c r="AM2014">
        <v>84.145472249084705</v>
      </c>
      <c r="AN2014">
        <v>1.00000001774825</v>
      </c>
    </row>
    <row r="2015" spans="1:40" x14ac:dyDescent="0.25">
      <c r="A2015" t="str">
        <f>"20190312161306340"</f>
        <v>20190312161306340</v>
      </c>
      <c r="B2015" t="str">
        <f>"1552378386328214"</f>
        <v>1552378386328214</v>
      </c>
      <c r="C2015" t="s">
        <v>40</v>
      </c>
      <c r="D2015">
        <v>5.1972329999999998</v>
      </c>
      <c r="E2015">
        <v>0.46821869999999999</v>
      </c>
      <c r="F2015" t="s">
        <v>43</v>
      </c>
      <c r="G2015">
        <v>-389.65539999999999</v>
      </c>
      <c r="H2015">
        <v>0.92183570000000004</v>
      </c>
      <c r="I2015">
        <v>286.19099999999997</v>
      </c>
      <c r="J2015">
        <v>-389.18439999999998</v>
      </c>
      <c r="K2015">
        <v>1.109945</v>
      </c>
      <c r="L2015">
        <v>286.06810000000002</v>
      </c>
      <c r="M2015">
        <v>-0.99987800000000004</v>
      </c>
      <c r="N2015">
        <v>0</v>
      </c>
      <c r="O2015">
        <v>4.5937959999999998E-3</v>
      </c>
      <c r="P2015">
        <v>-0.99393050000000005</v>
      </c>
      <c r="Q2015">
        <v>-3.3898520000000001E-2</v>
      </c>
      <c r="R2015">
        <v>0.1046579</v>
      </c>
      <c r="S2015">
        <v>-2.949646</v>
      </c>
      <c r="T2015">
        <v>-0.66027619999999998</v>
      </c>
      <c r="U2015">
        <v>0.43624879999999999</v>
      </c>
      <c r="V2015">
        <v>0.1000934</v>
      </c>
      <c r="W2015">
        <v>-1.9037640000000002E-2</v>
      </c>
      <c r="X2015">
        <v>0.99479589999999996</v>
      </c>
      <c r="Y2015">
        <v>0.1385171</v>
      </c>
      <c r="Z2015">
        <v>1.4223619999999999E-2</v>
      </c>
      <c r="AA2015">
        <v>0.99025790000000002</v>
      </c>
      <c r="AB2015">
        <v>38</v>
      </c>
      <c r="AC2015">
        <v>-0.47100000000000303</v>
      </c>
      <c r="AD2015">
        <v>-0.18810930000000001</v>
      </c>
      <c r="AE2015">
        <v>0.122899999999958</v>
      </c>
      <c r="AF2015">
        <v>0.105047179404755</v>
      </c>
      <c r="AG2015">
        <v>-0.18810930000000001</v>
      </c>
      <c r="AH2015">
        <v>0.410287836123092</v>
      </c>
      <c r="AI2015">
        <v>113.948618234284</v>
      </c>
      <c r="AJ2015">
        <v>75.638895047838005</v>
      </c>
      <c r="AK2015">
        <v>0.46341787526805001</v>
      </c>
      <c r="AL2015">
        <v>91.090842321603006</v>
      </c>
      <c r="AM2015">
        <v>84.254406330408798</v>
      </c>
      <c r="AN2015">
        <v>1.0000000015585599</v>
      </c>
    </row>
    <row r="2016" spans="1:40" x14ac:dyDescent="0.25">
      <c r="A2016" t="str">
        <f>"20190312161306363"</f>
        <v>20190312161306363</v>
      </c>
      <c r="B2016" t="str">
        <f>"1552378386357498"</f>
        <v>1552378386357498</v>
      </c>
      <c r="C2016" t="s">
        <v>40</v>
      </c>
      <c r="D2016">
        <v>5.2335919999999998</v>
      </c>
      <c r="E2016">
        <v>0.45694030000000002</v>
      </c>
      <c r="F2016" t="s">
        <v>43</v>
      </c>
      <c r="G2016">
        <v>-390.04349999999999</v>
      </c>
      <c r="H2016">
        <v>1.023474</v>
      </c>
      <c r="I2016">
        <v>286.084</v>
      </c>
      <c r="J2016">
        <v>-389.5652</v>
      </c>
      <c r="K2016">
        <v>1.109939</v>
      </c>
      <c r="L2016">
        <v>286.06979999999999</v>
      </c>
      <c r="M2016">
        <v>-0.9998785</v>
      </c>
      <c r="N2016">
        <v>0</v>
      </c>
      <c r="O2016">
        <v>4.5316920000000004E-3</v>
      </c>
      <c r="P2016">
        <v>-0.99412730000000005</v>
      </c>
      <c r="Q2016">
        <v>-3.3952780000000002E-2</v>
      </c>
      <c r="R2016">
        <v>0.1027542</v>
      </c>
      <c r="S2016">
        <v>-3.0022280000000001</v>
      </c>
      <c r="T2016">
        <v>-0.30232579999999998</v>
      </c>
      <c r="U2016">
        <v>5.4748539999999998E-2</v>
      </c>
      <c r="V2016">
        <v>9.8250249999999997E-2</v>
      </c>
      <c r="W2016">
        <v>-1.9094839999999998E-2</v>
      </c>
      <c r="X2016">
        <v>0.99497849999999999</v>
      </c>
      <c r="Y2016">
        <v>1.3655179999999999E-2</v>
      </c>
      <c r="Z2016">
        <v>2.3055140000000001E-4</v>
      </c>
      <c r="AA2016">
        <v>0.99990670000000004</v>
      </c>
      <c r="AB2016">
        <v>38</v>
      </c>
      <c r="AC2016">
        <v>-0.47829999999999001</v>
      </c>
      <c r="AD2016">
        <v>-8.6465E-2</v>
      </c>
      <c r="AE2016">
        <v>1.42000000000166E-2</v>
      </c>
      <c r="AF2016">
        <v>1.1651665505357E-2</v>
      </c>
      <c r="AG2016">
        <v>-8.6465E-2</v>
      </c>
      <c r="AH2016">
        <v>0.46323435139672497</v>
      </c>
      <c r="AI2016">
        <v>100.569608910396</v>
      </c>
      <c r="AJ2016">
        <v>88.559151492696998</v>
      </c>
      <c r="AK2016">
        <v>0.47137885171907501</v>
      </c>
      <c r="AL2016">
        <v>91.094120270568894</v>
      </c>
      <c r="AM2016">
        <v>84.360547315343396</v>
      </c>
      <c r="AN2016">
        <v>0.99999997000096796</v>
      </c>
    </row>
    <row r="2017" spans="1:40" x14ac:dyDescent="0.25">
      <c r="A2017" t="str">
        <f>"20190312161306386"</f>
        <v>20190312161306386</v>
      </c>
      <c r="B2017" t="str">
        <f>"1552378386377376"</f>
        <v>1552378386377376</v>
      </c>
      <c r="C2017" t="s">
        <v>40</v>
      </c>
      <c r="D2017">
        <v>5.1787590000000003</v>
      </c>
      <c r="E2017">
        <v>0.45533630000000003</v>
      </c>
      <c r="F2017" t="s">
        <v>74</v>
      </c>
      <c r="G2017">
        <v>-412.7577</v>
      </c>
      <c r="H2017" s="1">
        <v>2.591243E-6</v>
      </c>
      <c r="I2017">
        <v>285.8023</v>
      </c>
      <c r="J2017">
        <v>-389.95819999999998</v>
      </c>
      <c r="K2017">
        <v>1.109936</v>
      </c>
      <c r="L2017">
        <v>286.07150000000001</v>
      </c>
      <c r="M2017">
        <v>-0.99987879999999996</v>
      </c>
      <c r="N2017">
        <v>0</v>
      </c>
      <c r="O2017">
        <v>4.4751499999999998E-3</v>
      </c>
      <c r="P2017">
        <v>-0.99425730000000001</v>
      </c>
      <c r="Q2017">
        <v>-3.4179029999999999E-2</v>
      </c>
      <c r="R2017">
        <v>0.10141169999999999</v>
      </c>
      <c r="S2017">
        <v>-3.0164490000000002</v>
      </c>
      <c r="T2017">
        <v>-0.14435979999999901</v>
      </c>
      <c r="U2017">
        <v>-3.4790040000000001E-2</v>
      </c>
      <c r="V2017">
        <v>9.696304E-2</v>
      </c>
      <c r="W2017">
        <v>-1.932505E-2</v>
      </c>
      <c r="X2017">
        <v>0.9951004</v>
      </c>
      <c r="Y2017">
        <v>-1.5984490000000001E-2</v>
      </c>
      <c r="Z2017">
        <v>-5.9632260000000003E-4</v>
      </c>
      <c r="AA2017">
        <v>0.99987210000000004</v>
      </c>
      <c r="AB2017">
        <v>38</v>
      </c>
      <c r="AC2017">
        <v>-22.799499999999998</v>
      </c>
      <c r="AD2017">
        <v>-1.1099334087569901</v>
      </c>
      <c r="AE2017">
        <v>-0.26920000000001199</v>
      </c>
      <c r="AF2017">
        <v>-0.37036220613652698</v>
      </c>
      <c r="AG2017">
        <v>-1.1099334087569901</v>
      </c>
      <c r="AH2017">
        <v>22.744171267576402</v>
      </c>
      <c r="AI2017">
        <v>92.793492784930606</v>
      </c>
      <c r="AJ2017">
        <v>90.932912250245707</v>
      </c>
      <c r="AK2017">
        <v>22.774249647012699</v>
      </c>
      <c r="AL2017">
        <v>91.107312681085304</v>
      </c>
      <c r="AM2017">
        <v>84.434642249202199</v>
      </c>
      <c r="AN2017">
        <v>1.00000004738185</v>
      </c>
    </row>
    <row r="2018" spans="1:40" x14ac:dyDescent="0.25">
      <c r="A2018" t="str">
        <f>"20190312161306400"</f>
        <v>20190312161306400</v>
      </c>
      <c r="B2018" t="str">
        <f>"1552378386397854"</f>
        <v>1552378386397854</v>
      </c>
      <c r="C2018" t="s">
        <v>40</v>
      </c>
      <c r="D2018">
        <v>5.1940179999999998</v>
      </c>
      <c r="E2018">
        <v>0.4548046</v>
      </c>
      <c r="F2018" t="s">
        <v>74</v>
      </c>
      <c r="G2018">
        <v>-419.57139999999998</v>
      </c>
      <c r="H2018" s="1">
        <v>3.8196849999999998E-6</v>
      </c>
      <c r="I2018">
        <v>285.57569999999998</v>
      </c>
      <c r="J2018">
        <v>-390.1995</v>
      </c>
      <c r="K2018">
        <v>1.1099330000000001</v>
      </c>
      <c r="L2018">
        <v>286.07260000000002</v>
      </c>
      <c r="M2018">
        <v>-0.99987899999999996</v>
      </c>
      <c r="N2018">
        <v>0</v>
      </c>
      <c r="O2018">
        <v>4.445811E-3</v>
      </c>
      <c r="P2018">
        <v>-0.9942974</v>
      </c>
      <c r="Q2018">
        <v>-3.4309739999999998E-2</v>
      </c>
      <c r="R2018">
        <v>0.10097440000000001</v>
      </c>
      <c r="S2018">
        <v>-3.0185550000000001</v>
      </c>
      <c r="T2018">
        <v>-0.1131384</v>
      </c>
      <c r="U2018">
        <v>-5.0537110000000003E-2</v>
      </c>
      <c r="V2018">
        <v>9.6554589999999996E-2</v>
      </c>
      <c r="W2018">
        <v>-1.9458900000000001E-2</v>
      </c>
      <c r="X2018">
        <v>0.99513750000000001</v>
      </c>
      <c r="Y2018">
        <v>-2.116734E-2</v>
      </c>
      <c r="Z2018">
        <v>-5.6310249999999996E-4</v>
      </c>
      <c r="AA2018">
        <v>0.99977579999999999</v>
      </c>
      <c r="AB2018">
        <v>38</v>
      </c>
      <c r="AC2018">
        <v>-29.371899999999901</v>
      </c>
      <c r="AD2018">
        <v>-1.109929180315</v>
      </c>
      <c r="AE2018">
        <v>-0.49690000000003898</v>
      </c>
      <c r="AF2018">
        <v>-0.62659699481874598</v>
      </c>
      <c r="AG2018">
        <v>-1.109929180315</v>
      </c>
      <c r="AH2018">
        <v>29.327532728514999</v>
      </c>
      <c r="AI2018">
        <v>92.166886409379799</v>
      </c>
      <c r="AJ2018">
        <v>91.223965966977602</v>
      </c>
      <c r="AK2018">
        <v>29.355216615132498</v>
      </c>
      <c r="AL2018">
        <v>91.114983170558304</v>
      </c>
      <c r="AM2018">
        <v>84.458144996272196</v>
      </c>
      <c r="AN2018">
        <v>1.0000000407727601</v>
      </c>
    </row>
    <row r="2019" spans="1:40" x14ac:dyDescent="0.25">
      <c r="A2019" t="str">
        <f>"20190312161306418"</f>
        <v>20190312161306418</v>
      </c>
      <c r="B2019" t="str">
        <f>"1552378386407614"</f>
        <v>1552378386407614</v>
      </c>
      <c r="C2019" t="s">
        <v>40</v>
      </c>
      <c r="D2019">
        <v>5.1965680000000001</v>
      </c>
      <c r="E2019">
        <v>0.45466640000000003</v>
      </c>
      <c r="F2019" t="s">
        <v>74</v>
      </c>
      <c r="G2019">
        <v>-422.01339999999999</v>
      </c>
      <c r="H2019" s="1">
        <v>3.5316479999999998E-6</v>
      </c>
      <c r="I2019">
        <v>285.48349999999999</v>
      </c>
      <c r="J2019">
        <v>-390.50700000000001</v>
      </c>
      <c r="K2019">
        <v>1.1099209999999999</v>
      </c>
      <c r="L2019">
        <v>286.07389999999998</v>
      </c>
      <c r="M2019">
        <v>-0.99987910000000002</v>
      </c>
      <c r="N2019">
        <v>0</v>
      </c>
      <c r="O2019">
        <v>4.414014E-3</v>
      </c>
      <c r="P2019">
        <v>-0.99434750000000005</v>
      </c>
      <c r="Q2019">
        <v>-3.4680929999999999E-2</v>
      </c>
      <c r="R2019">
        <v>0.10035189999999999</v>
      </c>
      <c r="S2019">
        <v>-3.0192570000000001</v>
      </c>
      <c r="T2019">
        <v>-0.10533629999999999</v>
      </c>
      <c r="U2019">
        <v>-5.5908199999999998E-2</v>
      </c>
      <c r="V2019">
        <v>9.596317E-2</v>
      </c>
      <c r="W2019">
        <v>-1.9834319999999999E-2</v>
      </c>
      <c r="X2019">
        <v>0.9951873</v>
      </c>
      <c r="Y2019">
        <v>-2.2910980000000001E-2</v>
      </c>
      <c r="Z2019">
        <v>-5.5346029999999997E-4</v>
      </c>
      <c r="AA2019">
        <v>0.9997374</v>
      </c>
      <c r="AB2019">
        <v>38</v>
      </c>
      <c r="AC2019">
        <v>-31.506399999999999</v>
      </c>
      <c r="AD2019">
        <v>-1.1099174683519999</v>
      </c>
      <c r="AE2019">
        <v>-0.59039999999998805</v>
      </c>
      <c r="AF2019">
        <v>-0.72857552827726002</v>
      </c>
      <c r="AG2019">
        <v>-1.1099174683519999</v>
      </c>
      <c r="AH2019">
        <v>31.464451919862299</v>
      </c>
      <c r="AI2019">
        <v>92.019746226869898</v>
      </c>
      <c r="AJ2019">
        <v>91.326476130684597</v>
      </c>
      <c r="AK2019">
        <v>31.4924510590123</v>
      </c>
      <c r="AL2019">
        <v>91.136497297737705</v>
      </c>
      <c r="AM2019">
        <v>84.492154725870293</v>
      </c>
      <c r="AN2019">
        <v>1.0000000461637899</v>
      </c>
    </row>
    <row r="2020" spans="1:40" x14ac:dyDescent="0.25">
      <c r="A2020" t="str">
        <f>"20190312161306432"</f>
        <v>20190312161306432</v>
      </c>
      <c r="B2020" t="str">
        <f>"1552378386428110"</f>
        <v>1552378386428110</v>
      </c>
      <c r="C2020" t="s">
        <v>40</v>
      </c>
      <c r="D2020">
        <v>5.227252</v>
      </c>
      <c r="E2020">
        <v>0.45472950000000001</v>
      </c>
      <c r="F2020" t="s">
        <v>74</v>
      </c>
      <c r="G2020">
        <v>-422.02350000000001</v>
      </c>
      <c r="H2020" s="1">
        <v>3.5320499999999999E-6</v>
      </c>
      <c r="I2020">
        <v>285.45839999999998</v>
      </c>
      <c r="J2020">
        <v>-390.73450000000003</v>
      </c>
      <c r="K2020">
        <v>1.1099159999999999</v>
      </c>
      <c r="L2020">
        <v>286.07479999999998</v>
      </c>
      <c r="M2020">
        <v>-0.99987919999999997</v>
      </c>
      <c r="N2020">
        <v>0</v>
      </c>
      <c r="O2020">
        <v>4.3949409999999899E-3</v>
      </c>
      <c r="P2020">
        <v>-0.99435439999999997</v>
      </c>
      <c r="Q2020">
        <v>-3.477707E-2</v>
      </c>
      <c r="R2020">
        <v>0.10024909999999999</v>
      </c>
      <c r="S2020">
        <v>-3.0192570000000001</v>
      </c>
      <c r="T2020">
        <v>-0.1063293</v>
      </c>
      <c r="U2020">
        <v>-5.8959959999999999E-2</v>
      </c>
      <c r="V2020">
        <v>9.5878989999999997E-2</v>
      </c>
      <c r="W2020">
        <v>-1.993412E-2</v>
      </c>
      <c r="X2020">
        <v>0.99519340000000001</v>
      </c>
      <c r="Y2020">
        <v>-2.3901120000000001E-2</v>
      </c>
      <c r="Z2020">
        <v>-5.7542569999999998E-4</v>
      </c>
      <c r="AA2020">
        <v>0.99971410000000005</v>
      </c>
      <c r="AB2020">
        <v>38</v>
      </c>
      <c r="AC2020">
        <v>-31.288999999999898</v>
      </c>
      <c r="AD2020">
        <v>-1.1099124679500001</v>
      </c>
      <c r="AE2020">
        <v>-0.61639999999999795</v>
      </c>
      <c r="AF2020">
        <v>-0.75297551653372996</v>
      </c>
      <c r="AG2020">
        <v>-1.1099124679500001</v>
      </c>
      <c r="AH2020">
        <v>31.246685060931501</v>
      </c>
      <c r="AI2020">
        <v>92.033756252453202</v>
      </c>
      <c r="AJ2020">
        <v>91.380433509837502</v>
      </c>
      <c r="AK2020">
        <v>31.275456912922198</v>
      </c>
      <c r="AL2020">
        <v>91.142216569338601</v>
      </c>
      <c r="AM2020">
        <v>84.496990123205904</v>
      </c>
      <c r="AN2020">
        <v>1.00000002663357</v>
      </c>
    </row>
    <row r="2021" spans="1:40" x14ac:dyDescent="0.25">
      <c r="A2021" t="str">
        <f>"20190312161306444"</f>
        <v>20190312161306444</v>
      </c>
      <c r="B2021" t="str">
        <f>"1552378386437871"</f>
        <v>1552378386437871</v>
      </c>
      <c r="C2021" t="s">
        <v>40</v>
      </c>
      <c r="D2021">
        <v>5.2459899999999999</v>
      </c>
      <c r="E2021">
        <v>0.45497169999999998</v>
      </c>
      <c r="F2021" t="s">
        <v>74</v>
      </c>
      <c r="G2021">
        <v>-421.97500000000002</v>
      </c>
      <c r="H2021" s="1">
        <v>3.5397589999999999E-6</v>
      </c>
      <c r="I2021">
        <v>285.46850000000001</v>
      </c>
      <c r="J2021">
        <v>-390.96269999999998</v>
      </c>
      <c r="K2021">
        <v>1.109912</v>
      </c>
      <c r="L2021">
        <v>286.07580000000002</v>
      </c>
      <c r="M2021">
        <v>-0.99987939999999997</v>
      </c>
      <c r="N2021">
        <v>0</v>
      </c>
      <c r="O2021">
        <v>4.3797469999999998E-3</v>
      </c>
      <c r="P2021">
        <v>-0.99440399999999995</v>
      </c>
      <c r="Q2021">
        <v>-3.4351489999999998E-2</v>
      </c>
      <c r="R2021">
        <v>9.9904599999999996E-2</v>
      </c>
      <c r="S2021">
        <v>-3.0191650000000001</v>
      </c>
      <c r="T2021">
        <v>-0.107264899999999</v>
      </c>
      <c r="U2021">
        <v>-5.859375E-2</v>
      </c>
      <c r="V2021">
        <v>9.5549190000000006E-2</v>
      </c>
      <c r="W2021">
        <v>-1.9511710000000002E-2</v>
      </c>
      <c r="X2021">
        <v>0.99523349999999999</v>
      </c>
      <c r="Y2021">
        <v>-2.3765089999999999E-2</v>
      </c>
      <c r="Z2021">
        <v>-5.7754859999999998E-4</v>
      </c>
      <c r="AA2021">
        <v>0.99971739999999998</v>
      </c>
      <c r="AB2021">
        <v>38</v>
      </c>
      <c r="AC2021">
        <v>-31.0123</v>
      </c>
      <c r="AD2021">
        <v>-1.1099084602410001</v>
      </c>
      <c r="AE2021">
        <v>-0.60730000000000905</v>
      </c>
      <c r="AF2021">
        <v>-0.74218500034551604</v>
      </c>
      <c r="AG2021">
        <v>-1.1099084602410001</v>
      </c>
      <c r="AH2021">
        <v>30.969689314852001</v>
      </c>
      <c r="AI2021">
        <v>92.0519300152624</v>
      </c>
      <c r="AJ2021">
        <v>91.372823917077</v>
      </c>
      <c r="AK2021">
        <v>30.9984578910518</v>
      </c>
      <c r="AL2021">
        <v>91.118009539312098</v>
      </c>
      <c r="AM2021">
        <v>84.516023136572898</v>
      </c>
      <c r="AN2021">
        <v>1.0000000370295099</v>
      </c>
    </row>
    <row r="2022" spans="1:40" x14ac:dyDescent="0.25">
      <c r="A2022" t="str">
        <f>"20190312161306457"</f>
        <v>20190312161306457</v>
      </c>
      <c r="B2022" t="str">
        <f>"1552378386447631"</f>
        <v>1552378386447631</v>
      </c>
      <c r="C2022" t="s">
        <v>40</v>
      </c>
      <c r="D2022">
        <v>5.2507650000000003</v>
      </c>
      <c r="E2022">
        <v>0.4550768</v>
      </c>
      <c r="F2022" t="s">
        <v>74</v>
      </c>
      <c r="G2022">
        <v>-422.72280000000001</v>
      </c>
      <c r="H2022" s="1">
        <v>3.4072670000000001E-6</v>
      </c>
      <c r="I2022">
        <v>285.46679999999998</v>
      </c>
      <c r="J2022">
        <v>-391.16160000000002</v>
      </c>
      <c r="K2022">
        <v>1.1099129999999999</v>
      </c>
      <c r="L2022">
        <v>286.07670000000002</v>
      </c>
      <c r="M2022">
        <v>-0.99987939999999997</v>
      </c>
      <c r="N2022">
        <v>0</v>
      </c>
      <c r="O2022">
        <v>4.369777E-3</v>
      </c>
      <c r="P2022">
        <v>-0.99443040000000005</v>
      </c>
      <c r="Q2022">
        <v>-3.4209419999999997E-2</v>
      </c>
      <c r="R2022">
        <v>9.9691160000000001E-2</v>
      </c>
      <c r="S2022">
        <v>-3.0190429999999999</v>
      </c>
      <c r="T2022">
        <v>-0.10550519999999999</v>
      </c>
      <c r="U2022">
        <v>-5.7891850000000002E-2</v>
      </c>
      <c r="V2022">
        <v>9.5345490000000005E-2</v>
      </c>
      <c r="W2022">
        <v>-1.9372540000000001E-2</v>
      </c>
      <c r="X2022">
        <v>0.99525569999999997</v>
      </c>
      <c r="Y2022">
        <v>-2.352429E-2</v>
      </c>
      <c r="Z2022">
        <v>-5.6354989999999998E-4</v>
      </c>
      <c r="AA2022">
        <v>0.99972309999999998</v>
      </c>
      <c r="AB2022">
        <v>38</v>
      </c>
      <c r="AC2022">
        <v>-31.5611999999999</v>
      </c>
      <c r="AD2022">
        <v>-1.1099095927329901</v>
      </c>
      <c r="AE2022">
        <v>-0.60990000000003797</v>
      </c>
      <c r="AF2022">
        <v>-0.74690154244513496</v>
      </c>
      <c r="AG2022">
        <v>-1.1099095927329901</v>
      </c>
      <c r="AH2022">
        <v>31.519267507547699</v>
      </c>
      <c r="AI2022">
        <v>92.016196740984697</v>
      </c>
      <c r="AJ2022">
        <v>91.357464879468097</v>
      </c>
      <c r="AK2022">
        <v>31.547646274017001</v>
      </c>
      <c r="AL2022">
        <v>91.110034238393396</v>
      </c>
      <c r="AM2022">
        <v>84.527764629815195</v>
      </c>
      <c r="AN2022">
        <v>0.99999998307593996</v>
      </c>
    </row>
    <row r="2023" spans="1:40" x14ac:dyDescent="0.25">
      <c r="A2023" t="str">
        <f>"20190312161306471"</f>
        <v>20190312161306471</v>
      </c>
      <c r="B2023" t="str">
        <f>"1552378386457391"</f>
        <v>1552378386457391</v>
      </c>
      <c r="C2023" t="s">
        <v>40</v>
      </c>
      <c r="D2023">
        <v>5.2409520000000001</v>
      </c>
      <c r="E2023">
        <v>0.4552464</v>
      </c>
      <c r="F2023" t="s">
        <v>74</v>
      </c>
      <c r="G2023">
        <v>-422.70530000000002</v>
      </c>
      <c r="H2023" s="1">
        <v>3.4097729999999998E-6</v>
      </c>
      <c r="I2023">
        <v>285.47370000000001</v>
      </c>
      <c r="J2023">
        <v>-391.37990000000002</v>
      </c>
      <c r="K2023">
        <v>1.109909</v>
      </c>
      <c r="L2023">
        <v>286.07760000000002</v>
      </c>
      <c r="M2023">
        <v>-0.99987950000000003</v>
      </c>
      <c r="N2023">
        <v>0</v>
      </c>
      <c r="O2023">
        <v>4.3608259999999999E-3</v>
      </c>
      <c r="P2023">
        <v>-0.99443300000000001</v>
      </c>
      <c r="Q2023">
        <v>-3.3867349999999997E-2</v>
      </c>
      <c r="R2023">
        <v>9.9781229999999999E-2</v>
      </c>
      <c r="S2023">
        <v>-3.0189509999999999</v>
      </c>
      <c r="T2023">
        <v>-0.1062261</v>
      </c>
      <c r="U2023">
        <v>-5.7708740000000001E-2</v>
      </c>
      <c r="V2023">
        <v>9.5444119999999993E-2</v>
      </c>
      <c r="W2023">
        <v>-1.9033990000000001E-2</v>
      </c>
      <c r="X2023">
        <v>0.99525280000000005</v>
      </c>
      <c r="Y2023">
        <v>-2.3455119999999999E-2</v>
      </c>
      <c r="Z2023">
        <v>-5.6588419999999996E-4</v>
      </c>
      <c r="AA2023">
        <v>0.99972470000000002</v>
      </c>
      <c r="AB2023">
        <v>38</v>
      </c>
      <c r="AC2023">
        <v>-31.325399999999998</v>
      </c>
      <c r="AD2023">
        <v>-1.1099055902269901</v>
      </c>
      <c r="AE2023">
        <v>-0.60390000000000998</v>
      </c>
      <c r="AF2023">
        <v>-0.73958591468350598</v>
      </c>
      <c r="AG2023">
        <v>-1.1099055902269901</v>
      </c>
      <c r="AH2023">
        <v>31.283210229214902</v>
      </c>
      <c r="AI2023">
        <v>92.031393210840605</v>
      </c>
      <c r="AJ2023">
        <v>91.354313031524697</v>
      </c>
      <c r="AK2023">
        <v>31.311629149401799</v>
      </c>
      <c r="AL2023">
        <v>91.090633151048706</v>
      </c>
      <c r="AM2023">
        <v>84.522122434232301</v>
      </c>
      <c r="AN2023">
        <v>1.0000000043628601</v>
      </c>
    </row>
    <row r="2024" spans="1:40" x14ac:dyDescent="0.25">
      <c r="A2024" t="str">
        <f>"20190312161306486"</f>
        <v>20190312161306486</v>
      </c>
      <c r="B2024" t="str">
        <f>"1552378386477887"</f>
        <v>1552378386477887</v>
      </c>
      <c r="C2024" t="s">
        <v>40</v>
      </c>
      <c r="D2024">
        <v>5.2545549999999999</v>
      </c>
      <c r="E2024">
        <v>0.45539550000000001</v>
      </c>
      <c r="F2024" t="s">
        <v>74</v>
      </c>
      <c r="G2024">
        <v>-423.0446</v>
      </c>
      <c r="H2024" s="1">
        <v>3.3482969999999999E-6</v>
      </c>
      <c r="I2024">
        <v>285.48829999999998</v>
      </c>
      <c r="J2024">
        <v>-391.6463</v>
      </c>
      <c r="K2024">
        <v>1.1099060000000001</v>
      </c>
      <c r="L2024">
        <v>286.0788</v>
      </c>
      <c r="M2024">
        <v>-0.99987969999999904</v>
      </c>
      <c r="N2024">
        <v>0</v>
      </c>
      <c r="O2024">
        <v>4.3532010000000001E-3</v>
      </c>
      <c r="P2024">
        <v>-0.99441270000000004</v>
      </c>
      <c r="Q2024">
        <v>-3.3648740000000003E-2</v>
      </c>
      <c r="R2024">
        <v>0.10005799999999999</v>
      </c>
      <c r="S2024">
        <v>-3.0188899999999999</v>
      </c>
      <c r="T2024">
        <v>-0.10581740000000001</v>
      </c>
      <c r="U2024">
        <v>-5.6182860000000001E-2</v>
      </c>
      <c r="V2024">
        <v>9.5728220000000003E-2</v>
      </c>
      <c r="W2024">
        <v>-1.8820010000000002E-2</v>
      </c>
      <c r="X2024">
        <v>0.99522960000000005</v>
      </c>
      <c r="Y2024">
        <v>-2.2943209999999999E-2</v>
      </c>
      <c r="Z2024">
        <v>-5.5448729999999999E-4</v>
      </c>
      <c r="AA2024">
        <v>0.99973659999999998</v>
      </c>
      <c r="AB2024">
        <v>38</v>
      </c>
      <c r="AC2024">
        <v>-31.398299999999999</v>
      </c>
      <c r="AD2024">
        <v>-1.109902651703</v>
      </c>
      <c r="AE2024">
        <v>-0.59050000000002001</v>
      </c>
      <c r="AF2024">
        <v>-0.72628544681899199</v>
      </c>
      <c r="AG2024">
        <v>-1.109902651703</v>
      </c>
      <c r="AH2024">
        <v>31.356263862755299</v>
      </c>
      <c r="AI2024">
        <v>92.026681771979497</v>
      </c>
      <c r="AJ2024">
        <v>91.3268689042864</v>
      </c>
      <c r="AK2024">
        <v>31.384305916767602</v>
      </c>
      <c r="AL2024">
        <v>91.078370785877595</v>
      </c>
      <c r="AM2024">
        <v>84.505789255613607</v>
      </c>
      <c r="AN2024">
        <v>1.0000000207984601</v>
      </c>
    </row>
    <row r="2025" spans="1:40" x14ac:dyDescent="0.25">
      <c r="A2025" t="str">
        <f>"20190312161306502"</f>
        <v>20190312161306502</v>
      </c>
      <c r="B2025" t="str">
        <f>"1552378386497406"</f>
        <v>1552378386497406</v>
      </c>
      <c r="C2025" t="s">
        <v>40</v>
      </c>
      <c r="D2025">
        <v>5.2800219999999998</v>
      </c>
      <c r="E2025">
        <v>0.45559559999999999</v>
      </c>
      <c r="F2025" t="s">
        <v>74</v>
      </c>
      <c r="G2025">
        <v>-423.88619999999997</v>
      </c>
      <c r="H2025" s="1">
        <v>3.1979820000000001E-6</v>
      </c>
      <c r="I2025">
        <v>285.50029999999998</v>
      </c>
      <c r="J2025">
        <v>-391.90300000000002</v>
      </c>
      <c r="K2025">
        <v>1.10991</v>
      </c>
      <c r="L2025">
        <v>286.07990000000001</v>
      </c>
      <c r="M2025">
        <v>-0.99987969999999904</v>
      </c>
      <c r="N2025">
        <v>0</v>
      </c>
      <c r="O2025">
        <v>4.3485939999999999E-3</v>
      </c>
      <c r="P2025">
        <v>-0.99439619999999995</v>
      </c>
      <c r="Q2025">
        <v>-3.3371119999999997E-2</v>
      </c>
      <c r="R2025">
        <v>0.100313899999999</v>
      </c>
      <c r="S2025">
        <v>-3.018799</v>
      </c>
      <c r="T2025">
        <v>-0.1039264</v>
      </c>
      <c r="U2025">
        <v>-5.41687E-2</v>
      </c>
      <c r="V2025">
        <v>9.5988439999999994E-2</v>
      </c>
      <c r="W2025">
        <v>-1.854656E-2</v>
      </c>
      <c r="X2025">
        <v>0.99520960000000003</v>
      </c>
      <c r="Y2025">
        <v>-2.2273339999999999E-2</v>
      </c>
      <c r="Z2025">
        <v>-5.329191E-4</v>
      </c>
      <c r="AA2025">
        <v>0.99975170000000002</v>
      </c>
      <c r="AB2025">
        <v>38</v>
      </c>
      <c r="AC2025">
        <v>-31.983199999999901</v>
      </c>
      <c r="AD2025">
        <v>-1.1099068020179901</v>
      </c>
      <c r="AE2025">
        <v>-0.57960000000002698</v>
      </c>
      <c r="AF2025">
        <v>-0.71782770308702504</v>
      </c>
      <c r="AG2025">
        <v>-1.1099068020179901</v>
      </c>
      <c r="AH2025">
        <v>31.9419222594465</v>
      </c>
      <c r="AI2025">
        <v>91.989591189569893</v>
      </c>
      <c r="AJ2025">
        <v>91.287385769737398</v>
      </c>
      <c r="AK2025">
        <v>31.969259724757599</v>
      </c>
      <c r="AL2025">
        <v>91.062700593457805</v>
      </c>
      <c r="AM2025">
        <v>84.490835955188402</v>
      </c>
      <c r="AN2025">
        <v>0.999999951716812</v>
      </c>
    </row>
    <row r="2026" spans="1:40" x14ac:dyDescent="0.25">
      <c r="A2026" t="str">
        <f>"20190312161306541"</f>
        <v>20190312161306541</v>
      </c>
      <c r="B2026" t="str">
        <f>"1552378386537422"</f>
        <v>1552378386537422</v>
      </c>
      <c r="C2026" t="s">
        <v>40</v>
      </c>
      <c r="D2026">
        <v>5.5066980000000001</v>
      </c>
      <c r="E2026">
        <v>0.45577679999999998</v>
      </c>
      <c r="F2026" t="s">
        <v>74</v>
      </c>
      <c r="G2026">
        <v>-423.78829999999999</v>
      </c>
      <c r="H2026" s="1">
        <v>3.2124930000000002E-6</v>
      </c>
      <c r="I2026">
        <v>285.53289999999998</v>
      </c>
      <c r="J2026">
        <v>-392.5675</v>
      </c>
      <c r="K2026">
        <v>1.109909</v>
      </c>
      <c r="L2026">
        <v>286.08280000000002</v>
      </c>
      <c r="M2026">
        <v>-0.99987979999999999</v>
      </c>
      <c r="N2026">
        <v>0</v>
      </c>
      <c r="O2026">
        <v>4.3445630000000001E-3</v>
      </c>
      <c r="P2026">
        <v>-0.99433910000000003</v>
      </c>
      <c r="Q2026">
        <v>-3.366748E-2</v>
      </c>
      <c r="R2026">
        <v>0.1007783</v>
      </c>
      <c r="S2026">
        <v>-3.0186160000000002</v>
      </c>
      <c r="T2026">
        <v>-0.1050763</v>
      </c>
      <c r="U2026">
        <v>-5.178833E-2</v>
      </c>
      <c r="V2026">
        <v>9.6456790000000001E-2</v>
      </c>
      <c r="W2026">
        <v>-1.8852910000000001E-2</v>
      </c>
      <c r="X2026">
        <v>0.9951586</v>
      </c>
      <c r="Y2026">
        <v>-2.1482399999999999E-2</v>
      </c>
      <c r="Z2026">
        <v>-5.2494710000000003E-4</v>
      </c>
      <c r="AA2026">
        <v>0.99976909999999997</v>
      </c>
      <c r="AB2026">
        <v>37</v>
      </c>
      <c r="AC2026">
        <v>-31.220800000000001</v>
      </c>
      <c r="AD2026">
        <v>-1.109905787507</v>
      </c>
      <c r="AE2026">
        <v>-0.54990000000003603</v>
      </c>
      <c r="AF2026">
        <v>-0.68468551819419399</v>
      </c>
      <c r="AG2026">
        <v>-1.109905787507</v>
      </c>
      <c r="AH2026">
        <v>31.178723964088899</v>
      </c>
      <c r="AI2026">
        <v>92.038273497006699</v>
      </c>
      <c r="AJ2026">
        <v>91.258014481124206</v>
      </c>
      <c r="AK2026">
        <v>31.205985213494198</v>
      </c>
      <c r="AL2026">
        <v>91.080256182761403</v>
      </c>
      <c r="AM2026">
        <v>84.4638400953109</v>
      </c>
      <c r="AN2026">
        <v>0.99999999185326605</v>
      </c>
    </row>
    <row r="2027" spans="1:40" x14ac:dyDescent="0.25">
      <c r="A2027" t="str">
        <f>"20190312161306563"</f>
        <v>20190312161306563</v>
      </c>
      <c r="B2027" t="str">
        <f>"1552378386557922"</f>
        <v>1552378386557922</v>
      </c>
      <c r="C2027" t="s">
        <v>40</v>
      </c>
      <c r="D2027">
        <v>5.4151109999999996</v>
      </c>
      <c r="E2027">
        <v>0.40623730000000002</v>
      </c>
      <c r="F2027" t="s">
        <v>74</v>
      </c>
      <c r="G2027">
        <v>-424.16309999999999</v>
      </c>
      <c r="H2027" s="1">
        <v>3.1426350000000001E-6</v>
      </c>
      <c r="I2027">
        <v>285.57139999999998</v>
      </c>
      <c r="J2027">
        <v>-392.94749999999999</v>
      </c>
      <c r="K2027">
        <v>1.1099030000000001</v>
      </c>
      <c r="L2027">
        <v>286.08449999999999</v>
      </c>
      <c r="M2027">
        <v>-0.99987979999999999</v>
      </c>
      <c r="N2027">
        <v>0</v>
      </c>
      <c r="O2027">
        <v>4.3452999999999999E-3</v>
      </c>
      <c r="P2027">
        <v>-0.99434160000000005</v>
      </c>
      <c r="Q2027">
        <v>-3.3449340000000001E-2</v>
      </c>
      <c r="R2027">
        <v>0.10082820000000001</v>
      </c>
      <c r="S2027">
        <v>-3.0183719999999998</v>
      </c>
      <c r="T2027">
        <v>-0.1060306</v>
      </c>
      <c r="U2027">
        <v>-4.8858640000000002E-2</v>
      </c>
      <c r="V2027">
        <v>9.650591E-2</v>
      </c>
      <c r="W2027">
        <v>-1.8639579999999999E-2</v>
      </c>
      <c r="X2027">
        <v>0.99515779999999998</v>
      </c>
      <c r="Y2027">
        <v>-2.0514689999999999E-2</v>
      </c>
      <c r="Z2027">
        <v>-5.1279379999999897E-4</v>
      </c>
      <c r="AA2027">
        <v>0.99978940000000005</v>
      </c>
      <c r="AB2027">
        <v>37</v>
      </c>
      <c r="AC2027">
        <v>-31.215599999999899</v>
      </c>
      <c r="AD2027">
        <v>-1.1098998573649901</v>
      </c>
      <c r="AE2027">
        <v>-0.51310000000000799</v>
      </c>
      <c r="AF2027">
        <v>-0.64793241571523696</v>
      </c>
      <c r="AG2027">
        <v>-1.1098998573649901</v>
      </c>
      <c r="AH2027">
        <v>31.173675531723301</v>
      </c>
      <c r="AI2027">
        <v>92.038643571096102</v>
      </c>
      <c r="AJ2027">
        <v>91.190698490327307</v>
      </c>
      <c r="AK2027">
        <v>31.200156093614002</v>
      </c>
      <c r="AL2027">
        <v>91.068031185653595</v>
      </c>
      <c r="AM2027">
        <v>84.461033944473698</v>
      </c>
      <c r="AN2027">
        <v>0.99999993575417001</v>
      </c>
    </row>
    <row r="2028" spans="1:40" x14ac:dyDescent="0.25">
      <c r="A2028" t="str">
        <f>"20190312161306576"</f>
        <v>20190312161306576</v>
      </c>
      <c r="B2028" t="str">
        <f>"1552378386567679"</f>
        <v>1552378386567679</v>
      </c>
      <c r="C2028" t="s">
        <v>40</v>
      </c>
      <c r="D2028">
        <v>5.4553789999999998</v>
      </c>
      <c r="E2028">
        <v>0.40593200000000002</v>
      </c>
      <c r="F2028" t="s">
        <v>74</v>
      </c>
      <c r="G2028">
        <v>-437.82319999999999</v>
      </c>
      <c r="H2028">
        <v>1.2330430000000001E-3</v>
      </c>
      <c r="I2028">
        <v>279.61630000000002</v>
      </c>
      <c r="J2028">
        <v>-393.16070000000002</v>
      </c>
      <c r="K2028">
        <v>1.109904</v>
      </c>
      <c r="L2028">
        <v>286.08539999999999</v>
      </c>
      <c r="M2028">
        <v>-0.99987999999999999</v>
      </c>
      <c r="N2028">
        <v>0</v>
      </c>
      <c r="O2028">
        <v>4.3457000000000001E-3</v>
      </c>
      <c r="P2028">
        <v>-0.99439319999999998</v>
      </c>
      <c r="Q2028">
        <v>-3.3313290000000002E-2</v>
      </c>
      <c r="R2028">
        <v>0.10036349999999999</v>
      </c>
      <c r="S2028">
        <v>-3.0592649999999999</v>
      </c>
      <c r="T2028">
        <v>-7.5580359999999999E-2</v>
      </c>
      <c r="U2028">
        <v>-0.44094850000000002</v>
      </c>
      <c r="V2028">
        <v>9.6040529999999999E-2</v>
      </c>
      <c r="W2028">
        <v>-1.850545E-2</v>
      </c>
      <c r="X2028">
        <v>0.99520540000000002</v>
      </c>
      <c r="Y2028">
        <v>-0.146916299999999</v>
      </c>
      <c r="Z2028">
        <v>-1.912027E-3</v>
      </c>
      <c r="AA2028">
        <v>0.98914709999999995</v>
      </c>
      <c r="AB2028">
        <v>37</v>
      </c>
      <c r="AC2028">
        <v>-44.662499999999902</v>
      </c>
      <c r="AD2028">
        <v>-1.108670957</v>
      </c>
      <c r="AE2028">
        <v>-6.4690999999999601</v>
      </c>
      <c r="AF2028">
        <v>-6.65913117221913</v>
      </c>
      <c r="AG2028">
        <v>-1.108670957</v>
      </c>
      <c r="AH2028">
        <v>44.607040410966597</v>
      </c>
      <c r="AI2028">
        <v>91.408147911149698</v>
      </c>
      <c r="AJ2028">
        <v>98.490657625626199</v>
      </c>
      <c r="AK2028">
        <v>45.1149779284587</v>
      </c>
      <c r="AL2028">
        <v>91.060344695995198</v>
      </c>
      <c r="AM2028">
        <v>84.487841588466296</v>
      </c>
      <c r="AN2028">
        <v>1.0000000116357699</v>
      </c>
    </row>
    <row r="2029" spans="1:40" x14ac:dyDescent="0.25">
      <c r="A2029" t="str">
        <f>"20190312161306590"</f>
        <v>20190312161306590</v>
      </c>
      <c r="B2029" t="str">
        <f>"1552378386588175"</f>
        <v>1552378386588175</v>
      </c>
      <c r="C2029" t="s">
        <v>40</v>
      </c>
      <c r="D2029">
        <v>5.4124339999999904</v>
      </c>
      <c r="E2029">
        <v>0.40616350000000001</v>
      </c>
      <c r="F2029" t="s">
        <v>74</v>
      </c>
      <c r="G2029">
        <v>-433.43650000000002</v>
      </c>
      <c r="H2029" s="1">
        <v>4.1249409999999997E-6</v>
      </c>
      <c r="I2029">
        <v>280.22399999999999</v>
      </c>
      <c r="J2029">
        <v>-393.39150000000001</v>
      </c>
      <c r="K2029">
        <v>1.1099049999999999</v>
      </c>
      <c r="L2029">
        <v>286.08640000000003</v>
      </c>
      <c r="M2029">
        <v>-0.99987999999999999</v>
      </c>
      <c r="N2029">
        <v>0</v>
      </c>
      <c r="O2029">
        <v>4.3461020000000001E-3</v>
      </c>
      <c r="P2029">
        <v>-0.99440779999999995</v>
      </c>
      <c r="Q2029">
        <v>-3.3156480000000002E-2</v>
      </c>
      <c r="R2029">
        <v>0.1002714</v>
      </c>
      <c r="S2029">
        <v>-3.059021</v>
      </c>
      <c r="T2029">
        <v>-8.4298970000000001E-2</v>
      </c>
      <c r="U2029">
        <v>-0.44519039999999999</v>
      </c>
      <c r="V2029">
        <v>9.5947850000000001E-2</v>
      </c>
      <c r="W2029">
        <v>-1.8351320000000001E-2</v>
      </c>
      <c r="X2029">
        <v>0.99521720000000002</v>
      </c>
      <c r="Y2029">
        <v>-0.14825969999999999</v>
      </c>
      <c r="Z2029">
        <v>-2.150889E-3</v>
      </c>
      <c r="AA2029">
        <v>0.98894610000000005</v>
      </c>
      <c r="AB2029">
        <v>37</v>
      </c>
      <c r="AC2029">
        <v>-40.045000000000002</v>
      </c>
      <c r="AD2029">
        <v>-1.10990087505899</v>
      </c>
      <c r="AE2029">
        <v>-5.8624000000000303</v>
      </c>
      <c r="AF2029">
        <v>-6.0318670882221603</v>
      </c>
      <c r="AG2029">
        <v>-1.10990087505899</v>
      </c>
      <c r="AH2029">
        <v>39.989065441788497</v>
      </c>
      <c r="AI2029">
        <v>91.572068205160406</v>
      </c>
      <c r="AJ2029">
        <v>98.5777121568577</v>
      </c>
      <c r="AK2029">
        <v>40.456651559787801</v>
      </c>
      <c r="AL2029">
        <v>91.051512190969106</v>
      </c>
      <c r="AM2029">
        <v>84.493193050483995</v>
      </c>
      <c r="AN2029">
        <v>1.0000000180205999</v>
      </c>
    </row>
    <row r="2030" spans="1:40" x14ac:dyDescent="0.25">
      <c r="A2030" t="str">
        <f>"20190312161306603"</f>
        <v>20190312161306603</v>
      </c>
      <c r="B2030" t="str">
        <f>"1552378386597935"</f>
        <v>1552378386597935</v>
      </c>
      <c r="C2030" t="s">
        <v>40</v>
      </c>
      <c r="D2030">
        <v>5.4502350000000002</v>
      </c>
      <c r="E2030">
        <v>0.40615630000000003</v>
      </c>
      <c r="F2030" t="s">
        <v>74</v>
      </c>
      <c r="G2030">
        <v>-428.49290000000002</v>
      </c>
      <c r="H2030" s="1">
        <v>2.7750289999999999E-6</v>
      </c>
      <c r="I2030">
        <v>280.99099999999999</v>
      </c>
      <c r="J2030">
        <v>-393.62150000000003</v>
      </c>
      <c r="K2030">
        <v>1.109904</v>
      </c>
      <c r="L2030">
        <v>286.0874</v>
      </c>
      <c r="M2030">
        <v>-0.99987999999999999</v>
      </c>
      <c r="N2030">
        <v>0</v>
      </c>
      <c r="O2030">
        <v>4.3466199999999998E-3</v>
      </c>
      <c r="P2030">
        <v>-0.99441199999999996</v>
      </c>
      <c r="Q2030">
        <v>-3.2966200000000001E-2</v>
      </c>
      <c r="R2030">
        <v>0.1002903</v>
      </c>
      <c r="S2030">
        <v>-3.0584410000000002</v>
      </c>
      <c r="T2030">
        <v>-9.6707459999999995E-2</v>
      </c>
      <c r="U2030">
        <v>-0.44396970000000002</v>
      </c>
      <c r="V2030">
        <v>9.5966170000000003E-2</v>
      </c>
      <c r="W2030">
        <v>-1.816388E-2</v>
      </c>
      <c r="X2030">
        <v>0.99521890000000002</v>
      </c>
      <c r="Y2030">
        <v>-0.1478826</v>
      </c>
      <c r="Z2030">
        <v>-2.4619669999999998E-3</v>
      </c>
      <c r="AA2030">
        <v>0.98900189999999999</v>
      </c>
      <c r="AB2030">
        <v>37</v>
      </c>
      <c r="AC2030">
        <v>-34.871399999999902</v>
      </c>
      <c r="AD2030">
        <v>-1.1099012249709901</v>
      </c>
      <c r="AE2030">
        <v>-5.0964000000000098</v>
      </c>
      <c r="AF2030">
        <v>-5.2427412523094699</v>
      </c>
      <c r="AG2030">
        <v>-1.1099012249709901</v>
      </c>
      <c r="AH2030">
        <v>34.814384876785198</v>
      </c>
      <c r="AI2030">
        <v>91.805656060051405</v>
      </c>
      <c r="AJ2030">
        <v>98.563892642706804</v>
      </c>
      <c r="AK2030">
        <v>35.2244178222549</v>
      </c>
      <c r="AL2030">
        <v>91.040770851104796</v>
      </c>
      <c r="AM2030">
        <v>84.492157412539697</v>
      </c>
      <c r="AN2030">
        <v>1.00000004561916</v>
      </c>
    </row>
    <row r="2031" spans="1:40" x14ac:dyDescent="0.25">
      <c r="A2031" t="str">
        <f>"20190312161306619"</f>
        <v>20190312161306619</v>
      </c>
      <c r="B2031" t="str">
        <f>"1552378386607694"</f>
        <v>1552378386607694</v>
      </c>
      <c r="C2031" t="s">
        <v>40</v>
      </c>
      <c r="D2031">
        <v>5.4305110000000001</v>
      </c>
      <c r="E2031">
        <v>0.40638170000000001</v>
      </c>
      <c r="F2031" t="s">
        <v>74</v>
      </c>
      <c r="G2031">
        <v>-428.44319999999999</v>
      </c>
      <c r="H2031" s="1">
        <v>2.7802780000000001E-6</v>
      </c>
      <c r="I2031">
        <v>281.03190000000001</v>
      </c>
      <c r="J2031">
        <v>-393.86720000000003</v>
      </c>
      <c r="K2031">
        <v>1.109904</v>
      </c>
      <c r="L2031">
        <v>286.08850000000001</v>
      </c>
      <c r="M2031">
        <v>-0.99987999999999999</v>
      </c>
      <c r="N2031">
        <v>0</v>
      </c>
      <c r="O2031">
        <v>4.3466620000000003E-3</v>
      </c>
      <c r="P2031">
        <v>-0.99437520000000001</v>
      </c>
      <c r="Q2031">
        <v>-3.3608180000000001E-2</v>
      </c>
      <c r="R2031">
        <v>0.10044260000000001</v>
      </c>
      <c r="S2031">
        <v>-3.058411</v>
      </c>
      <c r="T2031">
        <v>-9.7483280000000005E-2</v>
      </c>
      <c r="U2031">
        <v>-0.4440308</v>
      </c>
      <c r="V2031">
        <v>9.6118670000000003E-2</v>
      </c>
      <c r="W2031">
        <v>-1.8809380000000001E-2</v>
      </c>
      <c r="X2031">
        <v>0.99519219999999997</v>
      </c>
      <c r="Y2031">
        <v>-0.14790210000000001</v>
      </c>
      <c r="Z2031">
        <v>-2.4820390000000001E-3</v>
      </c>
      <c r="AA2031">
        <v>0.98899890000000001</v>
      </c>
      <c r="AB2031">
        <v>37</v>
      </c>
      <c r="AC2031">
        <v>-34.575999999999901</v>
      </c>
      <c r="AD2031">
        <v>-1.109901219722</v>
      </c>
      <c r="AE2031">
        <v>-5.0566000000000004</v>
      </c>
      <c r="AF2031">
        <v>-5.2016113548082501</v>
      </c>
      <c r="AG2031">
        <v>-1.109901219722</v>
      </c>
      <c r="AH2031">
        <v>34.518867026513902</v>
      </c>
      <c r="AI2031">
        <v>91.821077814173606</v>
      </c>
      <c r="AJ2031">
        <v>98.569366243557297</v>
      </c>
      <c r="AK2031">
        <v>34.926219695211202</v>
      </c>
      <c r="AL2031">
        <v>91.077761588978504</v>
      </c>
      <c r="AM2031">
        <v>84.483311749608106</v>
      </c>
      <c r="AN2031">
        <v>1.00000005321969</v>
      </c>
    </row>
    <row r="2032" spans="1:40" x14ac:dyDescent="0.25">
      <c r="A2032" t="str">
        <f>"20190312161306641"</f>
        <v>20190312161306641</v>
      </c>
      <c r="B2032" t="str">
        <f>"1552378386637951"</f>
        <v>1552378386637951</v>
      </c>
      <c r="C2032" t="s">
        <v>40</v>
      </c>
      <c r="D2032">
        <v>5.4267469999999998</v>
      </c>
      <c r="E2032">
        <v>0.4067191</v>
      </c>
      <c r="F2032" t="s">
        <v>74</v>
      </c>
      <c r="G2032">
        <v>-426.36779999999999</v>
      </c>
      <c r="H2032" s="1">
        <v>3.1171269999999999E-6</v>
      </c>
      <c r="I2032">
        <v>281.38990000000001</v>
      </c>
      <c r="J2032">
        <v>-394.24430000000001</v>
      </c>
      <c r="K2032">
        <v>1.109904</v>
      </c>
      <c r="L2032">
        <v>286.09010000000001</v>
      </c>
      <c r="M2032">
        <v>-0.99987999999999999</v>
      </c>
      <c r="N2032">
        <v>0</v>
      </c>
      <c r="O2032">
        <v>4.3465420000000001E-3</v>
      </c>
      <c r="P2032">
        <v>-0.99431510000000001</v>
      </c>
      <c r="Q2032">
        <v>-3.4381620000000002E-2</v>
      </c>
      <c r="R2032">
        <v>0.1007738</v>
      </c>
      <c r="S2032">
        <v>-3.0581049999999999</v>
      </c>
      <c r="T2032">
        <v>-0.104435</v>
      </c>
      <c r="U2032">
        <v>-0.44210820000000001</v>
      </c>
      <c r="V2032">
        <v>9.6449969999999996E-2</v>
      </c>
      <c r="W2032">
        <v>-1.9588270000000001E-2</v>
      </c>
      <c r="X2032">
        <v>0.9951451</v>
      </c>
      <c r="Y2032">
        <v>-0.14729619999999999</v>
      </c>
      <c r="Z2032">
        <v>-2.649027E-3</v>
      </c>
      <c r="AA2032">
        <v>0.98908890000000005</v>
      </c>
      <c r="AB2032">
        <v>37</v>
      </c>
      <c r="AC2032">
        <v>-32.1234999999999</v>
      </c>
      <c r="AD2032">
        <v>-1.1099008828729999</v>
      </c>
      <c r="AE2032">
        <v>-4.7001999999999899</v>
      </c>
      <c r="AF2032">
        <v>-4.83414724053047</v>
      </c>
      <c r="AG2032">
        <v>-1.1099008828729999</v>
      </c>
      <c r="AH2032">
        <v>32.065288169310698</v>
      </c>
      <c r="AI2032">
        <v>91.960297622836094</v>
      </c>
      <c r="AJ2032">
        <v>98.573320186543</v>
      </c>
      <c r="AK2032">
        <v>32.446626402352898</v>
      </c>
      <c r="AL2032">
        <v>91.12239694646</v>
      </c>
      <c r="AM2032">
        <v>84.464154468234696</v>
      </c>
      <c r="AN2032">
        <v>1.0000000335443</v>
      </c>
    </row>
    <row r="2033" spans="1:40" x14ac:dyDescent="0.25">
      <c r="A2033" t="str">
        <f>"20190312161306655"</f>
        <v>20190312161306655</v>
      </c>
      <c r="B2033" t="str">
        <f>"1552378386647710"</f>
        <v>1552378386647710</v>
      </c>
      <c r="C2033" t="s">
        <v>40</v>
      </c>
      <c r="D2033">
        <v>5.4323949999999996</v>
      </c>
      <c r="E2033">
        <v>0.40664889999999998</v>
      </c>
      <c r="F2033" t="s">
        <v>74</v>
      </c>
      <c r="G2033">
        <v>-423.07530000000003</v>
      </c>
      <c r="H2033" s="1">
        <v>3.651889E-6</v>
      </c>
      <c r="I2033">
        <v>281.95350000000002</v>
      </c>
      <c r="J2033">
        <v>-394.46710000000002</v>
      </c>
      <c r="K2033">
        <v>1.109907</v>
      </c>
      <c r="L2033">
        <v>286.09100000000001</v>
      </c>
      <c r="M2033">
        <v>-0.99988010000000005</v>
      </c>
      <c r="N2033">
        <v>0</v>
      </c>
      <c r="O2033">
        <v>4.3462759999999996E-3</v>
      </c>
      <c r="P2033">
        <v>-0.99427169999999998</v>
      </c>
      <c r="Q2033">
        <v>-3.448652E-2</v>
      </c>
      <c r="R2033">
        <v>0.1011673</v>
      </c>
      <c r="S2033">
        <v>-3.0575559999999999</v>
      </c>
      <c r="T2033">
        <v>-0.1177059</v>
      </c>
      <c r="U2033">
        <v>-0.43869019999999997</v>
      </c>
      <c r="V2033">
        <v>9.6844009999999994E-2</v>
      </c>
      <c r="W2033">
        <v>-1.9696499999999999E-2</v>
      </c>
      <c r="X2033">
        <v>0.99510469999999895</v>
      </c>
      <c r="Y2033">
        <v>-0.14621509999999999</v>
      </c>
      <c r="Z2033">
        <v>-2.9654799999999999E-3</v>
      </c>
      <c r="AA2033">
        <v>0.98924840000000003</v>
      </c>
      <c r="AB2033">
        <v>37</v>
      </c>
      <c r="AC2033">
        <v>-28.6082</v>
      </c>
      <c r="AD2033">
        <v>-1.1099033481110001</v>
      </c>
      <c r="AE2033">
        <v>-4.1374999999999797</v>
      </c>
      <c r="AF2033">
        <v>-4.2555396499913796</v>
      </c>
      <c r="AG2033">
        <v>-1.1099033481110001</v>
      </c>
      <c r="AH2033">
        <v>28.5478556615309</v>
      </c>
      <c r="AI2033">
        <v>92.202155540870507</v>
      </c>
      <c r="AJ2033">
        <v>98.4784708502835</v>
      </c>
      <c r="AK2033">
        <v>28.884625080246401</v>
      </c>
      <c r="AL2033">
        <v>91.128599258732507</v>
      </c>
      <c r="AM2033">
        <v>84.4414552331002</v>
      </c>
      <c r="AN2033">
        <v>1.0000000391735999</v>
      </c>
    </row>
    <row r="2034" spans="1:40" x14ac:dyDescent="0.25">
      <c r="A2034" t="str">
        <f>"20190312161306667"</f>
        <v>20190312161306667</v>
      </c>
      <c r="B2034" t="str">
        <f>"1552378386657470"</f>
        <v>1552378386657470</v>
      </c>
      <c r="C2034" t="s">
        <v>40</v>
      </c>
      <c r="D2034">
        <v>5.4039859999999997</v>
      </c>
      <c r="E2034">
        <v>0.40653430000000002</v>
      </c>
      <c r="F2034" t="s">
        <v>74</v>
      </c>
      <c r="G2034">
        <v>-423.44349999999997</v>
      </c>
      <c r="H2034" s="1">
        <v>3.587833E-6</v>
      </c>
      <c r="I2034">
        <v>281.9391</v>
      </c>
      <c r="J2034">
        <v>-394.678</v>
      </c>
      <c r="K2034">
        <v>1.109909</v>
      </c>
      <c r="L2034">
        <v>286.09190000000001</v>
      </c>
      <c r="M2034">
        <v>-0.99988010000000005</v>
      </c>
      <c r="N2034">
        <v>0</v>
      </c>
      <c r="O2034">
        <v>4.346127E-3</v>
      </c>
      <c r="P2034">
        <v>-0.99424889999999999</v>
      </c>
      <c r="Q2034">
        <v>-3.4573180000000002E-2</v>
      </c>
      <c r="R2034">
        <v>0.1013598</v>
      </c>
      <c r="S2034">
        <v>-3.0577999999999999</v>
      </c>
      <c r="T2034">
        <v>-0.1171252</v>
      </c>
      <c r="U2034">
        <v>-0.4381409</v>
      </c>
      <c r="V2034">
        <v>9.7036609999999995E-2</v>
      </c>
      <c r="W2034">
        <v>-1.9786060000000001E-2</v>
      </c>
      <c r="X2034">
        <v>0.99508410000000003</v>
      </c>
      <c r="Y2034">
        <v>-0.14603089999999999</v>
      </c>
      <c r="Z2034">
        <v>-2.947149E-3</v>
      </c>
      <c r="AA2034">
        <v>0.98927560000000003</v>
      </c>
      <c r="AB2034">
        <v>37</v>
      </c>
      <c r="AC2034">
        <v>-28.7654999999999</v>
      </c>
      <c r="AD2034">
        <v>-1.109905412167</v>
      </c>
      <c r="AE2034">
        <v>-4.1528000000000098</v>
      </c>
      <c r="AF2034">
        <v>-4.2715635502362597</v>
      </c>
      <c r="AG2034">
        <v>-1.109905412167</v>
      </c>
      <c r="AH2034">
        <v>28.7053145270107</v>
      </c>
      <c r="AI2034">
        <v>92.190174516058903</v>
      </c>
      <c r="AJ2034">
        <v>98.463927257881593</v>
      </c>
      <c r="AK2034">
        <v>29.0426105452364</v>
      </c>
      <c r="AL2034">
        <v>91.133731737013406</v>
      </c>
      <c r="AM2034">
        <v>84.430355456432295</v>
      </c>
      <c r="AN2034">
        <v>0.999999978961712</v>
      </c>
    </row>
    <row r="2035" spans="1:40" x14ac:dyDescent="0.25">
      <c r="A2035" t="str">
        <f>"20190312161306681"</f>
        <v>20190312161306681</v>
      </c>
      <c r="B2035" t="str">
        <f>"1552378386677497"</f>
        <v>1552378386677497</v>
      </c>
      <c r="C2035" t="s">
        <v>40</v>
      </c>
      <c r="D2035">
        <v>5.4246999999999996</v>
      </c>
      <c r="E2035">
        <v>0.4063949</v>
      </c>
      <c r="F2035" t="s">
        <v>74</v>
      </c>
      <c r="G2035">
        <v>-423.80369999999999</v>
      </c>
      <c r="H2035" s="1">
        <v>3.5257270000000001E-6</v>
      </c>
      <c r="I2035">
        <v>281.91849999999999</v>
      </c>
      <c r="J2035">
        <v>-394.89370000000002</v>
      </c>
      <c r="K2035">
        <v>1.1099110000000001</v>
      </c>
      <c r="L2035">
        <v>286.09289999999999</v>
      </c>
      <c r="M2035">
        <v>-0.99988010000000005</v>
      </c>
      <c r="N2035">
        <v>0</v>
      </c>
      <c r="O2035">
        <v>4.3459750000000002E-3</v>
      </c>
      <c r="P2035">
        <v>-0.99425699999999995</v>
      </c>
      <c r="Q2035">
        <v>-3.4270599999999998E-2</v>
      </c>
      <c r="R2035">
        <v>0.10138320000000001</v>
      </c>
      <c r="S2035">
        <v>-3.0579529999999999</v>
      </c>
      <c r="T2035">
        <v>-0.1165308</v>
      </c>
      <c r="U2035">
        <v>-0.43817139999999999</v>
      </c>
      <c r="V2035">
        <v>9.7060190000000005E-2</v>
      </c>
      <c r="W2035">
        <v>-1.948598E-2</v>
      </c>
      <c r="X2035">
        <v>0.99508770000000002</v>
      </c>
      <c r="Y2035">
        <v>-0.14603459999999999</v>
      </c>
      <c r="Z2035">
        <v>-2.9321210000000002E-3</v>
      </c>
      <c r="AA2035">
        <v>0.98927520000000002</v>
      </c>
      <c r="AB2035">
        <v>37</v>
      </c>
      <c r="AC2035">
        <v>-28.909999999999901</v>
      </c>
      <c r="AD2035">
        <v>-1.109907474273</v>
      </c>
      <c r="AE2035">
        <v>-4.1743999999999897</v>
      </c>
      <c r="AF2035">
        <v>-4.2938170486698297</v>
      </c>
      <c r="AG2035">
        <v>-1.109907474273</v>
      </c>
      <c r="AH2035">
        <v>28.849928717259001</v>
      </c>
      <c r="AI2035">
        <v>92.179202562009806</v>
      </c>
      <c r="AJ2035">
        <v>98.465353071765605</v>
      </c>
      <c r="AK2035">
        <v>29.188818859964499</v>
      </c>
      <c r="AL2035">
        <v>91.116535127664093</v>
      </c>
      <c r="AM2035">
        <v>84.4290305677833</v>
      </c>
      <c r="AN2035">
        <v>0.99999995729534197</v>
      </c>
    </row>
    <row r="2036" spans="1:40" x14ac:dyDescent="0.25">
      <c r="A2036" t="str">
        <f>"20190312161306697"</f>
        <v>20190312161306697</v>
      </c>
      <c r="B2036" t="str">
        <f>"1552378386688233"</f>
        <v>1552378386688233</v>
      </c>
      <c r="C2036" t="s">
        <v>40</v>
      </c>
      <c r="D2036">
        <v>5.4215109999999997</v>
      </c>
      <c r="E2036">
        <v>0.40638930000000001</v>
      </c>
      <c r="F2036" t="s">
        <v>74</v>
      </c>
      <c r="G2036">
        <v>-424.7115</v>
      </c>
      <c r="H2036" s="1">
        <v>3.3741980000000002E-6</v>
      </c>
      <c r="I2036">
        <v>281.81</v>
      </c>
      <c r="J2036">
        <v>-395.17809999999997</v>
      </c>
      <c r="K2036">
        <v>1.109918</v>
      </c>
      <c r="L2036">
        <v>286.09410000000003</v>
      </c>
      <c r="M2036">
        <v>-0.9998802</v>
      </c>
      <c r="N2036">
        <v>0</v>
      </c>
      <c r="O2036">
        <v>4.3456509999999999E-3</v>
      </c>
      <c r="P2036">
        <v>-0.9942628</v>
      </c>
      <c r="Q2036">
        <v>-3.3934209999999999E-2</v>
      </c>
      <c r="R2036">
        <v>0.10144</v>
      </c>
      <c r="S2036">
        <v>-3.0581969999999998</v>
      </c>
      <c r="T2036">
        <v>-0.11383509999999999</v>
      </c>
      <c r="U2036">
        <v>-0.43926999999999999</v>
      </c>
      <c r="V2036">
        <v>9.7117099999999998E-2</v>
      </c>
      <c r="W2036">
        <v>-1.915294E-2</v>
      </c>
      <c r="X2036">
        <v>0.99508859999999999</v>
      </c>
      <c r="Y2036">
        <v>-0.14637610000000001</v>
      </c>
      <c r="Z2036">
        <v>-2.8703499999999998E-3</v>
      </c>
      <c r="AA2036">
        <v>0.98922489999999996</v>
      </c>
      <c r="AB2036">
        <v>37</v>
      </c>
      <c r="AC2036">
        <v>-29.5334</v>
      </c>
      <c r="AD2036">
        <v>-1.1099146258020001</v>
      </c>
      <c r="AE2036">
        <v>-4.28410000000002</v>
      </c>
      <c r="AF2036">
        <v>-4.4063204001301397</v>
      </c>
      <c r="AG2036">
        <v>-1.1099146258020001</v>
      </c>
      <c r="AH2036">
        <v>29.47373153757</v>
      </c>
      <c r="AI2036">
        <v>92.132929748507706</v>
      </c>
      <c r="AJ2036">
        <v>98.502741374258903</v>
      </c>
      <c r="AK2036">
        <v>29.821945286884301</v>
      </c>
      <c r="AL2036">
        <v>91.097449792849304</v>
      </c>
      <c r="AM2036">
        <v>84.425789677500603</v>
      </c>
      <c r="AN2036">
        <v>0.99999994403650505</v>
      </c>
    </row>
    <row r="2037" spans="1:40" x14ac:dyDescent="0.25">
      <c r="A2037" t="str">
        <f>"20190312161306720"</f>
        <v>20190312161306720</v>
      </c>
      <c r="B2037" t="str">
        <f>"1552378386717513"</f>
        <v>1552378386717513</v>
      </c>
      <c r="C2037" t="s">
        <v>40</v>
      </c>
      <c r="D2037">
        <v>5.4200160000000004</v>
      </c>
      <c r="E2037">
        <v>0.40640850000000001</v>
      </c>
      <c r="F2037" t="s">
        <v>74</v>
      </c>
      <c r="G2037">
        <v>-425.30919999999998</v>
      </c>
      <c r="H2037" s="1">
        <v>3.2717910000000001E-6</v>
      </c>
      <c r="I2037">
        <v>281.76859999999999</v>
      </c>
      <c r="J2037">
        <v>-395.54390000000001</v>
      </c>
      <c r="K2037">
        <v>1.1099190000000001</v>
      </c>
      <c r="L2037">
        <v>286.09570000000002</v>
      </c>
      <c r="M2037">
        <v>-0.9998802</v>
      </c>
      <c r="N2037">
        <v>0</v>
      </c>
      <c r="O2037">
        <v>4.3453930000000003E-3</v>
      </c>
      <c r="P2037">
        <v>-0.99429279999999998</v>
      </c>
      <c r="Q2037">
        <v>-3.3836850000000002E-2</v>
      </c>
      <c r="R2037">
        <v>0.1011773</v>
      </c>
      <c r="S2037">
        <v>-3.0582280000000002</v>
      </c>
      <c r="T2037">
        <v>-0.1126534</v>
      </c>
      <c r="U2037">
        <v>-0.43902590000000002</v>
      </c>
      <c r="V2037">
        <v>9.6854659999999995E-2</v>
      </c>
      <c r="W2037">
        <v>-1.9059489999999998E-2</v>
      </c>
      <c r="X2037">
        <v>0.99511609999999995</v>
      </c>
      <c r="Y2037">
        <v>-0.14629919999999999</v>
      </c>
      <c r="Z2037">
        <v>-2.8391430000000001E-3</v>
      </c>
      <c r="AA2037">
        <v>0.98923629999999996</v>
      </c>
      <c r="AB2037">
        <v>37</v>
      </c>
      <c r="AC2037">
        <v>-29.7652999999999</v>
      </c>
      <c r="AD2037">
        <v>-1.109915728209</v>
      </c>
      <c r="AE2037">
        <v>-4.3271000000000299</v>
      </c>
      <c r="AF2037">
        <v>-4.4503553535576197</v>
      </c>
      <c r="AG2037">
        <v>-1.109915728209</v>
      </c>
      <c r="AH2037">
        <v>29.705763972560401</v>
      </c>
      <c r="AI2037">
        <v>92.116189318521506</v>
      </c>
      <c r="AJ2037">
        <v>98.520373056270302</v>
      </c>
      <c r="AK2037">
        <v>30.057777510823001</v>
      </c>
      <c r="AL2037">
        <v>91.092094385834599</v>
      </c>
      <c r="AM2037">
        <v>84.440911071613797</v>
      </c>
      <c r="AN2037">
        <v>1.00000007090099</v>
      </c>
    </row>
    <row r="2038" spans="1:40" x14ac:dyDescent="0.25">
      <c r="A2038" t="str">
        <f>"20190312161306742"</f>
        <v>20190312161306742</v>
      </c>
      <c r="B2038" t="str">
        <f>"1552378386738010"</f>
        <v>1552378386738010</v>
      </c>
      <c r="C2038" t="s">
        <v>40</v>
      </c>
      <c r="D2038">
        <v>5.4256120000000001</v>
      </c>
      <c r="E2038">
        <v>0.40630519999999998</v>
      </c>
      <c r="F2038" t="s">
        <v>74</v>
      </c>
      <c r="G2038">
        <v>-426.78919999999999</v>
      </c>
      <c r="H2038" s="1">
        <v>3.023723E-6</v>
      </c>
      <c r="I2038">
        <v>281.60309999999998</v>
      </c>
      <c r="J2038">
        <v>-395.9153</v>
      </c>
      <c r="K2038">
        <v>1.1099209999999999</v>
      </c>
      <c r="L2038">
        <v>286.09730000000002</v>
      </c>
      <c r="M2038">
        <v>-0.9998804</v>
      </c>
      <c r="N2038">
        <v>0</v>
      </c>
      <c r="O2038">
        <v>4.345074E-3</v>
      </c>
      <c r="P2038">
        <v>-0.99435450000000003</v>
      </c>
      <c r="Q2038">
        <v>-3.3933079999999997E-2</v>
      </c>
      <c r="R2038">
        <v>0.10053670000000001</v>
      </c>
      <c r="S2038">
        <v>-3.0582579999999999</v>
      </c>
      <c r="T2038">
        <v>-0.1086372</v>
      </c>
      <c r="U2038">
        <v>-0.4397278</v>
      </c>
      <c r="V2038">
        <v>9.6213999999999994E-2</v>
      </c>
      <c r="W2038">
        <v>-1.915917E-2</v>
      </c>
      <c r="X2038">
        <v>0.99517630000000001</v>
      </c>
      <c r="Y2038">
        <v>-0.14652689999999999</v>
      </c>
      <c r="Z2038">
        <v>-2.7419290000000002E-3</v>
      </c>
      <c r="AA2038">
        <v>0.9892029</v>
      </c>
      <c r="AB2038">
        <v>37</v>
      </c>
      <c r="AC2038">
        <v>-30.8738999999999</v>
      </c>
      <c r="AD2038">
        <v>-1.109917976277</v>
      </c>
      <c r="AE2038">
        <v>-4.4942000000000304</v>
      </c>
      <c r="AF2038">
        <v>-4.6224715799785798</v>
      </c>
      <c r="AG2038">
        <v>-1.109917976277</v>
      </c>
      <c r="AH2038">
        <v>30.8150795055972</v>
      </c>
      <c r="AI2038">
        <v>92.040020621611106</v>
      </c>
      <c r="AJ2038">
        <v>98.531146850447996</v>
      </c>
      <c r="AK2038">
        <v>31.179613313157901</v>
      </c>
      <c r="AL2038">
        <v>91.097806708099696</v>
      </c>
      <c r="AM2038">
        <v>84.477786447787906</v>
      </c>
      <c r="AN2038">
        <v>1.00000003783638</v>
      </c>
    </row>
    <row r="2039" spans="1:40" x14ac:dyDescent="0.25">
      <c r="A2039" t="str">
        <f>"20190312161306765"</f>
        <v>20190312161306765</v>
      </c>
      <c r="B2039" t="str">
        <f>"1552378386757529"</f>
        <v>1552378386757529</v>
      </c>
      <c r="C2039" t="s">
        <v>40</v>
      </c>
      <c r="D2039">
        <v>5.3948029999999996</v>
      </c>
      <c r="E2039">
        <v>0.4061591</v>
      </c>
      <c r="F2039" t="s">
        <v>74</v>
      </c>
      <c r="G2039">
        <v>-427.54520000000002</v>
      </c>
      <c r="H2039" s="1">
        <v>2.8967740000000001E-6</v>
      </c>
      <c r="I2039">
        <v>281.5215</v>
      </c>
      <c r="J2039">
        <v>-396.28559999999999</v>
      </c>
      <c r="K2039">
        <v>1.1099190000000001</v>
      </c>
      <c r="L2039">
        <v>286.09890000000001</v>
      </c>
      <c r="M2039">
        <v>-0.9998804</v>
      </c>
      <c r="N2039">
        <v>0</v>
      </c>
      <c r="O2039">
        <v>4.3449309999999998E-3</v>
      </c>
      <c r="P2039">
        <v>-0.99444869999999996</v>
      </c>
      <c r="Q2039">
        <v>-3.3827370000000002E-2</v>
      </c>
      <c r="R2039">
        <v>9.9637630000000005E-2</v>
      </c>
      <c r="S2039">
        <v>-3.0581049999999999</v>
      </c>
      <c r="T2039">
        <v>-0.1073114</v>
      </c>
      <c r="U2039">
        <v>-0.44241330000000001</v>
      </c>
      <c r="V2039">
        <v>9.5314700000000002E-2</v>
      </c>
      <c r="W2039">
        <v>-1.9056400000000001E-2</v>
      </c>
      <c r="X2039">
        <v>0.99526479999999995</v>
      </c>
      <c r="Y2039">
        <v>-0.1473864</v>
      </c>
      <c r="Z2039">
        <v>-2.723442E-3</v>
      </c>
      <c r="AA2039">
        <v>0.98907520000000004</v>
      </c>
      <c r="AB2039">
        <v>37</v>
      </c>
      <c r="AC2039">
        <v>-31.259599999999999</v>
      </c>
      <c r="AD2039">
        <v>-1.1099161032260001</v>
      </c>
      <c r="AE2039">
        <v>-4.5774000000000097</v>
      </c>
      <c r="AF2039">
        <v>-4.7073825118035098</v>
      </c>
      <c r="AG2039">
        <v>-1.1099161032260001</v>
      </c>
      <c r="AH2039">
        <v>31.2009047822682</v>
      </c>
      <c r="AI2039">
        <v>92.014554992400505</v>
      </c>
      <c r="AJ2039">
        <v>98.579692972396103</v>
      </c>
      <c r="AK2039">
        <v>31.573530418703601</v>
      </c>
      <c r="AL2039">
        <v>91.091917354101199</v>
      </c>
      <c r="AM2039">
        <v>84.529570776451195</v>
      </c>
      <c r="AN2039">
        <v>1.0000000302680401</v>
      </c>
    </row>
    <row r="2040" spans="1:40" x14ac:dyDescent="0.25">
      <c r="A2040" t="str">
        <f>"20190312161306777"</f>
        <v>20190312161306777</v>
      </c>
      <c r="B2040" t="str">
        <f>"1552378386767289"</f>
        <v>1552378386767289</v>
      </c>
      <c r="C2040" t="s">
        <v>40</v>
      </c>
      <c r="D2040">
        <v>5.3497849999999998</v>
      </c>
      <c r="E2040">
        <v>0.40614359999999999</v>
      </c>
      <c r="F2040" t="s">
        <v>74</v>
      </c>
      <c r="G2040">
        <v>-428.38569999999999</v>
      </c>
      <c r="H2040" s="1">
        <v>2.757106E-6</v>
      </c>
      <c r="I2040">
        <v>281.4135</v>
      </c>
      <c r="J2040">
        <v>-396.49770000000001</v>
      </c>
      <c r="K2040">
        <v>1.109918</v>
      </c>
      <c r="L2040">
        <v>286.09980000000002</v>
      </c>
      <c r="M2040">
        <v>-0.99988030000000006</v>
      </c>
      <c r="N2040">
        <v>0</v>
      </c>
      <c r="O2040">
        <v>4.344952E-3</v>
      </c>
      <c r="P2040">
        <v>-0.99450380000000005</v>
      </c>
      <c r="Q2040">
        <v>-3.3890969999999999E-2</v>
      </c>
      <c r="R2040">
        <v>9.9063810000000002E-2</v>
      </c>
      <c r="S2040">
        <v>-3.0577999999999999</v>
      </c>
      <c r="T2040">
        <v>-0.10572869999999999</v>
      </c>
      <c r="U2040">
        <v>-0.44631959999999998</v>
      </c>
      <c r="V2040">
        <v>9.4740779999999997E-2</v>
      </c>
      <c r="W2040">
        <v>-1.912171E-2</v>
      </c>
      <c r="X2040">
        <v>0.99531829999999999</v>
      </c>
      <c r="Y2040">
        <v>-0.14863959999999901</v>
      </c>
      <c r="Z2040">
        <v>-2.7048670000000001E-3</v>
      </c>
      <c r="AA2040">
        <v>0.98888770000000004</v>
      </c>
      <c r="AB2040">
        <v>37</v>
      </c>
      <c r="AC2040">
        <v>-31.887999999999899</v>
      </c>
      <c r="AD2040">
        <v>-1.109915242894</v>
      </c>
      <c r="AE2040">
        <v>-4.6863000000000099</v>
      </c>
      <c r="AF2040">
        <v>-4.8191079199973696</v>
      </c>
      <c r="AG2040">
        <v>-1.109915242894</v>
      </c>
      <c r="AH2040">
        <v>31.829588477967398</v>
      </c>
      <c r="AI2040">
        <v>91.974640137955404</v>
      </c>
      <c r="AJ2040">
        <v>98.609388888587205</v>
      </c>
      <c r="AK2040">
        <v>32.211464041048202</v>
      </c>
      <c r="AL2040">
        <v>91.095660070995194</v>
      </c>
      <c r="AM2040">
        <v>84.562602469974706</v>
      </c>
      <c r="AN2040">
        <v>0.99999998675161095</v>
      </c>
    </row>
    <row r="2041" spans="1:40" x14ac:dyDescent="0.25">
      <c r="A2041" t="str">
        <f>"20190312161306798"</f>
        <v>20190312161306798</v>
      </c>
      <c r="B2041" t="str">
        <f>"1552378386787316"</f>
        <v>1552378386787316</v>
      </c>
      <c r="C2041" t="s">
        <v>40</v>
      </c>
      <c r="D2041">
        <v>5.3888540000000003</v>
      </c>
      <c r="E2041">
        <v>0.40609040000000002</v>
      </c>
      <c r="F2041" t="s">
        <v>74</v>
      </c>
      <c r="G2041">
        <v>-428.65780000000001</v>
      </c>
      <c r="H2041" s="1">
        <v>2.7112040000000001E-6</v>
      </c>
      <c r="I2041">
        <v>281.38650000000001</v>
      </c>
      <c r="J2041">
        <v>-396.82600000000002</v>
      </c>
      <c r="K2041">
        <v>1.10991</v>
      </c>
      <c r="L2041">
        <v>286.10129999999998</v>
      </c>
      <c r="M2041">
        <v>-0.99988049999999995</v>
      </c>
      <c r="N2041">
        <v>0</v>
      </c>
      <c r="O2041">
        <v>4.344685E-3</v>
      </c>
      <c r="P2041">
        <v>-0.99455760000000004</v>
      </c>
      <c r="Q2041">
        <v>-3.4252150000000002E-2</v>
      </c>
      <c r="R2041">
        <v>9.8397999999999999E-2</v>
      </c>
      <c r="S2041">
        <v>-3.0576479999999999</v>
      </c>
      <c r="T2041">
        <v>-0.1055262</v>
      </c>
      <c r="U2041">
        <v>-0.44812010000000002</v>
      </c>
      <c r="V2041">
        <v>9.4074930000000001E-2</v>
      </c>
      <c r="W2041">
        <v>-1.94859E-2</v>
      </c>
      <c r="X2041">
        <v>0.99537439999999999</v>
      </c>
      <c r="Y2041">
        <v>-0.1492165</v>
      </c>
      <c r="Z2041">
        <v>-2.709599E-3</v>
      </c>
      <c r="AA2041">
        <v>0.98880080000000004</v>
      </c>
      <c r="AB2041">
        <v>37</v>
      </c>
      <c r="AC2041">
        <v>-31.831800000000001</v>
      </c>
      <c r="AD2041">
        <v>-1.109907288796</v>
      </c>
      <c r="AE2041">
        <v>-4.7147999999999604</v>
      </c>
      <c r="AF2041">
        <v>-4.8473031694878204</v>
      </c>
      <c r="AG2041">
        <v>-1.109907288796</v>
      </c>
      <c r="AH2041">
        <v>31.773213302412199</v>
      </c>
      <c r="AI2041">
        <v>91.977787393540495</v>
      </c>
      <c r="AJ2041">
        <v>98.674128873679706</v>
      </c>
      <c r="AK2041">
        <v>32.159995736430503</v>
      </c>
      <c r="AL2041">
        <v>91.116530501625604</v>
      </c>
      <c r="AM2041">
        <v>84.600893054031104</v>
      </c>
      <c r="AN2041">
        <v>0.99999999446433696</v>
      </c>
    </row>
    <row r="2042" spans="1:40" x14ac:dyDescent="0.25">
      <c r="A2042" t="str">
        <f>"20190312161306810"</f>
        <v>20190312161306810</v>
      </c>
      <c r="B2042" t="str">
        <f>"1552378386798053"</f>
        <v>1552378386798053</v>
      </c>
      <c r="C2042" t="s">
        <v>40</v>
      </c>
      <c r="D2042">
        <v>5.324478</v>
      </c>
      <c r="E2042">
        <v>0.40605210000000003</v>
      </c>
      <c r="F2042" t="s">
        <v>74</v>
      </c>
      <c r="G2042">
        <v>-429.06700000000001</v>
      </c>
      <c r="H2042" s="1">
        <v>2.6418019999999999E-6</v>
      </c>
      <c r="I2042">
        <v>281.3503</v>
      </c>
      <c r="J2042">
        <v>-397.03129999999999</v>
      </c>
      <c r="K2042">
        <v>1.109909</v>
      </c>
      <c r="L2042">
        <v>286.10210000000001</v>
      </c>
      <c r="M2042">
        <v>-0.99988049999999995</v>
      </c>
      <c r="N2042">
        <v>0</v>
      </c>
      <c r="O2042">
        <v>4.3445259999999996E-3</v>
      </c>
      <c r="P2042">
        <v>-0.9945524</v>
      </c>
      <c r="Q2042">
        <v>-3.4602389999999997E-2</v>
      </c>
      <c r="R2042">
        <v>9.8328929999999995E-2</v>
      </c>
      <c r="S2042">
        <v>-3.0573730000000001</v>
      </c>
      <c r="T2042">
        <v>-0.10525130000000001</v>
      </c>
      <c r="U2042">
        <v>-0.45053100000000001</v>
      </c>
      <c r="V2042">
        <v>9.4006080000000006E-2</v>
      </c>
      <c r="W2042">
        <v>-1.9838519999999998E-2</v>
      </c>
      <c r="X2042">
        <v>0.99537399999999998</v>
      </c>
      <c r="Y2042">
        <v>-0.14999219999999999</v>
      </c>
      <c r="Z2042">
        <v>-2.7159010000000002E-3</v>
      </c>
      <c r="AA2042">
        <v>0.98868350000000005</v>
      </c>
      <c r="AB2042">
        <v>37</v>
      </c>
      <c r="AC2042">
        <v>-32.035699999999899</v>
      </c>
      <c r="AD2042">
        <v>-1.109906358198</v>
      </c>
      <c r="AE2042">
        <v>-4.7518000000000002</v>
      </c>
      <c r="AF2042">
        <v>-4.8852127171629496</v>
      </c>
      <c r="AG2042">
        <v>-1.109906358198</v>
      </c>
      <c r="AH2042">
        <v>31.977193810159399</v>
      </c>
      <c r="AI2042">
        <v>91.965117281896795</v>
      </c>
      <c r="AJ2042">
        <v>98.686018595546003</v>
      </c>
      <c r="AK2042">
        <v>32.367238365180199</v>
      </c>
      <c r="AL2042">
        <v>91.136737977410505</v>
      </c>
      <c r="AM2042">
        <v>84.604818982983801</v>
      </c>
      <c r="AN2042">
        <v>1.0000000549143699</v>
      </c>
    </row>
    <row r="2043" spans="1:40" x14ac:dyDescent="0.25">
      <c r="A2043" t="str">
        <f>"20190312161306831"</f>
        <v>20190312161306831</v>
      </c>
      <c r="B2043" t="str">
        <f>"1552378386828308"</f>
        <v>1552378386828308</v>
      </c>
      <c r="C2043" t="s">
        <v>40</v>
      </c>
      <c r="D2043">
        <v>5.3083450000000001</v>
      </c>
      <c r="E2043">
        <v>0.40600429999999998</v>
      </c>
      <c r="F2043" t="s">
        <v>74</v>
      </c>
      <c r="G2043">
        <v>-429.1902</v>
      </c>
      <c r="H2043" s="1">
        <v>2.619174E-6</v>
      </c>
      <c r="I2043">
        <v>281.35910000000001</v>
      </c>
      <c r="J2043">
        <v>-397.37709999999998</v>
      </c>
      <c r="K2043">
        <v>1.109907</v>
      </c>
      <c r="L2043">
        <v>286.1037</v>
      </c>
      <c r="M2043">
        <v>-0.99988060000000001</v>
      </c>
      <c r="N2043">
        <v>0</v>
      </c>
      <c r="O2043">
        <v>4.3443780000000003E-3</v>
      </c>
      <c r="P2043">
        <v>-0.99452220000000002</v>
      </c>
      <c r="Q2043">
        <v>-3.5297960000000003E-2</v>
      </c>
      <c r="R2043">
        <v>9.8387080000000002E-2</v>
      </c>
      <c r="S2043">
        <v>-3.0573730000000001</v>
      </c>
      <c r="T2043">
        <v>-0.1055198</v>
      </c>
      <c r="U2043">
        <v>-0.45092769999999999</v>
      </c>
      <c r="V2043">
        <v>9.4064490000000001E-2</v>
      </c>
      <c r="W2043">
        <v>-2.053839E-2</v>
      </c>
      <c r="X2043">
        <v>0.99535419999999997</v>
      </c>
      <c r="Y2043">
        <v>-0.1501171</v>
      </c>
      <c r="Z2043">
        <v>-2.7249380000000001E-3</v>
      </c>
      <c r="AA2043">
        <v>0.9886644</v>
      </c>
      <c r="AB2043">
        <v>37</v>
      </c>
      <c r="AC2043">
        <v>-31.813099999999999</v>
      </c>
      <c r="AD2043">
        <v>-1.1099043808260001</v>
      </c>
      <c r="AE2043">
        <v>-4.7445999999999904</v>
      </c>
      <c r="AF2043">
        <v>-4.8769714999355198</v>
      </c>
      <c r="AG2043">
        <v>-1.1099043808260001</v>
      </c>
      <c r="AH2043">
        <v>31.754374939025801</v>
      </c>
      <c r="AI2043">
        <v>91.9786515406131</v>
      </c>
      <c r="AJ2043">
        <v>98.731502026673596</v>
      </c>
      <c r="AK2043">
        <v>32.145871686952098</v>
      </c>
      <c r="AL2043">
        <v>91.176845849097305</v>
      </c>
      <c r="AM2043">
        <v>84.601379770211295</v>
      </c>
      <c r="AN2043">
        <v>0.99999996860019502</v>
      </c>
    </row>
    <row r="2044" spans="1:40" x14ac:dyDescent="0.25">
      <c r="A2044" t="str">
        <f>"20190312161306842"</f>
        <v>20190312161306842</v>
      </c>
      <c r="B2044" t="str">
        <f>"1552378386838068"</f>
        <v>1552378386838068</v>
      </c>
      <c r="C2044" t="s">
        <v>40</v>
      </c>
      <c r="D2044">
        <v>5.2964929999999999</v>
      </c>
      <c r="E2044">
        <v>0.40593990000000002</v>
      </c>
      <c r="F2044" t="s">
        <v>74</v>
      </c>
      <c r="G2044">
        <v>-429.58870000000002</v>
      </c>
      <c r="H2044" s="1">
        <v>2.5492020000000001E-6</v>
      </c>
      <c r="I2044">
        <v>281.35090000000002</v>
      </c>
      <c r="J2044">
        <v>-397.57889999999998</v>
      </c>
      <c r="K2044">
        <v>1.1099079999999999</v>
      </c>
      <c r="L2044">
        <v>286.1046</v>
      </c>
      <c r="M2044">
        <v>-0.99988069999999896</v>
      </c>
      <c r="N2044">
        <v>0</v>
      </c>
      <c r="O2044">
        <v>4.344217E-3</v>
      </c>
      <c r="P2044">
        <v>-0.99451809999999996</v>
      </c>
      <c r="Q2044">
        <v>-3.5620099999999898E-2</v>
      </c>
      <c r="R2044">
        <v>9.83131E-2</v>
      </c>
      <c r="S2044">
        <v>-3.0573730000000001</v>
      </c>
      <c r="T2044">
        <v>-0.105347</v>
      </c>
      <c r="U2044">
        <v>-0.45111079999999998</v>
      </c>
      <c r="V2044">
        <v>9.3990619999999997E-2</v>
      </c>
      <c r="W2044">
        <v>-2.0862829999999999E-2</v>
      </c>
      <c r="X2044">
        <v>0.99535450000000003</v>
      </c>
      <c r="Y2044">
        <v>-0.15017520000000001</v>
      </c>
      <c r="Z2044">
        <v>-2.721457E-3</v>
      </c>
      <c r="AA2044">
        <v>0.98865570000000003</v>
      </c>
      <c r="AB2044">
        <v>37</v>
      </c>
      <c r="AC2044">
        <v>-32.009799999999998</v>
      </c>
      <c r="AD2044">
        <v>-1.109905450798</v>
      </c>
      <c r="AE2044">
        <v>-4.7536999999999798</v>
      </c>
      <c r="AF2044">
        <v>-4.8869791923064296</v>
      </c>
      <c r="AG2044">
        <v>-1.109905450798</v>
      </c>
      <c r="AH2044">
        <v>31.951259042985399</v>
      </c>
      <c r="AI2044">
        <v>91.966656876354193</v>
      </c>
      <c r="AJ2044">
        <v>98.696056661844096</v>
      </c>
      <c r="AK2044">
        <v>32.3418832192515</v>
      </c>
      <c r="AL2044">
        <v>91.1954387942192</v>
      </c>
      <c r="AM2044">
        <v>84.605595970022307</v>
      </c>
      <c r="AN2044">
        <v>1.00000003749692</v>
      </c>
    </row>
    <row r="2045" spans="1:40" x14ac:dyDescent="0.25">
      <c r="A2045" t="str">
        <f>"20190312161306854"</f>
        <v>20190312161306854</v>
      </c>
      <c r="B2045" t="str">
        <f>"1552378386847828"</f>
        <v>1552378386847828</v>
      </c>
      <c r="C2045" t="s">
        <v>40</v>
      </c>
      <c r="D2045">
        <v>5.299887</v>
      </c>
      <c r="E2045">
        <v>0.40590799999999999</v>
      </c>
      <c r="F2045" t="s">
        <v>74</v>
      </c>
      <c r="G2045">
        <v>-429.82240000000002</v>
      </c>
      <c r="H2045" s="1">
        <v>2.5088780000000001E-6</v>
      </c>
      <c r="I2045">
        <v>281.33789999999999</v>
      </c>
      <c r="J2045">
        <v>-397.76260000000002</v>
      </c>
      <c r="K2045">
        <v>1.109907</v>
      </c>
      <c r="L2045">
        <v>286.1053</v>
      </c>
      <c r="M2045">
        <v>-0.99988060000000001</v>
      </c>
      <c r="N2045">
        <v>0</v>
      </c>
      <c r="O2045">
        <v>4.3444119999999998E-3</v>
      </c>
      <c r="P2045">
        <v>-0.99452320000000005</v>
      </c>
      <c r="Q2045">
        <v>-3.551957E-2</v>
      </c>
      <c r="R2045">
        <v>9.8295320000000005E-2</v>
      </c>
      <c r="S2045">
        <v>-3.0574650000000001</v>
      </c>
      <c r="T2045">
        <v>-0.1052459</v>
      </c>
      <c r="U2045">
        <v>-0.4519958</v>
      </c>
      <c r="V2045">
        <v>9.39725E-2</v>
      </c>
      <c r="W2045">
        <v>-2.0764310000000001E-2</v>
      </c>
      <c r="X2045">
        <v>0.99535819999999997</v>
      </c>
      <c r="Y2045">
        <v>-0.15045120000000001</v>
      </c>
      <c r="Z2045">
        <v>-2.7234389999999998E-3</v>
      </c>
      <c r="AA2045">
        <v>0.98861370000000004</v>
      </c>
      <c r="AB2045">
        <v>37</v>
      </c>
      <c r="AC2045">
        <v>-32.059800000000003</v>
      </c>
      <c r="AD2045">
        <v>-1.109904491122</v>
      </c>
      <c r="AE2045">
        <v>-4.7674000000000003</v>
      </c>
      <c r="AF2045">
        <v>-4.90090448436505</v>
      </c>
      <c r="AG2045">
        <v>-1.109904491122</v>
      </c>
      <c r="AH2045">
        <v>32.001258801110701</v>
      </c>
      <c r="AI2045">
        <v>91.963527262014495</v>
      </c>
      <c r="AJ2045">
        <v>98.707039276477801</v>
      </c>
      <c r="AK2045">
        <v>32.393383855348397</v>
      </c>
      <c r="AL2045">
        <v>91.189792875267997</v>
      </c>
      <c r="AM2045">
        <v>84.606649728565998</v>
      </c>
      <c r="AN2045">
        <v>0.99999996681663195</v>
      </c>
    </row>
    <row r="2046" spans="1:40" x14ac:dyDescent="0.25">
      <c r="A2046" t="str">
        <f>"20190312161306876"</f>
        <v>20190312161306876</v>
      </c>
      <c r="B2046" t="str">
        <f>"1552378386867348"</f>
        <v>1552378386867348</v>
      </c>
      <c r="C2046" t="s">
        <v>40</v>
      </c>
      <c r="D2046">
        <v>5.2943550000000004</v>
      </c>
      <c r="E2046">
        <v>0.40588020000000002</v>
      </c>
      <c r="F2046" t="s">
        <v>74</v>
      </c>
      <c r="G2046">
        <v>-430.21269999999998</v>
      </c>
      <c r="H2046" s="1">
        <v>2.600594E-6</v>
      </c>
      <c r="I2046">
        <v>281.30720000000002</v>
      </c>
      <c r="J2046">
        <v>-398.11930000000001</v>
      </c>
      <c r="K2046">
        <v>1.1099110000000001</v>
      </c>
      <c r="L2046">
        <v>286.1069</v>
      </c>
      <c r="M2046">
        <v>-0.99988060000000001</v>
      </c>
      <c r="N2046">
        <v>0</v>
      </c>
      <c r="O2046">
        <v>4.3442649999999999E-3</v>
      </c>
      <c r="P2046">
        <v>-0.99451659999999997</v>
      </c>
      <c r="Q2046">
        <v>-3.5240349999999997E-2</v>
      </c>
      <c r="R2046">
        <v>9.8462610000000006E-2</v>
      </c>
      <c r="S2046">
        <v>-3.0574650000000001</v>
      </c>
      <c r="T2046">
        <v>-0.1045759</v>
      </c>
      <c r="U2046">
        <v>-0.45208739999999997</v>
      </c>
      <c r="V2046">
        <v>9.4140059999999998E-2</v>
      </c>
      <c r="W2046">
        <v>-2.0489199999999999E-2</v>
      </c>
      <c r="X2046">
        <v>0.99534809999999996</v>
      </c>
      <c r="Y2046">
        <v>-0.15048110000000001</v>
      </c>
      <c r="Z2046">
        <v>-2.7066080000000001E-3</v>
      </c>
      <c r="AA2046">
        <v>0.98860919999999997</v>
      </c>
      <c r="AB2046">
        <v>37</v>
      </c>
      <c r="AC2046">
        <v>-32.093399999999903</v>
      </c>
      <c r="AD2046">
        <v>-1.1099083994059999</v>
      </c>
      <c r="AE2046">
        <v>-4.7996999999999703</v>
      </c>
      <c r="AF2046">
        <v>-4.9333209396050703</v>
      </c>
      <c r="AG2046">
        <v>-1.1099083994059999</v>
      </c>
      <c r="AH2046">
        <v>32.034767231492701</v>
      </c>
      <c r="AI2046">
        <v>91.961231473563103</v>
      </c>
      <c r="AJ2046">
        <v>98.754714961024007</v>
      </c>
      <c r="AK2046">
        <v>32.431402432274403</v>
      </c>
      <c r="AL2046">
        <v>91.174026840495301</v>
      </c>
      <c r="AM2046">
        <v>84.597035339442499</v>
      </c>
      <c r="AN2046">
        <v>0.999999999193526</v>
      </c>
    </row>
    <row r="2047" spans="1:40" x14ac:dyDescent="0.25">
      <c r="A2047" t="str">
        <f>"20190312161306900"</f>
        <v>20190312161306900</v>
      </c>
      <c r="B2047" t="str">
        <f>"1552378386887376"</f>
        <v>1552378386887376</v>
      </c>
      <c r="C2047" t="s">
        <v>40</v>
      </c>
      <c r="D2047">
        <v>5.2542720000000003</v>
      </c>
      <c r="E2047">
        <v>0.4057751</v>
      </c>
      <c r="F2047" t="s">
        <v>74</v>
      </c>
      <c r="G2047">
        <v>-431.18369999999999</v>
      </c>
      <c r="H2047" s="1">
        <v>3.0386180000000001E-6</v>
      </c>
      <c r="I2047">
        <v>281.22239999999999</v>
      </c>
      <c r="J2047">
        <v>-398.49470000000002</v>
      </c>
      <c r="K2047">
        <v>1.1099110000000001</v>
      </c>
      <c r="L2047">
        <v>286.10860000000002</v>
      </c>
      <c r="M2047">
        <v>-0.99988069999999896</v>
      </c>
      <c r="N2047">
        <v>0</v>
      </c>
      <c r="O2047">
        <v>4.3441180000000001E-3</v>
      </c>
      <c r="P2047">
        <v>-0.99453040000000004</v>
      </c>
      <c r="Q2047">
        <v>-3.5261010000000002E-2</v>
      </c>
      <c r="R2047">
        <v>9.8315139999999995E-2</v>
      </c>
      <c r="S2047">
        <v>-3.057617</v>
      </c>
      <c r="T2047">
        <v>-0.1026382</v>
      </c>
      <c r="U2047">
        <v>-0.4516907</v>
      </c>
      <c r="V2047">
        <v>9.3992469999999995E-2</v>
      </c>
      <c r="W2047">
        <v>-2.0513839999999998E-2</v>
      </c>
      <c r="X2047">
        <v>0.99536159999999996</v>
      </c>
      <c r="Y2047">
        <v>-0.1503517</v>
      </c>
      <c r="Z2047">
        <v>-2.6542150000000001E-3</v>
      </c>
      <c r="AA2047">
        <v>0.98862899999999998</v>
      </c>
      <c r="AB2047">
        <v>37</v>
      </c>
      <c r="AC2047">
        <v>-32.688999999999901</v>
      </c>
      <c r="AD2047">
        <v>-1.109907961382</v>
      </c>
      <c r="AE2047">
        <v>-4.8862000000000299</v>
      </c>
      <c r="AF2047">
        <v>-5.0225107300545702</v>
      </c>
      <c r="AG2047">
        <v>-1.109907961382</v>
      </c>
      <c r="AH2047">
        <v>32.630666974843599</v>
      </c>
      <c r="AI2047">
        <v>91.925464866775101</v>
      </c>
      <c r="AJ2047">
        <v>98.750292835791697</v>
      </c>
      <c r="AK2047">
        <v>33.033588011891801</v>
      </c>
      <c r="AL2047">
        <v>91.175438835684005</v>
      </c>
      <c r="AM2047">
        <v>84.605528671827898</v>
      </c>
      <c r="AN2047">
        <v>1.0000000584013999</v>
      </c>
    </row>
    <row r="2048" spans="1:40" x14ac:dyDescent="0.25">
      <c r="A2048" t="str">
        <f>"20190312161306921"</f>
        <v>20190312161306921</v>
      </c>
      <c r="B2048" t="str">
        <f>"1552378386917632"</f>
        <v>1552378386917632</v>
      </c>
      <c r="C2048" t="s">
        <v>40</v>
      </c>
      <c r="D2048">
        <v>5.2580939999999998</v>
      </c>
      <c r="E2048">
        <v>0.40565990000000002</v>
      </c>
      <c r="F2048" t="s">
        <v>74</v>
      </c>
      <c r="G2048">
        <v>-431.64769999999999</v>
      </c>
      <c r="H2048" s="1">
        <v>3.2466590000000001E-6</v>
      </c>
      <c r="I2048">
        <v>281.19639999999998</v>
      </c>
      <c r="J2048">
        <v>-398.86009999999999</v>
      </c>
      <c r="K2048">
        <v>1.1099159999999999</v>
      </c>
      <c r="L2048">
        <v>286.11009999999999</v>
      </c>
      <c r="M2048">
        <v>-0.99988089999999996</v>
      </c>
      <c r="N2048">
        <v>0</v>
      </c>
      <c r="O2048">
        <v>4.3438510000000001E-3</v>
      </c>
      <c r="P2048">
        <v>-0.99449829999999995</v>
      </c>
      <c r="Q2048">
        <v>-3.5116309999999998E-2</v>
      </c>
      <c r="R2048">
        <v>9.8692660000000001E-2</v>
      </c>
      <c r="S2048">
        <v>-3.057617</v>
      </c>
      <c r="T2048">
        <v>-0.1023638</v>
      </c>
      <c r="U2048">
        <v>-0.45303339999999998</v>
      </c>
      <c r="V2048">
        <v>9.4370579999999996E-2</v>
      </c>
      <c r="W2048">
        <v>-2.0373499999999999E-2</v>
      </c>
      <c r="X2048">
        <v>0.99532869999999996</v>
      </c>
      <c r="Y2048">
        <v>-0.15077650000000001</v>
      </c>
      <c r="Z2048">
        <v>-2.6540999999999999E-3</v>
      </c>
      <c r="AA2048">
        <v>0.98856429999999995</v>
      </c>
      <c r="AB2048">
        <v>37</v>
      </c>
      <c r="AC2048">
        <v>-32.787599999999998</v>
      </c>
      <c r="AD2048">
        <v>-1.10991275334099</v>
      </c>
      <c r="AE2048">
        <v>-4.9137000000000004</v>
      </c>
      <c r="AF2048">
        <v>-5.0504333805940202</v>
      </c>
      <c r="AG2048">
        <v>-1.10991275334099</v>
      </c>
      <c r="AH2048">
        <v>32.729262248157099</v>
      </c>
      <c r="AI2048">
        <v>91.919564665561694</v>
      </c>
      <c r="AJ2048">
        <v>98.772089774869301</v>
      </c>
      <c r="AK2048">
        <v>33.135228850280903</v>
      </c>
      <c r="AL2048">
        <v>91.167396271376205</v>
      </c>
      <c r="AM2048">
        <v>84.583778784273903</v>
      </c>
      <c r="AN2048">
        <v>1.00000005345773</v>
      </c>
    </row>
    <row r="2049" spans="1:40" x14ac:dyDescent="0.25">
      <c r="A2049" t="str">
        <f>"20190312161306943"</f>
        <v>20190312161306943</v>
      </c>
      <c r="B2049" t="str">
        <f>"1552378386938129"</f>
        <v>1552378386938129</v>
      </c>
      <c r="C2049" t="s">
        <v>40</v>
      </c>
      <c r="D2049">
        <v>5.2680160000000003</v>
      </c>
      <c r="E2049">
        <v>0.40554950000000001</v>
      </c>
      <c r="F2049" t="s">
        <v>74</v>
      </c>
      <c r="G2049">
        <v>-432.95119999999997</v>
      </c>
      <c r="H2049" s="1">
        <v>3.8363760000000004E-6</v>
      </c>
      <c r="I2049">
        <v>281.06310000000002</v>
      </c>
      <c r="J2049">
        <v>-399.22129999999999</v>
      </c>
      <c r="K2049">
        <v>1.1099139999999901</v>
      </c>
      <c r="L2049">
        <v>286.11169999999998</v>
      </c>
      <c r="M2049">
        <v>-0.99988089999999996</v>
      </c>
      <c r="N2049">
        <v>0</v>
      </c>
      <c r="O2049">
        <v>4.3438799999999996E-3</v>
      </c>
      <c r="P2049">
        <v>-0.99448729999999996</v>
      </c>
      <c r="Q2049">
        <v>-3.484346E-2</v>
      </c>
      <c r="R2049">
        <v>9.8900180000000004E-2</v>
      </c>
      <c r="S2049">
        <v>-3.058014</v>
      </c>
      <c r="T2049">
        <v>-9.9560499999999996E-2</v>
      </c>
      <c r="U2049">
        <v>-0.45272829999999997</v>
      </c>
      <c r="V2049">
        <v>9.4578239999999994E-2</v>
      </c>
      <c r="W2049">
        <v>-2.0104629999999998E-2</v>
      </c>
      <c r="X2049">
        <v>0.99531440000000004</v>
      </c>
      <c r="Y2049">
        <v>-0.15066599999999999</v>
      </c>
      <c r="Z2049">
        <v>-2.5793539999999998E-3</v>
      </c>
      <c r="AA2049">
        <v>0.98858140000000005</v>
      </c>
      <c r="AB2049">
        <v>37</v>
      </c>
      <c r="AC2049">
        <v>-33.729899999999901</v>
      </c>
      <c r="AD2049">
        <v>-1.1099101636240001</v>
      </c>
      <c r="AE2049">
        <v>-5.0485999999999596</v>
      </c>
      <c r="AF2049">
        <v>-5.1895909422772499</v>
      </c>
      <c r="AG2049">
        <v>-1.1099101636240001</v>
      </c>
      <c r="AH2049">
        <v>33.671987900244297</v>
      </c>
      <c r="AI2049">
        <v>91.865908835827895</v>
      </c>
      <c r="AJ2049">
        <v>98.761595732864393</v>
      </c>
      <c r="AK2049">
        <v>34.087630071239602</v>
      </c>
      <c r="AL2049">
        <v>91.151988064599493</v>
      </c>
      <c r="AM2049">
        <v>84.571854117131394</v>
      </c>
      <c r="AN2049">
        <v>0.99999999723814703</v>
      </c>
    </row>
    <row r="2050" spans="1:40" x14ac:dyDescent="0.25">
      <c r="A2050" t="str">
        <f>"20190312161306965"</f>
        <v>20190312161306965</v>
      </c>
      <c r="B2050" t="str">
        <f>"1552378386957648"</f>
        <v>1552378386957648</v>
      </c>
      <c r="C2050" t="s">
        <v>40</v>
      </c>
      <c r="D2050">
        <v>5.2479459999999998</v>
      </c>
      <c r="E2050">
        <v>0.4054297</v>
      </c>
      <c r="F2050" t="s">
        <v>74</v>
      </c>
      <c r="G2050">
        <v>-434.24770000000001</v>
      </c>
      <c r="H2050" s="1">
        <v>4.4235680000000003E-6</v>
      </c>
      <c r="I2050">
        <v>280.9228</v>
      </c>
      <c r="J2050">
        <v>-399.58269999999999</v>
      </c>
      <c r="K2050">
        <v>1.109915</v>
      </c>
      <c r="L2050">
        <v>286.11329999999998</v>
      </c>
      <c r="M2050">
        <v>-0.99988089999999996</v>
      </c>
      <c r="N2050">
        <v>0</v>
      </c>
      <c r="O2050">
        <v>4.343731E-3</v>
      </c>
      <c r="P2050">
        <v>-0.99449410000000005</v>
      </c>
      <c r="Q2050">
        <v>-3.4804880000000003E-2</v>
      </c>
      <c r="R2050">
        <v>9.8845150000000007E-2</v>
      </c>
      <c r="S2050">
        <v>-3.0582579999999999</v>
      </c>
      <c r="T2050">
        <v>-9.6909519999999999E-2</v>
      </c>
      <c r="U2050">
        <v>-0.45306400000000002</v>
      </c>
      <c r="V2050">
        <v>9.4523300000000005E-2</v>
      </c>
      <c r="W2050">
        <v>-2.0069980000000001E-2</v>
      </c>
      <c r="X2050">
        <v>0.99532030000000005</v>
      </c>
      <c r="Y2050">
        <v>-0.1507648</v>
      </c>
      <c r="Z2050">
        <v>-2.5120419999999999E-3</v>
      </c>
      <c r="AA2050">
        <v>0.98856650000000001</v>
      </c>
      <c r="AB2050">
        <v>37</v>
      </c>
      <c r="AC2050">
        <v>-34.664999999999999</v>
      </c>
      <c r="AD2050">
        <v>-1.1099105764319901</v>
      </c>
      <c r="AE2050">
        <v>-5.1904999999999797</v>
      </c>
      <c r="AF2050">
        <v>-5.3356929559265396</v>
      </c>
      <c r="AG2050">
        <v>-1.1099105764319901</v>
      </c>
      <c r="AH2050">
        <v>34.607423967001203</v>
      </c>
      <c r="AI2050">
        <v>91.815493114753096</v>
      </c>
      <c r="AJ2050">
        <v>98.764718194198196</v>
      </c>
      <c r="AK2050">
        <v>35.033916630022503</v>
      </c>
      <c r="AL2050">
        <v>91.150002386194402</v>
      </c>
      <c r="AM2050">
        <v>84.5750204471871</v>
      </c>
      <c r="AN2050">
        <v>0.99999997896609005</v>
      </c>
    </row>
    <row r="2051" spans="1:40" x14ac:dyDescent="0.25">
      <c r="A2051" t="str">
        <f>"20190312161306977"</f>
        <v>20190312161306977</v>
      </c>
      <c r="B2051" t="str">
        <f>"1552378386967409"</f>
        <v>1552378386967409</v>
      </c>
      <c r="C2051" t="s">
        <v>40</v>
      </c>
      <c r="D2051">
        <v>5.1382839999999996</v>
      </c>
      <c r="E2051">
        <v>0.4054297</v>
      </c>
      <c r="F2051" t="s">
        <v>74</v>
      </c>
      <c r="G2051">
        <v>-435.00569999999999</v>
      </c>
      <c r="H2051" s="1">
        <v>4.765746E-6</v>
      </c>
      <c r="I2051">
        <v>280.85379999999998</v>
      </c>
      <c r="J2051">
        <v>-399.78339999999997</v>
      </c>
      <c r="K2051">
        <v>1.109915</v>
      </c>
      <c r="L2051">
        <v>286.11419999999998</v>
      </c>
      <c r="M2051">
        <v>-0.99988100000000002</v>
      </c>
      <c r="N2051">
        <v>0</v>
      </c>
      <c r="O2051">
        <v>4.3435699999999997E-3</v>
      </c>
      <c r="P2051">
        <v>-0.99448879999999995</v>
      </c>
      <c r="Q2051">
        <v>-3.467257E-2</v>
      </c>
      <c r="R2051">
        <v>9.8943779999999995E-2</v>
      </c>
      <c r="S2051">
        <v>-3.0583800000000001</v>
      </c>
      <c r="T2051">
        <v>-9.5828410000000003E-2</v>
      </c>
      <c r="U2051">
        <v>-0.45410159999999999</v>
      </c>
      <c r="V2051">
        <v>9.4621990000000003E-2</v>
      </c>
      <c r="W2051">
        <v>-1.9940050000000001E-2</v>
      </c>
      <c r="X2051">
        <v>0.99531360000000002</v>
      </c>
      <c r="Y2051">
        <v>-0.15108859999999999</v>
      </c>
      <c r="Z2051">
        <v>-2.4889109999999999E-3</v>
      </c>
      <c r="AA2051">
        <v>0.98851710000000004</v>
      </c>
      <c r="AB2051">
        <v>37</v>
      </c>
      <c r="AC2051">
        <v>-35.222299999999997</v>
      </c>
      <c r="AD2051">
        <v>-1.1099102342539999</v>
      </c>
      <c r="AE2051">
        <v>-5.2603999999999997</v>
      </c>
      <c r="AF2051">
        <v>-5.4081046862083202</v>
      </c>
      <c r="AG2051">
        <v>-1.1099102342539999</v>
      </c>
      <c r="AH2051">
        <v>35.164960013372102</v>
      </c>
      <c r="AI2051">
        <v>91.786830434353305</v>
      </c>
      <c r="AJ2051">
        <v>98.743155315273896</v>
      </c>
      <c r="AK2051">
        <v>35.595700720271701</v>
      </c>
      <c r="AL2051">
        <v>91.142556380471802</v>
      </c>
      <c r="AM2051">
        <v>84.569353834716907</v>
      </c>
      <c r="AN2051">
        <v>1.0000000444652599</v>
      </c>
    </row>
    <row r="2052" spans="1:40" x14ac:dyDescent="0.25">
      <c r="A2052" t="str">
        <f>"20190312161306999"</f>
        <v>20190312161306999</v>
      </c>
      <c r="B2052" t="str">
        <f>"1552378386987435"</f>
        <v>1552378386987435</v>
      </c>
      <c r="C2052" t="s">
        <v>40</v>
      </c>
      <c r="D2052">
        <v>5.2567409999999999</v>
      </c>
      <c r="E2052">
        <v>0.40535549999999998</v>
      </c>
      <c r="F2052" t="s">
        <v>74</v>
      </c>
      <c r="G2052">
        <v>-435.44290000000001</v>
      </c>
      <c r="H2052" s="1">
        <v>4.9622179999999998E-6</v>
      </c>
      <c r="I2052">
        <v>280.82389999999998</v>
      </c>
      <c r="J2052">
        <v>-400.12079999999997</v>
      </c>
      <c r="K2052">
        <v>1.1099220000000001</v>
      </c>
      <c r="L2052">
        <v>286.11559999999997</v>
      </c>
      <c r="M2052">
        <v>-0.99988100000000002</v>
      </c>
      <c r="N2052">
        <v>0</v>
      </c>
      <c r="O2052">
        <v>4.3435979999999997E-3</v>
      </c>
      <c r="P2052">
        <v>-0.99447070000000004</v>
      </c>
      <c r="Q2052">
        <v>-3.4930269999999999E-2</v>
      </c>
      <c r="R2052">
        <v>9.9035629999999999E-2</v>
      </c>
      <c r="S2052">
        <v>-3.0584410000000002</v>
      </c>
      <c r="T2052">
        <v>-9.5194819999999999E-2</v>
      </c>
      <c r="U2052">
        <v>-0.45373540000000001</v>
      </c>
      <c r="V2052">
        <v>9.4713870000000006E-2</v>
      </c>
      <c r="W2052">
        <v>-2.0201819999999999E-2</v>
      </c>
      <c r="X2052">
        <v>0.9952995</v>
      </c>
      <c r="Y2052">
        <v>-0.15097099999999999</v>
      </c>
      <c r="Z2052">
        <v>-2.4706160000000001E-3</v>
      </c>
      <c r="AA2052">
        <v>0.9885351</v>
      </c>
      <c r="AB2052">
        <v>37</v>
      </c>
      <c r="AC2052">
        <v>-35.322099999999999</v>
      </c>
      <c r="AD2052">
        <v>-1.10991703778199</v>
      </c>
      <c r="AE2052">
        <v>-5.2916999999999899</v>
      </c>
      <c r="AF2052">
        <v>-5.4398385564654097</v>
      </c>
      <c r="AG2052">
        <v>-1.10991703778199</v>
      </c>
      <c r="AH2052">
        <v>35.264723542985998</v>
      </c>
      <c r="AI2052">
        <v>91.781665169324896</v>
      </c>
      <c r="AJ2052">
        <v>98.7691691700295</v>
      </c>
      <c r="AK2052">
        <v>35.699082423983903</v>
      </c>
      <c r="AL2052">
        <v>91.157557812602406</v>
      </c>
      <c r="AM2052">
        <v>84.564035584489503</v>
      </c>
      <c r="AN2052">
        <v>0.99999996270096903</v>
      </c>
    </row>
    <row r="2053" spans="1:40" x14ac:dyDescent="0.25">
      <c r="A2053" t="str">
        <f>"20190312161307014"</f>
        <v>20190312161307014</v>
      </c>
      <c r="B2053" t="str">
        <f>"1552378387007931"</f>
        <v>1552378387007931</v>
      </c>
      <c r="C2053" t="s">
        <v>40</v>
      </c>
      <c r="D2053">
        <v>5.2723190000000004</v>
      </c>
      <c r="E2053">
        <v>0.40526970000000001</v>
      </c>
      <c r="F2053" t="s">
        <v>74</v>
      </c>
      <c r="G2053">
        <v>-435.61160000000001</v>
      </c>
      <c r="H2053" s="1">
        <v>5.0351049999999998E-6</v>
      </c>
      <c r="I2053">
        <v>280.84620000000001</v>
      </c>
      <c r="J2053">
        <v>-400.3843</v>
      </c>
      <c r="K2053">
        <v>1.109923</v>
      </c>
      <c r="L2053">
        <v>286.11669999999998</v>
      </c>
      <c r="M2053">
        <v>-0.99988100000000002</v>
      </c>
      <c r="N2053">
        <v>0</v>
      </c>
      <c r="O2053">
        <v>4.3436200000000003E-3</v>
      </c>
      <c r="P2053">
        <v>-0.99448250000000005</v>
      </c>
      <c r="Q2053">
        <v>-3.4867490000000001E-2</v>
      </c>
      <c r="R2053">
        <v>9.8938849999999995E-2</v>
      </c>
      <c r="S2053">
        <v>-3.0585019999999998</v>
      </c>
      <c r="T2053">
        <v>-9.5649479999999995E-2</v>
      </c>
      <c r="U2053">
        <v>-0.45410159999999999</v>
      </c>
      <c r="V2053">
        <v>9.4617030000000005E-2</v>
      </c>
      <c r="W2053">
        <v>-2.0141860000000001E-2</v>
      </c>
      <c r="X2053">
        <v>0.99530989999999997</v>
      </c>
      <c r="Y2053">
        <v>-0.1510832</v>
      </c>
      <c r="Z2053">
        <v>-2.484085E-3</v>
      </c>
      <c r="AA2053">
        <v>0.98851789999999995</v>
      </c>
      <c r="AB2053">
        <v>36</v>
      </c>
      <c r="AC2053">
        <v>-35.2273</v>
      </c>
      <c r="AD2053">
        <v>-1.1099179648949999</v>
      </c>
      <c r="AE2053">
        <v>-5.27049999999997</v>
      </c>
      <c r="AF2053">
        <v>-5.4182200753476399</v>
      </c>
      <c r="AG2053">
        <v>-1.1099179648949999</v>
      </c>
      <c r="AH2053">
        <v>35.169922872084001</v>
      </c>
      <c r="AI2053">
        <v>91.786519505888094</v>
      </c>
      <c r="AJ2053">
        <v>98.758038381857403</v>
      </c>
      <c r="AK2053">
        <v>35.602141810599399</v>
      </c>
      <c r="AL2053">
        <v>91.154121688079499</v>
      </c>
      <c r="AM2053">
        <v>84.569616736237805</v>
      </c>
      <c r="AN2053">
        <v>0.99999993696414302</v>
      </c>
    </row>
    <row r="2054" spans="1:40" x14ac:dyDescent="0.25">
      <c r="A2054" t="str">
        <f>"20190312161307027"</f>
        <v>20190312161307027</v>
      </c>
      <c r="B2054" t="str">
        <f>"1552378387017691"</f>
        <v>1552378387017691</v>
      </c>
      <c r="C2054" t="s">
        <v>40</v>
      </c>
      <c r="D2054">
        <v>5.2734310000000004</v>
      </c>
      <c r="E2054">
        <v>0.40525</v>
      </c>
      <c r="F2054" t="s">
        <v>74</v>
      </c>
      <c r="G2054">
        <v>-436.21879999999999</v>
      </c>
      <c r="H2054" s="1">
        <v>5.3093610000000003E-6</v>
      </c>
      <c r="I2054">
        <v>280.78890000000001</v>
      </c>
      <c r="J2054">
        <v>-400.59660000000002</v>
      </c>
      <c r="K2054">
        <v>1.109923</v>
      </c>
      <c r="L2054">
        <v>286.11759999999998</v>
      </c>
      <c r="M2054">
        <v>-0.99988100000000002</v>
      </c>
      <c r="N2054">
        <v>0</v>
      </c>
      <c r="O2054">
        <v>4.343459E-3</v>
      </c>
      <c r="P2054">
        <v>-0.99449880000000002</v>
      </c>
      <c r="Q2054">
        <v>-3.4733680000000003E-2</v>
      </c>
      <c r="R2054">
        <v>9.8820870000000005E-2</v>
      </c>
      <c r="S2054">
        <v>-3.0585629999999999</v>
      </c>
      <c r="T2054">
        <v>-9.4734189999999996E-2</v>
      </c>
      <c r="U2054">
        <v>-0.45474239999999999</v>
      </c>
      <c r="V2054">
        <v>9.4499100000000003E-2</v>
      </c>
      <c r="W2054">
        <v>-2.0010219999999999E-2</v>
      </c>
      <c r="X2054">
        <v>0.99532379999999998</v>
      </c>
      <c r="Y2054">
        <v>-0.15128420000000001</v>
      </c>
      <c r="Z2054">
        <v>-2.4633290000000002E-3</v>
      </c>
      <c r="AA2054">
        <v>0.98848720000000001</v>
      </c>
      <c r="AB2054">
        <v>36</v>
      </c>
      <c r="AC2054">
        <v>-35.6221999999999</v>
      </c>
      <c r="AD2054">
        <v>-1.109917690639</v>
      </c>
      <c r="AE2054">
        <v>-5.3286999999999596</v>
      </c>
      <c r="AF2054">
        <v>-5.4781882959829398</v>
      </c>
      <c r="AG2054">
        <v>-1.109917690639</v>
      </c>
      <c r="AH2054">
        <v>35.564944818139303</v>
      </c>
      <c r="AI2054">
        <v>91.766695372345396</v>
      </c>
      <c r="AJ2054">
        <v>98.756640634070493</v>
      </c>
      <c r="AK2054">
        <v>36.001496693936701</v>
      </c>
      <c r="AL2054">
        <v>91.1465777038906</v>
      </c>
      <c r="AM2054">
        <v>84.576420033771697</v>
      </c>
      <c r="AN2054">
        <v>0.99999997782584804</v>
      </c>
    </row>
    <row r="2055" spans="1:40" x14ac:dyDescent="0.25">
      <c r="A2055" t="str">
        <f>"20190312161307042"</f>
        <v>20190312161307042</v>
      </c>
      <c r="B2055" t="str">
        <f>"1552378387038188"</f>
        <v>1552378387038188</v>
      </c>
      <c r="C2055" t="s">
        <v>40</v>
      </c>
      <c r="D2055">
        <v>5.2840299999999996</v>
      </c>
      <c r="E2055">
        <v>0.40511259999999999</v>
      </c>
      <c r="F2055" t="s">
        <v>74</v>
      </c>
      <c r="G2055">
        <v>-436.76920000000001</v>
      </c>
      <c r="H2055" s="1">
        <v>5.5585490000000001E-6</v>
      </c>
      <c r="I2055">
        <v>280.73059999999998</v>
      </c>
      <c r="J2055">
        <v>-400.8229</v>
      </c>
      <c r="K2055">
        <v>1.1099239999999999</v>
      </c>
      <c r="L2055">
        <v>286.11869999999999</v>
      </c>
      <c r="M2055">
        <v>-0.99988120000000003</v>
      </c>
      <c r="N2055">
        <v>0</v>
      </c>
      <c r="O2055">
        <v>4.3432979999999998E-3</v>
      </c>
      <c r="P2055">
        <v>-0.99452479999999999</v>
      </c>
      <c r="Q2055">
        <v>-3.462001E-2</v>
      </c>
      <c r="R2055">
        <v>9.8601300000000003E-2</v>
      </c>
      <c r="S2055">
        <v>-3.0585939999999998</v>
      </c>
      <c r="T2055">
        <v>-9.3849660000000001E-2</v>
      </c>
      <c r="U2055">
        <v>-0.4555054</v>
      </c>
      <c r="V2055">
        <v>9.4279680000000005E-2</v>
      </c>
      <c r="W2055">
        <v>-1.989863E-2</v>
      </c>
      <c r="X2055">
        <v>0.99534679999999998</v>
      </c>
      <c r="Y2055">
        <v>-0.1515251</v>
      </c>
      <c r="Z2055">
        <v>-2.4439409999999998E-3</v>
      </c>
      <c r="AA2055">
        <v>0.98845039999999995</v>
      </c>
      <c r="AB2055">
        <v>36</v>
      </c>
      <c r="AC2055">
        <v>-35.946300000000001</v>
      </c>
      <c r="AD2055">
        <v>-1.1099184414509999</v>
      </c>
      <c r="AE2055">
        <v>-5.3880999999999997</v>
      </c>
      <c r="AF2055">
        <v>-5.5390268893626899</v>
      </c>
      <c r="AG2055">
        <v>-1.1099184414509999</v>
      </c>
      <c r="AH2055">
        <v>35.889091522950601</v>
      </c>
      <c r="AI2055">
        <v>91.750669818339702</v>
      </c>
      <c r="AJ2055">
        <v>98.773652373138006</v>
      </c>
      <c r="AK2055">
        <v>36.330973399710601</v>
      </c>
      <c r="AL2055">
        <v>91.140182845649704</v>
      </c>
      <c r="AM2055">
        <v>84.589062651761793</v>
      </c>
      <c r="AN2055">
        <v>0.99999993290350697</v>
      </c>
    </row>
    <row r="2056" spans="1:40" x14ac:dyDescent="0.25">
      <c r="A2056" t="str">
        <f>"20190312161307056"</f>
        <v>20190312161307056</v>
      </c>
      <c r="B2056" t="str">
        <f>"1552378387047947"</f>
        <v>1552378387047947</v>
      </c>
      <c r="C2056" t="s">
        <v>40</v>
      </c>
      <c r="D2056">
        <v>5.3095290000000004</v>
      </c>
      <c r="E2056">
        <v>0.40505479999999999</v>
      </c>
      <c r="F2056" t="s">
        <v>74</v>
      </c>
      <c r="G2056">
        <v>-437.4468</v>
      </c>
      <c r="H2056" s="1">
        <v>5.8665389999999997E-6</v>
      </c>
      <c r="I2056">
        <v>280.6447</v>
      </c>
      <c r="J2056">
        <v>-401.06459999999998</v>
      </c>
      <c r="K2056">
        <v>1.10992</v>
      </c>
      <c r="L2056">
        <v>286.11970000000002</v>
      </c>
      <c r="M2056">
        <v>-0.99988120000000003</v>
      </c>
      <c r="N2056">
        <v>0</v>
      </c>
      <c r="O2056">
        <v>4.3433179999999997E-3</v>
      </c>
      <c r="P2056">
        <v>-0.99453590000000003</v>
      </c>
      <c r="Q2056">
        <v>-3.4959759999999999E-2</v>
      </c>
      <c r="R2056">
        <v>9.8368159999999996E-2</v>
      </c>
      <c r="S2056">
        <v>-3.058624</v>
      </c>
      <c r="T2056">
        <v>-9.2694159999999998E-2</v>
      </c>
      <c r="U2056">
        <v>-0.45715329999999899</v>
      </c>
      <c r="V2056">
        <v>9.4046459999999998E-2</v>
      </c>
      <c r="W2056">
        <v>-2.024082E-2</v>
      </c>
      <c r="X2056">
        <v>0.99536199999999997</v>
      </c>
      <c r="Y2056">
        <v>-0.15204609999999999</v>
      </c>
      <c r="Z2056">
        <v>-2.4215959999999998E-3</v>
      </c>
      <c r="AA2056">
        <v>0.98837039999999998</v>
      </c>
      <c r="AB2056">
        <v>36</v>
      </c>
      <c r="AC2056">
        <v>-36.382199999999997</v>
      </c>
      <c r="AD2056">
        <v>-1.1099141334610001</v>
      </c>
      <c r="AE2056">
        <v>-5.4750000000000201</v>
      </c>
      <c r="AF2056">
        <v>-5.6278633367649196</v>
      </c>
      <c r="AG2056">
        <v>-1.1099141334610001</v>
      </c>
      <c r="AH2056">
        <v>36.325016127125799</v>
      </c>
      <c r="AI2056">
        <v>91.729511815319796</v>
      </c>
      <c r="AJ2056">
        <v>98.806860371846199</v>
      </c>
      <c r="AK2056">
        <v>36.775148561996502</v>
      </c>
      <c r="AL2056">
        <v>91.159792797496806</v>
      </c>
      <c r="AM2056">
        <v>84.602450497121794</v>
      </c>
      <c r="AN2056">
        <v>0.99999996923840095</v>
      </c>
    </row>
    <row r="2057" spans="1:40" x14ac:dyDescent="0.25">
      <c r="A2057" t="str">
        <f>"20190312161307078"</f>
        <v>20190312161307078</v>
      </c>
      <c r="B2057" t="str">
        <f>"1552378387067467"</f>
        <v>1552378387067467</v>
      </c>
      <c r="C2057" t="s">
        <v>40</v>
      </c>
      <c r="D2057">
        <v>5.3251569999999999</v>
      </c>
      <c r="E2057">
        <v>0.40495029999999999</v>
      </c>
      <c r="F2057" t="s">
        <v>74</v>
      </c>
      <c r="G2057">
        <v>-437.63929999999999</v>
      </c>
      <c r="H2057" s="1">
        <v>5.952372E-6</v>
      </c>
      <c r="I2057">
        <v>280.6395</v>
      </c>
      <c r="J2057">
        <v>-401.40339999999998</v>
      </c>
      <c r="K2057">
        <v>1.1099220000000001</v>
      </c>
      <c r="L2057">
        <v>286.12119999999999</v>
      </c>
      <c r="M2057">
        <v>-0.99988140000000003</v>
      </c>
      <c r="N2057">
        <v>0</v>
      </c>
      <c r="O2057">
        <v>4.3430470000000001E-3</v>
      </c>
      <c r="P2057">
        <v>-0.99457260000000003</v>
      </c>
      <c r="Q2057">
        <v>-3.4823880000000002E-2</v>
      </c>
      <c r="R2057">
        <v>9.8046350000000004E-2</v>
      </c>
      <c r="S2057">
        <v>-3.0585629999999999</v>
      </c>
      <c r="T2057">
        <v>-9.2816709999999997E-2</v>
      </c>
      <c r="U2057">
        <v>-0.45828249999999998</v>
      </c>
      <c r="V2057">
        <v>9.3724879999999997E-2</v>
      </c>
      <c r="W2057">
        <v>-2.0108029999999999E-2</v>
      </c>
      <c r="X2057">
        <v>0.99539509999999998</v>
      </c>
      <c r="Y2057">
        <v>-0.15240529999999999</v>
      </c>
      <c r="Z2057">
        <v>-2.4301869999999999E-3</v>
      </c>
      <c r="AA2057">
        <v>0.9883151</v>
      </c>
      <c r="AB2057">
        <v>36</v>
      </c>
      <c r="AC2057">
        <v>-36.235900000000001</v>
      </c>
      <c r="AD2057">
        <v>-1.1099160476279999</v>
      </c>
      <c r="AE2057">
        <v>-5.4816999999999796</v>
      </c>
      <c r="AF2057">
        <v>-5.6338721676643102</v>
      </c>
      <c r="AG2057">
        <v>-1.1099160476279999</v>
      </c>
      <c r="AH2057">
        <v>36.178564461756302</v>
      </c>
      <c r="AI2057">
        <v>91.736302853220707</v>
      </c>
      <c r="AJ2057">
        <v>98.851239615687405</v>
      </c>
      <c r="AK2057">
        <v>36.631420334841202</v>
      </c>
      <c r="AL2057">
        <v>91.152182853964106</v>
      </c>
      <c r="AM2057">
        <v>84.620976116321998</v>
      </c>
      <c r="AN2057">
        <v>1.00000004555275</v>
      </c>
    </row>
    <row r="2058" spans="1:40" x14ac:dyDescent="0.25">
      <c r="A2058" t="str">
        <f>"20190312161307100"</f>
        <v>20190312161307100</v>
      </c>
      <c r="B2058" t="str">
        <f>"1552378387087963"</f>
        <v>1552378387087963</v>
      </c>
      <c r="C2058" t="s">
        <v>40</v>
      </c>
      <c r="D2058">
        <v>5.3211040000000001</v>
      </c>
      <c r="E2058">
        <v>0.40484429999999999</v>
      </c>
      <c r="F2058" t="s">
        <v>74</v>
      </c>
      <c r="G2058">
        <v>-438.67700000000002</v>
      </c>
      <c r="H2058" s="1">
        <v>6.423509E-6</v>
      </c>
      <c r="I2058">
        <v>280.51420000000002</v>
      </c>
      <c r="J2058">
        <v>-401.76479999999998</v>
      </c>
      <c r="K2058">
        <v>1.1099270000000001</v>
      </c>
      <c r="L2058">
        <v>286.12270000000001</v>
      </c>
      <c r="M2058">
        <v>-0.99988129999999997</v>
      </c>
      <c r="N2058">
        <v>0</v>
      </c>
      <c r="O2058">
        <v>4.3430739999999997E-3</v>
      </c>
      <c r="P2058">
        <v>-0.99461169999999999</v>
      </c>
      <c r="Q2058">
        <v>-3.448441E-2</v>
      </c>
      <c r="R2058">
        <v>9.7766400000000003E-2</v>
      </c>
      <c r="S2058">
        <v>-3.0585330000000002</v>
      </c>
      <c r="T2058">
        <v>-9.1075299999999998E-2</v>
      </c>
      <c r="U2058">
        <v>-0.46008300000000002</v>
      </c>
      <c r="V2058">
        <v>9.3444589999999994E-2</v>
      </c>
      <c r="W2058">
        <v>-1.9771790000000001E-2</v>
      </c>
      <c r="X2058">
        <v>0.99542810000000004</v>
      </c>
      <c r="Y2058">
        <v>-0.15297810000000001</v>
      </c>
      <c r="Z2058">
        <v>-2.3930129999999998E-3</v>
      </c>
      <c r="AA2058">
        <v>0.98822670000000001</v>
      </c>
      <c r="AB2058">
        <v>36</v>
      </c>
      <c r="AC2058">
        <v>-36.912199999999899</v>
      </c>
      <c r="AD2058">
        <v>-1.1099205764910001</v>
      </c>
      <c r="AE2058">
        <v>-5.6084999999999896</v>
      </c>
      <c r="AF2058">
        <v>-5.76368334687412</v>
      </c>
      <c r="AG2058">
        <v>-1.1099205764910001</v>
      </c>
      <c r="AH2058">
        <v>36.854920299805897</v>
      </c>
      <c r="AI2058">
        <v>91.704291999482606</v>
      </c>
      <c r="AJ2058">
        <v>98.888401756607195</v>
      </c>
      <c r="AK2058">
        <v>37.319393346009797</v>
      </c>
      <c r="AL2058">
        <v>91.132913989234794</v>
      </c>
      <c r="AM2058">
        <v>84.637145239042795</v>
      </c>
      <c r="AN2058">
        <v>0.99999995867484004</v>
      </c>
    </row>
    <row r="2059" spans="1:40" x14ac:dyDescent="0.25">
      <c r="A2059" t="str">
        <f>"20190312161307123"</f>
        <v>20190312161307123</v>
      </c>
      <c r="B2059" t="str">
        <f>"1552378387118218"</f>
        <v>1552378387118218</v>
      </c>
      <c r="C2059" t="s">
        <v>40</v>
      </c>
      <c r="D2059">
        <v>5.3667689999999997</v>
      </c>
      <c r="E2059">
        <v>0.40469090000000002</v>
      </c>
      <c r="F2059" t="s">
        <v>74</v>
      </c>
      <c r="G2059">
        <v>-439.6026</v>
      </c>
      <c r="H2059" s="1">
        <v>6.8430969999999999E-6</v>
      </c>
      <c r="I2059">
        <v>280.40969999999999</v>
      </c>
      <c r="J2059">
        <v>-402.1277</v>
      </c>
      <c r="K2059">
        <v>1.109928</v>
      </c>
      <c r="L2059">
        <v>286.12430000000001</v>
      </c>
      <c r="M2059">
        <v>-0.99988129999999997</v>
      </c>
      <c r="N2059">
        <v>0</v>
      </c>
      <c r="O2059">
        <v>4.3429239999999997E-3</v>
      </c>
      <c r="P2059">
        <v>-0.9946062</v>
      </c>
      <c r="Q2059">
        <v>-3.4661089999999999E-2</v>
      </c>
      <c r="R2059">
        <v>9.7760890000000003E-2</v>
      </c>
      <c r="S2059">
        <v>-3.0585019999999998</v>
      </c>
      <c r="T2059">
        <v>-8.9717030000000003E-2</v>
      </c>
      <c r="U2059">
        <v>-0.46179199999999998</v>
      </c>
      <c r="V2059">
        <v>9.3439240000000007E-2</v>
      </c>
      <c r="W2059">
        <v>-1.995241E-2</v>
      </c>
      <c r="X2059">
        <v>0.995425</v>
      </c>
      <c r="Y2059">
        <v>-0.15352109999999999</v>
      </c>
      <c r="Z2059">
        <v>-2.3651779999999999E-3</v>
      </c>
      <c r="AA2059">
        <v>0.98814250000000003</v>
      </c>
      <c r="AB2059">
        <v>36</v>
      </c>
      <c r="AC2059">
        <v>-37.474899999999899</v>
      </c>
      <c r="AD2059">
        <v>-1.1099211569030001</v>
      </c>
      <c r="AE2059">
        <v>-5.7146000000000097</v>
      </c>
      <c r="AF2059">
        <v>-5.8722803671939499</v>
      </c>
      <c r="AG2059">
        <v>-1.1099211569030001</v>
      </c>
      <c r="AH2059">
        <v>37.417648525618198</v>
      </c>
      <c r="AI2059">
        <v>91.6785354333513</v>
      </c>
      <c r="AJ2059">
        <v>98.919179149983904</v>
      </c>
      <c r="AK2059">
        <v>37.891899172147198</v>
      </c>
      <c r="AL2059">
        <v>91.143264793278107</v>
      </c>
      <c r="AM2059">
        <v>84.637433886585697</v>
      </c>
      <c r="AN2059">
        <v>0.99999996043079198</v>
      </c>
    </row>
    <row r="2060" spans="1:40" x14ac:dyDescent="0.25">
      <c r="A2060" t="str">
        <f>"20190312161307145"</f>
        <v>20190312161307145</v>
      </c>
      <c r="B2060" t="str">
        <f>"1552378387137739"</f>
        <v>1552378387137739</v>
      </c>
      <c r="C2060" t="s">
        <v>40</v>
      </c>
      <c r="D2060">
        <v>5.4057839999999997</v>
      </c>
      <c r="E2060">
        <v>0.40461439999999999</v>
      </c>
      <c r="F2060" t="s">
        <v>74</v>
      </c>
      <c r="G2060">
        <v>-439.93740000000003</v>
      </c>
      <c r="H2060" s="1">
        <v>6.9923409999999996E-6</v>
      </c>
      <c r="I2060">
        <v>280.4008</v>
      </c>
      <c r="J2060">
        <v>-402.49130000000002</v>
      </c>
      <c r="K2060">
        <v>1.1099270000000001</v>
      </c>
      <c r="L2060">
        <v>286.1259</v>
      </c>
      <c r="M2060">
        <v>-0.99988149999999998</v>
      </c>
      <c r="N2060">
        <v>0</v>
      </c>
      <c r="O2060">
        <v>4.3427739999999998E-3</v>
      </c>
      <c r="P2060">
        <v>-0.99458639999999998</v>
      </c>
      <c r="Q2060">
        <v>-3.4753989999999998E-2</v>
      </c>
      <c r="R2060">
        <v>9.7929699999999995E-2</v>
      </c>
      <c r="S2060">
        <v>-3.0586549999999999</v>
      </c>
      <c r="T2060">
        <v>-8.9788199999999999E-2</v>
      </c>
      <c r="U2060">
        <v>-0.4630127</v>
      </c>
      <c r="V2060">
        <v>9.3608280000000002E-2</v>
      </c>
      <c r="W2060">
        <v>-2.0049520000000001E-2</v>
      </c>
      <c r="X2060">
        <v>0.99540720000000005</v>
      </c>
      <c r="Y2060">
        <v>-0.15389900000000001</v>
      </c>
      <c r="Z2060">
        <v>-2.3723759999999998E-3</v>
      </c>
      <c r="AA2060">
        <v>0.98808370000000001</v>
      </c>
      <c r="AB2060">
        <v>36</v>
      </c>
      <c r="AC2060">
        <v>-37.446100000000001</v>
      </c>
      <c r="AD2060">
        <v>-1.1099200076589999</v>
      </c>
      <c r="AE2060">
        <v>-5.7250999999999896</v>
      </c>
      <c r="AF2060">
        <v>-5.88263350619739</v>
      </c>
      <c r="AG2060">
        <v>-1.1099200076589999</v>
      </c>
      <c r="AH2060">
        <v>37.388783378937198</v>
      </c>
      <c r="AI2060">
        <v>91.679726345910595</v>
      </c>
      <c r="AJ2060">
        <v>98.941437047804399</v>
      </c>
      <c r="AK2060">
        <v>37.865002600669797</v>
      </c>
      <c r="AL2060">
        <v>91.148829861807798</v>
      </c>
      <c r="AM2060">
        <v>84.627693725809294</v>
      </c>
      <c r="AN2060">
        <v>0.99999999357431402</v>
      </c>
    </row>
    <row r="2061" spans="1:40" x14ac:dyDescent="0.25">
      <c r="A2061" t="str">
        <f>"20190312161307167"</f>
        <v>20190312161307167</v>
      </c>
      <c r="B2061" t="str">
        <f>"1552378387158234"</f>
        <v>1552378387158234</v>
      </c>
      <c r="C2061" t="s">
        <v>40</v>
      </c>
      <c r="D2061">
        <v>5.4177780000000002</v>
      </c>
      <c r="E2061">
        <v>0.40450920000000001</v>
      </c>
      <c r="F2061" t="s">
        <v>69</v>
      </c>
      <c r="G2061">
        <v>-440.05829999999997</v>
      </c>
      <c r="H2061" s="1">
        <v>-1.3230770000000001E-6</v>
      </c>
      <c r="I2061">
        <v>280.43740000000003</v>
      </c>
      <c r="J2061">
        <v>-402.84589999999997</v>
      </c>
      <c r="K2061">
        <v>1.109923</v>
      </c>
      <c r="L2061">
        <v>286.12740000000002</v>
      </c>
      <c r="M2061">
        <v>-0.99988149999999998</v>
      </c>
      <c r="N2061">
        <v>0</v>
      </c>
      <c r="O2061">
        <v>4.3428030000000001E-3</v>
      </c>
      <c r="P2061">
        <v>-0.99461500000000003</v>
      </c>
      <c r="Q2061">
        <v>-3.4460459999999998E-2</v>
      </c>
      <c r="R2061">
        <v>9.77436E-2</v>
      </c>
      <c r="S2061">
        <v>-3.0587770000000001</v>
      </c>
      <c r="T2061">
        <v>-9.0372320000000006E-2</v>
      </c>
      <c r="U2061">
        <v>-0.4631653</v>
      </c>
      <c r="V2061">
        <v>9.3422190000000002E-2</v>
      </c>
      <c r="W2061">
        <v>-1.975944E-2</v>
      </c>
      <c r="X2061">
        <v>0.9954305</v>
      </c>
      <c r="Y2061">
        <v>-0.15394050000000001</v>
      </c>
      <c r="Z2061">
        <v>-2.3883099999999998E-3</v>
      </c>
      <c r="AA2061">
        <v>0.98807719999999999</v>
      </c>
      <c r="AB2061">
        <v>36</v>
      </c>
      <c r="AC2061">
        <v>-37.212400000000002</v>
      </c>
      <c r="AD2061">
        <v>-1.109924323077</v>
      </c>
      <c r="AE2061">
        <v>-5.6899999999999897</v>
      </c>
      <c r="AF2061">
        <v>-5.8464876756818898</v>
      </c>
      <c r="AG2061">
        <v>-1.109924323077</v>
      </c>
      <c r="AH2061">
        <v>37.155036545296603</v>
      </c>
      <c r="AI2061">
        <v>91.6902897585597</v>
      </c>
      <c r="AJ2061">
        <v>98.942386829325002</v>
      </c>
      <c r="AK2061">
        <v>37.628580770833999</v>
      </c>
      <c r="AL2061">
        <v>91.132206189163398</v>
      </c>
      <c r="AM2061">
        <v>84.638436150736993</v>
      </c>
      <c r="AN2061">
        <v>1.0000000106918701</v>
      </c>
    </row>
    <row r="2062" spans="1:40" x14ac:dyDescent="0.25">
      <c r="A2062" t="str">
        <f>"20190312161307211"</f>
        <v>20190312161307211</v>
      </c>
      <c r="B2062" t="str">
        <f>"1552378387207542"</f>
        <v>1552378387207542</v>
      </c>
      <c r="C2062" t="s">
        <v>40</v>
      </c>
      <c r="D2062">
        <v>5.444623</v>
      </c>
      <c r="E2062">
        <v>0.40410829999999998</v>
      </c>
      <c r="F2062" t="s">
        <v>69</v>
      </c>
      <c r="G2062">
        <v>-440.48270000000002</v>
      </c>
      <c r="H2062" s="1">
        <v>-1.0961190000000001E-6</v>
      </c>
      <c r="I2062">
        <v>280.41109999999998</v>
      </c>
      <c r="J2062">
        <v>-403.56020000000001</v>
      </c>
      <c r="K2062">
        <v>1.1099330000000001</v>
      </c>
      <c r="L2062">
        <v>286.13049999999998</v>
      </c>
      <c r="M2062">
        <v>-0.99988160000000004</v>
      </c>
      <c r="N2062">
        <v>0</v>
      </c>
      <c r="O2062">
        <v>4.3426810000000001E-3</v>
      </c>
      <c r="P2062">
        <v>-0.99466480000000002</v>
      </c>
      <c r="Q2062">
        <v>-3.3991340000000002E-2</v>
      </c>
      <c r="R2062">
        <v>9.7399669999999994E-2</v>
      </c>
      <c r="S2062">
        <v>-3.0587770000000001</v>
      </c>
      <c r="T2062">
        <v>-9.0204480000000004E-2</v>
      </c>
      <c r="U2062">
        <v>-0.46456910000000001</v>
      </c>
      <c r="V2062">
        <v>9.3078140000000004E-2</v>
      </c>
      <c r="W2062">
        <v>-1.9297330000000001E-2</v>
      </c>
      <c r="X2062">
        <v>0.99547180000000002</v>
      </c>
      <c r="Y2062">
        <v>-0.15438370000000001</v>
      </c>
      <c r="Z2062">
        <v>-2.390288E-3</v>
      </c>
      <c r="AA2062">
        <v>0.98800809999999994</v>
      </c>
      <c r="AB2062">
        <v>36</v>
      </c>
      <c r="AC2062">
        <v>-36.922499999999999</v>
      </c>
      <c r="AD2062">
        <v>-1.1099340961190001</v>
      </c>
      <c r="AE2062">
        <v>-5.7194000000000003</v>
      </c>
      <c r="AF2062">
        <v>-5.8745219090243301</v>
      </c>
      <c r="AG2062">
        <v>-1.1099340961190001</v>
      </c>
      <c r="AH2062">
        <v>36.864778384202999</v>
      </c>
      <c r="AI2062">
        <v>91.703079791183995</v>
      </c>
      <c r="AJ2062">
        <v>99.054141679374695</v>
      </c>
      <c r="AK2062">
        <v>37.346403396762803</v>
      </c>
      <c r="AL2062">
        <v>91.105724180802397</v>
      </c>
      <c r="AM2062">
        <v>84.658287324619195</v>
      </c>
      <c r="AN2062">
        <v>1.0000000158431099</v>
      </c>
    </row>
    <row r="2063" spans="1:40" x14ac:dyDescent="0.25">
      <c r="A2063" t="str">
        <f>"20190312161307233"</f>
        <v>20190312161307233</v>
      </c>
      <c r="B2063" t="str">
        <f>"1552378387228037"</f>
        <v>1552378387228037</v>
      </c>
      <c r="C2063" t="s">
        <v>40</v>
      </c>
      <c r="D2063">
        <v>5.5234170000000002</v>
      </c>
      <c r="E2063">
        <v>0.40390979999999999</v>
      </c>
      <c r="F2063" t="s">
        <v>69</v>
      </c>
      <c r="G2063">
        <v>-441.34300000000002</v>
      </c>
      <c r="H2063" s="1">
        <v>-6.3518589999999996E-7</v>
      </c>
      <c r="I2063">
        <v>280.33999999999997</v>
      </c>
      <c r="J2063">
        <v>-403.92520000000002</v>
      </c>
      <c r="K2063">
        <v>1.1099429999999999</v>
      </c>
      <c r="L2063">
        <v>286.13209999999998</v>
      </c>
      <c r="M2063">
        <v>-0.99988169999999998</v>
      </c>
      <c r="N2063">
        <v>0</v>
      </c>
      <c r="O2063">
        <v>4.3425900000000003E-3</v>
      </c>
      <c r="P2063">
        <v>-0.9946488</v>
      </c>
      <c r="Q2063">
        <v>-3.4000860000000001E-2</v>
      </c>
      <c r="R2063">
        <v>9.7560160000000007E-2</v>
      </c>
      <c r="S2063">
        <v>-3.0589599999999999</v>
      </c>
      <c r="T2063">
        <v>-8.9861990000000003E-2</v>
      </c>
      <c r="U2063">
        <v>-0.46881099999999998</v>
      </c>
      <c r="V2063">
        <v>9.3238710000000002E-2</v>
      </c>
      <c r="W2063">
        <v>-1.931101E-2</v>
      </c>
      <c r="X2063">
        <v>0.99545649999999997</v>
      </c>
      <c r="Y2063">
        <v>-0.15571360000000001</v>
      </c>
      <c r="Z2063">
        <v>-2.4002419999999999E-3</v>
      </c>
      <c r="AA2063">
        <v>0.98779930000000005</v>
      </c>
      <c r="AB2063">
        <v>36</v>
      </c>
      <c r="AC2063">
        <v>-37.4178</v>
      </c>
      <c r="AD2063">
        <v>-1.1099436351859</v>
      </c>
      <c r="AE2063">
        <v>-5.7920999999999996</v>
      </c>
      <c r="AF2063">
        <v>-5.9494406771794797</v>
      </c>
      <c r="AG2063">
        <v>-1.1099436351859</v>
      </c>
      <c r="AH2063">
        <v>37.360186797290602</v>
      </c>
      <c r="AI2063">
        <v>91.680551981742497</v>
      </c>
      <c r="AJ2063">
        <v>99.048119936341905</v>
      </c>
      <c r="AK2063">
        <v>37.847210951046499</v>
      </c>
      <c r="AL2063">
        <v>91.106508142070595</v>
      </c>
      <c r="AM2063">
        <v>84.6490439616326</v>
      </c>
      <c r="AN2063">
        <v>1.0000000077709601</v>
      </c>
    </row>
    <row r="2064" spans="1:40" x14ac:dyDescent="0.25">
      <c r="A2064" t="str">
        <f>"20190312161307256"</f>
        <v>20190312161307256</v>
      </c>
      <c r="B2064" t="str">
        <f>"1552378387247557"</f>
        <v>1552378387247557</v>
      </c>
      <c r="C2064" t="s">
        <v>40</v>
      </c>
      <c r="D2064">
        <v>5.4350449999999997</v>
      </c>
      <c r="E2064">
        <v>0.40410220000000002</v>
      </c>
      <c r="F2064" t="s">
        <v>69</v>
      </c>
      <c r="G2064">
        <v>-442.06369999999998</v>
      </c>
      <c r="H2064" s="1">
        <v>-2.4886429999999899E-7</v>
      </c>
      <c r="I2064">
        <v>280.27609999999999</v>
      </c>
      <c r="J2064">
        <v>-404.28120000000001</v>
      </c>
      <c r="K2064">
        <v>1.1099399999999999</v>
      </c>
      <c r="L2064">
        <v>286.1336</v>
      </c>
      <c r="M2064">
        <v>-0.99988160000000004</v>
      </c>
      <c r="N2064">
        <v>0</v>
      </c>
      <c r="O2064">
        <v>4.343581E-3</v>
      </c>
      <c r="P2064">
        <v>-0.99466460000000001</v>
      </c>
      <c r="Q2064">
        <v>-3.307007E-2</v>
      </c>
      <c r="R2064">
        <v>9.7717970000000001E-2</v>
      </c>
      <c r="S2064">
        <v>-3.0591740000000001</v>
      </c>
      <c r="T2064">
        <v>-8.9030860000000003E-2</v>
      </c>
      <c r="U2064">
        <v>-0.46972659999999999</v>
      </c>
      <c r="V2064">
        <v>9.3395599999999995E-2</v>
      </c>
      <c r="W2064">
        <v>-1.8383980000000001E-2</v>
      </c>
      <c r="X2064">
        <v>0.99545930000000005</v>
      </c>
      <c r="Y2064">
        <v>-0.1559942</v>
      </c>
      <c r="Z2064">
        <v>-2.3819219999999999E-3</v>
      </c>
      <c r="AA2064">
        <v>0.9877551</v>
      </c>
      <c r="AB2064">
        <v>36</v>
      </c>
      <c r="AC2064">
        <v>-37.782499999999899</v>
      </c>
      <c r="AD2064">
        <v>-1.1099402488643</v>
      </c>
      <c r="AE2064">
        <v>-5.8575000000000097</v>
      </c>
      <c r="AF2064">
        <v>-6.01650350715156</v>
      </c>
      <c r="AG2064">
        <v>-1.1099402488643</v>
      </c>
      <c r="AH2064">
        <v>37.724905229731</v>
      </c>
      <c r="AI2064">
        <v>91.664247220831399</v>
      </c>
      <c r="AJ2064">
        <v>99.061425313708696</v>
      </c>
      <c r="AK2064">
        <v>38.217780631530701</v>
      </c>
      <c r="AL2064">
        <v>91.053383844387</v>
      </c>
      <c r="AM2064">
        <v>84.640107450320798</v>
      </c>
      <c r="AN2064">
        <v>0.99999996338824404</v>
      </c>
    </row>
    <row r="2065" spans="1:40" x14ac:dyDescent="0.25">
      <c r="A2065" t="str">
        <f>"20190312161307277"</f>
        <v>20190312161307277</v>
      </c>
      <c r="B2065" t="str">
        <f>"1552378387268054"</f>
        <v>1552378387268054</v>
      </c>
      <c r="C2065" t="s">
        <v>40</v>
      </c>
      <c r="D2065">
        <v>5.4010629999999997</v>
      </c>
      <c r="E2065">
        <v>0.45597149999999997</v>
      </c>
      <c r="F2065" t="s">
        <v>69</v>
      </c>
      <c r="G2065">
        <v>-443.30259999999998</v>
      </c>
      <c r="H2065" s="1">
        <v>4.152042E-7</v>
      </c>
      <c r="I2065">
        <v>280.16579999999999</v>
      </c>
      <c r="J2065">
        <v>-404.63229999999999</v>
      </c>
      <c r="K2065">
        <v>1.109945</v>
      </c>
      <c r="L2065">
        <v>286.1352</v>
      </c>
      <c r="M2065">
        <v>-0.99988180000000004</v>
      </c>
      <c r="N2065">
        <v>0</v>
      </c>
      <c r="O2065">
        <v>4.3497370000000002E-3</v>
      </c>
      <c r="P2065">
        <v>-0.99469929999999995</v>
      </c>
      <c r="Q2065">
        <v>-3.315075E-2</v>
      </c>
      <c r="R2065">
        <v>9.733754E-2</v>
      </c>
      <c r="S2065">
        <v>-3.0591740000000001</v>
      </c>
      <c r="T2065">
        <v>-8.7016339999999998E-2</v>
      </c>
      <c r="U2065">
        <v>-0.46786499999999998</v>
      </c>
      <c r="V2065">
        <v>9.3008629999999995E-2</v>
      </c>
      <c r="W2065">
        <v>-1.8468459999999999E-2</v>
      </c>
      <c r="X2065">
        <v>0.99549399999999999</v>
      </c>
      <c r="Y2065">
        <v>-0.1554161</v>
      </c>
      <c r="Z2065">
        <v>-2.320155E-3</v>
      </c>
      <c r="AA2065">
        <v>0.98784640000000001</v>
      </c>
      <c r="AB2065">
        <v>36</v>
      </c>
      <c r="AC2065">
        <v>-38.670299999999997</v>
      </c>
      <c r="AD2065">
        <v>-1.1099445847958</v>
      </c>
      <c r="AE2065">
        <v>-5.9694000000000003</v>
      </c>
      <c r="AF2065">
        <v>-6.13263267222771</v>
      </c>
      <c r="AG2065">
        <v>-1.1099445847958</v>
      </c>
      <c r="AH2065">
        <v>38.612895149516099</v>
      </c>
      <c r="AI2065">
        <v>91.626167805408301</v>
      </c>
      <c r="AJ2065">
        <v>99.024535392309105</v>
      </c>
      <c r="AK2065">
        <v>39.112617303132701</v>
      </c>
      <c r="AL2065">
        <v>91.058224978734003</v>
      </c>
      <c r="AM2065">
        <v>84.662371769386795</v>
      </c>
      <c r="AN2065">
        <v>0.99999999665262396</v>
      </c>
    </row>
    <row r="2066" spans="1:40" x14ac:dyDescent="0.25">
      <c r="A2066" t="str">
        <f>"20190312161307301"</f>
        <v>20190312161307301</v>
      </c>
      <c r="B2066" t="str">
        <f>"1552378387298309"</f>
        <v>1552378387298309</v>
      </c>
      <c r="C2066" t="s">
        <v>40</v>
      </c>
      <c r="D2066">
        <v>5.4103469999999998</v>
      </c>
      <c r="E2066">
        <v>0.46231349999999999</v>
      </c>
      <c r="F2066" t="s">
        <v>74</v>
      </c>
      <c r="G2066">
        <v>-434.31369999999998</v>
      </c>
      <c r="H2066" s="1">
        <v>4.0470780000000004E-6</v>
      </c>
      <c r="I2066">
        <v>285.56400000000002</v>
      </c>
      <c r="J2066">
        <v>-405.00380000000001</v>
      </c>
      <c r="K2066">
        <v>1.1099349999999999</v>
      </c>
      <c r="L2066">
        <v>286.13679999999999</v>
      </c>
      <c r="M2066">
        <v>-0.99988169999999998</v>
      </c>
      <c r="N2066">
        <v>0</v>
      </c>
      <c r="O2066">
        <v>4.3658560000000004E-3</v>
      </c>
      <c r="P2066">
        <v>-0.99466060000000001</v>
      </c>
      <c r="Q2066">
        <v>-3.2978470000000003E-2</v>
      </c>
      <c r="R2066">
        <v>9.7790429999999998E-2</v>
      </c>
      <c r="S2066">
        <v>-3.0179140000000002</v>
      </c>
      <c r="T2066">
        <v>-0.1128556</v>
      </c>
      <c r="U2066">
        <v>-5.807495E-2</v>
      </c>
      <c r="V2066">
        <v>9.3445500000000001E-2</v>
      </c>
      <c r="W2066">
        <v>-1.8302189999999999E-2</v>
      </c>
      <c r="X2066">
        <v>0.99545620000000001</v>
      </c>
      <c r="Y2066">
        <v>-2.3585660000000001E-2</v>
      </c>
      <c r="Z2066">
        <v>-6.0400969999999999E-4</v>
      </c>
      <c r="AA2066">
        <v>0.99972159999999999</v>
      </c>
      <c r="AB2066">
        <v>36</v>
      </c>
      <c r="AC2066">
        <v>-29.309899999999899</v>
      </c>
      <c r="AD2066">
        <v>-1.1099309529220001</v>
      </c>
      <c r="AE2066">
        <v>-0.572799999999972</v>
      </c>
      <c r="AF2066">
        <v>-0.69976814543399002</v>
      </c>
      <c r="AG2066">
        <v>-1.1099309529220001</v>
      </c>
      <c r="AH2066">
        <v>29.2651679788016</v>
      </c>
      <c r="AI2066">
        <v>92.171378180399401</v>
      </c>
      <c r="AJ2066">
        <v>91.369755431286606</v>
      </c>
      <c r="AK2066">
        <v>29.294567397473099</v>
      </c>
      <c r="AL2066">
        <v>91.048696754654699</v>
      </c>
      <c r="AM2066">
        <v>84.637243820894298</v>
      </c>
      <c r="AN2066">
        <v>1.00000003887374</v>
      </c>
    </row>
    <row r="2067" spans="1:40" x14ac:dyDescent="0.25">
      <c r="A2067" t="str">
        <f>"20190312161307323"</f>
        <v>20190312161307323</v>
      </c>
      <c r="B2067" t="str">
        <f>"1552378387317829"</f>
        <v>1552378387317829</v>
      </c>
      <c r="C2067" t="s">
        <v>40</v>
      </c>
      <c r="D2067">
        <v>5.4543350000000004</v>
      </c>
      <c r="E2067">
        <v>0.46372740000000001</v>
      </c>
      <c r="F2067" t="s">
        <v>74</v>
      </c>
      <c r="G2067">
        <v>-438.36750000000001</v>
      </c>
      <c r="H2067" s="1">
        <v>5.8005060000000004E-6</v>
      </c>
      <c r="I2067">
        <v>286.07060000000001</v>
      </c>
      <c r="J2067">
        <v>-405.35789999999997</v>
      </c>
      <c r="K2067">
        <v>1.109934</v>
      </c>
      <c r="L2067">
        <v>286.13839999999999</v>
      </c>
      <c r="M2067">
        <v>-0.99988169999999998</v>
      </c>
      <c r="N2067">
        <v>0</v>
      </c>
      <c r="O2067">
        <v>4.3926290000000003E-3</v>
      </c>
      <c r="P2067">
        <v>-0.99452600000000002</v>
      </c>
      <c r="Q2067">
        <v>-3.3310380000000001E-2</v>
      </c>
      <c r="R2067">
        <v>9.9038200000000007E-2</v>
      </c>
      <c r="S2067">
        <v>-3.0133359999999998</v>
      </c>
      <c r="T2067">
        <v>-0.1002464</v>
      </c>
      <c r="U2067">
        <v>-5.9814450000000002E-3</v>
      </c>
      <c r="V2067">
        <v>9.4666529999999999E-2</v>
      </c>
      <c r="W2067">
        <v>-1.8641890000000001E-2</v>
      </c>
      <c r="X2067">
        <v>0.99533450000000001</v>
      </c>
      <c r="Y2067">
        <v>-6.3721100000000003E-3</v>
      </c>
      <c r="Z2067">
        <v>-2.5207019999999998E-4</v>
      </c>
      <c r="AA2067">
        <v>0.99997970000000003</v>
      </c>
      <c r="AB2067">
        <v>36</v>
      </c>
      <c r="AC2067">
        <v>-33.009599999999999</v>
      </c>
      <c r="AD2067">
        <v>-1.109928199494</v>
      </c>
      <c r="AE2067">
        <v>-6.7799999999976907E-2</v>
      </c>
      <c r="AF2067">
        <v>-0.212573693070474</v>
      </c>
      <c r="AG2067">
        <v>-1.109928199494</v>
      </c>
      <c r="AH2067">
        <v>32.971705937061103</v>
      </c>
      <c r="AI2067">
        <v>91.927982617261904</v>
      </c>
      <c r="AJ2067">
        <v>90.369389643490607</v>
      </c>
      <c r="AK2067">
        <v>32.991067284691603</v>
      </c>
      <c r="AL2067">
        <v>91.068163472526393</v>
      </c>
      <c r="AM2067">
        <v>84.5669262440084</v>
      </c>
      <c r="AN2067">
        <v>1.0000000194276299</v>
      </c>
    </row>
    <row r="2068" spans="1:40" x14ac:dyDescent="0.25">
      <c r="A2068" t="str">
        <f>"20190312161307346"</f>
        <v>20190312161307346</v>
      </c>
      <c r="B2068" t="str">
        <f>"1552378387337349"</f>
        <v>1552378387337349</v>
      </c>
      <c r="C2068" t="s">
        <v>40</v>
      </c>
      <c r="D2068">
        <v>5.4236060000000004</v>
      </c>
      <c r="E2068">
        <v>0.4643198</v>
      </c>
      <c r="F2068" t="s">
        <v>74</v>
      </c>
      <c r="G2068">
        <v>-436.81259999999997</v>
      </c>
      <c r="H2068" s="1">
        <v>5.096959E-6</v>
      </c>
      <c r="I2068">
        <v>286.23079999999999</v>
      </c>
      <c r="J2068">
        <v>-405.71800000000002</v>
      </c>
      <c r="K2068">
        <v>1.109928</v>
      </c>
      <c r="L2068">
        <v>286.14</v>
      </c>
      <c r="M2068">
        <v>-0.99988149999999998</v>
      </c>
      <c r="N2068">
        <v>0</v>
      </c>
      <c r="O2068">
        <v>4.4308630000000002E-3</v>
      </c>
      <c r="P2068">
        <v>-0.99444200000000005</v>
      </c>
      <c r="Q2068">
        <v>-3.248318E-2</v>
      </c>
      <c r="R2068">
        <v>0.1001489</v>
      </c>
      <c r="S2068">
        <v>-3.012146</v>
      </c>
      <c r="T2068">
        <v>-0.1062882</v>
      </c>
      <c r="U2068">
        <v>8.8500980000000007E-3</v>
      </c>
      <c r="V2068">
        <v>9.5739169999999998E-2</v>
      </c>
      <c r="W2068">
        <v>-1.7822190000000002E-2</v>
      </c>
      <c r="X2068">
        <v>0.99524690000000005</v>
      </c>
      <c r="Y2068">
        <v>-1.4895450000000001E-3</v>
      </c>
      <c r="Z2068">
        <v>-1.8258940000000001E-4</v>
      </c>
      <c r="AA2068">
        <v>0.99999890000000002</v>
      </c>
      <c r="AB2068">
        <v>36</v>
      </c>
      <c r="AC2068">
        <v>-31.0945999999999</v>
      </c>
      <c r="AD2068">
        <v>-1.1099229030410001</v>
      </c>
      <c r="AE2068">
        <v>9.0800000000001505E-2</v>
      </c>
      <c r="AF2068">
        <v>-4.6931982425716397E-2</v>
      </c>
      <c r="AG2068">
        <v>-1.1099229030410001</v>
      </c>
      <c r="AH2068">
        <v>31.0551289547167</v>
      </c>
      <c r="AI2068">
        <v>92.046900801581003</v>
      </c>
      <c r="AJ2068">
        <v>90.086588031045906</v>
      </c>
      <c r="AK2068">
        <v>31.074992612320202</v>
      </c>
      <c r="AL2068">
        <v>91.021190328075903</v>
      </c>
      <c r="AM2068">
        <v>84.505259569247102</v>
      </c>
      <c r="AN2068">
        <v>1.00000000554414</v>
      </c>
    </row>
    <row r="2069" spans="1:40" x14ac:dyDescent="0.25">
      <c r="A2069" t="str">
        <f>"20190312161307367"</f>
        <v>20190312161307367</v>
      </c>
      <c r="B2069" t="str">
        <f>"1552378387357849"</f>
        <v>1552378387357849</v>
      </c>
      <c r="C2069" t="s">
        <v>40</v>
      </c>
      <c r="D2069">
        <v>5.4519859999999998</v>
      </c>
      <c r="E2069">
        <v>0.4646034</v>
      </c>
      <c r="F2069" t="s">
        <v>74</v>
      </c>
      <c r="G2069">
        <v>-437.4178</v>
      </c>
      <c r="H2069" s="1">
        <v>5.3576530000000002E-6</v>
      </c>
      <c r="I2069">
        <v>286.31889999999999</v>
      </c>
      <c r="J2069">
        <v>-406.0643</v>
      </c>
      <c r="K2069">
        <v>1.109917</v>
      </c>
      <c r="L2069">
        <v>286.14159999999998</v>
      </c>
      <c r="M2069">
        <v>-0.99988149999999998</v>
      </c>
      <c r="N2069">
        <v>0</v>
      </c>
      <c r="O2069">
        <v>4.4771109999999998E-3</v>
      </c>
      <c r="P2069">
        <v>-0.99440989999999996</v>
      </c>
      <c r="Q2069">
        <v>-3.230802E-2</v>
      </c>
      <c r="R2069">
        <v>0.10052460000000001</v>
      </c>
      <c r="S2069">
        <v>-3.0115970000000001</v>
      </c>
      <c r="T2069">
        <v>-0.1054465</v>
      </c>
      <c r="U2069">
        <v>1.6998289999999999E-2</v>
      </c>
      <c r="V2069">
        <v>9.6068669999999995E-2</v>
      </c>
      <c r="W2069">
        <v>-1.7653160000000001E-2</v>
      </c>
      <c r="X2069">
        <v>0.99521820000000005</v>
      </c>
      <c r="Y2069">
        <v>1.1686349999999999E-3</v>
      </c>
      <c r="Z2069">
        <v>-1.362735E-4</v>
      </c>
      <c r="AA2069">
        <v>0.99999930000000004</v>
      </c>
      <c r="AB2069">
        <v>36</v>
      </c>
      <c r="AC2069">
        <v>-31.3535</v>
      </c>
      <c r="AD2069">
        <v>-1.1099116423469999</v>
      </c>
      <c r="AE2069">
        <v>0.17730000000000201</v>
      </c>
      <c r="AF2069">
        <v>3.6863699622654698E-2</v>
      </c>
      <c r="AG2069">
        <v>-1.1099116423469999</v>
      </c>
      <c r="AH2069">
        <v>31.3147386117985</v>
      </c>
      <c r="AI2069">
        <v>92.029925898624697</v>
      </c>
      <c r="AJ2069">
        <v>89.932551459038606</v>
      </c>
      <c r="AK2069">
        <v>31.3344238356385</v>
      </c>
      <c r="AL2069">
        <v>91.011504059200902</v>
      </c>
      <c r="AM2069">
        <v>84.486306948550705</v>
      </c>
      <c r="AN2069">
        <v>1.00000004451239</v>
      </c>
    </row>
    <row r="2070" spans="1:40" x14ac:dyDescent="0.25">
      <c r="A2070" t="str">
        <f>"20190312161307390"</f>
        <v>20190312161307390</v>
      </c>
      <c r="B2070" t="str">
        <f>"1552378387377383"</f>
        <v>1552378387377383</v>
      </c>
      <c r="C2070" t="s">
        <v>40</v>
      </c>
      <c r="D2070">
        <v>5.3830879999999999</v>
      </c>
      <c r="E2070">
        <v>0.4651267</v>
      </c>
      <c r="F2070" t="s">
        <v>74</v>
      </c>
      <c r="G2070">
        <v>-437.11739999999998</v>
      </c>
      <c r="H2070" s="1">
        <v>5.2217749999999997E-6</v>
      </c>
      <c r="I2070">
        <v>286.34930000000003</v>
      </c>
      <c r="J2070">
        <v>-406.41660000000002</v>
      </c>
      <c r="K2070">
        <v>1.1099110000000001</v>
      </c>
      <c r="L2070">
        <v>286.14319999999998</v>
      </c>
      <c r="M2070">
        <v>-0.99988129999999997</v>
      </c>
      <c r="N2070">
        <v>0</v>
      </c>
      <c r="O2070">
        <v>4.5314370000000001E-3</v>
      </c>
      <c r="P2070">
        <v>-0.99441599999999997</v>
      </c>
      <c r="Q2070">
        <v>-3.1841580000000001E-2</v>
      </c>
      <c r="R2070">
        <v>0.1006138</v>
      </c>
      <c r="S2070">
        <v>-3.0113530000000002</v>
      </c>
      <c r="T2070">
        <v>-0.1076328</v>
      </c>
      <c r="U2070">
        <v>2.0141599999999999E-2</v>
      </c>
      <c r="V2070">
        <v>9.6103679999999997E-2</v>
      </c>
      <c r="W2070">
        <v>-1.7192030000000001E-2</v>
      </c>
      <c r="X2070">
        <v>0.99522290000000002</v>
      </c>
      <c r="Y2070">
        <v>2.1580269999999999E-3</v>
      </c>
      <c r="Z2070">
        <v>-1.2337350000000001E-4</v>
      </c>
      <c r="AA2070">
        <v>0.99999769999999999</v>
      </c>
      <c r="AB2070">
        <v>36</v>
      </c>
      <c r="AC2070">
        <v>-30.700799999999902</v>
      </c>
      <c r="AD2070">
        <v>-1.1099057782249999</v>
      </c>
      <c r="AE2070">
        <v>0.20610000000004899</v>
      </c>
      <c r="AF2070">
        <v>6.6876652625499897E-2</v>
      </c>
      <c r="AG2070">
        <v>-1.1099057782249999</v>
      </c>
      <c r="AH2070">
        <v>30.661346436239199</v>
      </c>
      <c r="AI2070">
        <v>92.073131757166706</v>
      </c>
      <c r="AJ2070">
        <v>89.875030149930197</v>
      </c>
      <c r="AK2070">
        <v>30.6815014073021</v>
      </c>
      <c r="AL2070">
        <v>90.985079239125696</v>
      </c>
      <c r="AM2070">
        <v>84.484335887366697</v>
      </c>
      <c r="AN2070">
        <v>1.0000000519447301</v>
      </c>
    </row>
    <row r="2071" spans="1:40" x14ac:dyDescent="0.25">
      <c r="A2071" t="str">
        <f>"20190312161307412"</f>
        <v>20190312161307412</v>
      </c>
      <c r="B2071" t="str">
        <f>"1552378387407621"</f>
        <v>1552378387407621</v>
      </c>
      <c r="C2071" t="s">
        <v>40</v>
      </c>
      <c r="D2071">
        <v>5.4931349999999997</v>
      </c>
      <c r="E2071">
        <v>0.4652773</v>
      </c>
      <c r="F2071" t="s">
        <v>74</v>
      </c>
      <c r="G2071">
        <v>-437.58240000000001</v>
      </c>
      <c r="H2071" s="1">
        <v>5.4237350000000002E-6</v>
      </c>
      <c r="I2071">
        <v>286.39789999999999</v>
      </c>
      <c r="J2071">
        <v>-406.78440000000001</v>
      </c>
      <c r="K2071">
        <v>1.109907</v>
      </c>
      <c r="L2071">
        <v>286.14499999999998</v>
      </c>
      <c r="M2071">
        <v>-0.99988100000000002</v>
      </c>
      <c r="N2071">
        <v>0</v>
      </c>
      <c r="O2071">
        <v>4.5942530000000004E-3</v>
      </c>
      <c r="P2071">
        <v>-0.99447949999999996</v>
      </c>
      <c r="Q2071">
        <v>-3.1002120000000001E-2</v>
      </c>
      <c r="R2071">
        <v>0.10024810000000001</v>
      </c>
      <c r="S2071">
        <v>-3.0109249999999999</v>
      </c>
      <c r="T2071">
        <v>-0.1072277</v>
      </c>
      <c r="U2071">
        <v>2.4597170000000002E-2</v>
      </c>
      <c r="V2071">
        <v>9.5675140000000006E-2</v>
      </c>
      <c r="W2071">
        <v>-1.6356659999999999E-2</v>
      </c>
      <c r="X2071">
        <v>0.9952782</v>
      </c>
      <c r="Y2071">
        <v>3.5749950000000001E-3</v>
      </c>
      <c r="Z2071" s="1">
        <v>-9.9939819999999996E-5</v>
      </c>
      <c r="AA2071">
        <v>0.99999360000000004</v>
      </c>
      <c r="AB2071">
        <v>36</v>
      </c>
      <c r="AC2071">
        <v>-30.797999999999998</v>
      </c>
      <c r="AD2071">
        <v>-1.109901576265</v>
      </c>
      <c r="AE2071">
        <v>0.252900000000011</v>
      </c>
      <c r="AF2071">
        <v>0.111243713040876</v>
      </c>
      <c r="AG2071">
        <v>-1.109901576265</v>
      </c>
      <c r="AH2071">
        <v>30.758891646284798</v>
      </c>
      <c r="AI2071">
        <v>92.066546566094502</v>
      </c>
      <c r="AJ2071">
        <v>89.792782927998303</v>
      </c>
      <c r="AK2071">
        <v>30.779110968001898</v>
      </c>
      <c r="AL2071">
        <v>90.937209393249006</v>
      </c>
      <c r="AM2071">
        <v>84.509083594049102</v>
      </c>
      <c r="AN2071">
        <v>0.99999998406780699</v>
      </c>
    </row>
    <row r="2072" spans="1:40" x14ac:dyDescent="0.25">
      <c r="A2072" t="str">
        <f>"20190312161307434"</f>
        <v>20190312161307434</v>
      </c>
      <c r="B2072" t="str">
        <f>"1552378387428118"</f>
        <v>1552378387428118</v>
      </c>
      <c r="C2072" t="s">
        <v>40</v>
      </c>
      <c r="D2072">
        <v>5.502764</v>
      </c>
      <c r="E2072">
        <v>0.46527000000000002</v>
      </c>
      <c r="F2072" t="s">
        <v>74</v>
      </c>
      <c r="G2072">
        <v>-437.68579999999997</v>
      </c>
      <c r="H2072" s="1">
        <v>5.469702E-6</v>
      </c>
      <c r="I2072">
        <v>286.3965</v>
      </c>
      <c r="J2072">
        <v>-407.1388</v>
      </c>
      <c r="K2072">
        <v>1.109904</v>
      </c>
      <c r="L2072">
        <v>286.14670000000001</v>
      </c>
      <c r="M2072">
        <v>-0.99988069999999896</v>
      </c>
      <c r="N2072">
        <v>0</v>
      </c>
      <c r="O2072">
        <v>4.6574579999999997E-3</v>
      </c>
      <c r="P2072">
        <v>-0.99455800000000005</v>
      </c>
      <c r="Q2072">
        <v>-3.0947329999999999E-2</v>
      </c>
      <c r="R2072">
        <v>9.9481570000000005E-2</v>
      </c>
      <c r="S2072">
        <v>-3.010834</v>
      </c>
      <c r="T2072">
        <v>-0.10814169999999999</v>
      </c>
      <c r="U2072">
        <v>2.4505619999999999E-2</v>
      </c>
      <c r="V2072">
        <v>9.4845239999999997E-2</v>
      </c>
      <c r="W2072">
        <v>-1.6305070000000001E-2</v>
      </c>
      <c r="X2072">
        <v>0.99535850000000003</v>
      </c>
      <c r="Y2072">
        <v>3.4817379999999998E-3</v>
      </c>
      <c r="Z2072">
        <v>-1.04738E-4</v>
      </c>
      <c r="AA2072">
        <v>0.99999389999999999</v>
      </c>
      <c r="AB2072">
        <v>36</v>
      </c>
      <c r="AC2072">
        <v>-30.546999999999901</v>
      </c>
      <c r="AD2072">
        <v>-1.109898530298</v>
      </c>
      <c r="AE2072">
        <v>0.249799999999993</v>
      </c>
      <c r="AF2072">
        <v>0.107368753761418</v>
      </c>
      <c r="AG2072">
        <v>-1.109898530298</v>
      </c>
      <c r="AH2072">
        <v>30.507559742531601</v>
      </c>
      <c r="AI2072">
        <v>92.083551561590198</v>
      </c>
      <c r="AJ2072">
        <v>89.798353224741405</v>
      </c>
      <c r="AK2072">
        <v>30.527931542129998</v>
      </c>
      <c r="AL2072">
        <v>90.934253086221105</v>
      </c>
      <c r="AM2072">
        <v>84.556861776242698</v>
      </c>
      <c r="AN2072">
        <v>1.0000000091903001</v>
      </c>
    </row>
    <row r="2073" spans="1:40" x14ac:dyDescent="0.25">
      <c r="A2073" t="str">
        <f>"20190312161307456"</f>
        <v>20190312161307456</v>
      </c>
      <c r="B2073" t="str">
        <f>"1552378387447637"</f>
        <v>1552378387447637</v>
      </c>
      <c r="C2073" t="s">
        <v>40</v>
      </c>
      <c r="D2073">
        <v>5.4977369999999999</v>
      </c>
      <c r="E2073">
        <v>0.46521069999999998</v>
      </c>
      <c r="F2073" t="s">
        <v>74</v>
      </c>
      <c r="G2073">
        <v>-437.82850000000002</v>
      </c>
      <c r="H2073" s="1">
        <v>5.5350329999999998E-6</v>
      </c>
      <c r="I2073">
        <v>286.37279999999998</v>
      </c>
      <c r="J2073">
        <v>-407.48520000000002</v>
      </c>
      <c r="K2073">
        <v>1.1099049999999999</v>
      </c>
      <c r="L2073">
        <v>286.14830000000001</v>
      </c>
      <c r="M2073">
        <v>-0.99988060000000001</v>
      </c>
      <c r="N2073">
        <v>0</v>
      </c>
      <c r="O2073">
        <v>4.7205859999999997E-3</v>
      </c>
      <c r="P2073">
        <v>-0.99461739999999998</v>
      </c>
      <c r="Q2073">
        <v>-3.1060190000000001E-2</v>
      </c>
      <c r="R2073">
        <v>9.8852400000000007E-2</v>
      </c>
      <c r="S2073">
        <v>-3.0108030000000001</v>
      </c>
      <c r="T2073">
        <v>-0.1088862</v>
      </c>
      <c r="U2073">
        <v>2.2186279999999999E-2</v>
      </c>
      <c r="V2073">
        <v>9.4152879999999994E-2</v>
      </c>
      <c r="W2073">
        <v>-1.6421209999999999E-2</v>
      </c>
      <c r="X2073">
        <v>0.99542229999999998</v>
      </c>
      <c r="Y2073">
        <v>2.648994E-3</v>
      </c>
      <c r="Z2073">
        <v>-1.227957E-4</v>
      </c>
      <c r="AA2073">
        <v>0.99999649999999995</v>
      </c>
      <c r="AB2073">
        <v>36</v>
      </c>
      <c r="AC2073">
        <v>-30.343299999999999</v>
      </c>
      <c r="AD2073">
        <v>-1.109899464967</v>
      </c>
      <c r="AE2073">
        <v>0.224499999999977</v>
      </c>
      <c r="AF2073">
        <v>8.1135283265994507E-2</v>
      </c>
      <c r="AG2073">
        <v>-1.109899464967</v>
      </c>
      <c r="AH2073">
        <v>30.3034792404165</v>
      </c>
      <c r="AI2073">
        <v>92.097578097797793</v>
      </c>
      <c r="AJ2073">
        <v>89.846595232327701</v>
      </c>
      <c r="AK2073">
        <v>30.323906638671701</v>
      </c>
      <c r="AL2073">
        <v>90.9409083288364</v>
      </c>
      <c r="AM2073">
        <v>84.596704332450898</v>
      </c>
      <c r="AN2073">
        <v>0.99999998814372404</v>
      </c>
    </row>
    <row r="2074" spans="1:40" x14ac:dyDescent="0.25">
      <c r="A2074" t="str">
        <f>"20190312161307478"</f>
        <v>20190312161307478</v>
      </c>
      <c r="B2074" t="str">
        <f>"1552378387468133"</f>
        <v>1552378387468133</v>
      </c>
      <c r="C2074" t="s">
        <v>40</v>
      </c>
      <c r="D2074">
        <v>5.6158570000000001</v>
      </c>
      <c r="E2074">
        <v>0.46524919999999997</v>
      </c>
      <c r="F2074" t="s">
        <v>74</v>
      </c>
      <c r="G2074">
        <v>-437.65570000000002</v>
      </c>
      <c r="H2074" s="1">
        <v>5.4607439999999996E-6</v>
      </c>
      <c r="I2074">
        <v>286.34620000000001</v>
      </c>
      <c r="J2074">
        <v>-407.83519999999999</v>
      </c>
      <c r="K2074">
        <v>1.1099060000000001</v>
      </c>
      <c r="L2074">
        <v>286.15010000000001</v>
      </c>
      <c r="M2074">
        <v>-0.99988010000000005</v>
      </c>
      <c r="N2074">
        <v>0</v>
      </c>
      <c r="O2074">
        <v>4.7858600000000003E-3</v>
      </c>
      <c r="P2074">
        <v>-0.99460800000000005</v>
      </c>
      <c r="Q2074">
        <v>-3.1268860000000002E-2</v>
      </c>
      <c r="R2074">
        <v>9.8879140000000004E-2</v>
      </c>
      <c r="S2074">
        <v>-3.0108640000000002</v>
      </c>
      <c r="T2074">
        <v>-0.1107625</v>
      </c>
      <c r="U2074">
        <v>1.9744870000000001E-2</v>
      </c>
      <c r="V2074">
        <v>9.4114530000000002E-2</v>
      </c>
      <c r="W2074">
        <v>-1.6634260000000001E-2</v>
      </c>
      <c r="X2074">
        <v>0.99542240000000004</v>
      </c>
      <c r="Y2074">
        <v>1.7734210000000001E-3</v>
      </c>
      <c r="Z2074">
        <v>-1.4340819999999999E-4</v>
      </c>
      <c r="AA2074">
        <v>0.99999839999999995</v>
      </c>
      <c r="AB2074">
        <v>36</v>
      </c>
      <c r="AC2074">
        <v>-29.820499999999999</v>
      </c>
      <c r="AD2074">
        <v>-1.109900539256</v>
      </c>
      <c r="AE2074">
        <v>0.196100000000001</v>
      </c>
      <c r="AF2074">
        <v>5.3291715905711801E-2</v>
      </c>
      <c r="AG2074">
        <v>-1.109900539256</v>
      </c>
      <c r="AH2074">
        <v>29.7798453132338</v>
      </c>
      <c r="AI2074">
        <v>92.1344333369765</v>
      </c>
      <c r="AJ2074">
        <v>89.897467998476401</v>
      </c>
      <c r="AK2074">
        <v>29.800568888767199</v>
      </c>
      <c r="AL2074">
        <v>90.953116852176194</v>
      </c>
      <c r="AM2074">
        <v>84.598892704345204</v>
      </c>
      <c r="AN2074">
        <v>0.99999999889231395</v>
      </c>
    </row>
    <row r="2075" spans="1:40" x14ac:dyDescent="0.25">
      <c r="A2075" t="str">
        <f>"20190312161307502"</f>
        <v>20190312161307502</v>
      </c>
      <c r="B2075" t="str">
        <f>"1552378387497413"</f>
        <v>1552378387497413</v>
      </c>
      <c r="C2075" t="s">
        <v>40</v>
      </c>
      <c r="D2075">
        <v>5.487069</v>
      </c>
      <c r="E2075">
        <v>0.46540939999999997</v>
      </c>
      <c r="F2075" t="s">
        <v>74</v>
      </c>
      <c r="G2075">
        <v>-438.06229999999999</v>
      </c>
      <c r="H2075" s="1">
        <v>5.6405800000000001E-6</v>
      </c>
      <c r="I2075">
        <v>286.35140000000001</v>
      </c>
      <c r="J2075">
        <v>-408.2011</v>
      </c>
      <c r="K2075">
        <v>1.1099019999999999</v>
      </c>
      <c r="L2075">
        <v>286.15190000000001</v>
      </c>
      <c r="M2075">
        <v>-0.99987999999999999</v>
      </c>
      <c r="N2075">
        <v>0</v>
      </c>
      <c r="O2075">
        <v>4.8564639999999996E-3</v>
      </c>
      <c r="P2075">
        <v>-0.99459070000000005</v>
      </c>
      <c r="Q2075">
        <v>-3.1402979999999997E-2</v>
      </c>
      <c r="R2075">
        <v>9.9012890000000006E-2</v>
      </c>
      <c r="S2075">
        <v>-3.0108030000000001</v>
      </c>
      <c r="T2075">
        <v>-0.1105529</v>
      </c>
      <c r="U2075">
        <v>2.005005E-2</v>
      </c>
      <c r="V2075">
        <v>9.4178040000000005E-2</v>
      </c>
      <c r="W2075">
        <v>-1.6773329999999999E-2</v>
      </c>
      <c r="X2075">
        <v>0.99541409999999997</v>
      </c>
      <c r="Y2075">
        <v>1.8043180000000001E-3</v>
      </c>
      <c r="Z2075">
        <v>-1.451646E-4</v>
      </c>
      <c r="AA2075">
        <v>0.99999839999999995</v>
      </c>
      <c r="AB2075">
        <v>36</v>
      </c>
      <c r="AC2075">
        <v>-29.8612</v>
      </c>
      <c r="AD2075">
        <v>-1.10989635942</v>
      </c>
      <c r="AE2075">
        <v>0.19950000000000001</v>
      </c>
      <c r="AF2075">
        <v>5.4386978170073402E-2</v>
      </c>
      <c r="AG2075">
        <v>-1.10989635942</v>
      </c>
      <c r="AH2075">
        <v>29.820621451483401</v>
      </c>
      <c r="AI2075">
        <v>92.131509296575004</v>
      </c>
      <c r="AJ2075">
        <v>89.895503825778604</v>
      </c>
      <c r="AK2075">
        <v>29.841318530264701</v>
      </c>
      <c r="AL2075">
        <v>90.961086049408095</v>
      </c>
      <c r="AM2075">
        <v>84.595224726670295</v>
      </c>
      <c r="AN2075">
        <v>1.00000003914816</v>
      </c>
    </row>
    <row r="2076" spans="1:40" x14ac:dyDescent="0.25">
      <c r="A2076" t="str">
        <f>"20190312161307525"</f>
        <v>20190312161307525</v>
      </c>
      <c r="B2076" t="str">
        <f>"1552378387517909"</f>
        <v>1552378387517909</v>
      </c>
      <c r="C2076" t="s">
        <v>40</v>
      </c>
      <c r="D2076">
        <v>5.5014279999999998</v>
      </c>
      <c r="E2076">
        <v>0.46555790000000002</v>
      </c>
      <c r="F2076" t="s">
        <v>74</v>
      </c>
      <c r="G2076">
        <v>-438.41770000000002</v>
      </c>
      <c r="H2076" s="1">
        <v>5.7965950000000002E-6</v>
      </c>
      <c r="I2076">
        <v>286.37</v>
      </c>
      <c r="J2076">
        <v>-408.5686</v>
      </c>
      <c r="K2076">
        <v>1.109896</v>
      </c>
      <c r="L2076">
        <v>286.15370000000001</v>
      </c>
      <c r="M2076">
        <v>-0.99987959999999998</v>
      </c>
      <c r="N2076">
        <v>0</v>
      </c>
      <c r="O2076">
        <v>4.9315549999999998E-3</v>
      </c>
      <c r="P2076">
        <v>-0.99457850000000003</v>
      </c>
      <c r="Q2076">
        <v>-3.1240029999999998E-2</v>
      </c>
      <c r="R2076">
        <v>9.9185090000000004E-2</v>
      </c>
      <c r="S2076">
        <v>-3.0106510000000002</v>
      </c>
      <c r="T2076">
        <v>-0.11058510000000001</v>
      </c>
      <c r="U2076">
        <v>2.1728520000000001E-2</v>
      </c>
      <c r="V2076">
        <v>9.4275280000000003E-2</v>
      </c>
      <c r="W2076">
        <v>-1.661555E-2</v>
      </c>
      <c r="X2076">
        <v>0.9954075</v>
      </c>
      <c r="Y2076">
        <v>2.2867650000000001E-3</v>
      </c>
      <c r="Z2076">
        <v>-1.39114E-4</v>
      </c>
      <c r="AA2076">
        <v>0.99999740000000004</v>
      </c>
      <c r="AB2076">
        <v>35</v>
      </c>
      <c r="AC2076">
        <v>-29.8491</v>
      </c>
      <c r="AD2076">
        <v>-1.109890203405</v>
      </c>
      <c r="AE2076">
        <v>0.216299999999989</v>
      </c>
      <c r="AF2076">
        <v>6.8983584216121996E-2</v>
      </c>
      <c r="AG2076">
        <v>-1.109890203405</v>
      </c>
      <c r="AH2076">
        <v>29.808592470507499</v>
      </c>
      <c r="AI2076">
        <v>92.132354675648401</v>
      </c>
      <c r="AJ2076">
        <v>89.867405306733303</v>
      </c>
      <c r="AK2076">
        <v>29.829327851483701</v>
      </c>
      <c r="AL2076">
        <v>90.952044700825795</v>
      </c>
      <c r="AM2076">
        <v>84.589641665657197</v>
      </c>
      <c r="AN2076">
        <v>0.99999999798856498</v>
      </c>
    </row>
    <row r="2077" spans="1:40" x14ac:dyDescent="0.25">
      <c r="A2077" t="str">
        <f>"20190312161307547"</f>
        <v>20190312161307547</v>
      </c>
      <c r="B2077" t="str">
        <f>"1552378387537429"</f>
        <v>1552378387537429</v>
      </c>
      <c r="C2077" t="s">
        <v>40</v>
      </c>
      <c r="D2077">
        <v>5.5827169999999997</v>
      </c>
      <c r="E2077">
        <v>0.4656573</v>
      </c>
      <c r="F2077" t="s">
        <v>74</v>
      </c>
      <c r="G2077">
        <v>-438.95519999999999</v>
      </c>
      <c r="H2077" s="1">
        <v>6.0330800000000002E-6</v>
      </c>
      <c r="I2077">
        <v>286.39120000000003</v>
      </c>
      <c r="J2077">
        <v>-408.91660000000002</v>
      </c>
      <c r="K2077">
        <v>1.109891</v>
      </c>
      <c r="L2077">
        <v>286.15550000000002</v>
      </c>
      <c r="M2077">
        <v>-0.99987939999999997</v>
      </c>
      <c r="N2077">
        <v>0</v>
      </c>
      <c r="O2077">
        <v>5.0083870000000004E-3</v>
      </c>
      <c r="P2077">
        <v>-0.99449659999999995</v>
      </c>
      <c r="Q2077">
        <v>-3.1433160000000002E-2</v>
      </c>
      <c r="R2077">
        <v>9.9943160000000003E-2</v>
      </c>
      <c r="S2077">
        <v>-3.010529</v>
      </c>
      <c r="T2077">
        <v>-0.1099614</v>
      </c>
      <c r="U2077">
        <v>2.3529049999999999E-2</v>
      </c>
      <c r="V2077">
        <v>9.4957130000000001E-2</v>
      </c>
      <c r="W2077">
        <v>-1.6815E-2</v>
      </c>
      <c r="X2077">
        <v>0.99533930000000004</v>
      </c>
      <c r="Y2077">
        <v>2.8079440000000002E-3</v>
      </c>
      <c r="Z2077">
        <v>-1.316259E-4</v>
      </c>
      <c r="AA2077">
        <v>0.99999610000000005</v>
      </c>
      <c r="AB2077">
        <v>35</v>
      </c>
      <c r="AC2077">
        <v>-30.038599999999899</v>
      </c>
      <c r="AD2077">
        <v>-1.1098849669199999</v>
      </c>
      <c r="AE2077">
        <v>0.23570000000000799</v>
      </c>
      <c r="AF2077">
        <v>8.5119652866096504E-2</v>
      </c>
      <c r="AG2077">
        <v>-1.1098849669199999</v>
      </c>
      <c r="AH2077">
        <v>29.998452384813898</v>
      </c>
      <c r="AI2077">
        <v>92.118858522938993</v>
      </c>
      <c r="AJ2077">
        <v>89.837425487430195</v>
      </c>
      <c r="AK2077">
        <v>30.019097845855502</v>
      </c>
      <c r="AL2077">
        <v>90.963473976083804</v>
      </c>
      <c r="AM2077">
        <v>84.550374590424298</v>
      </c>
      <c r="AN2077">
        <v>0.99999996144366199</v>
      </c>
    </row>
    <row r="2078" spans="1:40" x14ac:dyDescent="0.25">
      <c r="A2078" t="str">
        <f>"20190312161307568"</f>
        <v>20190312161307568</v>
      </c>
      <c r="B2078" t="str">
        <f>"1552378387557926"</f>
        <v>1552378387557926</v>
      </c>
      <c r="C2078" t="s">
        <v>40</v>
      </c>
      <c r="D2078">
        <v>6.5069699999999999</v>
      </c>
      <c r="E2078">
        <v>0.49438480000000001</v>
      </c>
      <c r="F2078" t="s">
        <v>74</v>
      </c>
      <c r="G2078">
        <v>-439.12270000000001</v>
      </c>
      <c r="H2078" s="1">
        <v>6.1047049999999997E-6</v>
      </c>
      <c r="I2078">
        <v>286.42129999999997</v>
      </c>
      <c r="J2078">
        <v>-409.25020000000001</v>
      </c>
      <c r="K2078">
        <v>1.1098859999999999</v>
      </c>
      <c r="L2078">
        <v>286.15730000000002</v>
      </c>
      <c r="M2078">
        <v>-0.99987899999999996</v>
      </c>
      <c r="N2078">
        <v>0</v>
      </c>
      <c r="O2078">
        <v>5.0894030000000002E-3</v>
      </c>
      <c r="P2078">
        <v>-0.99440530000000005</v>
      </c>
      <c r="Q2078">
        <v>-3.1709179999999997E-2</v>
      </c>
      <c r="R2078">
        <v>0.10076060000000001</v>
      </c>
      <c r="S2078">
        <v>-3.010437</v>
      </c>
      <c r="T2078">
        <v>-0.1106149</v>
      </c>
      <c r="U2078">
        <v>2.6489260000000001E-2</v>
      </c>
      <c r="V2078">
        <v>9.5693899999999998E-2</v>
      </c>
      <c r="W2078">
        <v>-1.7097480000000002E-2</v>
      </c>
      <c r="X2078">
        <v>0.99526389999999998</v>
      </c>
      <c r="Y2078">
        <v>3.709862E-3</v>
      </c>
      <c r="Z2078">
        <v>-1.188229E-4</v>
      </c>
      <c r="AA2078">
        <v>0.99999309999999997</v>
      </c>
      <c r="AB2078">
        <v>35</v>
      </c>
      <c r="AC2078">
        <v>-29.872499999999999</v>
      </c>
      <c r="AD2078">
        <v>-1.109879895295</v>
      </c>
      <c r="AE2078">
        <v>0.26399999999995299</v>
      </c>
      <c r="AF2078">
        <v>0.111792652568191</v>
      </c>
      <c r="AG2078">
        <v>-1.109879895295</v>
      </c>
      <c r="AH2078">
        <v>29.832279152502799</v>
      </c>
      <c r="AI2078">
        <v>92.130634141339399</v>
      </c>
      <c r="AJ2078">
        <v>89.785292395605794</v>
      </c>
      <c r="AK2078">
        <v>29.853127313767299</v>
      </c>
      <c r="AL2078">
        <v>90.979661238253101</v>
      </c>
      <c r="AM2078">
        <v>84.507935089469996</v>
      </c>
      <c r="AN2078">
        <v>0.99999993848138302</v>
      </c>
    </row>
    <row r="2079" spans="1:40" x14ac:dyDescent="0.25">
      <c r="A2079" t="str">
        <f>"20190312161307591"</f>
        <v>20190312161307591</v>
      </c>
      <c r="B2079" t="str">
        <f>"1552378387587205"</f>
        <v>1552378387587205</v>
      </c>
      <c r="C2079" t="s">
        <v>40</v>
      </c>
      <c r="D2079">
        <v>5.5823799999999997</v>
      </c>
      <c r="E2079">
        <v>0.51096889999999995</v>
      </c>
      <c r="F2079" t="s">
        <v>43</v>
      </c>
      <c r="G2079">
        <v>-409.96699999999998</v>
      </c>
      <c r="H2079">
        <v>1.0157750000000001</v>
      </c>
      <c r="I2079">
        <v>286.21719999999999</v>
      </c>
      <c r="J2079">
        <v>-409.60219999999998</v>
      </c>
      <c r="K2079">
        <v>1.10988</v>
      </c>
      <c r="L2079">
        <v>286.15910000000002</v>
      </c>
      <c r="M2079">
        <v>-0.99987859999999995</v>
      </c>
      <c r="N2079">
        <v>0</v>
      </c>
      <c r="O2079">
        <v>5.1828300000000002E-3</v>
      </c>
      <c r="P2079">
        <v>-0.99437739999999997</v>
      </c>
      <c r="Q2079">
        <v>-3.1636160000000003E-2</v>
      </c>
      <c r="R2079">
        <v>0.1010596</v>
      </c>
      <c r="S2079">
        <v>-2.9793090000000002</v>
      </c>
      <c r="T2079">
        <v>-0.39122570000000001</v>
      </c>
      <c r="U2079">
        <v>0.24746699999999999</v>
      </c>
      <c r="V2079">
        <v>9.5899890000000002E-2</v>
      </c>
      <c r="W2079">
        <v>-1.703025E-2</v>
      </c>
      <c r="X2079">
        <v>0.9952453</v>
      </c>
      <c r="Y2079">
        <v>7.6997869999999996E-2</v>
      </c>
      <c r="Z2079">
        <v>4.3487530000000003E-3</v>
      </c>
      <c r="AA2079">
        <v>0.99702179999999996</v>
      </c>
      <c r="AB2079">
        <v>35</v>
      </c>
      <c r="AC2079">
        <v>-0.36480000000000201</v>
      </c>
      <c r="AD2079">
        <v>-9.41049999999998E-2</v>
      </c>
      <c r="AE2079">
        <v>5.8099999999967601E-2</v>
      </c>
      <c r="AF2079">
        <v>5.2782776977587299E-2</v>
      </c>
      <c r="AG2079">
        <v>-9.41049999999998E-2</v>
      </c>
      <c r="AH2079">
        <v>0.34284594386240602</v>
      </c>
      <c r="AI2079">
        <v>105.178212386224</v>
      </c>
      <c r="AJ2079">
        <v>81.247757084679293</v>
      </c>
      <c r="AK2079">
        <v>0.359423307248389</v>
      </c>
      <c r="AL2079">
        <v>90.975808609359106</v>
      </c>
      <c r="AM2079">
        <v>84.496083196204594</v>
      </c>
      <c r="AN2079">
        <v>1.0000000127445801</v>
      </c>
    </row>
    <row r="2080" spans="1:40" x14ac:dyDescent="0.25">
      <c r="A2080" t="str">
        <f>"20190312161307613"</f>
        <v>20190312161307613</v>
      </c>
      <c r="B2080" t="str">
        <f>"1552378387607705"</f>
        <v>1552378387607705</v>
      </c>
      <c r="C2080" t="s">
        <v>40</v>
      </c>
      <c r="D2080">
        <v>6.4281079999999999</v>
      </c>
      <c r="E2080">
        <v>0.51094220000000001</v>
      </c>
      <c r="F2080" t="s">
        <v>43</v>
      </c>
      <c r="G2080">
        <v>-410.55650000000003</v>
      </c>
      <c r="H2080">
        <v>0.93213219999999997</v>
      </c>
      <c r="I2080">
        <v>286.28019999999998</v>
      </c>
      <c r="J2080">
        <v>-409.96230000000003</v>
      </c>
      <c r="K2080">
        <v>1.109877</v>
      </c>
      <c r="L2080">
        <v>286.16109999999998</v>
      </c>
      <c r="M2080">
        <v>-0.99987809999999999</v>
      </c>
      <c r="N2080">
        <v>0</v>
      </c>
      <c r="O2080">
        <v>5.2860199999999998E-3</v>
      </c>
      <c r="P2080">
        <v>-0.99440680000000004</v>
      </c>
      <c r="Q2080">
        <v>-3.185267E-2</v>
      </c>
      <c r="R2080">
        <v>0.1007012</v>
      </c>
      <c r="S2080">
        <v>-2.9613649999999998</v>
      </c>
      <c r="T2080">
        <v>-0.55157179999999995</v>
      </c>
      <c r="U2080">
        <v>0.37463380000000002</v>
      </c>
      <c r="V2080">
        <v>9.5438319999999993E-2</v>
      </c>
      <c r="W2080">
        <v>-1.7251470000000001E-2</v>
      </c>
      <c r="X2080">
        <v>0.99528589999999995</v>
      </c>
      <c r="Y2080">
        <v>0.1183466</v>
      </c>
      <c r="Z2080">
        <v>9.9127260000000002E-3</v>
      </c>
      <c r="AA2080">
        <v>0.99292279999999999</v>
      </c>
      <c r="AB2080">
        <v>35</v>
      </c>
      <c r="AC2080">
        <v>-0.59419999999999995</v>
      </c>
      <c r="AD2080">
        <v>-0.17774480000000001</v>
      </c>
      <c r="AE2080">
        <v>0.119100000000003</v>
      </c>
      <c r="AF2080">
        <v>0.10677203566797901</v>
      </c>
      <c r="AG2080">
        <v>-0.17774480000000001</v>
      </c>
      <c r="AH2080">
        <v>0.54770527306849104</v>
      </c>
      <c r="AI2080">
        <v>107.668248254376</v>
      </c>
      <c r="AJ2080">
        <v>78.968864025447502</v>
      </c>
      <c r="AK2080">
        <v>0.58564028863693696</v>
      </c>
      <c r="AL2080">
        <v>90.988485402769101</v>
      </c>
      <c r="AM2080">
        <v>84.522634349911499</v>
      </c>
      <c r="AN2080">
        <v>1.0000000544401899</v>
      </c>
    </row>
    <row r="2081" spans="1:40" x14ac:dyDescent="0.25">
      <c r="A2081" t="str">
        <f>"20190312161307635"</f>
        <v>20190312161307635</v>
      </c>
      <c r="B2081" t="str">
        <f>"1552378387627222"</f>
        <v>1552378387627222</v>
      </c>
      <c r="C2081" t="s">
        <v>40</v>
      </c>
      <c r="D2081">
        <v>5.6130300000000002</v>
      </c>
      <c r="E2081">
        <v>0.51283089999999998</v>
      </c>
      <c r="F2081" t="s">
        <v>43</v>
      </c>
      <c r="G2081">
        <v>-410.87520000000001</v>
      </c>
      <c r="H2081">
        <v>0.94076090000000001</v>
      </c>
      <c r="I2081">
        <v>286.27659999999997</v>
      </c>
      <c r="J2081">
        <v>-410.31020000000001</v>
      </c>
      <c r="K2081">
        <v>1.1098730000000001</v>
      </c>
      <c r="L2081">
        <v>286.16300000000001</v>
      </c>
      <c r="M2081">
        <v>-0.99987760000000003</v>
      </c>
      <c r="N2081">
        <v>0</v>
      </c>
      <c r="O2081">
        <v>5.391931E-3</v>
      </c>
      <c r="P2081">
        <v>-0.99443289999999995</v>
      </c>
      <c r="Q2081">
        <v>-3.1538700000000003E-2</v>
      </c>
      <c r="R2081">
        <v>0.10054109999999999</v>
      </c>
      <c r="S2081">
        <v>-2.9614560000000001</v>
      </c>
      <c r="T2081">
        <v>-0.54874849999999997</v>
      </c>
      <c r="U2081">
        <v>0.37359619999999999</v>
      </c>
      <c r="V2081">
        <v>9.5172489999999998E-2</v>
      </c>
      <c r="W2081">
        <v>-1.6941970000000001E-2</v>
      </c>
      <c r="X2081">
        <v>0.9953166</v>
      </c>
      <c r="Y2081">
        <v>0.1179235</v>
      </c>
      <c r="Z2081">
        <v>9.8046350000000008E-3</v>
      </c>
      <c r="AA2081">
        <v>0.99297429999999998</v>
      </c>
      <c r="AB2081">
        <v>35</v>
      </c>
      <c r="AC2081">
        <v>-0.56499999999999695</v>
      </c>
      <c r="AD2081">
        <v>-0.16911209999999899</v>
      </c>
      <c r="AE2081">
        <v>0.113599999999962</v>
      </c>
      <c r="AF2081">
        <v>0.10178695198460801</v>
      </c>
      <c r="AG2081">
        <v>-0.16911209999999899</v>
      </c>
      <c r="AH2081">
        <v>0.52076276083879203</v>
      </c>
      <c r="AI2081">
        <v>107.67751670218399</v>
      </c>
      <c r="AJ2081">
        <v>78.940544324447998</v>
      </c>
      <c r="AK2081">
        <v>0.55691412177926303</v>
      </c>
      <c r="AL2081">
        <v>90.970749836331507</v>
      </c>
      <c r="AM2081">
        <v>84.537965842283498</v>
      </c>
      <c r="AN2081">
        <v>0.99999998371791998</v>
      </c>
    </row>
    <row r="2082" spans="1:40" x14ac:dyDescent="0.25">
      <c r="A2082" t="str">
        <f>"20190312161307657"</f>
        <v>20190312161307657</v>
      </c>
      <c r="B2082" t="str">
        <f>"1552378387647718"</f>
        <v>1552378387647718</v>
      </c>
      <c r="C2082" t="s">
        <v>40</v>
      </c>
      <c r="D2082">
        <v>5.643211</v>
      </c>
      <c r="E2082">
        <v>0.51249509999999998</v>
      </c>
      <c r="F2082" t="s">
        <v>43</v>
      </c>
      <c r="G2082">
        <v>-411.17410000000001</v>
      </c>
      <c r="H2082">
        <v>0.90854049999999997</v>
      </c>
      <c r="I2082">
        <v>286.2756</v>
      </c>
      <c r="J2082">
        <v>-410.6558</v>
      </c>
      <c r="K2082">
        <v>1.109872</v>
      </c>
      <c r="L2082">
        <v>286.16489999999999</v>
      </c>
      <c r="M2082">
        <v>-0.99987709999999996</v>
      </c>
      <c r="N2082">
        <v>0</v>
      </c>
      <c r="O2082">
        <v>5.5014599999999997E-3</v>
      </c>
      <c r="P2082">
        <v>-0.99448170000000002</v>
      </c>
      <c r="Q2082">
        <v>-3.1562760000000002E-2</v>
      </c>
      <c r="R2082">
        <v>0.1000516</v>
      </c>
      <c r="S2082">
        <v>-2.9561160000000002</v>
      </c>
      <c r="T2082">
        <v>-0.68901709999999905</v>
      </c>
      <c r="U2082">
        <v>0.383606</v>
      </c>
      <c r="V2082">
        <v>9.457372E-2</v>
      </c>
      <c r="W2082">
        <v>-1.6969830000000002E-2</v>
      </c>
      <c r="X2082">
        <v>0.99537319999999996</v>
      </c>
      <c r="Y2082">
        <v>0.1202059</v>
      </c>
      <c r="Z2082">
        <v>1.2507890000000001E-2</v>
      </c>
      <c r="AA2082">
        <v>0.99267019999999995</v>
      </c>
      <c r="AB2082">
        <v>35</v>
      </c>
      <c r="AC2082">
        <v>-0.51830000000000997</v>
      </c>
      <c r="AD2082">
        <v>-0.201331499999999</v>
      </c>
      <c r="AE2082">
        <v>0.110700000000008</v>
      </c>
      <c r="AF2082">
        <v>9.4246200687543705E-2</v>
      </c>
      <c r="AG2082">
        <v>-0.201331499999999</v>
      </c>
      <c r="AH2082">
        <v>0.453463205636853</v>
      </c>
      <c r="AI2082">
        <v>113.49444393656201</v>
      </c>
      <c r="AJ2082">
        <v>78.258996684611304</v>
      </c>
      <c r="AK2082">
        <v>0.50502039374933905</v>
      </c>
      <c r="AL2082">
        <v>90.972346324593204</v>
      </c>
      <c r="AM2082">
        <v>84.572430713473594</v>
      </c>
      <c r="AN2082">
        <v>0.999999985461553</v>
      </c>
    </row>
    <row r="2083" spans="1:40" x14ac:dyDescent="0.25">
      <c r="A2083" t="str">
        <f>"20190312161307680"</f>
        <v>20190312161307680</v>
      </c>
      <c r="B2083" t="str">
        <f>"1552378387667238"</f>
        <v>1552378387667238</v>
      </c>
      <c r="C2083" t="s">
        <v>40</v>
      </c>
      <c r="D2083">
        <v>5.6538219999999999</v>
      </c>
      <c r="E2083">
        <v>0.51218009999999903</v>
      </c>
      <c r="F2083" t="s">
        <v>43</v>
      </c>
      <c r="G2083">
        <v>-411.51</v>
      </c>
      <c r="H2083">
        <v>0.95513009999999998</v>
      </c>
      <c r="I2083">
        <v>286.2758</v>
      </c>
      <c r="J2083">
        <v>-411.01</v>
      </c>
      <c r="K2083">
        <v>1.1098699999999999</v>
      </c>
      <c r="L2083">
        <v>286.16699999999997</v>
      </c>
      <c r="M2083">
        <v>-0.9998766</v>
      </c>
      <c r="N2083">
        <v>0</v>
      </c>
      <c r="O2083">
        <v>5.6166970000000004E-3</v>
      </c>
      <c r="P2083">
        <v>-0.99448579999999998</v>
      </c>
      <c r="Q2083">
        <v>-3.1494029999999999E-2</v>
      </c>
      <c r="R2083">
        <v>0.1000327</v>
      </c>
      <c r="S2083">
        <v>-2.9609679999999998</v>
      </c>
      <c r="T2083">
        <v>-0.53621289999999999</v>
      </c>
      <c r="U2083">
        <v>0.38415529999999998</v>
      </c>
      <c r="V2083">
        <v>9.4439830000000002E-2</v>
      </c>
      <c r="W2083">
        <v>-1.6905529999999998E-2</v>
      </c>
      <c r="X2083">
        <v>0.99538700000000002</v>
      </c>
      <c r="Y2083">
        <v>0.1212394</v>
      </c>
      <c r="Z2083">
        <v>9.8400840000000007E-3</v>
      </c>
      <c r="AA2083">
        <v>0.99257450000000003</v>
      </c>
      <c r="AB2083">
        <v>35</v>
      </c>
      <c r="AC2083">
        <v>-0.5</v>
      </c>
      <c r="AD2083">
        <v>-0.15473990000000001</v>
      </c>
      <c r="AE2083">
        <v>0.108799999999973</v>
      </c>
      <c r="AF2083">
        <v>9.7109216331852599E-2</v>
      </c>
      <c r="AG2083">
        <v>-0.15473990000000001</v>
      </c>
      <c r="AH2083">
        <v>0.458659874483271</v>
      </c>
      <c r="AI2083">
        <v>108.265851850617</v>
      </c>
      <c r="AJ2083">
        <v>78.045658343999605</v>
      </c>
      <c r="AK2083">
        <v>0.49370387583004199</v>
      </c>
      <c r="AL2083">
        <v>90.968661683504195</v>
      </c>
      <c r="AM2083">
        <v>84.580143542388697</v>
      </c>
      <c r="AN2083">
        <v>0.999999979102004</v>
      </c>
    </row>
    <row r="2084" spans="1:40" x14ac:dyDescent="0.25">
      <c r="A2084" t="str">
        <f>"20190312161307703"</f>
        <v>20190312161307703</v>
      </c>
      <c r="B2084" t="str">
        <f>"1552378387697494"</f>
        <v>1552378387697494</v>
      </c>
      <c r="C2084" t="s">
        <v>40</v>
      </c>
      <c r="D2084">
        <v>6.3697980000000003</v>
      </c>
      <c r="E2084">
        <v>0.51275569999999904</v>
      </c>
      <c r="F2084" t="s">
        <v>43</v>
      </c>
      <c r="G2084">
        <v>-411.82709999999997</v>
      </c>
      <c r="H2084">
        <v>0.9625823</v>
      </c>
      <c r="I2084">
        <v>286.27269999999999</v>
      </c>
      <c r="J2084">
        <v>-411.36709999999999</v>
      </c>
      <c r="K2084">
        <v>1.1098680000000001</v>
      </c>
      <c r="L2084">
        <v>286.16910000000001</v>
      </c>
      <c r="M2084">
        <v>-0.99987579999999998</v>
      </c>
      <c r="N2084">
        <v>0</v>
      </c>
      <c r="O2084">
        <v>5.7351349999999997E-3</v>
      </c>
      <c r="P2084">
        <v>-0.99448219999999998</v>
      </c>
      <c r="Q2084">
        <v>-3.1603930000000002E-2</v>
      </c>
      <c r="R2084">
        <v>0.1000337</v>
      </c>
      <c r="S2084">
        <v>-2.9613040000000002</v>
      </c>
      <c r="T2084">
        <v>-0.53389330000000002</v>
      </c>
      <c r="U2084">
        <v>0.38162230000000003</v>
      </c>
      <c r="V2084">
        <v>9.4323030000000002E-2</v>
      </c>
      <c r="W2084">
        <v>-1.7019799999999901E-2</v>
      </c>
      <c r="X2084">
        <v>0.99539610000000001</v>
      </c>
      <c r="Y2084">
        <v>0.1203051</v>
      </c>
      <c r="Z2084">
        <v>9.6933120000000008E-3</v>
      </c>
      <c r="AA2084">
        <v>0.99268970000000001</v>
      </c>
      <c r="AB2084">
        <v>35</v>
      </c>
      <c r="AC2084">
        <v>-0.45999999999997898</v>
      </c>
      <c r="AD2084">
        <v>-0.14728569999999999</v>
      </c>
      <c r="AE2084">
        <v>0.10359999999997099</v>
      </c>
      <c r="AF2084">
        <v>9.1984865226029E-2</v>
      </c>
      <c r="AG2084">
        <v>-0.14728569999999999</v>
      </c>
      <c r="AH2084">
        <v>0.41964208375357598</v>
      </c>
      <c r="AI2084">
        <v>108.923744854106</v>
      </c>
      <c r="AJ2084">
        <v>77.636397880338706</v>
      </c>
      <c r="AK2084">
        <v>0.45415170517370501</v>
      </c>
      <c r="AL2084">
        <v>90.975209841179193</v>
      </c>
      <c r="AM2084">
        <v>84.586855990582706</v>
      </c>
      <c r="AN2084">
        <v>0.99999995173781397</v>
      </c>
    </row>
    <row r="2085" spans="1:40" x14ac:dyDescent="0.25">
      <c r="A2085" t="str">
        <f>"20190312161307725"</f>
        <v>20190312161307725</v>
      </c>
      <c r="B2085" t="str">
        <f>"1552378387717989"</f>
        <v>1552378387717989</v>
      </c>
      <c r="C2085" t="s">
        <v>40</v>
      </c>
      <c r="D2085">
        <v>5.6072230000000003</v>
      </c>
      <c r="E2085">
        <v>0.51948609999999995</v>
      </c>
      <c r="F2085" t="s">
        <v>43</v>
      </c>
      <c r="G2085">
        <v>-412.14350000000002</v>
      </c>
      <c r="H2085">
        <v>0.96937620000000002</v>
      </c>
      <c r="I2085">
        <v>286.27080000000001</v>
      </c>
      <c r="J2085">
        <v>-411.7183</v>
      </c>
      <c r="K2085">
        <v>1.109861</v>
      </c>
      <c r="L2085">
        <v>286.17129999999997</v>
      </c>
      <c r="M2085">
        <v>-0.99987519999999996</v>
      </c>
      <c r="N2085">
        <v>0</v>
      </c>
      <c r="O2085">
        <v>5.852665E-3</v>
      </c>
      <c r="P2085">
        <v>-0.99450000000000005</v>
      </c>
      <c r="Q2085">
        <v>-3.1784430000000002E-2</v>
      </c>
      <c r="R2085">
        <v>9.9797230000000001E-2</v>
      </c>
      <c r="S2085">
        <v>-2.960693</v>
      </c>
      <c r="T2085">
        <v>-0.53586719999999999</v>
      </c>
      <c r="U2085">
        <v>0.38638309999999998</v>
      </c>
      <c r="V2085">
        <v>9.3969289999999997E-2</v>
      </c>
      <c r="W2085">
        <v>-1.7204000000000001E-2</v>
      </c>
      <c r="X2085">
        <v>0.99542640000000004</v>
      </c>
      <c r="Y2085">
        <v>0.1217493</v>
      </c>
      <c r="Z2085">
        <v>9.8376580000000009E-3</v>
      </c>
      <c r="AA2085">
        <v>0.99251210000000001</v>
      </c>
      <c r="AB2085">
        <v>35</v>
      </c>
      <c r="AC2085">
        <v>-0.42520000000001701</v>
      </c>
      <c r="AD2085">
        <v>-0.14048479999999999</v>
      </c>
      <c r="AE2085">
        <v>9.9500000000034505E-2</v>
      </c>
      <c r="AF2085">
        <v>8.7911126193352701E-2</v>
      </c>
      <c r="AG2085">
        <v>-0.14048479999999999</v>
      </c>
      <c r="AH2085">
        <v>0.38584241852138101</v>
      </c>
      <c r="AI2085">
        <v>109.544916770922</v>
      </c>
      <c r="AJ2085">
        <v>77.164720315264006</v>
      </c>
      <c r="AK2085">
        <v>0.41992703779353402</v>
      </c>
      <c r="AL2085">
        <v>90.985765260235198</v>
      </c>
      <c r="AM2085">
        <v>84.607200198799603</v>
      </c>
      <c r="AN2085">
        <v>0.99999996144803105</v>
      </c>
    </row>
    <row r="2086" spans="1:40" x14ac:dyDescent="0.25">
      <c r="A2086" t="str">
        <f>"20190312161307748"</f>
        <v>20190312161307748</v>
      </c>
      <c r="B2086" t="str">
        <f>"1552378387737510"</f>
        <v>1552378387737510</v>
      </c>
      <c r="C2086" t="s">
        <v>40</v>
      </c>
      <c r="D2086">
        <v>5.4286379999999896</v>
      </c>
      <c r="E2086">
        <v>0.52273840000000005</v>
      </c>
      <c r="F2086" t="s">
        <v>43</v>
      </c>
      <c r="G2086">
        <v>-412.45170000000002</v>
      </c>
      <c r="H2086">
        <v>0.95970250000000001</v>
      </c>
      <c r="I2086">
        <v>286.27999999999997</v>
      </c>
      <c r="J2086">
        <v>-412.06369999999998</v>
      </c>
      <c r="K2086">
        <v>1.109856</v>
      </c>
      <c r="L2086">
        <v>286.17340000000002</v>
      </c>
      <c r="M2086">
        <v>-0.99987470000000001</v>
      </c>
      <c r="N2086">
        <v>0</v>
      </c>
      <c r="O2086">
        <v>5.9678650000000001E-3</v>
      </c>
      <c r="P2086">
        <v>-0.99445090000000003</v>
      </c>
      <c r="Q2086">
        <v>-3.1697110000000001E-2</v>
      </c>
      <c r="R2086">
        <v>0.100314399999999</v>
      </c>
      <c r="S2086">
        <v>-2.95343</v>
      </c>
      <c r="T2086">
        <v>-0.60475959999999995</v>
      </c>
      <c r="U2086">
        <v>0.43688959999999999</v>
      </c>
      <c r="V2086">
        <v>9.4372029999999996E-2</v>
      </c>
      <c r="W2086">
        <v>-1.712141E-2</v>
      </c>
      <c r="X2086">
        <v>0.99538979999999999</v>
      </c>
      <c r="Y2086">
        <v>0.13775109999999999</v>
      </c>
      <c r="Z2086">
        <v>1.268212E-2</v>
      </c>
      <c r="AA2086">
        <v>0.99038570000000004</v>
      </c>
      <c r="AB2086">
        <v>35</v>
      </c>
      <c r="AC2086">
        <v>-0.38800000000003299</v>
      </c>
      <c r="AD2086">
        <v>-0.150153499999999</v>
      </c>
      <c r="AE2086">
        <v>0.10659999999995701</v>
      </c>
      <c r="AF2086">
        <v>9.1535719705806498E-2</v>
      </c>
      <c r="AG2086">
        <v>-0.150153499999999</v>
      </c>
      <c r="AH2086">
        <v>0.34112652405365301</v>
      </c>
      <c r="AI2086">
        <v>113.03181154884</v>
      </c>
      <c r="AJ2086">
        <v>74.979450640737397</v>
      </c>
      <c r="AK2086">
        <v>0.38378661643840201</v>
      </c>
      <c r="AL2086">
        <v>90.981032429097198</v>
      </c>
      <c r="AM2086">
        <v>84.584026551090901</v>
      </c>
      <c r="AN2086">
        <v>1.00000003833537</v>
      </c>
    </row>
    <row r="2087" spans="1:40" x14ac:dyDescent="0.25">
      <c r="A2087" t="str">
        <f>"20190312161307769"</f>
        <v>20190312161307769</v>
      </c>
      <c r="B2087" t="str">
        <f>"1552378387758006"</f>
        <v>1552378387758006</v>
      </c>
      <c r="C2087" t="s">
        <v>40</v>
      </c>
      <c r="D2087">
        <v>5.6795049999999998</v>
      </c>
      <c r="E2087">
        <v>0.52594560000000001</v>
      </c>
      <c r="F2087" t="s">
        <v>43</v>
      </c>
      <c r="G2087">
        <v>-412.76170000000002</v>
      </c>
      <c r="H2087">
        <v>0.95474780000000004</v>
      </c>
      <c r="I2087">
        <v>286.28320000000002</v>
      </c>
      <c r="J2087">
        <v>-412.39960000000002</v>
      </c>
      <c r="K2087">
        <v>1.1098539999999999</v>
      </c>
      <c r="L2087">
        <v>286.1755</v>
      </c>
      <c r="M2087">
        <v>-0.99987389999999998</v>
      </c>
      <c r="N2087">
        <v>0</v>
      </c>
      <c r="O2087">
        <v>6.0804919999999998E-3</v>
      </c>
      <c r="P2087">
        <v>-0.99438419999999905</v>
      </c>
      <c r="Q2087">
        <v>-3.2019599999999898E-2</v>
      </c>
      <c r="R2087">
        <v>0.100872</v>
      </c>
      <c r="S2087">
        <v>-2.9491879999999999</v>
      </c>
      <c r="T2087">
        <v>-0.65544630000000004</v>
      </c>
      <c r="U2087">
        <v>0.46258539999999998</v>
      </c>
      <c r="V2087">
        <v>9.4817869999999999E-2</v>
      </c>
      <c r="W2087">
        <v>-1.7448580000000002E-2</v>
      </c>
      <c r="X2087">
        <v>0.9953417</v>
      </c>
      <c r="Y2087">
        <v>0.14562359999999999</v>
      </c>
      <c r="Z2087">
        <v>1.456615E-2</v>
      </c>
      <c r="AA2087">
        <v>0.98923280000000002</v>
      </c>
      <c r="AB2087">
        <v>35</v>
      </c>
      <c r="AC2087">
        <v>-0.36209999999999798</v>
      </c>
      <c r="AD2087">
        <v>-0.155106199999999</v>
      </c>
      <c r="AE2087">
        <v>0.107700000000022</v>
      </c>
      <c r="AF2087">
        <v>9.0277694545227202E-2</v>
      </c>
      <c r="AG2087">
        <v>-0.155106199999999</v>
      </c>
      <c r="AH2087">
        <v>0.31041999004829202</v>
      </c>
      <c r="AI2087">
        <v>115.631109112207</v>
      </c>
      <c r="AJ2087">
        <v>73.784282406504204</v>
      </c>
      <c r="AK2087">
        <v>0.35856459060038698</v>
      </c>
      <c r="AL2087">
        <v>90.999780737315902</v>
      </c>
      <c r="AM2087">
        <v>84.558331807084201</v>
      </c>
      <c r="AN2087">
        <v>0.99999999058712097</v>
      </c>
    </row>
    <row r="2088" spans="1:40" x14ac:dyDescent="0.25">
      <c r="A2088" t="str">
        <f>"20190312161307782"</f>
        <v>20190312161307782</v>
      </c>
      <c r="B2088" t="str">
        <f>"1552378387777527"</f>
        <v>1552378387777527</v>
      </c>
      <c r="C2088" t="s">
        <v>40</v>
      </c>
      <c r="D2088">
        <v>5.687875</v>
      </c>
      <c r="E2088">
        <v>0.52619090000000002</v>
      </c>
      <c r="F2088" t="s">
        <v>43</v>
      </c>
      <c r="G2088">
        <v>-413.35809999999998</v>
      </c>
      <c r="H2088">
        <v>0.89080609999999905</v>
      </c>
      <c r="I2088">
        <v>286.3347</v>
      </c>
      <c r="J2088">
        <v>-412.61360000000002</v>
      </c>
      <c r="K2088">
        <v>1.109853</v>
      </c>
      <c r="L2088">
        <v>286.17689999999999</v>
      </c>
      <c r="M2088">
        <v>-0.99987349999999997</v>
      </c>
      <c r="N2088">
        <v>0</v>
      </c>
      <c r="O2088">
        <v>6.1516230000000002E-3</v>
      </c>
      <c r="P2088">
        <v>-0.99435469999999904</v>
      </c>
      <c r="Q2088">
        <v>-3.213013E-2</v>
      </c>
      <c r="R2088">
        <v>0.1011268</v>
      </c>
      <c r="S2088">
        <v>-2.9456479999999998</v>
      </c>
      <c r="T2088">
        <v>-0.67311330000000003</v>
      </c>
      <c r="U2088">
        <v>0.4888306</v>
      </c>
      <c r="V2088">
        <v>9.5002110000000001E-2</v>
      </c>
      <c r="W2088">
        <v>-1.756191E-2</v>
      </c>
      <c r="X2088">
        <v>0.99532220000000005</v>
      </c>
      <c r="Y2088">
        <v>0.15393129999999999</v>
      </c>
      <c r="Z2088">
        <v>1.5871429999999999E-2</v>
      </c>
      <c r="AA2088">
        <v>0.98795409999999995</v>
      </c>
      <c r="AB2088">
        <v>35</v>
      </c>
      <c r="AC2088">
        <v>-0.74449999999995897</v>
      </c>
      <c r="AD2088">
        <v>-0.21904689999999999</v>
      </c>
      <c r="AE2088">
        <v>0.15780000000000799</v>
      </c>
      <c r="AF2088">
        <v>0.141494684540555</v>
      </c>
      <c r="AG2088">
        <v>-0.21904689999999999</v>
      </c>
      <c r="AH2088">
        <v>0.68842501744182505</v>
      </c>
      <c r="AI2088">
        <v>107.31071700187</v>
      </c>
      <c r="AJ2088">
        <v>78.385519884486499</v>
      </c>
      <c r="AK2088">
        <v>0.73615982965156301</v>
      </c>
      <c r="AL2088">
        <v>91.006275001686106</v>
      </c>
      <c r="AM2088">
        <v>84.547715616747098</v>
      </c>
      <c r="AN2088">
        <v>1.00000005170006</v>
      </c>
    </row>
    <row r="2089" spans="1:40" x14ac:dyDescent="0.25">
      <c r="A2089" t="str">
        <f>"20190312161307803"</f>
        <v>20190312161307803</v>
      </c>
      <c r="B2089" t="str">
        <f>"1552378387798025"</f>
        <v>1552378387798025</v>
      </c>
      <c r="C2089" t="s">
        <v>40</v>
      </c>
      <c r="D2089">
        <v>5.6837289999999996</v>
      </c>
      <c r="E2089">
        <v>0.52593210000000001</v>
      </c>
      <c r="F2089" t="s">
        <v>43</v>
      </c>
      <c r="G2089">
        <v>-413.3775</v>
      </c>
      <c r="H2089">
        <v>0.93729070000000003</v>
      </c>
      <c r="I2089">
        <v>286.30450000000002</v>
      </c>
      <c r="J2089">
        <v>-412.93709999999999</v>
      </c>
      <c r="K2089">
        <v>1.1098509999999999</v>
      </c>
      <c r="L2089">
        <v>286.17899999999997</v>
      </c>
      <c r="M2089">
        <v>-0.99987289999999995</v>
      </c>
      <c r="N2089">
        <v>0</v>
      </c>
      <c r="O2089">
        <v>6.2596500000000003E-3</v>
      </c>
      <c r="P2089">
        <v>-0.99428079999999996</v>
      </c>
      <c r="Q2089">
        <v>-3.2435480000000003E-2</v>
      </c>
      <c r="R2089">
        <v>0.10175380000000001</v>
      </c>
      <c r="S2089">
        <v>-2.945465</v>
      </c>
      <c r="T2089">
        <v>-0.66534769999999999</v>
      </c>
      <c r="U2089">
        <v>0.49163820000000003</v>
      </c>
      <c r="V2089">
        <v>9.5521839999999997E-2</v>
      </c>
      <c r="W2089">
        <v>-1.787186E-2</v>
      </c>
      <c r="X2089">
        <v>0.99526689999999995</v>
      </c>
      <c r="Y2089">
        <v>0.15481610000000001</v>
      </c>
      <c r="Z2089">
        <v>1.576663E-2</v>
      </c>
      <c r="AA2089">
        <v>0.98781750000000001</v>
      </c>
      <c r="AB2089">
        <v>35</v>
      </c>
      <c r="AC2089">
        <v>-0.44040000000001001</v>
      </c>
      <c r="AD2089">
        <v>-0.172560299999999</v>
      </c>
      <c r="AE2089">
        <v>0.12549999999998801</v>
      </c>
      <c r="AF2089">
        <v>0.10747884900808501</v>
      </c>
      <c r="AG2089">
        <v>-0.172560299999999</v>
      </c>
      <c r="AH2089">
        <v>0.38632075528818399</v>
      </c>
      <c r="AI2089">
        <v>113.283775683223</v>
      </c>
      <c r="AJ2089">
        <v>74.452825077256506</v>
      </c>
      <c r="AK2089">
        <v>0.436546087013302</v>
      </c>
      <c r="AL2089">
        <v>91.024036654346304</v>
      </c>
      <c r="AM2089">
        <v>84.517766167399699</v>
      </c>
      <c r="AN2089">
        <v>1.0000000137662199</v>
      </c>
    </row>
    <row r="2090" spans="1:40" x14ac:dyDescent="0.25">
      <c r="A2090" t="str">
        <f>"20190312161307837"</f>
        <v>20190312161307837</v>
      </c>
      <c r="B2090" t="str">
        <f>"1552378387827302"</f>
        <v>1552378387827302</v>
      </c>
      <c r="C2090" t="s">
        <v>40</v>
      </c>
      <c r="D2090">
        <v>5.6645339999999997</v>
      </c>
      <c r="E2090">
        <v>0.52547100000000002</v>
      </c>
      <c r="F2090" t="s">
        <v>43</v>
      </c>
      <c r="G2090">
        <v>-413.69170000000003</v>
      </c>
      <c r="H2090">
        <v>0.94333400000000001</v>
      </c>
      <c r="I2090">
        <v>286.30540000000002</v>
      </c>
      <c r="J2090">
        <v>-413.4547</v>
      </c>
      <c r="K2090">
        <v>1.10985</v>
      </c>
      <c r="L2090">
        <v>286.18239999999997</v>
      </c>
      <c r="M2090">
        <v>-0.99987199999999998</v>
      </c>
      <c r="N2090">
        <v>0</v>
      </c>
      <c r="O2090">
        <v>6.4321250000000003E-3</v>
      </c>
      <c r="P2090">
        <v>-0.99419800000000003</v>
      </c>
      <c r="Q2090">
        <v>-3.264504E-2</v>
      </c>
      <c r="R2090">
        <v>0.10249369999999999</v>
      </c>
      <c r="S2090">
        <v>-2.9457089999999999</v>
      </c>
      <c r="T2090">
        <v>-0.65009740000000005</v>
      </c>
      <c r="U2090">
        <v>0.49188229999999999</v>
      </c>
      <c r="V2090">
        <v>9.6090540000000002E-2</v>
      </c>
      <c r="W2090">
        <v>-1.808831E-2</v>
      </c>
      <c r="X2090">
        <v>0.99520819999999999</v>
      </c>
      <c r="Y2090">
        <v>0.1548785</v>
      </c>
      <c r="Z2090">
        <v>1.538173E-2</v>
      </c>
      <c r="AA2090">
        <v>0.98781379999999996</v>
      </c>
      <c r="AB2090">
        <v>35</v>
      </c>
      <c r="AC2090">
        <v>-0.237000000000023</v>
      </c>
      <c r="AD2090">
        <v>-0.166516</v>
      </c>
      <c r="AE2090">
        <v>0.123000000000047</v>
      </c>
      <c r="AF2090">
        <v>8.7459961298086697E-2</v>
      </c>
      <c r="AG2090">
        <v>-0.166516</v>
      </c>
      <c r="AH2090">
        <v>0.171205159699541</v>
      </c>
      <c r="AI2090">
        <v>130.897096754307</v>
      </c>
      <c r="AJ2090">
        <v>62.939834488279203</v>
      </c>
      <c r="AK2090">
        <v>0.254338415883264</v>
      </c>
      <c r="AL2090">
        <v>91.036440376060199</v>
      </c>
      <c r="AM2090">
        <v>84.485004422413795</v>
      </c>
      <c r="AN2090">
        <v>0.99999997009169295</v>
      </c>
    </row>
    <row r="2091" spans="1:40" x14ac:dyDescent="0.25">
      <c r="A2091" t="str">
        <f>"20190312161307858"</f>
        <v>20190312161307858</v>
      </c>
      <c r="B2091" t="str">
        <f>"1552378387847798"</f>
        <v>1552378387847798</v>
      </c>
      <c r="C2091" t="s">
        <v>40</v>
      </c>
      <c r="D2091">
        <v>5.5881499999999997</v>
      </c>
      <c r="E2091">
        <v>0.52608569999999999</v>
      </c>
      <c r="F2091" t="s">
        <v>43</v>
      </c>
      <c r="G2091">
        <v>-414.30540000000002</v>
      </c>
      <c r="H2091">
        <v>0.92550639999999995</v>
      </c>
      <c r="I2091">
        <v>286.3245</v>
      </c>
      <c r="J2091">
        <v>-413.79430000000002</v>
      </c>
      <c r="K2091">
        <v>1.109855</v>
      </c>
      <c r="L2091">
        <v>286.18470000000002</v>
      </c>
      <c r="M2091">
        <v>-0.99987110000000001</v>
      </c>
      <c r="N2091">
        <v>0</v>
      </c>
      <c r="O2091">
        <v>6.5455729999999998E-3</v>
      </c>
      <c r="P2091">
        <v>-0.99413569999999996</v>
      </c>
      <c r="Q2091">
        <v>-3.2475940000000002E-2</v>
      </c>
      <c r="R2091">
        <v>0.1031488</v>
      </c>
      <c r="S2091">
        <v>-2.9459529999999998</v>
      </c>
      <c r="T2091">
        <v>-0.63840520000000001</v>
      </c>
      <c r="U2091">
        <v>0.4907532</v>
      </c>
      <c r="V2091">
        <v>9.663339E-2</v>
      </c>
      <c r="W2091">
        <v>-1.7923830000000002E-2</v>
      </c>
      <c r="X2091">
        <v>0.99515869999999995</v>
      </c>
      <c r="Y2091">
        <v>0.1545183</v>
      </c>
      <c r="Z2091">
        <v>1.504808E-2</v>
      </c>
      <c r="AA2091">
        <v>0.98787530000000001</v>
      </c>
      <c r="AB2091">
        <v>35</v>
      </c>
      <c r="AC2091">
        <v>-0.511099999999999</v>
      </c>
      <c r="AD2091">
        <v>-0.1843486</v>
      </c>
      <c r="AE2091">
        <v>0.139799999999979</v>
      </c>
      <c r="AF2091">
        <v>0.121718275748604</v>
      </c>
      <c r="AG2091">
        <v>-0.1843486</v>
      </c>
      <c r="AH2091">
        <v>0.45672203278222601</v>
      </c>
      <c r="AI2091">
        <v>111.306837087765</v>
      </c>
      <c r="AJ2091">
        <v>75.077281347885702</v>
      </c>
      <c r="AK2091">
        <v>0.50734087180307297</v>
      </c>
      <c r="AL2091">
        <v>91.027014748632197</v>
      </c>
      <c r="AM2091">
        <v>84.453767793190707</v>
      </c>
      <c r="AN2091">
        <v>1.0000000569652201</v>
      </c>
    </row>
    <row r="2092" spans="1:40" x14ac:dyDescent="0.25">
      <c r="A2092" t="str">
        <f>"20190312161307880"</f>
        <v>20190312161307880</v>
      </c>
      <c r="B2092" t="str">
        <f>"1552378387878054"</f>
        <v>1552378387878054</v>
      </c>
      <c r="C2092" t="s">
        <v>40</v>
      </c>
      <c r="D2092">
        <v>5.6750699999999998</v>
      </c>
      <c r="E2092">
        <v>0.52560869999999904</v>
      </c>
      <c r="F2092" t="s">
        <v>43</v>
      </c>
      <c r="G2092">
        <v>-414.61790000000002</v>
      </c>
      <c r="H2092">
        <v>0.93047880000000005</v>
      </c>
      <c r="I2092">
        <v>286.32389999999998</v>
      </c>
      <c r="J2092">
        <v>-414.13729999999998</v>
      </c>
      <c r="K2092">
        <v>1.109855</v>
      </c>
      <c r="L2092">
        <v>286.18709999999999</v>
      </c>
      <c r="M2092">
        <v>-0.9998705</v>
      </c>
      <c r="N2092">
        <v>0</v>
      </c>
      <c r="O2092">
        <v>6.6596789999999999E-3</v>
      </c>
      <c r="P2092">
        <v>-0.99412730000000005</v>
      </c>
      <c r="Q2092">
        <v>-3.2478930000000003E-2</v>
      </c>
      <c r="R2092">
        <v>0.1032289</v>
      </c>
      <c r="S2092">
        <v>-2.9451290000000001</v>
      </c>
      <c r="T2092">
        <v>-0.64142060000000001</v>
      </c>
      <c r="U2092">
        <v>0.49746699999999999</v>
      </c>
      <c r="V2092">
        <v>9.6599889999999994E-2</v>
      </c>
      <c r="W2092">
        <v>-1.7930599999999901E-2</v>
      </c>
      <c r="X2092">
        <v>0.99516179999999999</v>
      </c>
      <c r="Y2092">
        <v>0.15656489999999901</v>
      </c>
      <c r="Z2092">
        <v>1.53132999999999E-2</v>
      </c>
      <c r="AA2092">
        <v>0.98754889999999995</v>
      </c>
      <c r="AB2092">
        <v>35</v>
      </c>
      <c r="AC2092">
        <v>-0.480600000000038</v>
      </c>
      <c r="AD2092">
        <v>-0.17937620000000001</v>
      </c>
      <c r="AE2092">
        <v>0.13679999999999301</v>
      </c>
      <c r="AF2092">
        <v>0.118345634701074</v>
      </c>
      <c r="AG2092">
        <v>-0.17937620000000001</v>
      </c>
      <c r="AH2092">
        <v>0.42653588792602798</v>
      </c>
      <c r="AI2092">
        <v>112.05941834359299</v>
      </c>
      <c r="AJ2092">
        <v>74.492919782031606</v>
      </c>
      <c r="AK2092">
        <v>0.477613205500105</v>
      </c>
      <c r="AL2092">
        <v>91.027402734510801</v>
      </c>
      <c r="AM2092">
        <v>84.455695692533396</v>
      </c>
      <c r="AN2092">
        <v>1.0000000266718001</v>
      </c>
    </row>
    <row r="2093" spans="1:40" x14ac:dyDescent="0.25">
      <c r="A2093" t="str">
        <f>"20190312161307895"</f>
        <v>20190312161307895</v>
      </c>
      <c r="B2093" t="str">
        <f>"1552378387887814"</f>
        <v>1552378387887814</v>
      </c>
      <c r="C2093" t="s">
        <v>40</v>
      </c>
      <c r="D2093">
        <v>5.6627349999999996</v>
      </c>
      <c r="E2093">
        <v>0.52537460000000002</v>
      </c>
      <c r="F2093" t="s">
        <v>43</v>
      </c>
      <c r="G2093">
        <v>-414.93180000000001</v>
      </c>
      <c r="H2093">
        <v>0.93929269999999998</v>
      </c>
      <c r="I2093">
        <v>286.32089999999999</v>
      </c>
      <c r="J2093">
        <v>-414.3503</v>
      </c>
      <c r="K2093">
        <v>1.1098629999999901</v>
      </c>
      <c r="L2093">
        <v>286.18849999999998</v>
      </c>
      <c r="M2093">
        <v>-0.99987009999999998</v>
      </c>
      <c r="N2093">
        <v>0</v>
      </c>
      <c r="O2093">
        <v>6.7302669999999998E-3</v>
      </c>
      <c r="P2093">
        <v>-0.9941432</v>
      </c>
      <c r="Q2093">
        <v>-3.2494960000000003E-2</v>
      </c>
      <c r="R2093">
        <v>0.1030698</v>
      </c>
      <c r="S2093">
        <v>-2.9456479999999998</v>
      </c>
      <c r="T2093">
        <v>-0.6323645</v>
      </c>
      <c r="U2093">
        <v>0.49496459999999998</v>
      </c>
      <c r="V2093">
        <v>9.6370339999999999E-2</v>
      </c>
      <c r="W2093">
        <v>-1.7948660000000002E-2</v>
      </c>
      <c r="X2093">
        <v>0.9951837</v>
      </c>
      <c r="Y2093">
        <v>0.1557654</v>
      </c>
      <c r="Z2093">
        <v>1.500115E-2</v>
      </c>
      <c r="AA2093">
        <v>0.98768020000000001</v>
      </c>
      <c r="AB2093">
        <v>35</v>
      </c>
      <c r="AC2093">
        <v>-0.58150000000000501</v>
      </c>
      <c r="AD2093">
        <v>-0.17057029999999901</v>
      </c>
      <c r="AE2093">
        <v>0.132400000000018</v>
      </c>
      <c r="AF2093">
        <v>0.11876765103909399</v>
      </c>
      <c r="AG2093">
        <v>-0.17057029999999901</v>
      </c>
      <c r="AH2093">
        <v>0.53834130271121605</v>
      </c>
      <c r="AI2093">
        <v>107.192273299859</v>
      </c>
      <c r="AJ2093">
        <v>77.558824974473097</v>
      </c>
      <c r="AK2093">
        <v>0.577071347738079</v>
      </c>
      <c r="AL2093">
        <v>91.028437693548597</v>
      </c>
      <c r="AM2093">
        <v>84.468909769397399</v>
      </c>
      <c r="AN2093">
        <v>0.99999999678660001</v>
      </c>
    </row>
    <row r="2094" spans="1:40" x14ac:dyDescent="0.25">
      <c r="A2094" t="str">
        <f>"20190312161307909"</f>
        <v>20190312161307909</v>
      </c>
      <c r="B2094" t="str">
        <f>"1552378387897574"</f>
        <v>1552378387897574</v>
      </c>
      <c r="C2094" t="s">
        <v>40</v>
      </c>
      <c r="D2094">
        <v>6.2338969999999998</v>
      </c>
      <c r="E2094">
        <v>0.52516269999999998</v>
      </c>
      <c r="F2094" t="s">
        <v>43</v>
      </c>
      <c r="G2094">
        <v>-415.23349999999999</v>
      </c>
      <c r="H2094">
        <v>0.92126920000000001</v>
      </c>
      <c r="I2094">
        <v>286.33640000000003</v>
      </c>
      <c r="J2094">
        <v>-414.56700000000001</v>
      </c>
      <c r="K2094">
        <v>1.1098619999999999</v>
      </c>
      <c r="L2094">
        <v>286.19009999999997</v>
      </c>
      <c r="M2094">
        <v>-0.99986960000000003</v>
      </c>
      <c r="N2094">
        <v>0</v>
      </c>
      <c r="O2094">
        <v>6.8023449999999996E-3</v>
      </c>
      <c r="P2094">
        <v>-0.99416349999999998</v>
      </c>
      <c r="Q2094">
        <v>-3.2151449999999998E-2</v>
      </c>
      <c r="R2094">
        <v>0.1029819</v>
      </c>
      <c r="S2094">
        <v>-2.946075</v>
      </c>
      <c r="T2094">
        <v>-0.62899780000000005</v>
      </c>
      <c r="U2094">
        <v>0.49270629999999999</v>
      </c>
      <c r="V2094">
        <v>9.6210790000000004E-2</v>
      </c>
      <c r="W2094">
        <v>-1.7607190000000002E-2</v>
      </c>
      <c r="X2094">
        <v>0.99520520000000001</v>
      </c>
      <c r="Y2094">
        <v>0.15498799999999999</v>
      </c>
      <c r="Z2094">
        <v>1.48252E-2</v>
      </c>
      <c r="AA2094">
        <v>0.98780509999999999</v>
      </c>
      <c r="AB2094">
        <v>35</v>
      </c>
      <c r="AC2094">
        <v>-0.66650000000004095</v>
      </c>
      <c r="AD2094">
        <v>-0.1885928</v>
      </c>
      <c r="AE2094">
        <v>0.146300000000053</v>
      </c>
      <c r="AF2094">
        <v>0.13170217914068899</v>
      </c>
      <c r="AG2094">
        <v>-0.1885928</v>
      </c>
      <c r="AH2094">
        <v>0.62011206444174904</v>
      </c>
      <c r="AI2094">
        <v>106.567292533832</v>
      </c>
      <c r="AJ2094">
        <v>78.009433611826296</v>
      </c>
      <c r="AK2094">
        <v>0.66140130077620396</v>
      </c>
      <c r="AL2094">
        <v>91.008869848496005</v>
      </c>
      <c r="AM2094">
        <v>84.47812891177</v>
      </c>
      <c r="AN2094">
        <v>0.999999959679579</v>
      </c>
    </row>
    <row r="2095" spans="1:40" x14ac:dyDescent="0.25">
      <c r="A2095" t="str">
        <f>"20190312161307926"</f>
        <v>20190312161307926</v>
      </c>
      <c r="B2095" t="str">
        <f>"1552378387918069"</f>
        <v>1552378387918069</v>
      </c>
      <c r="C2095" t="s">
        <v>40</v>
      </c>
      <c r="D2095">
        <v>5.601496</v>
      </c>
      <c r="E2095">
        <v>0.52490119999999996</v>
      </c>
      <c r="F2095" t="s">
        <v>43</v>
      </c>
      <c r="G2095">
        <v>-415.536</v>
      </c>
      <c r="H2095">
        <v>0.90442920000000004</v>
      </c>
      <c r="I2095">
        <v>286.3519</v>
      </c>
      <c r="J2095">
        <v>-414.84809999999999</v>
      </c>
      <c r="K2095">
        <v>1.1098650000000001</v>
      </c>
      <c r="L2095">
        <v>286.19200000000001</v>
      </c>
      <c r="M2095">
        <v>-0.99986909999999896</v>
      </c>
      <c r="N2095">
        <v>0</v>
      </c>
      <c r="O2095">
        <v>6.8956410000000001E-3</v>
      </c>
      <c r="P2095">
        <v>-0.99418459999999997</v>
      </c>
      <c r="Q2095">
        <v>-3.2473380000000003E-2</v>
      </c>
      <c r="R2095">
        <v>0.1026765</v>
      </c>
      <c r="S2095">
        <v>-2.9465029999999999</v>
      </c>
      <c r="T2095">
        <v>-0.62470009999999998</v>
      </c>
      <c r="U2095">
        <v>0.4909058</v>
      </c>
      <c r="V2095">
        <v>9.5812170000000002E-2</v>
      </c>
      <c r="W2095">
        <v>-1.7931639999999999E-2</v>
      </c>
      <c r="X2095">
        <v>0.99523790000000001</v>
      </c>
      <c r="Y2095">
        <v>0.1543455</v>
      </c>
      <c r="Z2095">
        <v>1.4638379999999999E-2</v>
      </c>
      <c r="AA2095">
        <v>0.98790849999999997</v>
      </c>
      <c r="AB2095">
        <v>35</v>
      </c>
      <c r="AC2095">
        <v>-0.68790000000001295</v>
      </c>
      <c r="AD2095">
        <v>-0.205435799999999</v>
      </c>
      <c r="AE2095">
        <v>0.15989999999999299</v>
      </c>
      <c r="AF2095">
        <v>0.143048139396526</v>
      </c>
      <c r="AG2095">
        <v>-0.205435799999999</v>
      </c>
      <c r="AH2095">
        <v>0.63523580535114599</v>
      </c>
      <c r="AI2095">
        <v>107.51049838426501</v>
      </c>
      <c r="AJ2095">
        <v>77.309307792266495</v>
      </c>
      <c r="AK2095">
        <v>0.682781931883502</v>
      </c>
      <c r="AL2095">
        <v>91.0274623625874</v>
      </c>
      <c r="AM2095">
        <v>84.501046142015198</v>
      </c>
      <c r="AN2095">
        <v>0.99999999661480399</v>
      </c>
    </row>
    <row r="2096" spans="1:40" x14ac:dyDescent="0.25">
      <c r="A2096" t="str">
        <f>"20190312161307949"</f>
        <v>20190312161307949</v>
      </c>
      <c r="B2096" t="str">
        <f>"1552378387937590"</f>
        <v>1552378387937590</v>
      </c>
      <c r="C2096" t="s">
        <v>40</v>
      </c>
      <c r="D2096">
        <v>5.6313069999999996</v>
      </c>
      <c r="E2096">
        <v>0.52475569999999905</v>
      </c>
      <c r="F2096" t="s">
        <v>43</v>
      </c>
      <c r="G2096">
        <v>-415.56009999999998</v>
      </c>
      <c r="H2096">
        <v>0.96001700000000001</v>
      </c>
      <c r="I2096">
        <v>286.31020000000001</v>
      </c>
      <c r="J2096">
        <v>-415.1832</v>
      </c>
      <c r="K2096">
        <v>1.109869</v>
      </c>
      <c r="L2096">
        <v>286.19450000000001</v>
      </c>
      <c r="M2096">
        <v>-0.99986830000000004</v>
      </c>
      <c r="N2096">
        <v>0</v>
      </c>
      <c r="O2096">
        <v>7.0067050000000002E-3</v>
      </c>
      <c r="P2096">
        <v>-0.99418960000000001</v>
      </c>
      <c r="Q2096">
        <v>-3.2640410000000002E-2</v>
      </c>
      <c r="R2096">
        <v>0.1025744</v>
      </c>
      <c r="S2096">
        <v>-2.94693</v>
      </c>
      <c r="T2096">
        <v>-0.6203632</v>
      </c>
      <c r="U2096">
        <v>0.48736570000000001</v>
      </c>
      <c r="V2096">
        <v>9.5599610000000002E-2</v>
      </c>
      <c r="W2096">
        <v>-1.8102099999999999E-2</v>
      </c>
      <c r="X2096">
        <v>0.99525520000000001</v>
      </c>
      <c r="Y2096">
        <v>0.15312970000000001</v>
      </c>
      <c r="Z2096">
        <v>1.4389509999999999E-2</v>
      </c>
      <c r="AA2096">
        <v>0.98810140000000002</v>
      </c>
      <c r="AB2096">
        <v>35</v>
      </c>
      <c r="AC2096">
        <v>-0.37689999999997698</v>
      </c>
      <c r="AD2096">
        <v>-0.14985200000000001</v>
      </c>
      <c r="AE2096">
        <v>0.11570000000000299</v>
      </c>
      <c r="AF2096">
        <v>9.8785082628860099E-2</v>
      </c>
      <c r="AG2096">
        <v>-0.14985200000000001</v>
      </c>
      <c r="AH2096">
        <v>0.33002457658441298</v>
      </c>
      <c r="AI2096">
        <v>113.50875986687601</v>
      </c>
      <c r="AJ2096">
        <v>73.336167803673405</v>
      </c>
      <c r="AK2096">
        <v>0.37567317658266702</v>
      </c>
      <c r="AL2096">
        <v>91.037230643108302</v>
      </c>
      <c r="AM2096">
        <v>84.513265874484802</v>
      </c>
      <c r="AN2096">
        <v>0.999999942291799</v>
      </c>
    </row>
    <row r="2097" spans="1:40" x14ac:dyDescent="0.25">
      <c r="A2097" t="str">
        <f>"20190312161307970"</f>
        <v>20190312161307970</v>
      </c>
      <c r="B2097" t="str">
        <f>"1552378387958086"</f>
        <v>1552378387958086</v>
      </c>
      <c r="C2097" t="s">
        <v>40</v>
      </c>
      <c r="D2097">
        <v>5.6013359999999999</v>
      </c>
      <c r="E2097">
        <v>0.52501819999999999</v>
      </c>
      <c r="F2097" t="s">
        <v>43</v>
      </c>
      <c r="G2097">
        <v>-416.15440000000001</v>
      </c>
      <c r="H2097">
        <v>0.90686670000000003</v>
      </c>
      <c r="I2097">
        <v>286.35489999999999</v>
      </c>
      <c r="J2097">
        <v>-415.5204</v>
      </c>
      <c r="K2097">
        <v>1.1098709999999901</v>
      </c>
      <c r="L2097">
        <v>286.197</v>
      </c>
      <c r="M2097">
        <v>-0.99986770000000003</v>
      </c>
      <c r="N2097">
        <v>0</v>
      </c>
      <c r="O2097">
        <v>7.1186019999999999E-3</v>
      </c>
      <c r="P2097">
        <v>-0.99417909999999998</v>
      </c>
      <c r="Q2097">
        <v>-3.2306380000000003E-2</v>
      </c>
      <c r="R2097">
        <v>0.10278420000000001</v>
      </c>
      <c r="S2097">
        <v>-2.947235</v>
      </c>
      <c r="T2097">
        <v>-0.61616119999999996</v>
      </c>
      <c r="U2097">
        <v>0.48538209999999998</v>
      </c>
      <c r="V2097">
        <v>9.5698290000000005E-2</v>
      </c>
      <c r="W2097">
        <v>-1.7771809999999999E-2</v>
      </c>
      <c r="X2097">
        <v>0.99525169999999996</v>
      </c>
      <c r="Y2097">
        <v>0.15241450000000001</v>
      </c>
      <c r="Z2097">
        <v>1.419692E-2</v>
      </c>
      <c r="AA2097">
        <v>0.9882147</v>
      </c>
      <c r="AB2097">
        <v>35</v>
      </c>
      <c r="AC2097">
        <v>-0.634000000000014</v>
      </c>
      <c r="AD2097">
        <v>-0.203004299999999</v>
      </c>
      <c r="AE2097">
        <v>0.157899999999983</v>
      </c>
      <c r="AF2097">
        <v>0.139878772907123</v>
      </c>
      <c r="AG2097">
        <v>-0.203004299999999</v>
      </c>
      <c r="AH2097">
        <v>0.57919411965605205</v>
      </c>
      <c r="AI2097">
        <v>108.813953115262</v>
      </c>
      <c r="AJ2097">
        <v>76.422714350469604</v>
      </c>
      <c r="AK2097">
        <v>0.62947807362341202</v>
      </c>
      <c r="AL2097">
        <v>91.018303342470603</v>
      </c>
      <c r="AM2097">
        <v>84.507617764891194</v>
      </c>
      <c r="AN2097">
        <v>0.999999973146244</v>
      </c>
    </row>
    <row r="2098" spans="1:40" x14ac:dyDescent="0.25">
      <c r="A2098" t="str">
        <f>"20190312161307986"</f>
        <v>20190312161307986</v>
      </c>
      <c r="B2098" t="str">
        <f>"1552378387977607"</f>
        <v>1552378387977607</v>
      </c>
      <c r="C2098" t="s">
        <v>40</v>
      </c>
      <c r="D2098">
        <v>5.5499559999999999</v>
      </c>
      <c r="E2098">
        <v>0.52557849999999995</v>
      </c>
      <c r="F2098" t="s">
        <v>43</v>
      </c>
      <c r="G2098">
        <v>-416.46440000000001</v>
      </c>
      <c r="H2098">
        <v>0.91168179999999999</v>
      </c>
      <c r="I2098">
        <v>286.35359999999997</v>
      </c>
      <c r="J2098">
        <v>-415.76589999999999</v>
      </c>
      <c r="K2098">
        <v>1.109872</v>
      </c>
      <c r="L2098">
        <v>286.19880000000001</v>
      </c>
      <c r="M2098">
        <v>-0.99986710000000001</v>
      </c>
      <c r="N2098">
        <v>0</v>
      </c>
      <c r="O2098">
        <v>7.2005690000000004E-3</v>
      </c>
      <c r="P2098">
        <v>-0.99413910000000005</v>
      </c>
      <c r="Q2098">
        <v>-3.2416210000000001E-2</v>
      </c>
      <c r="R2098">
        <v>0.10313509999999999</v>
      </c>
      <c r="S2098">
        <v>-2.9469910000000001</v>
      </c>
      <c r="T2098">
        <v>-0.61874960000000001</v>
      </c>
      <c r="U2098">
        <v>0.48825069999999998</v>
      </c>
      <c r="V2098">
        <v>9.5967899999999995E-2</v>
      </c>
      <c r="W2098">
        <v>-1.7884790000000001E-2</v>
      </c>
      <c r="X2098">
        <v>0.99522379999999999</v>
      </c>
      <c r="Y2098">
        <v>0.15324179999999901</v>
      </c>
      <c r="Z2098">
        <v>1.4323819999999999E-2</v>
      </c>
      <c r="AA2098">
        <v>0.98808490000000004</v>
      </c>
      <c r="AB2098">
        <v>34</v>
      </c>
      <c r="AC2098">
        <v>-0.69850000000002399</v>
      </c>
      <c r="AD2098">
        <v>-0.19819019999999901</v>
      </c>
      <c r="AE2098">
        <v>0.15479999999996599</v>
      </c>
      <c r="AF2098">
        <v>0.139092234940356</v>
      </c>
      <c r="AG2098">
        <v>-0.19819019999999901</v>
      </c>
      <c r="AH2098">
        <v>0.64973731999695805</v>
      </c>
      <c r="AI2098">
        <v>106.60843251692199</v>
      </c>
      <c r="AJ2098">
        <v>77.916810188806394</v>
      </c>
      <c r="AK2098">
        <v>0.69338632103148101</v>
      </c>
      <c r="AL2098">
        <v>91.024777562046694</v>
      </c>
      <c r="AM2098">
        <v>84.492085683891901</v>
      </c>
      <c r="AN2098">
        <v>1.00000005781509</v>
      </c>
    </row>
    <row r="2099" spans="1:40" x14ac:dyDescent="0.25">
      <c r="A2099" t="str">
        <f>"20190312161308004"</f>
        <v>20190312161308004</v>
      </c>
      <c r="B2099" t="str">
        <f>"1552378387998101"</f>
        <v>1552378387998101</v>
      </c>
      <c r="C2099" t="s">
        <v>40</v>
      </c>
      <c r="D2099">
        <v>5.5835330000000001</v>
      </c>
      <c r="E2099">
        <v>0.52599259999999903</v>
      </c>
      <c r="F2099" t="s">
        <v>43</v>
      </c>
      <c r="G2099">
        <v>-416.48390000000001</v>
      </c>
      <c r="H2099">
        <v>0.956426</v>
      </c>
      <c r="I2099">
        <v>286.3193</v>
      </c>
      <c r="J2099">
        <v>-416.05220000000003</v>
      </c>
      <c r="K2099">
        <v>1.1098699999999999</v>
      </c>
      <c r="L2099">
        <v>286.20089999999999</v>
      </c>
      <c r="M2099">
        <v>-0.99986629999999999</v>
      </c>
      <c r="N2099">
        <v>0</v>
      </c>
      <c r="O2099">
        <v>7.2963059999999998E-3</v>
      </c>
      <c r="P2099">
        <v>-0.99404919999999997</v>
      </c>
      <c r="Q2099">
        <v>-3.2925129999999997E-2</v>
      </c>
      <c r="R2099">
        <v>0.1038371</v>
      </c>
      <c r="S2099">
        <v>-2.9459529999999998</v>
      </c>
      <c r="T2099">
        <v>-0.62966499999999903</v>
      </c>
      <c r="U2099">
        <v>0.4936218</v>
      </c>
      <c r="V2099">
        <v>9.6575099999999997E-2</v>
      </c>
      <c r="W2099">
        <v>-1.8398040000000001E-2</v>
      </c>
      <c r="X2099">
        <v>0.99515560000000003</v>
      </c>
      <c r="Y2099">
        <v>0.15481339999999999</v>
      </c>
      <c r="Z2099">
        <v>1.4718810000000001E-2</v>
      </c>
      <c r="AA2099">
        <v>0.98783410000000005</v>
      </c>
      <c r="AB2099">
        <v>34</v>
      </c>
      <c r="AC2099">
        <v>-0.43169999999997699</v>
      </c>
      <c r="AD2099">
        <v>-0.153444</v>
      </c>
      <c r="AE2099">
        <v>0.118400000000008</v>
      </c>
      <c r="AF2099">
        <v>0.10312903098651099</v>
      </c>
      <c r="AG2099">
        <v>-0.153444</v>
      </c>
      <c r="AH2099">
        <v>0.38707156187299602</v>
      </c>
      <c r="AI2099">
        <v>110.959825651408</v>
      </c>
      <c r="AJ2099">
        <v>75.081028432809802</v>
      </c>
      <c r="AK2099">
        <v>0.42895810072665402</v>
      </c>
      <c r="AL2099">
        <v>91.054189570284194</v>
      </c>
      <c r="AM2099">
        <v>84.4570753226633</v>
      </c>
      <c r="AN2099">
        <v>0.999999953013604</v>
      </c>
    </row>
    <row r="2100" spans="1:40" x14ac:dyDescent="0.25">
      <c r="A2100" t="str">
        <f>"20190312161308026"</f>
        <v>20190312161308026</v>
      </c>
      <c r="B2100" t="str">
        <f>"1552378388017622"</f>
        <v>1552378388017622</v>
      </c>
      <c r="C2100" t="s">
        <v>40</v>
      </c>
      <c r="D2100">
        <v>5.6148499999999997</v>
      </c>
      <c r="E2100">
        <v>0.52621079999999998</v>
      </c>
      <c r="F2100" t="s">
        <v>43</v>
      </c>
      <c r="G2100">
        <v>-416.78859999999997</v>
      </c>
      <c r="H2100">
        <v>0.94979270000000005</v>
      </c>
      <c r="I2100">
        <v>286.3263</v>
      </c>
      <c r="J2100">
        <v>-416.38709999999998</v>
      </c>
      <c r="K2100">
        <v>1.109869</v>
      </c>
      <c r="L2100">
        <v>286.20350000000002</v>
      </c>
      <c r="M2100">
        <v>-0.99986560000000002</v>
      </c>
      <c r="N2100">
        <v>0</v>
      </c>
      <c r="O2100">
        <v>7.408375E-3</v>
      </c>
      <c r="P2100">
        <v>-0.9939907</v>
      </c>
      <c r="Q2100">
        <v>-3.2995700000000003E-2</v>
      </c>
      <c r="R2100">
        <v>0.1043742</v>
      </c>
      <c r="S2100">
        <v>-2.9446409999999998</v>
      </c>
      <c r="T2100">
        <v>-0.64017769999999996</v>
      </c>
      <c r="U2100">
        <v>0.49890139999999999</v>
      </c>
      <c r="V2100">
        <v>9.7001169999999998E-2</v>
      </c>
      <c r="W2100">
        <v>-1.847298E-2</v>
      </c>
      <c r="X2100">
        <v>0.99511280000000002</v>
      </c>
      <c r="Y2100">
        <v>0.15635439999999901</v>
      </c>
      <c r="Z2100">
        <v>1.510393E-2</v>
      </c>
      <c r="AA2100">
        <v>0.98758550000000001</v>
      </c>
      <c r="AB2100">
        <v>34</v>
      </c>
      <c r="AC2100">
        <v>-0.40149999999999803</v>
      </c>
      <c r="AD2100">
        <v>-0.1600763</v>
      </c>
      <c r="AE2100">
        <v>0.12279999999998301</v>
      </c>
      <c r="AF2100">
        <v>0.104614981025877</v>
      </c>
      <c r="AG2100">
        <v>-0.1600763</v>
      </c>
      <c r="AH2100">
        <v>0.35132946082361799</v>
      </c>
      <c r="AI2100">
        <v>113.590017237285</v>
      </c>
      <c r="AJ2100">
        <v>73.418106197349303</v>
      </c>
      <c r="AK2100">
        <v>0.40000138264679702</v>
      </c>
      <c r="AL2100">
        <v>91.058484016048695</v>
      </c>
      <c r="AM2100">
        <v>84.432536401857902</v>
      </c>
      <c r="AN2100">
        <v>0.99999998134764401</v>
      </c>
    </row>
    <row r="2101" spans="1:40" x14ac:dyDescent="0.25">
      <c r="A2101" t="str">
        <f>"20190312161308042"</f>
        <v>20190312161308042</v>
      </c>
      <c r="B2101" t="str">
        <f>"1552378388038117"</f>
        <v>1552378388038117</v>
      </c>
      <c r="C2101" t="s">
        <v>40</v>
      </c>
      <c r="D2101">
        <v>5.5883479999999999</v>
      </c>
      <c r="E2101">
        <v>0.52627959999999996</v>
      </c>
      <c r="F2101" t="s">
        <v>43</v>
      </c>
      <c r="G2101">
        <v>-417.09789999999998</v>
      </c>
      <c r="H2101">
        <v>0.95387449999999996</v>
      </c>
      <c r="I2101">
        <v>286.32499999999999</v>
      </c>
      <c r="J2101">
        <v>-416.62959999999998</v>
      </c>
      <c r="K2101">
        <v>1.1098699999999999</v>
      </c>
      <c r="L2101">
        <v>286.2054</v>
      </c>
      <c r="M2101">
        <v>-0.99986509999999995</v>
      </c>
      <c r="N2101">
        <v>0</v>
      </c>
      <c r="O2101">
        <v>7.4895079999999998E-3</v>
      </c>
      <c r="P2101">
        <v>-0.9939848</v>
      </c>
      <c r="Q2101">
        <v>-3.2800969999999999E-2</v>
      </c>
      <c r="R2101">
        <v>0.1044916</v>
      </c>
      <c r="S2101">
        <v>-2.9439389999999999</v>
      </c>
      <c r="T2101">
        <v>-0.64617279999999999</v>
      </c>
      <c r="U2101">
        <v>0.50207520000000005</v>
      </c>
      <c r="V2101">
        <v>9.703784E-2</v>
      </c>
      <c r="W2101">
        <v>-1.8280879999999999E-2</v>
      </c>
      <c r="X2101">
        <v>0.99511280000000002</v>
      </c>
      <c r="Y2101">
        <v>0.15726490000000001</v>
      </c>
      <c r="Z2101">
        <v>1.532494E-2</v>
      </c>
      <c r="AA2101">
        <v>0.98743749999999997</v>
      </c>
      <c r="AB2101">
        <v>34</v>
      </c>
      <c r="AC2101">
        <v>-0.46829999999999899</v>
      </c>
      <c r="AD2101">
        <v>-0.15599550000000001</v>
      </c>
      <c r="AE2101">
        <v>0.11959999999999101</v>
      </c>
      <c r="AF2101">
        <v>0.10513701689336</v>
      </c>
      <c r="AG2101">
        <v>-0.15599550000000001</v>
      </c>
      <c r="AH2101">
        <v>0.42491965743683002</v>
      </c>
      <c r="AI2101">
        <v>109.614595303805</v>
      </c>
      <c r="AJ2101">
        <v>76.102536999520396</v>
      </c>
      <c r="AK2101">
        <v>0.46469893868796203</v>
      </c>
      <c r="AL2101">
        <v>91.047475608791004</v>
      </c>
      <c r="AM2101">
        <v>84.430444927452101</v>
      </c>
      <c r="AN2101">
        <v>1.0000000088446399</v>
      </c>
    </row>
    <row r="2102" spans="1:40" x14ac:dyDescent="0.25">
      <c r="A2102" t="str">
        <f>"20190312161308060"</f>
        <v>20190312161308060</v>
      </c>
      <c r="B2102" t="str">
        <f>"1552378388047878"</f>
        <v>1552378388047878</v>
      </c>
      <c r="C2102" t="s">
        <v>40</v>
      </c>
      <c r="D2102">
        <v>5.5699290000000001</v>
      </c>
      <c r="E2102">
        <v>0.52641949999999904</v>
      </c>
      <c r="F2102" t="s">
        <v>43</v>
      </c>
      <c r="G2102">
        <v>-417.39830000000001</v>
      </c>
      <c r="H2102">
        <v>0.93940659999999998</v>
      </c>
      <c r="I2102">
        <v>286.3372</v>
      </c>
      <c r="J2102">
        <v>-416.90530000000001</v>
      </c>
      <c r="K2102">
        <v>1.1098709999999901</v>
      </c>
      <c r="L2102">
        <v>286.20749999999998</v>
      </c>
      <c r="M2102">
        <v>-0.99986450000000004</v>
      </c>
      <c r="N2102">
        <v>0</v>
      </c>
      <c r="O2102">
        <v>7.5820239999999997E-3</v>
      </c>
      <c r="P2102">
        <v>-0.99402210000000002</v>
      </c>
      <c r="Q2102">
        <v>-3.267113E-2</v>
      </c>
      <c r="R2102">
        <v>0.1041777</v>
      </c>
      <c r="S2102">
        <v>-2.9437869999999999</v>
      </c>
      <c r="T2102">
        <v>-0.65296149999999997</v>
      </c>
      <c r="U2102">
        <v>0.50256350000000005</v>
      </c>
      <c r="V2102">
        <v>9.6631770000000006E-2</v>
      </c>
      <c r="W2102">
        <v>-1.8153240000000001E-2</v>
      </c>
      <c r="X2102">
        <v>0.9951546</v>
      </c>
      <c r="Y2102">
        <v>0.15727070000000001</v>
      </c>
      <c r="Z2102">
        <v>1.5463289999999999E-2</v>
      </c>
      <c r="AA2102">
        <v>0.98743440000000005</v>
      </c>
      <c r="AB2102">
        <v>34</v>
      </c>
      <c r="AC2102">
        <v>-0.492999999999995</v>
      </c>
      <c r="AD2102">
        <v>-0.17046439999999899</v>
      </c>
      <c r="AE2102">
        <v>0.129700000000013</v>
      </c>
      <c r="AF2102">
        <v>0.113290125976709</v>
      </c>
      <c r="AG2102">
        <v>-0.17046439999999899</v>
      </c>
      <c r="AH2102">
        <v>0.44428996722365799</v>
      </c>
      <c r="AI2102">
        <v>110.394220404037</v>
      </c>
      <c r="AJ2102">
        <v>75.694910180523095</v>
      </c>
      <c r="AK2102">
        <v>0.489169029361813</v>
      </c>
      <c r="AL2102">
        <v>91.040161214136006</v>
      </c>
      <c r="AM2102">
        <v>84.453837485254795</v>
      </c>
      <c r="AN2102">
        <v>0.99999995849849399</v>
      </c>
    </row>
    <row r="2103" spans="1:40" x14ac:dyDescent="0.25">
      <c r="A2103" t="str">
        <f>"20190312161308083"</f>
        <v>20190312161308083</v>
      </c>
      <c r="B2103" t="str">
        <f>"1552378388077158"</f>
        <v>1552378388077158</v>
      </c>
      <c r="C2103" t="s">
        <v>40</v>
      </c>
      <c r="D2103">
        <v>5.6549699999999996</v>
      </c>
      <c r="E2103">
        <v>0.52676029999999996</v>
      </c>
      <c r="F2103" t="s">
        <v>43</v>
      </c>
      <c r="G2103">
        <v>-417.70179999999999</v>
      </c>
      <c r="H2103">
        <v>0.9323612</v>
      </c>
      <c r="I2103">
        <v>286.34359999999998</v>
      </c>
      <c r="J2103">
        <v>-417.24740000000003</v>
      </c>
      <c r="K2103">
        <v>1.109869</v>
      </c>
      <c r="L2103">
        <v>286.21019999999999</v>
      </c>
      <c r="M2103">
        <v>-0.99986370000000002</v>
      </c>
      <c r="N2103">
        <v>0</v>
      </c>
      <c r="O2103">
        <v>7.6967779999999996E-3</v>
      </c>
      <c r="P2103">
        <v>-0.9940814</v>
      </c>
      <c r="Q2103">
        <v>-3.283809E-2</v>
      </c>
      <c r="R2103">
        <v>0.103557</v>
      </c>
      <c r="S2103">
        <v>-2.9437869999999999</v>
      </c>
      <c r="T2103">
        <v>-0.65618739999999998</v>
      </c>
      <c r="U2103">
        <v>0.50274659999999904</v>
      </c>
      <c r="V2103">
        <v>9.5896430000000005E-2</v>
      </c>
      <c r="W2103">
        <v>-1.8322689999999999E-2</v>
      </c>
      <c r="X2103">
        <v>0.99522270000000002</v>
      </c>
      <c r="Y2103">
        <v>0.157187299999999</v>
      </c>
      <c r="Z2103">
        <v>1.5503609999999999E-2</v>
      </c>
      <c r="AA2103">
        <v>0.98744710000000002</v>
      </c>
      <c r="AB2103">
        <v>34</v>
      </c>
      <c r="AC2103">
        <v>-0.454399999999964</v>
      </c>
      <c r="AD2103">
        <v>-0.17750779999999999</v>
      </c>
      <c r="AE2103">
        <v>0.133399999999994</v>
      </c>
      <c r="AF2103">
        <v>0.113896602293774</v>
      </c>
      <c r="AG2103">
        <v>-0.17750779999999999</v>
      </c>
      <c r="AH2103">
        <v>0.39931280911360001</v>
      </c>
      <c r="AI2103">
        <v>113.145922386965</v>
      </c>
      <c r="AJ2103">
        <v>74.080179845775703</v>
      </c>
      <c r="AK2103">
        <v>0.45158850140044599</v>
      </c>
      <c r="AL2103">
        <v>91.049871519751605</v>
      </c>
      <c r="AM2103">
        <v>84.496156340603093</v>
      </c>
      <c r="AN2103">
        <v>1.0000000344254301</v>
      </c>
    </row>
    <row r="2104" spans="1:40" x14ac:dyDescent="0.25">
      <c r="A2104" t="str">
        <f>"20190312161308105"</f>
        <v>20190312161308105</v>
      </c>
      <c r="B2104" t="str">
        <f>"1552378388097653"</f>
        <v>1552378388097653</v>
      </c>
      <c r="C2104" t="s">
        <v>40</v>
      </c>
      <c r="D2104">
        <v>5.5821649999999998</v>
      </c>
      <c r="E2104">
        <v>0.52700669999999905</v>
      </c>
      <c r="F2104" t="s">
        <v>43</v>
      </c>
      <c r="G2104">
        <v>-418.01080000000002</v>
      </c>
      <c r="H2104">
        <v>0.93826560000000003</v>
      </c>
      <c r="I2104">
        <v>286.34109999999998</v>
      </c>
      <c r="J2104">
        <v>-417.59559999999999</v>
      </c>
      <c r="K2104">
        <v>1.1098730000000001</v>
      </c>
      <c r="L2104">
        <v>286.21300000000002</v>
      </c>
      <c r="M2104">
        <v>-0.99986269999999999</v>
      </c>
      <c r="N2104">
        <v>0</v>
      </c>
      <c r="O2104">
        <v>7.8133230000000005E-3</v>
      </c>
      <c r="P2104">
        <v>-0.99414190000000002</v>
      </c>
      <c r="Q2104">
        <v>-3.283117E-2</v>
      </c>
      <c r="R2104">
        <v>0.1029756</v>
      </c>
      <c r="S2104">
        <v>-2.9435419999999999</v>
      </c>
      <c r="T2104">
        <v>-0.66175839999999997</v>
      </c>
      <c r="U2104">
        <v>0.50357059999999998</v>
      </c>
      <c r="V2104">
        <v>9.5198610000000003E-2</v>
      </c>
      <c r="W2104">
        <v>-1.831837E-2</v>
      </c>
      <c r="X2104">
        <v>0.99528970000000005</v>
      </c>
      <c r="Y2104">
        <v>0.1572942</v>
      </c>
      <c r="Z2104">
        <v>1.56191E-2</v>
      </c>
      <c r="AA2104">
        <v>0.98742819999999998</v>
      </c>
      <c r="AB2104">
        <v>34</v>
      </c>
      <c r="AC2104">
        <v>-0.41520000000002699</v>
      </c>
      <c r="AD2104">
        <v>-0.17160739999999899</v>
      </c>
      <c r="AE2104">
        <v>0.12810000000001701</v>
      </c>
      <c r="AF2104">
        <v>0.108005039471898</v>
      </c>
      <c r="AG2104">
        <v>-0.17160739999999899</v>
      </c>
      <c r="AH2104">
        <v>0.36003076697119801</v>
      </c>
      <c r="AI2104">
        <v>114.53887857372401</v>
      </c>
      <c r="AJ2104">
        <v>73.301367603568096</v>
      </c>
      <c r="AK2104">
        <v>0.41320254289144398</v>
      </c>
      <c r="AL2104">
        <v>91.049624035972101</v>
      </c>
      <c r="AM2104">
        <v>84.536329090718993</v>
      </c>
      <c r="AN2104">
        <v>0.99999996247573797</v>
      </c>
    </row>
    <row r="2105" spans="1:40" x14ac:dyDescent="0.25">
      <c r="A2105" t="str">
        <f>"20190312161308127"</f>
        <v>20190312161308127</v>
      </c>
      <c r="B2105" t="str">
        <f>"1552378388118151"</f>
        <v>1552378388118151</v>
      </c>
      <c r="C2105" t="s">
        <v>40</v>
      </c>
      <c r="D2105">
        <v>5.577725</v>
      </c>
      <c r="E2105">
        <v>0.52702780000000005</v>
      </c>
      <c r="F2105" t="s">
        <v>43</v>
      </c>
      <c r="G2105">
        <v>-418.32</v>
      </c>
      <c r="H2105">
        <v>0.94541949999999997</v>
      </c>
      <c r="I2105">
        <v>286.3372</v>
      </c>
      <c r="J2105">
        <v>-417.92700000000002</v>
      </c>
      <c r="K2105">
        <v>1.1098779999999999</v>
      </c>
      <c r="L2105">
        <v>286.21570000000003</v>
      </c>
      <c r="M2105">
        <v>-0.99986189999999997</v>
      </c>
      <c r="N2105">
        <v>0</v>
      </c>
      <c r="O2105">
        <v>7.9246779999999992E-3</v>
      </c>
      <c r="P2105">
        <v>-0.99417409999999995</v>
      </c>
      <c r="Q2105">
        <v>-3.2518129999999999E-2</v>
      </c>
      <c r="R2105">
        <v>0.10276390000000001</v>
      </c>
      <c r="S2105">
        <v>-2.9434809999999998</v>
      </c>
      <c r="T2105">
        <v>-0.66818310000000003</v>
      </c>
      <c r="U2105">
        <v>0.50344849999999997</v>
      </c>
      <c r="V2105">
        <v>9.4875940000000006E-2</v>
      </c>
      <c r="W2105">
        <v>-1.800819E-2</v>
      </c>
      <c r="X2105">
        <v>0.99532619999999905</v>
      </c>
      <c r="Y2105">
        <v>0.1570858</v>
      </c>
      <c r="Z2105">
        <v>1.5719449999999999E-2</v>
      </c>
      <c r="AA2105">
        <v>0.9874598</v>
      </c>
      <c r="AB2105">
        <v>34</v>
      </c>
      <c r="AC2105">
        <v>-0.39300000000002899</v>
      </c>
      <c r="AD2105">
        <v>-0.16445850000000001</v>
      </c>
      <c r="AE2105">
        <v>0.12149999999996899</v>
      </c>
      <c r="AF2105">
        <v>0.102067121677537</v>
      </c>
      <c r="AG2105">
        <v>-0.16445850000000001</v>
      </c>
      <c r="AH2105">
        <v>0.33965966416154503</v>
      </c>
      <c r="AI2105">
        <v>114.877276250412</v>
      </c>
      <c r="AJ2105">
        <v>73.274570890967397</v>
      </c>
      <c r="AK2105">
        <v>0.39093859237496698</v>
      </c>
      <c r="AL2105">
        <v>91.031849067975301</v>
      </c>
      <c r="AM2105">
        <v>84.554934865844203</v>
      </c>
      <c r="AN2105">
        <v>0.99999999165219899</v>
      </c>
    </row>
    <row r="2106" spans="1:40" x14ac:dyDescent="0.25">
      <c r="A2106" t="str">
        <f>"20190312161308150"</f>
        <v>20190312161308150</v>
      </c>
      <c r="B2106" t="str">
        <f>"1552378388137670"</f>
        <v>1552378388137670</v>
      </c>
      <c r="C2106" t="s">
        <v>40</v>
      </c>
      <c r="D2106">
        <v>5.541976</v>
      </c>
      <c r="E2106">
        <v>0.52657259999999995</v>
      </c>
      <c r="F2106" t="s">
        <v>43</v>
      </c>
      <c r="G2106">
        <v>-418.62799999999999</v>
      </c>
      <c r="H2106">
        <v>0.95039200000000001</v>
      </c>
      <c r="I2106">
        <v>286.33580000000001</v>
      </c>
      <c r="J2106">
        <v>-418.26859999999999</v>
      </c>
      <c r="K2106">
        <v>1.1098779999999999</v>
      </c>
      <c r="L2106">
        <v>286.21859999999998</v>
      </c>
      <c r="M2106">
        <v>-0.99986109999999995</v>
      </c>
      <c r="N2106">
        <v>0</v>
      </c>
      <c r="O2106">
        <v>8.0390169999999903E-3</v>
      </c>
      <c r="P2106">
        <v>-0.99419440000000003</v>
      </c>
      <c r="Q2106">
        <v>-3.2137430000000002E-2</v>
      </c>
      <c r="R2106">
        <v>0.1026883</v>
      </c>
      <c r="S2106">
        <v>-2.943695</v>
      </c>
      <c r="T2106">
        <v>-0.66985989999999995</v>
      </c>
      <c r="U2106">
        <v>0.50299070000000001</v>
      </c>
      <c r="V2106">
        <v>9.4686679999999995E-2</v>
      </c>
      <c r="W2106">
        <v>-1.7630730000000001E-2</v>
      </c>
      <c r="X2106">
        <v>0.99535099999999999</v>
      </c>
      <c r="Y2106">
        <v>0.15680379999999899</v>
      </c>
      <c r="Z2106">
        <v>1.570007E-2</v>
      </c>
      <c r="AA2106">
        <v>0.98750499999999997</v>
      </c>
      <c r="AB2106">
        <v>34</v>
      </c>
      <c r="AC2106">
        <v>-0.35940000000005001</v>
      </c>
      <c r="AD2106">
        <v>-0.15948599999999999</v>
      </c>
      <c r="AE2106">
        <v>0.11720000000002501</v>
      </c>
      <c r="AF2106">
        <v>9.7035204883379397E-2</v>
      </c>
      <c r="AG2106">
        <v>-0.15948599999999999</v>
      </c>
      <c r="AH2106">
        <v>0.305885524246861</v>
      </c>
      <c r="AI2106">
        <v>116.426638642951</v>
      </c>
      <c r="AJ2106">
        <v>72.399557357756905</v>
      </c>
      <c r="AK2106">
        <v>0.35835397183027901</v>
      </c>
      <c r="AL2106">
        <v>91.010218748130697</v>
      </c>
      <c r="AM2106">
        <v>84.565866267404004</v>
      </c>
      <c r="AN2106">
        <v>1.00000001160537</v>
      </c>
    </row>
    <row r="2107" spans="1:40" x14ac:dyDescent="0.25">
      <c r="A2107" t="str">
        <f>"20190312161308172"</f>
        <v>20190312161308172</v>
      </c>
      <c r="B2107" t="str">
        <f>"1552378388167925"</f>
        <v>1552378388167925</v>
      </c>
      <c r="C2107" t="s">
        <v>40</v>
      </c>
      <c r="D2107">
        <v>5.5519049999999996</v>
      </c>
      <c r="E2107">
        <v>0.52611759999999996</v>
      </c>
      <c r="F2107" t="s">
        <v>43</v>
      </c>
      <c r="G2107">
        <v>-419.2149</v>
      </c>
      <c r="H2107">
        <v>0.89574750000000003</v>
      </c>
      <c r="I2107">
        <v>286.37950000000001</v>
      </c>
      <c r="J2107">
        <v>-418.62099999999998</v>
      </c>
      <c r="K2107">
        <v>1.10988</v>
      </c>
      <c r="L2107">
        <v>286.22160000000002</v>
      </c>
      <c r="M2107">
        <v>-0.99986019999999998</v>
      </c>
      <c r="N2107">
        <v>0</v>
      </c>
      <c r="O2107">
        <v>8.1572299999999997E-3</v>
      </c>
      <c r="P2107">
        <v>-0.99419939999999996</v>
      </c>
      <c r="Q2107">
        <v>-3.1601839999999999E-2</v>
      </c>
      <c r="R2107">
        <v>0.1028062</v>
      </c>
      <c r="S2107">
        <v>-2.9443359999999998</v>
      </c>
      <c r="T2107">
        <v>-0.66629609999999995</v>
      </c>
      <c r="U2107">
        <v>0.49963380000000002</v>
      </c>
      <c r="V2107">
        <v>9.468704E-2</v>
      </c>
      <c r="W2107">
        <v>-1.7098699999999901E-2</v>
      </c>
      <c r="X2107">
        <v>0.99536029999999998</v>
      </c>
      <c r="Y2107">
        <v>0.1556283</v>
      </c>
      <c r="Z2107">
        <v>1.5460049999999999E-2</v>
      </c>
      <c r="AA2107">
        <v>0.98769470000000004</v>
      </c>
      <c r="AB2107">
        <v>34</v>
      </c>
      <c r="AC2107">
        <v>-0.59390000000001897</v>
      </c>
      <c r="AD2107">
        <v>-0.214132499999999</v>
      </c>
      <c r="AE2107">
        <v>0.157899999999983</v>
      </c>
      <c r="AF2107">
        <v>0.13647891835745801</v>
      </c>
      <c r="AG2107">
        <v>-0.214132499999999</v>
      </c>
      <c r="AH2107">
        <v>0.53072933701875602</v>
      </c>
      <c r="AI2107">
        <v>111.34333423993399</v>
      </c>
      <c r="AJ2107">
        <v>75.578653709361106</v>
      </c>
      <c r="AK2107">
        <v>0.58834756044759895</v>
      </c>
      <c r="AL2107">
        <v>90.979731026389899</v>
      </c>
      <c r="AM2107">
        <v>84.565896199709698</v>
      </c>
      <c r="AN2107">
        <v>1.0000000639508599</v>
      </c>
    </row>
    <row r="2108" spans="1:40" x14ac:dyDescent="0.25">
      <c r="A2108" t="str">
        <f>"20190312161308195"</f>
        <v>20190312161308195</v>
      </c>
      <c r="B2108" t="str">
        <f>"1552378388187447"</f>
        <v>1552378388187447</v>
      </c>
      <c r="C2108" t="s">
        <v>40</v>
      </c>
      <c r="D2108">
        <v>5.4884230000000001</v>
      </c>
      <c r="E2108">
        <v>0.52579600000000004</v>
      </c>
      <c r="F2108" t="s">
        <v>43</v>
      </c>
      <c r="G2108">
        <v>-419.52409999999998</v>
      </c>
      <c r="H2108">
        <v>0.90717939999999997</v>
      </c>
      <c r="I2108">
        <v>286.37400000000002</v>
      </c>
      <c r="J2108">
        <v>-418.9588</v>
      </c>
      <c r="K2108">
        <v>1.109877</v>
      </c>
      <c r="L2108">
        <v>286.2244</v>
      </c>
      <c r="M2108">
        <v>-0.99985930000000001</v>
      </c>
      <c r="N2108">
        <v>0</v>
      </c>
      <c r="O2108">
        <v>8.2706110000000006E-3</v>
      </c>
      <c r="P2108">
        <v>-0.99420560000000002</v>
      </c>
      <c r="Q2108">
        <v>-3.140623E-2</v>
      </c>
      <c r="R2108">
        <v>0.1028073</v>
      </c>
      <c r="S2108">
        <v>-2.9450989999999999</v>
      </c>
      <c r="T2108">
        <v>-0.66097079999999997</v>
      </c>
      <c r="U2108">
        <v>0.49688719999999997</v>
      </c>
      <c r="V2108">
        <v>9.4575309999999996E-2</v>
      </c>
      <c r="W2108">
        <v>-1.6906330000000001E-2</v>
      </c>
      <c r="X2108">
        <v>0.99537410000000004</v>
      </c>
      <c r="Y2108">
        <v>0.15466289999999999</v>
      </c>
      <c r="Z2108">
        <v>1.520552E-2</v>
      </c>
      <c r="AA2108">
        <v>0.98785029999999996</v>
      </c>
      <c r="AB2108">
        <v>34</v>
      </c>
      <c r="AC2108">
        <v>-0.56529999999997904</v>
      </c>
      <c r="AD2108">
        <v>-0.20269760000000001</v>
      </c>
      <c r="AE2108">
        <v>0.14960000000001999</v>
      </c>
      <c r="AF2108">
        <v>0.12937406499446799</v>
      </c>
      <c r="AG2108">
        <v>-0.20269760000000001</v>
      </c>
      <c r="AH2108">
        <v>0.505749711613805</v>
      </c>
      <c r="AI2108">
        <v>111.220376273597</v>
      </c>
      <c r="AJ2108">
        <v>75.651068633155006</v>
      </c>
      <c r="AK2108">
        <v>0.56000601473234202</v>
      </c>
      <c r="AL2108">
        <v>90.968707548961603</v>
      </c>
      <c r="AM2108">
        <v>84.572344886865906</v>
      </c>
      <c r="AN2108">
        <v>0.999999956103236</v>
      </c>
    </row>
    <row r="2109" spans="1:40" x14ac:dyDescent="0.25">
      <c r="A2109" t="str">
        <f>"20190312161308216"</f>
        <v>20190312161308216</v>
      </c>
      <c r="B2109" t="str">
        <f>"1552378388207946"</f>
        <v>1552378388207946</v>
      </c>
      <c r="C2109" t="s">
        <v>40</v>
      </c>
      <c r="D2109">
        <v>5.486529</v>
      </c>
      <c r="E2109">
        <v>0.52555050000000003</v>
      </c>
      <c r="F2109" t="s">
        <v>43</v>
      </c>
      <c r="G2109">
        <v>-419.83139999999997</v>
      </c>
      <c r="H2109">
        <v>0.91470240000000003</v>
      </c>
      <c r="I2109">
        <v>286.37090000000001</v>
      </c>
      <c r="J2109">
        <v>-419.28539999999998</v>
      </c>
      <c r="K2109">
        <v>1.109877</v>
      </c>
      <c r="L2109">
        <v>286.22719999999998</v>
      </c>
      <c r="M2109">
        <v>-0.99985840000000004</v>
      </c>
      <c r="N2109">
        <v>0</v>
      </c>
      <c r="O2109">
        <v>8.3800619999999902E-3</v>
      </c>
      <c r="P2109">
        <v>-0.99416879999999996</v>
      </c>
      <c r="Q2109">
        <v>-3.1331230000000002E-2</v>
      </c>
      <c r="R2109">
        <v>0.1031836</v>
      </c>
      <c r="S2109">
        <v>-2.9456180000000001</v>
      </c>
      <c r="T2109">
        <v>-0.65891250000000001</v>
      </c>
      <c r="U2109">
        <v>0.49383539999999998</v>
      </c>
      <c r="V2109">
        <v>9.4842860000000001E-2</v>
      </c>
      <c r="W2109">
        <v>-1.6835309999999999E-2</v>
      </c>
      <c r="X2109">
        <v>0.99534990000000001</v>
      </c>
      <c r="Y2109">
        <v>0.15358169999999999</v>
      </c>
      <c r="Z2109">
        <v>1.5015290000000001E-2</v>
      </c>
      <c r="AA2109">
        <v>0.98802190000000001</v>
      </c>
      <c r="AB2109">
        <v>34</v>
      </c>
      <c r="AC2109">
        <v>-0.54599999999999205</v>
      </c>
      <c r="AD2109">
        <v>-0.1951746</v>
      </c>
      <c r="AE2109">
        <v>0.143700000000023</v>
      </c>
      <c r="AF2109">
        <v>0.124268609693702</v>
      </c>
      <c r="AG2109">
        <v>-0.1951746</v>
      </c>
      <c r="AH2109">
        <v>0.488775533336681</v>
      </c>
      <c r="AI2109">
        <v>111.15649990251499</v>
      </c>
      <c r="AJ2109">
        <v>75.735086520650299</v>
      </c>
      <c r="AK2109">
        <v>0.54077475332057001</v>
      </c>
      <c r="AL2109">
        <v>90.964637771704901</v>
      </c>
      <c r="AM2109">
        <v>84.556950797317</v>
      </c>
      <c r="AN2109">
        <v>1.00000000959289</v>
      </c>
    </row>
    <row r="2110" spans="1:40" x14ac:dyDescent="0.25">
      <c r="A2110" t="str">
        <f>"20190312161308230"</f>
        <v>20190312161308230</v>
      </c>
      <c r="B2110" t="str">
        <f>"1552378388217702"</f>
        <v>1552378388217702</v>
      </c>
      <c r="C2110" t="s">
        <v>40</v>
      </c>
      <c r="D2110">
        <v>5.4776819999999997</v>
      </c>
      <c r="E2110">
        <v>0.52541119999999997</v>
      </c>
      <c r="F2110" t="s">
        <v>43</v>
      </c>
      <c r="G2110">
        <v>-420.13749999999999</v>
      </c>
      <c r="H2110">
        <v>0.92013319999999998</v>
      </c>
      <c r="I2110">
        <v>286.36989999999997</v>
      </c>
      <c r="J2110">
        <v>-419.49779999999998</v>
      </c>
      <c r="K2110">
        <v>1.109883</v>
      </c>
      <c r="L2110">
        <v>286.22910000000002</v>
      </c>
      <c r="M2110">
        <v>-0.99985789999999997</v>
      </c>
      <c r="N2110">
        <v>0</v>
      </c>
      <c r="O2110">
        <v>8.4512400000000005E-3</v>
      </c>
      <c r="P2110">
        <v>-0.99415240000000005</v>
      </c>
      <c r="Q2110">
        <v>-3.1272719999999997E-2</v>
      </c>
      <c r="R2110">
        <v>0.10335999999999999</v>
      </c>
      <c r="S2110">
        <v>-2.9458009999999999</v>
      </c>
      <c r="T2110">
        <v>-0.65602159999999998</v>
      </c>
      <c r="U2110">
        <v>0.49258420000000003</v>
      </c>
      <c r="V2110">
        <v>9.4948699999999997E-2</v>
      </c>
      <c r="W2110">
        <v>-1.6779269999999999E-2</v>
      </c>
      <c r="X2110">
        <v>0.99534080000000003</v>
      </c>
      <c r="Y2110">
        <v>0.15313579999999999</v>
      </c>
      <c r="Z2110">
        <v>1.488629E-2</v>
      </c>
      <c r="AA2110">
        <v>0.988093</v>
      </c>
      <c r="AB2110">
        <v>34</v>
      </c>
      <c r="AC2110">
        <v>-0.63970000000000404</v>
      </c>
      <c r="AD2110">
        <v>-0.1897498</v>
      </c>
      <c r="AE2110">
        <v>0.14079999999995599</v>
      </c>
      <c r="AF2110">
        <v>0.12490605363005999</v>
      </c>
      <c r="AG2110">
        <v>-0.1897498</v>
      </c>
      <c r="AH2110">
        <v>0.59124969069221101</v>
      </c>
      <c r="AI2110">
        <v>107.432271366945</v>
      </c>
      <c r="AJ2110">
        <v>78.071220768119403</v>
      </c>
      <c r="AK2110">
        <v>0.633389852758245</v>
      </c>
      <c r="AL2110">
        <v>90.961426420102597</v>
      </c>
      <c r="AM2110">
        <v>84.550863641651205</v>
      </c>
      <c r="AN2110">
        <v>1.0000000538390299</v>
      </c>
    </row>
    <row r="2111" spans="1:40" x14ac:dyDescent="0.25">
      <c r="A2111" t="str">
        <f>"20190312161308249"</f>
        <v>20190312161308249</v>
      </c>
      <c r="B2111" t="str">
        <f>"1552378388237223"</f>
        <v>1552378388237223</v>
      </c>
      <c r="C2111" t="s">
        <v>40</v>
      </c>
      <c r="D2111">
        <v>6.1439159999999999</v>
      </c>
      <c r="E2111">
        <v>0.52519799999999905</v>
      </c>
      <c r="F2111" t="s">
        <v>43</v>
      </c>
      <c r="G2111">
        <v>-420.43349999999998</v>
      </c>
      <c r="H2111">
        <v>0.90146479999999996</v>
      </c>
      <c r="I2111">
        <v>286.38600000000002</v>
      </c>
      <c r="J2111">
        <v>-419.7912</v>
      </c>
      <c r="K2111">
        <v>1.1098859999999999</v>
      </c>
      <c r="L2111">
        <v>286.23169999999999</v>
      </c>
      <c r="M2111">
        <v>-0.9998572</v>
      </c>
      <c r="N2111">
        <v>0</v>
      </c>
      <c r="O2111">
        <v>8.5494839999999996E-3</v>
      </c>
      <c r="P2111">
        <v>-0.99417420000000001</v>
      </c>
      <c r="Q2111">
        <v>-3.11852E-2</v>
      </c>
      <c r="R2111">
        <v>0.1031783</v>
      </c>
      <c r="S2111">
        <v>-2.945862</v>
      </c>
      <c r="T2111">
        <v>-0.65625149999999999</v>
      </c>
      <c r="U2111">
        <v>0.4921875</v>
      </c>
      <c r="V2111">
        <v>9.466927E-2</v>
      </c>
      <c r="W2111">
        <v>-1.6694400000000002E-2</v>
      </c>
      <c r="X2111">
        <v>0.99536880000000005</v>
      </c>
      <c r="Y2111">
        <v>0.152911299999999</v>
      </c>
      <c r="Z2111">
        <v>1.4845240000000001E-2</v>
      </c>
      <c r="AA2111">
        <v>0.98812840000000002</v>
      </c>
      <c r="AB2111">
        <v>34</v>
      </c>
      <c r="AC2111">
        <v>-0.642299999999977</v>
      </c>
      <c r="AD2111">
        <v>-0.2084212</v>
      </c>
      <c r="AE2111">
        <v>0.15429999999997701</v>
      </c>
      <c r="AF2111">
        <v>0.13533031582284499</v>
      </c>
      <c r="AG2111">
        <v>-0.2084212</v>
      </c>
      <c r="AH2111">
        <v>0.58532660948177795</v>
      </c>
      <c r="AI2111">
        <v>109.13293454213699</v>
      </c>
      <c r="AJ2111">
        <v>76.981691570406895</v>
      </c>
      <c r="AK2111">
        <v>0.63589380462274103</v>
      </c>
      <c r="AL2111">
        <v>90.956563087471594</v>
      </c>
      <c r="AM2111">
        <v>84.566956038286705</v>
      </c>
      <c r="AN2111">
        <v>1.00000001084356</v>
      </c>
    </row>
    <row r="2112" spans="1:40" x14ac:dyDescent="0.25">
      <c r="A2112" t="str">
        <f>"20190312161308272"</f>
        <v>20190312161308272</v>
      </c>
      <c r="B2112" t="str">
        <f>"1552378388267478"</f>
        <v>1552378388267478</v>
      </c>
      <c r="C2112" t="s">
        <v>40</v>
      </c>
      <c r="D2112">
        <v>5.148987</v>
      </c>
      <c r="E2112">
        <v>0.48433999999999999</v>
      </c>
      <c r="F2112" t="s">
        <v>43</v>
      </c>
      <c r="G2112">
        <v>-420.7362</v>
      </c>
      <c r="H2112">
        <v>0.90026090000000003</v>
      </c>
      <c r="I2112">
        <v>286.3888</v>
      </c>
      <c r="J2112">
        <v>-420.13159999999999</v>
      </c>
      <c r="K2112">
        <v>1.1098859999999999</v>
      </c>
      <c r="L2112">
        <v>286.23469999999998</v>
      </c>
      <c r="M2112">
        <v>-0.99985619999999997</v>
      </c>
      <c r="N2112">
        <v>0</v>
      </c>
      <c r="O2112">
        <v>8.6631130000000001E-3</v>
      </c>
      <c r="P2112">
        <v>-0.99416760000000004</v>
      </c>
      <c r="Q2112">
        <v>-3.0832289999999998E-2</v>
      </c>
      <c r="R2112">
        <v>0.10334690000000001</v>
      </c>
      <c r="S2112">
        <v>-2.9462280000000001</v>
      </c>
      <c r="T2112">
        <v>-0.6536556</v>
      </c>
      <c r="U2112">
        <v>0.49029539999999999</v>
      </c>
      <c r="V2112">
        <v>9.4724729999999993E-2</v>
      </c>
      <c r="W2112">
        <v>-1.6345169999999999E-2</v>
      </c>
      <c r="X2112">
        <v>0.99536930000000001</v>
      </c>
      <c r="Y2112">
        <v>0.15220819999999999</v>
      </c>
      <c r="Z2112">
        <v>1.468558E-2</v>
      </c>
      <c r="AA2112">
        <v>0.98823930000000004</v>
      </c>
      <c r="AB2112">
        <v>34</v>
      </c>
      <c r="AC2112">
        <v>-0.60460000000000402</v>
      </c>
      <c r="AD2112">
        <v>-0.20962510000000001</v>
      </c>
      <c r="AE2112">
        <v>0.15410000000002799</v>
      </c>
      <c r="AF2112">
        <v>0.133757449688405</v>
      </c>
      <c r="AG2112">
        <v>-0.20962510000000001</v>
      </c>
      <c r="AH2112">
        <v>0.54445460029853199</v>
      </c>
      <c r="AI2112">
        <v>110.50079263617199</v>
      </c>
      <c r="AJ2112">
        <v>76.1973626924852</v>
      </c>
      <c r="AK2112">
        <v>0.59855204425629605</v>
      </c>
      <c r="AL2112">
        <v>90.936550970013101</v>
      </c>
      <c r="AM2112">
        <v>84.563794979886893</v>
      </c>
      <c r="AN2112">
        <v>0.99999999121919503</v>
      </c>
    </row>
    <row r="2113" spans="1:40" x14ac:dyDescent="0.25">
      <c r="A2113" t="str">
        <f>"20190312161308294"</f>
        <v>20190312161308294</v>
      </c>
      <c r="B2113" t="str">
        <f>"1552378388287978"</f>
        <v>1552378388287978</v>
      </c>
      <c r="C2113" t="s">
        <v>40</v>
      </c>
      <c r="D2113">
        <v>4.9138219999999997</v>
      </c>
      <c r="E2113">
        <v>0.47675220000000001</v>
      </c>
      <c r="F2113" t="s">
        <v>43</v>
      </c>
      <c r="G2113">
        <v>-421.06810000000002</v>
      </c>
      <c r="H2113">
        <v>0.96543290000000004</v>
      </c>
      <c r="I2113">
        <v>286.28919999999999</v>
      </c>
      <c r="J2113">
        <v>-420.47469999999998</v>
      </c>
      <c r="K2113">
        <v>1.109893</v>
      </c>
      <c r="L2113">
        <v>286.23779999999999</v>
      </c>
      <c r="M2113">
        <v>-0.9998553</v>
      </c>
      <c r="N2113">
        <v>0</v>
      </c>
      <c r="O2113">
        <v>8.777455E-3</v>
      </c>
      <c r="P2113">
        <v>-0.99416740000000003</v>
      </c>
      <c r="Q2113">
        <v>-3.0137279999999999E-2</v>
      </c>
      <c r="R2113">
        <v>0.1035539</v>
      </c>
      <c r="S2113">
        <v>-2.9853209999999999</v>
      </c>
      <c r="T2113">
        <v>-0.46061970000000002</v>
      </c>
      <c r="U2113">
        <v>0.17309569999999999</v>
      </c>
      <c r="V2113">
        <v>9.4818200000000005E-2</v>
      </c>
      <c r="W2113">
        <v>-1.5653819999999999E-2</v>
      </c>
      <c r="X2113">
        <v>0.99537149999999996</v>
      </c>
      <c r="Y2113">
        <v>4.8648980000000001E-2</v>
      </c>
      <c r="Z2113">
        <v>2.382707E-3</v>
      </c>
      <c r="AA2113">
        <v>0.99881310000000001</v>
      </c>
      <c r="AB2113">
        <v>34</v>
      </c>
      <c r="AC2113">
        <v>-0.59340000000003101</v>
      </c>
      <c r="AD2113">
        <v>-0.14446010000000001</v>
      </c>
      <c r="AE2113">
        <v>5.1400000000000903E-2</v>
      </c>
      <c r="AF2113">
        <v>4.3622854646176899E-2</v>
      </c>
      <c r="AG2113">
        <v>-0.14446010000000001</v>
      </c>
      <c r="AH2113">
        <v>0.56083764169903905</v>
      </c>
      <c r="AI2113">
        <v>104.402535105981</v>
      </c>
      <c r="AJ2113">
        <v>85.552396907583599</v>
      </c>
      <c r="AK2113">
        <v>0.58078441291586902</v>
      </c>
      <c r="AL2113">
        <v>90.896934472584604</v>
      </c>
      <c r="AM2113">
        <v>84.5584749202593</v>
      </c>
      <c r="AN2113">
        <v>0.999999978072041</v>
      </c>
    </row>
    <row r="2114" spans="1:40" x14ac:dyDescent="0.25">
      <c r="A2114" t="str">
        <f>"20190312161308316"</f>
        <v>20190312161308316</v>
      </c>
      <c r="B2114" t="str">
        <f>"1552378388307497"</f>
        <v>1552378388307497</v>
      </c>
      <c r="C2114" t="s">
        <v>40</v>
      </c>
      <c r="D2114">
        <v>5.2946289999999996</v>
      </c>
      <c r="E2114">
        <v>0.39832450000000003</v>
      </c>
      <c r="F2114" t="s">
        <v>43</v>
      </c>
      <c r="G2114">
        <v>-421.37479999999999</v>
      </c>
      <c r="H2114">
        <v>0.97278370000000003</v>
      </c>
      <c r="I2114">
        <v>286.2722</v>
      </c>
      <c r="J2114">
        <v>-420.80419999999998</v>
      </c>
      <c r="K2114">
        <v>1.1099000000000001</v>
      </c>
      <c r="L2114">
        <v>286.24079999999998</v>
      </c>
      <c r="M2114">
        <v>-0.99985429999999997</v>
      </c>
      <c r="N2114">
        <v>0</v>
      </c>
      <c r="O2114">
        <v>8.8879179999999999E-3</v>
      </c>
      <c r="P2114">
        <v>-0.99417630000000001</v>
      </c>
      <c r="Q2114">
        <v>-3.0043429999999999E-2</v>
      </c>
      <c r="R2114">
        <v>0.1034938</v>
      </c>
      <c r="S2114">
        <v>-2.991943</v>
      </c>
      <c r="T2114">
        <v>-0.45584950000000002</v>
      </c>
      <c r="U2114">
        <v>0.11373900000000001</v>
      </c>
      <c r="V2114">
        <v>9.4648120000000002E-2</v>
      </c>
      <c r="W2114">
        <v>-1.5563199999999999E-2</v>
      </c>
      <c r="X2114">
        <v>0.99538910000000003</v>
      </c>
      <c r="Y2114">
        <v>2.887344E-2</v>
      </c>
      <c r="Z2114">
        <v>8.4018809999999999E-4</v>
      </c>
      <c r="AA2114">
        <v>0.99958270000000005</v>
      </c>
      <c r="AB2114">
        <v>34</v>
      </c>
      <c r="AC2114">
        <v>-0.57060000000001299</v>
      </c>
      <c r="AD2114">
        <v>-0.1371163</v>
      </c>
      <c r="AE2114">
        <v>3.14000000000191E-2</v>
      </c>
      <c r="AF2114">
        <v>2.4893631237887799E-2</v>
      </c>
      <c r="AG2114">
        <v>-0.1371163</v>
      </c>
      <c r="AH2114">
        <v>0.53978100127455197</v>
      </c>
      <c r="AI2114">
        <v>104.238413273514</v>
      </c>
      <c r="AJ2114">
        <v>87.359503009547794</v>
      </c>
      <c r="AK2114">
        <v>0.55748013591414702</v>
      </c>
      <c r="AL2114">
        <v>90.891741703448403</v>
      </c>
      <c r="AM2114">
        <v>84.568272685102698</v>
      </c>
      <c r="AN2114">
        <v>0.99999997010629105</v>
      </c>
    </row>
    <row r="2115" spans="1:40" x14ac:dyDescent="0.25">
      <c r="A2115" t="str">
        <f>"20190312161308340"</f>
        <v>20190312161308340</v>
      </c>
      <c r="B2115" t="str">
        <f>"1552378388327990"</f>
        <v>1552378388327990</v>
      </c>
      <c r="C2115" t="s">
        <v>40</v>
      </c>
      <c r="D2115">
        <v>5.2414909999999999</v>
      </c>
      <c r="E2115">
        <v>0.39782380000000001</v>
      </c>
      <c r="F2115" t="s">
        <v>69</v>
      </c>
      <c r="G2115">
        <v>-460.07780000000002</v>
      </c>
      <c r="H2115" s="1">
        <v>-1.2886170000000001E-6</v>
      </c>
      <c r="I2115">
        <v>279.88630000000001</v>
      </c>
      <c r="J2115">
        <v>-421.1549</v>
      </c>
      <c r="K2115">
        <v>1.1099019999999999</v>
      </c>
      <c r="L2115">
        <v>286.24400000000003</v>
      </c>
      <c r="M2115">
        <v>-0.99985329999999994</v>
      </c>
      <c r="N2115">
        <v>0</v>
      </c>
      <c r="O2115">
        <v>9.0055919999999998E-3</v>
      </c>
      <c r="P2115">
        <v>-0.99414899999999995</v>
      </c>
      <c r="Q2115">
        <v>-3.0209150000000001E-2</v>
      </c>
      <c r="R2115">
        <v>0.1037083</v>
      </c>
      <c r="S2115">
        <v>-3.0666500000000001</v>
      </c>
      <c r="T2115">
        <v>-8.666575E-2</v>
      </c>
      <c r="U2115">
        <v>-0.4961853</v>
      </c>
      <c r="V2115">
        <v>9.4745670000000004E-2</v>
      </c>
      <c r="W2115">
        <v>-1.5732880000000001E-2</v>
      </c>
      <c r="X2115">
        <v>0.99537719999999996</v>
      </c>
      <c r="Y2115">
        <v>-0.16853859999999901</v>
      </c>
      <c r="Z2115">
        <v>-2.6185420000000002E-3</v>
      </c>
      <c r="AA2115">
        <v>0.9856916</v>
      </c>
      <c r="AB2115">
        <v>34</v>
      </c>
      <c r="AC2115">
        <v>-38.922899999999998</v>
      </c>
      <c r="AD2115">
        <v>-1.1099032886169999</v>
      </c>
      <c r="AE2115">
        <v>-6.3577000000000199</v>
      </c>
      <c r="AF2115">
        <v>-6.7026945719651199</v>
      </c>
      <c r="AG2115">
        <v>-1.1099032886169999</v>
      </c>
      <c r="AH2115">
        <v>38.833304423177601</v>
      </c>
      <c r="AI2115">
        <v>91.613295817697605</v>
      </c>
      <c r="AJ2115">
        <v>99.792862473847293</v>
      </c>
      <c r="AK2115">
        <v>39.423134480382402</v>
      </c>
      <c r="AL2115">
        <v>90.901464799023501</v>
      </c>
      <c r="AM2115">
        <v>84.562643341583893</v>
      </c>
      <c r="AN2115">
        <v>1.0000000178883399</v>
      </c>
    </row>
    <row r="2116" spans="1:40" x14ac:dyDescent="0.25">
      <c r="A2116" t="str">
        <f>"20190312161308362"</f>
        <v>20190312161308362</v>
      </c>
      <c r="B2116" t="str">
        <f>"1552378388358246"</f>
        <v>1552378388358246</v>
      </c>
      <c r="C2116" t="s">
        <v>40</v>
      </c>
      <c r="D2116">
        <v>5.104654</v>
      </c>
      <c r="E2116">
        <v>0.39828010000000003</v>
      </c>
      <c r="F2116" t="s">
        <v>69</v>
      </c>
      <c r="G2116">
        <v>-459.81270000000001</v>
      </c>
      <c r="H2116" s="1">
        <v>3.8891639999999998E-6</v>
      </c>
      <c r="I2116">
        <v>279.94589999999999</v>
      </c>
      <c r="J2116">
        <v>-421.48809999999997</v>
      </c>
      <c r="K2116">
        <v>1.109901</v>
      </c>
      <c r="L2116">
        <v>286.24709999999999</v>
      </c>
      <c r="M2116">
        <v>-0.99985230000000003</v>
      </c>
      <c r="N2116">
        <v>0</v>
      </c>
      <c r="O2116">
        <v>9.1178390000000008E-3</v>
      </c>
      <c r="P2116">
        <v>-0.99410719999999997</v>
      </c>
      <c r="Q2116">
        <v>-3.034823E-2</v>
      </c>
      <c r="R2116">
        <v>0.1040672</v>
      </c>
      <c r="S2116">
        <v>-3.0671080000000002</v>
      </c>
      <c r="T2116">
        <v>-8.8059429999999994E-2</v>
      </c>
      <c r="U2116">
        <v>-0.49969479999999999</v>
      </c>
      <c r="V2116">
        <v>9.4993140000000004E-2</v>
      </c>
      <c r="W2116">
        <v>-1.587595E-2</v>
      </c>
      <c r="X2116">
        <v>0.99535130000000005</v>
      </c>
      <c r="Y2116">
        <v>-0.16972209999999999</v>
      </c>
      <c r="Z2116">
        <v>-2.6800790000000001E-3</v>
      </c>
      <c r="AA2116">
        <v>0.98548829999999998</v>
      </c>
      <c r="AB2116">
        <v>34</v>
      </c>
      <c r="AC2116">
        <v>-38.324599999999997</v>
      </c>
      <c r="AD2116">
        <v>-1.1098971108360001</v>
      </c>
      <c r="AE2116">
        <v>-6.3011999999999899</v>
      </c>
      <c r="AF2116">
        <v>-6.64498613352026</v>
      </c>
      <c r="AG2116">
        <v>-1.1098971108360001</v>
      </c>
      <c r="AH2116">
        <v>38.234323812026602</v>
      </c>
      <c r="AI2116">
        <v>91.638218045520702</v>
      </c>
      <c r="AJ2116">
        <v>99.859317364855997</v>
      </c>
      <c r="AK2116">
        <v>38.823333572404998</v>
      </c>
      <c r="AL2116">
        <v>90.909663167732504</v>
      </c>
      <c r="AM2116">
        <v>84.548385741239102</v>
      </c>
      <c r="AN2116">
        <v>0.99999997642357497</v>
      </c>
    </row>
    <row r="2117" spans="1:40" x14ac:dyDescent="0.25">
      <c r="A2117" t="str">
        <f>"20190312161308384"</f>
        <v>20190312161308384</v>
      </c>
      <c r="B2117" t="str">
        <f>"1552378388377766"</f>
        <v>1552378388377766</v>
      </c>
      <c r="C2117" t="s">
        <v>40</v>
      </c>
      <c r="D2117">
        <v>5.0902580000000004</v>
      </c>
      <c r="E2117">
        <v>0.39868209999999998</v>
      </c>
      <c r="F2117" t="s">
        <v>69</v>
      </c>
      <c r="G2117">
        <v>-457.72609999999997</v>
      </c>
      <c r="H2117" s="1">
        <v>2.7590920000000002E-6</v>
      </c>
      <c r="I2117">
        <v>280.39699999999999</v>
      </c>
      <c r="J2117">
        <v>-421.82060000000001</v>
      </c>
      <c r="K2117">
        <v>1.1099000000000001</v>
      </c>
      <c r="L2117">
        <v>286.25029999999998</v>
      </c>
      <c r="M2117">
        <v>-0.9998513</v>
      </c>
      <c r="N2117">
        <v>0</v>
      </c>
      <c r="O2117">
        <v>9.2297899999999999E-3</v>
      </c>
      <c r="P2117">
        <v>-0.99409440000000004</v>
      </c>
      <c r="Q2117">
        <v>-3.0085899999999999E-2</v>
      </c>
      <c r="R2117">
        <v>0.10426530000000001</v>
      </c>
      <c r="S2117">
        <v>-3.0667420000000001</v>
      </c>
      <c r="T2117">
        <v>-9.39281E-2</v>
      </c>
      <c r="U2117">
        <v>-0.49508669999999999</v>
      </c>
      <c r="V2117">
        <v>9.5079999999999998E-2</v>
      </c>
      <c r="W2117">
        <v>-1.5617199999999999E-2</v>
      </c>
      <c r="X2117">
        <v>0.99534710000000004</v>
      </c>
      <c r="Y2117">
        <v>-0.16839870000000001</v>
      </c>
      <c r="Z2117">
        <v>-2.842565E-3</v>
      </c>
      <c r="AA2117">
        <v>0.98571489999999995</v>
      </c>
      <c r="AB2117">
        <v>34</v>
      </c>
      <c r="AC2117">
        <v>-35.905499999999897</v>
      </c>
      <c r="AD2117">
        <v>-1.1098972409079999</v>
      </c>
      <c r="AE2117">
        <v>-5.8532999999999902</v>
      </c>
      <c r="AF2117">
        <v>-6.1787348951948404</v>
      </c>
      <c r="AG2117">
        <v>-1.1098972409079999</v>
      </c>
      <c r="AH2117">
        <v>35.816601989165697</v>
      </c>
      <c r="AI2117">
        <v>91.749113971929802</v>
      </c>
      <c r="AJ2117">
        <v>99.787780083158495</v>
      </c>
      <c r="AK2117">
        <v>36.362585370690901</v>
      </c>
      <c r="AL2117">
        <v>90.894836046066501</v>
      </c>
      <c r="AM2117">
        <v>84.543408071143006</v>
      </c>
      <c r="AN2117">
        <v>0.99999997640712401</v>
      </c>
    </row>
    <row r="2118" spans="1:40" x14ac:dyDescent="0.25">
      <c r="A2118" t="str">
        <f>"20190312161308406"</f>
        <v>20190312161308406</v>
      </c>
      <c r="B2118" t="str">
        <f>"1552378388398262"</f>
        <v>1552378388398262</v>
      </c>
      <c r="C2118" t="s">
        <v>40</v>
      </c>
      <c r="D2118">
        <v>5.0283220000000002</v>
      </c>
      <c r="E2118">
        <v>0.39839629999999998</v>
      </c>
      <c r="F2118" t="s">
        <v>69</v>
      </c>
      <c r="G2118">
        <v>-457.5924</v>
      </c>
      <c r="H2118" s="1">
        <v>2.6826310000000002E-6</v>
      </c>
      <c r="I2118">
        <v>280.51819999999998</v>
      </c>
      <c r="J2118">
        <v>-422.15620000000001</v>
      </c>
      <c r="K2118">
        <v>1.1099019999999999</v>
      </c>
      <c r="L2118">
        <v>286.25349999999997</v>
      </c>
      <c r="M2118">
        <v>-0.99985049999999998</v>
      </c>
      <c r="N2118">
        <v>0</v>
      </c>
      <c r="O2118">
        <v>9.3427579999999996E-3</v>
      </c>
      <c r="P2118">
        <v>-0.99407350000000005</v>
      </c>
      <c r="Q2118">
        <v>-3.0186859999999999E-2</v>
      </c>
      <c r="R2118">
        <v>0.104436</v>
      </c>
      <c r="S2118">
        <v>-3.0664060000000002</v>
      </c>
      <c r="T2118">
        <v>-9.5142009999999999E-2</v>
      </c>
      <c r="U2118">
        <v>-0.49136350000000001</v>
      </c>
      <c r="V2118">
        <v>9.5138399999999901E-2</v>
      </c>
      <c r="W2118">
        <v>-1.5721889999999999E-2</v>
      </c>
      <c r="X2118">
        <v>0.99533990000000006</v>
      </c>
      <c r="Y2118">
        <v>-0.1673586</v>
      </c>
      <c r="Z2118">
        <v>-2.867325E-3</v>
      </c>
      <c r="AA2118">
        <v>0.98589190000000004</v>
      </c>
      <c r="AB2118">
        <v>34</v>
      </c>
      <c r="AC2118">
        <v>-35.4361999999999</v>
      </c>
      <c r="AD2118">
        <v>-1.1098993173689999</v>
      </c>
      <c r="AE2118">
        <v>-5.7352999999999899</v>
      </c>
      <c r="AF2118">
        <v>-6.0603630132690398</v>
      </c>
      <c r="AG2118">
        <v>-1.1098993173689999</v>
      </c>
      <c r="AH2118">
        <v>35.347273050277501</v>
      </c>
      <c r="AI2118">
        <v>91.772639840652701</v>
      </c>
      <c r="AJ2118">
        <v>99.7288862890247</v>
      </c>
      <c r="AK2118">
        <v>35.880211655426002</v>
      </c>
      <c r="AL2118">
        <v>90.900835052358701</v>
      </c>
      <c r="AM2118">
        <v>84.540037515586604</v>
      </c>
      <c r="AN2118">
        <v>1.0000000047558699</v>
      </c>
    </row>
    <row r="2119" spans="1:40" x14ac:dyDescent="0.25">
      <c r="A2119" t="str">
        <f>"20190312161308428"</f>
        <v>20190312161308428</v>
      </c>
      <c r="B2119" t="str">
        <f>"1552378388417782"</f>
        <v>1552378388417782</v>
      </c>
      <c r="C2119" t="s">
        <v>40</v>
      </c>
      <c r="D2119">
        <v>5.0649600000000001</v>
      </c>
      <c r="E2119">
        <v>0.39860020000000002</v>
      </c>
      <c r="F2119" t="s">
        <v>69</v>
      </c>
      <c r="G2119">
        <v>-457.98180000000002</v>
      </c>
      <c r="H2119" s="1">
        <v>2.890933E-6</v>
      </c>
      <c r="I2119">
        <v>280.4932</v>
      </c>
      <c r="J2119">
        <v>-422.48360000000002</v>
      </c>
      <c r="K2119">
        <v>1.1098980000000001</v>
      </c>
      <c r="L2119">
        <v>286.25670000000002</v>
      </c>
      <c r="M2119">
        <v>-0.9998494</v>
      </c>
      <c r="N2119">
        <v>0</v>
      </c>
      <c r="O2119">
        <v>9.4531579999999997E-3</v>
      </c>
      <c r="P2119">
        <v>-0.99407230000000002</v>
      </c>
      <c r="Q2119">
        <v>-2.9984730000000001E-2</v>
      </c>
      <c r="R2119">
        <v>0.1045061</v>
      </c>
      <c r="S2119">
        <v>-3.0668030000000002</v>
      </c>
      <c r="T2119">
        <v>-9.5011470000000001E-2</v>
      </c>
      <c r="U2119">
        <v>-0.49310300000000001</v>
      </c>
      <c r="V2119">
        <v>9.5098799999999997E-2</v>
      </c>
      <c r="W2119">
        <v>-1.55231E-2</v>
      </c>
      <c r="X2119">
        <v>0.99534679999999998</v>
      </c>
      <c r="Y2119">
        <v>-0.16799259999999999</v>
      </c>
      <c r="Z2119">
        <v>-2.8760539999999999E-3</v>
      </c>
      <c r="AA2119">
        <v>0.98578410000000005</v>
      </c>
      <c r="AB2119">
        <v>34</v>
      </c>
      <c r="AC2119">
        <v>-35.498199999999997</v>
      </c>
      <c r="AD2119">
        <v>-1.109895109067</v>
      </c>
      <c r="AE2119">
        <v>-5.7635000000000201</v>
      </c>
      <c r="AF2119">
        <v>-6.0930446188187304</v>
      </c>
      <c r="AG2119">
        <v>-1.109895109067</v>
      </c>
      <c r="AH2119">
        <v>35.408399059262202</v>
      </c>
      <c r="AI2119">
        <v>91.769389958016305</v>
      </c>
      <c r="AJ2119">
        <v>99.763781786103394</v>
      </c>
      <c r="AK2119">
        <v>35.945956432122003</v>
      </c>
      <c r="AL2119">
        <v>90.889443838150598</v>
      </c>
      <c r="AM2119">
        <v>84.542334027696896</v>
      </c>
      <c r="AN2119">
        <v>1.0000000003326399</v>
      </c>
    </row>
    <row r="2120" spans="1:40" x14ac:dyDescent="0.25">
      <c r="A2120" t="str">
        <f>"20190312161308450"</f>
        <v>20190312161308450</v>
      </c>
      <c r="B2120" t="str">
        <f>"1552378388448039"</f>
        <v>1552378388448039</v>
      </c>
      <c r="C2120" t="s">
        <v>40</v>
      </c>
      <c r="D2120">
        <v>5.0288219999999999</v>
      </c>
      <c r="E2120">
        <v>0.3989916</v>
      </c>
      <c r="F2120" t="s">
        <v>69</v>
      </c>
      <c r="G2120">
        <v>-458.38600000000002</v>
      </c>
      <c r="H2120" s="1">
        <v>3.1054559999999998E-6</v>
      </c>
      <c r="I2120">
        <v>280.50639999999999</v>
      </c>
      <c r="J2120">
        <v>-422.81939999999997</v>
      </c>
      <c r="K2120">
        <v>1.109899</v>
      </c>
      <c r="L2120">
        <v>286.26</v>
      </c>
      <c r="M2120">
        <v>-0.99984839999999997</v>
      </c>
      <c r="N2120">
        <v>0</v>
      </c>
      <c r="O2120">
        <v>9.5652389999999997E-3</v>
      </c>
      <c r="P2120">
        <v>-0.99407319999999999</v>
      </c>
      <c r="Q2120">
        <v>-3.0031490000000001E-2</v>
      </c>
      <c r="R2120">
        <v>0.1044851</v>
      </c>
      <c r="S2120">
        <v>-3.0667420000000001</v>
      </c>
      <c r="T2120">
        <v>-9.4805959999999995E-2</v>
      </c>
      <c r="U2120">
        <v>-0.49118040000000002</v>
      </c>
      <c r="V2120">
        <v>9.4966460000000003E-2</v>
      </c>
      <c r="W2120">
        <v>-1.5573389999999999E-2</v>
      </c>
      <c r="X2120">
        <v>0.99535859999999998</v>
      </c>
      <c r="Y2120">
        <v>-0.16750409999999999</v>
      </c>
      <c r="Z2120">
        <v>-2.8659779999999999E-3</v>
      </c>
      <c r="AA2120">
        <v>0.98586719999999906</v>
      </c>
      <c r="AB2120">
        <v>34</v>
      </c>
      <c r="AC2120">
        <v>-35.566599999999902</v>
      </c>
      <c r="AD2120">
        <v>-1.1098958945440001</v>
      </c>
      <c r="AE2120">
        <v>-5.7535999999999996</v>
      </c>
      <c r="AF2120">
        <v>-6.08779852410734</v>
      </c>
      <c r="AG2120">
        <v>-1.1098958945440001</v>
      </c>
      <c r="AH2120">
        <v>35.476265622390301</v>
      </c>
      <c r="AI2120">
        <v>91.766149026280601</v>
      </c>
      <c r="AJ2120">
        <v>99.737231929484906</v>
      </c>
      <c r="AK2120">
        <v>36.011922779507898</v>
      </c>
      <c r="AL2120">
        <v>90.8923256354567</v>
      </c>
      <c r="AM2120">
        <v>84.549947404443301</v>
      </c>
      <c r="AN2120">
        <v>0.99999995079749004</v>
      </c>
    </row>
    <row r="2121" spans="1:40" x14ac:dyDescent="0.25">
      <c r="A2121" t="str">
        <f>"20190312161308473"</f>
        <v>20190312161308473</v>
      </c>
      <c r="B2121" t="str">
        <f>"1552378388467558"</f>
        <v>1552378388467558</v>
      </c>
      <c r="C2121" t="s">
        <v>40</v>
      </c>
      <c r="D2121">
        <v>5.0299649999999998</v>
      </c>
      <c r="E2121">
        <v>0.399225</v>
      </c>
      <c r="F2121" t="s">
        <v>69</v>
      </c>
      <c r="G2121">
        <v>-458.09280000000001</v>
      </c>
      <c r="H2121" s="1">
        <v>2.94346E-6</v>
      </c>
      <c r="I2121">
        <v>280.64330000000001</v>
      </c>
      <c r="J2121">
        <v>-423.16390000000001</v>
      </c>
      <c r="K2121">
        <v>1.109899</v>
      </c>
      <c r="L2121">
        <v>286.26339999999999</v>
      </c>
      <c r="M2121">
        <v>-0.99984740000000005</v>
      </c>
      <c r="N2121">
        <v>0</v>
      </c>
      <c r="O2121">
        <v>9.6805390000000002E-3</v>
      </c>
      <c r="P2121">
        <v>-0.99407699999999999</v>
      </c>
      <c r="Q2121">
        <v>-2.9967270000000001E-2</v>
      </c>
      <c r="R2121">
        <v>0.1044663</v>
      </c>
      <c r="S2121">
        <v>-3.066284</v>
      </c>
      <c r="T2121">
        <v>-9.6482159999999997E-2</v>
      </c>
      <c r="U2121">
        <v>-0.48825069999999998</v>
      </c>
      <c r="V2121">
        <v>9.4832659999999999E-2</v>
      </c>
      <c r="W2121">
        <v>-1.551276E-2</v>
      </c>
      <c r="X2121">
        <v>0.99537240000000005</v>
      </c>
      <c r="Y2121">
        <v>-0.1667196</v>
      </c>
      <c r="Z2121">
        <v>-2.9086149999999998E-3</v>
      </c>
      <c r="AA2121">
        <v>0.98600010000000005</v>
      </c>
      <c r="AB2121">
        <v>34</v>
      </c>
      <c r="AC2121">
        <v>-34.928899999999999</v>
      </c>
      <c r="AD2121">
        <v>-1.10989605654</v>
      </c>
      <c r="AE2121">
        <v>-5.6200999999999697</v>
      </c>
      <c r="AF2121">
        <v>-5.9521446868862604</v>
      </c>
      <c r="AG2121">
        <v>-1.10989605654</v>
      </c>
      <c r="AH2121">
        <v>34.838562640779998</v>
      </c>
      <c r="AI2121">
        <v>91.798681799114306</v>
      </c>
      <c r="AJ2121">
        <v>99.6953341977176</v>
      </c>
      <c r="AK2121">
        <v>35.360788205376601</v>
      </c>
      <c r="AL2121">
        <v>90.888851287048396</v>
      </c>
      <c r="AM2121">
        <v>84.557654948295394</v>
      </c>
      <c r="AN2121">
        <v>1.0000000469036201</v>
      </c>
    </row>
    <row r="2122" spans="1:40" x14ac:dyDescent="0.25">
      <c r="A2122" t="str">
        <f>"20190312161308496"</f>
        <v>20190312161308496</v>
      </c>
      <c r="B2122" t="str">
        <f>"1552378388488058"</f>
        <v>1552378388488058</v>
      </c>
      <c r="C2122" t="s">
        <v>40</v>
      </c>
      <c r="D2122">
        <v>5.0042</v>
      </c>
      <c r="E2122">
        <v>0.39922170000000001</v>
      </c>
      <c r="F2122" t="s">
        <v>69</v>
      </c>
      <c r="G2122">
        <v>-457.97320000000002</v>
      </c>
      <c r="H2122" s="1">
        <v>2.8756009999999999E-6</v>
      </c>
      <c r="I2122">
        <v>280.73930000000001</v>
      </c>
      <c r="J2122">
        <v>-423.50349999999997</v>
      </c>
      <c r="K2122">
        <v>1.109901</v>
      </c>
      <c r="L2122">
        <v>286.26679999999999</v>
      </c>
      <c r="M2122">
        <v>-0.99984629999999997</v>
      </c>
      <c r="N2122">
        <v>0</v>
      </c>
      <c r="O2122">
        <v>9.7941060000000003E-3</v>
      </c>
      <c r="P2122">
        <v>-0.99415799999999999</v>
      </c>
      <c r="Q2122">
        <v>-2.9787589999999999E-2</v>
      </c>
      <c r="R2122">
        <v>0.10374510000000001</v>
      </c>
      <c r="S2122">
        <v>-3.066071</v>
      </c>
      <c r="T2122">
        <v>-9.7761870000000001E-2</v>
      </c>
      <c r="U2122">
        <v>-0.48657230000000001</v>
      </c>
      <c r="V2122">
        <v>9.3998020000000002E-2</v>
      </c>
      <c r="W2122">
        <v>-1.533531E-2</v>
      </c>
      <c r="X2122">
        <v>0.99545430000000001</v>
      </c>
      <c r="Y2122">
        <v>-0.16631360000000001</v>
      </c>
      <c r="Z2122">
        <v>-2.9446720000000002E-3</v>
      </c>
      <c r="AA2122">
        <v>0.98606850000000001</v>
      </c>
      <c r="AB2122">
        <v>34</v>
      </c>
      <c r="AC2122">
        <v>-34.469700000000003</v>
      </c>
      <c r="AD2122">
        <v>-1.109898124399</v>
      </c>
      <c r="AE2122">
        <v>-5.5274999999999697</v>
      </c>
      <c r="AF2122">
        <v>-5.8589482039998</v>
      </c>
      <c r="AG2122">
        <v>-1.109898124399</v>
      </c>
      <c r="AH2122">
        <v>34.379153321316998</v>
      </c>
      <c r="AI2122">
        <v>91.822834107978096</v>
      </c>
      <c r="AJ2122">
        <v>99.671517663224705</v>
      </c>
      <c r="AK2122">
        <v>34.892482442416103</v>
      </c>
      <c r="AL2122">
        <v>90.878682955422903</v>
      </c>
      <c r="AM2122">
        <v>84.605711439124093</v>
      </c>
      <c r="AN2122">
        <v>1.0000000314426001</v>
      </c>
    </row>
    <row r="2123" spans="1:40" x14ac:dyDescent="0.25">
      <c r="A2123" t="str">
        <f>"20190312161308517"</f>
        <v>20190312161308517</v>
      </c>
      <c r="B2123" t="str">
        <f>"1552378388507574"</f>
        <v>1552378388507574</v>
      </c>
      <c r="C2123" t="s">
        <v>40</v>
      </c>
      <c r="D2123">
        <v>4.9803249999999997</v>
      </c>
      <c r="E2123">
        <v>0.39918320000000002</v>
      </c>
      <c r="F2123" t="s">
        <v>69</v>
      </c>
      <c r="G2123">
        <v>-458.4178</v>
      </c>
      <c r="H2123" s="1">
        <v>3.1140249999999998E-6</v>
      </c>
      <c r="I2123">
        <v>280.69799999999998</v>
      </c>
      <c r="J2123">
        <v>-423.82249999999999</v>
      </c>
      <c r="K2123">
        <v>1.1099079999999999</v>
      </c>
      <c r="L2123">
        <v>286.27</v>
      </c>
      <c r="M2123">
        <v>-0.99984530000000005</v>
      </c>
      <c r="N2123">
        <v>0</v>
      </c>
      <c r="O2123">
        <v>9.9011729999999992E-3</v>
      </c>
      <c r="P2123">
        <v>-0.99417670000000002</v>
      </c>
      <c r="Q2123">
        <v>-2.9645250000000001E-2</v>
      </c>
      <c r="R2123">
        <v>0.103606</v>
      </c>
      <c r="S2123">
        <v>-3.0657040000000002</v>
      </c>
      <c r="T2123">
        <v>-9.7456219999999996E-2</v>
      </c>
      <c r="U2123">
        <v>-0.48898320000000001</v>
      </c>
      <c r="V2123">
        <v>9.3751970000000004E-2</v>
      </c>
      <c r="W2123">
        <v>-1.519597E-2</v>
      </c>
      <c r="X2123">
        <v>0.99547960000000002</v>
      </c>
      <c r="Y2123">
        <v>-0.1671937</v>
      </c>
      <c r="Z2123">
        <v>-2.9529170000000002E-3</v>
      </c>
      <c r="AA2123">
        <v>0.98591969999999995</v>
      </c>
      <c r="AB2123">
        <v>33</v>
      </c>
      <c r="AC2123">
        <v>-34.595300000000002</v>
      </c>
      <c r="AD2123">
        <v>-1.10990488597499</v>
      </c>
      <c r="AE2123">
        <v>-5.5720000000000001</v>
      </c>
      <c r="AF2123">
        <v>-5.9083694171610901</v>
      </c>
      <c r="AG2123">
        <v>-1.10990488597499</v>
      </c>
      <c r="AH2123">
        <v>34.503812281854302</v>
      </c>
      <c r="AI2123">
        <v>91.816017850147304</v>
      </c>
      <c r="AJ2123">
        <v>99.716980048398796</v>
      </c>
      <c r="AK2123">
        <v>35.023617460322299</v>
      </c>
      <c r="AL2123">
        <v>90.870698465946901</v>
      </c>
      <c r="AM2123">
        <v>84.619884542826995</v>
      </c>
      <c r="AN2123">
        <v>0.99999999169964005</v>
      </c>
    </row>
    <row r="2124" spans="1:40" x14ac:dyDescent="0.25">
      <c r="A2124" t="str">
        <f>"20190312161308540"</f>
        <v>20190312161308540</v>
      </c>
      <c r="B2124" t="str">
        <f>"1552378388537830"</f>
        <v>1552378388537830</v>
      </c>
      <c r="C2124" t="s">
        <v>40</v>
      </c>
      <c r="D2124">
        <v>4.9757899999999999</v>
      </c>
      <c r="E2124">
        <v>0.39928269999999999</v>
      </c>
      <c r="F2124" t="s">
        <v>69</v>
      </c>
      <c r="G2124">
        <v>-458.95100000000002</v>
      </c>
      <c r="H2124" s="1">
        <v>3.3994290000000002E-6</v>
      </c>
      <c r="I2124">
        <v>280.65969999999999</v>
      </c>
      <c r="J2124">
        <v>-424.16520000000003</v>
      </c>
      <c r="K2124">
        <v>1.1099110000000001</v>
      </c>
      <c r="L2124">
        <v>286.27359999999999</v>
      </c>
      <c r="M2124">
        <v>-0.99984410000000001</v>
      </c>
      <c r="N2124">
        <v>0</v>
      </c>
      <c r="O2124">
        <v>1.001676E-2</v>
      </c>
      <c r="P2124">
        <v>-0.99420050000000004</v>
      </c>
      <c r="Q2124">
        <v>-2.9641069999999999E-2</v>
      </c>
      <c r="R2124">
        <v>0.1033767</v>
      </c>
      <c r="S2124">
        <v>-3.0657350000000001</v>
      </c>
      <c r="T2124">
        <v>-9.6863630000000006E-2</v>
      </c>
      <c r="U2124">
        <v>-0.489624</v>
      </c>
      <c r="V2124">
        <v>9.3407329999999997E-2</v>
      </c>
      <c r="W2124">
        <v>-1.5194879999999999E-2</v>
      </c>
      <c r="X2124">
        <v>0.99551199999999995</v>
      </c>
      <c r="Y2124">
        <v>-0.16750799999999999</v>
      </c>
      <c r="Z2124">
        <v>-2.943457E-3</v>
      </c>
      <c r="AA2124">
        <v>0.98586629999999997</v>
      </c>
      <c r="AB2124">
        <v>33</v>
      </c>
      <c r="AC2124">
        <v>-34.785799999999902</v>
      </c>
      <c r="AD2124">
        <v>-1.109907600571</v>
      </c>
      <c r="AE2124">
        <v>-5.6139000000000001</v>
      </c>
      <c r="AF2124">
        <v>-5.95618636717459</v>
      </c>
      <c r="AG2124">
        <v>-1.109907600571</v>
      </c>
      <c r="AH2124">
        <v>34.693392326102703</v>
      </c>
      <c r="AI2124">
        <v>91.805972290461696</v>
      </c>
      <c r="AJ2124">
        <v>99.741612233825805</v>
      </c>
      <c r="AK2124">
        <v>35.218454282026698</v>
      </c>
      <c r="AL2124">
        <v>90.870636018341997</v>
      </c>
      <c r="AM2124">
        <v>84.6397203192587</v>
      </c>
      <c r="AN2124">
        <v>0.99999997790997097</v>
      </c>
    </row>
    <row r="2125" spans="1:40" x14ac:dyDescent="0.25">
      <c r="A2125" t="str">
        <f>"20190312161308563"</f>
        <v>20190312161308563</v>
      </c>
      <c r="B2125" t="str">
        <f>"1552378388558326"</f>
        <v>1552378388558326</v>
      </c>
      <c r="C2125" t="s">
        <v>40</v>
      </c>
      <c r="D2125">
        <v>4.9247589999999999</v>
      </c>
      <c r="E2125">
        <v>0.39932319999999999</v>
      </c>
      <c r="F2125" t="s">
        <v>69</v>
      </c>
      <c r="G2125">
        <v>-458.96620000000001</v>
      </c>
      <c r="H2125" s="1">
        <v>3.4050419999999999E-6</v>
      </c>
      <c r="I2125">
        <v>280.7165</v>
      </c>
      <c r="J2125">
        <v>-424.49740000000003</v>
      </c>
      <c r="K2125">
        <v>1.1099110000000001</v>
      </c>
      <c r="L2125">
        <v>286.27699999999999</v>
      </c>
      <c r="M2125">
        <v>-0.99984309999999998</v>
      </c>
      <c r="N2125">
        <v>0</v>
      </c>
      <c r="O2125">
        <v>1.0128649999999999E-2</v>
      </c>
      <c r="P2125">
        <v>-0.99419360000000001</v>
      </c>
      <c r="Q2125">
        <v>-2.9399399999999999E-2</v>
      </c>
      <c r="R2125">
        <v>0.10351340000000001</v>
      </c>
      <c r="S2125">
        <v>-3.0654910000000002</v>
      </c>
      <c r="T2125">
        <v>-9.7767709999999994E-2</v>
      </c>
      <c r="U2125">
        <v>-0.48950199999999999</v>
      </c>
      <c r="V2125">
        <v>9.3432899999999999E-2</v>
      </c>
      <c r="W2125">
        <v>-1.495674E-2</v>
      </c>
      <c r="X2125">
        <v>0.99551319999999999</v>
      </c>
      <c r="Y2125">
        <v>-0.1675905</v>
      </c>
      <c r="Z2125">
        <v>-2.9760120000000001E-3</v>
      </c>
      <c r="AA2125">
        <v>0.98585219999999996</v>
      </c>
      <c r="AB2125">
        <v>33</v>
      </c>
      <c r="AC2125">
        <v>-34.468799999999902</v>
      </c>
      <c r="AD2125">
        <v>-1.109907594958</v>
      </c>
      <c r="AE2125">
        <v>-5.5604999999999896</v>
      </c>
      <c r="AF2125">
        <v>-5.9034082186163896</v>
      </c>
      <c r="AG2125">
        <v>-1.109907594958</v>
      </c>
      <c r="AH2125">
        <v>34.375966096316702</v>
      </c>
      <c r="AI2125">
        <v>91.822622176366394</v>
      </c>
      <c r="AJ2125">
        <v>99.744393384688195</v>
      </c>
      <c r="AK2125">
        <v>34.896836081800998</v>
      </c>
      <c r="AL2125">
        <v>90.856990056074693</v>
      </c>
      <c r="AM2125">
        <v>84.638267933356602</v>
      </c>
      <c r="AN2125">
        <v>0.99999997112403805</v>
      </c>
    </row>
    <row r="2126" spans="1:40" x14ac:dyDescent="0.25">
      <c r="A2126" t="str">
        <f>"20190312161308585"</f>
        <v>20190312161308585</v>
      </c>
      <c r="B2126" t="str">
        <f>"1552378388577846"</f>
        <v>1552378388577846</v>
      </c>
      <c r="C2126" t="s">
        <v>40</v>
      </c>
      <c r="D2126">
        <v>4.9204160000000003</v>
      </c>
      <c r="E2126">
        <v>0.39926050000000002</v>
      </c>
      <c r="F2126" t="s">
        <v>69</v>
      </c>
      <c r="G2126">
        <v>-459.22730000000001</v>
      </c>
      <c r="H2126" s="1">
        <v>3.5429200000000001E-6</v>
      </c>
      <c r="I2126">
        <v>280.74130000000002</v>
      </c>
      <c r="J2126">
        <v>-424.83249999999998</v>
      </c>
      <c r="K2126">
        <v>1.1099129999999999</v>
      </c>
      <c r="L2126">
        <v>286.28050000000002</v>
      </c>
      <c r="M2126">
        <v>-0.99984200000000001</v>
      </c>
      <c r="N2126">
        <v>0</v>
      </c>
      <c r="O2126">
        <v>1.0241739999999999E-2</v>
      </c>
      <c r="P2126">
        <v>-0.99416479999999996</v>
      </c>
      <c r="Q2126">
        <v>-2.9329629999999999E-2</v>
      </c>
      <c r="R2126">
        <v>0.1038089</v>
      </c>
      <c r="S2126">
        <v>-3.0654599999999999</v>
      </c>
      <c r="T2126">
        <v>-9.7966670000000006E-2</v>
      </c>
      <c r="U2126">
        <v>-0.48861690000000002</v>
      </c>
      <c r="V2126">
        <v>9.3616169999999999E-2</v>
      </c>
      <c r="W2126">
        <v>-1.489088E-2</v>
      </c>
      <c r="X2126">
        <v>0.99549699999999997</v>
      </c>
      <c r="Y2126">
        <v>-0.16742560000000001</v>
      </c>
      <c r="Z2126">
        <v>-2.9831369999999999E-3</v>
      </c>
      <c r="AA2126">
        <v>0.98588019999999998</v>
      </c>
      <c r="AB2126">
        <v>33</v>
      </c>
      <c r="AC2126">
        <v>-34.394799999999996</v>
      </c>
      <c r="AD2126">
        <v>-1.1099094570800001</v>
      </c>
      <c r="AE2126">
        <v>-5.5391999999999904</v>
      </c>
      <c r="AF2126">
        <v>-5.8852356451968797</v>
      </c>
      <c r="AG2126">
        <v>-1.1099094570800001</v>
      </c>
      <c r="AH2126">
        <v>34.301442435610902</v>
      </c>
      <c r="AI2126">
        <v>91.826630095891005</v>
      </c>
      <c r="AJ2126">
        <v>99.735672853970897</v>
      </c>
      <c r="AK2126">
        <v>34.8203511005553</v>
      </c>
      <c r="AL2126">
        <v>90.853216109889701</v>
      </c>
      <c r="AM2126">
        <v>84.627725377889902</v>
      </c>
      <c r="AN2126">
        <v>1.0000000013008199</v>
      </c>
    </row>
    <row r="2127" spans="1:40" x14ac:dyDescent="0.25">
      <c r="A2127" t="str">
        <f>"20190312161308606"</f>
        <v>20190312161308606</v>
      </c>
      <c r="B2127" t="str">
        <f>"1552378388597996"</f>
        <v>1552378388597996</v>
      </c>
      <c r="C2127" t="s">
        <v>40</v>
      </c>
      <c r="D2127">
        <v>4.905335</v>
      </c>
      <c r="E2127">
        <v>0.3991942</v>
      </c>
      <c r="F2127" t="s">
        <v>69</v>
      </c>
      <c r="G2127">
        <v>-459.87189999999998</v>
      </c>
      <c r="H2127" s="1">
        <v>3.8876919999999998E-6</v>
      </c>
      <c r="I2127">
        <v>280.70080000000002</v>
      </c>
      <c r="J2127">
        <v>-425.15629999999999</v>
      </c>
      <c r="K2127">
        <v>1.1099129999999999</v>
      </c>
      <c r="L2127">
        <v>286.28399999999999</v>
      </c>
      <c r="M2127">
        <v>-0.99984099999999998</v>
      </c>
      <c r="N2127">
        <v>0</v>
      </c>
      <c r="O2127">
        <v>1.035078E-2</v>
      </c>
      <c r="P2127">
        <v>-0.99411210000000005</v>
      </c>
      <c r="Q2127">
        <v>-2.9631959999999999E-2</v>
      </c>
      <c r="R2127">
        <v>0.1042271</v>
      </c>
      <c r="S2127">
        <v>-3.0657040000000002</v>
      </c>
      <c r="T2127">
        <v>-9.7109440000000005E-2</v>
      </c>
      <c r="U2127">
        <v>-0.4881897</v>
      </c>
      <c r="V2127">
        <v>9.3926090000000004E-2</v>
      </c>
      <c r="W2127">
        <v>-1.519731E-2</v>
      </c>
      <c r="X2127">
        <v>0.99546319999999999</v>
      </c>
      <c r="Y2127">
        <v>-0.1673885</v>
      </c>
      <c r="Z2127">
        <v>-2.959695E-3</v>
      </c>
      <c r="AA2127">
        <v>0.98588659999999995</v>
      </c>
      <c r="AB2127">
        <v>33</v>
      </c>
      <c r="AC2127">
        <v>-34.715599999999903</v>
      </c>
      <c r="AD2127">
        <v>-1.1099091123079901</v>
      </c>
      <c r="AE2127">
        <v>-5.5831999999999704</v>
      </c>
      <c r="AF2127">
        <v>-5.9363572591278198</v>
      </c>
      <c r="AG2127">
        <v>-1.1099091123079901</v>
      </c>
      <c r="AH2127">
        <v>34.621446375521202</v>
      </c>
      <c r="AI2127">
        <v>91.809790306435701</v>
      </c>
      <c r="AJ2127">
        <v>99.729591616323802</v>
      </c>
      <c r="AK2127">
        <v>35.144228329537697</v>
      </c>
      <c r="AL2127">
        <v>90.870775221650902</v>
      </c>
      <c r="AM2127">
        <v>84.609862890381606</v>
      </c>
      <c r="AN2127">
        <v>1.00000002558408</v>
      </c>
    </row>
    <row r="2128" spans="1:40" x14ac:dyDescent="0.25">
      <c r="A2128" t="str">
        <f>"20190312161308630"</f>
        <v>20190312161308630</v>
      </c>
      <c r="B2128" t="str">
        <f>"1552378388628252"</f>
        <v>1552378388628252</v>
      </c>
      <c r="C2128" t="s">
        <v>40</v>
      </c>
      <c r="D2128">
        <v>4.8809950000000004</v>
      </c>
      <c r="E2128">
        <v>0.39897959999999999</v>
      </c>
      <c r="F2128" t="s">
        <v>69</v>
      </c>
      <c r="G2128">
        <v>-459.67070000000001</v>
      </c>
      <c r="H2128" s="1">
        <v>3.7765129999999999E-6</v>
      </c>
      <c r="I2128">
        <v>280.7955</v>
      </c>
      <c r="J2128">
        <v>-425.49369999999999</v>
      </c>
      <c r="K2128">
        <v>1.109915</v>
      </c>
      <c r="L2128">
        <v>286.2876</v>
      </c>
      <c r="M2128">
        <v>-0.99983979999999995</v>
      </c>
      <c r="N2128">
        <v>0</v>
      </c>
      <c r="O2128">
        <v>1.0463989999999999E-2</v>
      </c>
      <c r="P2128">
        <v>-0.99411570000000005</v>
      </c>
      <c r="Q2128">
        <v>-2.9349790000000001E-2</v>
      </c>
      <c r="R2128">
        <v>0.1042739</v>
      </c>
      <c r="S2128">
        <v>-3.065979</v>
      </c>
      <c r="T2128">
        <v>-9.8595260000000004E-2</v>
      </c>
      <c r="U2128">
        <v>-0.4875488</v>
      </c>
      <c r="V2128">
        <v>9.3860479999999996E-2</v>
      </c>
      <c r="W2128">
        <v>-1.491862E-2</v>
      </c>
      <c r="X2128">
        <v>0.99547359999999896</v>
      </c>
      <c r="Y2128">
        <v>-0.16728280000000001</v>
      </c>
      <c r="Z2128">
        <v>-3.0066699999999999E-3</v>
      </c>
      <c r="AA2128">
        <v>0.98590440000000001</v>
      </c>
      <c r="AB2128">
        <v>33</v>
      </c>
      <c r="AC2128">
        <v>-34.177</v>
      </c>
      <c r="AD2128">
        <v>-1.1099112234870001</v>
      </c>
      <c r="AE2128">
        <v>-5.49209999999999</v>
      </c>
      <c r="AF2128">
        <v>-5.8434570809583803</v>
      </c>
      <c r="AG2128">
        <v>-1.1099112234870001</v>
      </c>
      <c r="AH2128">
        <v>34.082612711880202</v>
      </c>
      <c r="AI2128">
        <v>91.838391015687506</v>
      </c>
      <c r="AJ2128">
        <v>99.7287600458139</v>
      </c>
      <c r="AK2128">
        <v>34.597722220531303</v>
      </c>
      <c r="AL2128">
        <v>90.854805654018904</v>
      </c>
      <c r="AM2128">
        <v>84.6136618414384</v>
      </c>
      <c r="AN2128">
        <v>1.00000002161274</v>
      </c>
    </row>
    <row r="2129" spans="1:40" x14ac:dyDescent="0.25">
      <c r="A2129" t="str">
        <f>"20190312161308652"</f>
        <v>20190312161308652</v>
      </c>
      <c r="B2129" t="str">
        <f>"1552378388647772"</f>
        <v>1552378388647772</v>
      </c>
      <c r="C2129" t="s">
        <v>40</v>
      </c>
      <c r="D2129">
        <v>4.932493</v>
      </c>
      <c r="E2129">
        <v>0.3988643</v>
      </c>
      <c r="F2129" t="s">
        <v>69</v>
      </c>
      <c r="G2129">
        <v>-460.66550000000001</v>
      </c>
      <c r="H2129" s="1">
        <v>-1.010473E-6</v>
      </c>
      <c r="I2129">
        <v>280.67790000000002</v>
      </c>
      <c r="J2129">
        <v>-425.82389999999998</v>
      </c>
      <c r="K2129">
        <v>1.1099190000000001</v>
      </c>
      <c r="L2129">
        <v>286.29109999999997</v>
      </c>
      <c r="M2129">
        <v>-0.99983860000000002</v>
      </c>
      <c r="N2129">
        <v>0</v>
      </c>
      <c r="O2129">
        <v>1.057452E-2</v>
      </c>
      <c r="P2129">
        <v>-0.99408989999999997</v>
      </c>
      <c r="Q2129">
        <v>-2.947398E-2</v>
      </c>
      <c r="R2129">
        <v>0.104482199999999</v>
      </c>
      <c r="S2129">
        <v>-3.0662229999999999</v>
      </c>
      <c r="T2129">
        <v>-9.6760750000000006E-2</v>
      </c>
      <c r="U2129">
        <v>-0.48904419999999998</v>
      </c>
      <c r="V2129">
        <v>9.3959020000000004E-2</v>
      </c>
      <c r="W2129">
        <v>-1.504663E-2</v>
      </c>
      <c r="X2129">
        <v>0.99546239999999997</v>
      </c>
      <c r="Y2129">
        <v>-0.16785139999999901</v>
      </c>
      <c r="Z2129">
        <v>-2.9627899999999999E-3</v>
      </c>
      <c r="AA2129">
        <v>0.98580780000000001</v>
      </c>
      <c r="AB2129">
        <v>33</v>
      </c>
      <c r="AC2129">
        <v>-34.8416</v>
      </c>
      <c r="AD2129">
        <v>-1.109920010473</v>
      </c>
      <c r="AE2129">
        <v>-5.6131999999999396</v>
      </c>
      <c r="AF2129">
        <v>-5.9754475850372</v>
      </c>
      <c r="AG2129">
        <v>-1.109920010473</v>
      </c>
      <c r="AH2129">
        <v>34.745919716185398</v>
      </c>
      <c r="AI2129">
        <v>91.8031753863132</v>
      </c>
      <c r="AJ2129">
        <v>99.758018921960002</v>
      </c>
      <c r="AK2129">
        <v>35.273457913773903</v>
      </c>
      <c r="AL2129">
        <v>90.862140890509096</v>
      </c>
      <c r="AM2129">
        <v>84.607979964459005</v>
      </c>
      <c r="AN2129">
        <v>1.00000004416373</v>
      </c>
    </row>
    <row r="2130" spans="1:40" x14ac:dyDescent="0.25">
      <c r="A2130" t="str">
        <f>"20190312161308675"</f>
        <v>20190312161308675</v>
      </c>
      <c r="B2130" t="str">
        <f>"1552378388668268"</f>
        <v>1552378388668268</v>
      </c>
      <c r="C2130" t="s">
        <v>40</v>
      </c>
      <c r="D2130">
        <v>4.9241419999999998</v>
      </c>
      <c r="E2130">
        <v>0.39877950000000001</v>
      </c>
      <c r="F2130" t="s">
        <v>69</v>
      </c>
      <c r="G2130">
        <v>-461.26339999999999</v>
      </c>
      <c r="H2130" s="1">
        <v>-6.9055219999999898E-7</v>
      </c>
      <c r="I2130">
        <v>280.637</v>
      </c>
      <c r="J2130">
        <v>-426.1567</v>
      </c>
      <c r="K2130">
        <v>1.1099220000000001</v>
      </c>
      <c r="L2130">
        <v>286.29480000000001</v>
      </c>
      <c r="M2130">
        <v>-0.99983759999999999</v>
      </c>
      <c r="N2130">
        <v>0</v>
      </c>
      <c r="O2130">
        <v>1.06867E-2</v>
      </c>
      <c r="P2130">
        <v>-0.99407670000000004</v>
      </c>
      <c r="Q2130">
        <v>-2.984931E-2</v>
      </c>
      <c r="R2130">
        <v>0.1045029</v>
      </c>
      <c r="S2130">
        <v>-3.0664060000000002</v>
      </c>
      <c r="T2130">
        <v>-9.6036079999999996E-2</v>
      </c>
      <c r="U2130">
        <v>-0.48922729999999998</v>
      </c>
      <c r="V2130">
        <v>9.3867930000000002E-2</v>
      </c>
      <c r="W2130">
        <v>-1.542546E-2</v>
      </c>
      <c r="X2130">
        <v>0.99546520000000005</v>
      </c>
      <c r="Y2130">
        <v>-0.16801150000000001</v>
      </c>
      <c r="Z2130">
        <v>-2.9464080000000002E-3</v>
      </c>
      <c r="AA2130">
        <v>0.98578069999999896</v>
      </c>
      <c r="AB2130">
        <v>33</v>
      </c>
      <c r="AC2130">
        <v>-35.106699999999897</v>
      </c>
      <c r="AD2130">
        <v>-1.1099226905521999</v>
      </c>
      <c r="AE2130">
        <v>-5.6577999999999999</v>
      </c>
      <c r="AF2130">
        <v>-6.02681950459242</v>
      </c>
      <c r="AG2130">
        <v>-1.1099226905521999</v>
      </c>
      <c r="AH2130">
        <v>35.010116703207402</v>
      </c>
      <c r="AI2130">
        <v>91.789530599736906</v>
      </c>
      <c r="AJ2130">
        <v>99.767454954136696</v>
      </c>
      <c r="AK2130">
        <v>35.542407815061402</v>
      </c>
      <c r="AL2130">
        <v>90.883848765522899</v>
      </c>
      <c r="AM2130">
        <v>84.613191638158696</v>
      </c>
      <c r="AN2130">
        <v>1.0000000487548599</v>
      </c>
    </row>
    <row r="2131" spans="1:40" x14ac:dyDescent="0.25">
      <c r="A2131" t="str">
        <f>"20190312161308696"</f>
        <v>20190312161308696</v>
      </c>
      <c r="B2131" t="str">
        <f>"1552378388688294"</f>
        <v>1552378388688294</v>
      </c>
      <c r="C2131" t="s">
        <v>40</v>
      </c>
      <c r="D2131">
        <v>4.90808</v>
      </c>
      <c r="E2131">
        <v>0.39870220000000001</v>
      </c>
      <c r="F2131" t="s">
        <v>69</v>
      </c>
      <c r="G2131">
        <v>-461.34679999999997</v>
      </c>
      <c r="H2131" s="1">
        <v>-6.4772229999999996E-7</v>
      </c>
      <c r="I2131">
        <v>280.67320000000001</v>
      </c>
      <c r="J2131">
        <v>-426.48509999999999</v>
      </c>
      <c r="K2131">
        <v>1.1099159999999999</v>
      </c>
      <c r="L2131">
        <v>286.29840000000002</v>
      </c>
      <c r="M2131">
        <v>-0.99983639999999996</v>
      </c>
      <c r="N2131">
        <v>0</v>
      </c>
      <c r="O2131">
        <v>1.079752E-2</v>
      </c>
      <c r="P2131">
        <v>-0.99406150000000004</v>
      </c>
      <c r="Q2131">
        <v>-2.9890949999999999E-2</v>
      </c>
      <c r="R2131">
        <v>0.1046347</v>
      </c>
      <c r="S2131">
        <v>-3.0664669999999998</v>
      </c>
      <c r="T2131">
        <v>-9.6718789999999999E-2</v>
      </c>
      <c r="U2131">
        <v>-0.48986819999999998</v>
      </c>
      <c r="V2131">
        <v>9.3889559999999997E-2</v>
      </c>
      <c r="W2131">
        <v>-1.547072E-2</v>
      </c>
      <c r="X2131">
        <v>0.99546239999999997</v>
      </c>
      <c r="Y2131">
        <v>-0.1683172</v>
      </c>
      <c r="Z2131">
        <v>-2.9754999999999998E-3</v>
      </c>
      <c r="AA2131">
        <v>0.98572839999999995</v>
      </c>
      <c r="AB2131">
        <v>33</v>
      </c>
      <c r="AC2131">
        <v>-34.8616999999999</v>
      </c>
      <c r="AD2131">
        <v>-1.1099166477222999</v>
      </c>
      <c r="AE2131">
        <v>-5.6252000000000004</v>
      </c>
      <c r="AF2131">
        <v>-5.9954085821343197</v>
      </c>
      <c r="AG2131">
        <v>-1.1099166477222999</v>
      </c>
      <c r="AH2131">
        <v>34.764578153962603</v>
      </c>
      <c r="AI2131">
        <v>91.802057639225296</v>
      </c>
      <c r="AJ2131">
        <v>99.784833092355896</v>
      </c>
      <c r="AK2131">
        <v>35.295222527342098</v>
      </c>
      <c r="AL2131">
        <v>90.8864423328518</v>
      </c>
      <c r="AM2131">
        <v>84.611942593371893</v>
      </c>
      <c r="AN2131">
        <v>0.99999999123403605</v>
      </c>
    </row>
    <row r="2132" spans="1:40" x14ac:dyDescent="0.25">
      <c r="A2132" t="str">
        <f>"20190312161308718"</f>
        <v>20190312161308718</v>
      </c>
      <c r="B2132" t="str">
        <f>"1552378388707814"</f>
        <v>1552378388707814</v>
      </c>
      <c r="C2132" t="s">
        <v>40</v>
      </c>
      <c r="D2132">
        <v>4.8842610000000004</v>
      </c>
      <c r="E2132">
        <v>0.39861930000000001</v>
      </c>
      <c r="F2132" t="s">
        <v>69</v>
      </c>
      <c r="G2132">
        <v>-462.10140000000001</v>
      </c>
      <c r="H2132" s="1">
        <v>-2.4326280000000001E-7</v>
      </c>
      <c r="I2132">
        <v>280.60719999999998</v>
      </c>
      <c r="J2132">
        <v>-426.80610000000001</v>
      </c>
      <c r="K2132">
        <v>1.109915</v>
      </c>
      <c r="L2132">
        <v>286.30200000000002</v>
      </c>
      <c r="M2132">
        <v>-0.99983529999999998</v>
      </c>
      <c r="N2132">
        <v>0</v>
      </c>
      <c r="O2132">
        <v>1.09062E-2</v>
      </c>
      <c r="P2132">
        <v>-0.9940059</v>
      </c>
      <c r="Q2132">
        <v>-2.9912399999999999E-2</v>
      </c>
      <c r="R2132">
        <v>0.1051557</v>
      </c>
      <c r="S2132">
        <v>-3.066589</v>
      </c>
      <c r="T2132">
        <v>-9.5564479999999993E-2</v>
      </c>
      <c r="U2132">
        <v>-0.49002079999999998</v>
      </c>
      <c r="V2132">
        <v>9.4302949999999996E-2</v>
      </c>
      <c r="W2132">
        <v>-1.5496289999999999E-2</v>
      </c>
      <c r="X2132">
        <v>0.99542299999999995</v>
      </c>
      <c r="Y2132">
        <v>-0.168467899999999</v>
      </c>
      <c r="Z2132">
        <v>-2.9455779999999999E-3</v>
      </c>
      <c r="AA2132">
        <v>0.98570279999999999</v>
      </c>
      <c r="AB2132">
        <v>33</v>
      </c>
      <c r="AC2132">
        <v>-35.295299999999997</v>
      </c>
      <c r="AD2132">
        <v>-1.1099152432628001</v>
      </c>
      <c r="AE2132">
        <v>-5.6948000000000398</v>
      </c>
      <c r="AF2132">
        <v>-6.0735856519019196</v>
      </c>
      <c r="AG2132">
        <v>-1.1099152432628001</v>
      </c>
      <c r="AH2132">
        <v>35.197162387377503</v>
      </c>
      <c r="AI2132">
        <v>91.779891602572604</v>
      </c>
      <c r="AJ2132">
        <v>99.7904840410107</v>
      </c>
      <c r="AK2132">
        <v>35.734585413037003</v>
      </c>
      <c r="AL2132">
        <v>90.887907495952604</v>
      </c>
      <c r="AM2132">
        <v>84.588146910980996</v>
      </c>
      <c r="AN2132">
        <v>1.0000000651557299</v>
      </c>
    </row>
    <row r="2133" spans="1:40" x14ac:dyDescent="0.25">
      <c r="A2133" t="str">
        <f>"20190312161308740"</f>
        <v>20190312161308740</v>
      </c>
      <c r="B2133" t="str">
        <f>"1552378388738071"</f>
        <v>1552378388738071</v>
      </c>
      <c r="C2133" t="s">
        <v>40</v>
      </c>
      <c r="D2133">
        <v>4.8013070000000004</v>
      </c>
      <c r="E2133">
        <v>0.39822920000000001</v>
      </c>
      <c r="F2133" t="s">
        <v>69</v>
      </c>
      <c r="G2133">
        <v>-462.56650000000002</v>
      </c>
      <c r="H2133" s="1">
        <v>4.5423430000000004E-9</v>
      </c>
      <c r="I2133">
        <v>280.59989999999999</v>
      </c>
      <c r="J2133">
        <v>-427.1404</v>
      </c>
      <c r="K2133">
        <v>1.109917</v>
      </c>
      <c r="L2133">
        <v>286.30579999999998</v>
      </c>
      <c r="M2133">
        <v>-0.99983409999999995</v>
      </c>
      <c r="N2133">
        <v>0</v>
      </c>
      <c r="O2133">
        <v>1.101923E-2</v>
      </c>
      <c r="P2133">
        <v>-0.99395060000000002</v>
      </c>
      <c r="Q2133">
        <v>-2.9721790000000001E-2</v>
      </c>
      <c r="R2133">
        <v>0.1057321</v>
      </c>
      <c r="S2133">
        <v>-3.066986</v>
      </c>
      <c r="T2133">
        <v>-9.5191600000000001E-2</v>
      </c>
      <c r="U2133">
        <v>-0.48904419999999998</v>
      </c>
      <c r="V2133">
        <v>9.4767699999999996E-2</v>
      </c>
      <c r="W2133">
        <v>-1.5310000000000001E-2</v>
      </c>
      <c r="X2133">
        <v>0.99538170000000004</v>
      </c>
      <c r="Y2133">
        <v>-0.16825419999999999</v>
      </c>
      <c r="Z2133">
        <v>-2.9339800000000001E-3</v>
      </c>
      <c r="AA2133">
        <v>0.98573929999999998</v>
      </c>
      <c r="AB2133">
        <v>33</v>
      </c>
      <c r="AC2133">
        <v>-35.426099999999998</v>
      </c>
      <c r="AD2133">
        <v>-1.10991699545765</v>
      </c>
      <c r="AE2133">
        <v>-5.7058999999999802</v>
      </c>
      <c r="AF2133">
        <v>-6.09013599569312</v>
      </c>
      <c r="AG2133">
        <v>-1.10991699545765</v>
      </c>
      <c r="AH2133">
        <v>35.327267083762301</v>
      </c>
      <c r="AI2133">
        <v>91.773393114211302</v>
      </c>
      <c r="AJ2133">
        <v>99.781190906513103</v>
      </c>
      <c r="AK2133">
        <v>35.8655471419344</v>
      </c>
      <c r="AL2133">
        <v>90.877232638289797</v>
      </c>
      <c r="AM2133">
        <v>84.561411082073903</v>
      </c>
      <c r="AN2133">
        <v>1.00000002087908</v>
      </c>
    </row>
    <row r="2134" spans="1:40" x14ac:dyDescent="0.25">
      <c r="A2134" t="str">
        <f>"20190312161309265"</f>
        <v>20190312161309265</v>
      </c>
      <c r="B2134" t="str">
        <f>"1552378389257849"</f>
        <v>1552378389257849</v>
      </c>
      <c r="C2134" t="s">
        <v>40</v>
      </c>
      <c r="D2134">
        <v>4.937735</v>
      </c>
      <c r="E2134">
        <v>0.39841260000000001</v>
      </c>
      <c r="F2134" t="s">
        <v>69</v>
      </c>
      <c r="G2134">
        <v>-464.04719999999998</v>
      </c>
      <c r="H2134" s="1">
        <v>8.0105169999999996E-7</v>
      </c>
      <c r="I2134">
        <v>280.40449999999998</v>
      </c>
      <c r="J2134">
        <v>-434.76400000000001</v>
      </c>
      <c r="K2134">
        <v>1.1099589999999999</v>
      </c>
      <c r="L2134">
        <v>286.40170000000001</v>
      </c>
      <c r="M2134">
        <v>-0.99980409999999997</v>
      </c>
      <c r="N2134">
        <v>0</v>
      </c>
      <c r="O2134">
        <v>1.3558199999999999E-2</v>
      </c>
      <c r="P2134">
        <v>-0.99386430000000003</v>
      </c>
      <c r="Q2134">
        <v>-2.7766619999999999E-2</v>
      </c>
      <c r="R2134">
        <v>0.1070647</v>
      </c>
      <c r="S2134">
        <v>-3.067688</v>
      </c>
      <c r="T2134">
        <v>-9.2256069999999996E-2</v>
      </c>
      <c r="U2134">
        <v>-0.49050899999999997</v>
      </c>
      <c r="V2134">
        <v>9.3574779999999996E-2</v>
      </c>
      <c r="W2134">
        <v>-1.343249E-2</v>
      </c>
      <c r="X2134">
        <v>0.99552169999999895</v>
      </c>
      <c r="Y2134">
        <v>-0.17118329999999901</v>
      </c>
      <c r="Z2134">
        <v>-2.962447E-3</v>
      </c>
      <c r="AA2134">
        <v>0.98523470000000002</v>
      </c>
      <c r="AB2134">
        <v>32</v>
      </c>
      <c r="AC2134">
        <v>-29.283199999999901</v>
      </c>
      <c r="AD2134">
        <v>-1.1099581989482901</v>
      </c>
      <c r="AE2134">
        <v>-5.9972000000000198</v>
      </c>
      <c r="AF2134">
        <v>-6.3849132647305096</v>
      </c>
      <c r="AG2134">
        <v>-1.1099581989482901</v>
      </c>
      <c r="AH2134">
        <v>29.158980869685301</v>
      </c>
      <c r="AI2134">
        <v>92.129546461710703</v>
      </c>
      <c r="AJ2134">
        <v>102.351062212762</v>
      </c>
      <c r="AK2134">
        <v>29.870475221532999</v>
      </c>
      <c r="AL2134">
        <v>90.769648082717595</v>
      </c>
      <c r="AM2134">
        <v>84.6302191589091</v>
      </c>
      <c r="AN2134">
        <v>1.0000000632052599</v>
      </c>
    </row>
    <row r="2135" spans="1:40" x14ac:dyDescent="0.25">
      <c r="A2135" t="str">
        <f>"20190312161309289"</f>
        <v>20190312161309289</v>
      </c>
      <c r="B2135" t="str">
        <f>"1552378389278344"</f>
        <v>1552378389278344</v>
      </c>
      <c r="C2135" t="s">
        <v>40</v>
      </c>
      <c r="D2135">
        <v>5.0171140000000003</v>
      </c>
      <c r="E2135">
        <v>0.399368</v>
      </c>
      <c r="F2135" t="s">
        <v>63</v>
      </c>
      <c r="G2135">
        <v>-476.17660000000001</v>
      </c>
      <c r="H2135" s="1">
        <v>3.4591640000000001E-6</v>
      </c>
      <c r="I2135">
        <v>279.85919999999999</v>
      </c>
      <c r="J2135">
        <v>-435.08460000000002</v>
      </c>
      <c r="K2135">
        <v>1.1099570000000001</v>
      </c>
      <c r="L2135">
        <v>286.40620000000001</v>
      </c>
      <c r="M2135">
        <v>-0.99980279999999999</v>
      </c>
      <c r="N2135">
        <v>0</v>
      </c>
      <c r="O2135">
        <v>1.366474E-2</v>
      </c>
      <c r="P2135">
        <v>-0.99390299999999998</v>
      </c>
      <c r="Q2135">
        <v>-2.7513800000000001E-2</v>
      </c>
      <c r="R2135">
        <v>0.1067709</v>
      </c>
      <c r="S2135">
        <v>-3.0684809999999998</v>
      </c>
      <c r="T2135">
        <v>-8.2242609999999994E-2</v>
      </c>
      <c r="U2135">
        <v>-0.48477170000000003</v>
      </c>
      <c r="V2135">
        <v>9.3174439999999997E-2</v>
      </c>
      <c r="W2135">
        <v>-1.3182549999999999E-2</v>
      </c>
      <c r="X2135">
        <v>0.99556259999999996</v>
      </c>
      <c r="Y2135">
        <v>-0.169468799999999</v>
      </c>
      <c r="Z2135">
        <v>-2.6207420000000001E-3</v>
      </c>
      <c r="AA2135">
        <v>0.98553199999999996</v>
      </c>
      <c r="AB2135">
        <v>32</v>
      </c>
      <c r="AC2135">
        <v>-41.091999999999899</v>
      </c>
      <c r="AD2135">
        <v>-1.109953540836</v>
      </c>
      <c r="AE2135">
        <v>-6.5470000000000201</v>
      </c>
      <c r="AF2135">
        <v>-7.1029042954520198</v>
      </c>
      <c r="AG2135">
        <v>-1.109953540836</v>
      </c>
      <c r="AH2135">
        <v>40.969538162522802</v>
      </c>
      <c r="AI2135">
        <v>91.529088255418898</v>
      </c>
      <c r="AJ2135">
        <v>99.8356245147869</v>
      </c>
      <c r="AK2135">
        <v>41.5955082135509</v>
      </c>
      <c r="AL2135">
        <v>90.755326300721293</v>
      </c>
      <c r="AM2135">
        <v>84.653277593115604</v>
      </c>
      <c r="AN2135">
        <v>1.0000000732062799</v>
      </c>
    </row>
    <row r="2136" spans="1:40" x14ac:dyDescent="0.25">
      <c r="A2136" t="str">
        <f>"20190312161309400"</f>
        <v>20190312161309400</v>
      </c>
      <c r="B2136" t="str">
        <f>"1552378389397417"</f>
        <v>1552378389397417</v>
      </c>
      <c r="C2136" t="s">
        <v>40</v>
      </c>
      <c r="D2136">
        <v>4.8646089999999997</v>
      </c>
      <c r="E2136">
        <v>0.40055629999999998</v>
      </c>
      <c r="F2136" t="s">
        <v>63</v>
      </c>
      <c r="G2136">
        <v>-477.25420000000003</v>
      </c>
      <c r="H2136" s="1">
        <v>2.9792280000000001E-6</v>
      </c>
      <c r="I2136">
        <v>279.83550000000002</v>
      </c>
      <c r="J2136">
        <v>-436.6703</v>
      </c>
      <c r="K2136">
        <v>1.1099650000000001</v>
      </c>
      <c r="L2136">
        <v>286.42869999999999</v>
      </c>
      <c r="M2136">
        <v>-0.99979560000000001</v>
      </c>
      <c r="N2136">
        <v>0</v>
      </c>
      <c r="O2136">
        <v>1.419364E-2</v>
      </c>
      <c r="P2136">
        <v>-0.99404689999999996</v>
      </c>
      <c r="Q2136">
        <v>-2.776327E-2</v>
      </c>
      <c r="R2136">
        <v>0.1053573</v>
      </c>
      <c r="S2136">
        <v>-3.0675050000000001</v>
      </c>
      <c r="T2136">
        <v>-8.0740450000000005E-2</v>
      </c>
      <c r="U2136">
        <v>-0.47796630000000001</v>
      </c>
      <c r="V2136">
        <v>9.1232519999999998E-2</v>
      </c>
      <c r="W2136">
        <v>-1.344571E-2</v>
      </c>
      <c r="X2136">
        <v>0.99573889999999998</v>
      </c>
      <c r="Y2136">
        <v>-0.167907</v>
      </c>
      <c r="Z2136">
        <v>-2.5675540000000001E-3</v>
      </c>
      <c r="AA2136">
        <v>0.98579950000000005</v>
      </c>
      <c r="AB2136">
        <v>32</v>
      </c>
      <c r="AC2136">
        <v>-40.5839</v>
      </c>
      <c r="AD2136">
        <v>-1.10996202077199</v>
      </c>
      <c r="AE2136">
        <v>-6.5931999999999604</v>
      </c>
      <c r="AF2136">
        <v>-7.1634081465379804</v>
      </c>
      <c r="AG2136">
        <v>-1.10996202077199</v>
      </c>
      <c r="AH2136">
        <v>40.456735765293899</v>
      </c>
      <c r="AI2136">
        <v>91.547501032718699</v>
      </c>
      <c r="AJ2136">
        <v>100.04091757826799</v>
      </c>
      <c r="AK2136">
        <v>41.1010206776457</v>
      </c>
      <c r="AL2136">
        <v>90.770405604989193</v>
      </c>
      <c r="AM2136">
        <v>84.765008733296895</v>
      </c>
      <c r="AN2136">
        <v>1.0000000583980799</v>
      </c>
    </row>
    <row r="2137" spans="1:40" x14ac:dyDescent="0.25">
      <c r="A2137" t="str">
        <f>"20190312161309422"</f>
        <v>20190312161309422</v>
      </c>
      <c r="B2137" t="str">
        <f>"1552378389417916"</f>
        <v>1552378389417916</v>
      </c>
      <c r="C2137" t="s">
        <v>40</v>
      </c>
      <c r="D2137">
        <v>5.0750029999999997</v>
      </c>
      <c r="E2137">
        <v>0.4013563</v>
      </c>
      <c r="F2137" t="s">
        <v>63</v>
      </c>
      <c r="G2137">
        <v>-475.27800000000002</v>
      </c>
      <c r="H2137" s="1">
        <v>3.9113390000000002E-6</v>
      </c>
      <c r="I2137">
        <v>280.47309999999999</v>
      </c>
      <c r="J2137">
        <v>-436.99149999999997</v>
      </c>
      <c r="K2137">
        <v>1.10997099999999</v>
      </c>
      <c r="L2137">
        <v>286.43340000000001</v>
      </c>
      <c r="M2137">
        <v>-0.99979410000000002</v>
      </c>
      <c r="N2137">
        <v>0</v>
      </c>
      <c r="O2137">
        <v>1.430112E-2</v>
      </c>
      <c r="P2137">
        <v>-0.9940407</v>
      </c>
      <c r="Q2137">
        <v>-2.7979270000000001E-2</v>
      </c>
      <c r="R2137">
        <v>0.10535940000000001</v>
      </c>
      <c r="S2137">
        <v>-3.0656129999999999</v>
      </c>
      <c r="T2137">
        <v>-8.8135720000000001E-2</v>
      </c>
      <c r="U2137">
        <v>-0.4729004</v>
      </c>
      <c r="V2137">
        <v>9.1127689999999997E-2</v>
      </c>
      <c r="W2137">
        <v>-1.3664920000000001E-2</v>
      </c>
      <c r="X2137">
        <v>0.99574549999999995</v>
      </c>
      <c r="Y2137">
        <v>-0.16650319999999999</v>
      </c>
      <c r="Z2137">
        <v>-2.7877090000000002E-3</v>
      </c>
      <c r="AA2137">
        <v>0.98603700000000005</v>
      </c>
      <c r="AB2137">
        <v>32</v>
      </c>
      <c r="AC2137">
        <v>-38.286499999999997</v>
      </c>
      <c r="AD2137">
        <v>-1.10996708866099</v>
      </c>
      <c r="AE2137">
        <v>-5.9603000000000099</v>
      </c>
      <c r="AF2137">
        <v>-6.5019514376069303</v>
      </c>
      <c r="AG2137">
        <v>-1.10996708866099</v>
      </c>
      <c r="AH2137">
        <v>38.166017104748597</v>
      </c>
      <c r="AI2137">
        <v>91.642194249586893</v>
      </c>
      <c r="AJ2137">
        <v>99.668074849267995</v>
      </c>
      <c r="AK2137">
        <v>38.731799094218097</v>
      </c>
      <c r="AL2137">
        <v>90.782966577962895</v>
      </c>
      <c r="AM2137">
        <v>84.771025061071597</v>
      </c>
      <c r="AN2137">
        <v>1.0000000433467899</v>
      </c>
    </row>
    <row r="2138" spans="1:40" x14ac:dyDescent="0.25">
      <c r="A2138" t="str">
        <f>"20190312161309445"</f>
        <v>20190312161309445</v>
      </c>
      <c r="B2138" t="str">
        <f>"1552378389437436"</f>
        <v>1552378389437436</v>
      </c>
      <c r="C2138" t="s">
        <v>40</v>
      </c>
      <c r="D2138">
        <v>5.040343</v>
      </c>
      <c r="E2138">
        <v>0.40258149999999998</v>
      </c>
      <c r="F2138" t="s">
        <v>63</v>
      </c>
      <c r="G2138">
        <v>-475.08229999999998</v>
      </c>
      <c r="H2138" s="1">
        <v>4.0120690000000003E-6</v>
      </c>
      <c r="I2138">
        <v>280.63279999999997</v>
      </c>
      <c r="J2138">
        <v>-437.31119999999999</v>
      </c>
      <c r="K2138">
        <v>1.1099699999999999</v>
      </c>
      <c r="L2138">
        <v>286.43799999999999</v>
      </c>
      <c r="M2138">
        <v>-0.99979260000000003</v>
      </c>
      <c r="N2138">
        <v>0</v>
      </c>
      <c r="O2138">
        <v>1.440806E-2</v>
      </c>
      <c r="P2138">
        <v>-0.99404910000000002</v>
      </c>
      <c r="Q2138">
        <v>-2.8037469999999998E-2</v>
      </c>
      <c r="R2138">
        <v>0.1052641</v>
      </c>
      <c r="S2138">
        <v>-3.0649410000000001</v>
      </c>
      <c r="T2138">
        <v>-8.9312429999999998E-2</v>
      </c>
      <c r="U2138">
        <v>-0.46673579999999998</v>
      </c>
      <c r="V2138">
        <v>9.092567E-2</v>
      </c>
      <c r="W2138">
        <v>-1.3726210000000001E-2</v>
      </c>
      <c r="X2138">
        <v>0.99576310000000001</v>
      </c>
      <c r="Y2138">
        <v>-0.16470190000000001</v>
      </c>
      <c r="Z2138">
        <v>-2.802962E-3</v>
      </c>
      <c r="AA2138">
        <v>0.98633939999999998</v>
      </c>
      <c r="AB2138">
        <v>32</v>
      </c>
      <c r="AC2138">
        <v>-37.771099999999898</v>
      </c>
      <c r="AD2138">
        <v>-1.109965987931</v>
      </c>
      <c r="AE2138">
        <v>-5.8052000000000099</v>
      </c>
      <c r="AF2138">
        <v>-6.3435102608501701</v>
      </c>
      <c r="AG2138">
        <v>-1.109965987931</v>
      </c>
      <c r="AH2138">
        <v>37.651763378457197</v>
      </c>
      <c r="AI2138">
        <v>91.665124948301198</v>
      </c>
      <c r="AJ2138">
        <v>99.563293667027494</v>
      </c>
      <c r="AK2138">
        <v>38.198526574086699</v>
      </c>
      <c r="AL2138">
        <v>90.786478584818099</v>
      </c>
      <c r="AM2138">
        <v>84.7826447816106</v>
      </c>
      <c r="AN2138">
        <v>1.0000000188137601</v>
      </c>
    </row>
    <row r="2139" spans="1:40" x14ac:dyDescent="0.25">
      <c r="A2139" t="str">
        <f>"20190312161309466"</f>
        <v>20190312161309466</v>
      </c>
      <c r="B2139" t="str">
        <f>"1552378389457929"</f>
        <v>1552378389457929</v>
      </c>
      <c r="C2139" t="s">
        <v>40</v>
      </c>
      <c r="D2139">
        <v>5.256329</v>
      </c>
      <c r="E2139">
        <v>0.40368670000000001</v>
      </c>
      <c r="F2139" t="s">
        <v>63</v>
      </c>
      <c r="G2139">
        <v>-475.26389999999998</v>
      </c>
      <c r="H2139" s="1">
        <v>3.9438110000000003E-6</v>
      </c>
      <c r="I2139">
        <v>280.77319999999997</v>
      </c>
      <c r="J2139">
        <v>-437.61790000000002</v>
      </c>
      <c r="K2139">
        <v>1.109964</v>
      </c>
      <c r="L2139">
        <v>286.44260000000003</v>
      </c>
      <c r="M2139">
        <v>-0.99979110000000004</v>
      </c>
      <c r="N2139">
        <v>0</v>
      </c>
      <c r="O2139">
        <v>1.451037E-2</v>
      </c>
      <c r="P2139">
        <v>-0.99405379999999999</v>
      </c>
      <c r="Q2139">
        <v>-2.8462290000000001E-2</v>
      </c>
      <c r="R2139">
        <v>0.1051052</v>
      </c>
      <c r="S2139">
        <v>-3.063812</v>
      </c>
      <c r="T2139">
        <v>-8.9604379999999997E-2</v>
      </c>
      <c r="U2139">
        <v>-0.45730589999999999</v>
      </c>
      <c r="V2139">
        <v>9.0664939999999999E-2</v>
      </c>
      <c r="W2139">
        <v>-1.4154079999999999E-2</v>
      </c>
      <c r="X2139">
        <v>0.99578089999999997</v>
      </c>
      <c r="Y2139">
        <v>-0.16188859999999999</v>
      </c>
      <c r="Z2139">
        <v>-2.7758549999999998E-3</v>
      </c>
      <c r="AA2139">
        <v>0.98680509999999999</v>
      </c>
      <c r="AB2139">
        <v>32</v>
      </c>
      <c r="AC2139">
        <v>-37.645999999999901</v>
      </c>
      <c r="AD2139">
        <v>-1.109960056189</v>
      </c>
      <c r="AE2139">
        <v>-5.6694000000000502</v>
      </c>
      <c r="AF2139">
        <v>-6.2098384007418002</v>
      </c>
      <c r="AG2139">
        <v>-1.109960056189</v>
      </c>
      <c r="AH2139">
        <v>37.527862115360797</v>
      </c>
      <c r="AI2139">
        <v>91.671425892948207</v>
      </c>
      <c r="AJ2139">
        <v>99.395751568917703</v>
      </c>
      <c r="AK2139">
        <v>38.054362946174699</v>
      </c>
      <c r="AL2139">
        <v>90.810996098875705</v>
      </c>
      <c r="AM2139">
        <v>84.797615857544002</v>
      </c>
      <c r="AN2139">
        <v>1.00000003506532</v>
      </c>
    </row>
    <row r="2140" spans="1:40" x14ac:dyDescent="0.25">
      <c r="A2140" t="str">
        <f>"20190312161309490"</f>
        <v>20190312161309490</v>
      </c>
      <c r="B2140" t="str">
        <f>"1552378389477449"</f>
        <v>1552378389477449</v>
      </c>
      <c r="C2140" t="s">
        <v>40</v>
      </c>
      <c r="D2140">
        <v>5.212129</v>
      </c>
      <c r="E2140">
        <v>0.40509679999999998</v>
      </c>
      <c r="F2140" t="s">
        <v>63</v>
      </c>
      <c r="G2140">
        <v>-474.57279999999997</v>
      </c>
      <c r="H2140" s="1">
        <v>4.2724230000000004E-6</v>
      </c>
      <c r="I2140">
        <v>281.02640000000002</v>
      </c>
      <c r="J2140">
        <v>-437.93490000000003</v>
      </c>
      <c r="K2140">
        <v>1.1099680000000001</v>
      </c>
      <c r="L2140">
        <v>286.44729999999998</v>
      </c>
      <c r="M2140">
        <v>-0.99978959999999995</v>
      </c>
      <c r="N2140">
        <v>0</v>
      </c>
      <c r="O2140">
        <v>1.46163E-2</v>
      </c>
      <c r="P2140">
        <v>-0.99401010000000001</v>
      </c>
      <c r="Q2140">
        <v>-2.8833669999999999E-2</v>
      </c>
      <c r="R2140">
        <v>0.10541499999999999</v>
      </c>
      <c r="S2140">
        <v>-3.0627439999999999</v>
      </c>
      <c r="T2140">
        <v>-9.199119E-2</v>
      </c>
      <c r="U2140">
        <v>-0.44888309999999998</v>
      </c>
      <c r="V2140">
        <v>9.0869519999999995E-2</v>
      </c>
      <c r="W2140">
        <v>-1.452929E-2</v>
      </c>
      <c r="X2140">
        <v>0.9957568</v>
      </c>
      <c r="Y2140">
        <v>-0.1593841</v>
      </c>
      <c r="Z2140">
        <v>-2.8170769999999999E-3</v>
      </c>
      <c r="AA2140">
        <v>0.9872126</v>
      </c>
      <c r="AB2140">
        <v>32</v>
      </c>
      <c r="AC2140">
        <v>-36.637899999999902</v>
      </c>
      <c r="AD2140">
        <v>-1.109963727577</v>
      </c>
      <c r="AE2140">
        <v>-5.4208999999999596</v>
      </c>
      <c r="AF2140">
        <v>-5.95054229052755</v>
      </c>
      <c r="AG2140">
        <v>-1.109963727577</v>
      </c>
      <c r="AH2140">
        <v>36.521941300807697</v>
      </c>
      <c r="AI2140">
        <v>91.718138113412806</v>
      </c>
      <c r="AJ2140">
        <v>99.253922179058804</v>
      </c>
      <c r="AK2140">
        <v>37.0201724659346</v>
      </c>
      <c r="AL2140">
        <v>90.832496298645694</v>
      </c>
      <c r="AM2140">
        <v>84.785816121485396</v>
      </c>
      <c r="AN2140">
        <v>0.99999998733958695</v>
      </c>
    </row>
    <row r="2141" spans="1:40" x14ac:dyDescent="0.25">
      <c r="A2141" t="str">
        <f>"20190312161309512"</f>
        <v>20190312161309512</v>
      </c>
      <c r="B2141" t="str">
        <f>"1552378389507705"</f>
        <v>1552378389507705</v>
      </c>
      <c r="C2141" t="s">
        <v>40</v>
      </c>
      <c r="D2141">
        <v>5.3111889999999997</v>
      </c>
      <c r="E2141">
        <v>0.4070183</v>
      </c>
      <c r="F2141" t="s">
        <v>63</v>
      </c>
      <c r="G2141">
        <v>-473.90030000000002</v>
      </c>
      <c r="H2141" s="1">
        <v>4.5957449999999997E-6</v>
      </c>
      <c r="I2141">
        <v>281.3134</v>
      </c>
      <c r="J2141">
        <v>-438.25110000000001</v>
      </c>
      <c r="K2141">
        <v>1.1099650000000001</v>
      </c>
      <c r="L2141">
        <v>286.45209999999997</v>
      </c>
      <c r="M2141">
        <v>-0.99978829999999996</v>
      </c>
      <c r="N2141">
        <v>0</v>
      </c>
      <c r="O2141">
        <v>1.472205E-2</v>
      </c>
      <c r="P2141">
        <v>-0.9939827</v>
      </c>
      <c r="Q2141">
        <v>-2.929934E-2</v>
      </c>
      <c r="R2141">
        <v>0.105547699999999</v>
      </c>
      <c r="S2141">
        <v>-3.0616759999999998</v>
      </c>
      <c r="T2141">
        <v>-9.4489340000000005E-2</v>
      </c>
      <c r="U2141">
        <v>-0.43704219999999999</v>
      </c>
      <c r="V2141">
        <v>9.0897430000000001E-2</v>
      </c>
      <c r="W2141">
        <v>-1.499848E-2</v>
      </c>
      <c r="X2141">
        <v>0.9957473</v>
      </c>
      <c r="Y2141">
        <v>-0.1557945</v>
      </c>
      <c r="Z2141">
        <v>-2.8434850000000002E-3</v>
      </c>
      <c r="AA2141">
        <v>0.98778540000000004</v>
      </c>
      <c r="AB2141">
        <v>32</v>
      </c>
      <c r="AC2141">
        <v>-35.6492</v>
      </c>
      <c r="AD2141">
        <v>-1.109960404255</v>
      </c>
      <c r="AE2141">
        <v>-5.1386999999999698</v>
      </c>
      <c r="AF2141">
        <v>-5.6576534657472299</v>
      </c>
      <c r="AG2141">
        <v>-1.109960404255</v>
      </c>
      <c r="AH2141">
        <v>35.535927412412597</v>
      </c>
      <c r="AI2141">
        <v>91.766807408504107</v>
      </c>
      <c r="AJ2141">
        <v>99.046103782773201</v>
      </c>
      <c r="AK2141">
        <v>36.000599882470702</v>
      </c>
      <c r="AL2141">
        <v>90.859381832912604</v>
      </c>
      <c r="AM2141">
        <v>84.784173962436498</v>
      </c>
      <c r="AN2141">
        <v>0.99999999132010198</v>
      </c>
    </row>
    <row r="2142" spans="1:40" x14ac:dyDescent="0.25">
      <c r="A2142" t="str">
        <f>"20190312161309534"</f>
        <v>20190312161309534</v>
      </c>
      <c r="B2142" t="str">
        <f>"1552378389528201"</f>
        <v>1552378389528201</v>
      </c>
      <c r="C2142" t="s">
        <v>40</v>
      </c>
      <c r="D2142">
        <v>5.2984980000000004</v>
      </c>
      <c r="E2142">
        <v>0.40824440000000001</v>
      </c>
      <c r="F2142" t="s">
        <v>63</v>
      </c>
      <c r="G2142">
        <v>-472.67239999999998</v>
      </c>
      <c r="H2142" s="1">
        <v>5.17497399999999E-6</v>
      </c>
      <c r="I2142">
        <v>281.71030000000002</v>
      </c>
      <c r="J2142">
        <v>-438.56740000000002</v>
      </c>
      <c r="K2142">
        <v>1.109961</v>
      </c>
      <c r="L2142">
        <v>286.45679999999999</v>
      </c>
      <c r="M2142">
        <v>-0.99978659999999997</v>
      </c>
      <c r="N2142">
        <v>0</v>
      </c>
      <c r="O2142">
        <v>1.482787E-2</v>
      </c>
      <c r="P2142">
        <v>-0.99391600000000002</v>
      </c>
      <c r="Q2142">
        <v>-2.967962E-2</v>
      </c>
      <c r="R2142">
        <v>0.1060672</v>
      </c>
      <c r="S2142">
        <v>-3.060028</v>
      </c>
      <c r="T2142">
        <v>-9.8674769999999995E-2</v>
      </c>
      <c r="U2142">
        <v>-0.42153930000000001</v>
      </c>
      <c r="V2142">
        <v>9.131235E-2</v>
      </c>
      <c r="W2142">
        <v>-1.538292E-2</v>
      </c>
      <c r="X2142">
        <v>0.99570349999999996</v>
      </c>
      <c r="Y2142">
        <v>-0.1510589</v>
      </c>
      <c r="Z2142">
        <v>-2.8994149999999998E-3</v>
      </c>
      <c r="AA2142">
        <v>0.98852050000000002</v>
      </c>
      <c r="AB2142">
        <v>32</v>
      </c>
      <c r="AC2142">
        <v>-34.104999999999897</v>
      </c>
      <c r="AD2142">
        <v>-1.109955825026</v>
      </c>
      <c r="AE2142">
        <v>-4.7464999999999602</v>
      </c>
      <c r="AF2142">
        <v>-5.2462836505390102</v>
      </c>
      <c r="AG2142">
        <v>-1.109955825026</v>
      </c>
      <c r="AH2142">
        <v>33.995538329715401</v>
      </c>
      <c r="AI2142">
        <v>91.848182650986999</v>
      </c>
      <c r="AJ2142">
        <v>98.772833763512907</v>
      </c>
      <c r="AK2142">
        <v>34.415870182265699</v>
      </c>
      <c r="AL2142">
        <v>90.8814111395601</v>
      </c>
      <c r="AM2142">
        <v>84.760268267897402</v>
      </c>
      <c r="AN2142">
        <v>1.00000001970124</v>
      </c>
    </row>
    <row r="2143" spans="1:40" x14ac:dyDescent="0.25">
      <c r="A2143" t="str">
        <f>"20190312161309557"</f>
        <v>20190312161309557</v>
      </c>
      <c r="B2143" t="str">
        <f>"1552378389547721"</f>
        <v>1552378389547721</v>
      </c>
      <c r="C2143" t="s">
        <v>40</v>
      </c>
      <c r="D2143">
        <v>5.2969200000000001</v>
      </c>
      <c r="E2143">
        <v>0.40935569999999999</v>
      </c>
      <c r="F2143" t="s">
        <v>63</v>
      </c>
      <c r="G2143">
        <v>-471.66840000000002</v>
      </c>
      <c r="H2143" s="1">
        <v>5.6471910000000003E-6</v>
      </c>
      <c r="I2143">
        <v>282.01929999999999</v>
      </c>
      <c r="J2143">
        <v>-438.88740000000001</v>
      </c>
      <c r="K2143">
        <v>1.109961</v>
      </c>
      <c r="L2143">
        <v>286.46170000000001</v>
      </c>
      <c r="M2143">
        <v>-0.99978500000000003</v>
      </c>
      <c r="N2143">
        <v>0</v>
      </c>
      <c r="O2143">
        <v>1.4935459999999999E-2</v>
      </c>
      <c r="P2143">
        <v>-0.99392860000000005</v>
      </c>
      <c r="Q2143">
        <v>-3.0213879999999999E-2</v>
      </c>
      <c r="R2143">
        <v>0.10579719999999999</v>
      </c>
      <c r="S2143">
        <v>-3.059021</v>
      </c>
      <c r="T2143">
        <v>-0.1025761</v>
      </c>
      <c r="U2143">
        <v>-0.41009519999999999</v>
      </c>
      <c r="V2143">
        <v>9.0934959999999995E-2</v>
      </c>
      <c r="W2143">
        <v>-1.592033E-2</v>
      </c>
      <c r="X2143">
        <v>0.99572959999999999</v>
      </c>
      <c r="Y2143">
        <v>-0.14757219999999999</v>
      </c>
      <c r="Z2143">
        <v>-2.9611339999999998E-3</v>
      </c>
      <c r="AA2143">
        <v>0.98904689999999995</v>
      </c>
      <c r="AB2143">
        <v>32</v>
      </c>
      <c r="AC2143">
        <v>-32.780999999999999</v>
      </c>
      <c r="AD2143">
        <v>-1.109955352809</v>
      </c>
      <c r="AE2143">
        <v>-4.4424000000000197</v>
      </c>
      <c r="AF2143">
        <v>-4.9260086339771103</v>
      </c>
      <c r="AG2143">
        <v>-1.109955352809</v>
      </c>
      <c r="AH2143">
        <v>32.674201913260397</v>
      </c>
      <c r="AI2143">
        <v>91.923887193869106</v>
      </c>
      <c r="AJ2143">
        <v>98.573426239563304</v>
      </c>
      <c r="AK2143">
        <v>33.062078467872396</v>
      </c>
      <c r="AL2143">
        <v>90.912206226937997</v>
      </c>
      <c r="AM2143">
        <v>84.781940079854806</v>
      </c>
      <c r="AN2143">
        <v>1.0000000300868299</v>
      </c>
    </row>
    <row r="2144" spans="1:40" x14ac:dyDescent="0.25">
      <c r="A2144" t="str">
        <f>"20190312161309579"</f>
        <v>20190312161309579</v>
      </c>
      <c r="B2144" t="str">
        <f>"1552378389568217"</f>
        <v>1552378389568217</v>
      </c>
      <c r="C2144" t="s">
        <v>40</v>
      </c>
      <c r="D2144">
        <v>5.2981889999999998</v>
      </c>
      <c r="E2144">
        <v>0.41046519999999997</v>
      </c>
      <c r="F2144" t="s">
        <v>63</v>
      </c>
      <c r="G2144">
        <v>-470.9939</v>
      </c>
      <c r="H2144" s="1">
        <v>5.9655480000000004E-6</v>
      </c>
      <c r="I2144">
        <v>282.23930000000001</v>
      </c>
      <c r="J2144">
        <v>-439.2</v>
      </c>
      <c r="K2144">
        <v>1.1099619999999999</v>
      </c>
      <c r="L2144">
        <v>286.4665</v>
      </c>
      <c r="M2144">
        <v>-0.99978370000000005</v>
      </c>
      <c r="N2144">
        <v>0</v>
      </c>
      <c r="O2144">
        <v>1.5040029999999999E-2</v>
      </c>
      <c r="P2144">
        <v>-0.99390970000000001</v>
      </c>
      <c r="Q2144">
        <v>-3.0284990000000001E-2</v>
      </c>
      <c r="R2144">
        <v>0.10595639999999901</v>
      </c>
      <c r="S2144">
        <v>-3.0579529999999999</v>
      </c>
      <c r="T2144">
        <v>-0.10571659999999999</v>
      </c>
      <c r="U2144">
        <v>-0.40216059999999998</v>
      </c>
      <c r="V2144">
        <v>9.0990349999999998E-2</v>
      </c>
      <c r="W2144">
        <v>-1.5995180000000001E-2</v>
      </c>
      <c r="X2144">
        <v>0.99572329999999998</v>
      </c>
      <c r="Y2144">
        <v>-0.1451945</v>
      </c>
      <c r="Z2144">
        <v>-3.016E-3</v>
      </c>
      <c r="AA2144">
        <v>0.98939849999999996</v>
      </c>
      <c r="AB2144">
        <v>31</v>
      </c>
      <c r="AC2144">
        <v>-31.793900000000001</v>
      </c>
      <c r="AD2144">
        <v>-1.1099560344519901</v>
      </c>
      <c r="AE2144">
        <v>-4.2271999999999803</v>
      </c>
      <c r="AF2144">
        <v>-4.6993243893722898</v>
      </c>
      <c r="AG2144">
        <v>-1.1099560344519901</v>
      </c>
      <c r="AH2144">
        <v>31.688768701830199</v>
      </c>
      <c r="AI2144">
        <v>91.984383693427205</v>
      </c>
      <c r="AJ2144">
        <v>98.435270131946595</v>
      </c>
      <c r="AK2144">
        <v>32.054542797442302</v>
      </c>
      <c r="AL2144">
        <v>90.916495398917306</v>
      </c>
      <c r="AM2144">
        <v>84.778746381814699</v>
      </c>
      <c r="AN2144">
        <v>0.99999998986962202</v>
      </c>
    </row>
    <row r="2145" spans="1:40" x14ac:dyDescent="0.25">
      <c r="A2145" t="str">
        <f>"20190312161309602"</f>
        <v>20190312161309602</v>
      </c>
      <c r="B2145" t="str">
        <f>"1552378389597497"</f>
        <v>1552378389597497</v>
      </c>
      <c r="C2145" t="s">
        <v>40</v>
      </c>
      <c r="D2145">
        <v>5.3948729999999996</v>
      </c>
      <c r="E2145">
        <v>0.41196870000000002</v>
      </c>
      <c r="F2145" t="s">
        <v>63</v>
      </c>
      <c r="G2145">
        <v>-470.92720000000003</v>
      </c>
      <c r="H2145" s="1">
        <v>6.0081920000000001E-6</v>
      </c>
      <c r="I2145">
        <v>282.38900000000001</v>
      </c>
      <c r="J2145">
        <v>-439.5138</v>
      </c>
      <c r="K2145">
        <v>1.109955</v>
      </c>
      <c r="L2145">
        <v>286.47129999999999</v>
      </c>
      <c r="M2145">
        <v>-0.99978199999999995</v>
      </c>
      <c r="N2145">
        <v>0</v>
      </c>
      <c r="O2145">
        <v>1.514477E-2</v>
      </c>
      <c r="P2145">
        <v>-0.99392939999999996</v>
      </c>
      <c r="Q2145">
        <v>-3.0320670000000001E-2</v>
      </c>
      <c r="R2145">
        <v>0.105759199999999</v>
      </c>
      <c r="S2145">
        <v>-3.0570680000000001</v>
      </c>
      <c r="T2145">
        <v>-0.1069494</v>
      </c>
      <c r="U2145">
        <v>-0.39288329999999999</v>
      </c>
      <c r="V2145">
        <v>9.0688500000000005E-2</v>
      </c>
      <c r="W2145">
        <v>-1.6033660000000002E-2</v>
      </c>
      <c r="X2145">
        <v>0.99575020000000003</v>
      </c>
      <c r="Y2145">
        <v>-0.14238139999999999</v>
      </c>
      <c r="Z2145">
        <v>-3.0072760000000001E-3</v>
      </c>
      <c r="AA2145">
        <v>0.98980729999999995</v>
      </c>
      <c r="AB2145">
        <v>31</v>
      </c>
      <c r="AC2145">
        <v>-31.413399999999999</v>
      </c>
      <c r="AD2145">
        <v>-1.1099489918080001</v>
      </c>
      <c r="AE2145">
        <v>-4.0822999999999698</v>
      </c>
      <c r="AF2145">
        <v>-4.5520408986769603</v>
      </c>
      <c r="AG2145">
        <v>-1.1099489918080001</v>
      </c>
      <c r="AH2145">
        <v>31.309524959731501</v>
      </c>
      <c r="AI2145">
        <v>92.0092266462987</v>
      </c>
      <c r="AJ2145">
        <v>98.272179952206898</v>
      </c>
      <c r="AK2145">
        <v>31.658165081250299</v>
      </c>
      <c r="AL2145">
        <v>90.918700440144093</v>
      </c>
      <c r="AM2145">
        <v>84.796111842466999</v>
      </c>
      <c r="AN2145">
        <v>0.99999997154264197</v>
      </c>
    </row>
    <row r="2146" spans="1:40" x14ac:dyDescent="0.25">
      <c r="A2146" t="str">
        <f>"20190312161309623"</f>
        <v>20190312161309623</v>
      </c>
      <c r="B2146" t="str">
        <f>"1552378389617992"</f>
        <v>1552378389617992</v>
      </c>
      <c r="C2146" t="s">
        <v>40</v>
      </c>
      <c r="D2146">
        <v>5.3339819999999998</v>
      </c>
      <c r="E2146">
        <v>0.41287259999999998</v>
      </c>
      <c r="F2146" t="s">
        <v>63</v>
      </c>
      <c r="G2146">
        <v>-470.97019999999998</v>
      </c>
      <c r="H2146" s="1">
        <v>6.0025560000000004E-6</v>
      </c>
      <c r="I2146">
        <v>282.54239999999999</v>
      </c>
      <c r="J2146">
        <v>-439.82389999999998</v>
      </c>
      <c r="K2146">
        <v>1.109964</v>
      </c>
      <c r="L2146">
        <v>286.47609999999997</v>
      </c>
      <c r="M2146">
        <v>-0.99978049999999996</v>
      </c>
      <c r="N2146">
        <v>0</v>
      </c>
      <c r="O2146">
        <v>1.524849E-2</v>
      </c>
      <c r="P2146">
        <v>-0.99391450000000003</v>
      </c>
      <c r="Q2146">
        <v>-3.066052E-2</v>
      </c>
      <c r="R2146">
        <v>0.10580299999999999</v>
      </c>
      <c r="S2146">
        <v>-3.0556640000000002</v>
      </c>
      <c r="T2146">
        <v>-0.107819899999999</v>
      </c>
      <c r="U2146">
        <v>-0.38165280000000001</v>
      </c>
      <c r="V2146">
        <v>9.0629150000000006E-2</v>
      </c>
      <c r="W2146">
        <v>-1.6376439999999999E-2</v>
      </c>
      <c r="X2146">
        <v>0.99575009999999997</v>
      </c>
      <c r="Y2146">
        <v>-0.13896069999999999</v>
      </c>
      <c r="Z2146">
        <v>-2.977361E-3</v>
      </c>
      <c r="AA2146">
        <v>0.99029339999999999</v>
      </c>
      <c r="AB2146">
        <v>31</v>
      </c>
      <c r="AC2146">
        <v>-31.1463</v>
      </c>
      <c r="AD2146">
        <v>-1.1099579974439999</v>
      </c>
      <c r="AE2146">
        <v>-3.93369999999998</v>
      </c>
      <c r="AF2146">
        <v>-4.40272200472518</v>
      </c>
      <c r="AG2146">
        <v>-1.1099579974439999</v>
      </c>
      <c r="AH2146">
        <v>31.0438824462782</v>
      </c>
      <c r="AI2146">
        <v>92.027437868941206</v>
      </c>
      <c r="AJ2146">
        <v>98.072000686949494</v>
      </c>
      <c r="AK2146">
        <v>31.374170987379401</v>
      </c>
      <c r="AL2146">
        <v>90.9383427973588</v>
      </c>
      <c r="AM2146">
        <v>84.799498265238796</v>
      </c>
      <c r="AN2146">
        <v>1.0000000461334</v>
      </c>
    </row>
    <row r="2147" spans="1:40" x14ac:dyDescent="0.25">
      <c r="A2147" t="str">
        <f>"20190312161309646"</f>
        <v>20190312161309646</v>
      </c>
      <c r="B2147" t="str">
        <f>"1552378389637517"</f>
        <v>1552378389637517</v>
      </c>
      <c r="C2147" t="s">
        <v>40</v>
      </c>
      <c r="D2147">
        <v>5.3477579999999998</v>
      </c>
      <c r="E2147">
        <v>0.41370220000000002</v>
      </c>
      <c r="F2147" t="s">
        <v>63</v>
      </c>
      <c r="G2147">
        <v>-470.92619999999999</v>
      </c>
      <c r="H2147" s="1">
        <v>6.0327230000000003E-6</v>
      </c>
      <c r="I2147">
        <v>282.66410000000002</v>
      </c>
      <c r="J2147">
        <v>-440.14150000000001</v>
      </c>
      <c r="K2147">
        <v>1.1099650000000001</v>
      </c>
      <c r="L2147">
        <v>286.48110000000003</v>
      </c>
      <c r="M2147">
        <v>-0.99977890000000003</v>
      </c>
      <c r="N2147">
        <v>0</v>
      </c>
      <c r="O2147">
        <v>1.5354430000000001E-2</v>
      </c>
      <c r="P2147">
        <v>-0.99388869999999896</v>
      </c>
      <c r="Q2147">
        <v>-3.0210089999999998E-2</v>
      </c>
      <c r="R2147">
        <v>0.10617219999999999</v>
      </c>
      <c r="S2147">
        <v>-3.0549010000000001</v>
      </c>
      <c r="T2147">
        <v>-0.1090212</v>
      </c>
      <c r="U2147">
        <v>-0.37442019999999998</v>
      </c>
      <c r="V2147">
        <v>9.0893290000000002E-2</v>
      </c>
      <c r="W2147">
        <v>-1.592936E-2</v>
      </c>
      <c r="X2147">
        <v>0.99573319999999998</v>
      </c>
      <c r="Y2147">
        <v>-0.13678560000000001</v>
      </c>
      <c r="Z2147">
        <v>-2.9768030000000001E-3</v>
      </c>
      <c r="AA2147">
        <v>0.99059620000000004</v>
      </c>
      <c r="AB2147">
        <v>31</v>
      </c>
      <c r="AC2147">
        <v>-30.784699999999901</v>
      </c>
      <c r="AD2147">
        <v>-1.1099589672769901</v>
      </c>
      <c r="AE2147">
        <v>-3.8170000000000002</v>
      </c>
      <c r="AF2147">
        <v>-4.2837956188360904</v>
      </c>
      <c r="AG2147">
        <v>-1.1099589672769901</v>
      </c>
      <c r="AH2147">
        <v>30.683172006745199</v>
      </c>
      <c r="AI2147">
        <v>92.051878630815693</v>
      </c>
      <c r="AJ2147">
        <v>97.947909504492699</v>
      </c>
      <c r="AK2147">
        <v>31.000644480534799</v>
      </c>
      <c r="AL2147">
        <v>90.912723728157005</v>
      </c>
      <c r="AM2147">
        <v>84.784336763825294</v>
      </c>
      <c r="AN2147">
        <v>0.99999997012963604</v>
      </c>
    </row>
    <row r="2148" spans="1:40" x14ac:dyDescent="0.25">
      <c r="A2148" t="str">
        <f>"20190312161309667"</f>
        <v>20190312161309667</v>
      </c>
      <c r="B2148" t="str">
        <f>"1552378389658010"</f>
        <v>1552378389658010</v>
      </c>
      <c r="C2148" t="s">
        <v>40</v>
      </c>
      <c r="D2148">
        <v>5.4129069999999997</v>
      </c>
      <c r="E2148">
        <v>0.4142576</v>
      </c>
      <c r="F2148" t="s">
        <v>63</v>
      </c>
      <c r="G2148">
        <v>-471.54579999999999</v>
      </c>
      <c r="H2148" s="1">
        <v>5.7619930000000001E-6</v>
      </c>
      <c r="I2148">
        <v>282.71039999999999</v>
      </c>
      <c r="J2148">
        <v>-440.4409</v>
      </c>
      <c r="K2148">
        <v>1.1099619999999999</v>
      </c>
      <c r="L2148">
        <v>286.48579999999998</v>
      </c>
      <c r="M2148">
        <v>-0.99977740000000004</v>
      </c>
      <c r="N2148">
        <v>0</v>
      </c>
      <c r="O2148">
        <v>1.545446E-2</v>
      </c>
      <c r="P2148">
        <v>-0.99381149999999996</v>
      </c>
      <c r="Q2148">
        <v>-3.051806E-2</v>
      </c>
      <c r="R2148">
        <v>0.1068057</v>
      </c>
      <c r="S2148">
        <v>-3.0543520000000002</v>
      </c>
      <c r="T2148">
        <v>-0.1079537</v>
      </c>
      <c r="U2148">
        <v>-0.36672969999999999</v>
      </c>
      <c r="V2148">
        <v>9.1428209999999996E-2</v>
      </c>
      <c r="W2148">
        <v>-1.6241169999999999E-2</v>
      </c>
      <c r="X2148">
        <v>0.99567919999999999</v>
      </c>
      <c r="Y2148">
        <v>-0.13445099999999999</v>
      </c>
      <c r="Z2148">
        <v>-2.9110680000000002E-3</v>
      </c>
      <c r="AA2148">
        <v>0.99091600000000002</v>
      </c>
      <c r="AB2148">
        <v>31</v>
      </c>
      <c r="AC2148">
        <v>-31.104899999999901</v>
      </c>
      <c r="AD2148">
        <v>-1.1099562380069901</v>
      </c>
      <c r="AE2148">
        <v>-3.7753999999999901</v>
      </c>
      <c r="AF2148">
        <v>-4.2503743340739604</v>
      </c>
      <c r="AG2148">
        <v>-1.1099562380069901</v>
      </c>
      <c r="AH2148">
        <v>31.003925425556901</v>
      </c>
      <c r="AI2148">
        <v>92.031358519051395</v>
      </c>
      <c r="AJ2148">
        <v>97.806103655589197</v>
      </c>
      <c r="AK2148">
        <v>31.3135925218353</v>
      </c>
      <c r="AL2148">
        <v>90.930591427081197</v>
      </c>
      <c r="AM2148">
        <v>84.753529681216307</v>
      </c>
      <c r="AN2148">
        <v>0.99999998124970602</v>
      </c>
    </row>
    <row r="2149" spans="1:40" x14ac:dyDescent="0.25">
      <c r="A2149" t="str">
        <f>"20190312161309690"</f>
        <v>20190312161309690</v>
      </c>
      <c r="B2149" t="str">
        <f>"1552378389688279"</f>
        <v>1552378389688279</v>
      </c>
      <c r="C2149" t="s">
        <v>40</v>
      </c>
      <c r="D2149">
        <v>5.2085369999999998</v>
      </c>
      <c r="E2149">
        <v>0.4133059</v>
      </c>
      <c r="F2149" t="s">
        <v>63</v>
      </c>
      <c r="G2149">
        <v>-471.84609999999998</v>
      </c>
      <c r="H2149" s="1">
        <v>5.6351270000000002E-6</v>
      </c>
      <c r="I2149">
        <v>282.78269999999998</v>
      </c>
      <c r="J2149">
        <v>-440.7518</v>
      </c>
      <c r="K2149">
        <v>1.109966</v>
      </c>
      <c r="L2149">
        <v>286.4907</v>
      </c>
      <c r="M2149">
        <v>-0.99977579999999999</v>
      </c>
      <c r="N2149">
        <v>0</v>
      </c>
      <c r="O2149">
        <v>1.555872E-2</v>
      </c>
      <c r="P2149">
        <v>-0.99373829999999996</v>
      </c>
      <c r="Q2149">
        <v>-3.061798E-2</v>
      </c>
      <c r="R2149">
        <v>0.1074553</v>
      </c>
      <c r="S2149">
        <v>-3.0540470000000002</v>
      </c>
      <c r="T2149">
        <v>-0.1079394</v>
      </c>
      <c r="U2149">
        <v>-0.36010740000000002</v>
      </c>
      <c r="V2149">
        <v>9.1975100000000004E-2</v>
      </c>
      <c r="W2149">
        <v>-1.6344979999999999E-2</v>
      </c>
      <c r="X2149">
        <v>0.99562720000000005</v>
      </c>
      <c r="Y2149">
        <v>-0.13244829999999999</v>
      </c>
      <c r="Z2149">
        <v>-2.879754E-3</v>
      </c>
      <c r="AA2149">
        <v>0.99118569999999995</v>
      </c>
      <c r="AB2149">
        <v>31</v>
      </c>
      <c r="AC2149">
        <v>-31.094299999999901</v>
      </c>
      <c r="AD2149">
        <v>-1.1099603648729901</v>
      </c>
      <c r="AE2149">
        <v>-3.7080000000000202</v>
      </c>
      <c r="AF2149">
        <v>-4.1861291192647299</v>
      </c>
      <c r="AG2149">
        <v>-1.1099603648729901</v>
      </c>
      <c r="AH2149">
        <v>30.993897646504699</v>
      </c>
      <c r="AI2149">
        <v>92.032573057505999</v>
      </c>
      <c r="AJ2149">
        <v>97.691993349861903</v>
      </c>
      <c r="AK2149">
        <v>31.295005677212401</v>
      </c>
      <c r="AL2149">
        <v>90.936540027880497</v>
      </c>
      <c r="AM2149">
        <v>84.722049825507199</v>
      </c>
      <c r="AN2149">
        <v>1.0000000493855199</v>
      </c>
    </row>
    <row r="2150" spans="1:40" x14ac:dyDescent="0.25">
      <c r="A2150" t="str">
        <f>"20190312161309712"</f>
        <v>20190312161309712</v>
      </c>
      <c r="B2150" t="str">
        <f>"1552378389707785"</f>
        <v>1552378389707785</v>
      </c>
      <c r="C2150" t="s">
        <v>40</v>
      </c>
      <c r="D2150">
        <v>5.3285159999999996</v>
      </c>
      <c r="E2150">
        <v>0.41253840000000003</v>
      </c>
      <c r="F2150" t="s">
        <v>63</v>
      </c>
      <c r="G2150">
        <v>-472.488</v>
      </c>
      <c r="H2150" s="1">
        <v>5.3424020000000004E-6</v>
      </c>
      <c r="I2150">
        <v>282.69009999999997</v>
      </c>
      <c r="J2150">
        <v>-441.06810000000002</v>
      </c>
      <c r="K2150">
        <v>1.1099680000000001</v>
      </c>
      <c r="L2150">
        <v>286.49579999999997</v>
      </c>
      <c r="M2150">
        <v>-0.99977439999999995</v>
      </c>
      <c r="N2150">
        <v>0</v>
      </c>
      <c r="O2150">
        <v>1.566441E-2</v>
      </c>
      <c r="P2150">
        <v>-0.99378129999999998</v>
      </c>
      <c r="Q2150">
        <v>-3.0151540000000001E-2</v>
      </c>
      <c r="R2150">
        <v>0.1071911</v>
      </c>
      <c r="S2150">
        <v>-3.0551759999999999</v>
      </c>
      <c r="T2150">
        <v>-0.1068535</v>
      </c>
      <c r="U2150">
        <v>-0.36587520000000001</v>
      </c>
      <c r="V2150">
        <v>9.1605110000000003E-2</v>
      </c>
      <c r="W2150">
        <v>-1.588088E-2</v>
      </c>
      <c r="X2150">
        <v>0.99566880000000002</v>
      </c>
      <c r="Y2150">
        <v>-0.13435610000000001</v>
      </c>
      <c r="Z2150">
        <v>-2.8863600000000001E-3</v>
      </c>
      <c r="AA2150">
        <v>0.9909289</v>
      </c>
      <c r="AB2150">
        <v>31</v>
      </c>
      <c r="AC2150">
        <v>-31.419899999999998</v>
      </c>
      <c r="AD2150">
        <v>-1.1099626575979999</v>
      </c>
      <c r="AE2150">
        <v>-3.8056999999999999</v>
      </c>
      <c r="AF2150">
        <v>-4.2921787104723599</v>
      </c>
      <c r="AG2150">
        <v>-1.1099626575979999</v>
      </c>
      <c r="AH2150">
        <v>31.317905017281799</v>
      </c>
      <c r="AI2150">
        <v>92.011032136709701</v>
      </c>
      <c r="AJ2150">
        <v>97.803877727297504</v>
      </c>
      <c r="AK2150">
        <v>31.630143690084299</v>
      </c>
      <c r="AL2150">
        <v>90.909945623783102</v>
      </c>
      <c r="AM2150">
        <v>84.7433807536746</v>
      </c>
      <c r="AN2150">
        <v>1.0000000289105599</v>
      </c>
    </row>
    <row r="2151" spans="1:40" x14ac:dyDescent="0.25">
      <c r="A2151" t="str">
        <f>"20190312161309735"</f>
        <v>20190312161309735</v>
      </c>
      <c r="B2151" t="str">
        <f>"1552378389728281"</f>
        <v>1552378389728281</v>
      </c>
      <c r="C2151" t="s">
        <v>40</v>
      </c>
      <c r="D2151">
        <v>5.3358569999999999</v>
      </c>
      <c r="E2151">
        <v>0.41181620000000002</v>
      </c>
      <c r="F2151" t="s">
        <v>63</v>
      </c>
      <c r="G2151">
        <v>-473.30130000000003</v>
      </c>
      <c r="H2151" s="1">
        <v>4.9708300000000003E-6</v>
      </c>
      <c r="I2151">
        <v>282.56560000000002</v>
      </c>
      <c r="J2151">
        <v>-441.38159999999999</v>
      </c>
      <c r="K2151">
        <v>1.1099680000000001</v>
      </c>
      <c r="L2151">
        <v>286.50080000000003</v>
      </c>
      <c r="M2151">
        <v>-0.99977260000000001</v>
      </c>
      <c r="N2151">
        <v>0</v>
      </c>
      <c r="O2151">
        <v>1.57697999999999E-2</v>
      </c>
      <c r="P2151">
        <v>-0.99377930000000003</v>
      </c>
      <c r="Q2151">
        <v>-3.0601730000000001E-2</v>
      </c>
      <c r="R2151">
        <v>0.1070801</v>
      </c>
      <c r="S2151">
        <v>-3.0557560000000001</v>
      </c>
      <c r="T2151">
        <v>-0.105226</v>
      </c>
      <c r="U2151">
        <v>-0.37258910000000001</v>
      </c>
      <c r="V2151">
        <v>9.1389049999999999E-2</v>
      </c>
      <c r="W2151">
        <v>-1.6334060000000001E-2</v>
      </c>
      <c r="X2151">
        <v>0.99568129999999999</v>
      </c>
      <c r="Y2151">
        <v>-0.13658529999999999</v>
      </c>
      <c r="Z2151">
        <v>-2.8833639999999998E-3</v>
      </c>
      <c r="AA2151">
        <v>0.99062410000000001</v>
      </c>
      <c r="AB2151">
        <v>31</v>
      </c>
      <c r="AC2151">
        <v>-31.919699999999999</v>
      </c>
      <c r="AD2151">
        <v>-1.10996302917</v>
      </c>
      <c r="AE2151">
        <v>-3.9352</v>
      </c>
      <c r="AF2151">
        <v>-4.4328497410320198</v>
      </c>
      <c r="AG2151">
        <v>-1.10996302917</v>
      </c>
      <c r="AH2151">
        <v>31.8157704580562</v>
      </c>
      <c r="AI2151">
        <v>91.978978044857996</v>
      </c>
      <c r="AJ2151">
        <v>97.931883294874893</v>
      </c>
      <c r="AK2151">
        <v>32.142268504142898</v>
      </c>
      <c r="AL2151">
        <v>90.935914315470299</v>
      </c>
      <c r="AM2151">
        <v>84.755775285860807</v>
      </c>
      <c r="AN2151">
        <v>1.00000000557283</v>
      </c>
    </row>
    <row r="2152" spans="1:40" x14ac:dyDescent="0.25">
      <c r="A2152" t="str">
        <f>"20190312161309757"</f>
        <v>20190312161309757</v>
      </c>
      <c r="B2152" t="str">
        <f>"1552378389747801"</f>
        <v>1552378389747801</v>
      </c>
      <c r="C2152" t="s">
        <v>40</v>
      </c>
      <c r="D2152">
        <v>5.3039170000000002</v>
      </c>
      <c r="E2152">
        <v>0.41119440000000002</v>
      </c>
      <c r="F2152" t="s">
        <v>63</v>
      </c>
      <c r="G2152">
        <v>-473.54880000000003</v>
      </c>
      <c r="H2152" s="1">
        <v>4.8567490000000003E-6</v>
      </c>
      <c r="I2152">
        <v>282.51609999999999</v>
      </c>
      <c r="J2152">
        <v>-441.68860000000001</v>
      </c>
      <c r="K2152">
        <v>1.1099669999999999</v>
      </c>
      <c r="L2152">
        <v>286.50569999999999</v>
      </c>
      <c r="M2152">
        <v>-0.99977099999999997</v>
      </c>
      <c r="N2152">
        <v>0</v>
      </c>
      <c r="O2152">
        <v>1.587299E-2</v>
      </c>
      <c r="P2152">
        <v>-0.99372499999999997</v>
      </c>
      <c r="Q2152">
        <v>-3.1214849999999999E-2</v>
      </c>
      <c r="R2152">
        <v>0.10740769999999999</v>
      </c>
      <c r="S2152">
        <v>-3.0563660000000001</v>
      </c>
      <c r="T2152">
        <v>-0.105463</v>
      </c>
      <c r="U2152">
        <v>-0.37860110000000002</v>
      </c>
      <c r="V2152">
        <v>9.1614860000000006E-2</v>
      </c>
      <c r="W2152">
        <v>-1.6951029999999999E-2</v>
      </c>
      <c r="X2152">
        <v>0.99565020000000004</v>
      </c>
      <c r="Y2152">
        <v>-0.1385815</v>
      </c>
      <c r="Z2152">
        <v>-2.9267859999999998E-3</v>
      </c>
      <c r="AA2152">
        <v>0.99034670000000002</v>
      </c>
      <c r="AB2152">
        <v>31</v>
      </c>
      <c r="AC2152">
        <v>-31.860199999999999</v>
      </c>
      <c r="AD2152">
        <v>-1.1099621432509901</v>
      </c>
      <c r="AE2152">
        <v>-3.98959999999999</v>
      </c>
      <c r="AF2152">
        <v>-4.4895011197758103</v>
      </c>
      <c r="AG2152">
        <v>-1.1099621432509901</v>
      </c>
      <c r="AH2152">
        <v>31.754905285153399</v>
      </c>
      <c r="AI2152">
        <v>91.982207340612504</v>
      </c>
      <c r="AJ2152">
        <v>98.047130814300502</v>
      </c>
      <c r="AK2152">
        <v>32.0898994378758</v>
      </c>
      <c r="AL2152">
        <v>90.971269023617296</v>
      </c>
      <c r="AM2152">
        <v>84.7427267392423</v>
      </c>
      <c r="AN2152">
        <v>0.99999997037545896</v>
      </c>
    </row>
    <row r="2153" spans="1:40" x14ac:dyDescent="0.25">
      <c r="A2153" t="str">
        <f>"20190312161309780"</f>
        <v>20190312161309780</v>
      </c>
      <c r="B2153" t="str">
        <f>"1552378389778058"</f>
        <v>1552378389778058</v>
      </c>
      <c r="C2153" t="s">
        <v>40</v>
      </c>
      <c r="D2153">
        <v>5.3077779999999999</v>
      </c>
      <c r="E2153">
        <v>0.41033239999999999</v>
      </c>
      <c r="F2153" t="s">
        <v>63</v>
      </c>
      <c r="G2153">
        <v>-473.67720000000003</v>
      </c>
      <c r="H2153" s="1">
        <v>4.7985199999999996E-6</v>
      </c>
      <c r="I2153">
        <v>282.50119999999998</v>
      </c>
      <c r="J2153">
        <v>-442.00630000000001</v>
      </c>
      <c r="K2153">
        <v>1.1099680000000001</v>
      </c>
      <c r="L2153">
        <v>286.51089999999999</v>
      </c>
      <c r="M2153">
        <v>-0.99976940000000003</v>
      </c>
      <c r="N2153">
        <v>0</v>
      </c>
      <c r="O2153">
        <v>1.5979520000000001E-2</v>
      </c>
      <c r="P2153">
        <v>-0.99367209999999995</v>
      </c>
      <c r="Q2153">
        <v>-3.1319380000000001E-2</v>
      </c>
      <c r="R2153">
        <v>0.1078663</v>
      </c>
      <c r="S2153">
        <v>-3.0569760000000001</v>
      </c>
      <c r="T2153">
        <v>-0.1060731</v>
      </c>
      <c r="U2153">
        <v>-0.38269039999999999</v>
      </c>
      <c r="V2153">
        <v>9.1968190000000005E-2</v>
      </c>
      <c r="W2153">
        <v>-1.7059609999999999E-2</v>
      </c>
      <c r="X2153">
        <v>0.99561580000000005</v>
      </c>
      <c r="Y2153">
        <v>-0.13996549999999999</v>
      </c>
      <c r="Z2153">
        <v>-2.970477E-3</v>
      </c>
      <c r="AA2153">
        <v>0.99015189999999997</v>
      </c>
      <c r="AB2153">
        <v>31</v>
      </c>
      <c r="AC2153">
        <v>-31.6709</v>
      </c>
      <c r="AD2153">
        <v>-1.1099632014799901</v>
      </c>
      <c r="AE2153">
        <v>-4.0096999999999996</v>
      </c>
      <c r="AF2153">
        <v>-4.50987381255187</v>
      </c>
      <c r="AG2153">
        <v>-1.1099632014799901</v>
      </c>
      <c r="AH2153">
        <v>31.564617270709899</v>
      </c>
      <c r="AI2153">
        <v>91.993733690233995</v>
      </c>
      <c r="AJ2153">
        <v>98.131245772516806</v>
      </c>
      <c r="AK2153">
        <v>31.9044831263598</v>
      </c>
      <c r="AL2153">
        <v>90.977491070558202</v>
      </c>
      <c r="AM2153">
        <v>84.722384025799002</v>
      </c>
      <c r="AN2153">
        <v>0.99999999973743403</v>
      </c>
    </row>
    <row r="2154" spans="1:40" x14ac:dyDescent="0.25">
      <c r="A2154" t="str">
        <f>"20190312161309802"</f>
        <v>20190312161309802</v>
      </c>
      <c r="B2154" t="str">
        <f>"1552378389797578"</f>
        <v>1552378389797578</v>
      </c>
      <c r="C2154" t="s">
        <v>40</v>
      </c>
      <c r="D2154">
        <v>5.2313400000000003</v>
      </c>
      <c r="E2154">
        <v>0.4097558</v>
      </c>
      <c r="F2154" t="s">
        <v>63</v>
      </c>
      <c r="G2154">
        <v>-473.80360000000002</v>
      </c>
      <c r="H2154" s="1">
        <v>4.7401910000000003E-6</v>
      </c>
      <c r="I2154">
        <v>282.47500000000002</v>
      </c>
      <c r="J2154">
        <v>-442.3152</v>
      </c>
      <c r="K2154">
        <v>1.1099699999999999</v>
      </c>
      <c r="L2154">
        <v>286.51600000000002</v>
      </c>
      <c r="M2154">
        <v>-0.99976779999999998</v>
      </c>
      <c r="N2154">
        <v>0</v>
      </c>
      <c r="O2154">
        <v>1.6083420000000001E-2</v>
      </c>
      <c r="P2154">
        <v>-0.99355819999999995</v>
      </c>
      <c r="Q2154">
        <v>-3.1835269999999999E-2</v>
      </c>
      <c r="R2154">
        <v>0.1087605</v>
      </c>
      <c r="S2154">
        <v>-3.0578609999999999</v>
      </c>
      <c r="T2154">
        <v>-0.1067424</v>
      </c>
      <c r="U2154">
        <v>-0.38812259999999998</v>
      </c>
      <c r="V2154">
        <v>9.2760490000000001E-2</v>
      </c>
      <c r="W2154">
        <v>-1.7580189999999999E-2</v>
      </c>
      <c r="X2154">
        <v>0.99553320000000001</v>
      </c>
      <c r="Y2154">
        <v>-0.141762</v>
      </c>
      <c r="Z2154">
        <v>-3.0228569999999999E-3</v>
      </c>
      <c r="AA2154">
        <v>0.9898962</v>
      </c>
      <c r="AB2154">
        <v>31</v>
      </c>
      <c r="AC2154">
        <v>-31.488399999999999</v>
      </c>
      <c r="AD2154">
        <v>-1.109965259809</v>
      </c>
      <c r="AE2154">
        <v>-4.04099999999994</v>
      </c>
      <c r="AF2154">
        <v>-4.5414188954464496</v>
      </c>
      <c r="AG2154">
        <v>-1.109965259809</v>
      </c>
      <c r="AH2154">
        <v>31.3809654893698</v>
      </c>
      <c r="AI2154">
        <v>92.004876137707697</v>
      </c>
      <c r="AJ2154">
        <v>98.2346125672819</v>
      </c>
      <c r="AK2154">
        <v>31.727299026341999</v>
      </c>
      <c r="AL2154">
        <v>91.007322620624606</v>
      </c>
      <c r="AM2154">
        <v>84.676738648540905</v>
      </c>
      <c r="AN2154">
        <v>0.99999996194385699</v>
      </c>
    </row>
    <row r="2155" spans="1:40" x14ac:dyDescent="0.25">
      <c r="A2155" t="str">
        <f>"20190312161309824"</f>
        <v>20190312161309824</v>
      </c>
      <c r="B2155" t="str">
        <f>"1552378389818077"</f>
        <v>1552378389818077</v>
      </c>
      <c r="C2155" t="s">
        <v>40</v>
      </c>
      <c r="D2155">
        <v>5.2080669999999998</v>
      </c>
      <c r="E2155">
        <v>0.40920050000000002</v>
      </c>
      <c r="F2155" t="s">
        <v>63</v>
      </c>
      <c r="G2155">
        <v>-473.86349999999999</v>
      </c>
      <c r="H2155" s="1">
        <v>4.7153630000000002E-6</v>
      </c>
      <c r="I2155">
        <v>282.49509999999998</v>
      </c>
      <c r="J2155">
        <v>-442.6234</v>
      </c>
      <c r="K2155">
        <v>1.1099680000000001</v>
      </c>
      <c r="L2155">
        <v>286.52100000000002</v>
      </c>
      <c r="M2155">
        <v>-0.99976620000000005</v>
      </c>
      <c r="N2155">
        <v>0</v>
      </c>
      <c r="O2155">
        <v>1.6187090000000001E-2</v>
      </c>
      <c r="P2155">
        <v>-0.99349580000000004</v>
      </c>
      <c r="Q2155">
        <v>-3.204042E-2</v>
      </c>
      <c r="R2155">
        <v>0.1092699</v>
      </c>
      <c r="S2155">
        <v>-3.0586549999999999</v>
      </c>
      <c r="T2155">
        <v>-0.10761279999999999</v>
      </c>
      <c r="U2155">
        <v>-0.3898315</v>
      </c>
      <c r="V2155">
        <v>9.3167749999999994E-2</v>
      </c>
      <c r="W2155">
        <v>-1.7789280000000001E-2</v>
      </c>
      <c r="X2155">
        <v>0.99549149999999997</v>
      </c>
      <c r="Y2155">
        <v>-0.1423749</v>
      </c>
      <c r="Z2155">
        <v>-3.060971E-3</v>
      </c>
      <c r="AA2155">
        <v>0.98980809999999997</v>
      </c>
      <c r="AB2155">
        <v>31</v>
      </c>
      <c r="AC2155">
        <v>-31.240099999999899</v>
      </c>
      <c r="AD2155">
        <v>-1.109963284637</v>
      </c>
      <c r="AE2155">
        <v>-4.0258999999999698</v>
      </c>
      <c r="AF2155">
        <v>-4.5254911106943299</v>
      </c>
      <c r="AG2155">
        <v>-1.109963284637</v>
      </c>
      <c r="AH2155">
        <v>31.132172973994901</v>
      </c>
      <c r="AI2155">
        <v>92.020696292827793</v>
      </c>
      <c r="AJ2155">
        <v>98.270801414224394</v>
      </c>
      <c r="AK2155">
        <v>31.478949829512299</v>
      </c>
      <c r="AL2155">
        <v>91.019304423163007</v>
      </c>
      <c r="AM2155">
        <v>84.653279633981995</v>
      </c>
      <c r="AN2155">
        <v>1.0000000073476101</v>
      </c>
    </row>
    <row r="2156" spans="1:40" x14ac:dyDescent="0.25">
      <c r="A2156" t="str">
        <f>"20190312161309847"</f>
        <v>20190312161309847</v>
      </c>
      <c r="B2156" t="str">
        <f>"1552378389837594"</f>
        <v>1552378389837594</v>
      </c>
      <c r="C2156" t="s">
        <v>40</v>
      </c>
      <c r="D2156">
        <v>5.2007719999999997</v>
      </c>
      <c r="E2156">
        <v>0.40866469999999999</v>
      </c>
      <c r="F2156" t="s">
        <v>63</v>
      </c>
      <c r="G2156">
        <v>-474.12419999999997</v>
      </c>
      <c r="H2156" s="1">
        <v>4.5982719999999997E-6</v>
      </c>
      <c r="I2156">
        <v>282.47809999999998</v>
      </c>
      <c r="J2156">
        <v>-442.92849999999999</v>
      </c>
      <c r="K2156">
        <v>1.1099669999999999</v>
      </c>
      <c r="L2156">
        <v>286.52609999999999</v>
      </c>
      <c r="M2156">
        <v>-0.9997646</v>
      </c>
      <c r="N2156">
        <v>0</v>
      </c>
      <c r="O2156">
        <v>1.628945E-2</v>
      </c>
      <c r="P2156">
        <v>-0.99347669999999999</v>
      </c>
      <c r="Q2156">
        <v>-3.183093E-2</v>
      </c>
      <c r="R2156">
        <v>0.109504</v>
      </c>
      <c r="S2156">
        <v>-3.0592959999999998</v>
      </c>
      <c r="T2156">
        <v>-0.1077975</v>
      </c>
      <c r="U2156">
        <v>-0.39263920000000002</v>
      </c>
      <c r="V2156">
        <v>9.3300259999999996E-2</v>
      </c>
      <c r="W2156">
        <v>-1.758316E-2</v>
      </c>
      <c r="X2156">
        <v>0.99548270000000005</v>
      </c>
      <c r="Y2156">
        <v>-0.143343</v>
      </c>
      <c r="Z2156">
        <v>-3.0859809999999998E-3</v>
      </c>
      <c r="AA2156">
        <v>0.98966829999999995</v>
      </c>
      <c r="AB2156">
        <v>31</v>
      </c>
      <c r="AC2156">
        <v>-31.195699999999899</v>
      </c>
      <c r="AD2156">
        <v>-1.1099624017280001</v>
      </c>
      <c r="AE2156">
        <v>-4.048</v>
      </c>
      <c r="AF2156">
        <v>-4.5500109434991503</v>
      </c>
      <c r="AG2156">
        <v>-1.1099624017280001</v>
      </c>
      <c r="AH2156">
        <v>31.086909847315901</v>
      </c>
      <c r="AI2156">
        <v>92.023345530392206</v>
      </c>
      <c r="AJ2156">
        <v>98.326926179908298</v>
      </c>
      <c r="AK2156">
        <v>31.437725426219298</v>
      </c>
      <c r="AL2156">
        <v>91.007492821376601</v>
      </c>
      <c r="AM2156">
        <v>84.645672244522402</v>
      </c>
      <c r="AN2156">
        <v>0.99999995601546998</v>
      </c>
    </row>
    <row r="2157" spans="1:40" x14ac:dyDescent="0.25">
      <c r="A2157" t="str">
        <f>"20190312161309868"</f>
        <v>20190312161309868</v>
      </c>
      <c r="B2157" t="str">
        <f>"1552378389858090"</f>
        <v>1552378389858090</v>
      </c>
      <c r="C2157" t="s">
        <v>40</v>
      </c>
      <c r="D2157">
        <v>5.2240979999999997</v>
      </c>
      <c r="E2157">
        <v>0.40811629999999999</v>
      </c>
      <c r="F2157" t="s">
        <v>63</v>
      </c>
      <c r="G2157">
        <v>-474.87380000000002</v>
      </c>
      <c r="H2157" s="1">
        <v>4.258231E-6</v>
      </c>
      <c r="I2157">
        <v>282.39100000000002</v>
      </c>
      <c r="J2157">
        <v>-443.23099999999999</v>
      </c>
      <c r="K2157">
        <v>1.1099680000000001</v>
      </c>
      <c r="L2157">
        <v>286.53109999999998</v>
      </c>
      <c r="M2157">
        <v>-0.99976290000000001</v>
      </c>
      <c r="N2157">
        <v>0</v>
      </c>
      <c r="O2157">
        <v>1.6390970000000001E-2</v>
      </c>
      <c r="P2157">
        <v>-0.99350450000000001</v>
      </c>
      <c r="Q2157">
        <v>-3.1763310000000003E-2</v>
      </c>
      <c r="R2157">
        <v>0.1092694</v>
      </c>
      <c r="S2157">
        <v>-3.0599370000000001</v>
      </c>
      <c r="T2157">
        <v>-0.10631980000000001</v>
      </c>
      <c r="U2157">
        <v>-0.39608759999999998</v>
      </c>
      <c r="V2157">
        <v>9.2964089999999999E-2</v>
      </c>
      <c r="W2157">
        <v>-1.7518260000000001E-2</v>
      </c>
      <c r="X2157">
        <v>0.99551529999999999</v>
      </c>
      <c r="Y2157">
        <v>-0.14451629999999999</v>
      </c>
      <c r="Z2157">
        <v>-3.0666600000000001E-3</v>
      </c>
      <c r="AA2157">
        <v>0.98949770000000004</v>
      </c>
      <c r="AB2157">
        <v>31</v>
      </c>
      <c r="AC2157">
        <v>-31.642800000000001</v>
      </c>
      <c r="AD2157">
        <v>-1.109963741769</v>
      </c>
      <c r="AE2157">
        <v>-4.1401000000000101</v>
      </c>
      <c r="AF2157">
        <v>-4.65262466209869</v>
      </c>
      <c r="AG2157">
        <v>-1.109963741769</v>
      </c>
      <c r="AH2157">
        <v>31.532534447741199</v>
      </c>
      <c r="AI2157">
        <v>91.994436894677406</v>
      </c>
      <c r="AJ2157">
        <v>98.393429367104403</v>
      </c>
      <c r="AK2157">
        <v>31.8932542154669</v>
      </c>
      <c r="AL2157">
        <v>91.003773746283997</v>
      </c>
      <c r="AM2157">
        <v>84.665026592281706</v>
      </c>
      <c r="AN2157">
        <v>0.99999996199852204</v>
      </c>
    </row>
    <row r="2158" spans="1:40" x14ac:dyDescent="0.25">
      <c r="A2158" t="str">
        <f>"20190312161309885"</f>
        <v>20190312161309885</v>
      </c>
      <c r="B2158" t="str">
        <f>"1552378389877609"</f>
        <v>1552378389877609</v>
      </c>
      <c r="C2158" t="s">
        <v>40</v>
      </c>
      <c r="D2158">
        <v>5.1785300000000003</v>
      </c>
      <c r="E2158">
        <v>0.40758539999999999</v>
      </c>
      <c r="F2158" t="s">
        <v>63</v>
      </c>
      <c r="G2158">
        <v>-475.43799999999999</v>
      </c>
      <c r="H2158" s="1">
        <v>4.000928E-6</v>
      </c>
      <c r="I2158">
        <v>282.30970000000002</v>
      </c>
      <c r="J2158">
        <v>-443.47059999999999</v>
      </c>
      <c r="K2158">
        <v>1.109969</v>
      </c>
      <c r="L2158">
        <v>286.5351</v>
      </c>
      <c r="M2158">
        <v>-0.99976160000000003</v>
      </c>
      <c r="N2158">
        <v>0</v>
      </c>
      <c r="O2158">
        <v>1.6471860000000001E-2</v>
      </c>
      <c r="P2158">
        <v>-0.99354339999999997</v>
      </c>
      <c r="Q2158">
        <v>-3.1908150000000003E-2</v>
      </c>
      <c r="R2158">
        <v>0.1088725</v>
      </c>
      <c r="S2158">
        <v>-3.0603639999999999</v>
      </c>
      <c r="T2158">
        <v>-0.10547049999999999</v>
      </c>
      <c r="U2158">
        <v>-0.40112300000000001</v>
      </c>
      <c r="V2158">
        <v>9.2485899999999996E-2</v>
      </c>
      <c r="W2158">
        <v>-1.7664940000000001E-2</v>
      </c>
      <c r="X2158">
        <v>0.99555729999999998</v>
      </c>
      <c r="Y2158">
        <v>-0.14618010000000001</v>
      </c>
      <c r="Z2158">
        <v>-3.072754E-3</v>
      </c>
      <c r="AA2158">
        <v>0.98925320000000005</v>
      </c>
      <c r="AB2158">
        <v>31</v>
      </c>
      <c r="AC2158">
        <v>-31.967400000000001</v>
      </c>
      <c r="AD2158">
        <v>-1.109964999072</v>
      </c>
      <c r="AE2158">
        <v>-4.2253999999999703</v>
      </c>
      <c r="AF2158">
        <v>-4.74581992628866</v>
      </c>
      <c r="AG2158">
        <v>-1.109964999072</v>
      </c>
      <c r="AH2158">
        <v>31.8557088935605</v>
      </c>
      <c r="AI2158">
        <v>91.973812951352897</v>
      </c>
      <c r="AJ2158">
        <v>98.473524693786601</v>
      </c>
      <c r="AK2158">
        <v>32.226402501414697</v>
      </c>
      <c r="AL2158">
        <v>91.012179138901203</v>
      </c>
      <c r="AM2158">
        <v>84.692534213445896</v>
      </c>
      <c r="AN2158">
        <v>1.0000000146936501</v>
      </c>
    </row>
    <row r="2159" spans="1:40" x14ac:dyDescent="0.25">
      <c r="A2159" t="str">
        <f>"20190312161309902"</f>
        <v>20190312161309902</v>
      </c>
      <c r="B2159" t="str">
        <f>"1552378389898106"</f>
        <v>1552378389898106</v>
      </c>
      <c r="C2159" t="s">
        <v>40</v>
      </c>
      <c r="D2159">
        <v>5.1138309999999896</v>
      </c>
      <c r="E2159">
        <v>0.4070415</v>
      </c>
      <c r="F2159" t="s">
        <v>63</v>
      </c>
      <c r="G2159">
        <v>-475.65410000000003</v>
      </c>
      <c r="H2159" s="1">
        <v>3.9006639999999996E-6</v>
      </c>
      <c r="I2159">
        <v>282.25920000000002</v>
      </c>
      <c r="J2159">
        <v>-443.69889999999998</v>
      </c>
      <c r="K2159">
        <v>1.1099680000000001</v>
      </c>
      <c r="L2159">
        <v>286.53899999999999</v>
      </c>
      <c r="M2159">
        <v>-0.99976050000000005</v>
      </c>
      <c r="N2159">
        <v>0</v>
      </c>
      <c r="O2159">
        <v>1.654829E-2</v>
      </c>
      <c r="P2159">
        <v>-0.99357519999999999</v>
      </c>
      <c r="Q2159">
        <v>-3.2001639999999998E-2</v>
      </c>
      <c r="R2159">
        <v>0.1085559</v>
      </c>
      <c r="S2159">
        <v>-3.0606990000000001</v>
      </c>
      <c r="T2159">
        <v>-0.1055591</v>
      </c>
      <c r="U2159">
        <v>-0.40664670000000003</v>
      </c>
      <c r="V2159">
        <v>9.2092690000000005E-2</v>
      </c>
      <c r="W2159">
        <v>-1.7760379999999999E-2</v>
      </c>
      <c r="X2159">
        <v>0.99559209999999998</v>
      </c>
      <c r="Y2159">
        <v>-0.14799499999999999</v>
      </c>
      <c r="Z2159">
        <v>-3.1084160000000001E-3</v>
      </c>
      <c r="AA2159">
        <v>0.98898319999999995</v>
      </c>
      <c r="AB2159">
        <v>31</v>
      </c>
      <c r="AC2159">
        <v>-31.955200000000001</v>
      </c>
      <c r="AD2159">
        <v>-1.109964099336</v>
      </c>
      <c r="AE2159">
        <v>-4.2797999999999599</v>
      </c>
      <c r="AF2159">
        <v>-4.8023799208018998</v>
      </c>
      <c r="AG2159">
        <v>-1.109964099336</v>
      </c>
      <c r="AH2159">
        <v>31.842251419347701</v>
      </c>
      <c r="AI2159">
        <v>91.974112939280801</v>
      </c>
      <c r="AJ2159">
        <v>98.576588360541706</v>
      </c>
      <c r="AK2159">
        <v>32.221481167979903</v>
      </c>
      <c r="AL2159">
        <v>91.017648257766496</v>
      </c>
      <c r="AM2159">
        <v>84.715154898982902</v>
      </c>
      <c r="AN2159">
        <v>1.0000000621157901</v>
      </c>
    </row>
    <row r="2160" spans="1:40" x14ac:dyDescent="0.25">
      <c r="A2160" t="str">
        <f>"20190312161309926"</f>
        <v>20190312161309926</v>
      </c>
      <c r="B2160" t="str">
        <f>"1552378389917626"</f>
        <v>1552378389917626</v>
      </c>
      <c r="C2160" t="s">
        <v>40</v>
      </c>
      <c r="D2160">
        <v>4.8530470000000001</v>
      </c>
      <c r="E2160">
        <v>0.4063618</v>
      </c>
      <c r="F2160" t="s">
        <v>63</v>
      </c>
      <c r="G2160">
        <v>-476.04340000000002</v>
      </c>
      <c r="H2160" s="1">
        <v>3.7216909999999998E-6</v>
      </c>
      <c r="I2160">
        <v>282.18669999999997</v>
      </c>
      <c r="J2160">
        <v>-444.02030000000002</v>
      </c>
      <c r="K2160">
        <v>1.10996299999999</v>
      </c>
      <c r="L2160">
        <v>286.5444</v>
      </c>
      <c r="M2160">
        <v>-0.9997587</v>
      </c>
      <c r="N2160">
        <v>0</v>
      </c>
      <c r="O2160">
        <v>1.665666E-2</v>
      </c>
      <c r="P2160">
        <v>-0.99354109999999995</v>
      </c>
      <c r="Q2160">
        <v>-3.2497600000000001E-2</v>
      </c>
      <c r="R2160">
        <v>0.108719899999999</v>
      </c>
      <c r="S2160">
        <v>-3.061035</v>
      </c>
      <c r="T2160">
        <v>-0.1050454</v>
      </c>
      <c r="U2160">
        <v>-0.41189579999999998</v>
      </c>
      <c r="V2160">
        <v>9.2149460000000002E-2</v>
      </c>
      <c r="W2160">
        <v>-1.8260100000000001E-2</v>
      </c>
      <c r="X2160">
        <v>0.99557779999999996</v>
      </c>
      <c r="Y2160">
        <v>-0.14975379999999899</v>
      </c>
      <c r="Z2160">
        <v>-3.1263530000000001E-3</v>
      </c>
      <c r="AA2160">
        <v>0.9887184</v>
      </c>
      <c r="AB2160">
        <v>31</v>
      </c>
      <c r="AC2160">
        <v>-32.023099999999999</v>
      </c>
      <c r="AD2160">
        <v>-1.10995927830899</v>
      </c>
      <c r="AE2160">
        <v>-4.3577000000000199</v>
      </c>
      <c r="AF2160">
        <v>-4.8847860398344096</v>
      </c>
      <c r="AG2160">
        <v>-1.10995927830899</v>
      </c>
      <c r="AH2160">
        <v>31.908426502638999</v>
      </c>
      <c r="AI2160">
        <v>91.969350001685896</v>
      </c>
      <c r="AJ2160">
        <v>98.703703214962601</v>
      </c>
      <c r="AK2160">
        <v>32.299238785593403</v>
      </c>
      <c r="AL2160">
        <v>91.046284755394396</v>
      </c>
      <c r="AM2160">
        <v>84.711840025741196</v>
      </c>
      <c r="AN2160">
        <v>1.00000005504156</v>
      </c>
    </row>
    <row r="2161" spans="1:40" x14ac:dyDescent="0.25">
      <c r="A2161" t="str">
        <f>"20190312161309946"</f>
        <v>20190312161309946</v>
      </c>
      <c r="B2161" t="str">
        <f>"1552378389938122"</f>
        <v>1552378389938122</v>
      </c>
      <c r="C2161" t="s">
        <v>40</v>
      </c>
      <c r="D2161">
        <v>5.565429</v>
      </c>
      <c r="E2161">
        <v>0.40575899999999998</v>
      </c>
      <c r="F2161" t="s">
        <v>63</v>
      </c>
      <c r="G2161">
        <v>-476.0489</v>
      </c>
      <c r="H2161" s="1">
        <v>3.7190849999999999E-6</v>
      </c>
      <c r="I2161">
        <v>282.18439999999998</v>
      </c>
      <c r="J2161">
        <v>-444.30680000000001</v>
      </c>
      <c r="K2161">
        <v>1.1099619999999999</v>
      </c>
      <c r="L2161">
        <v>286.54930000000002</v>
      </c>
      <c r="M2161">
        <v>-0.99975709999999995</v>
      </c>
      <c r="N2161">
        <v>0</v>
      </c>
      <c r="O2161">
        <v>1.6752940000000001E-2</v>
      </c>
      <c r="P2161">
        <v>-0.99346420000000002</v>
      </c>
      <c r="Q2161">
        <v>-3.2553329999999998E-2</v>
      </c>
      <c r="R2161">
        <v>0.10940469999999999</v>
      </c>
      <c r="S2161">
        <v>-3.0616460000000001</v>
      </c>
      <c r="T2161">
        <v>-0.1061021</v>
      </c>
      <c r="U2161">
        <v>-0.4167786</v>
      </c>
      <c r="V2161">
        <v>9.2739390000000005E-2</v>
      </c>
      <c r="W2161">
        <v>-1.8319789999999999E-2</v>
      </c>
      <c r="X2161">
        <v>0.99552180000000001</v>
      </c>
      <c r="Y2161">
        <v>-0.15136830000000001</v>
      </c>
      <c r="Z2161">
        <v>-3.1879859999999999E-3</v>
      </c>
      <c r="AA2161">
        <v>0.98847229999999997</v>
      </c>
      <c r="AB2161">
        <v>31</v>
      </c>
      <c r="AC2161">
        <v>-31.742099999999901</v>
      </c>
      <c r="AD2161">
        <v>-1.1099582809149999</v>
      </c>
      <c r="AE2161">
        <v>-4.3649000000000298</v>
      </c>
      <c r="AF2161">
        <v>-4.8902466994997598</v>
      </c>
      <c r="AG2161">
        <v>-1.1099582809149999</v>
      </c>
      <c r="AH2161">
        <v>31.626557910474801</v>
      </c>
      <c r="AI2161">
        <v>91.986427272238103</v>
      </c>
      <c r="AJ2161">
        <v>98.789732596764495</v>
      </c>
      <c r="AK2161">
        <v>32.021644015133901</v>
      </c>
      <c r="AL2161">
        <v>91.049705441926093</v>
      </c>
      <c r="AM2161">
        <v>84.677881969505606</v>
      </c>
      <c r="AN2161">
        <v>0.99999993171922497</v>
      </c>
    </row>
    <row r="2162" spans="1:40" x14ac:dyDescent="0.25">
      <c r="A2162" t="str">
        <f>"20190312161309970"</f>
        <v>20190312161309970</v>
      </c>
      <c r="B2162" t="str">
        <f>"1552378389957641"</f>
        <v>1552378389957641</v>
      </c>
      <c r="C2162" t="s">
        <v>40</v>
      </c>
      <c r="D2162">
        <v>4.9530500000000002</v>
      </c>
      <c r="E2162">
        <v>0.40575899999999998</v>
      </c>
      <c r="F2162" t="s">
        <v>63</v>
      </c>
      <c r="G2162">
        <v>-476.61680000000001</v>
      </c>
      <c r="H2162" s="1">
        <v>3.4619050000000002E-6</v>
      </c>
      <c r="I2162">
        <v>282.1232</v>
      </c>
      <c r="J2162">
        <v>-444.61739999999998</v>
      </c>
      <c r="K2162">
        <v>1.1099699999999999</v>
      </c>
      <c r="L2162">
        <v>286.55459999999999</v>
      </c>
      <c r="M2162">
        <v>-0.99975539999999996</v>
      </c>
      <c r="N2162">
        <v>0</v>
      </c>
      <c r="O2162">
        <v>1.6857259999999999E-2</v>
      </c>
      <c r="P2162">
        <v>-0.99341679999999999</v>
      </c>
      <c r="Q2162">
        <v>-3.2264960000000002E-2</v>
      </c>
      <c r="R2162">
        <v>0.109918</v>
      </c>
      <c r="S2162">
        <v>-3.0625</v>
      </c>
      <c r="T2162">
        <v>-0.10520739999999899</v>
      </c>
      <c r="U2162">
        <v>-0.41952509999999998</v>
      </c>
      <c r="V2162">
        <v>9.3149679999999999E-2</v>
      </c>
      <c r="W2162">
        <v>-1.8035349999999999E-2</v>
      </c>
      <c r="X2162">
        <v>0.99548879999999995</v>
      </c>
      <c r="Y2162">
        <v>-0.152306</v>
      </c>
      <c r="Z2162">
        <v>-3.1796509999999999E-3</v>
      </c>
      <c r="AA2162">
        <v>0.98832830000000005</v>
      </c>
      <c r="AB2162">
        <v>31</v>
      </c>
      <c r="AC2162">
        <v>-31.999400000000001</v>
      </c>
      <c r="AD2162">
        <v>-1.1099665380949999</v>
      </c>
      <c r="AE2162">
        <v>-4.4313999999999902</v>
      </c>
      <c r="AF2162">
        <v>-4.96438696354803</v>
      </c>
      <c r="AG2162">
        <v>-1.1099665380949999</v>
      </c>
      <c r="AH2162">
        <v>31.882504191613101</v>
      </c>
      <c r="AI2162">
        <v>91.970184501763399</v>
      </c>
      <c r="AJ2162">
        <v>98.850388047740495</v>
      </c>
      <c r="AK2162">
        <v>32.285774532567203</v>
      </c>
      <c r="AL2162">
        <v>91.0334054202023</v>
      </c>
      <c r="AM2162">
        <v>84.6542962141244</v>
      </c>
      <c r="AN2162">
        <v>1.00000004382958</v>
      </c>
    </row>
    <row r="2163" spans="1:40" x14ac:dyDescent="0.25">
      <c r="A2163" t="str">
        <f>"20190312161309992"</f>
        <v>20190312161309992</v>
      </c>
      <c r="B2163" t="str">
        <f>"1552378389987898"</f>
        <v>1552378389987898</v>
      </c>
      <c r="C2163" t="s">
        <v>40</v>
      </c>
      <c r="D2163">
        <v>5.0017440000000004</v>
      </c>
      <c r="E2163">
        <v>0.52357619999999905</v>
      </c>
      <c r="F2163" t="s">
        <v>63</v>
      </c>
      <c r="G2163">
        <v>-477.01429999999999</v>
      </c>
      <c r="H2163" s="1">
        <v>3.2865280000000001E-6</v>
      </c>
      <c r="I2163">
        <v>282.13380000000001</v>
      </c>
      <c r="J2163">
        <v>-444.93369999999999</v>
      </c>
      <c r="K2163">
        <v>1.1099730000000001</v>
      </c>
      <c r="L2163">
        <v>286.56009999999998</v>
      </c>
      <c r="M2163">
        <v>-0.99975369999999997</v>
      </c>
      <c r="N2163">
        <v>0</v>
      </c>
      <c r="O2163">
        <v>1.696361E-2</v>
      </c>
      <c r="P2163">
        <v>-0.99331210000000003</v>
      </c>
      <c r="Q2163">
        <v>-3.1869670000000003E-2</v>
      </c>
      <c r="R2163">
        <v>0.1109768</v>
      </c>
      <c r="S2163">
        <v>-3.0627439999999999</v>
      </c>
      <c r="T2163">
        <v>-0.1049341</v>
      </c>
      <c r="U2163">
        <v>-0.41793819999999998</v>
      </c>
      <c r="V2163">
        <v>9.410462E-2</v>
      </c>
      <c r="W2163">
        <v>-1.764493E-2</v>
      </c>
      <c r="X2163">
        <v>0.99540589999999995</v>
      </c>
      <c r="Y2163">
        <v>-0.15189849999999999</v>
      </c>
      <c r="Z2163">
        <v>-3.167937E-3</v>
      </c>
      <c r="AA2163">
        <v>0.98839100000000002</v>
      </c>
      <c r="AB2163">
        <v>31</v>
      </c>
      <c r="AC2163">
        <v>-32.080599999999997</v>
      </c>
      <c r="AD2163">
        <v>-1.1099697134719999</v>
      </c>
      <c r="AE2163">
        <v>-4.4262999999999604</v>
      </c>
      <c r="AF2163">
        <v>-4.9640898834712601</v>
      </c>
      <c r="AG2163">
        <v>-1.1099697134719999</v>
      </c>
      <c r="AH2163">
        <v>31.963340084677299</v>
      </c>
      <c r="AI2163">
        <v>91.965331582731494</v>
      </c>
      <c r="AJ2163">
        <v>98.827838291529901</v>
      </c>
      <c r="AK2163">
        <v>32.3655577814556</v>
      </c>
      <c r="AL2163">
        <v>91.011032522496194</v>
      </c>
      <c r="AM2163">
        <v>84.599369072404897</v>
      </c>
      <c r="AN2163">
        <v>0.999999964407428</v>
      </c>
    </row>
    <row r="2164" spans="1:40" x14ac:dyDescent="0.25">
      <c r="A2164" t="str">
        <f>"20190312161310016"</f>
        <v>20190312161310016</v>
      </c>
      <c r="B2164" t="str">
        <f>"1552378390007417"</f>
        <v>1552378390007417</v>
      </c>
      <c r="C2164" t="s">
        <v>40</v>
      </c>
      <c r="D2164">
        <v>4.8941949999999999</v>
      </c>
      <c r="E2164">
        <v>0.52731159999999999</v>
      </c>
      <c r="F2164" t="s">
        <v>43</v>
      </c>
      <c r="G2164">
        <v>-445.81049999999999</v>
      </c>
      <c r="H2164">
        <v>0.90599169999999996</v>
      </c>
      <c r="I2164">
        <v>286.7097</v>
      </c>
      <c r="J2164">
        <v>-445.24549999999999</v>
      </c>
      <c r="K2164">
        <v>1.109974</v>
      </c>
      <c r="L2164">
        <v>286.56549999999999</v>
      </c>
      <c r="M2164">
        <v>-0.99975190000000003</v>
      </c>
      <c r="N2164">
        <v>0</v>
      </c>
      <c r="O2164">
        <v>1.7068420000000001E-2</v>
      </c>
      <c r="P2164">
        <v>-0.99322350000000004</v>
      </c>
      <c r="Q2164">
        <v>-3.1833590000000002E-2</v>
      </c>
      <c r="R2164">
        <v>0.1117754</v>
      </c>
      <c r="S2164">
        <v>-2.942291</v>
      </c>
      <c r="T2164">
        <v>-0.68458319999999995</v>
      </c>
      <c r="U2164">
        <v>0.50061040000000001</v>
      </c>
      <c r="V2164">
        <v>9.480007E-2</v>
      </c>
      <c r="W2164">
        <v>-1.761339E-2</v>
      </c>
      <c r="X2164">
        <v>0.99534049999999996</v>
      </c>
      <c r="Y2164">
        <v>0.1474953</v>
      </c>
      <c r="Z2164">
        <v>1.2925590000000001E-2</v>
      </c>
      <c r="AA2164">
        <v>0.98897829999999998</v>
      </c>
      <c r="AB2164">
        <v>31</v>
      </c>
      <c r="AC2164">
        <v>-0.56499999999999695</v>
      </c>
      <c r="AD2164">
        <v>-0.20398230000000001</v>
      </c>
      <c r="AE2164">
        <v>0.14420000000001201</v>
      </c>
      <c r="AF2164">
        <v>0.119866085367742</v>
      </c>
      <c r="AG2164">
        <v>-0.20398230000000001</v>
      </c>
      <c r="AH2164">
        <v>0.50551792817187002</v>
      </c>
      <c r="AI2164">
        <v>111.436213662469</v>
      </c>
      <c r="AJ2164">
        <v>76.660642757236801</v>
      </c>
      <c r="AK2164">
        <v>0.55814427600563798</v>
      </c>
      <c r="AL2164">
        <v>91.009225098902704</v>
      </c>
      <c r="AM2164">
        <v>84.559340712017303</v>
      </c>
      <c r="AN2164">
        <v>0.999999997859773</v>
      </c>
    </row>
    <row r="2165" spans="1:40" x14ac:dyDescent="0.25">
      <c r="A2165" t="str">
        <f>"20190312161310036"</f>
        <v>20190312161310036</v>
      </c>
      <c r="B2165" t="str">
        <f>"1552378390027914"</f>
        <v>1552378390027914</v>
      </c>
      <c r="C2165" t="s">
        <v>40</v>
      </c>
      <c r="D2165">
        <v>4.8710610000000001</v>
      </c>
      <c r="E2165">
        <v>0.52643169999999995</v>
      </c>
      <c r="F2165" t="s">
        <v>43</v>
      </c>
      <c r="G2165">
        <v>-446.08420000000001</v>
      </c>
      <c r="H2165">
        <v>0.90599430000000003</v>
      </c>
      <c r="I2165">
        <v>286.71730000000002</v>
      </c>
      <c r="J2165">
        <v>-445.53539999999998</v>
      </c>
      <c r="K2165">
        <v>1.109974</v>
      </c>
      <c r="L2165">
        <v>286.57060000000001</v>
      </c>
      <c r="M2165">
        <v>-0.99975020000000003</v>
      </c>
      <c r="N2165">
        <v>0</v>
      </c>
      <c r="O2165">
        <v>1.716618E-2</v>
      </c>
      <c r="P2165">
        <v>-0.99311890000000003</v>
      </c>
      <c r="Q2165">
        <v>-3.1916269999999997E-2</v>
      </c>
      <c r="R2165">
        <v>0.1126757</v>
      </c>
      <c r="S2165">
        <v>-2.9378359999999999</v>
      </c>
      <c r="T2165">
        <v>-0.71450209999999903</v>
      </c>
      <c r="U2165">
        <v>0.53091429999999995</v>
      </c>
      <c r="V2165">
        <v>9.5604679999999997E-2</v>
      </c>
      <c r="W2165">
        <v>-1.770058E-2</v>
      </c>
      <c r="X2165">
        <v>0.99526199999999998</v>
      </c>
      <c r="Y2165">
        <v>0.15697</v>
      </c>
      <c r="Z2165">
        <v>1.4587030000000001E-2</v>
      </c>
      <c r="AA2165">
        <v>0.98749569999999998</v>
      </c>
      <c r="AB2165">
        <v>31</v>
      </c>
      <c r="AC2165">
        <v>-0.54880000000002804</v>
      </c>
      <c r="AD2165">
        <v>-0.20397969999999899</v>
      </c>
      <c r="AE2165">
        <v>0.14670000000000899</v>
      </c>
      <c r="AF2165">
        <v>0.121580586648598</v>
      </c>
      <c r="AG2165">
        <v>-0.20397969999999899</v>
      </c>
      <c r="AH2165">
        <v>0.48828100256767598</v>
      </c>
      <c r="AI2165">
        <v>112.06631079562401</v>
      </c>
      <c r="AJ2165">
        <v>76.017847455481999</v>
      </c>
      <c r="AK2165">
        <v>0.54296214834038103</v>
      </c>
      <c r="AL2165">
        <v>91.014221487574403</v>
      </c>
      <c r="AM2165">
        <v>84.513013929125293</v>
      </c>
      <c r="AN2165">
        <v>1.00000000700711</v>
      </c>
    </row>
    <row r="2166" spans="1:40" x14ac:dyDescent="0.25">
      <c r="A2166" t="str">
        <f>"20190312161310059"</f>
        <v>20190312161310059</v>
      </c>
      <c r="B2166" t="str">
        <f>"1552378390047434"</f>
        <v>1552378390047434</v>
      </c>
      <c r="C2166" t="s">
        <v>40</v>
      </c>
      <c r="D2166">
        <v>4.8431129999999998</v>
      </c>
      <c r="E2166">
        <v>0.52615880000000004</v>
      </c>
      <c r="F2166" t="s">
        <v>43</v>
      </c>
      <c r="G2166">
        <v>-446.36320000000001</v>
      </c>
      <c r="H2166">
        <v>0.91947520000000005</v>
      </c>
      <c r="I2166">
        <v>286.71980000000002</v>
      </c>
      <c r="J2166">
        <v>-445.84320000000002</v>
      </c>
      <c r="K2166">
        <v>1.1099760000000001</v>
      </c>
      <c r="L2166">
        <v>286.57600000000002</v>
      </c>
      <c r="M2166">
        <v>-0.99974859999999999</v>
      </c>
      <c r="N2166">
        <v>0</v>
      </c>
      <c r="O2166">
        <v>1.726985E-2</v>
      </c>
      <c r="P2166">
        <v>-0.99307849999999998</v>
      </c>
      <c r="Q2166">
        <v>-3.1719150000000002E-2</v>
      </c>
      <c r="R2166">
        <v>0.1130901</v>
      </c>
      <c r="S2166">
        <v>-2.9391479999999999</v>
      </c>
      <c r="T2166">
        <v>-0.67652109999999999</v>
      </c>
      <c r="U2166">
        <v>0.52783199999999997</v>
      </c>
      <c r="V2166">
        <v>9.5916719999999997E-2</v>
      </c>
      <c r="W2166">
        <v>-1.7507200000000001E-2</v>
      </c>
      <c r="X2166">
        <v>0.99523539999999999</v>
      </c>
      <c r="Y2166">
        <v>0.15621470000000001</v>
      </c>
      <c r="Z2166">
        <v>1.371825E-2</v>
      </c>
      <c r="AA2166">
        <v>0.9876279</v>
      </c>
      <c r="AB2166">
        <v>31</v>
      </c>
      <c r="AC2166">
        <v>-0.51999999999998103</v>
      </c>
      <c r="AD2166">
        <v>-0.1905008</v>
      </c>
      <c r="AE2166">
        <v>0.14380000000005499</v>
      </c>
      <c r="AF2166">
        <v>0.11985432719391199</v>
      </c>
      <c r="AG2166">
        <v>-0.1905008</v>
      </c>
      <c r="AH2166">
        <v>0.464494661428967</v>
      </c>
      <c r="AI2166">
        <v>111.658905036699</v>
      </c>
      <c r="AJ2166">
        <v>75.531471045724004</v>
      </c>
      <c r="AK2166">
        <v>0.51615007996100903</v>
      </c>
      <c r="AL2166">
        <v>91.003139909262501</v>
      </c>
      <c r="AM2166">
        <v>84.495068793473493</v>
      </c>
      <c r="AN2166">
        <v>1.00000001032027</v>
      </c>
    </row>
    <row r="2167" spans="1:40" x14ac:dyDescent="0.25">
      <c r="A2167" t="str">
        <f>"20190312161310083"</f>
        <v>20190312161310083</v>
      </c>
      <c r="B2167" t="str">
        <f>"1552378390067931"</f>
        <v>1552378390067931</v>
      </c>
      <c r="C2167" t="s">
        <v>40</v>
      </c>
      <c r="D2167">
        <v>4.8261149999999997</v>
      </c>
      <c r="E2167">
        <v>0.52486750000000004</v>
      </c>
      <c r="F2167" t="s">
        <v>43</v>
      </c>
      <c r="G2167">
        <v>-446.64010000000002</v>
      </c>
      <c r="H2167">
        <v>0.92854550000000002</v>
      </c>
      <c r="I2167">
        <v>286.71910000000003</v>
      </c>
      <c r="J2167">
        <v>-446.1551</v>
      </c>
      <c r="K2167">
        <v>1.1099749999999999</v>
      </c>
      <c r="L2167">
        <v>286.58150000000001</v>
      </c>
      <c r="M2167">
        <v>-0.99974689999999999</v>
      </c>
      <c r="N2167">
        <v>0</v>
      </c>
      <c r="O2167">
        <v>1.7374770000000001E-2</v>
      </c>
      <c r="P2167">
        <v>-0.99300460000000002</v>
      </c>
      <c r="Q2167">
        <v>-3.1589590000000001E-2</v>
      </c>
      <c r="R2167">
        <v>0.113774</v>
      </c>
      <c r="S2167">
        <v>-2.9395449999999999</v>
      </c>
      <c r="T2167">
        <v>-0.66924910000000004</v>
      </c>
      <c r="U2167">
        <v>0.52706909999999996</v>
      </c>
      <c r="V2167">
        <v>9.6497470000000002E-2</v>
      </c>
      <c r="W2167">
        <v>-1.7381919999999999E-2</v>
      </c>
      <c r="X2167">
        <v>0.99518139999999999</v>
      </c>
      <c r="Y2167">
        <v>0.15592439999999999</v>
      </c>
      <c r="Z2167">
        <v>1.351717E-2</v>
      </c>
      <c r="AA2167">
        <v>0.98767649999999996</v>
      </c>
      <c r="AB2167">
        <v>31</v>
      </c>
      <c r="AC2167">
        <v>-0.48500000000001298</v>
      </c>
      <c r="AD2167">
        <v>-0.18142949999999899</v>
      </c>
      <c r="AE2167">
        <v>0.13760000000002001</v>
      </c>
      <c r="AF2167">
        <v>0.114342810103126</v>
      </c>
      <c r="AG2167">
        <v>-0.18142949999999899</v>
      </c>
      <c r="AH2167">
        <v>0.43144091750747998</v>
      </c>
      <c r="AI2167">
        <v>112.1210859581</v>
      </c>
      <c r="AJ2167">
        <v>75.156412093271896</v>
      </c>
      <c r="AK2167">
        <v>0.48180100351932198</v>
      </c>
      <c r="AL2167">
        <v>90.995960855867907</v>
      </c>
      <c r="AM2167">
        <v>84.461645871488599</v>
      </c>
      <c r="AN2167">
        <v>0.99999995588262203</v>
      </c>
    </row>
    <row r="2168" spans="1:40" x14ac:dyDescent="0.25">
      <c r="A2168" t="str">
        <f>"20190312161310105"</f>
        <v>20190312161310105</v>
      </c>
      <c r="B2168" t="str">
        <f>"1552378390098190"</f>
        <v>1552378390098190</v>
      </c>
      <c r="C2168" t="s">
        <v>40</v>
      </c>
      <c r="D2168">
        <v>4.9243439999999996</v>
      </c>
      <c r="E2168">
        <v>0.52364549999999999</v>
      </c>
      <c r="F2168" t="s">
        <v>43</v>
      </c>
      <c r="G2168">
        <v>-446.91789999999997</v>
      </c>
      <c r="H2168">
        <v>0.93990589999999996</v>
      </c>
      <c r="I2168">
        <v>286.71660000000003</v>
      </c>
      <c r="J2168">
        <v>-446.46190000000001</v>
      </c>
      <c r="K2168">
        <v>1.109974</v>
      </c>
      <c r="L2168">
        <v>286.58690000000001</v>
      </c>
      <c r="M2168">
        <v>-0.99974499999999999</v>
      </c>
      <c r="N2168">
        <v>0</v>
      </c>
      <c r="O2168">
        <v>1.747843E-2</v>
      </c>
      <c r="P2168">
        <v>-0.99290599999999996</v>
      </c>
      <c r="Q2168">
        <v>-3.150675E-2</v>
      </c>
      <c r="R2168">
        <v>0.114651</v>
      </c>
      <c r="S2168">
        <v>-2.9407350000000001</v>
      </c>
      <c r="T2168">
        <v>-0.65566590000000002</v>
      </c>
      <c r="U2168">
        <v>0.51934809999999998</v>
      </c>
      <c r="V2168">
        <v>9.7272869999999997E-2</v>
      </c>
      <c r="W2168">
        <v>-1.730363E-2</v>
      </c>
      <c r="X2168">
        <v>0.99510730000000003</v>
      </c>
      <c r="Y2168">
        <v>0.1534372</v>
      </c>
      <c r="Z2168">
        <v>1.295254E-2</v>
      </c>
      <c r="AA2168">
        <v>0.98807350000000005</v>
      </c>
      <c r="AB2168">
        <v>31</v>
      </c>
      <c r="AC2168">
        <v>-0.45599999999995999</v>
      </c>
      <c r="AD2168">
        <v>-0.170068099999999</v>
      </c>
      <c r="AE2168">
        <v>0.129700000000013</v>
      </c>
      <c r="AF2168">
        <v>0.107832677442131</v>
      </c>
      <c r="AG2168">
        <v>-0.170068099999999</v>
      </c>
      <c r="AH2168">
        <v>0.40595668028674098</v>
      </c>
      <c r="AI2168">
        <v>112.04258682071099</v>
      </c>
      <c r="AJ2168">
        <v>75.124260749880307</v>
      </c>
      <c r="AK2168">
        <v>0.45315766707778399</v>
      </c>
      <c r="AL2168">
        <v>90.991474467781501</v>
      </c>
      <c r="AM2168">
        <v>84.417009676747298</v>
      </c>
      <c r="AN2168">
        <v>0.99999998268125101</v>
      </c>
    </row>
    <row r="2169" spans="1:40" x14ac:dyDescent="0.25">
      <c r="A2169" t="str">
        <f>"20190312161310126"</f>
        <v>20190312161310126</v>
      </c>
      <c r="B2169" t="str">
        <f>"1552378390117705"</f>
        <v>1552378390117705</v>
      </c>
      <c r="C2169" t="s">
        <v>40</v>
      </c>
      <c r="D2169">
        <v>4.8276059999999896</v>
      </c>
      <c r="E2169">
        <v>0.52319099999999996</v>
      </c>
      <c r="F2169" t="s">
        <v>43</v>
      </c>
      <c r="G2169">
        <v>-447.1925</v>
      </c>
      <c r="H2169">
        <v>0.94501349999999995</v>
      </c>
      <c r="I2169">
        <v>286.71420000000001</v>
      </c>
      <c r="J2169">
        <v>-446.76139999999998</v>
      </c>
      <c r="K2169">
        <v>1.10998</v>
      </c>
      <c r="L2169">
        <v>286.59230000000002</v>
      </c>
      <c r="M2169">
        <v>-0.9997433</v>
      </c>
      <c r="N2169">
        <v>0</v>
      </c>
      <c r="O2169">
        <v>1.757883E-2</v>
      </c>
      <c r="P2169">
        <v>-0.99288730000000003</v>
      </c>
      <c r="Q2169">
        <v>-3.1560489999999997E-2</v>
      </c>
      <c r="R2169">
        <v>0.1147994</v>
      </c>
      <c r="S2169">
        <v>-2.941284</v>
      </c>
      <c r="T2169">
        <v>-0.66422389999999998</v>
      </c>
      <c r="U2169">
        <v>0.51153559999999998</v>
      </c>
      <c r="V2169">
        <v>9.7321759999999993E-2</v>
      </c>
      <c r="W2169">
        <v>-1.7360790000000001E-2</v>
      </c>
      <c r="X2169">
        <v>0.99510149999999997</v>
      </c>
      <c r="Y2169">
        <v>0.15074309999999999</v>
      </c>
      <c r="Z2169">
        <v>1.2797589999999999E-2</v>
      </c>
      <c r="AA2169">
        <v>0.98849010000000004</v>
      </c>
      <c r="AB2169">
        <v>30</v>
      </c>
      <c r="AC2169">
        <v>-0.43110000000001403</v>
      </c>
      <c r="AD2169">
        <v>-0.16496649999999899</v>
      </c>
      <c r="AE2169">
        <v>0.12189999999998199</v>
      </c>
      <c r="AF2169">
        <v>0.10065437167760399</v>
      </c>
      <c r="AG2169">
        <v>-0.16496649999999899</v>
      </c>
      <c r="AH2169">
        <v>0.38145479029002999</v>
      </c>
      <c r="AI2169">
        <v>112.69244797148301</v>
      </c>
      <c r="AJ2169">
        <v>75.218300338291797</v>
      </c>
      <c r="AK2169">
        <v>0.42761314958180902</v>
      </c>
      <c r="AL2169">
        <v>90.994750010531504</v>
      </c>
      <c r="AM2169">
        <v>84.414189018677803</v>
      </c>
      <c r="AN2169">
        <v>0.999999958650584</v>
      </c>
    </row>
    <row r="2170" spans="1:40" x14ac:dyDescent="0.25">
      <c r="A2170" t="str">
        <f>"20190312161310147"</f>
        <v>20190312161310147</v>
      </c>
      <c r="B2170" t="str">
        <f>"1552378390138201"</f>
        <v>1552378390138201</v>
      </c>
      <c r="C2170" t="s">
        <v>40</v>
      </c>
      <c r="D2170">
        <v>5.256672</v>
      </c>
      <c r="E2170">
        <v>0.52335169999999998</v>
      </c>
      <c r="F2170" t="s">
        <v>43</v>
      </c>
      <c r="G2170">
        <v>-447.46769999999998</v>
      </c>
      <c r="H2170">
        <v>0.95170679999999996</v>
      </c>
      <c r="I2170">
        <v>286.71460000000002</v>
      </c>
      <c r="J2170">
        <v>-447.05239999999998</v>
      </c>
      <c r="K2170">
        <v>1.109985</v>
      </c>
      <c r="L2170">
        <v>286.59750000000003</v>
      </c>
      <c r="M2170">
        <v>-0.99974169999999996</v>
      </c>
      <c r="N2170">
        <v>0</v>
      </c>
      <c r="O2170">
        <v>1.7676589999999999E-2</v>
      </c>
      <c r="P2170">
        <v>-0.9928477</v>
      </c>
      <c r="Q2170">
        <v>-3.1716290000000001E-2</v>
      </c>
      <c r="R2170">
        <v>0.1150991</v>
      </c>
      <c r="S2170">
        <v>-2.9417719999999998</v>
      </c>
      <c r="T2170">
        <v>-0.65927669999999905</v>
      </c>
      <c r="U2170">
        <v>0.50845340000000006</v>
      </c>
      <c r="V2170">
        <v>9.7524749999999993E-2</v>
      </c>
      <c r="W2170">
        <v>-1.7520150000000002E-2</v>
      </c>
      <c r="X2170">
        <v>0.99507889999999999</v>
      </c>
      <c r="Y2170">
        <v>0.14968899999999999</v>
      </c>
      <c r="Z2170">
        <v>1.2566269999999999E-2</v>
      </c>
      <c r="AA2170">
        <v>0.98865329999999996</v>
      </c>
      <c r="AB2170">
        <v>30</v>
      </c>
      <c r="AC2170">
        <v>-0.415300000000002</v>
      </c>
      <c r="AD2170">
        <v>-0.15827819999999901</v>
      </c>
      <c r="AE2170">
        <v>0.117099999999993</v>
      </c>
      <c r="AF2170">
        <v>9.6725180982337206E-2</v>
      </c>
      <c r="AG2170">
        <v>-0.15827819999999901</v>
      </c>
      <c r="AH2170">
        <v>0.36781460794228399</v>
      </c>
      <c r="AI2170">
        <v>112.595664927239</v>
      </c>
      <c r="AJ2170">
        <v>75.266364110585499</v>
      </c>
      <c r="AK2170">
        <v>0.411940936357437</v>
      </c>
      <c r="AL2170">
        <v>91.003881988809397</v>
      </c>
      <c r="AM2170">
        <v>84.402485939729303</v>
      </c>
      <c r="AN2170">
        <v>1.0000000248718901</v>
      </c>
    </row>
    <row r="2171" spans="1:40" x14ac:dyDescent="0.25">
      <c r="A2171" t="str">
        <f>"20190312161310171"</f>
        <v>20190312161310171</v>
      </c>
      <c r="B2171" t="str">
        <f>"1552378390157722"</f>
        <v>1552378390157722</v>
      </c>
      <c r="C2171" t="s">
        <v>40</v>
      </c>
      <c r="D2171">
        <v>4.7927309999999999</v>
      </c>
      <c r="E2171">
        <v>0.52403420000000001</v>
      </c>
      <c r="F2171" t="s">
        <v>43</v>
      </c>
      <c r="G2171">
        <v>-447.74149999999997</v>
      </c>
      <c r="H2171">
        <v>0.95620179999999999</v>
      </c>
      <c r="I2171">
        <v>286.7174</v>
      </c>
      <c r="J2171">
        <v>-447.36320000000001</v>
      </c>
      <c r="K2171">
        <v>1.109988</v>
      </c>
      <c r="L2171">
        <v>286.60309999999998</v>
      </c>
      <c r="M2171">
        <v>-0.99973990000000001</v>
      </c>
      <c r="N2171">
        <v>0</v>
      </c>
      <c r="O2171">
        <v>1.7781390000000001E-2</v>
      </c>
      <c r="P2171">
        <v>-0.99283149999999998</v>
      </c>
      <c r="Q2171">
        <v>-3.1714930000000002E-2</v>
      </c>
      <c r="R2171">
        <v>0.11523899999999999</v>
      </c>
      <c r="S2171">
        <v>-2.9414370000000001</v>
      </c>
      <c r="T2171">
        <v>-0.6563852</v>
      </c>
      <c r="U2171">
        <v>0.51062010000000002</v>
      </c>
      <c r="V2171">
        <v>9.75607E-2</v>
      </c>
      <c r="W2171">
        <v>-1.7522179999999998E-2</v>
      </c>
      <c r="X2171">
        <v>0.9950753</v>
      </c>
      <c r="Y2171">
        <v>0.15032599999999999</v>
      </c>
      <c r="Z2171">
        <v>1.2559870000000001E-2</v>
      </c>
      <c r="AA2171">
        <v>0.98855669999999995</v>
      </c>
      <c r="AB2171">
        <v>30</v>
      </c>
      <c r="AC2171">
        <v>-0.378299999999967</v>
      </c>
      <c r="AD2171">
        <v>-0.15378619999999901</v>
      </c>
      <c r="AE2171">
        <v>0.114300000000014</v>
      </c>
      <c r="AF2171">
        <v>9.34092441188836E-2</v>
      </c>
      <c r="AG2171">
        <v>-0.15378619999999901</v>
      </c>
      <c r="AH2171">
        <v>0.33026030174150101</v>
      </c>
      <c r="AI2171">
        <v>114.13592164360701</v>
      </c>
      <c r="AJ2171">
        <v>74.207228598294904</v>
      </c>
      <c r="AK2171">
        <v>0.376094867159455</v>
      </c>
      <c r="AL2171">
        <v>91.003998357309101</v>
      </c>
      <c r="AM2171">
        <v>84.400415541357006</v>
      </c>
      <c r="AN2171">
        <v>0.99999998482326602</v>
      </c>
    </row>
    <row r="2172" spans="1:40" x14ac:dyDescent="0.25">
      <c r="A2172" t="str">
        <f>"20190312161310193"</f>
        <v>20190312161310193</v>
      </c>
      <c r="B2172" t="str">
        <f>"1552378390187977"</f>
        <v>1552378390187977</v>
      </c>
      <c r="C2172" t="s">
        <v>40</v>
      </c>
      <c r="D2172">
        <v>5.5511809999999997</v>
      </c>
      <c r="E2172">
        <v>0.52457290000000001</v>
      </c>
      <c r="F2172" t="s">
        <v>43</v>
      </c>
      <c r="G2172">
        <v>-448.26240000000001</v>
      </c>
      <c r="H2172">
        <v>0.90818149999999997</v>
      </c>
      <c r="I2172">
        <v>286.76139999999998</v>
      </c>
      <c r="J2172">
        <v>-447.66770000000002</v>
      </c>
      <c r="K2172">
        <v>1.1099920000000001</v>
      </c>
      <c r="L2172">
        <v>286.60860000000002</v>
      </c>
      <c r="M2172">
        <v>-0.99973809999999996</v>
      </c>
      <c r="N2172">
        <v>0</v>
      </c>
      <c r="O2172">
        <v>1.7884170000000001E-2</v>
      </c>
      <c r="P2172">
        <v>-0.99286010000000002</v>
      </c>
      <c r="Q2172">
        <v>-3.170092E-2</v>
      </c>
      <c r="R2172">
        <v>0.1149955</v>
      </c>
      <c r="S2172">
        <v>-2.940674</v>
      </c>
      <c r="T2172">
        <v>-0.66005639999999999</v>
      </c>
      <c r="U2172">
        <v>0.51638790000000001</v>
      </c>
      <c r="V2172">
        <v>9.7214430000000004E-2</v>
      </c>
      <c r="W2172">
        <v>-1.751088E-2</v>
      </c>
      <c r="X2172">
        <v>0.99510940000000003</v>
      </c>
      <c r="Y2172">
        <v>0.15207390000000001</v>
      </c>
      <c r="Z2172">
        <v>1.2799319999999999E-2</v>
      </c>
      <c r="AA2172">
        <v>0.98828629999999995</v>
      </c>
      <c r="AB2172">
        <v>30</v>
      </c>
      <c r="AC2172">
        <v>-0.59469999999998802</v>
      </c>
      <c r="AD2172">
        <v>-0.2018105</v>
      </c>
      <c r="AE2172">
        <v>0.152799999999956</v>
      </c>
      <c r="AF2172">
        <v>0.12828108004348901</v>
      </c>
      <c r="AG2172">
        <v>-0.2018105</v>
      </c>
      <c r="AH2172">
        <v>0.53910098823266295</v>
      </c>
      <c r="AI2172">
        <v>110.010515382096</v>
      </c>
      <c r="AJ2172">
        <v>76.615176440502296</v>
      </c>
      <c r="AK2172">
        <v>0.58975705923779198</v>
      </c>
      <c r="AL2172">
        <v>91.003350803278195</v>
      </c>
      <c r="AM2172">
        <v>84.420354377128604</v>
      </c>
      <c r="AN2172">
        <v>0.99999999714347898</v>
      </c>
    </row>
    <row r="2173" spans="1:40" x14ac:dyDescent="0.25">
      <c r="A2173" t="str">
        <f>"20190312161310216"</f>
        <v>20190312161310216</v>
      </c>
      <c r="B2173" t="str">
        <f>"1552378390207498"</f>
        <v>1552378390207498</v>
      </c>
      <c r="C2173" t="s">
        <v>40</v>
      </c>
      <c r="D2173">
        <v>4.827852</v>
      </c>
      <c r="E2173">
        <v>0.52463040000000005</v>
      </c>
      <c r="F2173" t="s">
        <v>43</v>
      </c>
      <c r="G2173">
        <v>-448.53579999999999</v>
      </c>
      <c r="H2173">
        <v>0.91480269999999997</v>
      </c>
      <c r="I2173">
        <v>286.7627</v>
      </c>
      <c r="J2173">
        <v>-447.97250000000003</v>
      </c>
      <c r="K2173">
        <v>1.1099909999999999</v>
      </c>
      <c r="L2173">
        <v>286.61419999999998</v>
      </c>
      <c r="M2173">
        <v>-0.99973619999999996</v>
      </c>
      <c r="N2173">
        <v>0</v>
      </c>
      <c r="O2173">
        <v>1.798723E-2</v>
      </c>
      <c r="P2173">
        <v>-0.99284329999999998</v>
      </c>
      <c r="Q2173">
        <v>-3.1524139999999999E-2</v>
      </c>
      <c r="R2173">
        <v>0.11518929999999999</v>
      </c>
      <c r="S2173">
        <v>-2.9402159999999999</v>
      </c>
      <c r="T2173">
        <v>-0.66115139999999994</v>
      </c>
      <c r="U2173">
        <v>0.5200806</v>
      </c>
      <c r="V2173">
        <v>9.7306130000000005E-2</v>
      </c>
      <c r="W2173">
        <v>-1.7337519999999999E-2</v>
      </c>
      <c r="X2173">
        <v>0.99510350000000003</v>
      </c>
      <c r="Y2173">
        <v>0.15316729999999901</v>
      </c>
      <c r="Z2173">
        <v>1.291845E-2</v>
      </c>
      <c r="AA2173">
        <v>0.98811579999999999</v>
      </c>
      <c r="AB2173">
        <v>30</v>
      </c>
      <c r="AC2173">
        <v>-0.56329999999996905</v>
      </c>
      <c r="AD2173">
        <v>-0.19518830000000001</v>
      </c>
      <c r="AE2173">
        <v>0.14850000000001201</v>
      </c>
      <c r="AF2173">
        <v>0.124379184144639</v>
      </c>
      <c r="AG2173">
        <v>-0.19518830000000001</v>
      </c>
      <c r="AH2173">
        <v>0.50876342180507195</v>
      </c>
      <c r="AI2173">
        <v>110.439269758696</v>
      </c>
      <c r="AJ2173">
        <v>76.262159774560999</v>
      </c>
      <c r="AK2173">
        <v>0.55893548220897704</v>
      </c>
      <c r="AL2173">
        <v>90.993416471939994</v>
      </c>
      <c r="AM2173">
        <v>84.415091588878497</v>
      </c>
      <c r="AN2173">
        <v>1.0000000241237801</v>
      </c>
    </row>
    <row r="2174" spans="1:40" x14ac:dyDescent="0.25">
      <c r="A2174" t="str">
        <f>"20190312161310237"</f>
        <v>20190312161310237</v>
      </c>
      <c r="B2174" t="str">
        <f>"1552378390227994"</f>
        <v>1552378390227994</v>
      </c>
      <c r="C2174" t="s">
        <v>40</v>
      </c>
      <c r="D2174">
        <v>5.0798290000000001</v>
      </c>
      <c r="E2174">
        <v>0.52451899999999996</v>
      </c>
      <c r="F2174" t="s">
        <v>43</v>
      </c>
      <c r="G2174">
        <v>-448.80930000000001</v>
      </c>
      <c r="H2174">
        <v>0.922454</v>
      </c>
      <c r="I2174">
        <v>286.7627</v>
      </c>
      <c r="J2174">
        <v>-448.27069999999998</v>
      </c>
      <c r="K2174">
        <v>1.1099939999999999</v>
      </c>
      <c r="L2174">
        <v>286.61970000000002</v>
      </c>
      <c r="M2174">
        <v>-0.99973449999999997</v>
      </c>
      <c r="N2174">
        <v>0</v>
      </c>
      <c r="O2174">
        <v>1.808732E-2</v>
      </c>
      <c r="P2174">
        <v>-0.99285769999999995</v>
      </c>
      <c r="Q2174">
        <v>-3.1558870000000003E-2</v>
      </c>
      <c r="R2174">
        <v>0.11505559999999999</v>
      </c>
      <c r="S2174">
        <v>-2.9403079999999999</v>
      </c>
      <c r="T2174">
        <v>-0.65895919999999997</v>
      </c>
      <c r="U2174">
        <v>0.52075199999999999</v>
      </c>
      <c r="V2174">
        <v>9.7072480000000003E-2</v>
      </c>
      <c r="W2174">
        <v>-1.737505E-2</v>
      </c>
      <c r="X2174">
        <v>0.9951257</v>
      </c>
      <c r="Y2174">
        <v>0.15330279999999999</v>
      </c>
      <c r="Z2174">
        <v>1.2868930000000001E-2</v>
      </c>
      <c r="AA2174">
        <v>0.98809550000000002</v>
      </c>
      <c r="AB2174">
        <v>30</v>
      </c>
      <c r="AC2174">
        <v>-0.53860000000003005</v>
      </c>
      <c r="AD2174">
        <v>-0.18754000000000001</v>
      </c>
      <c r="AE2174">
        <v>0.14299999999997201</v>
      </c>
      <c r="AF2174">
        <v>0.119679077135791</v>
      </c>
      <c r="AG2174">
        <v>-0.18754000000000001</v>
      </c>
      <c r="AH2174">
        <v>0.48604929249743001</v>
      </c>
      <c r="AI2174">
        <v>110.538732548098</v>
      </c>
      <c r="AJ2174">
        <v>76.167328458655504</v>
      </c>
      <c r="AK2174">
        <v>0.53454489787231796</v>
      </c>
      <c r="AL2174">
        <v>90.995567071952706</v>
      </c>
      <c r="AM2174">
        <v>84.428541018184802</v>
      </c>
      <c r="AN2174">
        <v>1.0000000587681599</v>
      </c>
    </row>
    <row r="2175" spans="1:40" x14ac:dyDescent="0.25">
      <c r="A2175" t="str">
        <f>"20190312161310260"</f>
        <v>20190312161310260</v>
      </c>
      <c r="B2175" t="str">
        <f>"1552378390247514"</f>
        <v>1552378390247514</v>
      </c>
      <c r="C2175" t="s">
        <v>40</v>
      </c>
      <c r="D2175">
        <v>4.8701309999999998</v>
      </c>
      <c r="E2175">
        <v>0.52486679999999997</v>
      </c>
      <c r="F2175" t="s">
        <v>43</v>
      </c>
      <c r="G2175">
        <v>-449.08190000000002</v>
      </c>
      <c r="H2175">
        <v>0.92840370000000005</v>
      </c>
      <c r="I2175">
        <v>286.76350000000002</v>
      </c>
      <c r="J2175">
        <v>-448.56689999999998</v>
      </c>
      <c r="K2175">
        <v>1.109998</v>
      </c>
      <c r="L2175">
        <v>286.62520000000001</v>
      </c>
      <c r="M2175">
        <v>-0.99973270000000003</v>
      </c>
      <c r="N2175">
        <v>0</v>
      </c>
      <c r="O2175">
        <v>1.818519E-2</v>
      </c>
      <c r="P2175">
        <v>-0.99286569999999996</v>
      </c>
      <c r="Q2175">
        <v>-3.1564050000000003E-2</v>
      </c>
      <c r="R2175">
        <v>0.1149838</v>
      </c>
      <c r="S2175">
        <v>-2.9404300000000001</v>
      </c>
      <c r="T2175">
        <v>-0.65827749999999996</v>
      </c>
      <c r="U2175">
        <v>0.51968380000000003</v>
      </c>
      <c r="V2175">
        <v>9.6903149999999993E-2</v>
      </c>
      <c r="W2175">
        <v>-1.7382990000000001E-2</v>
      </c>
      <c r="X2175">
        <v>0.99514199999999997</v>
      </c>
      <c r="Y2175">
        <v>0.15287049999999999</v>
      </c>
      <c r="Z2175">
        <v>1.278688E-2</v>
      </c>
      <c r="AA2175">
        <v>0.98816349999999997</v>
      </c>
      <c r="AB2175">
        <v>30</v>
      </c>
      <c r="AC2175">
        <v>-0.51500000000004298</v>
      </c>
      <c r="AD2175">
        <v>-0.18159429999999999</v>
      </c>
      <c r="AE2175">
        <v>0.13830000000001499</v>
      </c>
      <c r="AF2175">
        <v>0.11551449977039301</v>
      </c>
      <c r="AG2175">
        <v>-0.18159429999999999</v>
      </c>
      <c r="AH2175">
        <v>0.46365920253956999</v>
      </c>
      <c r="AI2175">
        <v>110.80869017875</v>
      </c>
      <c r="AJ2175">
        <v>76.010322590032104</v>
      </c>
      <c r="AK2175">
        <v>0.51117506350498398</v>
      </c>
      <c r="AL2175">
        <v>90.996022133158306</v>
      </c>
      <c r="AM2175">
        <v>84.438289224415698</v>
      </c>
      <c r="AN2175">
        <v>0.99999999449263099</v>
      </c>
    </row>
    <row r="2176" spans="1:40" x14ac:dyDescent="0.25">
      <c r="A2176" t="str">
        <f>"20190312161310294"</f>
        <v>20190312161310294</v>
      </c>
      <c r="B2176" t="str">
        <f>"1552378390287529"</f>
        <v>1552378390287529</v>
      </c>
      <c r="C2176" t="s">
        <v>40</v>
      </c>
      <c r="D2176">
        <v>4.9201620000000004</v>
      </c>
      <c r="E2176">
        <v>0.52553430000000001</v>
      </c>
      <c r="F2176" t="s">
        <v>43</v>
      </c>
      <c r="G2176">
        <v>-449.35340000000002</v>
      </c>
      <c r="H2176">
        <v>0.93223210000000001</v>
      </c>
      <c r="I2176">
        <v>286.76510000000002</v>
      </c>
      <c r="J2176">
        <v>-449.02190000000002</v>
      </c>
      <c r="K2176">
        <v>1.109996</v>
      </c>
      <c r="L2176">
        <v>286.6336</v>
      </c>
      <c r="M2176">
        <v>-0.99973020000000001</v>
      </c>
      <c r="N2176">
        <v>0</v>
      </c>
      <c r="O2176">
        <v>1.8333550000000001E-2</v>
      </c>
      <c r="P2176">
        <v>-0.99293900000000002</v>
      </c>
      <c r="Q2176">
        <v>-3.1150819999999999E-2</v>
      </c>
      <c r="R2176">
        <v>0.1144643</v>
      </c>
      <c r="S2176">
        <v>-2.9400019999999998</v>
      </c>
      <c r="T2176">
        <v>-0.66443359999999996</v>
      </c>
      <c r="U2176">
        <v>0.5220032</v>
      </c>
      <c r="V2176">
        <v>9.6235139999999997E-2</v>
      </c>
      <c r="W2176">
        <v>-1.6973249999999999E-2</v>
      </c>
      <c r="X2176">
        <v>0.99521389999999998</v>
      </c>
      <c r="Y2176">
        <v>0.15343380000000001</v>
      </c>
      <c r="Z2176">
        <v>1.293412E-2</v>
      </c>
      <c r="AA2176">
        <v>0.98807429999999996</v>
      </c>
      <c r="AB2176">
        <v>30</v>
      </c>
      <c r="AC2176">
        <v>-0.33150000000000501</v>
      </c>
      <c r="AD2176">
        <v>-0.177763899999999</v>
      </c>
      <c r="AE2176">
        <v>0.13150000000001599</v>
      </c>
      <c r="AF2176">
        <v>0.100443671830946</v>
      </c>
      <c r="AG2176">
        <v>-0.177763899999999</v>
      </c>
      <c r="AH2176">
        <v>0.267414189553981</v>
      </c>
      <c r="AI2176">
        <v>121.894040083535</v>
      </c>
      <c r="AJ2176">
        <v>69.413276629836105</v>
      </c>
      <c r="AK2176">
        <v>0.33645101297054397</v>
      </c>
      <c r="AL2176">
        <v>90.972542290179803</v>
      </c>
      <c r="AM2176">
        <v>84.476788006468198</v>
      </c>
      <c r="AN2176">
        <v>1.00000000006979</v>
      </c>
    </row>
    <row r="2177" spans="1:40" x14ac:dyDescent="0.25">
      <c r="A2177" t="str">
        <f>"20190312161310315"</f>
        <v>20190312161310315</v>
      </c>
      <c r="B2177" t="str">
        <f>"1552378390308029"</f>
        <v>1552378390308029</v>
      </c>
      <c r="C2177" t="s">
        <v>40</v>
      </c>
      <c r="D2177">
        <v>4.9623530000000002</v>
      </c>
      <c r="E2177">
        <v>0.49865179999999998</v>
      </c>
      <c r="F2177" t="s">
        <v>43</v>
      </c>
      <c r="G2177">
        <v>-449.88420000000002</v>
      </c>
      <c r="H2177">
        <v>0.91440049999999995</v>
      </c>
      <c r="I2177">
        <v>286.78800000000001</v>
      </c>
      <c r="J2177">
        <v>-449.32089999999999</v>
      </c>
      <c r="K2177">
        <v>1.109998</v>
      </c>
      <c r="L2177">
        <v>286.63920000000002</v>
      </c>
      <c r="M2177">
        <v>-0.99972830000000001</v>
      </c>
      <c r="N2177">
        <v>0</v>
      </c>
      <c r="O2177">
        <v>1.843011E-2</v>
      </c>
      <c r="P2177">
        <v>-0.99301850000000003</v>
      </c>
      <c r="Q2177">
        <v>-3.108315E-2</v>
      </c>
      <c r="R2177">
        <v>0.113791</v>
      </c>
      <c r="S2177">
        <v>-2.9397890000000002</v>
      </c>
      <c r="T2177">
        <v>-0.66683959999999998</v>
      </c>
      <c r="U2177">
        <v>0.52593990000000002</v>
      </c>
      <c r="V2177">
        <v>9.5464480000000004E-2</v>
      </c>
      <c r="W2177">
        <v>-1.690724E-2</v>
      </c>
      <c r="X2177">
        <v>0.99528930000000004</v>
      </c>
      <c r="Y2177">
        <v>0.1545841</v>
      </c>
      <c r="Z2177">
        <v>1.3085680000000001E-2</v>
      </c>
      <c r="AA2177">
        <v>0.98789300000000002</v>
      </c>
      <c r="AB2177">
        <v>30</v>
      </c>
      <c r="AC2177">
        <v>-0.563300000000026</v>
      </c>
      <c r="AD2177">
        <v>-0.19559750000000001</v>
      </c>
      <c r="AE2177">
        <v>0.14879999999999399</v>
      </c>
      <c r="AF2177">
        <v>0.12437408719837301</v>
      </c>
      <c r="AG2177">
        <v>-0.19559750000000001</v>
      </c>
      <c r="AH2177">
        <v>0.50862151129073496</v>
      </c>
      <c r="AI2177">
        <v>110.483552517547</v>
      </c>
      <c r="AJ2177">
        <v>76.259013832685795</v>
      </c>
      <c r="AK2177">
        <v>0.558948242076447</v>
      </c>
      <c r="AL2177">
        <v>90.968759598597401</v>
      </c>
      <c r="AM2177">
        <v>84.521160720262998</v>
      </c>
      <c r="AN2177">
        <v>1.00000005620028</v>
      </c>
    </row>
    <row r="2178" spans="1:40" x14ac:dyDescent="0.25">
      <c r="A2178" t="str">
        <f>"20190312161310338"</f>
        <v>20190312161310338</v>
      </c>
      <c r="B2178" t="str">
        <f>"1552378390327546"</f>
        <v>1552378390327546</v>
      </c>
      <c r="C2178" t="s">
        <v>40</v>
      </c>
      <c r="D2178">
        <v>4.9056319999999998</v>
      </c>
      <c r="E2178">
        <v>0.44622309999999998</v>
      </c>
      <c r="F2178" t="s">
        <v>43</v>
      </c>
      <c r="G2178">
        <v>-450.1739</v>
      </c>
      <c r="H2178">
        <v>0.96025680000000002</v>
      </c>
      <c r="I2178">
        <v>286.7303</v>
      </c>
      <c r="J2178">
        <v>-449.61500000000001</v>
      </c>
      <c r="K2178">
        <v>1.109996</v>
      </c>
      <c r="L2178">
        <v>286.6447</v>
      </c>
      <c r="M2178">
        <v>-0.99972669999999997</v>
      </c>
      <c r="N2178">
        <v>0</v>
      </c>
      <c r="O2178">
        <v>1.8523810000000002E-2</v>
      </c>
      <c r="P2178">
        <v>-0.99306289999999997</v>
      </c>
      <c r="Q2178">
        <v>-3.1205139999999999E-2</v>
      </c>
      <c r="R2178">
        <v>0.1133695</v>
      </c>
      <c r="S2178">
        <v>-2.9685969999999999</v>
      </c>
      <c r="T2178">
        <v>-0.52117009999999997</v>
      </c>
      <c r="U2178">
        <v>0.31597900000000001</v>
      </c>
      <c r="V2178">
        <v>9.4949019999999995E-2</v>
      </c>
      <c r="W2178">
        <v>-1.7031290000000001E-2</v>
      </c>
      <c r="X2178">
        <v>0.99533640000000001</v>
      </c>
      <c r="Y2178">
        <v>8.637715E-2</v>
      </c>
      <c r="Z2178">
        <v>4.2860759999999998E-3</v>
      </c>
      <c r="AA2178">
        <v>0.99625330000000001</v>
      </c>
      <c r="AB2178">
        <v>30</v>
      </c>
      <c r="AC2178">
        <v>-0.55889999999999396</v>
      </c>
      <c r="AD2178">
        <v>-0.14973919999999899</v>
      </c>
      <c r="AE2178">
        <v>8.5599999999999399E-2</v>
      </c>
      <c r="AF2178">
        <v>7.0300774464999993E-2</v>
      </c>
      <c r="AG2178">
        <v>-0.14973919999999899</v>
      </c>
      <c r="AH2178">
        <v>0.52366293271146902</v>
      </c>
      <c r="AI2178">
        <v>105.822907200252</v>
      </c>
      <c r="AJ2178">
        <v>82.353863819107303</v>
      </c>
      <c r="AK2178">
        <v>0.54916927627371503</v>
      </c>
      <c r="AL2178">
        <v>90.975868252012802</v>
      </c>
      <c r="AM2178">
        <v>84.550821443664006</v>
      </c>
      <c r="AN2178">
        <v>0.99999996520149104</v>
      </c>
    </row>
    <row r="2179" spans="1:40" x14ac:dyDescent="0.25">
      <c r="A2179" t="str">
        <f>"20190312161310360"</f>
        <v>20190312161310360</v>
      </c>
      <c r="B2179" t="str">
        <f>"1552378390348042"</f>
        <v>1552378390348042</v>
      </c>
      <c r="C2179" t="s">
        <v>40</v>
      </c>
      <c r="D2179">
        <v>4.9695419999999997</v>
      </c>
      <c r="E2179">
        <v>0.4308323</v>
      </c>
      <c r="F2179" t="s">
        <v>63</v>
      </c>
      <c r="G2179">
        <v>-474.37670000000003</v>
      </c>
      <c r="H2179" s="1">
        <v>4.787743E-6</v>
      </c>
      <c r="I2179">
        <v>285.9264</v>
      </c>
      <c r="J2179">
        <v>-449.9169</v>
      </c>
      <c r="K2179">
        <v>1.110001</v>
      </c>
      <c r="L2179">
        <v>286.65039999999999</v>
      </c>
      <c r="M2179">
        <v>-0.99972499999999997</v>
      </c>
      <c r="N2179">
        <v>0</v>
      </c>
      <c r="O2179">
        <v>1.861966E-2</v>
      </c>
      <c r="P2179">
        <v>-0.99311349999999998</v>
      </c>
      <c r="Q2179">
        <v>-3.12541E-2</v>
      </c>
      <c r="R2179">
        <v>0.11291180000000001</v>
      </c>
      <c r="S2179">
        <v>-3.0267330000000001</v>
      </c>
      <c r="T2179">
        <v>-0.13567899999999999</v>
      </c>
      <c r="U2179">
        <v>-8.7799070000000007E-2</v>
      </c>
      <c r="V2179">
        <v>9.439488E-2</v>
      </c>
      <c r="W2179">
        <v>-1.7082299999999901E-2</v>
      </c>
      <c r="X2179">
        <v>0.9953883</v>
      </c>
      <c r="Y2179">
        <v>-4.7537980000000001E-2</v>
      </c>
      <c r="Z2179">
        <v>-1.8989040000000001E-3</v>
      </c>
      <c r="AA2179">
        <v>0.99886759999999997</v>
      </c>
      <c r="AB2179">
        <v>30</v>
      </c>
      <c r="AC2179">
        <v>-24.459800000000001</v>
      </c>
      <c r="AD2179">
        <v>-1.109996212257</v>
      </c>
      <c r="AE2179">
        <v>-0.72399999999998899</v>
      </c>
      <c r="AF2179">
        <v>-1.17693227434658</v>
      </c>
      <c r="AG2179">
        <v>-1.109996212257</v>
      </c>
      <c r="AH2179">
        <v>24.391888484720202</v>
      </c>
      <c r="AI2179">
        <v>92.602525020020295</v>
      </c>
      <c r="AJ2179">
        <v>92.762434462727896</v>
      </c>
      <c r="AK2179">
        <v>24.445479848443298</v>
      </c>
      <c r="AL2179">
        <v>90.978791268645296</v>
      </c>
      <c r="AM2179">
        <v>84.582714884029002</v>
      </c>
      <c r="AN2179">
        <v>1.0000000330601899</v>
      </c>
    </row>
    <row r="2180" spans="1:40" x14ac:dyDescent="0.25">
      <c r="A2180" t="str">
        <f>"20190312161310383"</f>
        <v>20190312161310383</v>
      </c>
      <c r="B2180" t="str">
        <f>"1552378390378298"</f>
        <v>1552378390378298</v>
      </c>
      <c r="C2180" t="s">
        <v>40</v>
      </c>
      <c r="D2180">
        <v>5.0248850000000003</v>
      </c>
      <c r="E2180">
        <v>0.42314099999999999</v>
      </c>
      <c r="F2180" t="s">
        <v>63</v>
      </c>
      <c r="G2180">
        <v>-499.95780000000002</v>
      </c>
      <c r="H2180">
        <v>3.4455110000000001E-3</v>
      </c>
      <c r="I2180">
        <v>283.2176</v>
      </c>
      <c r="J2180">
        <v>-450.22390000000001</v>
      </c>
      <c r="K2180">
        <v>1.1100019999999999</v>
      </c>
      <c r="L2180">
        <v>286.65620000000001</v>
      </c>
      <c r="M2180">
        <v>-0.99972309999999998</v>
      </c>
      <c r="N2180">
        <v>0</v>
      </c>
      <c r="O2180">
        <v>1.8716529999999999E-2</v>
      </c>
      <c r="P2180">
        <v>-0.99310609999999999</v>
      </c>
      <c r="Q2180">
        <v>-3.1199540000000001E-2</v>
      </c>
      <c r="R2180">
        <v>0.1129916</v>
      </c>
      <c r="S2180">
        <v>-3.0424500000000001</v>
      </c>
      <c r="T2180">
        <v>-6.7277790000000004E-2</v>
      </c>
      <c r="U2180">
        <v>-0.2087097</v>
      </c>
      <c r="V2180">
        <v>9.4378550000000005E-2</v>
      </c>
      <c r="W2180">
        <v>-1.7030759999999999E-2</v>
      </c>
      <c r="X2180">
        <v>0.99539069999999996</v>
      </c>
      <c r="Y2180">
        <v>-8.7075219999999995E-2</v>
      </c>
      <c r="Z2180">
        <v>-1.3749350000000001E-3</v>
      </c>
      <c r="AA2180">
        <v>0.9962008</v>
      </c>
      <c r="AB2180">
        <v>30</v>
      </c>
      <c r="AC2180">
        <v>-49.733899999999998</v>
      </c>
      <c r="AD2180">
        <v>-1.1065564889999999</v>
      </c>
      <c r="AE2180">
        <v>-3.4386000000000001</v>
      </c>
      <c r="AF2180">
        <v>-4.3667868003764498</v>
      </c>
      <c r="AG2180">
        <v>-1.1065564889999999</v>
      </c>
      <c r="AH2180">
        <v>49.636365966216097</v>
      </c>
      <c r="AI2180">
        <v>91.272186203314405</v>
      </c>
      <c r="AJ2180">
        <v>95.027683696313105</v>
      </c>
      <c r="AK2180">
        <v>49.840366376617098</v>
      </c>
      <c r="AL2180">
        <v>90.975837845353993</v>
      </c>
      <c r="AM2180">
        <v>84.583659464215103</v>
      </c>
      <c r="AN2180">
        <v>1.0000000015663799</v>
      </c>
    </row>
    <row r="2181" spans="1:40" x14ac:dyDescent="0.25">
      <c r="A2181" t="str">
        <f>"20190312161310406"</f>
        <v>20190312161310406</v>
      </c>
      <c r="B2181" t="str">
        <f>"1552378390397817"</f>
        <v>1552378390397817</v>
      </c>
      <c r="C2181" t="s">
        <v>40</v>
      </c>
      <c r="D2181">
        <v>4.9877649999999996</v>
      </c>
      <c r="E2181">
        <v>0.42125839999999998</v>
      </c>
      <c r="F2181" t="s">
        <v>41</v>
      </c>
      <c r="G2181">
        <v>-522.68079999999998</v>
      </c>
      <c r="H2181">
        <v>-0.05</v>
      </c>
      <c r="I2181">
        <v>280.27089999999998</v>
      </c>
      <c r="J2181">
        <v>-450.52839999999998</v>
      </c>
      <c r="K2181">
        <v>1.1100049999999999</v>
      </c>
      <c r="L2181">
        <v>286.66199999999998</v>
      </c>
      <c r="M2181">
        <v>-0.99972150000000004</v>
      </c>
      <c r="N2181">
        <v>0</v>
      </c>
      <c r="O2181">
        <v>1.8811540000000002E-2</v>
      </c>
      <c r="P2181">
        <v>-0.99303830000000004</v>
      </c>
      <c r="Q2181">
        <v>-3.1284480000000003E-2</v>
      </c>
      <c r="R2181">
        <v>0.11356339999999999</v>
      </c>
      <c r="S2181">
        <v>-3.0498349999999999</v>
      </c>
      <c r="T2181">
        <v>-4.8826460000000002E-2</v>
      </c>
      <c r="U2181">
        <v>-0.26876830000000002</v>
      </c>
      <c r="V2181">
        <v>9.4856960000000004E-2</v>
      </c>
      <c r="W2181">
        <v>-1.7119240000000001E-2</v>
      </c>
      <c r="X2181">
        <v>0.99534370000000005</v>
      </c>
      <c r="Y2181">
        <v>-0.10649459999999999</v>
      </c>
      <c r="Z2181">
        <v>-1.151404E-3</v>
      </c>
      <c r="AA2181">
        <v>0.99431259999999999</v>
      </c>
      <c r="AB2181">
        <v>30</v>
      </c>
      <c r="AC2181">
        <v>-72.1524</v>
      </c>
      <c r="AD2181">
        <v>-1.160005</v>
      </c>
      <c r="AE2181">
        <v>-6.3911000000000504</v>
      </c>
      <c r="AF2181">
        <v>-7.7454180165871103</v>
      </c>
      <c r="AG2181">
        <v>-1.160005</v>
      </c>
      <c r="AH2181">
        <v>72.0009256639201</v>
      </c>
      <c r="AI2181">
        <v>90.917717139571295</v>
      </c>
      <c r="AJ2181">
        <v>96.139917236358002</v>
      </c>
      <c r="AK2181">
        <v>72.425619833820207</v>
      </c>
      <c r="AL2181">
        <v>90.980908120385706</v>
      </c>
      <c r="AM2181">
        <v>84.556112750551193</v>
      </c>
      <c r="AN2181">
        <v>0.99999999618415403</v>
      </c>
    </row>
    <row r="2182" spans="1:40" x14ac:dyDescent="0.25">
      <c r="A2182" t="str">
        <f>"20190312161310427"</f>
        <v>20190312161310427</v>
      </c>
      <c r="B2182" t="str">
        <f>"1552378390418314"</f>
        <v>1552378390418314</v>
      </c>
      <c r="C2182" t="s">
        <v>40</v>
      </c>
      <c r="D2182">
        <v>5.1045309999999997</v>
      </c>
      <c r="E2182">
        <v>0.42016619999999999</v>
      </c>
      <c r="F2182" t="s">
        <v>41</v>
      </c>
      <c r="G2182">
        <v>-523.91290000000004</v>
      </c>
      <c r="H2182">
        <v>-0.05</v>
      </c>
      <c r="I2182">
        <v>279.87979999999999</v>
      </c>
      <c r="J2182">
        <v>-450.8107</v>
      </c>
      <c r="K2182">
        <v>1.110009</v>
      </c>
      <c r="L2182">
        <v>286.66739999999999</v>
      </c>
      <c r="M2182">
        <v>-0.99972000000000005</v>
      </c>
      <c r="N2182">
        <v>0</v>
      </c>
      <c r="O2182">
        <v>1.8895189999999999E-2</v>
      </c>
      <c r="P2182">
        <v>-0.99298160000000002</v>
      </c>
      <c r="Q2182">
        <v>-3.1353720000000002E-2</v>
      </c>
      <c r="R2182">
        <v>0.1140388</v>
      </c>
      <c r="S2182">
        <v>-3.0517270000000001</v>
      </c>
      <c r="T2182">
        <v>-4.823935E-2</v>
      </c>
      <c r="U2182">
        <v>-0.2820435</v>
      </c>
      <c r="V2182">
        <v>9.5250169999999995E-2</v>
      </c>
      <c r="W2182">
        <v>-1.7191399999999999E-2</v>
      </c>
      <c r="X2182">
        <v>0.99530490000000005</v>
      </c>
      <c r="Y2182">
        <v>-0.1108131</v>
      </c>
      <c r="Z2182">
        <v>-1.172017E-3</v>
      </c>
      <c r="AA2182">
        <v>0.99384059999999996</v>
      </c>
      <c r="AB2182">
        <v>30</v>
      </c>
      <c r="AC2182">
        <v>-73.102199999999996</v>
      </c>
      <c r="AD2182">
        <v>-1.1600090000000001</v>
      </c>
      <c r="AE2182">
        <v>-6.7875999999999896</v>
      </c>
      <c r="AF2182">
        <v>-8.1657694752698298</v>
      </c>
      <c r="AG2182">
        <v>-1.1600090000000001</v>
      </c>
      <c r="AH2182">
        <v>72.942670181375505</v>
      </c>
      <c r="AI2182">
        <v>90.905444291638204</v>
      </c>
      <c r="AJ2182">
        <v>96.387539976005996</v>
      </c>
      <c r="AK2182">
        <v>73.407482896447604</v>
      </c>
      <c r="AL2182">
        <v>90.985043196956696</v>
      </c>
      <c r="AM2182">
        <v>84.533470841366693</v>
      </c>
      <c r="AN2182">
        <v>0.99999999154149899</v>
      </c>
    </row>
    <row r="2183" spans="1:40" x14ac:dyDescent="0.25">
      <c r="A2183" t="str">
        <f>"20190312161310450"</f>
        <v>20190312161310450</v>
      </c>
      <c r="B2183" t="str">
        <f>"1552378390437834"</f>
        <v>1552378390437834</v>
      </c>
      <c r="C2183" t="s">
        <v>40</v>
      </c>
      <c r="D2183">
        <v>5.0724460000000002</v>
      </c>
      <c r="E2183">
        <v>0.41956209999999999</v>
      </c>
      <c r="F2183" t="s">
        <v>41</v>
      </c>
      <c r="G2183">
        <v>-520.35350000000005</v>
      </c>
      <c r="H2183">
        <v>-0.05</v>
      </c>
      <c r="I2183">
        <v>280.07979999999998</v>
      </c>
      <c r="J2183">
        <v>-451.11009999999999</v>
      </c>
      <c r="K2183">
        <v>1.110015</v>
      </c>
      <c r="L2183">
        <v>286.67320000000001</v>
      </c>
      <c r="M2183">
        <v>-0.99971840000000001</v>
      </c>
      <c r="N2183">
        <v>0</v>
      </c>
      <c r="O2183">
        <v>1.897809E-2</v>
      </c>
      <c r="P2183">
        <v>-0.99296470000000003</v>
      </c>
      <c r="Q2183">
        <v>-3.1452800000000003E-2</v>
      </c>
      <c r="R2183">
        <v>0.1141567</v>
      </c>
      <c r="S2183">
        <v>-3.0527950000000001</v>
      </c>
      <c r="T2183">
        <v>-5.0922160000000001E-2</v>
      </c>
      <c r="U2183">
        <v>-0.28918460000000001</v>
      </c>
      <c r="V2183">
        <v>9.5285969999999998E-2</v>
      </c>
      <c r="W2183">
        <v>-1.7292310000000002E-2</v>
      </c>
      <c r="X2183">
        <v>0.99529979999999996</v>
      </c>
      <c r="Y2183">
        <v>-0.1131659</v>
      </c>
      <c r="Z2183">
        <v>-1.2575830000000001E-3</v>
      </c>
      <c r="AA2183">
        <v>0.99357530000000005</v>
      </c>
      <c r="AB2183">
        <v>30</v>
      </c>
      <c r="AC2183">
        <v>-69.243399999999994</v>
      </c>
      <c r="AD2183">
        <v>-1.160015</v>
      </c>
      <c r="AE2183">
        <v>-6.5934000000000301</v>
      </c>
      <c r="AF2183">
        <v>-7.9042547111814203</v>
      </c>
      <c r="AG2183">
        <v>-1.160015</v>
      </c>
      <c r="AH2183">
        <v>69.086568718927296</v>
      </c>
      <c r="AI2183">
        <v>90.955714887374597</v>
      </c>
      <c r="AJ2183">
        <v>96.526880320960103</v>
      </c>
      <c r="AK2183">
        <v>69.546939937674694</v>
      </c>
      <c r="AL2183">
        <v>90.9908256999543</v>
      </c>
      <c r="AM2183">
        <v>84.531400834828702</v>
      </c>
      <c r="AN2183">
        <v>1.0000000659720001</v>
      </c>
    </row>
    <row r="2184" spans="1:40" x14ac:dyDescent="0.25">
      <c r="A2184" t="str">
        <f>"20190312161310471"</f>
        <v>20190312161310471</v>
      </c>
      <c r="B2184" t="str">
        <f>"1552378390468090"</f>
        <v>1552378390468090</v>
      </c>
      <c r="C2184" t="s">
        <v>40</v>
      </c>
      <c r="D2184">
        <v>5.1391280000000004</v>
      </c>
      <c r="E2184">
        <v>0.41917450000000001</v>
      </c>
      <c r="F2184" t="s">
        <v>41</v>
      </c>
      <c r="G2184">
        <v>-519.06370000000004</v>
      </c>
      <c r="H2184">
        <v>-0.05</v>
      </c>
      <c r="I2184">
        <v>280.13749999999999</v>
      </c>
      <c r="J2184">
        <v>-451.40969999999999</v>
      </c>
      <c r="K2184">
        <v>1.1100219999999901</v>
      </c>
      <c r="L2184">
        <v>286.67899999999997</v>
      </c>
      <c r="M2184">
        <v>-0.99971710000000003</v>
      </c>
      <c r="N2184">
        <v>0</v>
      </c>
      <c r="O2184">
        <v>1.905279E-2</v>
      </c>
      <c r="P2184">
        <v>-0.99290429999999996</v>
      </c>
      <c r="Q2184">
        <v>-3.2056029999999999E-2</v>
      </c>
      <c r="R2184">
        <v>0.1145149</v>
      </c>
      <c r="S2184">
        <v>-3.053375</v>
      </c>
      <c r="T2184">
        <v>-5.212319E-2</v>
      </c>
      <c r="U2184">
        <v>-0.29367070000000001</v>
      </c>
      <c r="V2184">
        <v>9.557119E-2</v>
      </c>
      <c r="W2184">
        <v>-1.7897610000000001E-2</v>
      </c>
      <c r="X2184">
        <v>0.99526170000000003</v>
      </c>
      <c r="Y2184">
        <v>-0.1146678</v>
      </c>
      <c r="Z2184">
        <v>-1.3009689999999999E-3</v>
      </c>
      <c r="AA2184">
        <v>0.99340309999999998</v>
      </c>
      <c r="AB2184">
        <v>30</v>
      </c>
      <c r="AC2184">
        <v>-67.653999999999996</v>
      </c>
      <c r="AD2184">
        <v>-1.1600220000000001</v>
      </c>
      <c r="AE2184">
        <v>-6.5415000000000401</v>
      </c>
      <c r="AF2184">
        <v>-7.8271606010754304</v>
      </c>
      <c r="AG2184">
        <v>-1.1600220000000001</v>
      </c>
      <c r="AH2184">
        <v>67.497410087376394</v>
      </c>
      <c r="AI2184">
        <v>90.978045330370193</v>
      </c>
      <c r="AJ2184">
        <v>96.614611277864199</v>
      </c>
      <c r="AK2184">
        <v>67.959623767491394</v>
      </c>
      <c r="AL2184">
        <v>91.025512256275505</v>
      </c>
      <c r="AM2184">
        <v>84.514922634685703</v>
      </c>
      <c r="AN2184">
        <v>1.0000000141443</v>
      </c>
    </row>
    <row r="2185" spans="1:40" x14ac:dyDescent="0.25">
      <c r="A2185" t="str">
        <f>"20190312161310494"</f>
        <v>20190312161310494</v>
      </c>
      <c r="B2185" t="str">
        <f>"1552378390487610"</f>
        <v>1552378390487610</v>
      </c>
      <c r="C2185" t="s">
        <v>40</v>
      </c>
      <c r="D2185">
        <v>5.1341109999999999</v>
      </c>
      <c r="E2185">
        <v>0.41893750000000002</v>
      </c>
      <c r="F2185" t="s">
        <v>41</v>
      </c>
      <c r="G2185">
        <v>-515.75620000000004</v>
      </c>
      <c r="H2185">
        <v>-0.05</v>
      </c>
      <c r="I2185">
        <v>280.45170000000002</v>
      </c>
      <c r="J2185">
        <v>-451.7106</v>
      </c>
      <c r="K2185">
        <v>1.11002</v>
      </c>
      <c r="L2185">
        <v>286.6848</v>
      </c>
      <c r="M2185">
        <v>-0.99971580000000004</v>
      </c>
      <c r="N2185">
        <v>0</v>
      </c>
      <c r="O2185">
        <v>1.9119500000000001E-2</v>
      </c>
      <c r="P2185">
        <v>-0.9927745</v>
      </c>
      <c r="Q2185">
        <v>-3.238912E-2</v>
      </c>
      <c r="R2185">
        <v>0.1155418</v>
      </c>
      <c r="S2185">
        <v>-3.0537109999999998</v>
      </c>
      <c r="T2185">
        <v>-5.5051450000000002E-2</v>
      </c>
      <c r="U2185">
        <v>-0.29553220000000002</v>
      </c>
      <c r="V2185">
        <v>9.6534209999999995E-2</v>
      </c>
      <c r="W2185">
        <v>-1.8233849999999999E-2</v>
      </c>
      <c r="X2185">
        <v>0.99516269999999996</v>
      </c>
      <c r="Y2185">
        <v>-0.1153213</v>
      </c>
      <c r="Z2185">
        <v>-1.3809320000000001E-3</v>
      </c>
      <c r="AA2185">
        <v>0.99332730000000002</v>
      </c>
      <c r="AB2185">
        <v>30</v>
      </c>
      <c r="AC2185">
        <v>-64.045599999999993</v>
      </c>
      <c r="AD2185">
        <v>-1.1600200000000001</v>
      </c>
      <c r="AE2185">
        <v>-6.2330999999999701</v>
      </c>
      <c r="AF2185">
        <v>-7.4541819370465401</v>
      </c>
      <c r="AG2185">
        <v>-1.1600200000000001</v>
      </c>
      <c r="AH2185">
        <v>63.893940285285098</v>
      </c>
      <c r="AI2185">
        <v>91.033108116867496</v>
      </c>
      <c r="AJ2185">
        <v>96.654326760148606</v>
      </c>
      <c r="AK2185">
        <v>64.337750037832194</v>
      </c>
      <c r="AL2185">
        <v>91.044780482265296</v>
      </c>
      <c r="AM2185">
        <v>84.459446879836506</v>
      </c>
      <c r="AN2185">
        <v>1.00000006322871</v>
      </c>
    </row>
    <row r="2186" spans="1:40" x14ac:dyDescent="0.25">
      <c r="A2186" t="str">
        <f>"20190312161310516"</f>
        <v>20190312161310516</v>
      </c>
      <c r="B2186" t="str">
        <f>"1552378390508105"</f>
        <v>1552378390508105</v>
      </c>
      <c r="C2186" t="s">
        <v>40</v>
      </c>
      <c r="D2186">
        <v>5.1813190000000002</v>
      </c>
      <c r="E2186">
        <v>0.41885739999999999</v>
      </c>
      <c r="F2186" t="s">
        <v>41</v>
      </c>
      <c r="G2186">
        <v>-513.79759999999999</v>
      </c>
      <c r="H2186">
        <v>-0.05</v>
      </c>
      <c r="I2186">
        <v>280.69819999999999</v>
      </c>
      <c r="J2186">
        <v>-452.00209999999998</v>
      </c>
      <c r="K2186">
        <v>1.110034</v>
      </c>
      <c r="L2186">
        <v>286.69049999999999</v>
      </c>
      <c r="M2186">
        <v>-0.99971480000000001</v>
      </c>
      <c r="N2186">
        <v>0</v>
      </c>
      <c r="O2186">
        <v>1.9172970000000001E-2</v>
      </c>
      <c r="P2186">
        <v>-0.99269600000000002</v>
      </c>
      <c r="Q2186">
        <v>-3.200339E-2</v>
      </c>
      <c r="R2186">
        <v>0.1163213</v>
      </c>
      <c r="S2186">
        <v>-3.05423</v>
      </c>
      <c r="T2186">
        <v>-5.7064530000000002E-2</v>
      </c>
      <c r="U2186">
        <v>-0.2944946</v>
      </c>
      <c r="V2186">
        <v>9.7262269999999998E-2</v>
      </c>
      <c r="W2186">
        <v>-1.7850359999999999E-2</v>
      </c>
      <c r="X2186">
        <v>0.9950987</v>
      </c>
      <c r="Y2186">
        <v>-0.11502229999999999</v>
      </c>
      <c r="Z2186">
        <v>-1.4294119999999999E-3</v>
      </c>
      <c r="AA2186">
        <v>0.99336190000000002</v>
      </c>
      <c r="AB2186">
        <v>30</v>
      </c>
      <c r="AC2186">
        <v>-61.795499999999997</v>
      </c>
      <c r="AD2186">
        <v>-1.160034</v>
      </c>
      <c r="AE2186">
        <v>-5.9923000000000002</v>
      </c>
      <c r="AF2186">
        <v>-7.1736172713725104</v>
      </c>
      <c r="AG2186">
        <v>-1.160034</v>
      </c>
      <c r="AH2186">
        <v>61.6477148460365</v>
      </c>
      <c r="AI2186">
        <v>91.070792192686</v>
      </c>
      <c r="AJ2186">
        <v>96.637354842049007</v>
      </c>
      <c r="AK2186">
        <v>62.074529473653797</v>
      </c>
      <c r="AL2186">
        <v>91.022804608932105</v>
      </c>
      <c r="AM2186">
        <v>84.417566281919505</v>
      </c>
      <c r="AN2186">
        <v>1.0000000036296799</v>
      </c>
    </row>
    <row r="2187" spans="1:40" x14ac:dyDescent="0.25">
      <c r="A2187" t="str">
        <f>"20190312161310538"</f>
        <v>20190312161310538</v>
      </c>
      <c r="B2187" t="str">
        <f>"1552378390527626"</f>
        <v>1552378390527626</v>
      </c>
      <c r="C2187" t="s">
        <v>40</v>
      </c>
      <c r="D2187">
        <v>5.2515669999999997</v>
      </c>
      <c r="E2187">
        <v>0.41881459999999998</v>
      </c>
      <c r="F2187" t="s">
        <v>41</v>
      </c>
      <c r="G2187">
        <v>-514.45730000000003</v>
      </c>
      <c r="H2187">
        <v>-0.05</v>
      </c>
      <c r="I2187">
        <v>280.70580000000001</v>
      </c>
      <c r="J2187">
        <v>-452.29719999999998</v>
      </c>
      <c r="K2187">
        <v>1.1100460000000001</v>
      </c>
      <c r="L2187">
        <v>286.69619999999998</v>
      </c>
      <c r="M2187">
        <v>-0.99971410000000005</v>
      </c>
      <c r="N2187">
        <v>0</v>
      </c>
      <c r="O2187">
        <v>1.921167E-2</v>
      </c>
      <c r="P2187">
        <v>-0.99265689999999995</v>
      </c>
      <c r="Q2187">
        <v>-3.1656259999999999E-2</v>
      </c>
      <c r="R2187">
        <v>0.1167494</v>
      </c>
      <c r="S2187">
        <v>-3.054535</v>
      </c>
      <c r="T2187">
        <v>-5.6734560000000003E-2</v>
      </c>
      <c r="U2187">
        <v>-0.29269410000000001</v>
      </c>
      <c r="V2187">
        <v>9.7652939999999994E-2</v>
      </c>
      <c r="W2187">
        <v>-1.7504309999999999E-2</v>
      </c>
      <c r="X2187">
        <v>0.99506660000000002</v>
      </c>
      <c r="Y2187">
        <v>-0.1144714</v>
      </c>
      <c r="Z2187">
        <v>-1.4166599999999999E-3</v>
      </c>
      <c r="AA2187">
        <v>0.99342549999999996</v>
      </c>
      <c r="AB2187">
        <v>30</v>
      </c>
      <c r="AC2187">
        <v>-62.1601</v>
      </c>
      <c r="AD2187">
        <v>-1.1600459999999999</v>
      </c>
      <c r="AE2187">
        <v>-5.9903999999999602</v>
      </c>
      <c r="AF2187">
        <v>-7.1811364944064398</v>
      </c>
      <c r="AG2187">
        <v>-1.1600459999999999</v>
      </c>
      <c r="AH2187">
        <v>62.012129312247602</v>
      </c>
      <c r="AI2187">
        <v>91.064580719853694</v>
      </c>
      <c r="AJ2187">
        <v>96.605550904391507</v>
      </c>
      <c r="AK2187">
        <v>62.437317446478502</v>
      </c>
      <c r="AL2187">
        <v>91.002974291382898</v>
      </c>
      <c r="AM2187">
        <v>84.395106345711994</v>
      </c>
      <c r="AN2187">
        <v>1.00000001799738</v>
      </c>
    </row>
    <row r="2188" spans="1:40" x14ac:dyDescent="0.25">
      <c r="A2188" t="str">
        <f>"20190312161310561"</f>
        <v>20190312161310561</v>
      </c>
      <c r="B2188" t="str">
        <f>"1552378390557884"</f>
        <v>1552378390557884</v>
      </c>
      <c r="C2188" t="s">
        <v>40</v>
      </c>
      <c r="D2188">
        <v>5.3731369999999998</v>
      </c>
      <c r="E2188">
        <v>0.41864050000000003</v>
      </c>
      <c r="F2188" t="s">
        <v>41</v>
      </c>
      <c r="G2188">
        <v>-514.37980000000005</v>
      </c>
      <c r="H2188">
        <v>-0.05</v>
      </c>
      <c r="I2188">
        <v>280.76560000000001</v>
      </c>
      <c r="J2188">
        <v>-452.60210000000001</v>
      </c>
      <c r="K2188">
        <v>1.1100620000000001</v>
      </c>
      <c r="L2188">
        <v>286.70209999999997</v>
      </c>
      <c r="M2188">
        <v>-0.99971370000000004</v>
      </c>
      <c r="N2188">
        <v>0</v>
      </c>
      <c r="O2188">
        <v>1.9236570000000001E-2</v>
      </c>
      <c r="P2188">
        <v>-0.99266080000000001</v>
      </c>
      <c r="Q2188">
        <v>-3.1737990000000001E-2</v>
      </c>
      <c r="R2188">
        <v>0.11669350000000001</v>
      </c>
      <c r="S2188">
        <v>-3.0547179999999998</v>
      </c>
      <c r="T2188">
        <v>-5.7078959999999998E-2</v>
      </c>
      <c r="U2188">
        <v>-0.29180909999999999</v>
      </c>
      <c r="V2188">
        <v>9.7572850000000003E-2</v>
      </c>
      <c r="W2188">
        <v>-1.7586230000000001E-2</v>
      </c>
      <c r="X2188">
        <v>0.99507299999999999</v>
      </c>
      <c r="Y2188">
        <v>-0.1142051</v>
      </c>
      <c r="Z2188">
        <v>-1.4231739999999999E-3</v>
      </c>
      <c r="AA2188">
        <v>0.99345620000000001</v>
      </c>
      <c r="AB2188">
        <v>30</v>
      </c>
      <c r="AC2188">
        <v>-61.777700000000003</v>
      </c>
      <c r="AD2188">
        <v>-1.1600619999999999</v>
      </c>
      <c r="AE2188">
        <v>-5.9364999999999597</v>
      </c>
      <c r="AF2188">
        <v>-7.1214245303541697</v>
      </c>
      <c r="AG2188">
        <v>-1.1600619999999999</v>
      </c>
      <c r="AH2188">
        <v>61.630523966708097</v>
      </c>
      <c r="AI2188">
        <v>91.071216443046296</v>
      </c>
      <c r="AJ2188">
        <v>96.591311861301705</v>
      </c>
      <c r="AK2188">
        <v>62.051445717214001</v>
      </c>
      <c r="AL2188">
        <v>91.007668696321105</v>
      </c>
      <c r="AM2188">
        <v>84.399709751860996</v>
      </c>
      <c r="AN2188">
        <v>1.00000000593586</v>
      </c>
    </row>
    <row r="2189" spans="1:40" x14ac:dyDescent="0.25">
      <c r="A2189" t="str">
        <f>"20190312161310584"</f>
        <v>20190312161310584</v>
      </c>
      <c r="B2189" t="str">
        <f>"1552378390577402"</f>
        <v>1552378390577402</v>
      </c>
      <c r="C2189" t="s">
        <v>40</v>
      </c>
      <c r="D2189">
        <v>5.2709769999999896</v>
      </c>
      <c r="E2189">
        <v>0.37284420000000001</v>
      </c>
      <c r="F2189" t="s">
        <v>41</v>
      </c>
      <c r="G2189">
        <v>-512.92049999999995</v>
      </c>
      <c r="H2189">
        <v>-0.05</v>
      </c>
      <c r="I2189">
        <v>280.90949999999998</v>
      </c>
      <c r="J2189">
        <v>-452.89769999999999</v>
      </c>
      <c r="K2189">
        <v>1.1100620000000001</v>
      </c>
      <c r="L2189">
        <v>286.70780000000002</v>
      </c>
      <c r="M2189">
        <v>-0.99971359999999998</v>
      </c>
      <c r="N2189">
        <v>0</v>
      </c>
      <c r="O2189">
        <v>1.924988E-2</v>
      </c>
      <c r="P2189">
        <v>-0.9927279</v>
      </c>
      <c r="Q2189">
        <v>-3.1822660000000003E-2</v>
      </c>
      <c r="R2189">
        <v>0.1160982</v>
      </c>
      <c r="S2189">
        <v>-3.0548099999999998</v>
      </c>
      <c r="T2189">
        <v>-5.8751110000000002E-2</v>
      </c>
      <c r="U2189">
        <v>-0.2933655</v>
      </c>
      <c r="V2189">
        <v>9.6963460000000001E-2</v>
      </c>
      <c r="W2189">
        <v>-1.7670580000000002E-2</v>
      </c>
      <c r="X2189">
        <v>0.99513110000000005</v>
      </c>
      <c r="Y2189">
        <v>-0.1147156</v>
      </c>
      <c r="Z2189">
        <v>-1.4699330000000001E-3</v>
      </c>
      <c r="AA2189">
        <v>0.99339730000000004</v>
      </c>
      <c r="AB2189">
        <v>30</v>
      </c>
      <c r="AC2189">
        <v>-60.022799999999897</v>
      </c>
      <c r="AD2189">
        <v>-1.1600619999999999</v>
      </c>
      <c r="AE2189">
        <v>-5.7983000000000402</v>
      </c>
      <c r="AF2189">
        <v>-6.9502017539610197</v>
      </c>
      <c r="AG2189">
        <v>-1.1600619999999999</v>
      </c>
      <c r="AH2189">
        <v>59.877888272585999</v>
      </c>
      <c r="AI2189">
        <v>91.102497660866405</v>
      </c>
      <c r="AJ2189">
        <v>96.620860794246198</v>
      </c>
      <c r="AK2189">
        <v>60.291065277111301</v>
      </c>
      <c r="AL2189">
        <v>91.012502317909295</v>
      </c>
      <c r="AM2189">
        <v>84.434788909240794</v>
      </c>
      <c r="AN2189">
        <v>1.00000003407995</v>
      </c>
    </row>
    <row r="2190" spans="1:40" x14ac:dyDescent="0.25">
      <c r="A2190" t="str">
        <f>"20190312161310606"</f>
        <v>20190312161310606</v>
      </c>
      <c r="B2190" t="str">
        <f>"1552378390597898"</f>
        <v>1552378390597898</v>
      </c>
      <c r="C2190" t="s">
        <v>40</v>
      </c>
      <c r="D2190">
        <v>5.242426</v>
      </c>
      <c r="E2190">
        <v>0.3675387</v>
      </c>
      <c r="F2190" t="s">
        <v>73</v>
      </c>
      <c r="G2190">
        <v>-512.82529999999997</v>
      </c>
      <c r="H2190">
        <v>0.4600283</v>
      </c>
      <c r="I2190">
        <v>273.99349999999998</v>
      </c>
      <c r="J2190">
        <v>-453.19499999999999</v>
      </c>
      <c r="K2190">
        <v>1.1100730000000001</v>
      </c>
      <c r="L2190">
        <v>286.71350000000001</v>
      </c>
      <c r="M2190">
        <v>-0.99971350000000003</v>
      </c>
      <c r="N2190">
        <v>0</v>
      </c>
      <c r="O2190">
        <v>1.9246539999999999E-2</v>
      </c>
      <c r="P2190">
        <v>-0.99275550000000001</v>
      </c>
      <c r="Q2190">
        <v>-3.2178030000000003E-2</v>
      </c>
      <c r="R2190">
        <v>0.1157628</v>
      </c>
      <c r="S2190">
        <v>-3.0977779999999999</v>
      </c>
      <c r="T2190">
        <v>-3.3597349999999998E-2</v>
      </c>
      <c r="U2190">
        <v>-0.65722659999999999</v>
      </c>
      <c r="V2190">
        <v>9.6631469999999997E-2</v>
      </c>
      <c r="W2190">
        <v>-1.8026110000000001E-2</v>
      </c>
      <c r="X2190">
        <v>0.99515699999999996</v>
      </c>
      <c r="Y2190">
        <v>-0.2263182</v>
      </c>
      <c r="Z2190">
        <v>-1.4202920000000001E-3</v>
      </c>
      <c r="AA2190">
        <v>0.97405240000000004</v>
      </c>
      <c r="AB2190">
        <v>30</v>
      </c>
      <c r="AC2190">
        <v>-59.630299999999899</v>
      </c>
      <c r="AD2190">
        <v>-0.65004469999999903</v>
      </c>
      <c r="AE2190">
        <v>-12.72</v>
      </c>
      <c r="AF2190">
        <v>-13.8638607045571</v>
      </c>
      <c r="AG2190">
        <v>-0.65004469999999903</v>
      </c>
      <c r="AH2190">
        <v>59.367663524002197</v>
      </c>
      <c r="AI2190">
        <v>90.610898582509193</v>
      </c>
      <c r="AJ2190">
        <v>103.144461318221</v>
      </c>
      <c r="AK2190">
        <v>60.968423499763396</v>
      </c>
      <c r="AL2190">
        <v>91.032875947678207</v>
      </c>
      <c r="AM2190">
        <v>84.453867888474505</v>
      </c>
      <c r="AN2190">
        <v>1.0000000181425399</v>
      </c>
    </row>
    <row r="2191" spans="1:40" x14ac:dyDescent="0.25">
      <c r="A2191" t="str">
        <f>"20190312161310629"</f>
        <v>20190312161310629</v>
      </c>
      <c r="B2191" t="str">
        <f>"1552378390617417"</f>
        <v>1552378390617417</v>
      </c>
      <c r="C2191" t="s">
        <v>40</v>
      </c>
      <c r="D2191">
        <v>5.2084890000000001</v>
      </c>
      <c r="E2191">
        <v>0.36512640000000002</v>
      </c>
      <c r="F2191" t="s">
        <v>73</v>
      </c>
      <c r="G2191">
        <v>-512.82529999999997</v>
      </c>
      <c r="H2191">
        <v>0.32069710000000001</v>
      </c>
      <c r="I2191">
        <v>273.2457</v>
      </c>
      <c r="J2191">
        <v>-453.48009999999999</v>
      </c>
      <c r="K2191">
        <v>1.110093</v>
      </c>
      <c r="L2191">
        <v>286.71899999999999</v>
      </c>
      <c r="M2191">
        <v>-0.9997142</v>
      </c>
      <c r="N2191">
        <v>0</v>
      </c>
      <c r="O2191">
        <v>1.9213540000000001E-2</v>
      </c>
      <c r="P2191">
        <v>-0.99273639999999996</v>
      </c>
      <c r="Q2191">
        <v>-3.2435899999999997E-2</v>
      </c>
      <c r="R2191">
        <v>0.1158549</v>
      </c>
      <c r="S2191">
        <v>-3.1022340000000002</v>
      </c>
      <c r="T2191">
        <v>-4.1062590000000003E-2</v>
      </c>
      <c r="U2191">
        <v>-0.70065310000000003</v>
      </c>
      <c r="V2191">
        <v>9.6757490000000002E-2</v>
      </c>
      <c r="W2191">
        <v>-1.8283290000000001E-2</v>
      </c>
      <c r="X2191">
        <v>0.99514000000000002</v>
      </c>
      <c r="Y2191">
        <v>-0.23898659999999999</v>
      </c>
      <c r="Z2191">
        <v>-1.8132249999999999E-3</v>
      </c>
      <c r="AA2191">
        <v>0.97102120000000003</v>
      </c>
      <c r="AB2191">
        <v>30</v>
      </c>
      <c r="AC2191">
        <v>-59.345199999999899</v>
      </c>
      <c r="AD2191">
        <v>-0.78939589999999904</v>
      </c>
      <c r="AE2191">
        <v>-13.473299999999901</v>
      </c>
      <c r="AF2191">
        <v>-14.6087010054322</v>
      </c>
      <c r="AG2191">
        <v>-0.78939589999999904</v>
      </c>
      <c r="AH2191">
        <v>59.065408265569999</v>
      </c>
      <c r="AI2191">
        <v>90.743304760404996</v>
      </c>
      <c r="AJ2191">
        <v>103.892221315001</v>
      </c>
      <c r="AK2191">
        <v>60.850306034822196</v>
      </c>
      <c r="AL2191">
        <v>91.047613771028793</v>
      </c>
      <c r="AM2191">
        <v>84.446585920602402</v>
      </c>
      <c r="AN2191">
        <v>0.999999955082161</v>
      </c>
    </row>
    <row r="2192" spans="1:40" x14ac:dyDescent="0.25">
      <c r="A2192" t="str">
        <f>"20190312161310650"</f>
        <v>20190312161310650</v>
      </c>
      <c r="B2192" t="str">
        <f>"1552378390647674"</f>
        <v>1552378390647674</v>
      </c>
      <c r="C2192" t="s">
        <v>40</v>
      </c>
      <c r="D2192">
        <v>5.1502809999999997</v>
      </c>
      <c r="E2192">
        <v>0.36318289999999998</v>
      </c>
      <c r="F2192" t="s">
        <v>73</v>
      </c>
      <c r="G2192">
        <v>-512.82529999999997</v>
      </c>
      <c r="H2192">
        <v>0.40841630000000001</v>
      </c>
      <c r="I2192">
        <v>272.97609999999997</v>
      </c>
      <c r="J2192">
        <v>-453.77670000000001</v>
      </c>
      <c r="K2192">
        <v>1.110128</v>
      </c>
      <c r="L2192">
        <v>286.72460000000001</v>
      </c>
      <c r="M2192">
        <v>-0.99971589999999999</v>
      </c>
      <c r="N2192">
        <v>0</v>
      </c>
      <c r="O2192">
        <v>1.9132590000000001E-2</v>
      </c>
      <c r="P2192">
        <v>-0.99275369999999996</v>
      </c>
      <c r="Q2192">
        <v>-3.2342490000000002E-2</v>
      </c>
      <c r="R2192">
        <v>0.1157329</v>
      </c>
      <c r="S2192">
        <v>-3.1046749999999999</v>
      </c>
      <c r="T2192">
        <v>-3.6704300000000002E-2</v>
      </c>
      <c r="U2192">
        <v>-0.71896359999999904</v>
      </c>
      <c r="V2192">
        <v>9.6716990000000003E-2</v>
      </c>
      <c r="W2192">
        <v>-1.818606E-2</v>
      </c>
      <c r="X2192">
        <v>0.99514570000000002</v>
      </c>
      <c r="Y2192">
        <v>-0.24418670000000001</v>
      </c>
      <c r="Z2192">
        <v>-1.647887E-3</v>
      </c>
      <c r="AA2192">
        <v>0.9697268</v>
      </c>
      <c r="AB2192">
        <v>30</v>
      </c>
      <c r="AC2192">
        <v>-59.048599999999901</v>
      </c>
      <c r="AD2192">
        <v>-0.70171169999999905</v>
      </c>
      <c r="AE2192">
        <v>-13.7485</v>
      </c>
      <c r="AF2192">
        <v>-14.873857231978899</v>
      </c>
      <c r="AG2192">
        <v>-0.70171169999999905</v>
      </c>
      <c r="AH2192">
        <v>58.766845963356197</v>
      </c>
      <c r="AI2192">
        <v>90.6632032521497</v>
      </c>
      <c r="AJ2192">
        <v>104.20326116566299</v>
      </c>
      <c r="AK2192">
        <v>60.623973910888203</v>
      </c>
      <c r="AL2192">
        <v>91.042041995018295</v>
      </c>
      <c r="AM2192">
        <v>84.448927500623697</v>
      </c>
      <c r="AN2192">
        <v>0.99999993658073405</v>
      </c>
    </row>
    <row r="2193" spans="1:40" x14ac:dyDescent="0.25">
      <c r="A2193" t="str">
        <f>"20190312161310674"</f>
        <v>20190312161310674</v>
      </c>
      <c r="B2193" t="str">
        <f>"1552378390668170"</f>
        <v>1552378390668170</v>
      </c>
      <c r="C2193" t="s">
        <v>40</v>
      </c>
      <c r="D2193">
        <v>5.1618879999999896</v>
      </c>
      <c r="E2193">
        <v>0.36256579999999999</v>
      </c>
      <c r="F2193" t="s">
        <v>73</v>
      </c>
      <c r="G2193">
        <v>-512.82529999999997</v>
      </c>
      <c r="H2193">
        <v>0.39940350000000002</v>
      </c>
      <c r="I2193">
        <v>272.75400000000002</v>
      </c>
      <c r="J2193">
        <v>-454.07580000000002</v>
      </c>
      <c r="K2193">
        <v>1.1101589999999999</v>
      </c>
      <c r="L2193">
        <v>286.73020000000002</v>
      </c>
      <c r="M2193">
        <v>-0.99971829999999995</v>
      </c>
      <c r="N2193">
        <v>0</v>
      </c>
      <c r="O2193">
        <v>1.901131E-2</v>
      </c>
      <c r="P2193">
        <v>-0.99270659999999999</v>
      </c>
      <c r="Q2193">
        <v>-3.2890320000000001E-2</v>
      </c>
      <c r="R2193">
        <v>0.11598310000000001</v>
      </c>
      <c r="S2193">
        <v>-3.1063839999999998</v>
      </c>
      <c r="T2193">
        <v>-3.738499E-2</v>
      </c>
      <c r="U2193">
        <v>-0.73495480000000002</v>
      </c>
      <c r="V2193">
        <v>9.7090380000000004E-2</v>
      </c>
      <c r="W2193">
        <v>-1.87295E-2</v>
      </c>
      <c r="X2193">
        <v>0.99509930000000002</v>
      </c>
      <c r="Y2193">
        <v>-0.24868109999999999</v>
      </c>
      <c r="Z2193">
        <v>-1.701812E-3</v>
      </c>
      <c r="AA2193">
        <v>0.96858390000000005</v>
      </c>
      <c r="AB2193">
        <v>29</v>
      </c>
      <c r="AC2193">
        <v>-58.749499999999898</v>
      </c>
      <c r="AD2193">
        <v>-0.71075549999999998</v>
      </c>
      <c r="AE2193">
        <v>-13.9762</v>
      </c>
      <c r="AF2193">
        <v>-15.0886011451509</v>
      </c>
      <c r="AG2193">
        <v>-0.71075549999999998</v>
      </c>
      <c r="AH2193">
        <v>58.465048493160701</v>
      </c>
      <c r="AI2193">
        <v>90.674411129854406</v>
      </c>
      <c r="AJ2193">
        <v>104.47107204967899</v>
      </c>
      <c r="AK2193">
        <v>60.384873546326702</v>
      </c>
      <c r="AL2193">
        <v>91.073184078345307</v>
      </c>
      <c r="AM2193">
        <v>84.427373209054494</v>
      </c>
      <c r="AN2193">
        <v>0.999999976459642</v>
      </c>
    </row>
    <row r="2194" spans="1:40" x14ac:dyDescent="0.25">
      <c r="A2194" t="str">
        <f>"20190312161310696"</f>
        <v>20190312161310696</v>
      </c>
      <c r="B2194" t="str">
        <f>"1552378390687693"</f>
        <v>1552378390687693</v>
      </c>
      <c r="C2194" t="s">
        <v>40</v>
      </c>
      <c r="D2194">
        <v>5.1042509999999996</v>
      </c>
      <c r="E2194">
        <v>0.36183799999999999</v>
      </c>
      <c r="F2194" t="s">
        <v>73</v>
      </c>
      <c r="G2194">
        <v>-512.82529999999997</v>
      </c>
      <c r="H2194">
        <v>0.3434217</v>
      </c>
      <c r="I2194">
        <v>272.75240000000002</v>
      </c>
      <c r="J2194">
        <v>-454.36950000000002</v>
      </c>
      <c r="K2194">
        <v>1.110198</v>
      </c>
      <c r="L2194">
        <v>286.73570000000001</v>
      </c>
      <c r="M2194">
        <v>-0.99972150000000004</v>
      </c>
      <c r="N2194">
        <v>0</v>
      </c>
      <c r="O2194">
        <v>1.8843180000000001E-2</v>
      </c>
      <c r="P2194">
        <v>-0.99279669999999998</v>
      </c>
      <c r="Q2194">
        <v>-3.2900569999999997E-2</v>
      </c>
      <c r="R2194">
        <v>0.11520660000000001</v>
      </c>
      <c r="S2194">
        <v>-3.1070250000000001</v>
      </c>
      <c r="T2194">
        <v>-4.0545339999999999E-2</v>
      </c>
      <c r="U2194">
        <v>-0.73922730000000003</v>
      </c>
      <c r="V2194">
        <v>9.648147E-2</v>
      </c>
      <c r="W2194">
        <v>-1.8733139999999999E-2</v>
      </c>
      <c r="X2194">
        <v>0.99515849999999995</v>
      </c>
      <c r="Y2194">
        <v>-0.24973090000000001</v>
      </c>
      <c r="Z2194">
        <v>-1.8495950000000001E-3</v>
      </c>
      <c r="AA2194">
        <v>0.96831350000000005</v>
      </c>
      <c r="AB2194">
        <v>29</v>
      </c>
      <c r="AC2194">
        <v>-58.455799999999897</v>
      </c>
      <c r="AD2194">
        <v>-0.76677629999999997</v>
      </c>
      <c r="AE2194">
        <v>-13.9832999999999</v>
      </c>
      <c r="AF2194">
        <v>-15.0799668996302</v>
      </c>
      <c r="AG2194">
        <v>-0.76677629999999997</v>
      </c>
      <c r="AH2194">
        <v>58.172435276911798</v>
      </c>
      <c r="AI2194">
        <v>90.731017355374703</v>
      </c>
      <c r="AJ2194">
        <v>104.532816391013</v>
      </c>
      <c r="AK2194">
        <v>60.1001295642087</v>
      </c>
      <c r="AL2194">
        <v>91.073392622315197</v>
      </c>
      <c r="AM2194">
        <v>84.462431831492395</v>
      </c>
      <c r="AN2194">
        <v>1.0000000223549299</v>
      </c>
    </row>
    <row r="2195" spans="1:40" x14ac:dyDescent="0.25">
      <c r="A2195" t="str">
        <f>"20190312161310717"</f>
        <v>20190312161310717</v>
      </c>
      <c r="B2195" t="str">
        <f>"1552378390707974"</f>
        <v>1552378390707974</v>
      </c>
      <c r="C2195" t="s">
        <v>40</v>
      </c>
      <c r="D2195">
        <v>5.0566469999999999</v>
      </c>
      <c r="E2195">
        <v>0.36113879999999998</v>
      </c>
      <c r="F2195" t="s">
        <v>73</v>
      </c>
      <c r="G2195">
        <v>-512.82529999999997</v>
      </c>
      <c r="H2195">
        <v>0.38583020000000001</v>
      </c>
      <c r="I2195">
        <v>272.6737</v>
      </c>
      <c r="J2195">
        <v>-454.65809999999999</v>
      </c>
      <c r="K2195">
        <v>1.110239</v>
      </c>
      <c r="L2195">
        <v>286.74079999999998</v>
      </c>
      <c r="M2195">
        <v>-0.99972589999999995</v>
      </c>
      <c r="N2195">
        <v>0</v>
      </c>
      <c r="O2195">
        <v>1.8617870000000002E-2</v>
      </c>
      <c r="P2195">
        <v>-0.99295820000000001</v>
      </c>
      <c r="Q2195">
        <v>-3.3174049999999997E-2</v>
      </c>
      <c r="R2195">
        <v>0.11372640000000001</v>
      </c>
      <c r="S2195">
        <v>-3.1072389999999999</v>
      </c>
      <c r="T2195">
        <v>-3.8499709999999999E-2</v>
      </c>
      <c r="U2195">
        <v>-0.74746699999999999</v>
      </c>
      <c r="V2195">
        <v>9.5224710000000004E-2</v>
      </c>
      <c r="W2195">
        <v>-1.8998480000000002E-2</v>
      </c>
      <c r="X2195">
        <v>0.99527449999999995</v>
      </c>
      <c r="Y2195">
        <v>-0.25192779999999998</v>
      </c>
      <c r="Z2195">
        <v>-1.766297E-3</v>
      </c>
      <c r="AA2195">
        <v>0.96774439999999995</v>
      </c>
      <c r="AB2195">
        <v>29</v>
      </c>
      <c r="AC2195">
        <v>-58.167199999999902</v>
      </c>
      <c r="AD2195">
        <v>-0.72440879999999996</v>
      </c>
      <c r="AE2195">
        <v>-14.0670999999999</v>
      </c>
      <c r="AF2195">
        <v>-15.1455005166655</v>
      </c>
      <c r="AG2195">
        <v>-0.72440879999999996</v>
      </c>
      <c r="AH2195">
        <v>57.8867080318796</v>
      </c>
      <c r="AI2195">
        <v>90.693630245386899</v>
      </c>
      <c r="AJ2195">
        <v>104.662216827997</v>
      </c>
      <c r="AK2195">
        <v>59.839635032124903</v>
      </c>
      <c r="AL2195">
        <v>91.088598204917304</v>
      </c>
      <c r="AM2195">
        <v>84.534757259236201</v>
      </c>
      <c r="AN2195">
        <v>1.0000000089935701</v>
      </c>
    </row>
    <row r="2196" spans="1:40" x14ac:dyDescent="0.25">
      <c r="A2196" t="str">
        <f>"20190312161310740"</f>
        <v>20190312161310740</v>
      </c>
      <c r="B2196" t="str">
        <f>"1552378390728469"</f>
        <v>1552378390728469</v>
      </c>
      <c r="C2196" t="s">
        <v>40</v>
      </c>
      <c r="D2196">
        <v>5.0868099999999998</v>
      </c>
      <c r="E2196">
        <v>0.36079129999999998</v>
      </c>
      <c r="F2196" t="s">
        <v>73</v>
      </c>
      <c r="G2196">
        <v>-512.82529999999997</v>
      </c>
      <c r="H2196">
        <v>0.45915440000000002</v>
      </c>
      <c r="I2196">
        <v>272.56290000000001</v>
      </c>
      <c r="J2196">
        <v>-454.94850000000002</v>
      </c>
      <c r="K2196">
        <v>1.110287</v>
      </c>
      <c r="L2196">
        <v>286.74599999999998</v>
      </c>
      <c r="M2196">
        <v>-0.99973120000000004</v>
      </c>
      <c r="N2196">
        <v>0</v>
      </c>
      <c r="O2196">
        <v>1.8322410000000001E-2</v>
      </c>
      <c r="P2196">
        <v>-0.99310860000000001</v>
      </c>
      <c r="Q2196">
        <v>-3.347468E-2</v>
      </c>
      <c r="R2196">
        <v>0.11231729999999999</v>
      </c>
      <c r="S2196">
        <v>-3.1068120000000001</v>
      </c>
      <c r="T2196">
        <v>-3.4771200000000002E-2</v>
      </c>
      <c r="U2196">
        <v>-0.75726319999999903</v>
      </c>
      <c r="V2196">
        <v>9.4109709999999999E-2</v>
      </c>
      <c r="W2196">
        <v>-1.9289819999999999E-2</v>
      </c>
      <c r="X2196">
        <v>0.99537489999999995</v>
      </c>
      <c r="Y2196">
        <v>-0.25455699999999998</v>
      </c>
      <c r="Z2196">
        <v>-1.6061199999999999E-3</v>
      </c>
      <c r="AA2196">
        <v>0.96705649999999999</v>
      </c>
      <c r="AB2196">
        <v>29</v>
      </c>
      <c r="AC2196">
        <v>-57.876799999999903</v>
      </c>
      <c r="AD2196">
        <v>-0.65113259999999995</v>
      </c>
      <c r="AE2196">
        <v>-14.1830999999999</v>
      </c>
      <c r="AF2196">
        <v>-15.2394485113079</v>
      </c>
      <c r="AG2196">
        <v>-0.65113259999999995</v>
      </c>
      <c r="AH2196">
        <v>57.600310046371497</v>
      </c>
      <c r="AI2196">
        <v>90.626121149950606</v>
      </c>
      <c r="AJ2196">
        <v>104.81932906206001</v>
      </c>
      <c r="AK2196">
        <v>59.585740593112597</v>
      </c>
      <c r="AL2196">
        <v>91.105293867688204</v>
      </c>
      <c r="AM2196">
        <v>84.598911474561703</v>
      </c>
      <c r="AN2196">
        <v>0.99999996311096195</v>
      </c>
    </row>
    <row r="2197" spans="1:40" x14ac:dyDescent="0.25">
      <c r="A2197" t="str">
        <f>"20190312161310762"</f>
        <v>20190312161310762</v>
      </c>
      <c r="B2197" t="str">
        <f>"1552378390757753"</f>
        <v>1552378390757753</v>
      </c>
      <c r="C2197" t="s">
        <v>40</v>
      </c>
      <c r="D2197">
        <v>5.0341110000000002</v>
      </c>
      <c r="E2197">
        <v>0.3602303</v>
      </c>
      <c r="F2197" t="s">
        <v>73</v>
      </c>
      <c r="G2197">
        <v>-512.82529999999997</v>
      </c>
      <c r="H2197">
        <v>0.47691869999999997</v>
      </c>
      <c r="I2197">
        <v>272.50380000000001</v>
      </c>
      <c r="J2197">
        <v>-455.24790000000002</v>
      </c>
      <c r="K2197">
        <v>1.1103419999999999</v>
      </c>
      <c r="L2197">
        <v>286.75110000000001</v>
      </c>
      <c r="M2197">
        <v>-0.99973820000000002</v>
      </c>
      <c r="N2197">
        <v>0</v>
      </c>
      <c r="O2197">
        <v>1.7943379999999998E-2</v>
      </c>
      <c r="P2197">
        <v>-0.99322089999999996</v>
      </c>
      <c r="Q2197">
        <v>-3.353623E-2</v>
      </c>
      <c r="R2197">
        <v>0.1112998</v>
      </c>
      <c r="S2197">
        <v>-3.1061100000000001</v>
      </c>
      <c r="T2197">
        <v>-3.3987049999999998E-2</v>
      </c>
      <c r="U2197">
        <v>-0.76434329999999995</v>
      </c>
      <c r="V2197">
        <v>9.3469899999999995E-2</v>
      </c>
      <c r="W2197">
        <v>-1.9341029999999999E-2</v>
      </c>
      <c r="X2197">
        <v>0.99543419999999905</v>
      </c>
      <c r="Y2197">
        <v>-0.256320399999999</v>
      </c>
      <c r="Z2197">
        <v>-1.5752419999999999E-3</v>
      </c>
      <c r="AA2197">
        <v>0.96659059999999997</v>
      </c>
      <c r="AB2197">
        <v>29</v>
      </c>
      <c r="AC2197">
        <v>-57.577399999999898</v>
      </c>
      <c r="AD2197">
        <v>-0.63342330000000002</v>
      </c>
      <c r="AE2197">
        <v>-14.2472999999999</v>
      </c>
      <c r="AF2197">
        <v>-15.2765008915634</v>
      </c>
      <c r="AG2197">
        <v>-0.63342330000000002</v>
      </c>
      <c r="AH2197">
        <v>57.305922518164301</v>
      </c>
      <c r="AI2197">
        <v>90.611917627852506</v>
      </c>
      <c r="AJ2197">
        <v>104.92667662442101</v>
      </c>
      <c r="AK2197">
        <v>59.310551002538901</v>
      </c>
      <c r="AL2197">
        <v>91.108228522206801</v>
      </c>
      <c r="AM2197">
        <v>84.635733832153704</v>
      </c>
      <c r="AN2197">
        <v>0.99999997208855396</v>
      </c>
    </row>
    <row r="2198" spans="1:40" x14ac:dyDescent="0.25">
      <c r="A2198" t="str">
        <f>"20190312161310785"</f>
        <v>20190312161310785</v>
      </c>
      <c r="B2198" t="str">
        <f>"1552378390778246"</f>
        <v>1552378390778246</v>
      </c>
      <c r="C2198" t="s">
        <v>40</v>
      </c>
      <c r="D2198">
        <v>5.0031559999999997</v>
      </c>
      <c r="E2198">
        <v>0.3598594</v>
      </c>
      <c r="F2198" t="s">
        <v>73</v>
      </c>
      <c r="G2198">
        <v>-512.82529999999997</v>
      </c>
      <c r="H2198">
        <v>0.52835069999999995</v>
      </c>
      <c r="I2198">
        <v>272.4384</v>
      </c>
      <c r="J2198">
        <v>-455.53899999999999</v>
      </c>
      <c r="K2198">
        <v>1.1104099999999999</v>
      </c>
      <c r="L2198">
        <v>286.7559</v>
      </c>
      <c r="M2198">
        <v>-0.99974600000000002</v>
      </c>
      <c r="N2198">
        <v>0</v>
      </c>
      <c r="O2198">
        <v>1.7500470000000001E-2</v>
      </c>
      <c r="P2198">
        <v>-0.99325929999999996</v>
      </c>
      <c r="Q2198">
        <v>-3.3545350000000002E-2</v>
      </c>
      <c r="R2198">
        <v>0.11095389999999999</v>
      </c>
      <c r="S2198">
        <v>-3.105896</v>
      </c>
      <c r="T2198">
        <v>-3.138995E-2</v>
      </c>
      <c r="U2198">
        <v>-0.77206419999999998</v>
      </c>
      <c r="V2198">
        <v>9.3567189999999995E-2</v>
      </c>
      <c r="W2198">
        <v>-1.9339889999999998E-2</v>
      </c>
      <c r="X2198">
        <v>0.99542509999999995</v>
      </c>
      <c r="Y2198">
        <v>-0.25817370000000001</v>
      </c>
      <c r="Z2198">
        <v>-1.45935799999999E-3</v>
      </c>
      <c r="AA2198">
        <v>0.9660974</v>
      </c>
      <c r="AB2198">
        <v>29</v>
      </c>
      <c r="AC2198">
        <v>-57.286299999999898</v>
      </c>
      <c r="AD2198">
        <v>-0.58205929999999995</v>
      </c>
      <c r="AE2198">
        <v>-14.3174999999999</v>
      </c>
      <c r="AF2198">
        <v>-15.3164569318249</v>
      </c>
      <c r="AG2198">
        <v>-0.58205929999999995</v>
      </c>
      <c r="AH2198">
        <v>57.021396279675201</v>
      </c>
      <c r="AI2198">
        <v>90.564819938635907</v>
      </c>
      <c r="AJ2198">
        <v>105.035262872761</v>
      </c>
      <c r="AK2198">
        <v>59.0455102413124</v>
      </c>
      <c r="AL2198">
        <v>91.108163172890301</v>
      </c>
      <c r="AM2198">
        <v>84.630134147711004</v>
      </c>
      <c r="AN2198">
        <v>0.99999999004985896</v>
      </c>
    </row>
    <row r="2199" spans="1:40" x14ac:dyDescent="0.25">
      <c r="A2199" t="str">
        <f>"20190312161310808"</f>
        <v>20190312161310808</v>
      </c>
      <c r="B2199" t="str">
        <f>"1552378390797766"</f>
        <v>1552378390797766</v>
      </c>
      <c r="C2199" t="s">
        <v>40</v>
      </c>
      <c r="D2199">
        <v>5.0199290000000003</v>
      </c>
      <c r="E2199">
        <v>0.35957670000000003</v>
      </c>
      <c r="F2199" t="s">
        <v>73</v>
      </c>
      <c r="G2199">
        <v>-512.82529999999997</v>
      </c>
      <c r="H2199">
        <v>0.57892069999999995</v>
      </c>
      <c r="I2199">
        <v>272.44540000000001</v>
      </c>
      <c r="J2199">
        <v>-455.83769999999998</v>
      </c>
      <c r="K2199">
        <v>1.1104719999999999</v>
      </c>
      <c r="L2199">
        <v>286.76060000000001</v>
      </c>
      <c r="M2199">
        <v>-0.99975519999999996</v>
      </c>
      <c r="N2199">
        <v>0</v>
      </c>
      <c r="O2199">
        <v>1.6969000000000001E-2</v>
      </c>
      <c r="P2199">
        <v>-0.99333629999999995</v>
      </c>
      <c r="Q2199">
        <v>-3.3145470000000003E-2</v>
      </c>
      <c r="R2199">
        <v>0.1103846</v>
      </c>
      <c r="S2199">
        <v>-3.1060490000000001</v>
      </c>
      <c r="T2199">
        <v>-2.8812770000000001E-2</v>
      </c>
      <c r="U2199">
        <v>-0.77590939999999997</v>
      </c>
      <c r="V2199">
        <v>9.3527990000000005E-2</v>
      </c>
      <c r="W2199">
        <v>-1.8929020000000001E-2</v>
      </c>
      <c r="X2199">
        <v>0.99543669999999995</v>
      </c>
      <c r="Y2199">
        <v>-0.25877709999999998</v>
      </c>
      <c r="Z2199">
        <v>-1.3371819999999999E-3</v>
      </c>
      <c r="AA2199">
        <v>0.96593609999999996</v>
      </c>
      <c r="AB2199">
        <v>29</v>
      </c>
      <c r="AC2199">
        <v>-56.987599999999901</v>
      </c>
      <c r="AD2199">
        <v>-0.53155129999999995</v>
      </c>
      <c r="AE2199">
        <v>-14.315200000000001</v>
      </c>
      <c r="AF2199">
        <v>-15.279008094382799</v>
      </c>
      <c r="AG2199">
        <v>-0.53155129999999995</v>
      </c>
      <c r="AH2199">
        <v>56.731811113733798</v>
      </c>
      <c r="AI2199">
        <v>90.518351000798106</v>
      </c>
      <c r="AJ2199">
        <v>105.073251977903</v>
      </c>
      <c r="AK2199">
        <v>58.755672299592703</v>
      </c>
      <c r="AL2199">
        <v>91.084617725155894</v>
      </c>
      <c r="AM2199">
        <v>84.632432896463001</v>
      </c>
      <c r="AN2199">
        <v>1.00000000820924</v>
      </c>
    </row>
    <row r="2200" spans="1:40" x14ac:dyDescent="0.25">
      <c r="A2200" t="str">
        <f>"20190312161310829"</f>
        <v>20190312161310829</v>
      </c>
      <c r="B2200" t="str">
        <f>"1552378390818262"</f>
        <v>1552378390818262</v>
      </c>
      <c r="C2200" t="s">
        <v>40</v>
      </c>
      <c r="D2200">
        <v>5.0326760000000004</v>
      </c>
      <c r="E2200">
        <v>0.35927870000000001</v>
      </c>
      <c r="F2200" t="s">
        <v>73</v>
      </c>
      <c r="G2200">
        <v>-512.82539999999995</v>
      </c>
      <c r="H2200">
        <v>0.62358630000000004</v>
      </c>
      <c r="I2200">
        <v>272.45280000000002</v>
      </c>
      <c r="J2200">
        <v>-456.11720000000003</v>
      </c>
      <c r="K2200">
        <v>1.110528</v>
      </c>
      <c r="L2200">
        <v>286.7647</v>
      </c>
      <c r="M2200">
        <v>-0.99976469999999995</v>
      </c>
      <c r="N2200">
        <v>0</v>
      </c>
      <c r="O2200">
        <v>1.6394260000000001E-2</v>
      </c>
      <c r="P2200">
        <v>-0.99342909999999995</v>
      </c>
      <c r="Q2200">
        <v>-3.3354109999999999E-2</v>
      </c>
      <c r="R2200">
        <v>0.10948139999999899</v>
      </c>
      <c r="S2200">
        <v>-3.1058650000000001</v>
      </c>
      <c r="T2200">
        <v>-2.6531220000000001E-2</v>
      </c>
      <c r="U2200">
        <v>-0.77978519999999996</v>
      </c>
      <c r="V2200">
        <v>9.3198279999999994E-2</v>
      </c>
      <c r="W2200">
        <v>-1.9127269999999998E-2</v>
      </c>
      <c r="X2200">
        <v>0.99546380000000001</v>
      </c>
      <c r="Y2200">
        <v>-0.25937110000000002</v>
      </c>
      <c r="Z2200">
        <v>-1.228846E-3</v>
      </c>
      <c r="AA2200">
        <v>0.965777</v>
      </c>
      <c r="AB2200">
        <v>29</v>
      </c>
      <c r="AC2200">
        <v>-56.708199999999898</v>
      </c>
      <c r="AD2200">
        <v>-0.48694169999999898</v>
      </c>
      <c r="AE2200">
        <v>-14.3118999999999</v>
      </c>
      <c r="AF2200">
        <v>-15.238702632912601</v>
      </c>
      <c r="AG2200">
        <v>-0.48694169999999898</v>
      </c>
      <c r="AH2200">
        <v>56.462006657406697</v>
      </c>
      <c r="AI2200">
        <v>90.477051560106204</v>
      </c>
      <c r="AJ2200">
        <v>105.103863024568</v>
      </c>
      <c r="AK2200">
        <v>58.484300166237603</v>
      </c>
      <c r="AL2200">
        <v>91.095978707255696</v>
      </c>
      <c r="AM2200">
        <v>84.651389769617396</v>
      </c>
      <c r="AN2200">
        <v>0.999999974481525</v>
      </c>
    </row>
    <row r="2201" spans="1:40" x14ac:dyDescent="0.25">
      <c r="A2201" t="str">
        <f>"20190312161310852"</f>
        <v>20190312161310852</v>
      </c>
      <c r="B2201" t="str">
        <f>"1552378390847545"</f>
        <v>1552378390847545</v>
      </c>
      <c r="C2201" t="s">
        <v>40</v>
      </c>
      <c r="D2201">
        <v>5.0651229999999998</v>
      </c>
      <c r="E2201">
        <v>0.35885299999999998</v>
      </c>
      <c r="F2201" t="s">
        <v>73</v>
      </c>
      <c r="G2201">
        <v>-512.82539999999995</v>
      </c>
      <c r="H2201">
        <v>0.61038729999999997</v>
      </c>
      <c r="I2201">
        <v>272.42860000000002</v>
      </c>
      <c r="J2201">
        <v>-456.4101</v>
      </c>
      <c r="K2201">
        <v>1.110589</v>
      </c>
      <c r="L2201">
        <v>286.7688</v>
      </c>
      <c r="M2201">
        <v>-0.99977579999999999</v>
      </c>
      <c r="N2201">
        <v>0</v>
      </c>
      <c r="O2201">
        <v>1.5718180000000002E-2</v>
      </c>
      <c r="P2201">
        <v>-0.99354390000000004</v>
      </c>
      <c r="Q2201">
        <v>-3.3727720000000003E-2</v>
      </c>
      <c r="R2201">
        <v>0.1083197</v>
      </c>
      <c r="S2201">
        <v>-3.1054080000000002</v>
      </c>
      <c r="T2201">
        <v>-2.7383919999999999E-2</v>
      </c>
      <c r="U2201">
        <v>-0.78506469999999995</v>
      </c>
      <c r="V2201">
        <v>9.2710780000000007E-2</v>
      </c>
      <c r="W2201">
        <v>-1.949062E-2</v>
      </c>
      <c r="X2201">
        <v>0.99550229999999995</v>
      </c>
      <c r="Y2201">
        <v>-0.26029479999999999</v>
      </c>
      <c r="Z2201">
        <v>-1.2663959999999999E-3</v>
      </c>
      <c r="AA2201">
        <v>0.96552839999999995</v>
      </c>
      <c r="AB2201">
        <v>29</v>
      </c>
      <c r="AC2201">
        <v>-56.415299999999903</v>
      </c>
      <c r="AD2201">
        <v>-0.50020169999999997</v>
      </c>
      <c r="AE2201">
        <v>-14.3401999999999</v>
      </c>
      <c r="AF2201">
        <v>-15.2241389952486</v>
      </c>
      <c r="AG2201">
        <v>-0.50020169999999997</v>
      </c>
      <c r="AH2201">
        <v>56.1787562511213</v>
      </c>
      <c r="AI2201">
        <v>90.492375560710698</v>
      </c>
      <c r="AJ2201">
        <v>105.162675608222</v>
      </c>
      <c r="AK2201">
        <v>58.207192543621503</v>
      </c>
      <c r="AL2201">
        <v>91.116800981607398</v>
      </c>
      <c r="AM2201">
        <v>84.679410793261596</v>
      </c>
      <c r="AN2201">
        <v>1.0000000011507399</v>
      </c>
    </row>
    <row r="2202" spans="1:40" x14ac:dyDescent="0.25">
      <c r="A2202" t="str">
        <f>"20190312161310874"</f>
        <v>20190312161310874</v>
      </c>
      <c r="B2202" t="str">
        <f>"1552378390868038"</f>
        <v>1552378390868038</v>
      </c>
      <c r="C2202" t="s">
        <v>40</v>
      </c>
      <c r="D2202">
        <v>5.0254659999999998</v>
      </c>
      <c r="E2202">
        <v>0.35863610000000001</v>
      </c>
      <c r="F2202" t="s">
        <v>73</v>
      </c>
      <c r="G2202">
        <v>-512.82539999999995</v>
      </c>
      <c r="H2202">
        <v>0.60905240000000005</v>
      </c>
      <c r="I2202">
        <v>272.3784</v>
      </c>
      <c r="J2202">
        <v>-456.70510000000002</v>
      </c>
      <c r="K2202">
        <v>1.1106400000000001</v>
      </c>
      <c r="L2202">
        <v>286.77269999999999</v>
      </c>
      <c r="M2202">
        <v>-0.99978719999999999</v>
      </c>
      <c r="N2202">
        <v>0</v>
      </c>
      <c r="O2202">
        <v>1.4978089999999999E-2</v>
      </c>
      <c r="P2202">
        <v>-0.99363259999999998</v>
      </c>
      <c r="Q2202">
        <v>-3.383332E-2</v>
      </c>
      <c r="R2202">
        <v>0.10746989999999899</v>
      </c>
      <c r="S2202">
        <v>-3.104889</v>
      </c>
      <c r="T2202">
        <v>-2.7598259999999999E-2</v>
      </c>
      <c r="U2202">
        <v>-0.79199219999999904</v>
      </c>
      <c r="V2202">
        <v>9.2598890000000003E-2</v>
      </c>
      <c r="W2202">
        <v>-1.9587569999999999E-2</v>
      </c>
      <c r="X2202">
        <v>0.99551080000000003</v>
      </c>
      <c r="Y2202">
        <v>-0.26164169999999998</v>
      </c>
      <c r="Z2202">
        <v>-1.275581E-3</v>
      </c>
      <c r="AA2202">
        <v>0.96516420000000003</v>
      </c>
      <c r="AB2202">
        <v>29</v>
      </c>
      <c r="AC2202">
        <v>-56.120299999999901</v>
      </c>
      <c r="AD2202">
        <v>-0.50158760000000002</v>
      </c>
      <c r="AE2202">
        <v>-14.3942999999999</v>
      </c>
      <c r="AF2202">
        <v>-15.232202752790901</v>
      </c>
      <c r="AG2202">
        <v>-0.50158760000000002</v>
      </c>
      <c r="AH2202">
        <v>55.894193081238697</v>
      </c>
      <c r="AI2202">
        <v>90.496061927727496</v>
      </c>
      <c r="AJ2202">
        <v>105.243985486738</v>
      </c>
      <c r="AK2202">
        <v>57.934725433244203</v>
      </c>
      <c r="AL2202">
        <v>91.122356880460501</v>
      </c>
      <c r="AM2202">
        <v>84.685840390276297</v>
      </c>
      <c r="AN2202">
        <v>0.99999999012218799</v>
      </c>
    </row>
    <row r="2203" spans="1:40" x14ac:dyDescent="0.25">
      <c r="A2203" t="str">
        <f>"20190312161310896"</f>
        <v>20190312161310896</v>
      </c>
      <c r="B2203" t="str">
        <f>"1552378390887558"</f>
        <v>1552378390887558</v>
      </c>
      <c r="C2203" t="s">
        <v>40</v>
      </c>
      <c r="D2203">
        <v>5.0675929999999996</v>
      </c>
      <c r="E2203">
        <v>0.35842849999999998</v>
      </c>
      <c r="F2203" t="s">
        <v>73</v>
      </c>
      <c r="G2203">
        <v>-512.82539999999995</v>
      </c>
      <c r="H2203">
        <v>0.64902819999999894</v>
      </c>
      <c r="I2203">
        <v>272.37490000000003</v>
      </c>
      <c r="J2203">
        <v>-456.98790000000002</v>
      </c>
      <c r="K2203">
        <v>1.110687</v>
      </c>
      <c r="L2203">
        <v>286.77609999999999</v>
      </c>
      <c r="M2203">
        <v>-0.99979839999999998</v>
      </c>
      <c r="N2203">
        <v>0</v>
      </c>
      <c r="O2203">
        <v>1.421561E-2</v>
      </c>
      <c r="P2203">
        <v>-0.99371189999999998</v>
      </c>
      <c r="Q2203">
        <v>-3.3810819999999998E-2</v>
      </c>
      <c r="R2203">
        <v>0.1067408</v>
      </c>
      <c r="S2203">
        <v>-3.1044309999999999</v>
      </c>
      <c r="T2203">
        <v>-2.55307E-2</v>
      </c>
      <c r="U2203">
        <v>-0.79644780000000004</v>
      </c>
      <c r="V2203">
        <v>9.2629520000000007E-2</v>
      </c>
      <c r="W2203">
        <v>-1.9557959999999999E-2</v>
      </c>
      <c r="X2203">
        <v>0.99550859999999997</v>
      </c>
      <c r="Y2203">
        <v>-0.26224130000000001</v>
      </c>
      <c r="Z2203">
        <v>-1.1762350000000001E-3</v>
      </c>
      <c r="AA2203">
        <v>0.96500160000000001</v>
      </c>
      <c r="AB2203">
        <v>29</v>
      </c>
      <c r="AC2203">
        <v>-55.837499999999899</v>
      </c>
      <c r="AD2203">
        <v>-0.46165879999999998</v>
      </c>
      <c r="AE2203">
        <v>-14.4011999999999</v>
      </c>
      <c r="AF2203">
        <v>-15.192614684448699</v>
      </c>
      <c r="AG2203">
        <v>-0.46165879999999998</v>
      </c>
      <c r="AH2203">
        <v>55.623549059929402</v>
      </c>
      <c r="AI2203">
        <v>90.458724621581297</v>
      </c>
      <c r="AJ2203">
        <v>105.276741926092</v>
      </c>
      <c r="AK2203">
        <v>57.662881300019301</v>
      </c>
      <c r="AL2203">
        <v>91.120659952146497</v>
      </c>
      <c r="AM2203">
        <v>84.684080952857897</v>
      </c>
      <c r="AN2203">
        <v>1.0000000572243699</v>
      </c>
    </row>
    <row r="2204" spans="1:40" x14ac:dyDescent="0.25">
      <c r="A2204" t="str">
        <f>"20190312161310914"</f>
        <v>20190312161310914</v>
      </c>
      <c r="B2204" t="str">
        <f>"1552378390907585"</f>
        <v>1552378390907585</v>
      </c>
      <c r="C2204" t="s">
        <v>40</v>
      </c>
      <c r="D2204">
        <v>5.0755610000000004</v>
      </c>
      <c r="E2204">
        <v>0.35816559999999997</v>
      </c>
      <c r="F2204" t="s">
        <v>73</v>
      </c>
      <c r="G2204">
        <v>-512.82539999999995</v>
      </c>
      <c r="H2204">
        <v>0.66642519999999905</v>
      </c>
      <c r="I2204">
        <v>272.3818</v>
      </c>
      <c r="J2204">
        <v>-457.21749999999997</v>
      </c>
      <c r="K2204">
        <v>1.1107229999999999</v>
      </c>
      <c r="L2204">
        <v>286.77870000000001</v>
      </c>
      <c r="M2204">
        <v>-0.99980740000000001</v>
      </c>
      <c r="N2204">
        <v>0</v>
      </c>
      <c r="O2204">
        <v>1.355779E-2</v>
      </c>
      <c r="P2204">
        <v>-0.99379770000000001</v>
      </c>
      <c r="Q2204">
        <v>-3.3659429999999997E-2</v>
      </c>
      <c r="R2204">
        <v>0.1059866</v>
      </c>
      <c r="S2204">
        <v>-3.104095</v>
      </c>
      <c r="T2204">
        <v>-2.4692769999999999E-2</v>
      </c>
      <c r="U2204">
        <v>-0.80020139999999995</v>
      </c>
      <c r="V2204">
        <v>9.2530370000000001E-2</v>
      </c>
      <c r="W2204">
        <v>-1.9401160000000001E-2</v>
      </c>
      <c r="X2204">
        <v>0.99552079999999998</v>
      </c>
      <c r="Y2204">
        <v>-0.26272649999999997</v>
      </c>
      <c r="Z2204">
        <v>-1.134328E-3</v>
      </c>
      <c r="AA2204">
        <v>0.96486970000000005</v>
      </c>
      <c r="AB2204">
        <v>29</v>
      </c>
      <c r="AC2204">
        <v>-55.607899999999901</v>
      </c>
      <c r="AD2204">
        <v>-0.44429780000000002</v>
      </c>
      <c r="AE2204">
        <v>-14.3969</v>
      </c>
      <c r="AF2204">
        <v>-15.148666338911401</v>
      </c>
      <c r="AG2204">
        <v>-0.44429780000000002</v>
      </c>
      <c r="AH2204">
        <v>55.404263504978701</v>
      </c>
      <c r="AI2204">
        <v>90.443189475730307</v>
      </c>
      <c r="AJ2204">
        <v>105.292086137456</v>
      </c>
      <c r="AK2204">
        <v>57.439637071554202</v>
      </c>
      <c r="AL2204">
        <v>91.111674367742296</v>
      </c>
      <c r="AM2204">
        <v>84.689803234364604</v>
      </c>
      <c r="AN2204">
        <v>0.99999996880716002</v>
      </c>
    </row>
    <row r="2205" spans="1:40" x14ac:dyDescent="0.25">
      <c r="A2205" t="str">
        <f>"20190312161310930"</f>
        <v>20190312161310930</v>
      </c>
      <c r="B2205" t="str">
        <f>"1552378390918320"</f>
        <v>1552378390918320</v>
      </c>
      <c r="C2205" t="s">
        <v>40</v>
      </c>
      <c r="D2205">
        <v>5.0763449999999999</v>
      </c>
      <c r="E2205">
        <v>0.35801100000000002</v>
      </c>
      <c r="F2205" t="s">
        <v>73</v>
      </c>
      <c r="G2205">
        <v>-512.82539999999995</v>
      </c>
      <c r="H2205">
        <v>0.67823359999999899</v>
      </c>
      <c r="I2205">
        <v>272.36169999999998</v>
      </c>
      <c r="J2205">
        <v>-457.41930000000002</v>
      </c>
      <c r="K2205">
        <v>1.1107530000000001</v>
      </c>
      <c r="L2205">
        <v>286.78089999999997</v>
      </c>
      <c r="M2205">
        <v>-0.99981549999999997</v>
      </c>
      <c r="N2205">
        <v>0</v>
      </c>
      <c r="O2205">
        <v>1.295259E-2</v>
      </c>
      <c r="P2205">
        <v>-0.99386870000000005</v>
      </c>
      <c r="Q2205">
        <v>-3.3466509999999998E-2</v>
      </c>
      <c r="R2205">
        <v>0.1053791</v>
      </c>
      <c r="S2205">
        <v>-3.1037599999999999</v>
      </c>
      <c r="T2205">
        <v>-2.4134989999999999E-2</v>
      </c>
      <c r="U2205">
        <v>-0.8046875</v>
      </c>
      <c r="V2205">
        <v>9.2525369999999996E-2</v>
      </c>
      <c r="W2205">
        <v>-1.9203390000000001E-2</v>
      </c>
      <c r="X2205">
        <v>0.99552510000000005</v>
      </c>
      <c r="Y2205">
        <v>-0.26347520000000002</v>
      </c>
      <c r="Z2205">
        <v>-1.106854E-3</v>
      </c>
      <c r="AA2205">
        <v>0.96466549999999995</v>
      </c>
      <c r="AB2205">
        <v>29</v>
      </c>
      <c r="AC2205">
        <v>-55.406099999999903</v>
      </c>
      <c r="AD2205">
        <v>-0.4325194</v>
      </c>
      <c r="AE2205">
        <v>-14.419199999999901</v>
      </c>
      <c r="AF2205">
        <v>-15.1348510556381</v>
      </c>
      <c r="AG2205">
        <v>-0.4325194</v>
      </c>
      <c r="AH2205">
        <v>55.2115152421961</v>
      </c>
      <c r="AI2205">
        <v>90.432869398105694</v>
      </c>
      <c r="AJ2205">
        <v>105.329626461922</v>
      </c>
      <c r="AK2205">
        <v>57.249997422244299</v>
      </c>
      <c r="AL2205">
        <v>91.100340868785594</v>
      </c>
      <c r="AM2205">
        <v>84.690111341760499</v>
      </c>
      <c r="AN2205">
        <v>0.99999996950556902</v>
      </c>
    </row>
    <row r="2206" spans="1:40" x14ac:dyDescent="0.25">
      <c r="A2206" t="str">
        <f>"20190312161310945"</f>
        <v>20190312161310945</v>
      </c>
      <c r="B2206" t="str">
        <f>"1552378390937841"</f>
        <v>1552378390937841</v>
      </c>
      <c r="C2206" t="s">
        <v>40</v>
      </c>
      <c r="D2206">
        <v>5.2160489999999999</v>
      </c>
      <c r="E2206">
        <v>0.35807270000000002</v>
      </c>
      <c r="F2206" t="s">
        <v>73</v>
      </c>
      <c r="G2206">
        <v>-512.82539999999995</v>
      </c>
      <c r="H2206">
        <v>0.69194460000000002</v>
      </c>
      <c r="I2206">
        <v>272.35610000000003</v>
      </c>
      <c r="J2206">
        <v>-457.63420000000002</v>
      </c>
      <c r="K2206">
        <v>1.110787</v>
      </c>
      <c r="L2206">
        <v>286.78300000000002</v>
      </c>
      <c r="M2206">
        <v>-0.99982400000000005</v>
      </c>
      <c r="N2206">
        <v>0</v>
      </c>
      <c r="O2206">
        <v>1.227491E-2</v>
      </c>
      <c r="P2206">
        <v>-0.993923</v>
      </c>
      <c r="Q2206">
        <v>-3.3924370000000002E-2</v>
      </c>
      <c r="R2206">
        <v>0.1047193</v>
      </c>
      <c r="S2206">
        <v>-3.1033940000000002</v>
      </c>
      <c r="T2206">
        <v>-2.3453709999999999E-2</v>
      </c>
      <c r="U2206">
        <v>-0.80795289999999997</v>
      </c>
      <c r="V2206">
        <v>9.2541750000000006E-2</v>
      </c>
      <c r="W2206">
        <v>-1.9656010000000002E-2</v>
      </c>
      <c r="X2206">
        <v>0.99551480000000003</v>
      </c>
      <c r="Y2206">
        <v>-0.26380019999999998</v>
      </c>
      <c r="Z2206">
        <v>-1.0717599999999999E-3</v>
      </c>
      <c r="AA2206">
        <v>0.96457669999999995</v>
      </c>
      <c r="AB2206">
        <v>29</v>
      </c>
      <c r="AC2206">
        <v>-55.191199999999903</v>
      </c>
      <c r="AD2206">
        <v>-0.4188424</v>
      </c>
      <c r="AE2206">
        <v>-14.4268999999999</v>
      </c>
      <c r="AF2206">
        <v>-15.102533920162401</v>
      </c>
      <c r="AG2206">
        <v>-0.4188424</v>
      </c>
      <c r="AH2206">
        <v>55.006969019366103</v>
      </c>
      <c r="AI2206">
        <v>90.420694167801798</v>
      </c>
      <c r="AJ2206">
        <v>105.352637087304</v>
      </c>
      <c r="AK2206">
        <v>57.0440934756895</v>
      </c>
      <c r="AL2206">
        <v>91.126278918765095</v>
      </c>
      <c r="AM2206">
        <v>84.689122059558898</v>
      </c>
      <c r="AN2206">
        <v>1.0000000256206101</v>
      </c>
    </row>
    <row r="2207" spans="1:40" x14ac:dyDescent="0.25">
      <c r="A2207" t="str">
        <f>"20190312161310964"</f>
        <v>20190312161310964</v>
      </c>
      <c r="B2207" t="str">
        <f>"1552378390958337"</f>
        <v>1552378390958337</v>
      </c>
      <c r="C2207" t="s">
        <v>40</v>
      </c>
      <c r="D2207">
        <v>5.0678280000000004</v>
      </c>
      <c r="E2207">
        <v>0.40677180000000002</v>
      </c>
      <c r="F2207" t="s">
        <v>73</v>
      </c>
      <c r="G2207">
        <v>-512.82539999999995</v>
      </c>
      <c r="H2207">
        <v>0.65407689999999996</v>
      </c>
      <c r="I2207">
        <v>272.38240000000002</v>
      </c>
      <c r="J2207">
        <v>-457.86180000000002</v>
      </c>
      <c r="K2207">
        <v>1.110811</v>
      </c>
      <c r="L2207">
        <v>286.78500000000003</v>
      </c>
      <c r="M2207">
        <v>-0.99983310000000003</v>
      </c>
      <c r="N2207">
        <v>0</v>
      </c>
      <c r="O2207">
        <v>1.1522009999999999E-2</v>
      </c>
      <c r="P2207">
        <v>-0.99394130000000003</v>
      </c>
      <c r="Q2207">
        <v>-3.4061840000000003E-2</v>
      </c>
      <c r="R2207">
        <v>0.1045017</v>
      </c>
      <c r="S2207">
        <v>-3.1027529999999999</v>
      </c>
      <c r="T2207">
        <v>-2.5670889999999998E-2</v>
      </c>
      <c r="U2207">
        <v>-0.80957029999999996</v>
      </c>
      <c r="V2207">
        <v>9.307522E-2</v>
      </c>
      <c r="W2207">
        <v>-1.9787140000000002E-2</v>
      </c>
      <c r="X2207">
        <v>0.99546239999999997</v>
      </c>
      <c r="Y2207">
        <v>-0.26359189999999999</v>
      </c>
      <c r="Z2207">
        <v>-1.1662549999999999E-3</v>
      </c>
      <c r="AA2207">
        <v>0.96463359999999998</v>
      </c>
      <c r="AB2207">
        <v>29</v>
      </c>
      <c r="AC2207">
        <v>-54.9635999999999</v>
      </c>
      <c r="AD2207">
        <v>-0.45673409999999898</v>
      </c>
      <c r="AE2207">
        <v>-14.4026</v>
      </c>
      <c r="AF2207">
        <v>-15.0340271363828</v>
      </c>
      <c r="AG2207">
        <v>-0.45673409999999898</v>
      </c>
      <c r="AH2207">
        <v>54.790446869324001</v>
      </c>
      <c r="AI2207">
        <v>90.460584098620302</v>
      </c>
      <c r="AJ2207">
        <v>105.34382737044299</v>
      </c>
      <c r="AK2207">
        <v>56.817458990312197</v>
      </c>
      <c r="AL2207">
        <v>91.133793651605004</v>
      </c>
      <c r="AM2207">
        <v>84.6584037851419</v>
      </c>
      <c r="AN2207">
        <v>0.99999995865059299</v>
      </c>
    </row>
    <row r="2208" spans="1:40" x14ac:dyDescent="0.25">
      <c r="A2208" t="str">
        <f>"20190312161310987"</f>
        <v>20190312161310987</v>
      </c>
      <c r="B2208" t="str">
        <f>"1552378390977857"</f>
        <v>1552378390977857</v>
      </c>
      <c r="C2208" t="s">
        <v>40</v>
      </c>
      <c r="D2208">
        <v>5.0984360000000004</v>
      </c>
      <c r="E2208">
        <v>0.42786800000000003</v>
      </c>
      <c r="F2208" t="s">
        <v>63</v>
      </c>
      <c r="G2208">
        <v>-493.18380000000002</v>
      </c>
      <c r="H2208" s="1">
        <v>3.1594959999999999E-6</v>
      </c>
      <c r="I2208">
        <v>281.86700000000002</v>
      </c>
      <c r="J2208">
        <v>-458.16149999999999</v>
      </c>
      <c r="K2208">
        <v>1.110862</v>
      </c>
      <c r="L2208">
        <v>286.78730000000002</v>
      </c>
      <c r="M2208">
        <v>-0.99984459999999997</v>
      </c>
      <c r="N2208">
        <v>0</v>
      </c>
      <c r="O2208">
        <v>1.047731E-2</v>
      </c>
      <c r="P2208">
        <v>-0.99404190000000003</v>
      </c>
      <c r="Q2208">
        <v>-3.4236809999999999E-2</v>
      </c>
      <c r="R2208">
        <v>0.1034848</v>
      </c>
      <c r="S2208">
        <v>-3.0597840000000001</v>
      </c>
      <c r="T2208">
        <v>-9.622443E-2</v>
      </c>
      <c r="U2208">
        <v>-0.4260254</v>
      </c>
      <c r="V2208">
        <v>9.3099940000000006E-2</v>
      </c>
      <c r="W2208">
        <v>-1.9953160000000001E-2</v>
      </c>
      <c r="X2208">
        <v>0.99545680000000003</v>
      </c>
      <c r="Y2208">
        <v>-0.1481972</v>
      </c>
      <c r="Z2208">
        <v>-2.6464290000000001E-3</v>
      </c>
      <c r="AA2208">
        <v>0.98895429999999995</v>
      </c>
      <c r="AB2208">
        <v>29</v>
      </c>
      <c r="AC2208">
        <v>-35.022300000000001</v>
      </c>
      <c r="AD2208">
        <v>-1.1108588405040001</v>
      </c>
      <c r="AE2208">
        <v>-4.9202999999999903</v>
      </c>
      <c r="AF2208">
        <v>-5.2817952491882902</v>
      </c>
      <c r="AG2208">
        <v>-1.1108588405040001</v>
      </c>
      <c r="AH2208">
        <v>34.934354455257399</v>
      </c>
      <c r="AI2208">
        <v>91.800851283936893</v>
      </c>
      <c r="AJ2208">
        <v>98.597548142280502</v>
      </c>
      <c r="AK2208">
        <v>35.348840003929901</v>
      </c>
      <c r="AL2208">
        <v>91.143307746670004</v>
      </c>
      <c r="AM2208">
        <v>84.656963427754206</v>
      </c>
      <c r="AN2208">
        <v>0.99999998404411405</v>
      </c>
    </row>
    <row r="2209" spans="1:40" x14ac:dyDescent="0.25">
      <c r="A2209" t="str">
        <f>"20190312161311009"</f>
        <v>20190312161311009</v>
      </c>
      <c r="B2209" t="str">
        <f>"1552378390997883"</f>
        <v>1552378390997883</v>
      </c>
      <c r="C2209" t="s">
        <v>40</v>
      </c>
      <c r="D2209">
        <v>5.1397779999999997</v>
      </c>
      <c r="E2209">
        <v>0.43549080000000001</v>
      </c>
      <c r="F2209" t="s">
        <v>63</v>
      </c>
      <c r="G2209">
        <v>-489.53399999999999</v>
      </c>
      <c r="H2209" s="1">
        <v>3.850377E-6</v>
      </c>
      <c r="I2209">
        <v>284.084</v>
      </c>
      <c r="J2209">
        <v>-458.43520000000001</v>
      </c>
      <c r="K2209">
        <v>1.110914</v>
      </c>
      <c r="L2209">
        <v>286.78910000000002</v>
      </c>
      <c r="M2209">
        <v>-0.99985469999999999</v>
      </c>
      <c r="N2209">
        <v>0</v>
      </c>
      <c r="O2209">
        <v>9.4579130000000001E-3</v>
      </c>
      <c r="P2209">
        <v>-0.99419930000000001</v>
      </c>
      <c r="Q2209">
        <v>-3.405681E-2</v>
      </c>
      <c r="R2209">
        <v>0.10201979999999999</v>
      </c>
      <c r="S2209">
        <v>-3.0415649999999999</v>
      </c>
      <c r="T2209">
        <v>-0.1076978</v>
      </c>
      <c r="U2209">
        <v>-0.26208500000000001</v>
      </c>
      <c r="V2209">
        <v>9.2649750000000003E-2</v>
      </c>
      <c r="W2209">
        <v>-1.9764469999999999E-2</v>
      </c>
      <c r="X2209">
        <v>0.99550260000000002</v>
      </c>
      <c r="Y2209">
        <v>-9.5204670000000005E-2</v>
      </c>
      <c r="Z2209">
        <v>-2.0161279999999998E-3</v>
      </c>
      <c r="AA2209">
        <v>0.99545570000000005</v>
      </c>
      <c r="AB2209">
        <v>29</v>
      </c>
      <c r="AC2209">
        <v>-31.098799999999901</v>
      </c>
      <c r="AD2209">
        <v>-1.1109101496230001</v>
      </c>
      <c r="AE2209">
        <v>-2.7051000000000101</v>
      </c>
      <c r="AF2209">
        <v>-2.9953447798130401</v>
      </c>
      <c r="AG2209">
        <v>-1.1109101496230001</v>
      </c>
      <c r="AH2209">
        <v>31.032519643581001</v>
      </c>
      <c r="AI2209">
        <v>92.040737314160097</v>
      </c>
      <c r="AJ2209">
        <v>95.513268002491799</v>
      </c>
      <c r="AK2209">
        <v>31.1965300496663</v>
      </c>
      <c r="AL2209">
        <v>91.132494434347706</v>
      </c>
      <c r="AM2209">
        <v>84.682894763047699</v>
      </c>
      <c r="AN2209">
        <v>1.0000000185280999</v>
      </c>
    </row>
    <row r="2210" spans="1:40" x14ac:dyDescent="0.25">
      <c r="A2210" t="str">
        <f>"20190312161311032"</f>
        <v>20190312161311032</v>
      </c>
      <c r="B2210" t="str">
        <f>"1552378391028139"</f>
        <v>1552378391028139</v>
      </c>
      <c r="C2210" t="s">
        <v>40</v>
      </c>
      <c r="D2210">
        <v>5.0979409999999996</v>
      </c>
      <c r="E2210">
        <v>0.44044909999999998</v>
      </c>
      <c r="F2210" t="s">
        <v>63</v>
      </c>
      <c r="G2210">
        <v>-490.98790000000002</v>
      </c>
      <c r="H2210" s="1">
        <v>3.7862299999999998E-6</v>
      </c>
      <c r="I2210">
        <v>284.5804</v>
      </c>
      <c r="J2210">
        <v>-458.72980000000001</v>
      </c>
      <c r="K2210">
        <v>1.110973</v>
      </c>
      <c r="L2210">
        <v>286.79059999999998</v>
      </c>
      <c r="M2210">
        <v>-0.99986520000000001</v>
      </c>
      <c r="N2210">
        <v>0</v>
      </c>
      <c r="O2210">
        <v>8.287137E-3</v>
      </c>
      <c r="P2210">
        <v>-0.99435340000000005</v>
      </c>
      <c r="Q2210">
        <v>-3.410564E-2</v>
      </c>
      <c r="R2210">
        <v>0.10049139999999999</v>
      </c>
      <c r="S2210">
        <v>-3.035126</v>
      </c>
      <c r="T2210">
        <v>-0.1035784</v>
      </c>
      <c r="U2210">
        <v>-0.20593259999999999</v>
      </c>
      <c r="V2210">
        <v>9.2288049999999996E-2</v>
      </c>
      <c r="W2210">
        <v>-1.9803620000000001E-2</v>
      </c>
      <c r="X2210">
        <v>0.99553539999999996</v>
      </c>
      <c r="Y2210">
        <v>-7.5911980000000004E-2</v>
      </c>
      <c r="Z2210">
        <v>-1.575896E-3</v>
      </c>
      <c r="AA2210">
        <v>0.99711329999999998</v>
      </c>
      <c r="AB2210">
        <v>29</v>
      </c>
      <c r="AC2210">
        <v>-32.258099999999999</v>
      </c>
      <c r="AD2210">
        <v>-1.11096921377</v>
      </c>
      <c r="AE2210">
        <v>-2.21019999999998</v>
      </c>
      <c r="AF2210">
        <v>-2.4745568482250402</v>
      </c>
      <c r="AG2210">
        <v>-1.11096921377</v>
      </c>
      <c r="AH2210">
        <v>32.2006588033273</v>
      </c>
      <c r="AI2210">
        <v>91.970198850805701</v>
      </c>
      <c r="AJ2210">
        <v>94.394430140704799</v>
      </c>
      <c r="AK2210">
        <v>32.3147042622603</v>
      </c>
      <c r="AL2210">
        <v>91.134738024111996</v>
      </c>
      <c r="AM2210">
        <v>84.703707706163996</v>
      </c>
      <c r="AN2210">
        <v>1.00000000009553</v>
      </c>
    </row>
    <row r="2211" spans="1:40" x14ac:dyDescent="0.25">
      <c r="A2211" t="str">
        <f>"20190312161311054"</f>
        <v>20190312161311054</v>
      </c>
      <c r="B2211" t="str">
        <f>"1552378391047660"</f>
        <v>1552378391047660</v>
      </c>
      <c r="C2211" t="s">
        <v>40</v>
      </c>
      <c r="D2211">
        <v>5.1641240000000002</v>
      </c>
      <c r="E2211">
        <v>0.44175910000000002</v>
      </c>
      <c r="F2211" t="s">
        <v>63</v>
      </c>
      <c r="G2211">
        <v>-488.37380000000002</v>
      </c>
      <c r="H2211" s="1">
        <v>3.7345060000000002E-6</v>
      </c>
      <c r="I2211">
        <v>285.11259999999999</v>
      </c>
      <c r="J2211">
        <v>-459.0138</v>
      </c>
      <c r="K2211">
        <v>1.1110180000000001</v>
      </c>
      <c r="L2211">
        <v>286.79160000000002</v>
      </c>
      <c r="M2211">
        <v>-0.99987440000000005</v>
      </c>
      <c r="N2211">
        <v>0</v>
      </c>
      <c r="O2211">
        <v>7.1031000000000002E-3</v>
      </c>
      <c r="P2211">
        <v>-0.99449849999999995</v>
      </c>
      <c r="Q2211">
        <v>-3.4523940000000003E-2</v>
      </c>
      <c r="R2211">
        <v>9.8898260000000002E-2</v>
      </c>
      <c r="S2211">
        <v>-3.0305179999999998</v>
      </c>
      <c r="T2211">
        <v>-0.113575</v>
      </c>
      <c r="U2211">
        <v>-0.17153929999999901</v>
      </c>
      <c r="V2211">
        <v>9.1875269999999995E-2</v>
      </c>
      <c r="W2211">
        <v>-2.0214449999999998E-2</v>
      </c>
      <c r="X2211">
        <v>0.99556529999999999</v>
      </c>
      <c r="Y2211">
        <v>-6.3555109999999998E-2</v>
      </c>
      <c r="Z2211">
        <v>-1.455497E-3</v>
      </c>
      <c r="AA2211">
        <v>0.99797729999999996</v>
      </c>
      <c r="AB2211">
        <v>29</v>
      </c>
      <c r="AC2211">
        <v>-29.36</v>
      </c>
      <c r="AD2211">
        <v>-1.1110142654940001</v>
      </c>
      <c r="AE2211">
        <v>-1.67900000000003</v>
      </c>
      <c r="AF2211">
        <v>-1.8848353967675899</v>
      </c>
      <c r="AG2211">
        <v>-1.1110142654940001</v>
      </c>
      <c r="AH2211">
        <v>29.305504711430601</v>
      </c>
      <c r="AI2211">
        <v>92.1666540447562</v>
      </c>
      <c r="AJ2211">
        <v>93.680010738128701</v>
      </c>
      <c r="AK2211">
        <v>29.387064561856501</v>
      </c>
      <c r="AL2211">
        <v>91.158281588525398</v>
      </c>
      <c r="AM2211">
        <v>84.727420266274507</v>
      </c>
      <c r="AN2211">
        <v>0.99999997789523198</v>
      </c>
    </row>
    <row r="2212" spans="1:40" x14ac:dyDescent="0.25">
      <c r="A2212" t="str">
        <f>"20190312161311077"</f>
        <v>20190312161311077</v>
      </c>
      <c r="B2212" t="str">
        <f>"1552378391068155"</f>
        <v>1552378391068155</v>
      </c>
      <c r="C2212" t="s">
        <v>40</v>
      </c>
      <c r="D2212">
        <v>5.1816149999999999</v>
      </c>
      <c r="E2212">
        <v>0.4425096</v>
      </c>
      <c r="F2212" t="s">
        <v>63</v>
      </c>
      <c r="G2212">
        <v>-487.61239999999998</v>
      </c>
      <c r="H2212" s="1">
        <v>3.6090020000000001E-6</v>
      </c>
      <c r="I2212">
        <v>285.22179999999997</v>
      </c>
      <c r="J2212">
        <v>-459.3141</v>
      </c>
      <c r="K2212">
        <v>1.1110629999999999</v>
      </c>
      <c r="L2212">
        <v>286.79230000000001</v>
      </c>
      <c r="M2212">
        <v>-0.99988290000000002</v>
      </c>
      <c r="N2212">
        <v>0</v>
      </c>
      <c r="O2212">
        <v>5.7914560000000004E-3</v>
      </c>
      <c r="P2212">
        <v>-0.9946777</v>
      </c>
      <c r="Q2212">
        <v>-3.4874139999999998E-2</v>
      </c>
      <c r="R2212">
        <v>9.6956479999999998E-2</v>
      </c>
      <c r="S2212">
        <v>-3.0290219999999999</v>
      </c>
      <c r="T2212">
        <v>-0.1176729</v>
      </c>
      <c r="U2212">
        <v>-0.16625980000000001</v>
      </c>
      <c r="V2212">
        <v>9.1240929999999998E-2</v>
      </c>
      <c r="W2212">
        <v>-2.055823E-2</v>
      </c>
      <c r="X2212">
        <v>0.99561659999999996</v>
      </c>
      <c r="Y2212">
        <v>-6.0538960000000003E-2</v>
      </c>
      <c r="Z2212">
        <v>-1.3993629999999901E-3</v>
      </c>
      <c r="AA2212">
        <v>0.99816479999999996</v>
      </c>
      <c r="AB2212">
        <v>29</v>
      </c>
      <c r="AC2212">
        <v>-28.298299999999902</v>
      </c>
      <c r="AD2212">
        <v>-1.111059390998</v>
      </c>
      <c r="AE2212">
        <v>-1.57050000000003</v>
      </c>
      <c r="AF2212">
        <v>-1.7317171514163301</v>
      </c>
      <c r="AG2212">
        <v>-1.111059390998</v>
      </c>
      <c r="AH2212">
        <v>28.245321428535298</v>
      </c>
      <c r="AI2212">
        <v>92.248410839915195</v>
      </c>
      <c r="AJ2212">
        <v>93.508405612669605</v>
      </c>
      <c r="AK2212">
        <v>28.320160307881501</v>
      </c>
      <c r="AL2212">
        <v>91.177982822661505</v>
      </c>
      <c r="AM2212">
        <v>84.763889300071298</v>
      </c>
      <c r="AN2212">
        <v>0.99999998116177802</v>
      </c>
    </row>
    <row r="2213" spans="1:40" x14ac:dyDescent="0.25">
      <c r="A2213" t="str">
        <f>"20190312161311097"</f>
        <v>20190312161311097</v>
      </c>
      <c r="B2213" t="str">
        <f>"1552378391087676"</f>
        <v>1552378391087676</v>
      </c>
      <c r="C2213" t="s">
        <v>40</v>
      </c>
      <c r="D2213">
        <v>5.2307880000000004</v>
      </c>
      <c r="E2213">
        <v>0.443019</v>
      </c>
      <c r="F2213" t="s">
        <v>63</v>
      </c>
      <c r="G2213">
        <v>-487.29419999999999</v>
      </c>
      <c r="H2213" s="1">
        <v>3.5557449999999999E-6</v>
      </c>
      <c r="I2213">
        <v>285.25830000000002</v>
      </c>
      <c r="J2213">
        <v>-459.5831</v>
      </c>
      <c r="K2213">
        <v>1.1110990000000001</v>
      </c>
      <c r="L2213">
        <v>286.79250000000002</v>
      </c>
      <c r="M2213">
        <v>-0.99988929999999998</v>
      </c>
      <c r="N2213">
        <v>0</v>
      </c>
      <c r="O2213">
        <v>4.5625329999999997E-3</v>
      </c>
      <c r="P2213">
        <v>-0.99486189999999997</v>
      </c>
      <c r="Q2213">
        <v>-3.452392E-2</v>
      </c>
      <c r="R2213">
        <v>9.5175209999999996E-2</v>
      </c>
      <c r="S2213">
        <v>-3.0280459999999998</v>
      </c>
      <c r="T2213">
        <v>-0.12024029999999999</v>
      </c>
      <c r="U2213">
        <v>-0.16601560000000001</v>
      </c>
      <c r="V2213">
        <v>9.0683050000000001E-2</v>
      </c>
      <c r="W2213">
        <v>-2.0202210000000002E-2</v>
      </c>
      <c r="X2213">
        <v>0.99567479999999997</v>
      </c>
      <c r="Y2213">
        <v>-5.924923E-2</v>
      </c>
      <c r="Z2213">
        <v>-1.356005E-3</v>
      </c>
      <c r="AA2213">
        <v>0.99824230000000003</v>
      </c>
      <c r="AB2213">
        <v>29</v>
      </c>
      <c r="AC2213">
        <v>-27.711099999999899</v>
      </c>
      <c r="AD2213">
        <v>-1.1110954442550001</v>
      </c>
      <c r="AE2213">
        <v>-1.53419999999999</v>
      </c>
      <c r="AF2213">
        <v>-1.65797220117857</v>
      </c>
      <c r="AG2213">
        <v>-1.1110954442550001</v>
      </c>
      <c r="AH2213">
        <v>27.6594797157348</v>
      </c>
      <c r="AI2213">
        <v>92.2962467787832</v>
      </c>
      <c r="AJ2213">
        <v>93.430334943488702</v>
      </c>
      <c r="AK2213">
        <v>27.7313941779217</v>
      </c>
      <c r="AL2213">
        <v>91.157580204892099</v>
      </c>
      <c r="AM2213">
        <v>84.796030966956494</v>
      </c>
      <c r="AN2213">
        <v>0.99999992610060995</v>
      </c>
    </row>
    <row r="2214" spans="1:40" x14ac:dyDescent="0.25">
      <c r="A2214" t="str">
        <f>"20190312161311120"</f>
        <v>20190312161311120</v>
      </c>
      <c r="B2214" t="str">
        <f>"1552378391107702"</f>
        <v>1552378391107702</v>
      </c>
      <c r="C2214" t="s">
        <v>40</v>
      </c>
      <c r="D2214">
        <v>5.2602409999999997</v>
      </c>
      <c r="E2214">
        <v>0.4434149</v>
      </c>
      <c r="F2214" t="s">
        <v>63</v>
      </c>
      <c r="G2214">
        <v>-487.25099999999998</v>
      </c>
      <c r="H2214" s="1">
        <v>3.5481750000000001E-6</v>
      </c>
      <c r="I2214">
        <v>285.25940000000003</v>
      </c>
      <c r="J2214">
        <v>-459.86470000000003</v>
      </c>
      <c r="K2214">
        <v>1.111137</v>
      </c>
      <c r="L2214">
        <v>286.79239999999999</v>
      </c>
      <c r="M2214">
        <v>-0.99989439999999996</v>
      </c>
      <c r="N2214">
        <v>0</v>
      </c>
      <c r="O2214">
        <v>3.221317E-3</v>
      </c>
      <c r="P2214">
        <v>-0.99502210000000002</v>
      </c>
      <c r="Q2214">
        <v>-3.4653539999999997E-2</v>
      </c>
      <c r="R2214">
        <v>9.3436580000000005E-2</v>
      </c>
      <c r="S2214">
        <v>-3.0273129999999999</v>
      </c>
      <c r="T2214">
        <v>-0.1215715</v>
      </c>
      <c r="U2214">
        <v>-0.16775509999999999</v>
      </c>
      <c r="V2214">
        <v>9.0281E-2</v>
      </c>
      <c r="W2214">
        <v>-2.032548E-2</v>
      </c>
      <c r="X2214">
        <v>0.99570890000000001</v>
      </c>
      <c r="Y2214">
        <v>-5.8495810000000002E-2</v>
      </c>
      <c r="Z2214">
        <v>-1.3023990000000001E-3</v>
      </c>
      <c r="AA2214">
        <v>0.99828680000000003</v>
      </c>
      <c r="AB2214">
        <v>29</v>
      </c>
      <c r="AC2214">
        <v>-27.386299999999899</v>
      </c>
      <c r="AD2214">
        <v>-1.111133451825</v>
      </c>
      <c r="AE2214">
        <v>-1.53299999999995</v>
      </c>
      <c r="AF2214">
        <v>-1.61856480207006</v>
      </c>
      <c r="AG2214">
        <v>-1.111133451825</v>
      </c>
      <c r="AH2214">
        <v>27.336360297322098</v>
      </c>
      <c r="AI2214">
        <v>92.323539541508396</v>
      </c>
      <c r="AJ2214">
        <v>93.38848288877</v>
      </c>
      <c r="AK2214">
        <v>27.406768577693899</v>
      </c>
      <c r="AL2214">
        <v>91.164644421989607</v>
      </c>
      <c r="AM2214">
        <v>84.819153773303299</v>
      </c>
      <c r="AN2214">
        <v>0.99999999881872004</v>
      </c>
    </row>
    <row r="2215" spans="1:40" x14ac:dyDescent="0.25">
      <c r="A2215" t="str">
        <f>"20190312161311142"</f>
        <v>20190312161311142</v>
      </c>
      <c r="B2215" t="str">
        <f>"1552378391137957"</f>
        <v>1552378391137957</v>
      </c>
      <c r="C2215" t="s">
        <v>40</v>
      </c>
      <c r="D2215">
        <v>5.2186469999999998</v>
      </c>
      <c r="E2215">
        <v>0.44413750000000002</v>
      </c>
      <c r="F2215" t="s">
        <v>63</v>
      </c>
      <c r="G2215">
        <v>-486.84480000000002</v>
      </c>
      <c r="H2215" s="1">
        <v>3.477655E-6</v>
      </c>
      <c r="I2215">
        <v>285.27679999999998</v>
      </c>
      <c r="J2215">
        <v>-460.15190000000001</v>
      </c>
      <c r="K2215">
        <v>1.1111770000000001</v>
      </c>
      <c r="L2215">
        <v>286.79169999999999</v>
      </c>
      <c r="M2215">
        <v>-0.99989810000000001</v>
      </c>
      <c r="N2215">
        <v>0</v>
      </c>
      <c r="O2215">
        <v>1.80024E-3</v>
      </c>
      <c r="P2215">
        <v>-0.99523439999999996</v>
      </c>
      <c r="Q2215">
        <v>-3.4811599999999998E-2</v>
      </c>
      <c r="R2215">
        <v>9.1086360000000005E-2</v>
      </c>
      <c r="S2215">
        <v>-3.0266419999999998</v>
      </c>
      <c r="T2215">
        <v>-0.1246473</v>
      </c>
      <c r="U2215">
        <v>-0.17001340000000001</v>
      </c>
      <c r="V2215">
        <v>8.9347209999999996E-2</v>
      </c>
      <c r="W2215">
        <v>-2.047744E-2</v>
      </c>
      <c r="X2215">
        <v>0.99578999999999995</v>
      </c>
      <c r="Y2215">
        <v>-5.7830989999999999E-2</v>
      </c>
      <c r="Z2215">
        <v>-1.2634549999999999E-3</v>
      </c>
      <c r="AA2215">
        <v>0.99832560000000004</v>
      </c>
      <c r="AB2215">
        <v>29</v>
      </c>
      <c r="AC2215">
        <v>-26.692900000000002</v>
      </c>
      <c r="AD2215">
        <v>-1.1111735223450001</v>
      </c>
      <c r="AE2215">
        <v>-1.5149000000000099</v>
      </c>
      <c r="AF2215">
        <v>-1.56026090255036</v>
      </c>
      <c r="AG2215">
        <v>-1.1111735223450001</v>
      </c>
      <c r="AH2215">
        <v>26.644106077723301</v>
      </c>
      <c r="AI2215">
        <v>92.384016534271694</v>
      </c>
      <c r="AJ2215">
        <v>93.351374907597901</v>
      </c>
      <c r="AK2215">
        <v>26.712871604560899</v>
      </c>
      <c r="AL2215">
        <v>91.173352915285193</v>
      </c>
      <c r="AM2215">
        <v>84.872868289447993</v>
      </c>
      <c r="AN2215">
        <v>0.99999998679186797</v>
      </c>
    </row>
    <row r="2216" spans="1:40" x14ac:dyDescent="0.25">
      <c r="A2216" t="str">
        <f>"20190312161311165"</f>
        <v>20190312161311165</v>
      </c>
      <c r="B2216" t="str">
        <f>"1552378391158454"</f>
        <v>1552378391158454</v>
      </c>
      <c r="C2216" t="s">
        <v>40</v>
      </c>
      <c r="D2216">
        <v>5.2301229999999999</v>
      </c>
      <c r="E2216">
        <v>0.4445926</v>
      </c>
      <c r="F2216" t="s">
        <v>63</v>
      </c>
      <c r="G2216">
        <v>-486.1506</v>
      </c>
      <c r="H2216" s="1">
        <v>3.3581500000000002E-6</v>
      </c>
      <c r="I2216">
        <v>285.31849999999997</v>
      </c>
      <c r="J2216">
        <v>-460.44490000000002</v>
      </c>
      <c r="K2216">
        <v>1.111216</v>
      </c>
      <c r="L2216">
        <v>286.79070000000002</v>
      </c>
      <c r="M2216">
        <v>-0.99989969999999995</v>
      </c>
      <c r="N2216">
        <v>0</v>
      </c>
      <c r="O2216">
        <v>3.0018420000000001E-4</v>
      </c>
      <c r="P2216">
        <v>-0.99542609999999998</v>
      </c>
      <c r="Q2216">
        <v>-3.5264419999999998E-2</v>
      </c>
      <c r="R2216">
        <v>8.8788679999999995E-2</v>
      </c>
      <c r="S2216">
        <v>-3.025604</v>
      </c>
      <c r="T2216">
        <v>-0.12931319999999999</v>
      </c>
      <c r="U2216">
        <v>-0.17144779999999901</v>
      </c>
      <c r="V2216">
        <v>8.8545890000000002E-2</v>
      </c>
      <c r="W2216">
        <v>-2.0924269999999998E-2</v>
      </c>
      <c r="X2216">
        <v>0.99585230000000002</v>
      </c>
      <c r="Y2216">
        <v>-5.6822619999999997E-2</v>
      </c>
      <c r="Z2216">
        <v>-1.225578E-3</v>
      </c>
      <c r="AA2216">
        <v>0.99838349999999998</v>
      </c>
      <c r="AB2216">
        <v>29</v>
      </c>
      <c r="AC2216">
        <v>-25.705699999999901</v>
      </c>
      <c r="AD2216">
        <v>-1.1112126418499999</v>
      </c>
      <c r="AE2216">
        <v>-1.4722000000000399</v>
      </c>
      <c r="AF2216">
        <v>-1.4771658230515501</v>
      </c>
      <c r="AG2216">
        <v>-1.1112126418499999</v>
      </c>
      <c r="AH2216">
        <v>25.657467957202702</v>
      </c>
      <c r="AI2216">
        <v>92.475808351996903</v>
      </c>
      <c r="AJ2216">
        <v>93.295026704275003</v>
      </c>
      <c r="AK2216">
        <v>25.723966925400202</v>
      </c>
      <c r="AL2216">
        <v>91.198959858488394</v>
      </c>
      <c r="AM2216">
        <v>84.918925924844004</v>
      </c>
      <c r="AN2216">
        <v>1.0000000015631001</v>
      </c>
    </row>
    <row r="2217" spans="1:40" x14ac:dyDescent="0.25">
      <c r="A2217" t="str">
        <f>"20190312161311187"</f>
        <v>20190312161311187</v>
      </c>
      <c r="B2217" t="str">
        <f>"1552378391177974"</f>
        <v>1552378391177974</v>
      </c>
      <c r="C2217" t="s">
        <v>40</v>
      </c>
      <c r="D2217">
        <v>5.2007940000000001</v>
      </c>
      <c r="E2217">
        <v>0.4448993</v>
      </c>
      <c r="F2217" t="s">
        <v>63</v>
      </c>
      <c r="G2217">
        <v>-486.11329999999998</v>
      </c>
      <c r="H2217" s="1">
        <v>3.3504480000000002E-6</v>
      </c>
      <c r="I2217">
        <v>285.30599999999998</v>
      </c>
      <c r="J2217">
        <v>-460.72710000000001</v>
      </c>
      <c r="K2217">
        <v>1.111253</v>
      </c>
      <c r="L2217">
        <v>286.78910000000002</v>
      </c>
      <c r="M2217">
        <v>-0.99989910000000004</v>
      </c>
      <c r="N2217">
        <v>0</v>
      </c>
      <c r="O2217">
        <v>-1.1916100000000001E-3</v>
      </c>
      <c r="P2217">
        <v>-0.99563440000000003</v>
      </c>
      <c r="Q2217">
        <v>-3.5939499999999999E-2</v>
      </c>
      <c r="R2217">
        <v>8.6143360000000002E-2</v>
      </c>
      <c r="S2217">
        <v>-3.02475</v>
      </c>
      <c r="T2217">
        <v>-0.13094439999999999</v>
      </c>
      <c r="U2217">
        <v>-0.17495729999999901</v>
      </c>
      <c r="V2217">
        <v>8.7389610000000006E-2</v>
      </c>
      <c r="W2217">
        <v>-2.159521E-2</v>
      </c>
      <c r="X2217">
        <v>0.99594009999999999</v>
      </c>
      <c r="Y2217">
        <v>-5.6503970000000001E-2</v>
      </c>
      <c r="Z2217">
        <v>-1.16994E-3</v>
      </c>
      <c r="AA2217">
        <v>0.99840169999999995</v>
      </c>
      <c r="AB2217">
        <v>29</v>
      </c>
      <c r="AC2217">
        <v>-25.386199999999899</v>
      </c>
      <c r="AD2217">
        <v>-1.1112496495519999</v>
      </c>
      <c r="AE2217">
        <v>-1.4831000000000301</v>
      </c>
      <c r="AF2217">
        <v>-1.45007636367065</v>
      </c>
      <c r="AG2217">
        <v>-1.1112496495519999</v>
      </c>
      <c r="AH2217">
        <v>25.339560365207198</v>
      </c>
      <c r="AI2217">
        <v>92.506963267064805</v>
      </c>
      <c r="AJ2217">
        <v>93.275224146163794</v>
      </c>
      <c r="AK2217">
        <v>25.405332447068801</v>
      </c>
      <c r="AL2217">
        <v>91.237410594273996</v>
      </c>
      <c r="AM2217">
        <v>84.985376597139805</v>
      </c>
      <c r="AN2217">
        <v>0.99999998990945305</v>
      </c>
    </row>
    <row r="2218" spans="1:40" x14ac:dyDescent="0.25">
      <c r="A2218" t="str">
        <f>"20190312161311210"</f>
        <v>20190312161311210</v>
      </c>
      <c r="B2218" t="str">
        <f>"1552378391198001"</f>
        <v>1552378391198001</v>
      </c>
      <c r="C2218" t="s">
        <v>40</v>
      </c>
      <c r="D2218">
        <v>5.1676760000000002</v>
      </c>
      <c r="E2218">
        <v>0.44522109999999898</v>
      </c>
      <c r="F2218" t="s">
        <v>63</v>
      </c>
      <c r="G2218">
        <v>-485.77370000000002</v>
      </c>
      <c r="H2218" s="1">
        <v>3.2893130000000001E-6</v>
      </c>
      <c r="I2218">
        <v>285.29570000000001</v>
      </c>
      <c r="J2218">
        <v>-461.00839999999999</v>
      </c>
      <c r="K2218">
        <v>1.1112839999999999</v>
      </c>
      <c r="L2218">
        <v>286.78710000000001</v>
      </c>
      <c r="M2218">
        <v>-0.99989600000000001</v>
      </c>
      <c r="N2218">
        <v>0</v>
      </c>
      <c r="O2218">
        <v>-2.7206539999999999E-3</v>
      </c>
      <c r="P2218">
        <v>-0.99582990000000005</v>
      </c>
      <c r="Q2218">
        <v>-3.578506E-2</v>
      </c>
      <c r="R2218">
        <v>8.3918179999999995E-2</v>
      </c>
      <c r="S2218">
        <v>-3.0239259999999999</v>
      </c>
      <c r="T2218">
        <v>-0.13416330000000001</v>
      </c>
      <c r="U2218">
        <v>-0.18029790000000001</v>
      </c>
      <c r="V2218">
        <v>8.6688500000000002E-2</v>
      </c>
      <c r="W2218">
        <v>-2.1437089999999999E-2</v>
      </c>
      <c r="X2218">
        <v>0.99600480000000002</v>
      </c>
      <c r="Y2218">
        <v>-5.674879E-2</v>
      </c>
      <c r="Z2218">
        <v>-1.136609E-3</v>
      </c>
      <c r="AA2218">
        <v>0.99838780000000005</v>
      </c>
      <c r="AB2218">
        <v>29</v>
      </c>
      <c r="AC2218">
        <v>-24.7653</v>
      </c>
      <c r="AD2218">
        <v>-1.111280710687</v>
      </c>
      <c r="AE2218">
        <v>-1.4913999999999901</v>
      </c>
      <c r="AF2218">
        <v>-1.42115868787468</v>
      </c>
      <c r="AG2218">
        <v>-1.111280710687</v>
      </c>
      <c r="AH2218">
        <v>24.719672114383499</v>
      </c>
      <c r="AI2218">
        <v>92.569779254680597</v>
      </c>
      <c r="AJ2218">
        <v>93.290369765459999</v>
      </c>
      <c r="AK2218">
        <v>24.7854155962068</v>
      </c>
      <c r="AL2218">
        <v>91.228348871360197</v>
      </c>
      <c r="AM2218">
        <v>85.025726792600906</v>
      </c>
      <c r="AN2218">
        <v>1.00000000324147</v>
      </c>
    </row>
    <row r="2219" spans="1:40" x14ac:dyDescent="0.25">
      <c r="A2219" t="str">
        <f>"20190312161311232"</f>
        <v>20190312161311232</v>
      </c>
      <c r="B2219" t="str">
        <f>"1552378391228257"</f>
        <v>1552378391228257</v>
      </c>
      <c r="C2219" t="s">
        <v>40</v>
      </c>
      <c r="D2219">
        <v>5.1222940000000001</v>
      </c>
      <c r="E2219">
        <v>0.44553500000000001</v>
      </c>
      <c r="F2219" t="s">
        <v>63</v>
      </c>
      <c r="G2219">
        <v>-485.78629999999998</v>
      </c>
      <c r="H2219" s="1">
        <v>3.2895590000000002E-6</v>
      </c>
      <c r="I2219">
        <v>285.27319999999997</v>
      </c>
      <c r="J2219">
        <v>-461.29149999999998</v>
      </c>
      <c r="K2219">
        <v>1.111305</v>
      </c>
      <c r="L2219">
        <v>286.78460000000001</v>
      </c>
      <c r="M2219">
        <v>-0.99989059999999996</v>
      </c>
      <c r="N2219">
        <v>0</v>
      </c>
      <c r="O2219">
        <v>-4.2954550000000001E-3</v>
      </c>
      <c r="P2219">
        <v>-0.99598710000000001</v>
      </c>
      <c r="Q2219">
        <v>-3.5965320000000002E-2</v>
      </c>
      <c r="R2219">
        <v>8.1956020000000004E-2</v>
      </c>
      <c r="S2219">
        <v>-3.0232239999999999</v>
      </c>
      <c r="T2219">
        <v>-0.13559079999999901</v>
      </c>
      <c r="U2219">
        <v>-0.1847229</v>
      </c>
      <c r="V2219">
        <v>8.6296830000000005E-2</v>
      </c>
      <c r="W2219">
        <v>-2.1614950000000001E-2</v>
      </c>
      <c r="X2219">
        <v>0.996035</v>
      </c>
      <c r="Y2219">
        <v>-5.664669E-2</v>
      </c>
      <c r="Z2219">
        <v>-1.0760889999999999E-3</v>
      </c>
      <c r="AA2219">
        <v>0.99839370000000005</v>
      </c>
      <c r="AB2219">
        <v>29</v>
      </c>
      <c r="AC2219">
        <v>-24.494800000000001</v>
      </c>
      <c r="AD2219">
        <v>-1.1113017104409999</v>
      </c>
      <c r="AE2219">
        <v>-1.5114000000000301</v>
      </c>
      <c r="AF2219">
        <v>-1.4032817322811499</v>
      </c>
      <c r="AG2219">
        <v>-1.1113017104409999</v>
      </c>
      <c r="AH2219">
        <v>24.450929447264699</v>
      </c>
      <c r="AI2219">
        <v>92.598049241396893</v>
      </c>
      <c r="AJ2219">
        <v>93.284702056924004</v>
      </c>
      <c r="AK2219">
        <v>24.516364778386301</v>
      </c>
      <c r="AL2219">
        <v>91.238541821081398</v>
      </c>
      <c r="AM2219">
        <v>85.0482386052431</v>
      </c>
      <c r="AN2219">
        <v>1.0000000350782701</v>
      </c>
    </row>
    <row r="2220" spans="1:40" x14ac:dyDescent="0.25">
      <c r="A2220" t="str">
        <f>"20190312161311254"</f>
        <v>20190312161311254</v>
      </c>
      <c r="B2220" t="str">
        <f>"1552378391247777"</f>
        <v>1552378391247777</v>
      </c>
      <c r="C2220" t="s">
        <v>40</v>
      </c>
      <c r="D2220">
        <v>5.063167</v>
      </c>
      <c r="E2220">
        <v>0.44585540000000001</v>
      </c>
      <c r="F2220" t="s">
        <v>63</v>
      </c>
      <c r="G2220">
        <v>-485.86189999999999</v>
      </c>
      <c r="H2220" s="1">
        <v>3.3013859999999999E-6</v>
      </c>
      <c r="I2220">
        <v>285.255</v>
      </c>
      <c r="J2220">
        <v>-461.58269999999999</v>
      </c>
      <c r="K2220">
        <v>1.1113200000000001</v>
      </c>
      <c r="L2220">
        <v>286.78160000000003</v>
      </c>
      <c r="M2220">
        <v>-0.9998821</v>
      </c>
      <c r="N2220">
        <v>0</v>
      </c>
      <c r="O2220">
        <v>-5.9393830000000003E-3</v>
      </c>
      <c r="P2220">
        <v>-0.99613859999999999</v>
      </c>
      <c r="Q2220">
        <v>-3.6075160000000002E-2</v>
      </c>
      <c r="R2220">
        <v>8.0040970000000003E-2</v>
      </c>
      <c r="S2220">
        <v>-3.022675</v>
      </c>
      <c r="T2220">
        <v>-0.13671340000000001</v>
      </c>
      <c r="U2220">
        <v>-0.18817139999999999</v>
      </c>
      <c r="V2220">
        <v>8.6020719999999995E-2</v>
      </c>
      <c r="W2220">
        <v>-2.1723889999999999E-2</v>
      </c>
      <c r="X2220">
        <v>0.99605650000000001</v>
      </c>
      <c r="Y2220">
        <v>-5.6152279999999999E-2</v>
      </c>
      <c r="Z2220">
        <v>-9.9973849999999997E-4</v>
      </c>
      <c r="AA2220">
        <v>0.99842169999999997</v>
      </c>
      <c r="AB2220">
        <v>28</v>
      </c>
      <c r="AC2220">
        <v>-24.279199999999999</v>
      </c>
      <c r="AD2220">
        <v>-1.111316698614</v>
      </c>
      <c r="AE2220">
        <v>-1.5266000000000299</v>
      </c>
      <c r="AF2220">
        <v>-1.37947636677457</v>
      </c>
      <c r="AG2220">
        <v>-1.111316698614</v>
      </c>
      <c r="AH2220">
        <v>24.237259871078201</v>
      </c>
      <c r="AI2220">
        <v>92.621027497522505</v>
      </c>
      <c r="AJ2220">
        <v>93.257504967825199</v>
      </c>
      <c r="AK2220">
        <v>24.3019082771144</v>
      </c>
      <c r="AL2220">
        <v>91.244785106056796</v>
      </c>
      <c r="AM2220">
        <v>85.064109574205702</v>
      </c>
      <c r="AN2220">
        <v>1.00000002142915</v>
      </c>
    </row>
    <row r="2221" spans="1:40" x14ac:dyDescent="0.25">
      <c r="A2221" t="str">
        <f>"20190312161311277"</f>
        <v>20190312161311277</v>
      </c>
      <c r="B2221" t="str">
        <f>"1552378391268273"</f>
        <v>1552378391268273</v>
      </c>
      <c r="C2221" t="s">
        <v>40</v>
      </c>
      <c r="D2221">
        <v>5.0334760000000003</v>
      </c>
      <c r="E2221">
        <v>0.44613190000000003</v>
      </c>
      <c r="F2221" t="s">
        <v>63</v>
      </c>
      <c r="G2221">
        <v>-486.44470000000001</v>
      </c>
      <c r="H2221" s="1">
        <v>3.400483E-6</v>
      </c>
      <c r="I2221">
        <v>285.20589999999999</v>
      </c>
      <c r="J2221">
        <v>-461.85739999999998</v>
      </c>
      <c r="K2221">
        <v>1.111332</v>
      </c>
      <c r="L2221">
        <v>286.77820000000003</v>
      </c>
      <c r="M2221">
        <v>-0.99987170000000003</v>
      </c>
      <c r="N2221">
        <v>0</v>
      </c>
      <c r="O2221">
        <v>-7.5091819999999997E-3</v>
      </c>
      <c r="P2221">
        <v>-0.99625839999999999</v>
      </c>
      <c r="Q2221">
        <v>-3.6415019999999999E-2</v>
      </c>
      <c r="R2221">
        <v>7.8378390000000006E-2</v>
      </c>
      <c r="S2221">
        <v>-3.022125</v>
      </c>
      <c r="T2221">
        <v>-0.13508699999999901</v>
      </c>
      <c r="U2221">
        <v>-0.19152830000000001</v>
      </c>
      <c r="V2221">
        <v>8.5923840000000001E-2</v>
      </c>
      <c r="W2221">
        <v>-2.2063619999999999E-2</v>
      </c>
      <c r="X2221">
        <v>0.99605739999999998</v>
      </c>
      <c r="Y2221">
        <v>-5.5703889999999999E-2</v>
      </c>
      <c r="Z2221">
        <v>-9.079337E-4</v>
      </c>
      <c r="AA2221">
        <v>0.99844690000000003</v>
      </c>
      <c r="AB2221">
        <v>28</v>
      </c>
      <c r="AC2221">
        <v>-24.587299999999999</v>
      </c>
      <c r="AD2221">
        <v>-1.1113285995169999</v>
      </c>
      <c r="AE2221">
        <v>-1.57230000000004</v>
      </c>
      <c r="AF2221">
        <v>-1.3847890974970301</v>
      </c>
      <c r="AG2221">
        <v>-1.1113285995169999</v>
      </c>
      <c r="AH2221">
        <v>24.548466826593099</v>
      </c>
      <c r="AI2221">
        <v>92.587946954168999</v>
      </c>
      <c r="AJ2221">
        <v>93.2286566858253</v>
      </c>
      <c r="AK2221">
        <v>24.612596686188802</v>
      </c>
      <c r="AL2221">
        <v>91.264254860894297</v>
      </c>
      <c r="AM2221">
        <v>85.069645588962501</v>
      </c>
      <c r="AN2221">
        <v>1.0000000268513001</v>
      </c>
    </row>
    <row r="2222" spans="1:40" x14ac:dyDescent="0.25">
      <c r="A2222" t="str">
        <f>"20190312161311310"</f>
        <v>20190312161311310</v>
      </c>
      <c r="B2222" t="str">
        <f>"1552378391298529"</f>
        <v>1552378391298529</v>
      </c>
      <c r="C2222" t="s">
        <v>40</v>
      </c>
      <c r="D2222">
        <v>4.9473209999999996</v>
      </c>
      <c r="E2222">
        <v>0.44657400000000003</v>
      </c>
      <c r="F2222" t="s">
        <v>63</v>
      </c>
      <c r="G2222">
        <v>-486.80180000000001</v>
      </c>
      <c r="H2222" s="1">
        <v>3.4610800000000001E-6</v>
      </c>
      <c r="I2222">
        <v>285.17469999999997</v>
      </c>
      <c r="J2222">
        <v>-462.274</v>
      </c>
      <c r="K2222">
        <v>1.1113489999999999</v>
      </c>
      <c r="L2222">
        <v>286.77229999999997</v>
      </c>
      <c r="M2222">
        <v>-0.99985069999999998</v>
      </c>
      <c r="N2222">
        <v>0</v>
      </c>
      <c r="O2222">
        <v>-9.9250929999999994E-3</v>
      </c>
      <c r="P2222">
        <v>-0.99649690000000002</v>
      </c>
      <c r="Q2222">
        <v>-3.6445619999999998E-2</v>
      </c>
      <c r="R2222">
        <v>7.5273419999999994E-2</v>
      </c>
      <c r="S2222">
        <v>-3.0216370000000001</v>
      </c>
      <c r="T2222">
        <v>-0.13462099999999999</v>
      </c>
      <c r="U2222">
        <v>-0.19424440000000001</v>
      </c>
      <c r="V2222">
        <v>8.5227990000000003E-2</v>
      </c>
      <c r="W2222">
        <v>-2.2094639999999999E-2</v>
      </c>
      <c r="X2222">
        <v>0.99611649999999996</v>
      </c>
      <c r="Y2222">
        <v>-5.4199539999999997E-2</v>
      </c>
      <c r="Z2222">
        <v>-7.6400199999999995E-4</v>
      </c>
      <c r="AA2222">
        <v>0.99852989999999997</v>
      </c>
      <c r="AB2222">
        <v>28</v>
      </c>
      <c r="AC2222">
        <v>-24.527799999999999</v>
      </c>
      <c r="AD2222">
        <v>-1.11134553892</v>
      </c>
      <c r="AE2222">
        <v>-1.5975999999999999</v>
      </c>
      <c r="AF2222">
        <v>-1.3512938061563</v>
      </c>
      <c r="AG2222">
        <v>-1.11134553892</v>
      </c>
      <c r="AH2222">
        <v>24.4923800370774</v>
      </c>
      <c r="AI2222">
        <v>92.594083094272904</v>
      </c>
      <c r="AJ2222">
        <v>93.157921660638394</v>
      </c>
      <c r="AK2222">
        <v>24.554791054661099</v>
      </c>
      <c r="AL2222">
        <v>91.266032602162795</v>
      </c>
      <c r="AM2222">
        <v>85.109668133594994</v>
      </c>
      <c r="AN2222">
        <v>1.0000000324842</v>
      </c>
    </row>
    <row r="2223" spans="1:40" x14ac:dyDescent="0.25">
      <c r="A2223" t="str">
        <f>"20190312161311331"</f>
        <v>20190312161311331</v>
      </c>
      <c r="B2223" t="str">
        <f>"1552378391327810"</f>
        <v>1552378391327810</v>
      </c>
      <c r="C2223" t="s">
        <v>40</v>
      </c>
      <c r="D2223">
        <v>4.9213009999999997</v>
      </c>
      <c r="E2223">
        <v>0.44709910000000003</v>
      </c>
      <c r="F2223" t="s">
        <v>63</v>
      </c>
      <c r="G2223">
        <v>-487.1497</v>
      </c>
      <c r="H2223" s="1">
        <v>3.5184079999999999E-6</v>
      </c>
      <c r="I2223">
        <v>285.12439999999998</v>
      </c>
      <c r="J2223">
        <v>-462.55950000000001</v>
      </c>
      <c r="K2223">
        <v>1.1113649999999999</v>
      </c>
      <c r="L2223">
        <v>286.76760000000002</v>
      </c>
      <c r="M2223">
        <v>-0.99983239999999995</v>
      </c>
      <c r="N2223">
        <v>0</v>
      </c>
      <c r="O2223">
        <v>-1.1611079999999999E-2</v>
      </c>
      <c r="P2223">
        <v>-0.9966429</v>
      </c>
      <c r="Q2223">
        <v>-3.680249E-2</v>
      </c>
      <c r="R2223">
        <v>7.3131840000000004E-2</v>
      </c>
      <c r="S2223">
        <v>-3.0206599999999999</v>
      </c>
      <c r="T2223">
        <v>-0.13495099999999999</v>
      </c>
      <c r="U2223">
        <v>-0.2001038</v>
      </c>
      <c r="V2223">
        <v>8.4769029999999995E-2</v>
      </c>
      <c r="W2223">
        <v>-2.2451249999999999E-2</v>
      </c>
      <c r="X2223">
        <v>0.99614760000000002</v>
      </c>
      <c r="Y2223">
        <v>-5.4466300000000002E-2</v>
      </c>
      <c r="Z2223">
        <v>-6.9682759999999903E-4</v>
      </c>
      <c r="AA2223">
        <v>0.99851540000000005</v>
      </c>
      <c r="AB2223">
        <v>28</v>
      </c>
      <c r="AC2223">
        <v>-24.5901999999999</v>
      </c>
      <c r="AD2223">
        <v>-1.1113614815920001</v>
      </c>
      <c r="AE2223">
        <v>-1.64320000000003</v>
      </c>
      <c r="AF2223">
        <v>-1.3547868159990499</v>
      </c>
      <c r="AG2223">
        <v>-1.1113614815920001</v>
      </c>
      <c r="AH2223">
        <v>24.5576843554914</v>
      </c>
      <c r="AI2223">
        <v>92.587231938867205</v>
      </c>
      <c r="AJ2223">
        <v>93.157665888987594</v>
      </c>
      <c r="AK2223">
        <v>24.620122513170301</v>
      </c>
      <c r="AL2223">
        <v>91.286470033295203</v>
      </c>
      <c r="AM2223">
        <v>85.136027428677494</v>
      </c>
      <c r="AN2223">
        <v>0.99999994402973003</v>
      </c>
    </row>
    <row r="2224" spans="1:40" x14ac:dyDescent="0.25">
      <c r="A2224" t="str">
        <f>"20190312161311355"</f>
        <v>20190312161311355</v>
      </c>
      <c r="B2224" t="str">
        <f>"1552378391348305"</f>
        <v>1552378391348305</v>
      </c>
      <c r="C2224" t="s">
        <v>40</v>
      </c>
      <c r="D2224">
        <v>4.9262180000000004</v>
      </c>
      <c r="E2224">
        <v>0.44746449999999999</v>
      </c>
      <c r="F2224" t="s">
        <v>63</v>
      </c>
      <c r="G2224">
        <v>-487.00409999999999</v>
      </c>
      <c r="H2224" s="1">
        <v>3.493022E-6</v>
      </c>
      <c r="I2224">
        <v>285.12959999999998</v>
      </c>
      <c r="J2224">
        <v>-462.85230000000001</v>
      </c>
      <c r="K2224">
        <v>1.111383</v>
      </c>
      <c r="L2224">
        <v>286.76229999999998</v>
      </c>
      <c r="M2224">
        <v>-0.9998108</v>
      </c>
      <c r="N2224">
        <v>0</v>
      </c>
      <c r="O2224">
        <v>-1.3364579999999999E-2</v>
      </c>
      <c r="P2224">
        <v>-0.99682649999999995</v>
      </c>
      <c r="Q2224">
        <v>-3.6806140000000001E-2</v>
      </c>
      <c r="R2224">
        <v>7.0588360000000003E-2</v>
      </c>
      <c r="S2224">
        <v>-3.0199280000000002</v>
      </c>
      <c r="T2224">
        <v>-0.137299799999999</v>
      </c>
      <c r="U2224">
        <v>-0.20236209999999999</v>
      </c>
      <c r="V2224">
        <v>8.3975720000000004E-2</v>
      </c>
      <c r="W2224">
        <v>-2.2454950000000001E-2</v>
      </c>
      <c r="X2224">
        <v>0.99621470000000001</v>
      </c>
      <c r="Y2224">
        <v>-5.3475750000000002E-2</v>
      </c>
      <c r="Z2224">
        <v>-6.0703869999999998E-4</v>
      </c>
      <c r="AA2224">
        <v>0.99856900000000004</v>
      </c>
      <c r="AB2224">
        <v>28</v>
      </c>
      <c r="AC2224">
        <v>-24.151799999999898</v>
      </c>
      <c r="AD2224">
        <v>-1.1113795069779999</v>
      </c>
      <c r="AE2224">
        <v>-1.63269999999999</v>
      </c>
      <c r="AF2224">
        <v>-1.30698827605107</v>
      </c>
      <c r="AG2224">
        <v>-1.1113795069779999</v>
      </c>
      <c r="AH2224">
        <v>24.120621762180999</v>
      </c>
      <c r="AI2224">
        <v>92.634230290340895</v>
      </c>
      <c r="AJ2224">
        <v>93.101568133524694</v>
      </c>
      <c r="AK2224">
        <v>24.181558613051902</v>
      </c>
      <c r="AL2224">
        <v>91.286682089664794</v>
      </c>
      <c r="AM2224">
        <v>85.181654550440797</v>
      </c>
      <c r="AN2224">
        <v>0.999999937412553</v>
      </c>
    </row>
    <row r="2225" spans="1:40" x14ac:dyDescent="0.25">
      <c r="A2225" t="str">
        <f>"20190312161311376"</f>
        <v>20190312161311376</v>
      </c>
      <c r="B2225" t="str">
        <f>"1552378391367825"</f>
        <v>1552378391367825</v>
      </c>
      <c r="C2225" t="s">
        <v>40</v>
      </c>
      <c r="D2225">
        <v>4.9074359999999997</v>
      </c>
      <c r="E2225">
        <v>0.44774180000000002</v>
      </c>
      <c r="F2225" t="s">
        <v>63</v>
      </c>
      <c r="G2225">
        <v>-487.51010000000002</v>
      </c>
      <c r="H2225" s="1">
        <v>3.5776260000000001E-6</v>
      </c>
      <c r="I2225">
        <v>285.07049999999998</v>
      </c>
      <c r="J2225">
        <v>-463.12</v>
      </c>
      <c r="K2225">
        <v>1.1114010000000001</v>
      </c>
      <c r="L2225">
        <v>286.75689999999997</v>
      </c>
      <c r="M2225">
        <v>-0.99978750000000005</v>
      </c>
      <c r="N2225">
        <v>0</v>
      </c>
      <c r="O2225">
        <v>-1.4999999999999999E-2</v>
      </c>
      <c r="P2225">
        <v>-0.99700160000000004</v>
      </c>
      <c r="Q2225">
        <v>-3.6496220000000003E-2</v>
      </c>
      <c r="R2225">
        <v>6.8234530000000002E-2</v>
      </c>
      <c r="S2225">
        <v>-3.0192260000000002</v>
      </c>
      <c r="T2225">
        <v>-0.1360826</v>
      </c>
      <c r="U2225">
        <v>-0.20715330000000001</v>
      </c>
      <c r="V2225">
        <v>8.3253569999999999E-2</v>
      </c>
      <c r="W2225">
        <v>-2.2144029999999999E-2</v>
      </c>
      <c r="X2225">
        <v>0.99628229999999995</v>
      </c>
      <c r="Y2225">
        <v>-5.343763E-2</v>
      </c>
      <c r="Z2225">
        <v>-5.2734210000000001E-4</v>
      </c>
      <c r="AA2225">
        <v>0.99857099999999999</v>
      </c>
      <c r="AB2225">
        <v>28</v>
      </c>
      <c r="AC2225">
        <v>-24.3901</v>
      </c>
      <c r="AD2225">
        <v>-1.111397422374</v>
      </c>
      <c r="AE2225">
        <v>-1.6863999999999899</v>
      </c>
      <c r="AF2225">
        <v>-1.3175992993158701</v>
      </c>
      <c r="AG2225">
        <v>-1.111397422374</v>
      </c>
      <c r="AH2225">
        <v>24.362308660820901</v>
      </c>
      <c r="AI2225">
        <v>92.608189932389706</v>
      </c>
      <c r="AJ2225">
        <v>93.095741157922404</v>
      </c>
      <c r="AK2225">
        <v>24.423213454194102</v>
      </c>
      <c r="AL2225">
        <v>91.268863214805904</v>
      </c>
      <c r="AM2225">
        <v>85.223220008516094</v>
      </c>
      <c r="AN2225">
        <v>0.99999996813783698</v>
      </c>
    </row>
    <row r="2226" spans="1:40" x14ac:dyDescent="0.25">
      <c r="A2226" t="str">
        <f>"20190312161311400"</f>
        <v>20190312161311400</v>
      </c>
      <c r="B2226" t="str">
        <f>"1552378391388321"</f>
        <v>1552378391388321</v>
      </c>
      <c r="C2226" t="s">
        <v>40</v>
      </c>
      <c r="D2226">
        <v>4.9257249999999999</v>
      </c>
      <c r="E2226">
        <v>0.44802940000000002</v>
      </c>
      <c r="F2226" t="s">
        <v>63</v>
      </c>
      <c r="G2226">
        <v>-487.89479999999998</v>
      </c>
      <c r="H2226" s="1">
        <v>3.6410829999999999E-6</v>
      </c>
      <c r="I2226">
        <v>285.01589999999999</v>
      </c>
      <c r="J2226">
        <v>-463.40769999999998</v>
      </c>
      <c r="K2226">
        <v>1.1114280000000001</v>
      </c>
      <c r="L2226">
        <v>286.75049999999999</v>
      </c>
      <c r="M2226">
        <v>-0.99975890000000001</v>
      </c>
      <c r="N2226">
        <v>0</v>
      </c>
      <c r="O2226">
        <v>-1.68057E-2</v>
      </c>
      <c r="P2226">
        <v>-0.99715209999999999</v>
      </c>
      <c r="Q2226">
        <v>-3.664854E-2</v>
      </c>
      <c r="R2226">
        <v>6.5917030000000001E-2</v>
      </c>
      <c r="S2226">
        <v>-3.0185849999999999</v>
      </c>
      <c r="T2226">
        <v>-0.1354136</v>
      </c>
      <c r="U2226">
        <v>-0.2121277</v>
      </c>
      <c r="V2226">
        <v>8.2739610000000005E-2</v>
      </c>
      <c r="W2226">
        <v>-2.229356E-2</v>
      </c>
      <c r="X2226">
        <v>0.99632180000000004</v>
      </c>
      <c r="Y2226">
        <v>-5.328857E-2</v>
      </c>
      <c r="Z2226">
        <v>-4.4065640000000002E-4</v>
      </c>
      <c r="AA2226">
        <v>0.99857910000000005</v>
      </c>
      <c r="AB2226">
        <v>28</v>
      </c>
      <c r="AC2226">
        <v>-24.487100000000002</v>
      </c>
      <c r="AD2226">
        <v>-1.1114243589170001</v>
      </c>
      <c r="AE2226">
        <v>-1.7345999999999999</v>
      </c>
      <c r="AF2226">
        <v>-1.3200851162445999</v>
      </c>
      <c r="AG2226">
        <v>-1.1114243589170001</v>
      </c>
      <c r="AH2226">
        <v>24.462651656492699</v>
      </c>
      <c r="AI2226">
        <v>92.597585786884693</v>
      </c>
      <c r="AJ2226">
        <v>93.088872671752995</v>
      </c>
      <c r="AK2226">
        <v>24.5234421500456</v>
      </c>
      <c r="AL2226">
        <v>91.277432743784601</v>
      </c>
      <c r="AM2226">
        <v>85.2527612741479</v>
      </c>
      <c r="AN2226">
        <v>0.99999998751783203</v>
      </c>
    </row>
    <row r="2227" spans="1:40" x14ac:dyDescent="0.25">
      <c r="A2227" t="str">
        <f>"20190312161311422"</f>
        <v>20190312161311422</v>
      </c>
      <c r="B2227" t="str">
        <f>"1552378391417601"</f>
        <v>1552378391417601</v>
      </c>
      <c r="C2227" t="s">
        <v>40</v>
      </c>
      <c r="D2227">
        <v>4.9665839999999903</v>
      </c>
      <c r="E2227">
        <v>0.44784940000000001</v>
      </c>
      <c r="F2227" t="s">
        <v>63</v>
      </c>
      <c r="G2227">
        <v>-488.08760000000001</v>
      </c>
      <c r="H2227" s="1">
        <v>3.671826E-6</v>
      </c>
      <c r="I2227">
        <v>284.97640000000001</v>
      </c>
      <c r="J2227">
        <v>-463.68549999999999</v>
      </c>
      <c r="K2227">
        <v>1.1114710000000001</v>
      </c>
      <c r="L2227">
        <v>286.7439</v>
      </c>
      <c r="M2227">
        <v>-0.99972709999999998</v>
      </c>
      <c r="N2227">
        <v>0</v>
      </c>
      <c r="O2227">
        <v>-1.8603669999999999E-2</v>
      </c>
      <c r="P2227">
        <v>-0.99730609999999997</v>
      </c>
      <c r="Q2227">
        <v>-3.6742240000000002E-2</v>
      </c>
      <c r="R2227">
        <v>6.3490260000000007E-2</v>
      </c>
      <c r="S2227">
        <v>-3.017944</v>
      </c>
      <c r="T2227">
        <v>-0.13590940000000001</v>
      </c>
      <c r="U2227">
        <v>-0.21694949999999999</v>
      </c>
      <c r="V2227">
        <v>8.210924E-2</v>
      </c>
      <c r="W2227">
        <v>-2.2383509999999999E-2</v>
      </c>
      <c r="X2227">
        <v>0.99637189999999998</v>
      </c>
      <c r="Y2227">
        <v>-5.3096659999999997E-2</v>
      </c>
      <c r="Z2227">
        <v>-3.5722910000000001E-4</v>
      </c>
      <c r="AA2227">
        <v>0.99858930000000001</v>
      </c>
      <c r="AB2227">
        <v>28</v>
      </c>
      <c r="AC2227">
        <v>-24.402100000000001</v>
      </c>
      <c r="AD2227">
        <v>-1.111467328174</v>
      </c>
      <c r="AE2227">
        <v>-1.7674999999999801</v>
      </c>
      <c r="AF2227">
        <v>-1.3104755622117099</v>
      </c>
      <c r="AG2227">
        <v>-1.111467328174</v>
      </c>
      <c r="AH2227">
        <v>24.380445090486901</v>
      </c>
      <c r="AI2227">
        <v>92.606462616889402</v>
      </c>
      <c r="AJ2227">
        <v>93.076749936139194</v>
      </c>
      <c r="AK2227">
        <v>24.440924872659799</v>
      </c>
      <c r="AL2227">
        <v>91.282587826067996</v>
      </c>
      <c r="AM2227">
        <v>85.289001561535699</v>
      </c>
      <c r="AN2227">
        <v>0.99999995596145197</v>
      </c>
    </row>
    <row r="2228" spans="1:40" x14ac:dyDescent="0.25">
      <c r="A2228" t="str">
        <f>"20190312161311443"</f>
        <v>20190312161311443</v>
      </c>
      <c r="B2228" t="str">
        <f>"1552378391438096"</f>
        <v>1552378391438096</v>
      </c>
      <c r="C2228" t="s">
        <v>40</v>
      </c>
      <c r="D2228">
        <v>5.0545339999999896</v>
      </c>
      <c r="E2228">
        <v>0.40157179999999998</v>
      </c>
      <c r="F2228" t="s">
        <v>63</v>
      </c>
      <c r="G2228">
        <v>-488.41410000000002</v>
      </c>
      <c r="H2228" s="1">
        <v>3.7225590000000001E-6</v>
      </c>
      <c r="I2228">
        <v>284.89420000000001</v>
      </c>
      <c r="J2228">
        <v>-463.96660000000003</v>
      </c>
      <c r="K2228">
        <v>1.1115189999999999</v>
      </c>
      <c r="L2228">
        <v>286.73660000000001</v>
      </c>
      <c r="M2228">
        <v>-0.99969019999999997</v>
      </c>
      <c r="N2228">
        <v>0</v>
      </c>
      <c r="O2228">
        <v>-2.0484519999999999E-2</v>
      </c>
      <c r="P2228">
        <v>-0.99752260000000004</v>
      </c>
      <c r="Q2228">
        <v>-3.6092069999999997E-2</v>
      </c>
      <c r="R2228">
        <v>6.0382680000000001E-2</v>
      </c>
      <c r="S2228">
        <v>-3.017487</v>
      </c>
      <c r="T2228">
        <v>-0.1356262</v>
      </c>
      <c r="U2228">
        <v>-0.22570799999999999</v>
      </c>
      <c r="V2228">
        <v>8.0880270000000004E-2</v>
      </c>
      <c r="W2228">
        <v>-2.1729109999999999E-2</v>
      </c>
      <c r="X2228">
        <v>0.99648700000000001</v>
      </c>
      <c r="Y2228">
        <v>-5.4112739999999999E-2</v>
      </c>
      <c r="Z2228">
        <v>-2.9495489999999998E-4</v>
      </c>
      <c r="AA2228">
        <v>0.99853479999999994</v>
      </c>
      <c r="AB2228">
        <v>28</v>
      </c>
      <c r="AC2228">
        <v>-24.447499999999899</v>
      </c>
      <c r="AD2228">
        <v>-1.111515277441</v>
      </c>
      <c r="AE2228">
        <v>-1.84239999999999</v>
      </c>
      <c r="AF2228">
        <v>-1.33841694979277</v>
      </c>
      <c r="AG2228">
        <v>-1.111515277441</v>
      </c>
      <c r="AH2228">
        <v>24.429899694187501</v>
      </c>
      <c r="AI2228">
        <v>92.6011600818088</v>
      </c>
      <c r="AJ2228">
        <v>93.135872725698206</v>
      </c>
      <c r="AK2228">
        <v>24.491770560976999</v>
      </c>
      <c r="AL2228">
        <v>91.245084216671401</v>
      </c>
      <c r="AM2228">
        <v>85.359736809188107</v>
      </c>
      <c r="AN2228">
        <v>1.00000005673283</v>
      </c>
    </row>
    <row r="2229" spans="1:40" x14ac:dyDescent="0.25">
      <c r="A2229" t="str">
        <f>"20190312161311466"</f>
        <v>20190312161311466</v>
      </c>
      <c r="B2229" t="str">
        <f>"1552378391457617"</f>
        <v>1552378391457617</v>
      </c>
      <c r="C2229" t="s">
        <v>40</v>
      </c>
      <c r="D2229">
        <v>5.0138610000000003</v>
      </c>
      <c r="E2229">
        <v>0.39928550000000002</v>
      </c>
      <c r="F2229" t="s">
        <v>63</v>
      </c>
      <c r="G2229">
        <v>-490.6497</v>
      </c>
      <c r="H2229" s="1">
        <v>3.5717270000000002E-6</v>
      </c>
      <c r="I2229">
        <v>281.44069999999999</v>
      </c>
      <c r="J2229">
        <v>-464.24470000000002</v>
      </c>
      <c r="K2229">
        <v>1.111569</v>
      </c>
      <c r="L2229">
        <v>286.72879999999998</v>
      </c>
      <c r="M2229">
        <v>-0.99964889999999995</v>
      </c>
      <c r="N2229">
        <v>0</v>
      </c>
      <c r="O2229">
        <v>-2.241278E-2</v>
      </c>
      <c r="P2229">
        <v>-0.99771500000000002</v>
      </c>
      <c r="Q2229">
        <v>-3.5582299999999997E-2</v>
      </c>
      <c r="R2229">
        <v>5.743649E-2</v>
      </c>
      <c r="S2229">
        <v>-3.0393979999999998</v>
      </c>
      <c r="T2229">
        <v>-0.12660969999999999</v>
      </c>
      <c r="U2229">
        <v>-0.60324100000000003</v>
      </c>
      <c r="V2229">
        <v>7.9861100000000004E-2</v>
      </c>
      <c r="W2229">
        <v>-2.1214190000000001E-2</v>
      </c>
      <c r="X2229">
        <v>0.99658020000000003</v>
      </c>
      <c r="Y2229">
        <v>-0.17251629999999901</v>
      </c>
      <c r="Z2229">
        <v>-2.6332320000000001E-3</v>
      </c>
      <c r="AA2229">
        <v>0.98500310000000002</v>
      </c>
      <c r="AB2229">
        <v>28</v>
      </c>
      <c r="AC2229">
        <v>-26.404999999999902</v>
      </c>
      <c r="AD2229">
        <v>-1.1115654282729901</v>
      </c>
      <c r="AE2229">
        <v>-5.2880999999999796</v>
      </c>
      <c r="AF2229">
        <v>-4.68691722029636</v>
      </c>
      <c r="AG2229">
        <v>-1.1115654282729901</v>
      </c>
      <c r="AH2229">
        <v>26.4717959232933</v>
      </c>
      <c r="AI2229">
        <v>92.367687409581507</v>
      </c>
      <c r="AJ2229">
        <v>100.040351796211</v>
      </c>
      <c r="AK2229">
        <v>26.906481563662901</v>
      </c>
      <c r="AL2229">
        <v>91.215574782227804</v>
      </c>
      <c r="AM2229">
        <v>85.418384759483104</v>
      </c>
      <c r="AN2229">
        <v>0.99999996609130204</v>
      </c>
    </row>
    <row r="2230" spans="1:40" x14ac:dyDescent="0.25">
      <c r="A2230" t="str">
        <f>"20190312161311487"</f>
        <v>20190312161311487</v>
      </c>
      <c r="B2230" t="str">
        <f>"1552378391478113"</f>
        <v>1552378391478113</v>
      </c>
      <c r="C2230" t="s">
        <v>40</v>
      </c>
      <c r="D2230">
        <v>5.0093139999999998</v>
      </c>
      <c r="E2230">
        <v>0.39820650000000002</v>
      </c>
      <c r="F2230" t="s">
        <v>63</v>
      </c>
      <c r="G2230">
        <v>-492.41250000000002</v>
      </c>
      <c r="H2230" s="1">
        <v>3.2104650000000001E-6</v>
      </c>
      <c r="I2230">
        <v>280.88499999999999</v>
      </c>
      <c r="J2230">
        <v>-464.51920000000001</v>
      </c>
      <c r="K2230">
        <v>1.111621</v>
      </c>
      <c r="L2230">
        <v>286.72050000000002</v>
      </c>
      <c r="M2230">
        <v>-0.99960269999999996</v>
      </c>
      <c r="N2230">
        <v>0</v>
      </c>
      <c r="O2230">
        <v>-2.4388569999999998E-2</v>
      </c>
      <c r="P2230">
        <v>-0.99781969999999998</v>
      </c>
      <c r="Q2230">
        <v>-3.6366740000000002E-2</v>
      </c>
      <c r="R2230">
        <v>5.5075480000000003E-2</v>
      </c>
      <c r="S2230">
        <v>-3.03891</v>
      </c>
      <c r="T2230">
        <v>-0.1199223</v>
      </c>
      <c r="U2230">
        <v>-0.63046259999999998</v>
      </c>
      <c r="V2230">
        <v>7.9477590000000001E-2</v>
      </c>
      <c r="W2230">
        <v>-2.1991790000000001E-2</v>
      </c>
      <c r="X2230">
        <v>0.99659399999999998</v>
      </c>
      <c r="Y2230">
        <v>-0.17907970000000001</v>
      </c>
      <c r="Z2230">
        <v>-2.543544E-3</v>
      </c>
      <c r="AA2230">
        <v>0.98383129999999996</v>
      </c>
      <c r="AB2230">
        <v>28</v>
      </c>
      <c r="AC2230">
        <v>-27.8933</v>
      </c>
      <c r="AD2230">
        <v>-1.1116177895349999</v>
      </c>
      <c r="AE2230">
        <v>-5.8355000000000201</v>
      </c>
      <c r="AF2230">
        <v>-5.1455886468607996</v>
      </c>
      <c r="AG2230">
        <v>-1.1116177895349999</v>
      </c>
      <c r="AH2230">
        <v>27.984753058737802</v>
      </c>
      <c r="AI2230">
        <v>92.237256452057096</v>
      </c>
      <c r="AJ2230">
        <v>100.418667400518</v>
      </c>
      <c r="AK2230">
        <v>28.475589201827699</v>
      </c>
      <c r="AL2230">
        <v>91.260138386183101</v>
      </c>
      <c r="AM2230">
        <v>85.440356523002905</v>
      </c>
      <c r="AN2230">
        <v>0.99999996348780495</v>
      </c>
    </row>
    <row r="2231" spans="1:40" x14ac:dyDescent="0.25">
      <c r="A2231" t="str">
        <f>"20190312161311512"</f>
        <v>20190312161311512</v>
      </c>
      <c r="B2231" t="str">
        <f>"1552378391508370"</f>
        <v>1552378391508370</v>
      </c>
      <c r="C2231" t="s">
        <v>40</v>
      </c>
      <c r="D2231">
        <v>5.0155799999999999</v>
      </c>
      <c r="E2231">
        <v>0.39847169999999998</v>
      </c>
      <c r="F2231" t="s">
        <v>63</v>
      </c>
      <c r="G2231">
        <v>-493.09789999999998</v>
      </c>
      <c r="H2231" s="1">
        <v>3.0678099999999999E-6</v>
      </c>
      <c r="I2231">
        <v>280.64400000000001</v>
      </c>
      <c r="J2231">
        <v>-464.80529999999999</v>
      </c>
      <c r="K2231">
        <v>1.1116779999999999</v>
      </c>
      <c r="L2231">
        <v>286.71120000000002</v>
      </c>
      <c r="M2231">
        <v>-0.99954790000000004</v>
      </c>
      <c r="N2231">
        <v>0</v>
      </c>
      <c r="O2231">
        <v>-2.6539380000000001E-2</v>
      </c>
      <c r="P2231">
        <v>-0.99796779999999996</v>
      </c>
      <c r="Q2231">
        <v>-3.6139030000000003E-2</v>
      </c>
      <c r="R2231">
        <v>5.2481409999999999E-2</v>
      </c>
      <c r="S2231">
        <v>-3.037903</v>
      </c>
      <c r="T2231">
        <v>-0.11816450000000001</v>
      </c>
      <c r="U2231">
        <v>-0.64593509999999998</v>
      </c>
      <c r="V2231">
        <v>7.9033610000000004E-2</v>
      </c>
      <c r="W2231">
        <v>-2.175562E-2</v>
      </c>
      <c r="X2231">
        <v>0.99663449999999998</v>
      </c>
      <c r="Y2231">
        <v>-0.18182889999999999</v>
      </c>
      <c r="Z2231">
        <v>-2.4760950000000002E-3</v>
      </c>
      <c r="AA2231">
        <v>0.98332710000000001</v>
      </c>
      <c r="AB2231">
        <v>28</v>
      </c>
      <c r="AC2231">
        <v>-28.2926</v>
      </c>
      <c r="AD2231">
        <v>-1.1116749321899999</v>
      </c>
      <c r="AE2231">
        <v>-6.0672000000000104</v>
      </c>
      <c r="AF2231">
        <v>-5.3062874489231397</v>
      </c>
      <c r="AG2231">
        <v>-1.1116749321899999</v>
      </c>
      <c r="AH2231">
        <v>28.401747538385699</v>
      </c>
      <c r="AI2231">
        <v>92.203387648259806</v>
      </c>
      <c r="AJ2231">
        <v>100.58254482990699</v>
      </c>
      <c r="AK2231">
        <v>28.914559842398798</v>
      </c>
      <c r="AL2231">
        <v>91.246603591803407</v>
      </c>
      <c r="AM2231">
        <v>85.4659047134313</v>
      </c>
      <c r="AN2231">
        <v>0.99999997255073203</v>
      </c>
    </row>
    <row r="2232" spans="1:40" x14ac:dyDescent="0.25">
      <c r="A2232" t="str">
        <f>"20190312161311533"</f>
        <v>20190312161311533</v>
      </c>
      <c r="B2232" t="str">
        <f>"1552378391527889"</f>
        <v>1552378391527889</v>
      </c>
      <c r="C2232" t="s">
        <v>40</v>
      </c>
      <c r="D2232">
        <v>5.0253199999999998</v>
      </c>
      <c r="E2232">
        <v>0.39868700000000001</v>
      </c>
      <c r="F2232" t="s">
        <v>63</v>
      </c>
      <c r="G2232">
        <v>-494.71260000000001</v>
      </c>
      <c r="H2232" s="1">
        <v>2.7505569999999998E-6</v>
      </c>
      <c r="I2232">
        <v>280.29129999999998</v>
      </c>
      <c r="J2232">
        <v>-465.08030000000002</v>
      </c>
      <c r="K2232">
        <v>1.1117269999999999</v>
      </c>
      <c r="L2232">
        <v>286.70150000000001</v>
      </c>
      <c r="M2232">
        <v>-0.9994885</v>
      </c>
      <c r="N2232">
        <v>0</v>
      </c>
      <c r="O2232">
        <v>-2.868913E-2</v>
      </c>
      <c r="P2232">
        <v>-0.9980947</v>
      </c>
      <c r="Q2232">
        <v>-3.5963599999999998E-2</v>
      </c>
      <c r="R2232">
        <v>5.0133049999999998E-2</v>
      </c>
      <c r="S2232">
        <v>-3.0362849999999999</v>
      </c>
      <c r="T2232">
        <v>-0.1128608</v>
      </c>
      <c r="U2232">
        <v>-0.65176389999999995</v>
      </c>
      <c r="V2232">
        <v>7.8834619999999994E-2</v>
      </c>
      <c r="W2232">
        <v>-2.1570889999999999E-2</v>
      </c>
      <c r="X2232">
        <v>0.99665429999999999</v>
      </c>
      <c r="Y2232">
        <v>-0.1816372</v>
      </c>
      <c r="Z2232">
        <v>-2.2834299999999999E-3</v>
      </c>
      <c r="AA2232">
        <v>0.98336299999999999</v>
      </c>
      <c r="AB2232">
        <v>28</v>
      </c>
      <c r="AC2232">
        <v>-29.632299999999901</v>
      </c>
      <c r="AD2232">
        <v>-1.111724249443</v>
      </c>
      <c r="AE2232">
        <v>-6.4102000000000299</v>
      </c>
      <c r="AF2232">
        <v>-5.54988860820455</v>
      </c>
      <c r="AG2232">
        <v>-1.111724249443</v>
      </c>
      <c r="AH2232">
        <v>29.764000383354698</v>
      </c>
      <c r="AI2232">
        <v>92.102866710903001</v>
      </c>
      <c r="AJ2232">
        <v>100.562253759225</v>
      </c>
      <c r="AK2232">
        <v>30.2974076975344</v>
      </c>
      <c r="AL2232">
        <v>91.236016827278704</v>
      </c>
      <c r="AM2232">
        <v>85.477362667452397</v>
      </c>
      <c r="AN2232">
        <v>0.99999999715721299</v>
      </c>
    </row>
    <row r="2233" spans="1:40" x14ac:dyDescent="0.25">
      <c r="A2233" t="str">
        <f>"20190312161311556"</f>
        <v>20190312161311556</v>
      </c>
      <c r="B2233" t="str">
        <f>"1552378391548389"</f>
        <v>1552378391548389</v>
      </c>
      <c r="C2233" t="s">
        <v>40</v>
      </c>
      <c r="D2233">
        <v>5.0415850000000004</v>
      </c>
      <c r="E2233">
        <v>0.39894350000000001</v>
      </c>
      <c r="F2233" t="s">
        <v>63</v>
      </c>
      <c r="G2233">
        <v>-495.21809999999999</v>
      </c>
      <c r="H2233" s="1">
        <v>2.6508070000000001E-6</v>
      </c>
      <c r="I2233">
        <v>280.17610000000002</v>
      </c>
      <c r="J2233">
        <v>-465.36040000000003</v>
      </c>
      <c r="K2233">
        <v>1.1117859999999999</v>
      </c>
      <c r="L2233">
        <v>286.69099999999997</v>
      </c>
      <c r="M2233">
        <v>-0.99942109999999995</v>
      </c>
      <c r="N2233">
        <v>0</v>
      </c>
      <c r="O2233">
        <v>-3.0953540000000002E-2</v>
      </c>
      <c r="P2233">
        <v>-0.99825189999999997</v>
      </c>
      <c r="Q2233">
        <v>-3.5572699999999999E-2</v>
      </c>
      <c r="R2233">
        <v>4.7203769999999999E-2</v>
      </c>
      <c r="S2233">
        <v>-3.0346980000000001</v>
      </c>
      <c r="T2233">
        <v>-0.111944</v>
      </c>
      <c r="U2233">
        <v>-0.65707399999999905</v>
      </c>
      <c r="V2233">
        <v>7.8170050000000005E-2</v>
      </c>
      <c r="W2233">
        <v>-2.1172079999999999E-2</v>
      </c>
      <c r="X2233">
        <v>0.99671520000000002</v>
      </c>
      <c r="Y2233">
        <v>-0.1811624</v>
      </c>
      <c r="Z2233">
        <v>-2.1745950000000001E-3</v>
      </c>
      <c r="AA2233">
        <v>0.98345079999999996</v>
      </c>
      <c r="AB2233">
        <v>28</v>
      </c>
      <c r="AC2233">
        <v>-29.857699999999902</v>
      </c>
      <c r="AD2233">
        <v>-1.111783349193</v>
      </c>
      <c r="AE2233">
        <v>-6.5148999999999502</v>
      </c>
      <c r="AF2233">
        <v>-5.5800986286284999</v>
      </c>
      <c r="AG2233">
        <v>-1.111783349193</v>
      </c>
      <c r="AH2233">
        <v>30.005356944146701</v>
      </c>
      <c r="AI2233">
        <v>92.0862624612014</v>
      </c>
      <c r="AJ2233">
        <v>100.53495096357</v>
      </c>
      <c r="AK2233">
        <v>30.5400557999886</v>
      </c>
      <c r="AL2233">
        <v>91.2131614715247</v>
      </c>
      <c r="AM2233">
        <v>85.515604879060703</v>
      </c>
      <c r="AN2233">
        <v>1.0000000017997801</v>
      </c>
    </row>
    <row r="2234" spans="1:40" x14ac:dyDescent="0.25">
      <c r="A2234" t="str">
        <f>"20190312161311577"</f>
        <v>20190312161311577</v>
      </c>
      <c r="B2234" t="str">
        <f>"1552378391567905"</f>
        <v>1552378391567905</v>
      </c>
      <c r="C2234" t="s">
        <v>40</v>
      </c>
      <c r="D2234">
        <v>5.067672</v>
      </c>
      <c r="E2234">
        <v>0.3992676</v>
      </c>
      <c r="F2234" t="s">
        <v>63</v>
      </c>
      <c r="G2234">
        <v>-496.3766</v>
      </c>
      <c r="H2234" s="1">
        <v>2.421316E-6</v>
      </c>
      <c r="I2234">
        <v>279.90159999999997</v>
      </c>
      <c r="J2234">
        <v>-465.63510000000002</v>
      </c>
      <c r="K2234">
        <v>1.111842</v>
      </c>
      <c r="L2234">
        <v>286.68</v>
      </c>
      <c r="M2234">
        <v>-0.99934699999999999</v>
      </c>
      <c r="N2234">
        <v>0</v>
      </c>
      <c r="O2234">
        <v>-3.3255989999999999E-2</v>
      </c>
      <c r="P2234">
        <v>-0.9984326</v>
      </c>
      <c r="Q2234">
        <v>-3.4278820000000002E-2</v>
      </c>
      <c r="R2234">
        <v>4.4242839999999999E-2</v>
      </c>
      <c r="S2234">
        <v>-3.0328059999999999</v>
      </c>
      <c r="T2234">
        <v>-0.10871169999999999</v>
      </c>
      <c r="U2234">
        <v>-0.66387940000000001</v>
      </c>
      <c r="V2234">
        <v>7.7509140000000004E-2</v>
      </c>
      <c r="W2234">
        <v>-1.987001E-2</v>
      </c>
      <c r="X2234">
        <v>0.99679359999999995</v>
      </c>
      <c r="Y2234">
        <v>-0.1811374</v>
      </c>
      <c r="Z2234">
        <v>-2.0308240000000001E-3</v>
      </c>
      <c r="AA2234">
        <v>0.98345570000000004</v>
      </c>
      <c r="AB2234">
        <v>28</v>
      </c>
      <c r="AC2234">
        <v>-30.741499999999899</v>
      </c>
      <c r="AD2234">
        <v>-1.1118395786839901</v>
      </c>
      <c r="AE2234">
        <v>-6.7784000000000297</v>
      </c>
      <c r="AF2234">
        <v>-5.7450422804493204</v>
      </c>
      <c r="AG2234">
        <v>-1.1118395786839901</v>
      </c>
      <c r="AH2234">
        <v>30.9113775493839</v>
      </c>
      <c r="AI2234">
        <v>92.025309335661206</v>
      </c>
      <c r="AJ2234">
        <v>100.52859235653099</v>
      </c>
      <c r="AK2234">
        <v>31.4603712637571</v>
      </c>
      <c r="AL2234">
        <v>91.138542659533698</v>
      </c>
      <c r="AM2234">
        <v>85.553715053302</v>
      </c>
      <c r="AN2234">
        <v>0.99999998254094902</v>
      </c>
    </row>
    <row r="2235" spans="1:40" x14ac:dyDescent="0.25">
      <c r="A2235" t="str">
        <f>"20190312161311600"</f>
        <v>20190312161311600</v>
      </c>
      <c r="B2235" t="str">
        <f>"1552378391588401"</f>
        <v>1552378391588401</v>
      </c>
      <c r="C2235" t="s">
        <v>40</v>
      </c>
      <c r="D2235">
        <v>5.0542610000000003</v>
      </c>
      <c r="E2235">
        <v>0.39942260000000002</v>
      </c>
      <c r="F2235" t="s">
        <v>63</v>
      </c>
      <c r="G2235">
        <v>-497.31139999999999</v>
      </c>
      <c r="H2235" s="1">
        <v>2.2355579999999999E-6</v>
      </c>
      <c r="I2235">
        <v>279.67340000000002</v>
      </c>
      <c r="J2235">
        <v>-465.91140000000001</v>
      </c>
      <c r="K2235">
        <v>1.11191</v>
      </c>
      <c r="L2235">
        <v>286.66820000000001</v>
      </c>
      <c r="M2235">
        <v>-0.99926389999999998</v>
      </c>
      <c r="N2235">
        <v>0</v>
      </c>
      <c r="O2235">
        <v>-3.56666E-2</v>
      </c>
      <c r="P2235">
        <v>-0.99860300000000002</v>
      </c>
      <c r="Q2235">
        <v>-3.3888149999999999E-2</v>
      </c>
      <c r="R2235">
        <v>4.0544650000000002E-2</v>
      </c>
      <c r="S2235">
        <v>-3.0307309999999998</v>
      </c>
      <c r="T2235">
        <v>-0.1063789</v>
      </c>
      <c r="U2235">
        <v>-0.67037959999999996</v>
      </c>
      <c r="V2235">
        <v>7.6224189999999997E-2</v>
      </c>
      <c r="W2235">
        <v>-1.947227E-2</v>
      </c>
      <c r="X2235">
        <v>0.99690060000000003</v>
      </c>
      <c r="Y2235">
        <v>-0.18092279999999999</v>
      </c>
      <c r="Z2235">
        <v>-1.9010469999999999E-3</v>
      </c>
      <c r="AA2235">
        <v>0.98349549999999997</v>
      </c>
      <c r="AB2235">
        <v>28</v>
      </c>
      <c r="AC2235">
        <v>-31.399999999999899</v>
      </c>
      <c r="AD2235">
        <v>-1.1119077644419999</v>
      </c>
      <c r="AE2235">
        <v>-6.9947999999999899</v>
      </c>
      <c r="AF2235">
        <v>-5.8633009779840002</v>
      </c>
      <c r="AG2235">
        <v>-1.1119077644419999</v>
      </c>
      <c r="AH2235">
        <v>31.591781761976701</v>
      </c>
      <c r="AI2235">
        <v>91.981938336803097</v>
      </c>
      <c r="AJ2235">
        <v>100.514219970076</v>
      </c>
      <c r="AK2235">
        <v>32.150510293483997</v>
      </c>
      <c r="AL2235">
        <v>91.115749348456504</v>
      </c>
      <c r="AM2235">
        <v>85.627604997096796</v>
      </c>
      <c r="AN2235">
        <v>1.0000000513602301</v>
      </c>
    </row>
    <row r="2236" spans="1:40" x14ac:dyDescent="0.25">
      <c r="A2236" t="str">
        <f>"20190312161311623"</f>
        <v>20190312161311623</v>
      </c>
      <c r="B2236" t="str">
        <f>"1552378391617682"</f>
        <v>1552378391617682</v>
      </c>
      <c r="C2236" t="s">
        <v>40</v>
      </c>
      <c r="D2236">
        <v>5.071091</v>
      </c>
      <c r="E2236">
        <v>0.39977639999999998</v>
      </c>
      <c r="F2236" t="s">
        <v>63</v>
      </c>
      <c r="G2236">
        <v>-497.7285</v>
      </c>
      <c r="H2236" s="1">
        <v>2.139498E-6</v>
      </c>
      <c r="I2236">
        <v>279.51929999999999</v>
      </c>
      <c r="J2236">
        <v>-466.1952</v>
      </c>
      <c r="K2236">
        <v>1.1119829999999999</v>
      </c>
      <c r="L2236">
        <v>286.65519999999998</v>
      </c>
      <c r="M2236">
        <v>-0.99916850000000001</v>
      </c>
      <c r="N2236">
        <v>0</v>
      </c>
      <c r="O2236">
        <v>-3.8247820000000002E-2</v>
      </c>
      <c r="P2236">
        <v>-0.99875199999999997</v>
      </c>
      <c r="Q2236">
        <v>-3.3585730000000001E-2</v>
      </c>
      <c r="R2236">
        <v>3.6971450000000003E-2</v>
      </c>
      <c r="S2236">
        <v>-3.0281980000000002</v>
      </c>
      <c r="T2236">
        <v>-0.10582610000000001</v>
      </c>
      <c r="U2236">
        <v>-0.68038940000000003</v>
      </c>
      <c r="V2236">
        <v>7.5235419999999997E-2</v>
      </c>
      <c r="W2236">
        <v>-1.9159720000000002E-2</v>
      </c>
      <c r="X2236">
        <v>0.99698169999999997</v>
      </c>
      <c r="Y2236">
        <v>-0.18165439999999999</v>
      </c>
      <c r="Z2236">
        <v>-1.815838E-3</v>
      </c>
      <c r="AA2236">
        <v>0.98336080000000003</v>
      </c>
      <c r="AB2236">
        <v>28</v>
      </c>
      <c r="AC2236">
        <v>-31.533300000000001</v>
      </c>
      <c r="AD2236">
        <v>-1.1119808605019901</v>
      </c>
      <c r="AE2236">
        <v>-7.1358999999999897</v>
      </c>
      <c r="AF2236">
        <v>-5.9174771796344396</v>
      </c>
      <c r="AG2236">
        <v>-1.1119808605019901</v>
      </c>
      <c r="AH2236">
        <v>31.7456283589481</v>
      </c>
      <c r="AI2236">
        <v>91.972184600939698</v>
      </c>
      <c r="AJ2236">
        <v>100.55891885506099</v>
      </c>
      <c r="AK2236">
        <v>32.311576215190598</v>
      </c>
      <c r="AL2236">
        <v>91.097838282693701</v>
      </c>
      <c r="AM2236">
        <v>85.684457167257307</v>
      </c>
      <c r="AN2236">
        <v>0.99999998671397194</v>
      </c>
    </row>
    <row r="2237" spans="1:40" x14ac:dyDescent="0.25">
      <c r="A2237" t="str">
        <f>"20190312161311645"</f>
        <v>20190312161311645</v>
      </c>
      <c r="B2237" t="str">
        <f>"1552378391638177"</f>
        <v>1552378391638177</v>
      </c>
      <c r="C2237" t="s">
        <v>40</v>
      </c>
      <c r="D2237">
        <v>5.1002980000000004</v>
      </c>
      <c r="E2237">
        <v>0.40002070000000001</v>
      </c>
      <c r="F2237" t="s">
        <v>63</v>
      </c>
      <c r="G2237">
        <v>-497.68650000000002</v>
      </c>
      <c r="H2237" s="1">
        <v>2.1415760000000001E-6</v>
      </c>
      <c r="I2237">
        <v>279.48880000000003</v>
      </c>
      <c r="J2237">
        <v>-466.46609999999998</v>
      </c>
      <c r="K2237">
        <v>1.112069</v>
      </c>
      <c r="L2237">
        <v>286.64210000000003</v>
      </c>
      <c r="M2237">
        <v>-0.99906689999999998</v>
      </c>
      <c r="N2237">
        <v>0</v>
      </c>
      <c r="O2237">
        <v>-4.0817470000000002E-2</v>
      </c>
      <c r="P2237">
        <v>-0.99891839999999998</v>
      </c>
      <c r="Q2237">
        <v>-3.3169799999999999E-2</v>
      </c>
      <c r="R2237">
        <v>3.2589590000000002E-2</v>
      </c>
      <c r="S2237">
        <v>-3.0256349999999999</v>
      </c>
      <c r="T2237">
        <v>-0.1068374</v>
      </c>
      <c r="U2237">
        <v>-0.68853759999999997</v>
      </c>
      <c r="V2237">
        <v>7.3428599999999997E-2</v>
      </c>
      <c r="W2237">
        <v>-1.8735519999999999E-2</v>
      </c>
      <c r="X2237">
        <v>0.99712449999999997</v>
      </c>
      <c r="Y2237">
        <v>-0.1818226</v>
      </c>
      <c r="Z2237">
        <v>-1.747782E-3</v>
      </c>
      <c r="AA2237">
        <v>0.98332980000000003</v>
      </c>
      <c r="AB2237">
        <v>28</v>
      </c>
      <c r="AC2237">
        <v>-31.220400000000001</v>
      </c>
      <c r="AD2237">
        <v>-1.1120668584240001</v>
      </c>
      <c r="AE2237">
        <v>-7.1532999999999998</v>
      </c>
      <c r="AF2237">
        <v>-5.8658014987834601</v>
      </c>
      <c r="AG2237">
        <v>-1.1120668584240001</v>
      </c>
      <c r="AH2237">
        <v>31.448474203355399</v>
      </c>
      <c r="AI2237">
        <v>91.990916190188003</v>
      </c>
      <c r="AJ2237">
        <v>100.565459274258</v>
      </c>
      <c r="AK2237">
        <v>32.0101679102101</v>
      </c>
      <c r="AL2237">
        <v>91.073529008701797</v>
      </c>
      <c r="AM2237">
        <v>85.788320776375201</v>
      </c>
      <c r="AN2237">
        <v>1.0000000237539399</v>
      </c>
    </row>
    <row r="2238" spans="1:40" x14ac:dyDescent="0.25">
      <c r="A2238" t="str">
        <f>"20190312161311667"</f>
        <v>20190312161311667</v>
      </c>
      <c r="B2238" t="str">
        <f>"1552378391657698"</f>
        <v>1552378391657698</v>
      </c>
      <c r="C2238" t="s">
        <v>40</v>
      </c>
      <c r="D2238">
        <v>5.1191380000000004</v>
      </c>
      <c r="E2238">
        <v>0.40020909999999998</v>
      </c>
      <c r="F2238" t="s">
        <v>63</v>
      </c>
      <c r="G2238">
        <v>-498.03070000000002</v>
      </c>
      <c r="H2238" s="1">
        <v>2.053396E-6</v>
      </c>
      <c r="I2238">
        <v>279.33479999999997</v>
      </c>
      <c r="J2238">
        <v>-466.74250000000001</v>
      </c>
      <c r="K2238">
        <v>1.1121509999999999</v>
      </c>
      <c r="L2238">
        <v>286.62779999999998</v>
      </c>
      <c r="M2238">
        <v>-0.99895120000000004</v>
      </c>
      <c r="N2238">
        <v>0</v>
      </c>
      <c r="O2238">
        <v>-4.355204E-2</v>
      </c>
      <c r="P2238">
        <v>-0.99908160000000001</v>
      </c>
      <c r="Q2238">
        <v>-3.2001880000000003E-2</v>
      </c>
      <c r="R2238">
        <v>2.8492090000000001E-2</v>
      </c>
      <c r="S2238">
        <v>-3.022583</v>
      </c>
      <c r="T2238">
        <v>-0.10649</v>
      </c>
      <c r="U2238">
        <v>-0.69973750000000001</v>
      </c>
      <c r="V2238">
        <v>7.2068309999999997E-2</v>
      </c>
      <c r="W2238">
        <v>-1.755667E-2</v>
      </c>
      <c r="X2238">
        <v>0.99724520000000005</v>
      </c>
      <c r="Y2238">
        <v>-0.18280830000000001</v>
      </c>
      <c r="Z2238">
        <v>-1.665487E-3</v>
      </c>
      <c r="AA2238">
        <v>0.98314710000000005</v>
      </c>
      <c r="AB2238">
        <v>28</v>
      </c>
      <c r="AC2238">
        <v>-31.2882</v>
      </c>
      <c r="AD2238">
        <v>-1.112148946604</v>
      </c>
      <c r="AE2238">
        <v>-7.2930000000000001</v>
      </c>
      <c r="AF2238">
        <v>-5.9161879635196</v>
      </c>
      <c r="AG2238">
        <v>-1.112148946604</v>
      </c>
      <c r="AH2238">
        <v>31.538368969172101</v>
      </c>
      <c r="AI2238">
        <v>91.985010242301001</v>
      </c>
      <c r="AJ2238">
        <v>100.62447054146099</v>
      </c>
      <c r="AK2238">
        <v>32.107738514799898</v>
      </c>
      <c r="AL2238">
        <v>91.005974743887194</v>
      </c>
      <c r="AM2238">
        <v>85.866569154649397</v>
      </c>
      <c r="AN2238">
        <v>1.00000003344539</v>
      </c>
    </row>
    <row r="2239" spans="1:40" x14ac:dyDescent="0.25">
      <c r="A2239" t="str">
        <f>"20190312161311689"</f>
        <v>20190312161311689</v>
      </c>
      <c r="B2239" t="str">
        <f>"1552378391678193"</f>
        <v>1552378391678193</v>
      </c>
      <c r="C2239" t="s">
        <v>40</v>
      </c>
      <c r="D2239">
        <v>5.1981529999999996</v>
      </c>
      <c r="E2239">
        <v>0.40039580000000002</v>
      </c>
      <c r="F2239" t="s">
        <v>63</v>
      </c>
      <c r="G2239">
        <v>-499.21769999999998</v>
      </c>
      <c r="H2239" s="1">
        <v>1.7809639999999901E-6</v>
      </c>
      <c r="I2239">
        <v>278.98340000000002</v>
      </c>
      <c r="J2239">
        <v>-467.01249999999999</v>
      </c>
      <c r="K2239">
        <v>1.112233</v>
      </c>
      <c r="L2239">
        <v>286.613</v>
      </c>
      <c r="M2239">
        <v>-0.99882570000000004</v>
      </c>
      <c r="N2239">
        <v>0</v>
      </c>
      <c r="O2239">
        <v>-4.6344679999999999E-2</v>
      </c>
      <c r="P2239">
        <v>-0.99922129999999998</v>
      </c>
      <c r="Q2239">
        <v>-3.094297E-2</v>
      </c>
      <c r="R2239">
        <v>2.4488059999999999E-2</v>
      </c>
      <c r="S2239">
        <v>-3.019714</v>
      </c>
      <c r="T2239">
        <v>-0.10341359999999999</v>
      </c>
      <c r="U2239">
        <v>-0.71081539999999999</v>
      </c>
      <c r="V2239">
        <v>7.0860019999999996E-2</v>
      </c>
      <c r="W2239">
        <v>-1.6486489999999999E-2</v>
      </c>
      <c r="X2239">
        <v>0.99734999999999996</v>
      </c>
      <c r="Y2239">
        <v>-0.18369070000000001</v>
      </c>
      <c r="Z2239">
        <v>-1.539147E-3</v>
      </c>
      <c r="AA2239">
        <v>0.98298289999999999</v>
      </c>
      <c r="AB2239">
        <v>28</v>
      </c>
      <c r="AC2239">
        <v>-32.205199999999898</v>
      </c>
      <c r="AD2239">
        <v>-1.112231219036</v>
      </c>
      <c r="AE2239">
        <v>-7.6295999999999804</v>
      </c>
      <c r="AF2239">
        <v>-6.1217983438473604</v>
      </c>
      <c r="AG2239">
        <v>-1.112231219036</v>
      </c>
      <c r="AH2239">
        <v>32.487526168186399</v>
      </c>
      <c r="AI2239">
        <v>91.926906268773706</v>
      </c>
      <c r="AJ2239">
        <v>100.671417972817</v>
      </c>
      <c r="AK2239">
        <v>33.077981041410702</v>
      </c>
      <c r="AL2239">
        <v>90.944649107077595</v>
      </c>
      <c r="AM2239">
        <v>85.936061268634006</v>
      </c>
      <c r="AN2239">
        <v>0.99999998464345996</v>
      </c>
    </row>
    <row r="2240" spans="1:40" x14ac:dyDescent="0.25">
      <c r="A2240" t="str">
        <f>"20190312161311712"</f>
        <v>20190312161311712</v>
      </c>
      <c r="B2240" t="str">
        <f>"1552378391708449"</f>
        <v>1552378391708449</v>
      </c>
      <c r="C2240" t="s">
        <v>40</v>
      </c>
      <c r="D2240">
        <v>5.1086010000000002</v>
      </c>
      <c r="E2240">
        <v>0.4629876</v>
      </c>
      <c r="F2240" t="s">
        <v>63</v>
      </c>
      <c r="G2240">
        <v>-499.81799999999998</v>
      </c>
      <c r="H2240" s="1">
        <v>1.637185E-6</v>
      </c>
      <c r="I2240">
        <v>278.77170000000001</v>
      </c>
      <c r="J2240">
        <v>-467.28879999999998</v>
      </c>
      <c r="K2240">
        <v>1.1123209999999999</v>
      </c>
      <c r="L2240">
        <v>286.59690000000001</v>
      </c>
      <c r="M2240">
        <v>-0.99868279999999998</v>
      </c>
      <c r="N2240">
        <v>0</v>
      </c>
      <c r="O2240">
        <v>-4.9325689999999998E-2</v>
      </c>
      <c r="P2240">
        <v>-0.99934860000000003</v>
      </c>
      <c r="Q2240">
        <v>-2.9676040000000001E-2</v>
      </c>
      <c r="R2240">
        <v>2.0544969999999999E-2</v>
      </c>
      <c r="S2240">
        <v>-3.0168460000000001</v>
      </c>
      <c r="T2240">
        <v>-0.1022826</v>
      </c>
      <c r="U2240">
        <v>-0.72109990000000002</v>
      </c>
      <c r="V2240">
        <v>6.990006E-2</v>
      </c>
      <c r="W2240">
        <v>-1.5207450000000001E-2</v>
      </c>
      <c r="X2240">
        <v>0.99743809999999999</v>
      </c>
      <c r="Y2240">
        <v>-0.18414059999999999</v>
      </c>
      <c r="Z2240">
        <v>-1.4314099999999999E-3</v>
      </c>
      <c r="AA2240">
        <v>0.98289890000000002</v>
      </c>
      <c r="AB2240">
        <v>28</v>
      </c>
      <c r="AC2240">
        <v>-32.529200000000003</v>
      </c>
      <c r="AD2240">
        <v>-1.1123193628150001</v>
      </c>
      <c r="AE2240">
        <v>-7.8251999999999899</v>
      </c>
      <c r="AF2240">
        <v>-6.2041299979835101</v>
      </c>
      <c r="AG2240">
        <v>-1.1123193628150001</v>
      </c>
      <c r="AH2240">
        <v>32.839320432901999</v>
      </c>
      <c r="AI2240">
        <v>91.906260845464203</v>
      </c>
      <c r="AJ2240">
        <v>100.698443408971</v>
      </c>
      <c r="AK2240">
        <v>33.438741751022597</v>
      </c>
      <c r="AL2240">
        <v>90.871356269256907</v>
      </c>
      <c r="AM2240">
        <v>85.991288754737994</v>
      </c>
      <c r="AN2240">
        <v>1.00000002412755</v>
      </c>
    </row>
    <row r="2241" spans="1:40" x14ac:dyDescent="0.25">
      <c r="A2241" t="str">
        <f>"20190312161311734"</f>
        <v>20190312161311734</v>
      </c>
      <c r="B2241" t="str">
        <f>"1552378391727969"</f>
        <v>1552378391727969</v>
      </c>
      <c r="C2241" t="s">
        <v>40</v>
      </c>
      <c r="D2241">
        <v>5.0935240000000004</v>
      </c>
      <c r="E2241">
        <v>0.53645909999999997</v>
      </c>
      <c r="F2241" t="s">
        <v>63</v>
      </c>
      <c r="G2241">
        <v>-495.31959999999998</v>
      </c>
      <c r="H2241" s="1">
        <v>3.002696E-6</v>
      </c>
      <c r="I2241">
        <v>284.40710000000001</v>
      </c>
      <c r="J2241">
        <v>-467.56509999999997</v>
      </c>
      <c r="K2241">
        <v>1.112403</v>
      </c>
      <c r="L2241">
        <v>286.57990000000001</v>
      </c>
      <c r="M2241">
        <v>-0.99852569999999996</v>
      </c>
      <c r="N2241">
        <v>0</v>
      </c>
      <c r="O2241">
        <v>-5.2406609999999999E-2</v>
      </c>
      <c r="P2241">
        <v>-0.99945430000000002</v>
      </c>
      <c r="Q2241">
        <v>-2.8344210000000002E-2</v>
      </c>
      <c r="R2241">
        <v>1.6970909999999999E-2</v>
      </c>
      <c r="S2241">
        <v>-3.0032350000000001</v>
      </c>
      <c r="T2241">
        <v>-0.1191744</v>
      </c>
      <c r="U2241">
        <v>-0.2346191</v>
      </c>
      <c r="V2241">
        <v>6.940789E-2</v>
      </c>
      <c r="W2241">
        <v>-1.3863500000000001E-2</v>
      </c>
      <c r="X2241">
        <v>0.99749200000000005</v>
      </c>
      <c r="Y2241">
        <v>-2.5546119999999999E-2</v>
      </c>
      <c r="Z2241">
        <v>1.5681650000000001E-3</v>
      </c>
      <c r="AA2241">
        <v>0.99967240000000002</v>
      </c>
      <c r="AB2241">
        <v>28</v>
      </c>
      <c r="AC2241">
        <v>-27.7545</v>
      </c>
      <c r="AD2241">
        <v>-1.112399997304</v>
      </c>
      <c r="AE2241">
        <v>-2.1727999999999899</v>
      </c>
      <c r="AF2241">
        <v>-0.71400889185132699</v>
      </c>
      <c r="AG2241">
        <v>-1.112399997304</v>
      </c>
      <c r="AH2241">
        <v>27.785869941865599</v>
      </c>
      <c r="AI2241">
        <v>92.291841397159104</v>
      </c>
      <c r="AJ2241">
        <v>91.471996201421504</v>
      </c>
      <c r="AK2241">
        <v>27.817293378003399</v>
      </c>
      <c r="AL2241">
        <v>90.794345508834198</v>
      </c>
      <c r="AM2241">
        <v>86.019637646841502</v>
      </c>
      <c r="AN2241">
        <v>0.99999997094524995</v>
      </c>
    </row>
    <row r="2242" spans="1:40" x14ac:dyDescent="0.25">
      <c r="A2242" t="str">
        <f>"20190312161311756"</f>
        <v>20190312161311756</v>
      </c>
      <c r="B2242" t="str">
        <f>"1552378391748467"</f>
        <v>1552378391748467</v>
      </c>
      <c r="C2242" t="s">
        <v>40</v>
      </c>
      <c r="D2242">
        <v>5.0269659999999998</v>
      </c>
      <c r="E2242">
        <v>0.5366841</v>
      </c>
      <c r="F2242" t="s">
        <v>63</v>
      </c>
      <c r="G2242">
        <v>-492.83429999999998</v>
      </c>
      <c r="H2242" s="1">
        <v>3.8847560000000001E-6</v>
      </c>
      <c r="I2242">
        <v>289.45389999999998</v>
      </c>
      <c r="J2242">
        <v>-467.83710000000002</v>
      </c>
      <c r="K2242">
        <v>1.112471</v>
      </c>
      <c r="L2242">
        <v>286.56220000000002</v>
      </c>
      <c r="M2242">
        <v>-0.99835660000000004</v>
      </c>
      <c r="N2242">
        <v>0</v>
      </c>
      <c r="O2242">
        <v>-5.5535380000000002E-2</v>
      </c>
      <c r="P2242">
        <v>-0.99951100000000004</v>
      </c>
      <c r="Q2242">
        <v>-2.8039149999999999E-2</v>
      </c>
      <c r="R2242">
        <v>1.3844540000000001E-2</v>
      </c>
      <c r="S2242">
        <v>-2.9920960000000001</v>
      </c>
      <c r="T2242">
        <v>-0.1317178</v>
      </c>
      <c r="U2242">
        <v>0.34030149999999998</v>
      </c>
      <c r="V2242">
        <v>6.9414320000000002E-2</v>
      </c>
      <c r="W2242">
        <v>-1.3546249999999999E-2</v>
      </c>
      <c r="X2242">
        <v>0.99749589999999999</v>
      </c>
      <c r="Y2242">
        <v>0.167801799999999</v>
      </c>
      <c r="Z2242">
        <v>6.1168200000000002E-3</v>
      </c>
      <c r="AA2242">
        <v>0.98580179999999995</v>
      </c>
      <c r="AB2242">
        <v>28</v>
      </c>
      <c r="AC2242">
        <v>-24.9971999999999</v>
      </c>
      <c r="AD2242">
        <v>-1.112467115244</v>
      </c>
      <c r="AE2242">
        <v>2.89169999999995</v>
      </c>
      <c r="AF2242">
        <v>4.2672641573482304</v>
      </c>
      <c r="AG2242">
        <v>-1.112467115244</v>
      </c>
      <c r="AH2242">
        <v>24.7496356456687</v>
      </c>
      <c r="AI2242">
        <v>92.536273053514194</v>
      </c>
      <c r="AJ2242">
        <v>80.217400528779095</v>
      </c>
      <c r="AK2242">
        <v>25.1394429346484</v>
      </c>
      <c r="AL2242">
        <v>90.776166723691603</v>
      </c>
      <c r="AM2242">
        <v>86.019285602239293</v>
      </c>
      <c r="AN2242">
        <v>0.99999995961346599</v>
      </c>
    </row>
    <row r="2243" spans="1:40" x14ac:dyDescent="0.25">
      <c r="A2243" t="str">
        <f>"20190312161311778"</f>
        <v>20190312161311778</v>
      </c>
      <c r="B2243" t="str">
        <f>"1552378391767991"</f>
        <v>1552378391767991</v>
      </c>
      <c r="C2243" t="s">
        <v>40</v>
      </c>
      <c r="D2243">
        <v>5.0686609999999996</v>
      </c>
      <c r="E2243">
        <v>0.53671069999999999</v>
      </c>
      <c r="F2243" t="s">
        <v>63</v>
      </c>
      <c r="G2243">
        <v>-493.73200000000003</v>
      </c>
      <c r="H2243" s="1">
        <v>3.7244190000000002E-6</v>
      </c>
      <c r="I2243">
        <v>289.44119999999998</v>
      </c>
      <c r="J2243">
        <v>-468.11180000000002</v>
      </c>
      <c r="K2243">
        <v>1.1125389999999999</v>
      </c>
      <c r="L2243">
        <v>286.54340000000002</v>
      </c>
      <c r="M2243">
        <v>-0.99817</v>
      </c>
      <c r="N2243">
        <v>0</v>
      </c>
      <c r="O2243">
        <v>-5.8793819999999997E-2</v>
      </c>
      <c r="P2243">
        <v>-0.99954770000000004</v>
      </c>
      <c r="Q2243">
        <v>-2.8083029999999998E-2</v>
      </c>
      <c r="R2243">
        <v>1.0756299999999899E-2</v>
      </c>
      <c r="S2243">
        <v>-2.9932560000000001</v>
      </c>
      <c r="T2243">
        <v>-0.12859319999999999</v>
      </c>
      <c r="U2243">
        <v>0.33279419999999998</v>
      </c>
      <c r="V2243">
        <v>6.9590520000000003E-2</v>
      </c>
      <c r="W2243">
        <v>-1.357746E-2</v>
      </c>
      <c r="X2243">
        <v>0.99748329999999996</v>
      </c>
      <c r="Y2243">
        <v>0.16854149999999901</v>
      </c>
      <c r="Z2243">
        <v>6.1257339999999999E-3</v>
      </c>
      <c r="AA2243">
        <v>0.98567550000000004</v>
      </c>
      <c r="AB2243">
        <v>28</v>
      </c>
      <c r="AC2243">
        <v>-25.620199999999901</v>
      </c>
      <c r="AD2243">
        <v>-1.1125352755809901</v>
      </c>
      <c r="AE2243">
        <v>2.8977999999999602</v>
      </c>
      <c r="AF2243">
        <v>4.3910708010007502</v>
      </c>
      <c r="AG2243">
        <v>-1.1125352755809901</v>
      </c>
      <c r="AH2243">
        <v>25.3582692012649</v>
      </c>
      <c r="AI2243">
        <v>92.475318485159093</v>
      </c>
      <c r="AJ2243">
        <v>80.176005723794901</v>
      </c>
      <c r="AK2243">
        <v>25.759678848980801</v>
      </c>
      <c r="AL2243">
        <v>90.777955010759996</v>
      </c>
      <c r="AM2243">
        <v>86.009163392447604</v>
      </c>
      <c r="AN2243">
        <v>1.0000000608363999</v>
      </c>
    </row>
    <row r="2244" spans="1:40" x14ac:dyDescent="0.25">
      <c r="A2244" t="str">
        <f>"20190312161311801"</f>
        <v>20190312161311801</v>
      </c>
      <c r="B2244" t="str">
        <f>"1552378391798242"</f>
        <v>1552378391798242</v>
      </c>
      <c r="C2244" t="s">
        <v>40</v>
      </c>
      <c r="D2244">
        <v>4.9961929999999999</v>
      </c>
      <c r="E2244">
        <v>0.53751559999999998</v>
      </c>
      <c r="F2244" t="s">
        <v>63</v>
      </c>
      <c r="G2244">
        <v>-496.44619999999998</v>
      </c>
      <c r="H2244" s="1">
        <v>3.2576899999999999E-6</v>
      </c>
      <c r="I2244">
        <v>289.6096</v>
      </c>
      <c r="J2244">
        <v>-468.38510000000002</v>
      </c>
      <c r="K2244">
        <v>1.1125959999999999</v>
      </c>
      <c r="L2244">
        <v>286.52359999999999</v>
      </c>
      <c r="M2244">
        <v>-0.99796770000000001</v>
      </c>
      <c r="N2244">
        <v>0</v>
      </c>
      <c r="O2244">
        <v>-6.2135200000000002E-2</v>
      </c>
      <c r="P2244">
        <v>-0.99957280000000004</v>
      </c>
      <c r="Q2244">
        <v>-2.8299660000000001E-2</v>
      </c>
      <c r="R2244">
        <v>7.3182709999999899E-3</v>
      </c>
      <c r="S2244">
        <v>-2.9945680000000001</v>
      </c>
      <c r="T2244">
        <v>-0.1175803</v>
      </c>
      <c r="U2244">
        <v>0.32406620000000003</v>
      </c>
      <c r="V2244">
        <v>6.9502170000000002E-2</v>
      </c>
      <c r="W2244">
        <v>-1.378193E-2</v>
      </c>
      <c r="X2244">
        <v>0.9974866</v>
      </c>
      <c r="Y2244">
        <v>0.16898629999999901</v>
      </c>
      <c r="Z2244">
        <v>5.7394500000000001E-3</v>
      </c>
      <c r="AA2244">
        <v>0.98560170000000002</v>
      </c>
      <c r="AB2244">
        <v>28</v>
      </c>
      <c r="AC2244">
        <v>-28.0610999999999</v>
      </c>
      <c r="AD2244">
        <v>-1.1125927423099999</v>
      </c>
      <c r="AE2244">
        <v>3.0860000000000101</v>
      </c>
      <c r="AF2244">
        <v>4.81631108321172</v>
      </c>
      <c r="AG2244">
        <v>-1.1125927423099999</v>
      </c>
      <c r="AH2244">
        <v>27.771962619810701</v>
      </c>
      <c r="AI2244">
        <v>92.260436473033806</v>
      </c>
      <c r="AJ2244">
        <v>80.161420381842504</v>
      </c>
      <c r="AK2244">
        <v>28.208449493310901</v>
      </c>
      <c r="AL2244">
        <v>90.789671418354999</v>
      </c>
      <c r="AM2244">
        <v>86.014226839996397</v>
      </c>
      <c r="AN2244">
        <v>1.00000000520439</v>
      </c>
    </row>
    <row r="2245" spans="1:40" x14ac:dyDescent="0.25">
      <c r="A2245" t="str">
        <f>"20190312161311824"</f>
        <v>20190312161311824</v>
      </c>
      <c r="B2245" t="str">
        <f>"1552378391817761"</f>
        <v>1552378391817761</v>
      </c>
      <c r="C2245" t="s">
        <v>40</v>
      </c>
      <c r="D2245">
        <v>5.0456469999999998</v>
      </c>
      <c r="E2245">
        <v>0.53829380000000004</v>
      </c>
      <c r="F2245" t="s">
        <v>63</v>
      </c>
      <c r="G2245">
        <v>-495.71940000000001</v>
      </c>
      <c r="H2245" s="1">
        <v>3.3721179999999999E-6</v>
      </c>
      <c r="I2245">
        <v>289.44400000000002</v>
      </c>
      <c r="J2245">
        <v>-468.66329999999999</v>
      </c>
      <c r="K2245">
        <v>1.1126670000000001</v>
      </c>
      <c r="L2245">
        <v>286.5025</v>
      </c>
      <c r="M2245">
        <v>-0.99774350000000001</v>
      </c>
      <c r="N2245">
        <v>0</v>
      </c>
      <c r="O2245">
        <v>-6.5635520000000003E-2</v>
      </c>
      <c r="P2245">
        <v>-0.99958519999999895</v>
      </c>
      <c r="Q2245">
        <v>-2.8573589999999999E-2</v>
      </c>
      <c r="R2245">
        <v>3.6102740000000001E-3</v>
      </c>
      <c r="S2245">
        <v>-2.995514</v>
      </c>
      <c r="T2245">
        <v>-0.1219267</v>
      </c>
      <c r="U2245">
        <v>0.32003779999999998</v>
      </c>
      <c r="V2245">
        <v>6.9304519999999994E-2</v>
      </c>
      <c r="W2245">
        <v>-1.4042809999999999E-2</v>
      </c>
      <c r="X2245">
        <v>0.99749670000000001</v>
      </c>
      <c r="Y2245">
        <v>0.17108190000000001</v>
      </c>
      <c r="Z2245">
        <v>6.1345310000000004E-3</v>
      </c>
      <c r="AA2245">
        <v>0.98523769999999999</v>
      </c>
      <c r="AB2245">
        <v>28</v>
      </c>
      <c r="AC2245">
        <v>-27.056100000000001</v>
      </c>
      <c r="AD2245">
        <v>-1.1126636278819999</v>
      </c>
      <c r="AE2245">
        <v>2.9415000000000102</v>
      </c>
      <c r="AF2245">
        <v>4.7033132036212102</v>
      </c>
      <c r="AG2245">
        <v>-1.1126636278819999</v>
      </c>
      <c r="AH2245">
        <v>26.759932132660801</v>
      </c>
      <c r="AI2245">
        <v>92.345051874437701</v>
      </c>
      <c r="AJ2245">
        <v>80.031534988200505</v>
      </c>
      <c r="AK2245">
        <v>27.192887731625401</v>
      </c>
      <c r="AL2245">
        <v>90.804620198866303</v>
      </c>
      <c r="AM2245">
        <v>86.025565302726505</v>
      </c>
      <c r="AN2245">
        <v>0.99999999175800802</v>
      </c>
    </row>
    <row r="2246" spans="1:40" x14ac:dyDescent="0.25">
      <c r="A2246" t="str">
        <f>"20190312161311846"</f>
        <v>20190312161311846</v>
      </c>
      <c r="B2246" t="str">
        <f>"1552378391838257"</f>
        <v>1552378391838257</v>
      </c>
      <c r="C2246" t="s">
        <v>40</v>
      </c>
      <c r="D2246">
        <v>5.0424610000000003</v>
      </c>
      <c r="E2246">
        <v>0.53883760000000003</v>
      </c>
      <c r="F2246" t="s">
        <v>63</v>
      </c>
      <c r="G2246">
        <v>-493.95530000000002</v>
      </c>
      <c r="H2246" s="1">
        <v>3.6601680000000001E-6</v>
      </c>
      <c r="I2246">
        <v>289.15929999999997</v>
      </c>
      <c r="J2246">
        <v>-468.93029999999999</v>
      </c>
      <c r="K2246">
        <v>1.112741</v>
      </c>
      <c r="L2246">
        <v>286.48110000000003</v>
      </c>
      <c r="M2246">
        <v>-0.99750950000000005</v>
      </c>
      <c r="N2246">
        <v>0</v>
      </c>
      <c r="O2246">
        <v>-6.9098850000000003E-2</v>
      </c>
      <c r="P2246">
        <v>-0.99958990000000003</v>
      </c>
      <c r="Q2246">
        <v>-2.8641219999999998E-2</v>
      </c>
      <c r="R2246">
        <v>-1.4207719999999999E-4</v>
      </c>
      <c r="S2246">
        <v>-2.9963679999999999</v>
      </c>
      <c r="T2246">
        <v>-0.1318184</v>
      </c>
      <c r="U2246">
        <v>0.31475829999999999</v>
      </c>
      <c r="V2246">
        <v>6.9025950000000003E-2</v>
      </c>
      <c r="W2246">
        <v>-1.4097180000000001E-2</v>
      </c>
      <c r="X2246">
        <v>0.99751529999999999</v>
      </c>
      <c r="Y2246">
        <v>0.17271789999999901</v>
      </c>
      <c r="Z2246">
        <v>6.8182140000000004E-3</v>
      </c>
      <c r="AA2246">
        <v>0.98494769999999998</v>
      </c>
      <c r="AB2246">
        <v>27</v>
      </c>
      <c r="AC2246">
        <v>-25.024999999999999</v>
      </c>
      <c r="AD2246">
        <v>-1.112737339832</v>
      </c>
      <c r="AE2246">
        <v>2.67819999999994</v>
      </c>
      <c r="AF2246">
        <v>4.3925827238112003</v>
      </c>
      <c r="AG2246">
        <v>-1.112737339832</v>
      </c>
      <c r="AH2246">
        <v>24.731750253955902</v>
      </c>
      <c r="AI2246">
        <v>92.536486252315001</v>
      </c>
      <c r="AJ2246">
        <v>79.928773371220402</v>
      </c>
      <c r="AK2246">
        <v>25.143437274903899</v>
      </c>
      <c r="AL2246">
        <v>90.807735637428095</v>
      </c>
      <c r="AM2246">
        <v>86.041563257767095</v>
      </c>
      <c r="AN2246">
        <v>1.0000000429957201</v>
      </c>
    </row>
    <row r="2247" spans="1:40" x14ac:dyDescent="0.25">
      <c r="A2247" t="str">
        <f>"20190312161311868"</f>
        <v>20190312161311868</v>
      </c>
      <c r="B2247" t="str">
        <f>"1552378391857778"</f>
        <v>1552378391857778</v>
      </c>
      <c r="C2247" t="s">
        <v>40</v>
      </c>
      <c r="D2247">
        <v>5.0471769999999996</v>
      </c>
      <c r="E2247">
        <v>0.53929839999999996</v>
      </c>
      <c r="F2247" t="s">
        <v>63</v>
      </c>
      <c r="G2247">
        <v>-494.07479999999998</v>
      </c>
      <c r="H2247" s="1">
        <v>3.6305120000000001E-6</v>
      </c>
      <c r="I2247">
        <v>289.06270000000001</v>
      </c>
      <c r="J2247">
        <v>-469.1961</v>
      </c>
      <c r="K2247">
        <v>1.112822</v>
      </c>
      <c r="L2247">
        <v>286.45890000000003</v>
      </c>
      <c r="M2247">
        <v>-0.99725680000000005</v>
      </c>
      <c r="N2247">
        <v>0</v>
      </c>
      <c r="O2247">
        <v>-7.2653839999999997E-2</v>
      </c>
      <c r="P2247">
        <v>-0.99960550000000004</v>
      </c>
      <c r="Q2247">
        <v>-2.7741600000000002E-2</v>
      </c>
      <c r="R2247">
        <v>-4.40267E-3</v>
      </c>
      <c r="S2247">
        <v>-2.9974370000000001</v>
      </c>
      <c r="T2247">
        <v>-0.13264779999999901</v>
      </c>
      <c r="U2247">
        <v>0.30773929999999999</v>
      </c>
      <c r="V2247">
        <v>6.8328390000000003E-2</v>
      </c>
      <c r="W2247">
        <v>-1.318541E-2</v>
      </c>
      <c r="X2247">
        <v>0.99757580000000001</v>
      </c>
      <c r="Y2247">
        <v>0.17390269999999999</v>
      </c>
      <c r="Z2247">
        <v>7.0423760000000004E-3</v>
      </c>
      <c r="AA2247">
        <v>0.98473759999999999</v>
      </c>
      <c r="AB2247">
        <v>27</v>
      </c>
      <c r="AC2247">
        <v>-24.878699999999899</v>
      </c>
      <c r="AD2247">
        <v>-1.1128183694880001</v>
      </c>
      <c r="AE2247">
        <v>2.6037999999999699</v>
      </c>
      <c r="AF2247">
        <v>4.3959316063400102</v>
      </c>
      <c r="AG2247">
        <v>-1.1128183694880001</v>
      </c>
      <c r="AH2247">
        <v>24.575106858095602</v>
      </c>
      <c r="AI2247">
        <v>92.552259745251206</v>
      </c>
      <c r="AJ2247">
        <v>79.858339244267796</v>
      </c>
      <c r="AK2247">
        <v>24.989967116783198</v>
      </c>
      <c r="AL2247">
        <v>90.755490198164793</v>
      </c>
      <c r="AM2247">
        <v>86.081677938908399</v>
      </c>
      <c r="AN2247">
        <v>1.0000000503312401</v>
      </c>
    </row>
    <row r="2248" spans="1:40" x14ac:dyDescent="0.25">
      <c r="A2248" t="str">
        <f>"20190312161311890"</f>
        <v>20190312161311890</v>
      </c>
      <c r="B2248" t="str">
        <f>"1552378391888034"</f>
        <v>1552378391888034</v>
      </c>
      <c r="C2248" t="s">
        <v>40</v>
      </c>
      <c r="D2248">
        <v>5.0195749999999997</v>
      </c>
      <c r="E2248">
        <v>0.54002819999999996</v>
      </c>
      <c r="F2248" t="s">
        <v>63</v>
      </c>
      <c r="G2248">
        <v>-495.00850000000003</v>
      </c>
      <c r="H2248" s="1">
        <v>3.4619330000000001E-6</v>
      </c>
      <c r="I2248">
        <v>289.02890000000002</v>
      </c>
      <c r="J2248">
        <v>-469.46730000000002</v>
      </c>
      <c r="K2248">
        <v>1.1129070000000001</v>
      </c>
      <c r="L2248">
        <v>286.435</v>
      </c>
      <c r="M2248">
        <v>-0.99697619999999998</v>
      </c>
      <c r="N2248">
        <v>0</v>
      </c>
      <c r="O2248">
        <v>-7.640719E-2</v>
      </c>
      <c r="P2248">
        <v>-0.99959219999999904</v>
      </c>
      <c r="Q2248">
        <v>-2.706099E-2</v>
      </c>
      <c r="R2248">
        <v>-9.1284199999999999E-3</v>
      </c>
      <c r="S2248">
        <v>-2.9988709999999998</v>
      </c>
      <c r="T2248">
        <v>-0.1292866</v>
      </c>
      <c r="U2248">
        <v>0.29858400000000002</v>
      </c>
      <c r="V2248">
        <v>6.7367029999999994E-2</v>
      </c>
      <c r="W2248">
        <v>-1.249377E-2</v>
      </c>
      <c r="X2248">
        <v>0.99765000000000004</v>
      </c>
      <c r="Y2248">
        <v>0.17459359999999999</v>
      </c>
      <c r="Z2248">
        <v>7.0379650000000002E-3</v>
      </c>
      <c r="AA2248">
        <v>0.98461540000000003</v>
      </c>
      <c r="AB2248">
        <v>27</v>
      </c>
      <c r="AC2248">
        <v>-25.5412</v>
      </c>
      <c r="AD2248">
        <v>-1.1129035380669901</v>
      </c>
      <c r="AE2248">
        <v>2.5939000000000099</v>
      </c>
      <c r="AF2248">
        <v>4.5295306614554898</v>
      </c>
      <c r="AG2248">
        <v>-1.1129035380669901</v>
      </c>
      <c r="AH2248">
        <v>25.2209124168009</v>
      </c>
      <c r="AI2248">
        <v>92.486870728063707</v>
      </c>
      <c r="AJ2248">
        <v>79.818546458459906</v>
      </c>
      <c r="AK2248">
        <v>25.648579403819799</v>
      </c>
      <c r="AL2248">
        <v>90.715858939408704</v>
      </c>
      <c r="AM2248">
        <v>86.136925889845401</v>
      </c>
      <c r="AN2248">
        <v>0.99999996675991598</v>
      </c>
    </row>
    <row r="2249" spans="1:40" x14ac:dyDescent="0.25">
      <c r="A2249" t="str">
        <f>"20190312161311913"</f>
        <v>20190312161311913</v>
      </c>
      <c r="B2249" t="str">
        <f>"1552378391907557"</f>
        <v>1552378391907557</v>
      </c>
      <c r="C2249" t="s">
        <v>40</v>
      </c>
      <c r="D2249">
        <v>4.9893260000000001</v>
      </c>
      <c r="E2249">
        <v>0.54111980000000004</v>
      </c>
      <c r="F2249" t="s">
        <v>63</v>
      </c>
      <c r="G2249">
        <v>-496.01749999999998</v>
      </c>
      <c r="H2249" s="1">
        <v>3.2807920000000002E-6</v>
      </c>
      <c r="I2249">
        <v>289.00420000000003</v>
      </c>
      <c r="J2249">
        <v>-469.74180000000001</v>
      </c>
      <c r="K2249">
        <v>1.112994</v>
      </c>
      <c r="L2249">
        <v>286.40960000000001</v>
      </c>
      <c r="M2249">
        <v>-0.9966682</v>
      </c>
      <c r="N2249">
        <v>0</v>
      </c>
      <c r="O2249">
        <v>-8.0326540000000002E-2</v>
      </c>
      <c r="P2249">
        <v>-0.99955020000000006</v>
      </c>
      <c r="Q2249">
        <v>-2.6437809999999999E-2</v>
      </c>
      <c r="R2249">
        <v>-1.416546E-2</v>
      </c>
      <c r="S2249">
        <v>-3.0004270000000002</v>
      </c>
      <c r="T2249">
        <v>-0.12576879999999999</v>
      </c>
      <c r="U2249">
        <v>0.2903442</v>
      </c>
      <c r="V2249">
        <v>6.6261979999999998E-2</v>
      </c>
      <c r="W2249">
        <v>-1.186006E-2</v>
      </c>
      <c r="X2249">
        <v>0.9977317</v>
      </c>
      <c r="Y2249">
        <v>0.1757444</v>
      </c>
      <c r="Z2249">
        <v>7.0317649999999997E-3</v>
      </c>
      <c r="AA2249">
        <v>0.98441069999999997</v>
      </c>
      <c r="AB2249">
        <v>27</v>
      </c>
      <c r="AC2249">
        <v>-26.275699999999901</v>
      </c>
      <c r="AD2249">
        <v>-1.112990719208</v>
      </c>
      <c r="AE2249">
        <v>2.59460000000001</v>
      </c>
      <c r="AF2249">
        <v>4.6887300972808603</v>
      </c>
      <c r="AG2249">
        <v>-1.112990719208</v>
      </c>
      <c r="AH2249">
        <v>25.936253792496998</v>
      </c>
      <c r="AI2249">
        <v>92.418053346890602</v>
      </c>
      <c r="AJ2249">
        <v>79.752799327890003</v>
      </c>
      <c r="AK2249">
        <v>26.380147820946799</v>
      </c>
      <c r="AL2249">
        <v>90.6795473632381</v>
      </c>
      <c r="AM2249">
        <v>86.200416591177898</v>
      </c>
      <c r="AN2249">
        <v>0.99999992810080396</v>
      </c>
    </row>
    <row r="2250" spans="1:40" x14ac:dyDescent="0.25">
      <c r="A2250" t="str">
        <f>"20190312161311935"</f>
        <v>20190312161311935</v>
      </c>
      <c r="B2250" t="str">
        <f>"1552378391928049"</f>
        <v>1552378391928049</v>
      </c>
      <c r="C2250" t="s">
        <v>40</v>
      </c>
      <c r="D2250">
        <v>5.0008759999999999</v>
      </c>
      <c r="E2250">
        <v>0.54202589999999995</v>
      </c>
      <c r="F2250" t="s">
        <v>63</v>
      </c>
      <c r="G2250">
        <v>-495.63339999999999</v>
      </c>
      <c r="H2250" s="1">
        <v>3.3361749999999999E-6</v>
      </c>
      <c r="I2250">
        <v>288.85829999999999</v>
      </c>
      <c r="J2250">
        <v>-470.01119999999997</v>
      </c>
      <c r="K2250">
        <v>1.1130679999999999</v>
      </c>
      <c r="L2250">
        <v>286.38350000000003</v>
      </c>
      <c r="M2250">
        <v>-0.99634180000000006</v>
      </c>
      <c r="N2250">
        <v>0</v>
      </c>
      <c r="O2250">
        <v>-8.4276149999999994E-2</v>
      </c>
      <c r="P2250">
        <v>-0.99946699999999999</v>
      </c>
      <c r="Q2250">
        <v>-2.6357479999999999E-2</v>
      </c>
      <c r="R2250">
        <v>-1.9263479999999999E-2</v>
      </c>
      <c r="S2250">
        <v>-3.0019529999999999</v>
      </c>
      <c r="T2250">
        <v>-0.12904350000000001</v>
      </c>
      <c r="U2250">
        <v>0.28390500000000002</v>
      </c>
      <c r="V2250">
        <v>6.5129480000000003E-2</v>
      </c>
      <c r="W2250">
        <v>-1.177166E-2</v>
      </c>
      <c r="X2250">
        <v>0.99780740000000001</v>
      </c>
      <c r="Y2250">
        <v>0.1774886</v>
      </c>
      <c r="Z2250">
        <v>7.4183230000000001E-3</v>
      </c>
      <c r="AA2250">
        <v>0.98409489999999999</v>
      </c>
      <c r="AB2250">
        <v>27</v>
      </c>
      <c r="AC2250">
        <v>-25.622199999999999</v>
      </c>
      <c r="AD2250">
        <v>-1.1130646638249999</v>
      </c>
      <c r="AE2250">
        <v>2.4747999999999601</v>
      </c>
      <c r="AF2250">
        <v>4.6169185876053396</v>
      </c>
      <c r="AG2250">
        <v>-1.1130646638249999</v>
      </c>
      <c r="AH2250">
        <v>25.275184206989099</v>
      </c>
      <c r="AI2250">
        <v>92.480561309350406</v>
      </c>
      <c r="AJ2250">
        <v>79.648134673421296</v>
      </c>
      <c r="AK2250">
        <v>25.717499623557199</v>
      </c>
      <c r="AL2250">
        <v>90.674482004200499</v>
      </c>
      <c r="AM2250">
        <v>86.265453372601598</v>
      </c>
      <c r="AN2250">
        <v>1.00000001431949</v>
      </c>
    </row>
    <row r="2251" spans="1:40" x14ac:dyDescent="0.25">
      <c r="A2251" t="str">
        <f>"20190312161311957"</f>
        <v>20190312161311957</v>
      </c>
      <c r="B2251" t="str">
        <f>"1552378391947570"</f>
        <v>1552378391947570</v>
      </c>
      <c r="C2251" t="s">
        <v>40</v>
      </c>
      <c r="D2251">
        <v>4.9073379999999904</v>
      </c>
      <c r="E2251">
        <v>0.54295899999999997</v>
      </c>
      <c r="F2251" t="s">
        <v>63</v>
      </c>
      <c r="G2251">
        <v>-496.3349</v>
      </c>
      <c r="H2251" s="1">
        <v>3.2066879999999998E-6</v>
      </c>
      <c r="I2251">
        <v>288.80059999999997</v>
      </c>
      <c r="J2251">
        <v>-470.27850000000001</v>
      </c>
      <c r="K2251">
        <v>1.113132</v>
      </c>
      <c r="L2251">
        <v>286.35649999999998</v>
      </c>
      <c r="M2251">
        <v>-0.99599360000000003</v>
      </c>
      <c r="N2251">
        <v>0</v>
      </c>
      <c r="O2251">
        <v>-8.8297029999999999E-2</v>
      </c>
      <c r="P2251">
        <v>-0.9993533</v>
      </c>
      <c r="Q2251">
        <v>-2.632288E-2</v>
      </c>
      <c r="R2251">
        <v>-2.4499159999999999E-2</v>
      </c>
      <c r="S2251">
        <v>-3.003571</v>
      </c>
      <c r="T2251">
        <v>-0.1270019</v>
      </c>
      <c r="U2251">
        <v>0.27578740000000002</v>
      </c>
      <c r="V2251">
        <v>6.3931569999999993E-2</v>
      </c>
      <c r="W2251">
        <v>-1.173102E-2</v>
      </c>
      <c r="X2251">
        <v>0.99788529999999998</v>
      </c>
      <c r="Y2251">
        <v>0.17877709999999999</v>
      </c>
      <c r="Z2251">
        <v>7.4945960000000001E-3</v>
      </c>
      <c r="AA2251">
        <v>0.98386110000000004</v>
      </c>
      <c r="AB2251">
        <v>27</v>
      </c>
      <c r="AC2251">
        <v>-26.0564</v>
      </c>
      <c r="AD2251">
        <v>-1.113128793312</v>
      </c>
      <c r="AE2251">
        <v>2.4440999999999899</v>
      </c>
      <c r="AF2251">
        <v>4.7269337724917797</v>
      </c>
      <c r="AG2251">
        <v>-1.113128793312</v>
      </c>
      <c r="AH2251">
        <v>25.6923004015831</v>
      </c>
      <c r="AI2251">
        <v>92.439909685559698</v>
      </c>
      <c r="AJ2251">
        <v>79.575161072736094</v>
      </c>
      <c r="AK2251">
        <v>26.1472227688757</v>
      </c>
      <c r="AL2251">
        <v>90.672153374624898</v>
      </c>
      <c r="AM2251">
        <v>86.334238282021403</v>
      </c>
      <c r="AN2251">
        <v>0.99999996721449702</v>
      </c>
    </row>
    <row r="2252" spans="1:40" x14ac:dyDescent="0.25">
      <c r="A2252" t="str">
        <f>"20190312161311979"</f>
        <v>20190312161311979</v>
      </c>
      <c r="B2252" t="str">
        <f>"1552378391968065"</f>
        <v>1552378391968065</v>
      </c>
      <c r="C2252" t="s">
        <v>40</v>
      </c>
      <c r="D2252">
        <v>4.997865</v>
      </c>
      <c r="E2252">
        <v>0.54264319999999999</v>
      </c>
      <c r="F2252" t="s">
        <v>63</v>
      </c>
      <c r="G2252">
        <v>-495.73430000000002</v>
      </c>
      <c r="H2252" s="1">
        <v>3.2974E-6</v>
      </c>
      <c r="I2252">
        <v>288.61950000000002</v>
      </c>
      <c r="J2252">
        <v>-470.54500000000002</v>
      </c>
      <c r="K2252">
        <v>1.113202</v>
      </c>
      <c r="L2252">
        <v>286.32839999999999</v>
      </c>
      <c r="M2252">
        <v>-0.99562019999999996</v>
      </c>
      <c r="N2252">
        <v>0</v>
      </c>
      <c r="O2252">
        <v>-9.2410530000000005E-2</v>
      </c>
      <c r="P2252">
        <v>-0.99923899999999999</v>
      </c>
      <c r="Q2252">
        <v>-2.5154269999999999E-2</v>
      </c>
      <c r="R2252">
        <v>-2.981197E-2</v>
      </c>
      <c r="S2252">
        <v>-3.0050659999999998</v>
      </c>
      <c r="T2252">
        <v>-0.1314052</v>
      </c>
      <c r="U2252">
        <v>0.26715090000000002</v>
      </c>
      <c r="V2252">
        <v>6.2744629999999996E-2</v>
      </c>
      <c r="W2252">
        <v>-1.055642E-2</v>
      </c>
      <c r="X2252">
        <v>0.99797380000000002</v>
      </c>
      <c r="Y2252">
        <v>0.17997009999999999</v>
      </c>
      <c r="Z2252">
        <v>7.9565190000000004E-3</v>
      </c>
      <c r="AA2252">
        <v>0.98363990000000001</v>
      </c>
      <c r="AB2252">
        <v>27</v>
      </c>
      <c r="AC2252">
        <v>-25.189299999999999</v>
      </c>
      <c r="AD2252">
        <v>-1.1131987026000001</v>
      </c>
      <c r="AE2252">
        <v>2.2911000000000201</v>
      </c>
      <c r="AF2252">
        <v>4.6003735583693901</v>
      </c>
      <c r="AG2252">
        <v>-1.1131987026000001</v>
      </c>
      <c r="AH2252">
        <v>24.821669901824901</v>
      </c>
      <c r="AI2252">
        <v>92.524930028946102</v>
      </c>
      <c r="AJ2252">
        <v>79.500113891366894</v>
      </c>
      <c r="AK2252">
        <v>25.2689126189311</v>
      </c>
      <c r="AL2252">
        <v>90.604849537289894</v>
      </c>
      <c r="AM2252">
        <v>86.4024338066572</v>
      </c>
      <c r="AN2252">
        <v>1.0000000160417399</v>
      </c>
    </row>
    <row r="2253" spans="1:40" x14ac:dyDescent="0.25">
      <c r="A2253" t="str">
        <f>"20190312161312003"</f>
        <v>20190312161312003</v>
      </c>
      <c r="B2253" t="str">
        <f>"1552378391998321"</f>
        <v>1552378391998321</v>
      </c>
      <c r="C2253" t="s">
        <v>40</v>
      </c>
      <c r="D2253">
        <v>4.9946999999999999</v>
      </c>
      <c r="E2253">
        <v>0.50180530000000001</v>
      </c>
      <c r="F2253" t="s">
        <v>63</v>
      </c>
      <c r="G2253">
        <v>-496.99290000000002</v>
      </c>
      <c r="H2253" s="1">
        <v>3.06508E-6</v>
      </c>
      <c r="I2253">
        <v>288.51569999999998</v>
      </c>
      <c r="J2253">
        <v>-470.82089999999999</v>
      </c>
      <c r="K2253">
        <v>1.113278</v>
      </c>
      <c r="L2253">
        <v>286.298</v>
      </c>
      <c r="M2253">
        <v>-0.99520489999999995</v>
      </c>
      <c r="N2253">
        <v>0</v>
      </c>
      <c r="O2253">
        <v>-9.6780969999999994E-2</v>
      </c>
      <c r="P2253">
        <v>-0.99909309999999996</v>
      </c>
      <c r="Q2253">
        <v>-2.3695009999999999E-2</v>
      </c>
      <c r="R2253">
        <v>-3.5379760000000003E-2</v>
      </c>
      <c r="S2253">
        <v>-3.0065309999999998</v>
      </c>
      <c r="T2253">
        <v>-0.12654569999999901</v>
      </c>
      <c r="U2253">
        <v>0.24865719999999999</v>
      </c>
      <c r="V2253">
        <v>6.1559639999999999E-2</v>
      </c>
      <c r="W2253">
        <v>-9.0901209999999996E-3</v>
      </c>
      <c r="X2253">
        <v>0.998062</v>
      </c>
      <c r="Y2253">
        <v>0.17825650000000001</v>
      </c>
      <c r="Z2253">
        <v>7.8078829999999998E-3</v>
      </c>
      <c r="AA2253">
        <v>0.98395310000000002</v>
      </c>
      <c r="AB2253">
        <v>27</v>
      </c>
      <c r="AC2253">
        <v>-26.172000000000001</v>
      </c>
      <c r="AD2253">
        <v>-1.11327493492</v>
      </c>
      <c r="AE2253">
        <v>2.2176999999999798</v>
      </c>
      <c r="AF2253">
        <v>4.7319921107538701</v>
      </c>
      <c r="AG2253">
        <v>-1.11327493492</v>
      </c>
      <c r="AH2253">
        <v>25.788135439026799</v>
      </c>
      <c r="AI2253">
        <v>92.431382484343402</v>
      </c>
      <c r="AJ2253">
        <v>79.602184705942307</v>
      </c>
      <c r="AK2253">
        <v>26.242314300353701</v>
      </c>
      <c r="AL2253">
        <v>90.520832747893095</v>
      </c>
      <c r="AM2253">
        <v>86.470514864901602</v>
      </c>
      <c r="AN2253">
        <v>0.99999998771036203</v>
      </c>
    </row>
    <row r="2254" spans="1:40" x14ac:dyDescent="0.25">
      <c r="A2254" t="str">
        <f>"20190312161312025"</f>
        <v>20190312161312025</v>
      </c>
      <c r="B2254" t="str">
        <f>"1552378392017842"</f>
        <v>1552378392017842</v>
      </c>
      <c r="C2254" t="s">
        <v>40</v>
      </c>
      <c r="D2254">
        <v>4.8617299999999997</v>
      </c>
      <c r="E2254">
        <v>0.50324259999999998</v>
      </c>
      <c r="F2254" t="s">
        <v>43</v>
      </c>
      <c r="G2254">
        <v>-471.59539999999998</v>
      </c>
      <c r="H2254">
        <v>0.99964379999999997</v>
      </c>
      <c r="I2254">
        <v>286.27080000000001</v>
      </c>
      <c r="J2254">
        <v>-471.08390000000003</v>
      </c>
      <c r="K2254">
        <v>1.113348</v>
      </c>
      <c r="L2254">
        <v>286.26769999999999</v>
      </c>
      <c r="M2254">
        <v>-0.9947802</v>
      </c>
      <c r="N2254">
        <v>0</v>
      </c>
      <c r="O2254">
        <v>-0.1010524</v>
      </c>
      <c r="P2254">
        <v>-0.99890889999999999</v>
      </c>
      <c r="Q2254">
        <v>-2.3037370000000001E-2</v>
      </c>
      <c r="R2254">
        <v>-4.0626410000000002E-2</v>
      </c>
      <c r="S2254">
        <v>-2.9884949999999999</v>
      </c>
      <c r="T2254">
        <v>-0.4390696</v>
      </c>
      <c r="U2254">
        <v>-0.1064758</v>
      </c>
      <c r="V2254">
        <v>6.0600689999999999E-2</v>
      </c>
      <c r="W2254">
        <v>-8.4243219999999997E-3</v>
      </c>
      <c r="X2254">
        <v>0.99812659999999997</v>
      </c>
      <c r="Y2254">
        <v>6.3811439999999997E-2</v>
      </c>
      <c r="Z2254">
        <v>1.9399679999999999E-2</v>
      </c>
      <c r="AA2254">
        <v>0.99777340000000003</v>
      </c>
      <c r="AB2254">
        <v>27</v>
      </c>
      <c r="AC2254">
        <v>-0.51149999999995499</v>
      </c>
      <c r="AD2254">
        <v>-0.11370420000000001</v>
      </c>
      <c r="AE2254">
        <v>3.1000000000176399E-3</v>
      </c>
      <c r="AF2254">
        <v>5.2198317664659002E-2</v>
      </c>
      <c r="AG2254">
        <v>-0.11370420000000001</v>
      </c>
      <c r="AH2254">
        <v>0.48462103324912198</v>
      </c>
      <c r="AI2254">
        <v>103.13089197733601</v>
      </c>
      <c r="AJ2254">
        <v>83.852397259724199</v>
      </c>
      <c r="AK2254">
        <v>0.50051059462523595</v>
      </c>
      <c r="AL2254">
        <v>90.482683775699897</v>
      </c>
      <c r="AM2254">
        <v>86.525584257853097</v>
      </c>
      <c r="AN2254">
        <v>1.00000006122859</v>
      </c>
    </row>
    <row r="2255" spans="1:40" x14ac:dyDescent="0.25">
      <c r="A2255" t="str">
        <f>"20190312161312048"</f>
        <v>20190312161312048</v>
      </c>
      <c r="B2255" t="str">
        <f>"1552378392038338"</f>
        <v>1552378392038338</v>
      </c>
      <c r="C2255" t="s">
        <v>40</v>
      </c>
      <c r="D2255">
        <v>4.8728040000000004</v>
      </c>
      <c r="E2255">
        <v>0.5035539</v>
      </c>
      <c r="F2255" t="s">
        <v>43</v>
      </c>
      <c r="G2255">
        <v>-471.8365</v>
      </c>
      <c r="H2255">
        <v>1.0036099999999999</v>
      </c>
      <c r="I2255">
        <v>286.23989999999998</v>
      </c>
      <c r="J2255">
        <v>-471.35390000000001</v>
      </c>
      <c r="K2255">
        <v>1.1134219999999999</v>
      </c>
      <c r="L2255">
        <v>286.23540000000003</v>
      </c>
      <c r="M2255">
        <v>-0.99431369999999997</v>
      </c>
      <c r="N2255">
        <v>0</v>
      </c>
      <c r="O2255">
        <v>-0.1055434</v>
      </c>
      <c r="P2255">
        <v>-0.9987009</v>
      </c>
      <c r="Q2255">
        <v>-2.287637E-2</v>
      </c>
      <c r="R2255">
        <v>-4.5533869999999997E-2</v>
      </c>
      <c r="S2255">
        <v>-2.9887079999999999</v>
      </c>
      <c r="T2255">
        <v>-0.43597029999999998</v>
      </c>
      <c r="U2255">
        <v>-0.11071780000000001</v>
      </c>
      <c r="V2255">
        <v>6.0204390000000003E-2</v>
      </c>
      <c r="W2255">
        <v>-8.2509439999999996E-3</v>
      </c>
      <c r="X2255">
        <v>0.99815200000000004</v>
      </c>
      <c r="Y2255">
        <v>6.6851229999999998E-2</v>
      </c>
      <c r="Z2255">
        <v>2.0130780000000001E-2</v>
      </c>
      <c r="AA2255">
        <v>0.9975598</v>
      </c>
      <c r="AB2255">
        <v>27</v>
      </c>
      <c r="AC2255">
        <v>-0.48259999999998998</v>
      </c>
      <c r="AD2255">
        <v>-0.10981199999999899</v>
      </c>
      <c r="AE2255">
        <v>4.4999999999504299E-3</v>
      </c>
      <c r="AF2255">
        <v>5.26875317095062E-2</v>
      </c>
      <c r="AG2255">
        <v>-0.10981199999999899</v>
      </c>
      <c r="AH2255">
        <v>0.45583017729041297</v>
      </c>
      <c r="AI2255">
        <v>103.458465397618</v>
      </c>
      <c r="AJ2255">
        <v>83.406675560438799</v>
      </c>
      <c r="AK2255">
        <v>0.47182179037243499</v>
      </c>
      <c r="AL2255">
        <v>90.472749617685295</v>
      </c>
      <c r="AM2255">
        <v>86.548337810630997</v>
      </c>
      <c r="AN2255">
        <v>1.0000000308780801</v>
      </c>
    </row>
    <row r="2256" spans="1:40" x14ac:dyDescent="0.25">
      <c r="A2256" t="str">
        <f>"20190312161312070"</f>
        <v>20190312161312070</v>
      </c>
      <c r="B2256" t="str">
        <f>"1552378392057858"</f>
        <v>1552378392057858</v>
      </c>
      <c r="C2256" t="s">
        <v>40</v>
      </c>
      <c r="D2256">
        <v>4.8322310000000002</v>
      </c>
      <c r="E2256">
        <v>0.50338700000000003</v>
      </c>
      <c r="F2256" t="s">
        <v>43</v>
      </c>
      <c r="G2256">
        <v>-472.07690000000002</v>
      </c>
      <c r="H2256">
        <v>1.0073299999999901</v>
      </c>
      <c r="I2256">
        <v>286.20589999999999</v>
      </c>
      <c r="J2256">
        <v>-471.61840000000001</v>
      </c>
      <c r="K2256">
        <v>1.1134900000000001</v>
      </c>
      <c r="L2256">
        <v>286.20229999999998</v>
      </c>
      <c r="M2256">
        <v>-0.99382459999999995</v>
      </c>
      <c r="N2256">
        <v>0</v>
      </c>
      <c r="O2256">
        <v>-0.1100545</v>
      </c>
      <c r="P2256">
        <v>-0.99848199999999998</v>
      </c>
      <c r="Q2256">
        <v>-2.3119290000000001E-2</v>
      </c>
      <c r="R2256">
        <v>-4.9995640000000001E-2</v>
      </c>
      <c r="S2256">
        <v>-2.9882200000000001</v>
      </c>
      <c r="T2256">
        <v>-0.43940190000000001</v>
      </c>
      <c r="U2256">
        <v>-0.12350460000000001</v>
      </c>
      <c r="V2256">
        <v>6.0276990000000003E-2</v>
      </c>
      <c r="W2256">
        <v>-8.4782969999999992E-3</v>
      </c>
      <c r="X2256">
        <v>0.99814570000000002</v>
      </c>
      <c r="Y2256">
        <v>6.7031919999999995E-2</v>
      </c>
      <c r="Z2256">
        <v>2.0957429999999999E-2</v>
      </c>
      <c r="AA2256">
        <v>0.99753069999999999</v>
      </c>
      <c r="AB2256">
        <v>27</v>
      </c>
      <c r="AC2256">
        <v>-0.45850000000001501</v>
      </c>
      <c r="AD2256">
        <v>-0.10616</v>
      </c>
      <c r="AE2256">
        <v>3.6000000000058199E-3</v>
      </c>
      <c r="AF2256">
        <v>5.1293520323433303E-2</v>
      </c>
      <c r="AG2256">
        <v>-0.10616</v>
      </c>
      <c r="AH2256">
        <v>0.43215197305627401</v>
      </c>
      <c r="AI2256">
        <v>103.70910006355101</v>
      </c>
      <c r="AJ2256">
        <v>83.231046618737494</v>
      </c>
      <c r="AK2256">
        <v>0.44794675871536399</v>
      </c>
      <c r="AL2256">
        <v>90.485776446786005</v>
      </c>
      <c r="AM2256">
        <v>86.544163800635999</v>
      </c>
      <c r="AN2256">
        <v>1.00000001773598</v>
      </c>
    </row>
    <row r="2257" spans="1:40" x14ac:dyDescent="0.25">
      <c r="A2257" t="str">
        <f>"20190312161312092"</f>
        <v>20190312161312092</v>
      </c>
      <c r="B2257" t="str">
        <f>"1552378392088113"</f>
        <v>1552378392088113</v>
      </c>
      <c r="C2257" t="s">
        <v>40</v>
      </c>
      <c r="D2257">
        <v>4.8390459999999997</v>
      </c>
      <c r="E2257">
        <v>0.50449009999999905</v>
      </c>
      <c r="F2257" t="s">
        <v>43</v>
      </c>
      <c r="G2257">
        <v>-472.5401</v>
      </c>
      <c r="H2257">
        <v>0.97719310000000004</v>
      </c>
      <c r="I2257">
        <v>286.15989999999999</v>
      </c>
      <c r="J2257">
        <v>-471.88709999999998</v>
      </c>
      <c r="K2257">
        <v>1.1135699999999999</v>
      </c>
      <c r="L2257">
        <v>286.16719999999998</v>
      </c>
      <c r="M2257">
        <v>-0.99329219999999896</v>
      </c>
      <c r="N2257">
        <v>0</v>
      </c>
      <c r="O2257">
        <v>-0.11475929999999999</v>
      </c>
      <c r="P2257">
        <v>-0.99825909999999995</v>
      </c>
      <c r="Q2257">
        <v>-2.2161940000000001E-2</v>
      </c>
      <c r="R2257">
        <v>-5.4661590000000003E-2</v>
      </c>
      <c r="S2257">
        <v>-2.9873660000000002</v>
      </c>
      <c r="T2257">
        <v>-0.44241180000000002</v>
      </c>
      <c r="U2257">
        <v>-0.13885500000000001</v>
      </c>
      <c r="V2257">
        <v>6.0334770000000003E-2</v>
      </c>
      <c r="W2257">
        <v>-7.5045989999999998E-3</v>
      </c>
      <c r="X2257">
        <v>0.99814999999999998</v>
      </c>
      <c r="Y2257">
        <v>6.6556699999999996E-2</v>
      </c>
      <c r="Z2257">
        <v>2.1755409999999999E-2</v>
      </c>
      <c r="AA2257">
        <v>0.99754540000000003</v>
      </c>
      <c r="AB2257">
        <v>27</v>
      </c>
      <c r="AC2257">
        <v>-0.65300000000002001</v>
      </c>
      <c r="AD2257">
        <v>-0.1363769</v>
      </c>
      <c r="AE2257">
        <v>-7.2999999999865299E-3</v>
      </c>
      <c r="AF2257">
        <v>6.4864741801530706E-2</v>
      </c>
      <c r="AG2257">
        <v>-0.1363769</v>
      </c>
      <c r="AH2257">
        <v>0.62237988178041603</v>
      </c>
      <c r="AI2257">
        <v>102.294855591342</v>
      </c>
      <c r="AJ2257">
        <v>84.050085709829304</v>
      </c>
      <c r="AK2257">
        <v>0.64043954502169398</v>
      </c>
      <c r="AL2257">
        <v>90.429985880180396</v>
      </c>
      <c r="AM2257">
        <v>86.540874029026497</v>
      </c>
      <c r="AN2257">
        <v>1.00000001298855</v>
      </c>
    </row>
    <row r="2258" spans="1:40" x14ac:dyDescent="0.25">
      <c r="A2258" t="str">
        <f>"20190312161312115"</f>
        <v>20190312161312115</v>
      </c>
      <c r="B2258" t="str">
        <f>"1552378392107633"</f>
        <v>1552378392107633</v>
      </c>
      <c r="C2258" t="s">
        <v>40</v>
      </c>
      <c r="D2258">
        <v>4.8552179999999998</v>
      </c>
      <c r="E2258">
        <v>0.50497890000000001</v>
      </c>
      <c r="F2258" t="s">
        <v>43</v>
      </c>
      <c r="G2258">
        <v>-472.78050000000002</v>
      </c>
      <c r="H2258">
        <v>0.98337359999999896</v>
      </c>
      <c r="I2258">
        <v>286.12430000000001</v>
      </c>
      <c r="J2258">
        <v>-472.16250000000002</v>
      </c>
      <c r="K2258">
        <v>1.113642</v>
      </c>
      <c r="L2258">
        <v>286.12990000000002</v>
      </c>
      <c r="M2258">
        <v>-0.99271109999999896</v>
      </c>
      <c r="N2258">
        <v>0</v>
      </c>
      <c r="O2258">
        <v>-0.1196805</v>
      </c>
      <c r="P2258">
        <v>-0.99798790000000004</v>
      </c>
      <c r="Q2258">
        <v>-2.0613940000000001E-2</v>
      </c>
      <c r="R2258">
        <v>-5.9963320000000001E-2</v>
      </c>
      <c r="S2258">
        <v>-2.9876710000000002</v>
      </c>
      <c r="T2258">
        <v>-0.43554759999999998</v>
      </c>
      <c r="U2258">
        <v>-0.1439819</v>
      </c>
      <c r="V2258">
        <v>5.9971799999999999E-2</v>
      </c>
      <c r="W2258">
        <v>-5.9443019999999899E-3</v>
      </c>
      <c r="X2258">
        <v>0.99818240000000003</v>
      </c>
      <c r="Y2258">
        <v>6.9773100000000005E-2</v>
      </c>
      <c r="Z2258">
        <v>2.235966E-2</v>
      </c>
      <c r="AA2258">
        <v>0.99731219999999998</v>
      </c>
      <c r="AB2258">
        <v>27</v>
      </c>
      <c r="AC2258">
        <v>-0.617999999999995</v>
      </c>
      <c r="AD2258">
        <v>-0.13026840000000001</v>
      </c>
      <c r="AE2258">
        <v>-5.6000000000153696E-3</v>
      </c>
      <c r="AF2258">
        <v>6.5500151366014503E-2</v>
      </c>
      <c r="AG2258">
        <v>-0.13026840000000001</v>
      </c>
      <c r="AH2258">
        <v>0.58809889405319404</v>
      </c>
      <c r="AI2258">
        <v>102.415420988703</v>
      </c>
      <c r="AJ2258">
        <v>83.644812050695904</v>
      </c>
      <c r="AK2258">
        <v>0.60590464188197202</v>
      </c>
      <c r="AL2258">
        <v>90.340585413121204</v>
      </c>
      <c r="AM2258">
        <v>86.561745164846698</v>
      </c>
      <c r="AN2258">
        <v>1.00000002759563</v>
      </c>
    </row>
    <row r="2259" spans="1:40" x14ac:dyDescent="0.25">
      <c r="A2259" t="str">
        <f>"20190312161312136"</f>
        <v>20190312161312136</v>
      </c>
      <c r="B2259" t="str">
        <f>"1552378392128130"</f>
        <v>1552378392128130</v>
      </c>
      <c r="C2259" t="s">
        <v>40</v>
      </c>
      <c r="D2259">
        <v>5.0342120000000001</v>
      </c>
      <c r="E2259">
        <v>0.50520869999999996</v>
      </c>
      <c r="F2259" t="s">
        <v>43</v>
      </c>
      <c r="G2259">
        <v>-473.02100000000002</v>
      </c>
      <c r="H2259">
        <v>0.99114159999999996</v>
      </c>
      <c r="I2259">
        <v>286.08550000000002</v>
      </c>
      <c r="J2259">
        <v>-472.41469999999998</v>
      </c>
      <c r="K2259">
        <v>1.1137010000000001</v>
      </c>
      <c r="L2259">
        <v>286.09440000000001</v>
      </c>
      <c r="M2259">
        <v>-0.99214650000000004</v>
      </c>
      <c r="N2259">
        <v>0</v>
      </c>
      <c r="O2259">
        <v>-0.12427390000000001</v>
      </c>
      <c r="P2259">
        <v>-0.99768840000000003</v>
      </c>
      <c r="Q2259">
        <v>-1.9937710000000001E-2</v>
      </c>
      <c r="R2259">
        <v>-6.4964900000000006E-2</v>
      </c>
      <c r="S2259">
        <v>-2.987854</v>
      </c>
      <c r="T2259">
        <v>-0.42696240000000002</v>
      </c>
      <c r="U2259">
        <v>-0.1558533</v>
      </c>
      <c r="V2259">
        <v>5.9585199999999998E-2</v>
      </c>
      <c r="W2259">
        <v>-5.2587600000000003E-3</v>
      </c>
      <c r="X2259">
        <v>0.99820940000000002</v>
      </c>
      <c r="Y2259">
        <v>7.0465219999999995E-2</v>
      </c>
      <c r="Z2259">
        <v>2.2616049999999999E-2</v>
      </c>
      <c r="AA2259">
        <v>0.99725779999999997</v>
      </c>
      <c r="AB2259">
        <v>27</v>
      </c>
      <c r="AC2259">
        <v>-0.60629999999997597</v>
      </c>
      <c r="AD2259">
        <v>-0.1225594</v>
      </c>
      <c r="AE2259">
        <v>-8.8999999999828001E-3</v>
      </c>
      <c r="AF2259">
        <v>6.3912824201364099E-2</v>
      </c>
      <c r="AG2259">
        <v>-0.1225594</v>
      </c>
      <c r="AH2259">
        <v>0.57904920285403105</v>
      </c>
      <c r="AI2259">
        <v>101.88055703758999</v>
      </c>
      <c r="AJ2259">
        <v>83.7014470891489</v>
      </c>
      <c r="AK2259">
        <v>0.59531809560237903</v>
      </c>
      <c r="AL2259">
        <v>90.301306133664198</v>
      </c>
      <c r="AM2259">
        <v>86.583948926519</v>
      </c>
      <c r="AN2259">
        <v>1.00000002843206</v>
      </c>
    </row>
    <row r="2260" spans="1:40" x14ac:dyDescent="0.25">
      <c r="A2260" t="str">
        <f>"20190312161312158"</f>
        <v>20190312161312158</v>
      </c>
      <c r="B2260" t="str">
        <f>"1552378392147650"</f>
        <v>1552378392147650</v>
      </c>
      <c r="C2260" t="s">
        <v>40</v>
      </c>
      <c r="D2260">
        <v>4.8611870000000001</v>
      </c>
      <c r="E2260">
        <v>0.46711780000000003</v>
      </c>
      <c r="F2260" t="s">
        <v>43</v>
      </c>
      <c r="G2260">
        <v>-473.2593</v>
      </c>
      <c r="H2260">
        <v>0.99556210000000001</v>
      </c>
      <c r="I2260">
        <v>286.04669999999999</v>
      </c>
      <c r="J2260">
        <v>-472.67</v>
      </c>
      <c r="K2260">
        <v>1.113753</v>
      </c>
      <c r="L2260">
        <v>286.05709999999999</v>
      </c>
      <c r="M2260">
        <v>-0.99154070000000005</v>
      </c>
      <c r="N2260">
        <v>0</v>
      </c>
      <c r="O2260">
        <v>-0.12901669999999901</v>
      </c>
      <c r="P2260">
        <v>-0.99729909999999999</v>
      </c>
      <c r="Q2260">
        <v>-2.0272439999999999E-2</v>
      </c>
      <c r="R2260">
        <v>-7.0592470000000004E-2</v>
      </c>
      <c r="S2260">
        <v>-2.9876399999999999</v>
      </c>
      <c r="T2260">
        <v>-0.4175915</v>
      </c>
      <c r="U2260">
        <v>-0.16854859999999999</v>
      </c>
      <c r="V2260">
        <v>5.8729669999999998E-2</v>
      </c>
      <c r="W2260">
        <v>-5.5884560000000003E-3</v>
      </c>
      <c r="X2260">
        <v>0.99825830000000004</v>
      </c>
      <c r="Y2260">
        <v>7.1040060000000002E-2</v>
      </c>
      <c r="Z2260">
        <v>2.2816429999999999E-2</v>
      </c>
      <c r="AA2260">
        <v>0.99721249999999995</v>
      </c>
      <c r="AB2260">
        <v>27</v>
      </c>
      <c r="AC2260">
        <v>-0.58929999999997995</v>
      </c>
      <c r="AD2260">
        <v>-0.1181909</v>
      </c>
      <c r="AE2260">
        <v>-1.04000000000041E-2</v>
      </c>
      <c r="AF2260">
        <v>6.31833920644011E-2</v>
      </c>
      <c r="AG2260">
        <v>-0.1181909</v>
      </c>
      <c r="AH2260">
        <v>0.56307326445021399</v>
      </c>
      <c r="AI2260">
        <v>101.78260705385</v>
      </c>
      <c r="AJ2260">
        <v>83.597527341542801</v>
      </c>
      <c r="AK2260">
        <v>0.57880284295621298</v>
      </c>
      <c r="AL2260">
        <v>90.320196603314002</v>
      </c>
      <c r="AM2260">
        <v>86.633047805589698</v>
      </c>
      <c r="AN2260">
        <v>1.0000000192488301</v>
      </c>
    </row>
    <row r="2261" spans="1:40" x14ac:dyDescent="0.25">
      <c r="A2261" t="str">
        <f>"20190312161312180"</f>
        <v>20190312161312180</v>
      </c>
      <c r="B2261" t="str">
        <f>"1552378392177906"</f>
        <v>1552378392177906</v>
      </c>
      <c r="C2261" t="s">
        <v>40</v>
      </c>
      <c r="D2261">
        <v>4.8590299999999997</v>
      </c>
      <c r="E2261">
        <v>0.38468920000000001</v>
      </c>
      <c r="F2261" t="s">
        <v>43</v>
      </c>
      <c r="G2261">
        <v>-473.49680000000001</v>
      </c>
      <c r="H2261">
        <v>1.0189090000000001</v>
      </c>
      <c r="I2261">
        <v>285.92219999999998</v>
      </c>
      <c r="J2261">
        <v>-472.93540000000002</v>
      </c>
      <c r="K2261">
        <v>1.113812</v>
      </c>
      <c r="L2261">
        <v>286.017</v>
      </c>
      <c r="M2261">
        <v>-0.99087409999999998</v>
      </c>
      <c r="N2261">
        <v>0</v>
      </c>
      <c r="O2261">
        <v>-0.134041299999999</v>
      </c>
      <c r="P2261">
        <v>-0.99683710000000003</v>
      </c>
      <c r="Q2261">
        <v>-2.02425E-2</v>
      </c>
      <c r="R2261">
        <v>-7.6852630000000005E-2</v>
      </c>
      <c r="S2261">
        <v>-2.9668269999999999</v>
      </c>
      <c r="T2261">
        <v>-0.34106180000000003</v>
      </c>
      <c r="U2261">
        <v>-0.4855042</v>
      </c>
      <c r="V2261">
        <v>5.7523289999999998E-2</v>
      </c>
      <c r="W2261">
        <v>-5.5552639999999999E-3</v>
      </c>
      <c r="X2261">
        <v>0.99832869999999996</v>
      </c>
      <c r="Y2261">
        <v>-2.841343E-2</v>
      </c>
      <c r="Z2261">
        <v>1.356657E-2</v>
      </c>
      <c r="AA2261">
        <v>0.99950419999999995</v>
      </c>
      <c r="AB2261">
        <v>27</v>
      </c>
      <c r="AC2261">
        <v>-0.56139999999999102</v>
      </c>
      <c r="AD2261">
        <v>-9.4902999999999904E-2</v>
      </c>
      <c r="AE2261">
        <v>-9.4800000000020604E-2</v>
      </c>
      <c r="AF2261">
        <v>-1.81808140491782E-2</v>
      </c>
      <c r="AG2261">
        <v>-9.4902999999999904E-2</v>
      </c>
      <c r="AH2261">
        <v>0.55365797684005502</v>
      </c>
      <c r="AI2261">
        <v>99.721453850292093</v>
      </c>
      <c r="AJ2261">
        <v>91.880781600634506</v>
      </c>
      <c r="AK2261">
        <v>0.56202693594445696</v>
      </c>
      <c r="AL2261">
        <v>90.318294821132994</v>
      </c>
      <c r="AM2261">
        <v>86.702286959970905</v>
      </c>
      <c r="AN2261">
        <v>0.99999999154711094</v>
      </c>
    </row>
    <row r="2262" spans="1:40" x14ac:dyDescent="0.25">
      <c r="A2262" t="str">
        <f>"20190312161312203"</f>
        <v>20190312161312203</v>
      </c>
      <c r="B2262" t="str">
        <f>"1552378392198402"</f>
        <v>1552378392198402</v>
      </c>
      <c r="C2262" t="s">
        <v>40</v>
      </c>
      <c r="D2262">
        <v>4.9353759999999998</v>
      </c>
      <c r="E2262">
        <v>0.37322260000000002</v>
      </c>
      <c r="F2262" t="s">
        <v>63</v>
      </c>
      <c r="G2262">
        <v>-495.5591</v>
      </c>
      <c r="H2262" s="1">
        <v>2.0957039999999998E-6</v>
      </c>
      <c r="I2262">
        <v>277.08569999999997</v>
      </c>
      <c r="J2262">
        <v>-473.19799999999998</v>
      </c>
      <c r="K2262">
        <v>1.113883</v>
      </c>
      <c r="L2262">
        <v>285.97579999999999</v>
      </c>
      <c r="M2262">
        <v>-0.99017409999999995</v>
      </c>
      <c r="N2262">
        <v>0</v>
      </c>
      <c r="O2262">
        <v>-0.13911679999999901</v>
      </c>
      <c r="P2262">
        <v>-0.99632489999999996</v>
      </c>
      <c r="Q2262">
        <v>-2.052853E-2</v>
      </c>
      <c r="R2262">
        <v>-8.3159830000000004E-2</v>
      </c>
      <c r="S2262">
        <v>-2.9178160000000002</v>
      </c>
      <c r="T2262">
        <v>-0.14364969999999999</v>
      </c>
      <c r="U2262">
        <v>-1.151886</v>
      </c>
      <c r="V2262">
        <v>5.6323409999999997E-2</v>
      </c>
      <c r="W2262">
        <v>-5.8372099999999998E-3</v>
      </c>
      <c r="X2262">
        <v>0.99839549999999999</v>
      </c>
      <c r="Y2262">
        <v>-0.23411689999999999</v>
      </c>
      <c r="Z2262">
        <v>9.875754E-4</v>
      </c>
      <c r="AA2262">
        <v>0.97220799999999996</v>
      </c>
      <c r="AB2262">
        <v>27</v>
      </c>
      <c r="AC2262">
        <v>-22.361099999999901</v>
      </c>
      <c r="AD2262">
        <v>-1.1138809042960001</v>
      </c>
      <c r="AE2262">
        <v>-8.8901000000000092</v>
      </c>
      <c r="AF2262">
        <v>-5.6803451799556797</v>
      </c>
      <c r="AG2262">
        <v>-1.1138809042960001</v>
      </c>
      <c r="AH2262">
        <v>23.330513095507602</v>
      </c>
      <c r="AI2262">
        <v>92.6559548794459</v>
      </c>
      <c r="AJ2262">
        <v>103.683723985941</v>
      </c>
      <c r="AK2262">
        <v>24.037884543612599</v>
      </c>
      <c r="AL2262">
        <v>90.334449400788799</v>
      </c>
      <c r="AM2262">
        <v>86.771142537074098</v>
      </c>
      <c r="AN2262">
        <v>0.99999998697743098</v>
      </c>
    </row>
    <row r="2263" spans="1:40" x14ac:dyDescent="0.25">
      <c r="A2263" t="str">
        <f>"20190312161312226"</f>
        <v>20190312161312226</v>
      </c>
      <c r="B2263" t="str">
        <f>"1552378392217922"</f>
        <v>1552378392217922</v>
      </c>
      <c r="C2263" t="s">
        <v>40</v>
      </c>
      <c r="D2263">
        <v>4.9213680000000002</v>
      </c>
      <c r="E2263">
        <v>0.36947039999999998</v>
      </c>
      <c r="F2263" t="s">
        <v>63</v>
      </c>
      <c r="G2263">
        <v>-498.04250000000002</v>
      </c>
      <c r="H2263" s="1">
        <v>1.250848E-6</v>
      </c>
      <c r="I2263">
        <v>275.18329999999997</v>
      </c>
      <c r="J2263">
        <v>-473.46570000000003</v>
      </c>
      <c r="K2263">
        <v>1.113955</v>
      </c>
      <c r="L2263">
        <v>285.9323</v>
      </c>
      <c r="M2263">
        <v>-0.98941679999999999</v>
      </c>
      <c r="N2263">
        <v>0</v>
      </c>
      <c r="O2263">
        <v>-0.144403799999999</v>
      </c>
      <c r="P2263">
        <v>-0.99580100000000005</v>
      </c>
      <c r="Q2263">
        <v>-2.1099969999999999E-2</v>
      </c>
      <c r="R2263">
        <v>-8.9080480000000004E-2</v>
      </c>
      <c r="S2263">
        <v>-2.9031370000000001</v>
      </c>
      <c r="T2263">
        <v>-0.13015969999999999</v>
      </c>
      <c r="U2263">
        <v>-1.261139</v>
      </c>
      <c r="V2263">
        <v>5.5726409999999997E-2</v>
      </c>
      <c r="W2263">
        <v>-6.3982259999999999E-3</v>
      </c>
      <c r="X2263">
        <v>0.99842560000000002</v>
      </c>
      <c r="Y2263">
        <v>-0.26170009999999999</v>
      </c>
      <c r="Z2263">
        <v>5.1971899999999998E-4</v>
      </c>
      <c r="AA2263">
        <v>0.96514909999999998</v>
      </c>
      <c r="AB2263">
        <v>27</v>
      </c>
      <c r="AC2263">
        <v>-24.576799999999899</v>
      </c>
      <c r="AD2263">
        <v>-1.113953749152</v>
      </c>
      <c r="AE2263">
        <v>-10.749000000000001</v>
      </c>
      <c r="AF2263">
        <v>-7.0747729140239297</v>
      </c>
      <c r="AG2263">
        <v>-1.113953749152</v>
      </c>
      <c r="AH2263">
        <v>25.826968591655</v>
      </c>
      <c r="AI2263">
        <v>92.382068437690506</v>
      </c>
      <c r="AJ2263">
        <v>105.319221790135</v>
      </c>
      <c r="AK2263">
        <v>26.801597179544899</v>
      </c>
      <c r="AL2263">
        <v>90.366593838481094</v>
      </c>
      <c r="AM2263">
        <v>86.805391656278104</v>
      </c>
      <c r="AN2263">
        <v>1.00000002440139</v>
      </c>
    </row>
    <row r="2264" spans="1:40" x14ac:dyDescent="0.25">
      <c r="A2264" t="str">
        <f>"20190312161312249"</f>
        <v>20190312161312249</v>
      </c>
      <c r="B2264" t="str">
        <f>"1552378392238417"</f>
        <v>1552378392238417</v>
      </c>
      <c r="C2264" t="s">
        <v>40</v>
      </c>
      <c r="D2264">
        <v>4.9024479999999997</v>
      </c>
      <c r="E2264">
        <v>0.36788759999999998</v>
      </c>
      <c r="F2264" t="s">
        <v>63</v>
      </c>
      <c r="G2264">
        <v>-498.11349999999999</v>
      </c>
      <c r="H2264" s="1">
        <v>1.1039970000000001E-6</v>
      </c>
      <c r="I2264">
        <v>274.78559999999999</v>
      </c>
      <c r="J2264">
        <v>-473.7287</v>
      </c>
      <c r="K2264">
        <v>1.1140319999999999</v>
      </c>
      <c r="L2264">
        <v>285.88799999999998</v>
      </c>
      <c r="M2264">
        <v>-0.98862620000000001</v>
      </c>
      <c r="N2264">
        <v>0</v>
      </c>
      <c r="O2264">
        <v>-0.14972060000000001</v>
      </c>
      <c r="P2264">
        <v>-0.99525140000000001</v>
      </c>
      <c r="Q2264">
        <v>-2.134374E-2</v>
      </c>
      <c r="R2264">
        <v>-9.4971490000000006E-2</v>
      </c>
      <c r="S2264">
        <v>-2.8928530000000001</v>
      </c>
      <c r="T2264">
        <v>-0.1307422</v>
      </c>
      <c r="U2264">
        <v>-1.3082579999999999</v>
      </c>
      <c r="V2264">
        <v>5.5188460000000002E-2</v>
      </c>
      <c r="W2264">
        <v>-6.6295669999999899E-3</v>
      </c>
      <c r="X2264">
        <v>0.99845399999999995</v>
      </c>
      <c r="Y2264">
        <v>-0.27087990000000001</v>
      </c>
      <c r="Z2264">
        <v>5.4629799999999997E-4</v>
      </c>
      <c r="AA2264">
        <v>0.96261300000000005</v>
      </c>
      <c r="AB2264">
        <v>27</v>
      </c>
      <c r="AC2264">
        <v>-24.384799999999899</v>
      </c>
      <c r="AD2264">
        <v>-1.1140308960030001</v>
      </c>
      <c r="AE2264">
        <v>-11.1023999999999</v>
      </c>
      <c r="AF2264">
        <v>-7.3133133536424397</v>
      </c>
      <c r="AG2264">
        <v>-1.1140308960030001</v>
      </c>
      <c r="AH2264">
        <v>25.727835057063501</v>
      </c>
      <c r="AI2264">
        <v>92.385023260261207</v>
      </c>
      <c r="AJ2264">
        <v>105.86816356314699</v>
      </c>
      <c r="AK2264">
        <v>26.770265478124799</v>
      </c>
      <c r="AL2264">
        <v>90.379848971204396</v>
      </c>
      <c r="AM2264">
        <v>86.836257381470105</v>
      </c>
      <c r="AN2264">
        <v>1.00000005369588</v>
      </c>
    </row>
    <row r="2265" spans="1:40" x14ac:dyDescent="0.25">
      <c r="A2265" t="str">
        <f>"20190312161312270"</f>
        <v>20190312161312270</v>
      </c>
      <c r="B2265" t="str">
        <f>"1552378392257938"</f>
        <v>1552378392257938</v>
      </c>
      <c r="C2265" t="s">
        <v>40</v>
      </c>
      <c r="D2265">
        <v>4.9510630000000004</v>
      </c>
      <c r="E2265">
        <v>0.36750919999999998</v>
      </c>
      <c r="F2265" t="s">
        <v>63</v>
      </c>
      <c r="G2265">
        <v>-498.64510000000001</v>
      </c>
      <c r="H2265" s="1">
        <v>9.4667240000000002E-7</v>
      </c>
      <c r="I2265">
        <v>274.3306</v>
      </c>
      <c r="J2265">
        <v>-473.97949999999997</v>
      </c>
      <c r="K2265">
        <v>1.114107</v>
      </c>
      <c r="L2265">
        <v>285.8442</v>
      </c>
      <c r="M2265">
        <v>-0.98782369999999997</v>
      </c>
      <c r="N2265">
        <v>0</v>
      </c>
      <c r="O2265">
        <v>-0.1549267</v>
      </c>
      <c r="P2265">
        <v>-0.99471259999999995</v>
      </c>
      <c r="Q2265">
        <v>-2.1272989999999999E-2</v>
      </c>
      <c r="R2265">
        <v>-0.1004733</v>
      </c>
      <c r="S2265">
        <v>-2.8839419999999998</v>
      </c>
      <c r="T2265">
        <v>-0.1289431</v>
      </c>
      <c r="U2265">
        <v>-1.3377079999999999</v>
      </c>
      <c r="V2265">
        <v>5.492847E-2</v>
      </c>
      <c r="W2265">
        <v>-6.5431969999999997E-3</v>
      </c>
      <c r="X2265">
        <v>0.99846889999999999</v>
      </c>
      <c r="Y2265">
        <v>-0.27504679999999998</v>
      </c>
      <c r="Z2265">
        <v>6.6524599999999998E-4</v>
      </c>
      <c r="AA2265">
        <v>0.96143060000000002</v>
      </c>
      <c r="AB2265">
        <v>27</v>
      </c>
      <c r="AC2265">
        <v>-24.665600000000001</v>
      </c>
      <c r="AD2265">
        <v>-1.1141060533275999</v>
      </c>
      <c r="AE2265">
        <v>-11.513599999999901</v>
      </c>
      <c r="AF2265">
        <v>-7.5401788691730003</v>
      </c>
      <c r="AG2265">
        <v>-1.1141060533275999</v>
      </c>
      <c r="AH2265">
        <v>26.1079350064654</v>
      </c>
      <c r="AI2265">
        <v>92.347670135175505</v>
      </c>
      <c r="AJ2265">
        <v>106.10913725348701</v>
      </c>
      <c r="AK2265">
        <v>27.197790351037799</v>
      </c>
      <c r="AL2265">
        <v>90.374900230066203</v>
      </c>
      <c r="AM2265">
        <v>86.851178442213097</v>
      </c>
      <c r="AN2265">
        <v>1.0000000472553601</v>
      </c>
    </row>
    <row r="2266" spans="1:40" x14ac:dyDescent="0.25">
      <c r="A2266" t="str">
        <f>"20190312161312285"</f>
        <v>20190312161312285</v>
      </c>
      <c r="B2266" t="str">
        <f>"1552378392278434"</f>
        <v>1552378392278434</v>
      </c>
      <c r="C2266" t="s">
        <v>40</v>
      </c>
      <c r="D2266">
        <v>4.9573099999999997</v>
      </c>
      <c r="E2266">
        <v>0.36720409999999998</v>
      </c>
      <c r="F2266" t="s">
        <v>63</v>
      </c>
      <c r="G2266">
        <v>-498.21010000000001</v>
      </c>
      <c r="H2266" s="1">
        <v>1.000039E-6</v>
      </c>
      <c r="I2266">
        <v>274.41460000000001</v>
      </c>
      <c r="J2266">
        <v>-474.15910000000002</v>
      </c>
      <c r="K2266">
        <v>1.1141620000000001</v>
      </c>
      <c r="L2266">
        <v>285.81189999999998</v>
      </c>
      <c r="M2266">
        <v>-0.98722089999999996</v>
      </c>
      <c r="N2266">
        <v>0</v>
      </c>
      <c r="O2266">
        <v>-0.158721</v>
      </c>
      <c r="P2266">
        <v>-0.99426820000000005</v>
      </c>
      <c r="Q2266">
        <v>-2.142759E-2</v>
      </c>
      <c r="R2266">
        <v>-0.1047464</v>
      </c>
      <c r="S2266">
        <v>-2.876099</v>
      </c>
      <c r="T2266">
        <v>-0.13224079999999999</v>
      </c>
      <c r="U2266">
        <v>-1.3566590000000001</v>
      </c>
      <c r="V2266">
        <v>5.4476450000000003E-2</v>
      </c>
      <c r="W2266">
        <v>-6.689108E-3</v>
      </c>
      <c r="X2266">
        <v>0.99849270000000001</v>
      </c>
      <c r="Y2266">
        <v>-0.2775434</v>
      </c>
      <c r="Z2266">
        <v>7.8893129999999998E-4</v>
      </c>
      <c r="AA2266">
        <v>0.96071280000000003</v>
      </c>
      <c r="AB2266">
        <v>27</v>
      </c>
      <c r="AC2266">
        <v>-24.050999999999899</v>
      </c>
      <c r="AD2266">
        <v>-1.114160999961</v>
      </c>
      <c r="AE2266">
        <v>-11.3972999999999</v>
      </c>
      <c r="AF2266">
        <v>-7.4220001965315197</v>
      </c>
      <c r="AG2266">
        <v>-1.114160999961</v>
      </c>
      <c r="AH2266">
        <v>25.510522593032899</v>
      </c>
      <c r="AI2266">
        <v>92.401336127859494</v>
      </c>
      <c r="AJ2266">
        <v>106.22176176110599</v>
      </c>
      <c r="AK2266">
        <v>26.591619067307501</v>
      </c>
      <c r="AL2266">
        <v>90.383260496144999</v>
      </c>
      <c r="AM2266">
        <v>86.877113663171201</v>
      </c>
      <c r="AN2266">
        <v>1.00000004986186</v>
      </c>
    </row>
    <row r="2267" spans="1:40" x14ac:dyDescent="0.25">
      <c r="A2267" t="str">
        <f>"20190312161312300"</f>
        <v>20190312161312300</v>
      </c>
      <c r="B2267" t="str">
        <f>"1552378392288193"</f>
        <v>1552378392288193</v>
      </c>
      <c r="C2267" t="s">
        <v>40</v>
      </c>
      <c r="D2267">
        <v>4.9755859999999998</v>
      </c>
      <c r="E2267">
        <v>0.36718840000000003</v>
      </c>
      <c r="F2267" t="s">
        <v>63</v>
      </c>
      <c r="G2267">
        <v>-498.608</v>
      </c>
      <c r="H2267" s="1">
        <v>9.1428630000000004E-7</v>
      </c>
      <c r="I2267">
        <v>274.12799999999999</v>
      </c>
      <c r="J2267">
        <v>-474.3304</v>
      </c>
      <c r="K2267">
        <v>1.1142190000000001</v>
      </c>
      <c r="L2267">
        <v>285.78019999999998</v>
      </c>
      <c r="M2267">
        <v>-0.9866222</v>
      </c>
      <c r="N2267">
        <v>0</v>
      </c>
      <c r="O2267">
        <v>-0.16240099999999999</v>
      </c>
      <c r="P2267">
        <v>-0.99382380000000003</v>
      </c>
      <c r="Q2267">
        <v>-2.1810220000000002E-2</v>
      </c>
      <c r="R2267">
        <v>-0.10880670000000001</v>
      </c>
      <c r="S2267">
        <v>-2.8699650000000001</v>
      </c>
      <c r="T2267">
        <v>-0.13078689999999901</v>
      </c>
      <c r="U2267">
        <v>-1.371521</v>
      </c>
      <c r="V2267">
        <v>5.4124310000000002E-2</v>
      </c>
      <c r="W2267">
        <v>-7.0634410000000002E-3</v>
      </c>
      <c r="X2267">
        <v>0.99850919999999999</v>
      </c>
      <c r="Y2267">
        <v>-0.27881529999999999</v>
      </c>
      <c r="Z2267">
        <v>9.074113E-4</v>
      </c>
      <c r="AA2267">
        <v>0.96034430000000004</v>
      </c>
      <c r="AB2267">
        <v>27</v>
      </c>
      <c r="AC2267">
        <v>-24.2776</v>
      </c>
      <c r="AD2267">
        <v>-1.1142180857136901</v>
      </c>
      <c r="AE2267">
        <v>-11.652199999999899</v>
      </c>
      <c r="AF2267">
        <v>-7.5414669916297399</v>
      </c>
      <c r="AG2267">
        <v>-1.1142180857136901</v>
      </c>
      <c r="AH2267">
        <v>25.803590834626501</v>
      </c>
      <c r="AI2267">
        <v>92.373370848453106</v>
      </c>
      <c r="AJ2267">
        <v>106.29175403447201</v>
      </c>
      <c r="AK2267">
        <v>26.9061425382605</v>
      </c>
      <c r="AL2267">
        <v>90.404708732469899</v>
      </c>
      <c r="AM2267">
        <v>86.8973118440462</v>
      </c>
      <c r="AN2267">
        <v>0.99999997780818795</v>
      </c>
    </row>
    <row r="2268" spans="1:40" x14ac:dyDescent="0.25">
      <c r="A2268" t="str">
        <f>"20190312161312316"</f>
        <v>20190312161312316</v>
      </c>
      <c r="B2268" t="str">
        <f>"1552378392307715"</f>
        <v>1552378392307715</v>
      </c>
      <c r="C2268" t="s">
        <v>40</v>
      </c>
      <c r="D2268">
        <v>5.0031210000000002</v>
      </c>
      <c r="E2268">
        <v>0.3673208</v>
      </c>
      <c r="F2268" t="s">
        <v>63</v>
      </c>
      <c r="G2268">
        <v>-498.62639999999999</v>
      </c>
      <c r="H2268" s="1">
        <v>8.9828269999999902E-7</v>
      </c>
      <c r="I2268">
        <v>274.04640000000001</v>
      </c>
      <c r="J2268">
        <v>-474.5163</v>
      </c>
      <c r="K2268">
        <v>1.1142700000000001</v>
      </c>
      <c r="L2268">
        <v>285.74529999999999</v>
      </c>
      <c r="M2268">
        <v>-0.98594630000000005</v>
      </c>
      <c r="N2268">
        <v>0</v>
      </c>
      <c r="O2268">
        <v>-0.16645389999999999</v>
      </c>
      <c r="P2268">
        <v>-0.99322880000000002</v>
      </c>
      <c r="Q2268">
        <v>-2.173361E-2</v>
      </c>
      <c r="R2268">
        <v>-0.114124</v>
      </c>
      <c r="S2268">
        <v>-2.8643190000000001</v>
      </c>
      <c r="T2268">
        <v>-0.13135810000000001</v>
      </c>
      <c r="U2268">
        <v>-1.3833310000000001</v>
      </c>
      <c r="V2268">
        <v>5.2884340000000002E-2</v>
      </c>
      <c r="W2268">
        <v>-6.9854899999999996E-3</v>
      </c>
      <c r="X2268">
        <v>0.99857620000000002</v>
      </c>
      <c r="Y2268">
        <v>-0.2788236</v>
      </c>
      <c r="Z2268">
        <v>1.0824680000000001E-3</v>
      </c>
      <c r="AA2268">
        <v>0.96034169999999996</v>
      </c>
      <c r="AB2268">
        <v>27</v>
      </c>
      <c r="AC2268">
        <v>-24.1100999999999</v>
      </c>
      <c r="AD2268">
        <v>-1.1142691017173001</v>
      </c>
      <c r="AE2268">
        <v>-11.698899999999901</v>
      </c>
      <c r="AF2268">
        <v>-7.5090484457173101</v>
      </c>
      <c r="AG2268">
        <v>-1.1142691017173001</v>
      </c>
      <c r="AH2268">
        <v>25.676810709222899</v>
      </c>
      <c r="AI2268">
        <v>92.385069204934894</v>
      </c>
      <c r="AJ2268">
        <v>106.30128177101599</v>
      </c>
      <c r="AK2268">
        <v>26.775474083355402</v>
      </c>
      <c r="AL2268">
        <v>90.400242354448807</v>
      </c>
      <c r="AM2268">
        <v>86.968462282696294</v>
      </c>
      <c r="AN2268">
        <v>0.99999998884710695</v>
      </c>
    </row>
    <row r="2269" spans="1:40" x14ac:dyDescent="0.25">
      <c r="A2269" t="str">
        <f>"20190312161312348"</f>
        <v>20190312161312348</v>
      </c>
      <c r="B2269" t="str">
        <f>"1552378392337970"</f>
        <v>1552378392337970</v>
      </c>
      <c r="C2269" t="s">
        <v>40</v>
      </c>
      <c r="D2269">
        <v>5.0352209999999999</v>
      </c>
      <c r="E2269">
        <v>0.36785060000000003</v>
      </c>
      <c r="F2269" t="s">
        <v>63</v>
      </c>
      <c r="G2269">
        <v>-498.35590000000002</v>
      </c>
      <c r="H2269" s="1">
        <v>9.2902020000000003E-7</v>
      </c>
      <c r="I2269">
        <v>274.0847</v>
      </c>
      <c r="J2269">
        <v>-474.88679999999999</v>
      </c>
      <c r="K2269">
        <v>1.114411</v>
      </c>
      <c r="L2269">
        <v>285.67290000000003</v>
      </c>
      <c r="M2269">
        <v>-0.98450660000000001</v>
      </c>
      <c r="N2269">
        <v>0</v>
      </c>
      <c r="O2269">
        <v>-0.17476800000000001</v>
      </c>
      <c r="P2269">
        <v>-0.99202840000000003</v>
      </c>
      <c r="Q2269">
        <v>-2.0866920000000001E-2</v>
      </c>
      <c r="R2269">
        <v>-0.1242757</v>
      </c>
      <c r="S2269">
        <v>-2.856995</v>
      </c>
      <c r="T2269">
        <v>-0.13353670000000001</v>
      </c>
      <c r="U2269">
        <v>-1.3974299999999999</v>
      </c>
      <c r="V2269">
        <v>5.1095399999999999E-2</v>
      </c>
      <c r="W2269">
        <v>-6.107276E-3</v>
      </c>
      <c r="X2269">
        <v>0.99867510000000004</v>
      </c>
      <c r="Y2269">
        <v>-0.27552019999999999</v>
      </c>
      <c r="Z2269">
        <v>1.530565E-3</v>
      </c>
      <c r="AA2269">
        <v>0.96129410000000004</v>
      </c>
      <c r="AB2269">
        <v>27</v>
      </c>
      <c r="AC2269">
        <v>-23.469100000000001</v>
      </c>
      <c r="AD2269">
        <v>-1.1144100709797999</v>
      </c>
      <c r="AE2269">
        <v>-11.588200000000001</v>
      </c>
      <c r="AF2269">
        <v>-7.294529733089</v>
      </c>
      <c r="AG2269">
        <v>-1.1144100709797999</v>
      </c>
      <c r="AH2269">
        <v>25.087801578815199</v>
      </c>
      <c r="AI2269">
        <v>92.442411392067399</v>
      </c>
      <c r="AJ2269">
        <v>106.21231876199801</v>
      </c>
      <c r="AK2269">
        <v>26.150523166683001</v>
      </c>
      <c r="AL2269">
        <v>90.349923315467805</v>
      </c>
      <c r="AM2269">
        <v>87.071119204268896</v>
      </c>
      <c r="AN2269">
        <v>0.99999999704065501</v>
      </c>
    </row>
    <row r="2270" spans="1:40" x14ac:dyDescent="0.25">
      <c r="A2270" t="str">
        <f>"20190312161312371"</f>
        <v>20190312161312371</v>
      </c>
      <c r="B2270" t="str">
        <f>"1552378392368226"</f>
        <v>1552378392368226</v>
      </c>
      <c r="C2270" t="s">
        <v>40</v>
      </c>
      <c r="D2270">
        <v>5.0924259999999997</v>
      </c>
      <c r="E2270">
        <v>0.36874309999999899</v>
      </c>
      <c r="F2270" t="s">
        <v>63</v>
      </c>
      <c r="G2270">
        <v>-498.62990000000002</v>
      </c>
      <c r="H2270" s="1">
        <v>8.534555E-7</v>
      </c>
      <c r="I2270">
        <v>273.79360000000003</v>
      </c>
      <c r="J2270">
        <v>-475.14550000000003</v>
      </c>
      <c r="K2270">
        <v>1.114519</v>
      </c>
      <c r="L2270">
        <v>285.62009999999998</v>
      </c>
      <c r="M2270">
        <v>-0.98341999999999996</v>
      </c>
      <c r="N2270">
        <v>0</v>
      </c>
      <c r="O2270">
        <v>-0.1807812</v>
      </c>
      <c r="P2270">
        <v>-0.99112529999999999</v>
      </c>
      <c r="Q2270">
        <v>-2.0955620000000001E-2</v>
      </c>
      <c r="R2270">
        <v>-0.13126869999999999</v>
      </c>
      <c r="S2270">
        <v>-2.8431090000000001</v>
      </c>
      <c r="T2270">
        <v>-0.133444799999999</v>
      </c>
      <c r="U2270">
        <v>-1.422485</v>
      </c>
      <c r="V2270">
        <v>5.0157529999999999E-2</v>
      </c>
      <c r="W2270">
        <v>-6.1820540000000002E-3</v>
      </c>
      <c r="X2270">
        <v>0.9987222</v>
      </c>
      <c r="Y2270">
        <v>-0.27829759999999998</v>
      </c>
      <c r="Z2270">
        <v>1.7280539999999999E-3</v>
      </c>
      <c r="AA2270">
        <v>0.96049329999999999</v>
      </c>
      <c r="AB2270">
        <v>27</v>
      </c>
      <c r="AC2270">
        <v>-23.484399999999901</v>
      </c>
      <c r="AD2270">
        <v>-1.1145181465445</v>
      </c>
      <c r="AE2270">
        <v>-11.8264999999999</v>
      </c>
      <c r="AF2270">
        <v>-7.37238391115004</v>
      </c>
      <c r="AG2270">
        <v>-1.1145181465445</v>
      </c>
      <c r="AH2270">
        <v>25.190344949680501</v>
      </c>
      <c r="AI2270">
        <v>92.431471169996399</v>
      </c>
      <c r="AJ2270">
        <v>106.31301445376501</v>
      </c>
      <c r="AK2270">
        <v>26.270661847701</v>
      </c>
      <c r="AL2270">
        <v>90.354207854093701</v>
      </c>
      <c r="AM2270">
        <v>87.124923928704106</v>
      </c>
      <c r="AN2270">
        <v>1.0000000141901</v>
      </c>
    </row>
    <row r="2271" spans="1:40" x14ac:dyDescent="0.25">
      <c r="A2271" t="str">
        <f>"20190312161312393"</f>
        <v>20190312161312393</v>
      </c>
      <c r="B2271" t="str">
        <f>"1552378392387746"</f>
        <v>1552378392387746</v>
      </c>
      <c r="C2271" t="s">
        <v>40</v>
      </c>
      <c r="D2271">
        <v>5.0295690000000004</v>
      </c>
      <c r="E2271">
        <v>0.36931170000000002</v>
      </c>
      <c r="F2271" t="s">
        <v>63</v>
      </c>
      <c r="G2271">
        <v>-498.3922</v>
      </c>
      <c r="H2271" s="1">
        <v>8.8321529999999999E-7</v>
      </c>
      <c r="I2271">
        <v>273.84289999999999</v>
      </c>
      <c r="J2271">
        <v>-475.40530000000001</v>
      </c>
      <c r="K2271">
        <v>1.114641</v>
      </c>
      <c r="L2271">
        <v>285.56529999999998</v>
      </c>
      <c r="M2271">
        <v>-0.98225689999999999</v>
      </c>
      <c r="N2271">
        <v>0</v>
      </c>
      <c r="O2271">
        <v>-0.18699689999999999</v>
      </c>
      <c r="P2271">
        <v>-0.99026420000000004</v>
      </c>
      <c r="Q2271">
        <v>-2.0239739999999999E-2</v>
      </c>
      <c r="R2271">
        <v>-0.1377217</v>
      </c>
      <c r="S2271">
        <v>-2.8338009999999998</v>
      </c>
      <c r="T2271">
        <v>-0.1358618</v>
      </c>
      <c r="U2271">
        <v>-1.4356690000000001</v>
      </c>
      <c r="V2271">
        <v>4.9965130000000003E-2</v>
      </c>
      <c r="W2271">
        <v>-5.4425760000000002E-3</v>
      </c>
      <c r="X2271">
        <v>0.99873610000000002</v>
      </c>
      <c r="Y2271">
        <v>-0.27705039999999997</v>
      </c>
      <c r="Z2271">
        <v>2.0612450000000002E-3</v>
      </c>
      <c r="AA2271">
        <v>0.96085319999999996</v>
      </c>
      <c r="AB2271">
        <v>27</v>
      </c>
      <c r="AC2271">
        <v>-22.986899999999899</v>
      </c>
      <c r="AD2271">
        <v>-1.1146401167847</v>
      </c>
      <c r="AE2271">
        <v>-11.722399999999899</v>
      </c>
      <c r="AF2271">
        <v>-7.2032223312808199</v>
      </c>
      <c r="AG2271">
        <v>-1.1146401167847</v>
      </c>
      <c r="AH2271">
        <v>24.727472862151</v>
      </c>
      <c r="AI2271">
        <v>92.478107499728196</v>
      </c>
      <c r="AJ2271">
        <v>106.241075257425</v>
      </c>
      <c r="AK2271">
        <v>25.779386119382799</v>
      </c>
      <c r="AL2271">
        <v>90.311838184419202</v>
      </c>
      <c r="AM2271">
        <v>87.135973871705104</v>
      </c>
      <c r="AN2271">
        <v>0.99999996664631996</v>
      </c>
    </row>
    <row r="2272" spans="1:40" x14ac:dyDescent="0.25">
      <c r="A2272" t="str">
        <f>"20190312161312416"</f>
        <v>20190312161312416</v>
      </c>
      <c r="B2272" t="str">
        <f>"1552378392408242"</f>
        <v>1552378392408242</v>
      </c>
      <c r="C2272" t="s">
        <v>40</v>
      </c>
      <c r="D2272">
        <v>5.0988369999999996</v>
      </c>
      <c r="E2272">
        <v>0.36999840000000001</v>
      </c>
      <c r="F2272" t="s">
        <v>63</v>
      </c>
      <c r="G2272">
        <v>-498.43979999999999</v>
      </c>
      <c r="H2272" s="1">
        <v>8.6183329999999898E-7</v>
      </c>
      <c r="I2272">
        <v>273.74549999999999</v>
      </c>
      <c r="J2272">
        <v>-475.6651</v>
      </c>
      <c r="K2272">
        <v>1.1147549999999999</v>
      </c>
      <c r="L2272">
        <v>285.50850000000003</v>
      </c>
      <c r="M2272">
        <v>-0.98102199999999995</v>
      </c>
      <c r="N2272">
        <v>0</v>
      </c>
      <c r="O2272">
        <v>-0.19336909999999999</v>
      </c>
      <c r="P2272">
        <v>-0.98930169999999995</v>
      </c>
      <c r="Q2272">
        <v>-2.050281E-2</v>
      </c>
      <c r="R2272">
        <v>-0.14443590000000001</v>
      </c>
      <c r="S2272">
        <v>-2.8250730000000002</v>
      </c>
      <c r="T2272">
        <v>-0.13670560000000001</v>
      </c>
      <c r="U2272">
        <v>-1.449646</v>
      </c>
      <c r="V2272">
        <v>4.9676669999999999E-2</v>
      </c>
      <c r="W2272">
        <v>-5.683095E-3</v>
      </c>
      <c r="X2272">
        <v>0.9987492</v>
      </c>
      <c r="Y2272">
        <v>-0.27578530000000001</v>
      </c>
      <c r="Z2272">
        <v>2.385056E-3</v>
      </c>
      <c r="AA2272">
        <v>0.96121630000000002</v>
      </c>
      <c r="AB2272">
        <v>27</v>
      </c>
      <c r="AC2272">
        <v>-22.774699999999999</v>
      </c>
      <c r="AD2272">
        <v>-1.1147541381667001</v>
      </c>
      <c r="AE2272">
        <v>-11.763</v>
      </c>
      <c r="AF2272">
        <v>-7.1230955350912497</v>
      </c>
      <c r="AG2272">
        <v>-1.1147541381667001</v>
      </c>
      <c r="AH2272">
        <v>24.573121871894099</v>
      </c>
      <c r="AI2272">
        <v>92.494863656201801</v>
      </c>
      <c r="AJ2272">
        <v>106.165470323804</v>
      </c>
      <c r="AK2272">
        <v>25.6089727502209</v>
      </c>
      <c r="AL2272">
        <v>90.325619105399795</v>
      </c>
      <c r="AM2272">
        <v>87.152518538387895</v>
      </c>
      <c r="AN2272">
        <v>1.00000001680585</v>
      </c>
    </row>
    <row r="2273" spans="1:40" x14ac:dyDescent="0.25">
      <c r="A2273" t="str">
        <f>"20190312161312438"</f>
        <v>20190312161312438</v>
      </c>
      <c r="B2273" t="str">
        <f>"1552378392427762"</f>
        <v>1552378392427762</v>
      </c>
      <c r="C2273" t="s">
        <v>40</v>
      </c>
      <c r="D2273">
        <v>5.0886589999999998</v>
      </c>
      <c r="E2273">
        <v>0.37072959999999999</v>
      </c>
      <c r="F2273" t="s">
        <v>63</v>
      </c>
      <c r="G2273">
        <v>-497.98320000000001</v>
      </c>
      <c r="H2273" s="1">
        <v>9.3117500000000003E-7</v>
      </c>
      <c r="I2273">
        <v>273.90929999999997</v>
      </c>
      <c r="J2273">
        <v>-475.91739999999999</v>
      </c>
      <c r="K2273">
        <v>1.114862</v>
      </c>
      <c r="L2273">
        <v>285.45150000000001</v>
      </c>
      <c r="M2273">
        <v>-0.97974740000000005</v>
      </c>
      <c r="N2273">
        <v>0</v>
      </c>
      <c r="O2273">
        <v>-0.19972609999999999</v>
      </c>
      <c r="P2273">
        <v>-0.98837430000000004</v>
      </c>
      <c r="Q2273">
        <v>-2.0874690000000001E-2</v>
      </c>
      <c r="R2273">
        <v>-0.1506014</v>
      </c>
      <c r="S2273">
        <v>-2.8158569999999998</v>
      </c>
      <c r="T2273">
        <v>-0.14064749999999901</v>
      </c>
      <c r="U2273">
        <v>-1.46347</v>
      </c>
      <c r="V2273">
        <v>4.9929540000000001E-2</v>
      </c>
      <c r="W2273">
        <v>-6.0276549999999998E-3</v>
      </c>
      <c r="X2273">
        <v>0.99873449999999997</v>
      </c>
      <c r="Y2273">
        <v>-0.27455489999999999</v>
      </c>
      <c r="Z2273">
        <v>2.7730739999999999E-3</v>
      </c>
      <c r="AA2273">
        <v>0.96156739999999996</v>
      </c>
      <c r="AB2273">
        <v>26</v>
      </c>
      <c r="AC2273">
        <v>-22.065799999999999</v>
      </c>
      <c r="AD2273">
        <v>-1.114861068825</v>
      </c>
      <c r="AE2273">
        <v>-11.542199999999999</v>
      </c>
      <c r="AF2273">
        <v>-6.8882239695682799</v>
      </c>
      <c r="AG2273">
        <v>-1.114861068825</v>
      </c>
      <c r="AH2273">
        <v>23.878775183225901</v>
      </c>
      <c r="AI2273">
        <v>92.5685224685582</v>
      </c>
      <c r="AJ2273">
        <v>106.09107273494701</v>
      </c>
      <c r="AK2273">
        <v>24.8774285027364</v>
      </c>
      <c r="AL2273">
        <v>90.345361301659395</v>
      </c>
      <c r="AM2273">
        <v>87.138005937930501</v>
      </c>
      <c r="AN2273">
        <v>0.99999994653982804</v>
      </c>
    </row>
    <row r="2274" spans="1:40" x14ac:dyDescent="0.25">
      <c r="A2274" t="str">
        <f>"20190312161312460"</f>
        <v>20190312161312460</v>
      </c>
      <c r="B2274" t="str">
        <f>"1552378392458018"</f>
        <v>1552378392458018</v>
      </c>
      <c r="C2274" t="s">
        <v>40</v>
      </c>
      <c r="D2274">
        <v>5.1034889999999997</v>
      </c>
      <c r="E2274">
        <v>0.37173489999999998</v>
      </c>
      <c r="F2274" t="s">
        <v>63</v>
      </c>
      <c r="G2274">
        <v>-497.41750000000002</v>
      </c>
      <c r="H2274" s="1">
        <v>1.024129E-6</v>
      </c>
      <c r="I2274">
        <v>274.15219999999999</v>
      </c>
      <c r="J2274">
        <v>-476.17169999999999</v>
      </c>
      <c r="K2274">
        <v>1.114976</v>
      </c>
      <c r="L2274">
        <v>285.3922</v>
      </c>
      <c r="M2274">
        <v>-0.97837989999999997</v>
      </c>
      <c r="N2274">
        <v>0</v>
      </c>
      <c r="O2274">
        <v>-0.20632030000000001</v>
      </c>
      <c r="P2274">
        <v>-0.98726510000000001</v>
      </c>
      <c r="Q2274">
        <v>-2.0251689999999999E-2</v>
      </c>
      <c r="R2274">
        <v>-0.1577904</v>
      </c>
      <c r="S2274">
        <v>-2.8074650000000001</v>
      </c>
      <c r="T2274">
        <v>-0.14557779999999901</v>
      </c>
      <c r="U2274">
        <v>-1.4754640000000001</v>
      </c>
      <c r="V2274">
        <v>4.9384829999999998E-2</v>
      </c>
      <c r="W2274">
        <v>-5.3839719999999999E-3</v>
      </c>
      <c r="X2274">
        <v>0.99876529999999997</v>
      </c>
      <c r="Y2274">
        <v>-0.27248129999999998</v>
      </c>
      <c r="Z2274">
        <v>3.2325370000000002E-3</v>
      </c>
      <c r="AA2274">
        <v>0.9621556</v>
      </c>
      <c r="AB2274">
        <v>26</v>
      </c>
      <c r="AC2274">
        <v>-21.245799999999999</v>
      </c>
      <c r="AD2274">
        <v>-1.1149749758709999</v>
      </c>
      <c r="AE2274">
        <v>-11.24</v>
      </c>
      <c r="AF2274">
        <v>-6.6000250122392901</v>
      </c>
      <c r="AG2274">
        <v>-1.1149749758709999</v>
      </c>
      <c r="AH2274">
        <v>23.058251266178999</v>
      </c>
      <c r="AI2274">
        <v>92.6616406073924</v>
      </c>
      <c r="AJ2274">
        <v>105.97285219757801</v>
      </c>
      <c r="AK2274">
        <v>24.010132253139499</v>
      </c>
      <c r="AL2274">
        <v>90.308480367110107</v>
      </c>
      <c r="AM2274">
        <v>87.169265161985194</v>
      </c>
      <c r="AN2274">
        <v>0.99999998653635702</v>
      </c>
    </row>
    <row r="2275" spans="1:40" x14ac:dyDescent="0.25">
      <c r="A2275" t="str">
        <f>"20190312161312483"</f>
        <v>20190312161312483</v>
      </c>
      <c r="B2275" t="str">
        <f>"1552378392477538"</f>
        <v>1552378392477538</v>
      </c>
      <c r="C2275" t="s">
        <v>40</v>
      </c>
      <c r="D2275">
        <v>5.1044229999999997</v>
      </c>
      <c r="E2275">
        <v>0.37247429999999998</v>
      </c>
      <c r="F2275" t="s">
        <v>63</v>
      </c>
      <c r="G2275">
        <v>-497.14940000000001</v>
      </c>
      <c r="H2275" s="1">
        <v>1.0621420000000001E-6</v>
      </c>
      <c r="I2275">
        <v>274.233</v>
      </c>
      <c r="J2275">
        <v>-476.4246</v>
      </c>
      <c r="K2275">
        <v>1.115105</v>
      </c>
      <c r="L2275">
        <v>285.33120000000002</v>
      </c>
      <c r="M2275">
        <v>-0.97692920000000005</v>
      </c>
      <c r="N2275">
        <v>0</v>
      </c>
      <c r="O2275">
        <v>-0.21308199999999999</v>
      </c>
      <c r="P2275">
        <v>-0.98610220000000004</v>
      </c>
      <c r="Q2275">
        <v>-1.9395590000000001E-2</v>
      </c>
      <c r="R2275">
        <v>-0.1650045</v>
      </c>
      <c r="S2275">
        <v>-2.7978209999999999</v>
      </c>
      <c r="T2275">
        <v>-0.148705</v>
      </c>
      <c r="U2275">
        <v>-1.4883120000000001</v>
      </c>
      <c r="V2275">
        <v>4.8985300000000002E-2</v>
      </c>
      <c r="W2275">
        <v>-4.5026349999999996E-3</v>
      </c>
      <c r="X2275">
        <v>0.99878940000000005</v>
      </c>
      <c r="Y2275">
        <v>-0.27064709999999997</v>
      </c>
      <c r="Z2275">
        <v>3.675602E-3</v>
      </c>
      <c r="AA2275">
        <v>0.96267159999999996</v>
      </c>
      <c r="AB2275">
        <v>26</v>
      </c>
      <c r="AC2275">
        <v>-20.724799999999998</v>
      </c>
      <c r="AD2275">
        <v>-1.1151039378579899</v>
      </c>
      <c r="AE2275">
        <v>-11.0982</v>
      </c>
      <c r="AF2275">
        <v>-6.41230722229714</v>
      </c>
      <c r="AG2275">
        <v>-1.1151039378579899</v>
      </c>
      <c r="AH2275">
        <v>22.5630482959163</v>
      </c>
      <c r="AI2275">
        <v>92.721744528146004</v>
      </c>
      <c r="AJ2275">
        <v>105.864888716034</v>
      </c>
      <c r="AK2275">
        <v>23.483021294314</v>
      </c>
      <c r="AL2275">
        <v>90.257982841148902</v>
      </c>
      <c r="AM2275">
        <v>87.1921970373633</v>
      </c>
      <c r="AN2275">
        <v>1.0000000494451899</v>
      </c>
    </row>
    <row r="2276" spans="1:40" x14ac:dyDescent="0.25">
      <c r="A2276" t="str">
        <f>"20190312161312504"</f>
        <v>20190312161312504</v>
      </c>
      <c r="B2276" t="str">
        <f>"1552378392498034"</f>
        <v>1552378392498034</v>
      </c>
      <c r="C2276" t="s">
        <v>40</v>
      </c>
      <c r="D2276">
        <v>5.1032070000000003</v>
      </c>
      <c r="E2276">
        <v>0.38400230000000002</v>
      </c>
      <c r="F2276" t="s">
        <v>63</v>
      </c>
      <c r="G2276">
        <v>-497.09969999999998</v>
      </c>
      <c r="H2276" s="1">
        <v>1.0582089999999999E-6</v>
      </c>
      <c r="I2276">
        <v>274.18560000000002</v>
      </c>
      <c r="J2276">
        <v>-476.67419999999998</v>
      </c>
      <c r="K2276">
        <v>1.115246</v>
      </c>
      <c r="L2276">
        <v>285.26900000000001</v>
      </c>
      <c r="M2276">
        <v>-0.97540300000000002</v>
      </c>
      <c r="N2276">
        <v>0</v>
      </c>
      <c r="O2276">
        <v>-0.21996189999999999</v>
      </c>
      <c r="P2276">
        <v>-0.98479179999999999</v>
      </c>
      <c r="Q2276">
        <v>-1.873909E-2</v>
      </c>
      <c r="R2276">
        <v>-0.1727255</v>
      </c>
      <c r="S2276">
        <v>-2.7878419999999999</v>
      </c>
      <c r="T2276">
        <v>-0.1503612</v>
      </c>
      <c r="U2276">
        <v>-1.502869</v>
      </c>
      <c r="V2276">
        <v>4.8195090000000003E-2</v>
      </c>
      <c r="W2276">
        <v>-3.8218190000000002E-3</v>
      </c>
      <c r="X2276">
        <v>0.99883060000000001</v>
      </c>
      <c r="Y2276">
        <v>-0.26920040000000001</v>
      </c>
      <c r="Z2276">
        <v>4.090631E-3</v>
      </c>
      <c r="AA2276">
        <v>0.96307549999999997</v>
      </c>
      <c r="AB2276">
        <v>26</v>
      </c>
      <c r="AC2276">
        <v>-20.4255</v>
      </c>
      <c r="AD2276">
        <v>-1.115244941791</v>
      </c>
      <c r="AE2276">
        <v>-11.0833999999999</v>
      </c>
      <c r="AF2276">
        <v>-6.3040809679588801</v>
      </c>
      <c r="AG2276">
        <v>-1.115244941791</v>
      </c>
      <c r="AH2276">
        <v>22.3119338844831</v>
      </c>
      <c r="AI2276">
        <v>92.753868921744996</v>
      </c>
      <c r="AJ2276">
        <v>105.77726811267</v>
      </c>
      <c r="AK2276">
        <v>23.2122295740051</v>
      </c>
      <c r="AL2276">
        <v>90.218974638348101</v>
      </c>
      <c r="AM2276">
        <v>87.237534353073201</v>
      </c>
      <c r="AN2276">
        <v>0.99999997024846798</v>
      </c>
    </row>
    <row r="2277" spans="1:40" x14ac:dyDescent="0.25">
      <c r="A2277" t="str">
        <f>"20190312161312526"</f>
        <v>20190312161312526</v>
      </c>
      <c r="B2277" t="str">
        <f>"1552378392517554"</f>
        <v>1552378392517554</v>
      </c>
      <c r="C2277" t="s">
        <v>40</v>
      </c>
      <c r="D2277">
        <v>5.0809240000000004</v>
      </c>
      <c r="E2277">
        <v>0.38478040000000002</v>
      </c>
      <c r="F2277" t="s">
        <v>63</v>
      </c>
      <c r="G2277">
        <v>-492.62439999999998</v>
      </c>
      <c r="H2277" s="1">
        <v>2.3957179999999999E-6</v>
      </c>
      <c r="I2277">
        <v>277.06259999999997</v>
      </c>
      <c r="J2277">
        <v>-476.92</v>
      </c>
      <c r="K2277">
        <v>1.1153919999999999</v>
      </c>
      <c r="L2277">
        <v>285.2056</v>
      </c>
      <c r="M2277">
        <v>-0.97379990000000005</v>
      </c>
      <c r="N2277">
        <v>0</v>
      </c>
      <c r="O2277">
        <v>-0.22695219999999999</v>
      </c>
      <c r="P2277">
        <v>-0.98337779999999997</v>
      </c>
      <c r="Q2277">
        <v>-1.8165190000000001E-2</v>
      </c>
      <c r="R2277">
        <v>-0.1806596</v>
      </c>
      <c r="S2277">
        <v>-2.7907709999999999</v>
      </c>
      <c r="T2277">
        <v>-0.19513130000000001</v>
      </c>
      <c r="U2277">
        <v>-1.4358519999999999</v>
      </c>
      <c r="V2277">
        <v>4.730264E-2</v>
      </c>
      <c r="W2277">
        <v>-3.2230470000000002E-3</v>
      </c>
      <c r="X2277">
        <v>0.99887539999999997</v>
      </c>
      <c r="Y2277">
        <v>-0.24369199999999999</v>
      </c>
      <c r="Z2277">
        <v>6.6145010000000001E-3</v>
      </c>
      <c r="AA2277">
        <v>0.96983019999999998</v>
      </c>
      <c r="AB2277">
        <v>26</v>
      </c>
      <c r="AC2277">
        <v>-15.7043999999999</v>
      </c>
      <c r="AD2277">
        <v>-1.115389604282</v>
      </c>
      <c r="AE2277">
        <v>-8.1430000000000202</v>
      </c>
      <c r="AF2277">
        <v>-4.3486668378615496</v>
      </c>
      <c r="AG2277">
        <v>-1.115389604282</v>
      </c>
      <c r="AH2277">
        <v>17.074902540004501</v>
      </c>
      <c r="AI2277">
        <v>93.622138567974801</v>
      </c>
      <c r="AJ2277">
        <v>104.28843191031</v>
      </c>
      <c r="AK2277">
        <v>17.655234181021498</v>
      </c>
      <c r="AL2277">
        <v>90.184667310686606</v>
      </c>
      <c r="AM2277">
        <v>87.288732533818205</v>
      </c>
      <c r="AN2277">
        <v>0.99999999625404601</v>
      </c>
    </row>
    <row r="2278" spans="1:40" x14ac:dyDescent="0.25">
      <c r="A2278" t="str">
        <f>"20190312161312549"</f>
        <v>20190312161312549</v>
      </c>
      <c r="B2278" t="str">
        <f>"1552378392538050"</f>
        <v>1552378392538050</v>
      </c>
      <c r="C2278" t="s">
        <v>40</v>
      </c>
      <c r="D2278">
        <v>5.0454129999999999</v>
      </c>
      <c r="E2278">
        <v>0.385459</v>
      </c>
      <c r="F2278" t="s">
        <v>63</v>
      </c>
      <c r="G2278">
        <v>-492.2998</v>
      </c>
      <c r="H2278" s="1">
        <v>2.4627589999999999E-6</v>
      </c>
      <c r="I2278">
        <v>277.17079999999999</v>
      </c>
      <c r="J2278">
        <v>-477.17129999999997</v>
      </c>
      <c r="K2278">
        <v>1.1155489999999999</v>
      </c>
      <c r="L2278">
        <v>285.13850000000002</v>
      </c>
      <c r="M2278">
        <v>-0.97204979999999996</v>
      </c>
      <c r="N2278">
        <v>0</v>
      </c>
      <c r="O2278">
        <v>-0.23433380000000001</v>
      </c>
      <c r="P2278">
        <v>-0.98182559999999997</v>
      </c>
      <c r="Q2278">
        <v>-1.8794709999999999E-2</v>
      </c>
      <c r="R2278">
        <v>-0.18885250000000001</v>
      </c>
      <c r="S2278">
        <v>-2.780151</v>
      </c>
      <c r="T2278">
        <v>-0.20162459999999999</v>
      </c>
      <c r="U2278">
        <v>-1.452423</v>
      </c>
      <c r="V2278">
        <v>4.6559250000000003E-2</v>
      </c>
      <c r="W2278">
        <v>-3.8237060000000001E-3</v>
      </c>
      <c r="X2278">
        <v>0.99890820000000002</v>
      </c>
      <c r="Y2278">
        <v>-0.24240610000000001</v>
      </c>
      <c r="Z2278">
        <v>7.3679629999999999E-3</v>
      </c>
      <c r="AA2278">
        <v>0.97014690000000003</v>
      </c>
      <c r="AB2278">
        <v>26</v>
      </c>
      <c r="AC2278">
        <v>-15.128500000000001</v>
      </c>
      <c r="AD2278">
        <v>-1.1155465372409901</v>
      </c>
      <c r="AE2278">
        <v>-7.96770000000003</v>
      </c>
      <c r="AF2278">
        <v>-4.1825134286397203</v>
      </c>
      <c r="AG2278">
        <v>-1.1155465372409901</v>
      </c>
      <c r="AH2278">
        <v>16.504219170473501</v>
      </c>
      <c r="AI2278">
        <v>93.748684478154402</v>
      </c>
      <c r="AJ2278">
        <v>104.220565889903</v>
      </c>
      <c r="AK2278">
        <v>17.062447452945602</v>
      </c>
      <c r="AL2278">
        <v>90.219082752331801</v>
      </c>
      <c r="AM2278">
        <v>87.331367176779594</v>
      </c>
      <c r="AN2278">
        <v>0.99999998825768799</v>
      </c>
    </row>
    <row r="2279" spans="1:40" x14ac:dyDescent="0.25">
      <c r="A2279" t="str">
        <f>"20190312161312571"</f>
        <v>20190312161312571</v>
      </c>
      <c r="B2279" t="str">
        <f>"1552378392568306"</f>
        <v>1552378392568306</v>
      </c>
      <c r="C2279" t="s">
        <v>40</v>
      </c>
      <c r="D2279">
        <v>5.0985709999999997</v>
      </c>
      <c r="E2279">
        <v>0.386575</v>
      </c>
      <c r="F2279" t="s">
        <v>63</v>
      </c>
      <c r="G2279">
        <v>-492.14960000000002</v>
      </c>
      <c r="H2279" s="1">
        <v>2.480561E-6</v>
      </c>
      <c r="I2279">
        <v>277.18340000000001</v>
      </c>
      <c r="J2279">
        <v>-477.42020000000002</v>
      </c>
      <c r="K2279">
        <v>1.1157060000000001</v>
      </c>
      <c r="L2279">
        <v>285.06959999999998</v>
      </c>
      <c r="M2279">
        <v>-0.9701959</v>
      </c>
      <c r="N2279">
        <v>0</v>
      </c>
      <c r="O2279">
        <v>-0.24189330000000001</v>
      </c>
      <c r="P2279">
        <v>-0.9802054</v>
      </c>
      <c r="Q2279">
        <v>-1.8722860000000001E-2</v>
      </c>
      <c r="R2279">
        <v>-0.19709689999999999</v>
      </c>
      <c r="S2279">
        <v>-2.7687379999999999</v>
      </c>
      <c r="T2279">
        <v>-0.2062088</v>
      </c>
      <c r="U2279">
        <v>-1.4704900000000001</v>
      </c>
      <c r="V2279">
        <v>4.5941080000000002E-2</v>
      </c>
      <c r="W2279">
        <v>-3.7205680000000001E-3</v>
      </c>
      <c r="X2279">
        <v>0.99893719999999997</v>
      </c>
      <c r="Y2279">
        <v>-0.2414608</v>
      </c>
      <c r="Z2279">
        <v>8.0823349999999995E-3</v>
      </c>
      <c r="AA2279">
        <v>0.97037689999999999</v>
      </c>
      <c r="AB2279">
        <v>26</v>
      </c>
      <c r="AC2279">
        <v>-14.729399999999901</v>
      </c>
      <c r="AD2279">
        <v>-1.1157035194389999</v>
      </c>
      <c r="AE2279">
        <v>-7.8861999999999703</v>
      </c>
      <c r="AF2279">
        <v>-4.0704886282263502</v>
      </c>
      <c r="AG2279">
        <v>-1.1157035194389999</v>
      </c>
      <c r="AH2279">
        <v>16.127785421800901</v>
      </c>
      <c r="AI2279">
        <v>93.837398877694</v>
      </c>
      <c r="AJ2279">
        <v>104.165042146697</v>
      </c>
      <c r="AK2279">
        <v>16.670906832786901</v>
      </c>
      <c r="AL2279">
        <v>90.213173340402705</v>
      </c>
      <c r="AM2279">
        <v>87.366824908755504</v>
      </c>
      <c r="AN2279">
        <v>0.99999997750082403</v>
      </c>
    </row>
    <row r="2280" spans="1:40" x14ac:dyDescent="0.25">
      <c r="A2280" t="str">
        <f>"20190312161312594"</f>
        <v>20190312161312594</v>
      </c>
      <c r="B2280" t="str">
        <f>"1552378392587826"</f>
        <v>1552378392587826</v>
      </c>
      <c r="C2280" t="s">
        <v>40</v>
      </c>
      <c r="D2280">
        <v>5.0878839999999999</v>
      </c>
      <c r="E2280">
        <v>0.38718819999999998</v>
      </c>
      <c r="F2280" t="s">
        <v>63</v>
      </c>
      <c r="G2280">
        <v>-491.8571</v>
      </c>
      <c r="H2280" s="1">
        <v>2.5453250000000001E-6</v>
      </c>
      <c r="I2280">
        <v>277.29329999999999</v>
      </c>
      <c r="J2280">
        <v>-477.6755</v>
      </c>
      <c r="K2280">
        <v>1.11585</v>
      </c>
      <c r="L2280">
        <v>284.9966</v>
      </c>
      <c r="M2280">
        <v>-0.96817600000000004</v>
      </c>
      <c r="N2280">
        <v>0</v>
      </c>
      <c r="O2280">
        <v>-0.24985499999999999</v>
      </c>
      <c r="P2280">
        <v>-0.97838820000000004</v>
      </c>
      <c r="Q2280">
        <v>-1.8078210000000001E-2</v>
      </c>
      <c r="R2280">
        <v>-0.20598639999999999</v>
      </c>
      <c r="S2280">
        <v>-2.7577820000000002</v>
      </c>
      <c r="T2280">
        <v>-0.2131258</v>
      </c>
      <c r="U2280">
        <v>-1.485474</v>
      </c>
      <c r="V2280">
        <v>4.5074790000000003E-2</v>
      </c>
      <c r="W2280">
        <v>-3.0488239999999999E-3</v>
      </c>
      <c r="X2280">
        <v>0.99897899999999995</v>
      </c>
      <c r="Y2280">
        <v>-0.23920179999999999</v>
      </c>
      <c r="Z2280">
        <v>8.9952820000000003E-3</v>
      </c>
      <c r="AA2280">
        <v>0.97092820000000002</v>
      </c>
      <c r="AB2280">
        <v>26</v>
      </c>
      <c r="AC2280">
        <v>-14.1816</v>
      </c>
      <c r="AD2280">
        <v>-1.1158474546749999</v>
      </c>
      <c r="AE2280">
        <v>-7.7033000000000103</v>
      </c>
      <c r="AF2280">
        <v>-3.8965856270374402</v>
      </c>
      <c r="AG2280">
        <v>-1.1158474546749999</v>
      </c>
      <c r="AH2280">
        <v>15.5821289431676</v>
      </c>
      <c r="AI2280">
        <v>93.974038474715201</v>
      </c>
      <c r="AJ2280">
        <v>104.03988890575501</v>
      </c>
      <c r="AK2280">
        <v>16.100659535945798</v>
      </c>
      <c r="AL2280">
        <v>90.174685011800904</v>
      </c>
      <c r="AM2280">
        <v>87.416517525370196</v>
      </c>
      <c r="AN2280">
        <v>1.0000000372311599</v>
      </c>
    </row>
    <row r="2281" spans="1:40" x14ac:dyDescent="0.25">
      <c r="A2281" t="str">
        <f>"20190312161312616"</f>
        <v>20190312161312616</v>
      </c>
      <c r="B2281" t="str">
        <f>"1552378392608292"</f>
        <v>1552378392608292</v>
      </c>
      <c r="C2281" t="s">
        <v>40</v>
      </c>
      <c r="D2281">
        <v>5.0591220000000003</v>
      </c>
      <c r="E2281">
        <v>0.3877563</v>
      </c>
      <c r="F2281" t="s">
        <v>63</v>
      </c>
      <c r="G2281">
        <v>-491.82569999999998</v>
      </c>
      <c r="H2281" s="1">
        <v>2.5277610000000002E-6</v>
      </c>
      <c r="I2281">
        <v>277.23570000000001</v>
      </c>
      <c r="J2281">
        <v>-477.91739999999999</v>
      </c>
      <c r="K2281">
        <v>1.1159760000000001</v>
      </c>
      <c r="L2281">
        <v>284.92520000000002</v>
      </c>
      <c r="M2281">
        <v>-0.96614500000000003</v>
      </c>
      <c r="N2281">
        <v>0</v>
      </c>
      <c r="O2281">
        <v>-0.25759460000000001</v>
      </c>
      <c r="P2281">
        <v>-0.97644589999999998</v>
      </c>
      <c r="Q2281">
        <v>-1.768351E-2</v>
      </c>
      <c r="R2281">
        <v>-0.21503720000000001</v>
      </c>
      <c r="S2281">
        <v>-2.7452999999999999</v>
      </c>
      <c r="T2281">
        <v>-0.2164866</v>
      </c>
      <c r="U2281">
        <v>-1.5057069999999999</v>
      </c>
      <c r="V2281">
        <v>4.3815880000000001E-2</v>
      </c>
      <c r="W2281">
        <v>-2.6373500000000001E-3</v>
      </c>
      <c r="X2281">
        <v>0.99903609999999998</v>
      </c>
      <c r="Y2281">
        <v>-0.23880940000000001</v>
      </c>
      <c r="Z2281">
        <v>9.7057299999999992E-3</v>
      </c>
      <c r="AA2281">
        <v>0.97101800000000005</v>
      </c>
      <c r="AB2281">
        <v>26</v>
      </c>
      <c r="AC2281">
        <v>-13.908299999999899</v>
      </c>
      <c r="AD2281">
        <v>-1.115973472239</v>
      </c>
      <c r="AE2281">
        <v>-7.6894999999999998</v>
      </c>
      <c r="AF2281">
        <v>-3.82799524331383</v>
      </c>
      <c r="AG2281">
        <v>-1.115973472239</v>
      </c>
      <c r="AH2281">
        <v>15.3441578597486</v>
      </c>
      <c r="AI2281">
        <v>94.036483389883401</v>
      </c>
      <c r="AJ2281">
        <v>104.00796940612901</v>
      </c>
      <c r="AK2281">
        <v>15.8537732038294</v>
      </c>
      <c r="AL2281">
        <v>90.151109205617601</v>
      </c>
      <c r="AM2281">
        <v>87.488722182530694</v>
      </c>
      <c r="AN2281">
        <v>0.99999995802920205</v>
      </c>
    </row>
    <row r="2282" spans="1:40" x14ac:dyDescent="0.25">
      <c r="A2282" t="str">
        <f>"20190312161312639"</f>
        <v>20190312161312639</v>
      </c>
      <c r="B2282" t="str">
        <f>"1552378392627811"</f>
        <v>1552378392627811</v>
      </c>
      <c r="C2282" t="s">
        <v>40</v>
      </c>
      <c r="D2282">
        <v>5.0173899999999998</v>
      </c>
      <c r="E2282">
        <v>0.392874</v>
      </c>
      <c r="F2282" t="s">
        <v>63</v>
      </c>
      <c r="G2282">
        <v>-491.95359999999999</v>
      </c>
      <c r="H2282" s="1">
        <v>2.4616970000000002E-6</v>
      </c>
      <c r="I2282">
        <v>277.08089999999999</v>
      </c>
      <c r="J2282">
        <v>-478.16489999999999</v>
      </c>
      <c r="K2282">
        <v>1.1160939999999999</v>
      </c>
      <c r="L2282">
        <v>284.84969999999998</v>
      </c>
      <c r="M2282">
        <v>-0.96394179999999996</v>
      </c>
      <c r="N2282">
        <v>0</v>
      </c>
      <c r="O2282">
        <v>-0.2657197</v>
      </c>
      <c r="P2282">
        <v>-0.97435090000000002</v>
      </c>
      <c r="Q2282">
        <v>-1.7426130000000001E-2</v>
      </c>
      <c r="R2282">
        <v>-0.22435910000000001</v>
      </c>
      <c r="S2282">
        <v>-2.732208</v>
      </c>
      <c r="T2282">
        <v>-0.21722849999999999</v>
      </c>
      <c r="U2282">
        <v>-1.5269170000000001</v>
      </c>
      <c r="V2282">
        <v>4.2677680000000003E-2</v>
      </c>
      <c r="W2282">
        <v>-2.3620350000000002E-3</v>
      </c>
      <c r="X2282">
        <v>0.99908609999999998</v>
      </c>
      <c r="Y2282">
        <v>-0.23837549999999999</v>
      </c>
      <c r="Z2282">
        <v>1.033941E-2</v>
      </c>
      <c r="AA2282">
        <v>0.97111800000000004</v>
      </c>
      <c r="AB2282">
        <v>26</v>
      </c>
      <c r="AC2282">
        <v>-13.7887</v>
      </c>
      <c r="AD2282">
        <v>-1.1160915383029999</v>
      </c>
      <c r="AE2282">
        <v>-7.7687999999999899</v>
      </c>
      <c r="AF2282">
        <v>-3.8062135846714602</v>
      </c>
      <c r="AG2282">
        <v>-1.1160915383029999</v>
      </c>
      <c r="AH2282">
        <v>15.281439079393399</v>
      </c>
      <c r="AI2282">
        <v>94.053803027947694</v>
      </c>
      <c r="AJ2282">
        <v>103.986313271575</v>
      </c>
      <c r="AK2282">
        <v>15.787821335169101</v>
      </c>
      <c r="AL2282">
        <v>90.135334762487503</v>
      </c>
      <c r="AM2282">
        <v>87.553999328213195</v>
      </c>
      <c r="AN2282">
        <v>0.99999999939636597</v>
      </c>
    </row>
    <row r="2283" spans="1:40" x14ac:dyDescent="0.25">
      <c r="A2283" t="str">
        <f>"20190312161312661"</f>
        <v>20190312161312661</v>
      </c>
      <c r="B2283" t="str">
        <f>"1552378392658068"</f>
        <v>1552378392658068</v>
      </c>
      <c r="C2283" t="s">
        <v>40</v>
      </c>
      <c r="D2283">
        <v>5.082757</v>
      </c>
      <c r="E2283">
        <v>0.3938239</v>
      </c>
      <c r="F2283" t="s">
        <v>63</v>
      </c>
      <c r="G2283">
        <v>-490.16140000000001</v>
      </c>
      <c r="H2283" s="1">
        <v>3.0098139999999999E-6</v>
      </c>
      <c r="I2283">
        <v>278.18180000000001</v>
      </c>
      <c r="J2283">
        <v>-478.4101</v>
      </c>
      <c r="K2283">
        <v>1.116214</v>
      </c>
      <c r="L2283">
        <v>284.77229999999997</v>
      </c>
      <c r="M2283">
        <v>-0.96162879999999995</v>
      </c>
      <c r="N2283">
        <v>0</v>
      </c>
      <c r="O2283">
        <v>-0.27397100000000002</v>
      </c>
      <c r="P2283">
        <v>-0.972333</v>
      </c>
      <c r="Q2283">
        <v>-1.76902E-2</v>
      </c>
      <c r="R2283">
        <v>-0.23292940000000001</v>
      </c>
      <c r="S2283">
        <v>-2.7255859999999998</v>
      </c>
      <c r="T2283">
        <v>-0.253573299999999</v>
      </c>
      <c r="U2283">
        <v>-1.514923</v>
      </c>
      <c r="V2283">
        <v>4.2446360000000002E-2</v>
      </c>
      <c r="W2283">
        <v>-2.5949110000000001E-3</v>
      </c>
      <c r="X2283">
        <v>0.99909539999999997</v>
      </c>
      <c r="Y2283">
        <v>-0.22786110000000001</v>
      </c>
      <c r="Z2283">
        <v>1.322893E-2</v>
      </c>
      <c r="AA2283">
        <v>0.97360380000000002</v>
      </c>
      <c r="AB2283">
        <v>26</v>
      </c>
      <c r="AC2283">
        <v>-11.751300000000001</v>
      </c>
      <c r="AD2283">
        <v>-1.116210990186</v>
      </c>
      <c r="AE2283">
        <v>-6.5904999999999596</v>
      </c>
      <c r="AF2283">
        <v>-3.0971689437547001</v>
      </c>
      <c r="AG2283">
        <v>-1.116210990186</v>
      </c>
      <c r="AH2283">
        <v>13.0180203656265</v>
      </c>
      <c r="AI2283">
        <v>94.7683023340999</v>
      </c>
      <c r="AJ2283">
        <v>103.382668793116</v>
      </c>
      <c r="AK2283">
        <v>13.4278530182839</v>
      </c>
      <c r="AL2283">
        <v>90.148677611996703</v>
      </c>
      <c r="AM2283">
        <v>87.567263697730695</v>
      </c>
      <c r="AN2283">
        <v>1.0000000226707499</v>
      </c>
    </row>
    <row r="2284" spans="1:40" x14ac:dyDescent="0.25">
      <c r="A2284" t="str">
        <f>"20190312161312683"</f>
        <v>20190312161312683</v>
      </c>
      <c r="B2284" t="str">
        <f>"1552378392677591"</f>
        <v>1552378392677591</v>
      </c>
      <c r="C2284" t="s">
        <v>40</v>
      </c>
      <c r="D2284">
        <v>5.0765909999999996</v>
      </c>
      <c r="E2284">
        <v>0.3943972</v>
      </c>
      <c r="F2284" t="s">
        <v>63</v>
      </c>
      <c r="G2284">
        <v>-490.30399999999997</v>
      </c>
      <c r="H2284" s="1">
        <v>2.9535319999999998E-6</v>
      </c>
      <c r="I2284">
        <v>278.05829999999997</v>
      </c>
      <c r="J2284">
        <v>-478.65280000000001</v>
      </c>
      <c r="K2284">
        <v>1.116333</v>
      </c>
      <c r="L2284">
        <v>284.6934</v>
      </c>
      <c r="M2284">
        <v>-0.95920709999999998</v>
      </c>
      <c r="N2284">
        <v>0</v>
      </c>
      <c r="O2284">
        <v>-0.28233190000000002</v>
      </c>
      <c r="P2284">
        <v>-0.97012880000000001</v>
      </c>
      <c r="Q2284">
        <v>-1.796418E-2</v>
      </c>
      <c r="R2284">
        <v>-0.24192530000000001</v>
      </c>
      <c r="S2284">
        <v>-2.7137449999999999</v>
      </c>
      <c r="T2284">
        <v>-0.2546794</v>
      </c>
      <c r="U2284">
        <v>-1.5318909999999999</v>
      </c>
      <c r="V2284">
        <v>4.1893270000000003E-2</v>
      </c>
      <c r="W2284">
        <v>-2.840932E-3</v>
      </c>
      <c r="X2284">
        <v>0.99911799999999995</v>
      </c>
      <c r="Y2284">
        <v>-0.2258482</v>
      </c>
      <c r="Z2284">
        <v>1.408186E-2</v>
      </c>
      <c r="AA2284">
        <v>0.9740607</v>
      </c>
      <c r="AB2284">
        <v>26</v>
      </c>
      <c r="AC2284">
        <v>-11.651199999999999</v>
      </c>
      <c r="AD2284">
        <v>-1.1163300464679999</v>
      </c>
      <c r="AE2284">
        <v>-6.63510000000002</v>
      </c>
      <c r="AF2284">
        <v>-3.0540824174744299</v>
      </c>
      <c r="AG2284">
        <v>-1.1163300464679999</v>
      </c>
      <c r="AH2284">
        <v>12.9607440638404</v>
      </c>
      <c r="AI2284">
        <v>94.792215365193002</v>
      </c>
      <c r="AJ2284">
        <v>103.259349586017</v>
      </c>
      <c r="AK2284">
        <v>13.362428629322901</v>
      </c>
      <c r="AL2284">
        <v>90.162773640993507</v>
      </c>
      <c r="AM2284">
        <v>87.598979954375594</v>
      </c>
      <c r="AN2284">
        <v>0.99999994744495901</v>
      </c>
    </row>
    <row r="2285" spans="1:40" x14ac:dyDescent="0.25">
      <c r="A2285" t="str">
        <f>"20190312161312705"</f>
        <v>20190312161312705</v>
      </c>
      <c r="B2285" t="str">
        <f>"1552378392698084"</f>
        <v>1552378392698084</v>
      </c>
      <c r="C2285" t="s">
        <v>40</v>
      </c>
      <c r="D2285">
        <v>5.0882160000000001</v>
      </c>
      <c r="E2285">
        <v>0.39500049999999998</v>
      </c>
      <c r="F2285" t="s">
        <v>63</v>
      </c>
      <c r="G2285">
        <v>-490.459</v>
      </c>
      <c r="H2285" s="1">
        <v>2.886285E-6</v>
      </c>
      <c r="I2285">
        <v>277.90699999999998</v>
      </c>
      <c r="J2285">
        <v>-478.89729999999997</v>
      </c>
      <c r="K2285">
        <v>1.1164609999999999</v>
      </c>
      <c r="L2285">
        <v>284.6112</v>
      </c>
      <c r="M2285">
        <v>-0.95662720000000001</v>
      </c>
      <c r="N2285">
        <v>0</v>
      </c>
      <c r="O2285">
        <v>-0.29095209999999999</v>
      </c>
      <c r="P2285">
        <v>-0.96775100000000003</v>
      </c>
      <c r="Q2285">
        <v>-1.784726E-2</v>
      </c>
      <c r="R2285">
        <v>-0.25127680000000002</v>
      </c>
      <c r="S2285">
        <v>-2.7004999999999999</v>
      </c>
      <c r="T2285">
        <v>-0.2553434</v>
      </c>
      <c r="U2285">
        <v>-1.5522769999999999</v>
      </c>
      <c r="V2285">
        <v>4.124121E-2</v>
      </c>
      <c r="W2285">
        <v>-2.69623E-3</v>
      </c>
      <c r="X2285">
        <v>0.99914559999999997</v>
      </c>
      <c r="Y2285">
        <v>-0.22470019999999999</v>
      </c>
      <c r="Z2285">
        <v>1.4901029999999999E-2</v>
      </c>
      <c r="AA2285">
        <v>0.97431400000000001</v>
      </c>
      <c r="AB2285">
        <v>26</v>
      </c>
      <c r="AC2285">
        <v>-11.5617</v>
      </c>
      <c r="AD2285">
        <v>-1.116458113715</v>
      </c>
      <c r="AE2285">
        <v>-6.7042000000000099</v>
      </c>
      <c r="AF2285">
        <v>-3.0287058130088802</v>
      </c>
      <c r="AG2285">
        <v>-1.116458113715</v>
      </c>
      <c r="AH2285">
        <v>12.9220371001157</v>
      </c>
      <c r="AI2285">
        <v>94.8083923983924</v>
      </c>
      <c r="AJ2285">
        <v>103.191045173692</v>
      </c>
      <c r="AK2285">
        <v>13.319105842292799</v>
      </c>
      <c r="AL2285">
        <v>90.154482783907298</v>
      </c>
      <c r="AM2285">
        <v>87.636373827829701</v>
      </c>
      <c r="AN2285">
        <v>1.00000001852891</v>
      </c>
    </row>
    <row r="2286" spans="1:40" x14ac:dyDescent="0.25">
      <c r="A2286" t="str">
        <f>"20190312161312727"</f>
        <v>20190312161312727</v>
      </c>
      <c r="B2286" t="str">
        <f>"1552378392717604"</f>
        <v>1552378392717604</v>
      </c>
      <c r="C2286" t="s">
        <v>40</v>
      </c>
      <c r="D2286">
        <v>5.0924319999999996</v>
      </c>
      <c r="E2286">
        <v>0.39531549999999999</v>
      </c>
      <c r="F2286" t="s">
        <v>63</v>
      </c>
      <c r="G2286">
        <v>-490.49220000000003</v>
      </c>
      <c r="H2286" s="1">
        <v>2.8527409999999999E-6</v>
      </c>
      <c r="I2286">
        <v>277.82049999999998</v>
      </c>
      <c r="J2286">
        <v>-479.13080000000002</v>
      </c>
      <c r="K2286">
        <v>1.116581</v>
      </c>
      <c r="L2286">
        <v>284.53019999999998</v>
      </c>
      <c r="M2286">
        <v>-0.95402379999999998</v>
      </c>
      <c r="N2286">
        <v>0</v>
      </c>
      <c r="O2286">
        <v>-0.29937740000000002</v>
      </c>
      <c r="P2286">
        <v>-0.96545190000000003</v>
      </c>
      <c r="Q2286">
        <v>-1.7843370000000001E-2</v>
      </c>
      <c r="R2286">
        <v>-0.25996970000000003</v>
      </c>
      <c r="S2286">
        <v>-2.6866759999999998</v>
      </c>
      <c r="T2286">
        <v>-0.25869520000000001</v>
      </c>
      <c r="U2286">
        <v>-1.5734859999999999</v>
      </c>
      <c r="V2286">
        <v>4.106775E-2</v>
      </c>
      <c r="W2286">
        <v>-2.6588139999999998E-3</v>
      </c>
      <c r="X2286">
        <v>0.99915279999999995</v>
      </c>
      <c r="Y2286">
        <v>-0.2240501</v>
      </c>
      <c r="Z2286">
        <v>1.5852209999999999E-2</v>
      </c>
      <c r="AA2286">
        <v>0.97444869999999995</v>
      </c>
      <c r="AB2286">
        <v>26</v>
      </c>
      <c r="AC2286">
        <v>-11.3614</v>
      </c>
      <c r="AD2286">
        <v>-1.116578147259</v>
      </c>
      <c r="AE2286">
        <v>-6.70969999999999</v>
      </c>
      <c r="AF2286">
        <v>-2.97885310668961</v>
      </c>
      <c r="AG2286">
        <v>-1.116578147259</v>
      </c>
      <c r="AH2286">
        <v>12.757780184105901</v>
      </c>
      <c r="AI2286">
        <v>94.871482695505705</v>
      </c>
      <c r="AJ2286">
        <v>103.14270101657399</v>
      </c>
      <c r="AK2286">
        <v>13.148432142888201</v>
      </c>
      <c r="AL2286">
        <v>90.152339004225894</v>
      </c>
      <c r="AM2286">
        <v>87.646320946932093</v>
      </c>
      <c r="AN2286">
        <v>0.99999997356489401</v>
      </c>
    </row>
    <row r="2287" spans="1:40" x14ac:dyDescent="0.25">
      <c r="A2287" t="str">
        <f>"20190312161312750"</f>
        <v>20190312161312750</v>
      </c>
      <c r="B2287" t="str">
        <f>"1552378392738099"</f>
        <v>1552378392738099</v>
      </c>
      <c r="C2287" t="s">
        <v>40</v>
      </c>
      <c r="D2287">
        <v>5.091297</v>
      </c>
      <c r="E2287">
        <v>0.400619</v>
      </c>
      <c r="F2287" t="s">
        <v>63</v>
      </c>
      <c r="G2287">
        <v>-490.60129999999998</v>
      </c>
      <c r="H2287" s="1">
        <v>2.795009E-6</v>
      </c>
      <c r="I2287">
        <v>277.68450000000001</v>
      </c>
      <c r="J2287">
        <v>-479.37209999999999</v>
      </c>
      <c r="K2287">
        <v>1.1167129999999901</v>
      </c>
      <c r="L2287">
        <v>284.44369999999998</v>
      </c>
      <c r="M2287">
        <v>-0.95117969999999996</v>
      </c>
      <c r="N2287">
        <v>0</v>
      </c>
      <c r="O2287">
        <v>-0.30829329999999999</v>
      </c>
      <c r="P2287">
        <v>-0.96295819999999999</v>
      </c>
      <c r="Q2287">
        <v>-1.799541E-2</v>
      </c>
      <c r="R2287">
        <v>-0.26905010000000001</v>
      </c>
      <c r="S2287">
        <v>-2.672974</v>
      </c>
      <c r="T2287">
        <v>-0.26019550000000002</v>
      </c>
      <c r="U2287">
        <v>-1.595245</v>
      </c>
      <c r="V2287">
        <v>4.1011930000000002E-2</v>
      </c>
      <c r="W2287">
        <v>-2.774215E-3</v>
      </c>
      <c r="X2287">
        <v>0.99915480000000001</v>
      </c>
      <c r="Y2287">
        <v>-0.22300809999999999</v>
      </c>
      <c r="Z2287">
        <v>1.6761109999999999E-2</v>
      </c>
      <c r="AA2287">
        <v>0.97467250000000005</v>
      </c>
      <c r="AB2287">
        <v>26</v>
      </c>
      <c r="AC2287">
        <v>-11.229199999999899</v>
      </c>
      <c r="AD2287">
        <v>-1.1167102049909901</v>
      </c>
      <c r="AE2287">
        <v>-6.7591999999999599</v>
      </c>
      <c r="AF2287">
        <v>-2.9462537162198901</v>
      </c>
      <c r="AG2287">
        <v>-1.1167102049909901</v>
      </c>
      <c r="AH2287">
        <v>12.6741516866201</v>
      </c>
      <c r="AI2287">
        <v>94.905159802280394</v>
      </c>
      <c r="AJ2287">
        <v>103.086646032502</v>
      </c>
      <c r="AK2287">
        <v>13.05992242005</v>
      </c>
      <c r="AL2287">
        <v>90.158951015722096</v>
      </c>
      <c r="AM2287">
        <v>87.649521217534897</v>
      </c>
      <c r="AN2287">
        <v>0.99999999451711497</v>
      </c>
    </row>
    <row r="2288" spans="1:40" x14ac:dyDescent="0.25">
      <c r="A2288" t="str">
        <f>"20190312161312773"</f>
        <v>20190312161312773</v>
      </c>
      <c r="B2288" t="str">
        <f>"1552378392768356"</f>
        <v>1552378392768356</v>
      </c>
      <c r="C2288" t="s">
        <v>40</v>
      </c>
      <c r="D2288">
        <v>5.0764379999999996</v>
      </c>
      <c r="E2288">
        <v>0.4015898</v>
      </c>
      <c r="F2288" t="s">
        <v>63</v>
      </c>
      <c r="G2288">
        <v>-490.18470000000002</v>
      </c>
      <c r="H2288" s="1">
        <v>2.956916E-6</v>
      </c>
      <c r="I2288">
        <v>278.03800000000001</v>
      </c>
      <c r="J2288">
        <v>-479.61590000000001</v>
      </c>
      <c r="K2288">
        <v>1.11683</v>
      </c>
      <c r="L2288">
        <v>284.35340000000002</v>
      </c>
      <c r="M2288">
        <v>-0.94814529999999997</v>
      </c>
      <c r="N2288">
        <v>0</v>
      </c>
      <c r="O2288">
        <v>-0.31750149999999999</v>
      </c>
      <c r="P2288">
        <v>-0.96026789999999995</v>
      </c>
      <c r="Q2288">
        <v>-1.8070880000000001E-2</v>
      </c>
      <c r="R2288">
        <v>-0.27849479999999999</v>
      </c>
      <c r="S2288">
        <v>-2.6685180000000002</v>
      </c>
      <c r="T2288">
        <v>-0.27560030000000002</v>
      </c>
      <c r="U2288">
        <v>-1.580902</v>
      </c>
      <c r="V2288">
        <v>4.0887979999999997E-2</v>
      </c>
      <c r="W2288">
        <v>-2.813805E-3</v>
      </c>
      <c r="X2288">
        <v>0.99915980000000004</v>
      </c>
      <c r="Y2288">
        <v>-0.21049580000000001</v>
      </c>
      <c r="Z2288">
        <v>1.9204820000000001E-2</v>
      </c>
      <c r="AA2288">
        <v>0.97740610000000006</v>
      </c>
      <c r="AB2288">
        <v>26</v>
      </c>
      <c r="AC2288">
        <v>-10.5688</v>
      </c>
      <c r="AD2288">
        <v>-1.1168270430839999</v>
      </c>
      <c r="AE2288">
        <v>-6.3154000000000101</v>
      </c>
      <c r="AF2288">
        <v>-2.6111023643997302</v>
      </c>
      <c r="AG2288">
        <v>-1.1168270430839999</v>
      </c>
      <c r="AH2288">
        <v>11.9290320462009</v>
      </c>
      <c r="AI2288">
        <v>95.225581067105196</v>
      </c>
      <c r="AJ2288">
        <v>102.346542957493</v>
      </c>
      <c r="AK2288">
        <v>12.2624207952927</v>
      </c>
      <c r="AL2288">
        <v>90.161219359557407</v>
      </c>
      <c r="AM2288">
        <v>87.656628831373297</v>
      </c>
      <c r="AN2288">
        <v>1.00000002517154</v>
      </c>
    </row>
    <row r="2289" spans="1:40" x14ac:dyDescent="0.25">
      <c r="A2289" t="str">
        <f>"20190312161312795"</f>
        <v>20190312161312795</v>
      </c>
      <c r="B2289" t="str">
        <f>"1552378392787876"</f>
        <v>1552378392787876</v>
      </c>
      <c r="C2289" t="s">
        <v>40</v>
      </c>
      <c r="D2289">
        <v>5.0975820000000001</v>
      </c>
      <c r="E2289">
        <v>0.4019047</v>
      </c>
      <c r="F2289" t="s">
        <v>63</v>
      </c>
      <c r="G2289">
        <v>-490.21679999999998</v>
      </c>
      <c r="H2289" s="1">
        <v>2.9290689999999998E-6</v>
      </c>
      <c r="I2289">
        <v>277.96730000000002</v>
      </c>
      <c r="J2289">
        <v>-479.8503</v>
      </c>
      <c r="K2289">
        <v>1.1169309999999999</v>
      </c>
      <c r="L2289">
        <v>284.2638</v>
      </c>
      <c r="M2289">
        <v>-0.94508049999999999</v>
      </c>
      <c r="N2289">
        <v>0</v>
      </c>
      <c r="O2289">
        <v>-0.32651000000000002</v>
      </c>
      <c r="P2289">
        <v>-0.95744980000000002</v>
      </c>
      <c r="Q2289">
        <v>-1.872646E-2</v>
      </c>
      <c r="R2289">
        <v>-0.28799219999999998</v>
      </c>
      <c r="S2289">
        <v>-2.6550289999999999</v>
      </c>
      <c r="T2289">
        <v>-0.27971479999999999</v>
      </c>
      <c r="U2289">
        <v>-1.599426</v>
      </c>
      <c r="V2289">
        <v>4.0507170000000002E-2</v>
      </c>
      <c r="W2289">
        <v>-3.4420449999999999E-3</v>
      </c>
      <c r="X2289">
        <v>0.99917330000000004</v>
      </c>
      <c r="Y2289">
        <v>-0.2084376</v>
      </c>
      <c r="Z2289">
        <v>2.043416E-2</v>
      </c>
      <c r="AA2289">
        <v>0.97782219999999997</v>
      </c>
      <c r="AB2289">
        <v>26</v>
      </c>
      <c r="AC2289">
        <v>-10.366499999999901</v>
      </c>
      <c r="AD2289">
        <v>-1.1169280709310001</v>
      </c>
      <c r="AE2289">
        <v>-6.2964999999999796</v>
      </c>
      <c r="AF2289">
        <v>-2.5446291052669499</v>
      </c>
      <c r="AG2289">
        <v>-1.1169280709310001</v>
      </c>
      <c r="AH2289">
        <v>11.7546341271867</v>
      </c>
      <c r="AI2289">
        <v>95.3057877873308</v>
      </c>
      <c r="AJ2289">
        <v>102.21484102940001</v>
      </c>
      <c r="AK2289">
        <v>12.0786625527426</v>
      </c>
      <c r="AL2289">
        <v>90.1972150445728</v>
      </c>
      <c r="AM2289">
        <v>87.678461147730403</v>
      </c>
      <c r="AN2289">
        <v>0.99999998096403997</v>
      </c>
    </row>
    <row r="2290" spans="1:40" x14ac:dyDescent="0.25">
      <c r="A2290" t="str">
        <f>"20190312161312817"</f>
        <v>20190312161312817</v>
      </c>
      <c r="B2290" t="str">
        <f>"1552378392808373"</f>
        <v>1552378392808373</v>
      </c>
      <c r="C2290" t="s">
        <v>40</v>
      </c>
      <c r="D2290">
        <v>5.0615420000000002</v>
      </c>
      <c r="E2290">
        <v>0.40015869999999998</v>
      </c>
      <c r="F2290" t="s">
        <v>63</v>
      </c>
      <c r="G2290">
        <v>-490.35120000000001</v>
      </c>
      <c r="H2290" s="1">
        <v>2.8599610000000001E-6</v>
      </c>
      <c r="I2290">
        <v>277.80549999999999</v>
      </c>
      <c r="J2290">
        <v>-480.08120000000002</v>
      </c>
      <c r="K2290">
        <v>1.117008</v>
      </c>
      <c r="L2290">
        <v>284.17290000000003</v>
      </c>
      <c r="M2290">
        <v>-0.94191270000000005</v>
      </c>
      <c r="N2290">
        <v>0</v>
      </c>
      <c r="O2290">
        <v>-0.33553810000000001</v>
      </c>
      <c r="P2290">
        <v>-0.95473300000000005</v>
      </c>
      <c r="Q2290">
        <v>-1.930428E-2</v>
      </c>
      <c r="R2290">
        <v>-0.29683739999999997</v>
      </c>
      <c r="S2290">
        <v>-2.6395569999999999</v>
      </c>
      <c r="T2290">
        <v>-0.28075499999999998</v>
      </c>
      <c r="U2290">
        <v>-1.623383</v>
      </c>
      <c r="V2290">
        <v>4.083026E-2</v>
      </c>
      <c r="W2290">
        <v>-3.9847179999999999E-3</v>
      </c>
      <c r="X2290">
        <v>0.99915810000000005</v>
      </c>
      <c r="Y2290">
        <v>-0.20811099999999999</v>
      </c>
      <c r="Z2290">
        <v>2.137526E-2</v>
      </c>
      <c r="AA2290">
        <v>0.97787159999999995</v>
      </c>
      <c r="AB2290">
        <v>26</v>
      </c>
      <c r="AC2290">
        <v>-10.2699999999999</v>
      </c>
      <c r="AD2290">
        <v>-1.117005140039</v>
      </c>
      <c r="AE2290">
        <v>-6.3674000000000301</v>
      </c>
      <c r="AF2290">
        <v>-2.5302120748579302</v>
      </c>
      <c r="AG2290">
        <v>-1.117005140039</v>
      </c>
      <c r="AH2290">
        <v>11.7111456565629</v>
      </c>
      <c r="AI2290">
        <v>95.326210053284996</v>
      </c>
      <c r="AJ2290">
        <v>102.191459332124</v>
      </c>
      <c r="AK2290">
        <v>12.0333123542881</v>
      </c>
      <c r="AL2290">
        <v>90.228308139899795</v>
      </c>
      <c r="AM2290">
        <v>87.659929221882294</v>
      </c>
      <c r="AN2290">
        <v>0.99999994845240703</v>
      </c>
    </row>
    <row r="2291" spans="1:40" x14ac:dyDescent="0.25">
      <c r="A2291" t="str">
        <f>"20190312161312840"</f>
        <v>20190312161312840</v>
      </c>
      <c r="B2291" t="str">
        <f>"1552378392837652"</f>
        <v>1552378392837652</v>
      </c>
      <c r="C2291" t="s">
        <v>40</v>
      </c>
      <c r="D2291">
        <v>5.052511</v>
      </c>
      <c r="E2291">
        <v>0.36682579999999998</v>
      </c>
      <c r="F2291" t="s">
        <v>63</v>
      </c>
      <c r="G2291">
        <v>-490.80630000000002</v>
      </c>
      <c r="H2291" s="1">
        <v>2.6678769999999999E-6</v>
      </c>
      <c r="I2291">
        <v>277.37630000000001</v>
      </c>
      <c r="J2291">
        <v>-480.3227</v>
      </c>
      <c r="K2291">
        <v>1.1170929999999999</v>
      </c>
      <c r="L2291">
        <v>284.07499999999999</v>
      </c>
      <c r="M2291">
        <v>-0.93843560000000004</v>
      </c>
      <c r="N2291">
        <v>0</v>
      </c>
      <c r="O2291">
        <v>-0.34514240000000002</v>
      </c>
      <c r="P2291">
        <v>-0.95179369999999996</v>
      </c>
      <c r="Q2291">
        <v>-1.9861549999999999E-2</v>
      </c>
      <c r="R2291">
        <v>-0.30609560000000002</v>
      </c>
      <c r="S2291">
        <v>-2.6204529999999999</v>
      </c>
      <c r="T2291">
        <v>-0.27291789999999999</v>
      </c>
      <c r="U2291">
        <v>-1.660614</v>
      </c>
      <c r="V2291">
        <v>4.1339140000000003E-2</v>
      </c>
      <c r="W2291">
        <v>-4.5035270000000002E-3</v>
      </c>
      <c r="X2291">
        <v>0.999135</v>
      </c>
      <c r="Y2291">
        <v>-0.2112657</v>
      </c>
      <c r="Z2291">
        <v>2.1498360000000001E-2</v>
      </c>
      <c r="AA2291">
        <v>0.97719219999999896</v>
      </c>
      <c r="AB2291">
        <v>26</v>
      </c>
      <c r="AC2291">
        <v>-10.483599999999999</v>
      </c>
      <c r="AD2291">
        <v>-1.1170903321229999</v>
      </c>
      <c r="AE2291">
        <v>-6.6986999999999703</v>
      </c>
      <c r="AF2291">
        <v>-2.64691046932754</v>
      </c>
      <c r="AG2291">
        <v>-1.1170903321229999</v>
      </c>
      <c r="AH2291">
        <v>12.054310261327</v>
      </c>
      <c r="AI2291">
        <v>95.172032501230106</v>
      </c>
      <c r="AJ2291">
        <v>102.38457668018999</v>
      </c>
      <c r="AK2291">
        <v>12.391949875588301</v>
      </c>
      <c r="AL2291">
        <v>90.258033968131798</v>
      </c>
      <c r="AM2291">
        <v>87.630742521310196</v>
      </c>
      <c r="AN2291">
        <v>0.99999997723818901</v>
      </c>
    </row>
    <row r="2292" spans="1:40" x14ac:dyDescent="0.25">
      <c r="A2292" t="str">
        <f>"20190312161312863"</f>
        <v>20190312161312863</v>
      </c>
      <c r="B2292" t="str">
        <f>"1552378392858148"</f>
        <v>1552378392858148</v>
      </c>
      <c r="C2292" t="s">
        <v>40</v>
      </c>
      <c r="D2292">
        <v>5.0256860000000003</v>
      </c>
      <c r="E2292">
        <v>0.36602630000000003</v>
      </c>
      <c r="F2292" t="s">
        <v>73</v>
      </c>
      <c r="G2292">
        <v>-512.82510000000002</v>
      </c>
      <c r="H2292">
        <v>-3.024197E-2</v>
      </c>
      <c r="I2292">
        <v>259.2484</v>
      </c>
      <c r="J2292">
        <v>-480.55450000000002</v>
      </c>
      <c r="K2292">
        <v>1.1171719999999901</v>
      </c>
      <c r="L2292">
        <v>283.97809999999998</v>
      </c>
      <c r="M2292">
        <v>-0.9349345</v>
      </c>
      <c r="N2292">
        <v>0</v>
      </c>
      <c r="O2292">
        <v>-0.354516</v>
      </c>
      <c r="P2292">
        <v>-0.94863399999999998</v>
      </c>
      <c r="Q2292">
        <v>-2.0368359999999999E-2</v>
      </c>
      <c r="R2292">
        <v>-0.31571939999999998</v>
      </c>
      <c r="S2292">
        <v>-2.5288390000000001</v>
      </c>
      <c r="T2292">
        <v>-8.9261530000000006E-2</v>
      </c>
      <c r="U2292">
        <v>-1.93161</v>
      </c>
      <c r="V2292">
        <v>4.1223919999999997E-2</v>
      </c>
      <c r="W2292">
        <v>-4.9819449999999998E-3</v>
      </c>
      <c r="X2292">
        <v>0.99913750000000001</v>
      </c>
      <c r="Y2292">
        <v>-0.2858369</v>
      </c>
      <c r="Z2292">
        <v>6.1157429999999999E-3</v>
      </c>
      <c r="AA2292">
        <v>0.95825870000000002</v>
      </c>
      <c r="AB2292">
        <v>26</v>
      </c>
      <c r="AC2292">
        <v>-32.270600000000002</v>
      </c>
      <c r="AD2292">
        <v>-1.1474139699999999</v>
      </c>
      <c r="AE2292">
        <v>-24.729699999999902</v>
      </c>
      <c r="AF2292">
        <v>-11.672169905195901</v>
      </c>
      <c r="AG2292">
        <v>-1.1474139699999999</v>
      </c>
      <c r="AH2292">
        <v>38.911182982011397</v>
      </c>
      <c r="AI2292">
        <v>91.617868705448601</v>
      </c>
      <c r="AJ2292">
        <v>106.69764342392099</v>
      </c>
      <c r="AK2292">
        <v>40.640328125814698</v>
      </c>
      <c r="AL2292">
        <v>90.285445606587899</v>
      </c>
      <c r="AM2292">
        <v>87.637344501146501</v>
      </c>
      <c r="AN2292">
        <v>0.99999998763119902</v>
      </c>
    </row>
    <row r="2293" spans="1:40" x14ac:dyDescent="0.25">
      <c r="A2293" t="str">
        <f>"20190312161312873"</f>
        <v>20190312161312873</v>
      </c>
      <c r="B2293" t="str">
        <f>"1552378392867908"</f>
        <v>1552378392867908</v>
      </c>
      <c r="C2293" t="s">
        <v>40</v>
      </c>
      <c r="D2293">
        <v>5.0379009999999997</v>
      </c>
      <c r="E2293">
        <v>0.36618580000000001</v>
      </c>
      <c r="F2293" t="s">
        <v>73</v>
      </c>
      <c r="G2293">
        <v>-512.8252</v>
      </c>
      <c r="H2293">
        <v>0.1246133</v>
      </c>
      <c r="I2293">
        <v>258.7133</v>
      </c>
      <c r="J2293">
        <v>-480.6712</v>
      </c>
      <c r="K2293">
        <v>1.1172139999999999</v>
      </c>
      <c r="L2293">
        <v>283.92809999999997</v>
      </c>
      <c r="M2293">
        <v>-0.93310729999999997</v>
      </c>
      <c r="N2293">
        <v>0</v>
      </c>
      <c r="O2293">
        <v>-0.35929749999999999</v>
      </c>
      <c r="P2293">
        <v>-0.94693459999999996</v>
      </c>
      <c r="Q2293">
        <v>-2.0369410000000001E-2</v>
      </c>
      <c r="R2293">
        <v>-0.32078099999999998</v>
      </c>
      <c r="S2293">
        <v>-2.5074160000000001</v>
      </c>
      <c r="T2293">
        <v>-7.7114940000000007E-2</v>
      </c>
      <c r="U2293">
        <v>-1.9630430000000001</v>
      </c>
      <c r="V2293">
        <v>4.100343E-2</v>
      </c>
      <c r="W2293">
        <v>-4.9707500000000003E-3</v>
      </c>
      <c r="X2293">
        <v>0.9991466</v>
      </c>
      <c r="Y2293">
        <v>-0.29234929999999998</v>
      </c>
      <c r="Z2293">
        <v>5.3237369999999899E-3</v>
      </c>
      <c r="AA2293">
        <v>0.95629679999999995</v>
      </c>
      <c r="AB2293">
        <v>26</v>
      </c>
      <c r="AC2293">
        <v>-32.154000000000003</v>
      </c>
      <c r="AD2293">
        <v>-0.9926007</v>
      </c>
      <c r="AE2293">
        <v>-25.214799999999901</v>
      </c>
      <c r="AF2293">
        <v>-11.9694930094096</v>
      </c>
      <c r="AG2293">
        <v>-0.9926007</v>
      </c>
      <c r="AH2293">
        <v>39.043928114905199</v>
      </c>
      <c r="AI2293">
        <v>91.392365074696897</v>
      </c>
      <c r="AJ2293">
        <v>107.043694652654</v>
      </c>
      <c r="AK2293">
        <v>40.849508463307501</v>
      </c>
      <c r="AL2293">
        <v>90.284804180551902</v>
      </c>
      <c r="AM2293">
        <v>87.649988559184095</v>
      </c>
      <c r="AN2293">
        <v>0.99999995895944205</v>
      </c>
    </row>
    <row r="2294" spans="1:40" x14ac:dyDescent="0.25">
      <c r="A2294" t="str">
        <f>"20190312161312885"</f>
        <v>20190312161312885</v>
      </c>
      <c r="B2294" t="str">
        <f>"1552378392877668"</f>
        <v>1552378392877668</v>
      </c>
      <c r="C2294" t="s">
        <v>40</v>
      </c>
      <c r="D2294">
        <v>5.0336169999999996</v>
      </c>
      <c r="E2294">
        <v>0.36652050000000003</v>
      </c>
      <c r="F2294" t="s">
        <v>73</v>
      </c>
      <c r="G2294">
        <v>-512.8252</v>
      </c>
      <c r="H2294">
        <v>0.1365142</v>
      </c>
      <c r="I2294">
        <v>258.50119999999998</v>
      </c>
      <c r="J2294">
        <v>-480.79750000000001</v>
      </c>
      <c r="K2294">
        <v>1.117265</v>
      </c>
      <c r="L2294">
        <v>283.8734</v>
      </c>
      <c r="M2294">
        <v>-0.93108559999999996</v>
      </c>
      <c r="N2294">
        <v>0</v>
      </c>
      <c r="O2294">
        <v>-0.36450320000000003</v>
      </c>
      <c r="P2294">
        <v>-0.94503570000000003</v>
      </c>
      <c r="Q2294">
        <v>-2.0269410000000002E-2</v>
      </c>
      <c r="R2294">
        <v>-0.32633780000000001</v>
      </c>
      <c r="S2294">
        <v>-2.4974669999999999</v>
      </c>
      <c r="T2294">
        <v>-7.6166750000000005E-2</v>
      </c>
      <c r="U2294">
        <v>-1.974945</v>
      </c>
      <c r="V2294">
        <v>4.0713989999999999E-2</v>
      </c>
      <c r="W2294">
        <v>-4.8582149999999999E-3</v>
      </c>
      <c r="X2294">
        <v>0.99915900000000002</v>
      </c>
      <c r="Y2294">
        <v>-0.29166589999999998</v>
      </c>
      <c r="Z2294">
        <v>5.3989420000000003E-3</v>
      </c>
      <c r="AA2294">
        <v>0.95650500000000005</v>
      </c>
      <c r="AB2294">
        <v>26</v>
      </c>
      <c r="AC2294">
        <v>-32.027699999999903</v>
      </c>
      <c r="AD2294">
        <v>-0.98075080000000003</v>
      </c>
      <c r="AE2294">
        <v>-25.372199999999999</v>
      </c>
      <c r="AF2294">
        <v>-11.9439064709567</v>
      </c>
      <c r="AG2294">
        <v>-0.98075080000000003</v>
      </c>
      <c r="AH2294">
        <v>39.050520038938402</v>
      </c>
      <c r="AI2294">
        <v>91.375789144836304</v>
      </c>
      <c r="AJ2294">
        <v>107.006660962414</v>
      </c>
      <c r="AK2294">
        <v>40.848034092599796</v>
      </c>
      <c r="AL2294">
        <v>90.278356319004502</v>
      </c>
      <c r="AM2294">
        <v>87.666587631075501</v>
      </c>
      <c r="AN2294">
        <v>0.99999996925785195</v>
      </c>
    </row>
    <row r="2295" spans="1:40" x14ac:dyDescent="0.25">
      <c r="A2295" t="str">
        <f>"20190312161312897"</f>
        <v>20190312161312897</v>
      </c>
      <c r="B2295" t="str">
        <f>"1552378392888406"</f>
        <v>1552378392888406</v>
      </c>
      <c r="C2295" t="s">
        <v>40</v>
      </c>
      <c r="D2295">
        <v>5.0188620000000004</v>
      </c>
      <c r="E2295">
        <v>0.36682890000000001</v>
      </c>
      <c r="F2295" t="s">
        <v>73</v>
      </c>
      <c r="G2295">
        <v>-512.8252</v>
      </c>
      <c r="H2295">
        <v>0.18587310000000001</v>
      </c>
      <c r="I2295">
        <v>258.28339999999997</v>
      </c>
      <c r="J2295">
        <v>-480.91239999999999</v>
      </c>
      <c r="K2295">
        <v>1.11731</v>
      </c>
      <c r="L2295">
        <v>283.82249999999999</v>
      </c>
      <c r="M2295">
        <v>-0.92919309999999999</v>
      </c>
      <c r="N2295">
        <v>0</v>
      </c>
      <c r="O2295">
        <v>-0.36930049999999998</v>
      </c>
      <c r="P2295">
        <v>-0.94323829999999997</v>
      </c>
      <c r="Q2295">
        <v>-2.0552239999999999E-2</v>
      </c>
      <c r="R2295">
        <v>-0.3314802</v>
      </c>
      <c r="S2295">
        <v>-2.486847</v>
      </c>
      <c r="T2295">
        <v>-7.2313310000000006E-2</v>
      </c>
      <c r="U2295">
        <v>-1.986969</v>
      </c>
      <c r="V2295">
        <v>4.0428350000000002E-2</v>
      </c>
      <c r="W2295">
        <v>-5.1298689999999996E-3</v>
      </c>
      <c r="X2295">
        <v>0.99916930000000004</v>
      </c>
      <c r="Y2295">
        <v>-0.29154560000000002</v>
      </c>
      <c r="Z2295">
        <v>5.2439590000000003E-3</v>
      </c>
      <c r="AA2295">
        <v>0.95654260000000002</v>
      </c>
      <c r="AB2295">
        <v>26</v>
      </c>
      <c r="AC2295">
        <v>-31.912800000000001</v>
      </c>
      <c r="AD2295">
        <v>-0.93143690000000001</v>
      </c>
      <c r="AE2295">
        <v>-25.539100000000001</v>
      </c>
      <c r="AF2295">
        <v>-11.940440086644299</v>
      </c>
      <c r="AG2295">
        <v>-0.93143690000000001</v>
      </c>
      <c r="AH2295">
        <v>39.068715418359098</v>
      </c>
      <c r="AI2295">
        <v>91.306112693903899</v>
      </c>
      <c r="AJ2295">
        <v>106.99454808801001</v>
      </c>
      <c r="AK2295">
        <v>40.863262334303997</v>
      </c>
      <c r="AL2295">
        <v>90.293921123889106</v>
      </c>
      <c r="AM2295">
        <v>87.682964269979607</v>
      </c>
      <c r="AN2295">
        <v>1.0000000285510799</v>
      </c>
    </row>
    <row r="2296" spans="1:40" x14ac:dyDescent="0.25">
      <c r="A2296" t="str">
        <f>"20190312161312908"</f>
        <v>20190312161312908</v>
      </c>
      <c r="B2296" t="str">
        <f>"1552378392898164"</f>
        <v>1552378392898164</v>
      </c>
      <c r="C2296" t="s">
        <v>40</v>
      </c>
      <c r="D2296">
        <v>5.0194489999999998</v>
      </c>
      <c r="E2296">
        <v>0.36704009999999998</v>
      </c>
      <c r="F2296" t="s">
        <v>73</v>
      </c>
      <c r="G2296">
        <v>-512.8252</v>
      </c>
      <c r="H2296">
        <v>0.2130939</v>
      </c>
      <c r="I2296">
        <v>258.08190000000002</v>
      </c>
      <c r="J2296">
        <v>-481.03410000000002</v>
      </c>
      <c r="K2296">
        <v>1.1173580000000001</v>
      </c>
      <c r="L2296">
        <v>283.76830000000001</v>
      </c>
      <c r="M2296">
        <v>-0.9271547</v>
      </c>
      <c r="N2296">
        <v>0</v>
      </c>
      <c r="O2296">
        <v>-0.37438870000000002</v>
      </c>
      <c r="P2296">
        <v>-0.94131520000000002</v>
      </c>
      <c r="Q2296">
        <v>-2.0515780000000001E-2</v>
      </c>
      <c r="R2296">
        <v>-0.33690439999999999</v>
      </c>
      <c r="S2296">
        <v>-2.4768979999999998</v>
      </c>
      <c r="T2296">
        <v>-7.0174219999999995E-2</v>
      </c>
      <c r="U2296">
        <v>-1.997833</v>
      </c>
      <c r="V2296">
        <v>4.0154179999999998E-2</v>
      </c>
      <c r="W2296">
        <v>-5.081393E-3</v>
      </c>
      <c r="X2296">
        <v>0.99918059999999997</v>
      </c>
      <c r="Y2296">
        <v>-0.29072009999999998</v>
      </c>
      <c r="Z2296">
        <v>5.2183250000000002E-3</v>
      </c>
      <c r="AA2296">
        <v>0.95679389999999997</v>
      </c>
      <c r="AB2296">
        <v>26</v>
      </c>
      <c r="AC2296">
        <v>-31.791099999999901</v>
      </c>
      <c r="AD2296">
        <v>-0.90426410000000002</v>
      </c>
      <c r="AE2296">
        <v>-25.6863999999999</v>
      </c>
      <c r="AF2296">
        <v>-11.9085030127364</v>
      </c>
      <c r="AG2296">
        <v>-0.90426410000000002</v>
      </c>
      <c r="AH2296">
        <v>39.0770847561786</v>
      </c>
      <c r="AI2296">
        <v>91.268062986389396</v>
      </c>
      <c r="AJ2296">
        <v>106.948280040201</v>
      </c>
      <c r="AK2296">
        <v>40.861334909770903</v>
      </c>
      <c r="AL2296">
        <v>90.291143618571994</v>
      </c>
      <c r="AM2296">
        <v>87.698686588790693</v>
      </c>
      <c r="AN2296">
        <v>1.0000000250713199</v>
      </c>
    </row>
    <row r="2297" spans="1:40" x14ac:dyDescent="0.25">
      <c r="A2297" t="str">
        <f>"20190312161312921"</f>
        <v>20190312161312921</v>
      </c>
      <c r="B2297" t="str">
        <f>"1552378392917684"</f>
        <v>1552378392917684</v>
      </c>
      <c r="C2297" t="s">
        <v>40</v>
      </c>
      <c r="D2297">
        <v>4.8730580000000003</v>
      </c>
      <c r="E2297">
        <v>0.36756329999999998</v>
      </c>
      <c r="F2297" t="s">
        <v>73</v>
      </c>
      <c r="G2297">
        <v>-512.82529999999997</v>
      </c>
      <c r="H2297">
        <v>0.23657700000000001</v>
      </c>
      <c r="I2297">
        <v>257.85079999999999</v>
      </c>
      <c r="J2297">
        <v>-481.16129999999998</v>
      </c>
      <c r="K2297">
        <v>1.117408</v>
      </c>
      <c r="L2297">
        <v>283.71010000000001</v>
      </c>
      <c r="M2297">
        <v>-0.92495660000000002</v>
      </c>
      <c r="N2297">
        <v>0</v>
      </c>
      <c r="O2297">
        <v>-0.37978580000000001</v>
      </c>
      <c r="P2297">
        <v>-0.93914249999999999</v>
      </c>
      <c r="Q2297">
        <v>-2.0721130000000001E-2</v>
      </c>
      <c r="R2297">
        <v>-0.34290209999999999</v>
      </c>
      <c r="S2297">
        <v>-2.4660030000000002</v>
      </c>
      <c r="T2297">
        <v>-6.8314910000000006E-2</v>
      </c>
      <c r="U2297">
        <v>-2.0103759999999999</v>
      </c>
      <c r="V2297">
        <v>3.9606309999999999E-2</v>
      </c>
      <c r="W2297">
        <v>-5.2785849999999997E-3</v>
      </c>
      <c r="X2297">
        <v>0.99920140000000002</v>
      </c>
      <c r="Y2297">
        <v>-0.29013679999999997</v>
      </c>
      <c r="Z2297">
        <v>5.2100760000000001E-3</v>
      </c>
      <c r="AA2297">
        <v>0.95697100000000002</v>
      </c>
      <c r="AB2297">
        <v>26</v>
      </c>
      <c r="AC2297">
        <v>-31.663999999999898</v>
      </c>
      <c r="AD2297">
        <v>-0.88083099999999903</v>
      </c>
      <c r="AE2297">
        <v>-25.859300000000001</v>
      </c>
      <c r="AF2297">
        <v>-11.8889702636785</v>
      </c>
      <c r="AG2297">
        <v>-0.88083099999999903</v>
      </c>
      <c r="AH2297">
        <v>39.094936141562002</v>
      </c>
      <c r="AI2297">
        <v>91.234868551248695</v>
      </c>
      <c r="AJ2297">
        <v>106.914785077454</v>
      </c>
      <c r="AK2297">
        <v>40.872209496111203</v>
      </c>
      <c r="AL2297">
        <v>90.302442052721403</v>
      </c>
      <c r="AM2297">
        <v>87.730100204459106</v>
      </c>
      <c r="AN2297">
        <v>0.99999998050668903</v>
      </c>
    </row>
    <row r="2298" spans="1:40" x14ac:dyDescent="0.25">
      <c r="A2298" t="str">
        <f>"20190312161313577"</f>
        <v>20190312161313577</v>
      </c>
      <c r="B2298" t="str">
        <f>"1552378393568676"</f>
        <v>1552378393568676</v>
      </c>
      <c r="C2298" t="s">
        <v>40</v>
      </c>
      <c r="D2298">
        <v>4.9037930000000003</v>
      </c>
      <c r="E2298">
        <v>0.36756329999999998</v>
      </c>
      <c r="F2298" t="s">
        <v>73</v>
      </c>
      <c r="G2298">
        <v>-512.82529999999997</v>
      </c>
      <c r="H2298">
        <v>0.21990199999999999</v>
      </c>
      <c r="I2298">
        <v>257.62060000000002</v>
      </c>
      <c r="J2298">
        <v>-487.07490000000001</v>
      </c>
      <c r="K2298">
        <v>1.117931</v>
      </c>
      <c r="L2298">
        <v>279.68959999999998</v>
      </c>
      <c r="M2298">
        <v>-0.75112029999999996</v>
      </c>
      <c r="N2298">
        <v>0</v>
      </c>
      <c r="O2298">
        <v>-0.65999479999999999</v>
      </c>
      <c r="P2298">
        <v>-0.77812669999999995</v>
      </c>
      <c r="Q2298">
        <v>-2.7543850000000002E-2</v>
      </c>
      <c r="R2298">
        <v>-0.62750340000000004</v>
      </c>
      <c r="S2298">
        <v>-2.4544980000000001</v>
      </c>
      <c r="T2298">
        <v>-6.9565890000000005E-2</v>
      </c>
      <c r="U2298">
        <v>-2.0223689999999999</v>
      </c>
      <c r="V2298">
        <v>4.2462180000000002E-2</v>
      </c>
      <c r="W2298">
        <v>-1.17544E-2</v>
      </c>
      <c r="X2298">
        <v>0.9990289</v>
      </c>
      <c r="Y2298">
        <v>3.1607839999999998E-2</v>
      </c>
      <c r="Z2298">
        <v>1.4695430000000001E-2</v>
      </c>
      <c r="AA2298">
        <v>0.99939230000000001</v>
      </c>
      <c r="AB2298">
        <v>24</v>
      </c>
      <c r="AC2298">
        <v>-25.7503999999999</v>
      </c>
      <c r="AD2298">
        <v>-0.89802899999999997</v>
      </c>
      <c r="AE2298">
        <v>-22.0689999999999</v>
      </c>
      <c r="AF2298">
        <v>0.41840995212366699</v>
      </c>
      <c r="AG2298">
        <v>-0.89802899999999997</v>
      </c>
      <c r="AH2298">
        <v>33.887129960443701</v>
      </c>
      <c r="AI2298">
        <v>91.517901130408802</v>
      </c>
      <c r="AJ2298">
        <v>89.292595559186097</v>
      </c>
      <c r="AK2298">
        <v>33.901609105304701</v>
      </c>
      <c r="AL2298">
        <v>90.673493038570697</v>
      </c>
      <c r="AM2298">
        <v>87.566196293285898</v>
      </c>
      <c r="AN2298">
        <v>0.99999997284246001</v>
      </c>
    </row>
    <row r="2299" spans="1:40" x14ac:dyDescent="0.25">
      <c r="A2299" t="str">
        <f>"20190312161313589"</f>
        <v>20190312161313589</v>
      </c>
      <c r="B2299" t="str">
        <f>"1552378393578437"</f>
        <v>1552378393578437</v>
      </c>
      <c r="C2299" t="s">
        <v>40</v>
      </c>
      <c r="D2299">
        <v>4.9781879999999896</v>
      </c>
      <c r="E2299">
        <v>0.34367140000000002</v>
      </c>
      <c r="F2299" t="s">
        <v>41</v>
      </c>
      <c r="G2299">
        <v>-508.63330000000002</v>
      </c>
      <c r="H2299">
        <v>-0.05</v>
      </c>
      <c r="I2299">
        <v>244.75890000000001</v>
      </c>
      <c r="J2299">
        <v>-487.16219999999998</v>
      </c>
      <c r="K2299">
        <v>1.1179269999999999</v>
      </c>
      <c r="L2299">
        <v>279.60489999999999</v>
      </c>
      <c r="M2299">
        <v>-0.74718300000000004</v>
      </c>
      <c r="N2299">
        <v>0</v>
      </c>
      <c r="O2299">
        <v>-0.66444899999999996</v>
      </c>
      <c r="P2299">
        <v>-0.77434890000000001</v>
      </c>
      <c r="Q2299">
        <v>-2.7273160000000001E-2</v>
      </c>
      <c r="R2299">
        <v>-0.63217100000000004</v>
      </c>
      <c r="S2299">
        <v>-1.6700440000000001</v>
      </c>
      <c r="T2299">
        <v>-9.0474719999999995E-2</v>
      </c>
      <c r="U2299">
        <v>-2.7059329999999999</v>
      </c>
      <c r="V2299">
        <v>4.2396009999999998E-2</v>
      </c>
      <c r="W2299">
        <v>-1.148449E-2</v>
      </c>
      <c r="X2299">
        <v>0.99903489999999995</v>
      </c>
      <c r="Y2299">
        <v>-0.28698479999999998</v>
      </c>
      <c r="Z2299">
        <v>1.578647E-2</v>
      </c>
      <c r="AA2299">
        <v>0.95780500000000002</v>
      </c>
      <c r="AB2299">
        <v>24</v>
      </c>
      <c r="AC2299">
        <v>-21.4711</v>
      </c>
      <c r="AD2299">
        <v>-1.1679269999999999</v>
      </c>
      <c r="AE2299">
        <v>-34.845999999999897</v>
      </c>
      <c r="AF2299">
        <v>-11.7616359958662</v>
      </c>
      <c r="AG2299">
        <v>-1.1679269999999999</v>
      </c>
      <c r="AH2299">
        <v>39.168750188566399</v>
      </c>
      <c r="AI2299">
        <v>91.635813279505996</v>
      </c>
      <c r="AJ2299">
        <v>106.714019903839</v>
      </c>
      <c r="AK2299">
        <v>40.913214565845401</v>
      </c>
      <c r="AL2299">
        <v>90.658027256991701</v>
      </c>
      <c r="AM2299">
        <v>87.569998984237998</v>
      </c>
      <c r="AN2299">
        <v>1.00000002329624</v>
      </c>
    </row>
    <row r="2300" spans="1:40" x14ac:dyDescent="0.25">
      <c r="A2300" t="str">
        <f>"20190312161313598"</f>
        <v>20190312161313598</v>
      </c>
      <c r="B2300" t="str">
        <f>"1552378393588196"</f>
        <v>1552378393588196</v>
      </c>
      <c r="C2300" t="s">
        <v>40</v>
      </c>
      <c r="D2300">
        <v>5.2054330000000002</v>
      </c>
      <c r="E2300">
        <v>0.34716079999999999</v>
      </c>
      <c r="F2300" t="s">
        <v>73</v>
      </c>
      <c r="G2300">
        <v>-512.82539999999995</v>
      </c>
      <c r="H2300">
        <v>0.64355289999999998</v>
      </c>
      <c r="I2300">
        <v>231.792</v>
      </c>
      <c r="J2300">
        <v>-487.2448</v>
      </c>
      <c r="K2300">
        <v>1.1179239999999999</v>
      </c>
      <c r="L2300">
        <v>279.52289999999999</v>
      </c>
      <c r="M2300">
        <v>-0.74338749999999998</v>
      </c>
      <c r="N2300">
        <v>0</v>
      </c>
      <c r="O2300">
        <v>-0.66869259999999997</v>
      </c>
      <c r="P2300">
        <v>-0.7707328</v>
      </c>
      <c r="Q2300">
        <v>-2.7195110000000002E-2</v>
      </c>
      <c r="R2300">
        <v>-0.63657810000000004</v>
      </c>
      <c r="S2300">
        <v>-1.5363770000000001</v>
      </c>
      <c r="T2300">
        <v>-2.8395179999999999E-2</v>
      </c>
      <c r="U2300">
        <v>-2.8623959999999999</v>
      </c>
      <c r="V2300">
        <v>4.238567E-2</v>
      </c>
      <c r="W2300">
        <v>-1.140652E-2</v>
      </c>
      <c r="X2300">
        <v>0.99903620000000004</v>
      </c>
      <c r="Y2300">
        <v>-0.33880209999999999</v>
      </c>
      <c r="Z2300">
        <v>4.7109170000000002E-3</v>
      </c>
      <c r="AA2300">
        <v>0.94084590000000001</v>
      </c>
      <c r="AB2300">
        <v>24</v>
      </c>
      <c r="AC2300">
        <v>-25.580599999999901</v>
      </c>
      <c r="AD2300">
        <v>-0.47437109999999899</v>
      </c>
      <c r="AE2300">
        <v>-47.730899999999899</v>
      </c>
      <c r="AF2300">
        <v>-18.3776562150248</v>
      </c>
      <c r="AG2300">
        <v>-0.47437109999999899</v>
      </c>
      <c r="AH2300">
        <v>50.935426366403298</v>
      </c>
      <c r="AI2300">
        <v>90.501921981907003</v>
      </c>
      <c r="AJ2300">
        <v>109.83959740942799</v>
      </c>
      <c r="AK2300">
        <v>54.151462907528703</v>
      </c>
      <c r="AL2300">
        <v>90.653559633429097</v>
      </c>
      <c r="AM2300">
        <v>87.570594086632497</v>
      </c>
      <c r="AN2300">
        <v>0.99999999131514905</v>
      </c>
    </row>
    <row r="2301" spans="1:40" x14ac:dyDescent="0.25">
      <c r="A2301" t="str">
        <f>"20190312161313611"</f>
        <v>20190312161313611</v>
      </c>
      <c r="B2301" t="str">
        <f>"1552378393608693"</f>
        <v>1552378393608693</v>
      </c>
      <c r="C2301" t="s">
        <v>40</v>
      </c>
      <c r="D2301">
        <v>5.0496660000000002</v>
      </c>
      <c r="E2301">
        <v>0.34628890000000001</v>
      </c>
      <c r="F2301" t="s">
        <v>73</v>
      </c>
      <c r="G2301">
        <v>-512.82550000000003</v>
      </c>
      <c r="H2301">
        <v>1.0810200000000001</v>
      </c>
      <c r="I2301">
        <v>232.1704</v>
      </c>
      <c r="J2301">
        <v>-487.32929999999999</v>
      </c>
      <c r="K2301">
        <v>1.1179220000000001</v>
      </c>
      <c r="L2301">
        <v>279.43880000000001</v>
      </c>
      <c r="M2301">
        <v>-0.73946940000000005</v>
      </c>
      <c r="N2301">
        <v>0</v>
      </c>
      <c r="O2301">
        <v>-0.67302280000000003</v>
      </c>
      <c r="P2301">
        <v>-0.76693449999999996</v>
      </c>
      <c r="Q2301">
        <v>-2.7108730000000001E-2</v>
      </c>
      <c r="R2301">
        <v>-0.64115279999999997</v>
      </c>
      <c r="S2301">
        <v>-1.5391239999999999</v>
      </c>
      <c r="T2301">
        <v>-2.2163389999999999E-3</v>
      </c>
      <c r="U2301">
        <v>-2.8490600000000001</v>
      </c>
      <c r="V2301">
        <v>4.227641E-2</v>
      </c>
      <c r="W2301">
        <v>-1.1321960000000001E-2</v>
      </c>
      <c r="X2301">
        <v>0.99904179999999998</v>
      </c>
      <c r="Y2301">
        <v>-0.33075260000000001</v>
      </c>
      <c r="Z2301">
        <v>3.7455719999999999E-4</v>
      </c>
      <c r="AA2301">
        <v>0.94371740000000004</v>
      </c>
      <c r="AB2301">
        <v>24</v>
      </c>
      <c r="AC2301">
        <v>-25.496200000000002</v>
      </c>
      <c r="AD2301">
        <v>-3.6901999999999699E-2</v>
      </c>
      <c r="AE2301">
        <v>-47.2684</v>
      </c>
      <c r="AF2301">
        <v>-17.796008058527899</v>
      </c>
      <c r="AG2301">
        <v>-3.6901999999999699E-2</v>
      </c>
      <c r="AH2301">
        <v>50.672055678327602</v>
      </c>
      <c r="AI2301">
        <v>90.039368430684306</v>
      </c>
      <c r="AJ2301">
        <v>109.35125688588801</v>
      </c>
      <c r="AK2301">
        <v>53.706205332757598</v>
      </c>
      <c r="AL2301">
        <v>90.648714383829002</v>
      </c>
      <c r="AM2301">
        <v>87.576862599326105</v>
      </c>
      <c r="AN2301">
        <v>0.99999999988398403</v>
      </c>
    </row>
    <row r="2302" spans="1:40" x14ac:dyDescent="0.25">
      <c r="A2302" t="str">
        <f>"20190312161313621"</f>
        <v>20190312161313621</v>
      </c>
      <c r="B2302" t="str">
        <f>"1552378393618453"</f>
        <v>1552378393618453</v>
      </c>
      <c r="C2302" t="s">
        <v>40</v>
      </c>
      <c r="D2302">
        <v>5.0505240000000002</v>
      </c>
      <c r="E2302">
        <v>0.34659479999999998</v>
      </c>
      <c r="F2302" t="s">
        <v>73</v>
      </c>
      <c r="G2302">
        <v>-512.82550000000003</v>
      </c>
      <c r="H2302">
        <v>1.0762910000000001</v>
      </c>
      <c r="I2302">
        <v>231.3321</v>
      </c>
      <c r="J2302">
        <v>-487.4153</v>
      </c>
      <c r="K2302">
        <v>1.11792</v>
      </c>
      <c r="L2302">
        <v>279.35180000000003</v>
      </c>
      <c r="M2302">
        <v>-0.73541590000000001</v>
      </c>
      <c r="N2302">
        <v>0</v>
      </c>
      <c r="O2302">
        <v>-0.67744989999999905</v>
      </c>
      <c r="P2302">
        <v>-0.7629937</v>
      </c>
      <c r="Q2302">
        <v>-2.70082E-2</v>
      </c>
      <c r="R2302">
        <v>-0.64584200000000003</v>
      </c>
      <c r="S2302">
        <v>-1.5176700000000001</v>
      </c>
      <c r="T2302">
        <v>-2.4740700000000001E-3</v>
      </c>
      <c r="U2302">
        <v>-2.863556</v>
      </c>
      <c r="V2302">
        <v>4.2150350000000003E-2</v>
      </c>
      <c r="W2302">
        <v>-1.1223469999999999E-2</v>
      </c>
      <c r="X2302">
        <v>0.99904820000000005</v>
      </c>
      <c r="Y2302">
        <v>-0.33258949999999998</v>
      </c>
      <c r="Z2302">
        <v>4.2111399999999999E-4</v>
      </c>
      <c r="AA2302">
        <v>0.94307160000000001</v>
      </c>
      <c r="AB2302">
        <v>24</v>
      </c>
      <c r="AC2302">
        <v>-25.4102</v>
      </c>
      <c r="AD2302">
        <v>-4.1629000000000103E-2</v>
      </c>
      <c r="AE2302">
        <v>-48.0197</v>
      </c>
      <c r="AF2302">
        <v>-18.102340232444998</v>
      </c>
      <c r="AG2302">
        <v>-4.1629000000000103E-2</v>
      </c>
      <c r="AH2302">
        <v>51.223741217277102</v>
      </c>
      <c r="AI2302">
        <v>90.043902802912896</v>
      </c>
      <c r="AJ2302">
        <v>109.46327895891601</v>
      </c>
      <c r="AK2302">
        <v>54.3283362450886</v>
      </c>
      <c r="AL2302">
        <v>90.6430709882207</v>
      </c>
      <c r="AM2302">
        <v>87.584094806295695</v>
      </c>
      <c r="AN2302">
        <v>0.99999996210360098</v>
      </c>
    </row>
    <row r="2303" spans="1:40" x14ac:dyDescent="0.25">
      <c r="A2303" t="str">
        <f>"20190312161313634"</f>
        <v>20190312161313634</v>
      </c>
      <c r="B2303" t="str">
        <f>"1552378393628213"</f>
        <v>1552378393628213</v>
      </c>
      <c r="C2303" t="s">
        <v>40</v>
      </c>
      <c r="D2303">
        <v>5.0717619999999997</v>
      </c>
      <c r="E2303">
        <v>0.34717429999999999</v>
      </c>
      <c r="F2303" t="s">
        <v>73</v>
      </c>
      <c r="G2303">
        <v>-512.82550000000003</v>
      </c>
      <c r="H2303">
        <v>1.113799</v>
      </c>
      <c r="I2303">
        <v>230.78370000000001</v>
      </c>
      <c r="J2303">
        <v>-487.49959999999999</v>
      </c>
      <c r="K2303">
        <v>1.117915</v>
      </c>
      <c r="L2303">
        <v>279.26560000000001</v>
      </c>
      <c r="M2303">
        <v>-0.73139330000000002</v>
      </c>
      <c r="N2303">
        <v>0</v>
      </c>
      <c r="O2303">
        <v>-0.68179100000000004</v>
      </c>
      <c r="P2303">
        <v>-0.75920109999999996</v>
      </c>
      <c r="Q2303">
        <v>-2.6744710000000001E-2</v>
      </c>
      <c r="R2303">
        <v>-0.65030690000000002</v>
      </c>
      <c r="S2303">
        <v>-1.5019229999999999</v>
      </c>
      <c r="T2303">
        <v>-2.3961070000000001E-4</v>
      </c>
      <c r="U2303">
        <v>-2.8706969999999998</v>
      </c>
      <c r="V2303">
        <v>4.2204220000000001E-2</v>
      </c>
      <c r="W2303">
        <v>-1.0958870000000001E-2</v>
      </c>
      <c r="X2303">
        <v>0.99904890000000002</v>
      </c>
      <c r="Y2303">
        <v>-0.33203070000000001</v>
      </c>
      <c r="Z2303" s="1">
        <v>4.1185739999999997E-5</v>
      </c>
      <c r="AA2303">
        <v>0.94326849999999995</v>
      </c>
      <c r="AB2303">
        <v>24</v>
      </c>
      <c r="AC2303">
        <v>-25.325900000000001</v>
      </c>
      <c r="AD2303">
        <v>-4.1159999999999999E-3</v>
      </c>
      <c r="AE2303">
        <v>-48.481900000000003</v>
      </c>
      <c r="AF2303">
        <v>-18.194411872676898</v>
      </c>
      <c r="AG2303">
        <v>-4.1159999999999999E-3</v>
      </c>
      <c r="AH2303">
        <v>51.583516564349097</v>
      </c>
      <c r="AI2303">
        <v>90.004311464011195</v>
      </c>
      <c r="AJ2303">
        <v>109.428640731725</v>
      </c>
      <c r="AK2303">
        <v>54.698225030420701</v>
      </c>
      <c r="AL2303">
        <v>90.627909568735902</v>
      </c>
      <c r="AM2303">
        <v>87.581012531593501</v>
      </c>
      <c r="AN2303">
        <v>0.99999999880434698</v>
      </c>
    </row>
    <row r="2304" spans="1:40" x14ac:dyDescent="0.25">
      <c r="A2304" t="str">
        <f>"20190312161313644"</f>
        <v>20190312161313644</v>
      </c>
      <c r="B2304" t="str">
        <f>"1552378393637973"</f>
        <v>1552378393637973</v>
      </c>
      <c r="C2304" t="s">
        <v>40</v>
      </c>
      <c r="D2304">
        <v>5.0591179999999998</v>
      </c>
      <c r="E2304">
        <v>0.34773530000000002</v>
      </c>
      <c r="F2304" t="s">
        <v>73</v>
      </c>
      <c r="G2304">
        <v>-512.82560000000001</v>
      </c>
      <c r="H2304">
        <v>1.1465510000000001</v>
      </c>
      <c r="I2304">
        <v>230.3073</v>
      </c>
      <c r="J2304">
        <v>-487.5856</v>
      </c>
      <c r="K2304">
        <v>1.1179129999999999</v>
      </c>
      <c r="L2304">
        <v>279.17669999999998</v>
      </c>
      <c r="M2304">
        <v>-0.72723590000000005</v>
      </c>
      <c r="N2304">
        <v>0</v>
      </c>
      <c r="O2304">
        <v>-0.68622359999999905</v>
      </c>
      <c r="P2304">
        <v>-0.75513109999999894</v>
      </c>
      <c r="Q2304">
        <v>-2.6982389999999998E-2</v>
      </c>
      <c r="R2304">
        <v>-0.6550184</v>
      </c>
      <c r="S2304">
        <v>-1.4878849999999999</v>
      </c>
      <c r="T2304">
        <v>1.686215E-3</v>
      </c>
      <c r="U2304">
        <v>-2.8762509999999999</v>
      </c>
      <c r="V2304">
        <v>4.2058150000000002E-2</v>
      </c>
      <c r="W2304">
        <v>-1.1199509999999999E-2</v>
      </c>
      <c r="X2304">
        <v>0.99905239999999995</v>
      </c>
      <c r="Y2304">
        <v>-0.33067049999999998</v>
      </c>
      <c r="Z2304">
        <v>-2.9293500000000003E-4</v>
      </c>
      <c r="AA2304">
        <v>0.94374619999999998</v>
      </c>
      <c r="AB2304">
        <v>24</v>
      </c>
      <c r="AC2304">
        <v>-25.24</v>
      </c>
      <c r="AD2304">
        <v>2.8638000000000101E-2</v>
      </c>
      <c r="AE2304">
        <v>-48.869399999999899</v>
      </c>
      <c r="AF2304">
        <v>-18.221344566903898</v>
      </c>
      <c r="AG2304">
        <v>2.8638000000000101E-2</v>
      </c>
      <c r="AH2304">
        <v>51.8965973669251</v>
      </c>
      <c r="AI2304">
        <v>89.970167963279806</v>
      </c>
      <c r="AJ2304">
        <v>109.34661579989699</v>
      </c>
      <c r="AK2304">
        <v>55.002500272493201</v>
      </c>
      <c r="AL2304">
        <v>90.641698065887695</v>
      </c>
      <c r="AM2304">
        <v>87.589383257191002</v>
      </c>
      <c r="AN2304">
        <v>1.0000000074757101</v>
      </c>
    </row>
    <row r="2305" spans="1:40" x14ac:dyDescent="0.25">
      <c r="A2305" t="str">
        <f>"20190312161313656"</f>
        <v>20190312161313656</v>
      </c>
      <c r="B2305" t="str">
        <f>"1552378393648709"</f>
        <v>1552378393648709</v>
      </c>
      <c r="C2305" t="s">
        <v>40</v>
      </c>
      <c r="D2305">
        <v>5.0723250000000002</v>
      </c>
      <c r="E2305">
        <v>0.34810439999999998</v>
      </c>
      <c r="F2305" t="s">
        <v>73</v>
      </c>
      <c r="G2305">
        <v>-512.82560000000001</v>
      </c>
      <c r="H2305">
        <v>1.1491929999999999</v>
      </c>
      <c r="I2305">
        <v>229.7868</v>
      </c>
      <c r="J2305">
        <v>-487.6651</v>
      </c>
      <c r="K2305">
        <v>1.1179110000000001</v>
      </c>
      <c r="L2305">
        <v>279.09320000000002</v>
      </c>
      <c r="M2305">
        <v>-0.72332909999999995</v>
      </c>
      <c r="N2305">
        <v>0</v>
      </c>
      <c r="O2305">
        <v>-0.69034059999999997</v>
      </c>
      <c r="P2305">
        <v>-0.75138349999999998</v>
      </c>
      <c r="Q2305">
        <v>-2.7107989999999998E-2</v>
      </c>
      <c r="R2305">
        <v>-0.65930900000000003</v>
      </c>
      <c r="S2305">
        <v>-1.4728699999999999</v>
      </c>
      <c r="T2305">
        <v>1.8292670000000001E-3</v>
      </c>
      <c r="U2305">
        <v>-2.8821110000000001</v>
      </c>
      <c r="V2305">
        <v>4.2037610000000003E-2</v>
      </c>
      <c r="W2305">
        <v>-1.1325719999999999E-2</v>
      </c>
      <c r="X2305">
        <v>0.99905180000000005</v>
      </c>
      <c r="Y2305">
        <v>-0.32998699999999997</v>
      </c>
      <c r="Z2305">
        <v>-3.2080390000000002E-4</v>
      </c>
      <c r="AA2305">
        <v>0.94398539999999997</v>
      </c>
      <c r="AB2305">
        <v>24</v>
      </c>
      <c r="AC2305">
        <v>-25.160499999999999</v>
      </c>
      <c r="AD2305">
        <v>3.1281999999999997E-2</v>
      </c>
      <c r="AE2305">
        <v>-49.306399999999996</v>
      </c>
      <c r="AF2305">
        <v>-18.297490812846402</v>
      </c>
      <c r="AG2305">
        <v>3.1281999999999997E-2</v>
      </c>
      <c r="AH2305">
        <v>52.243389189807402</v>
      </c>
      <c r="AI2305">
        <v>89.967621205312298</v>
      </c>
      <c r="AJ2305">
        <v>109.30206721413001</v>
      </c>
      <c r="AK2305">
        <v>55.354953370474497</v>
      </c>
      <c r="AL2305">
        <v>90.648929851869696</v>
      </c>
      <c r="AM2305">
        <v>87.590557700471507</v>
      </c>
      <c r="AN2305">
        <v>0.999999965835634</v>
      </c>
    </row>
    <row r="2306" spans="1:40" x14ac:dyDescent="0.25">
      <c r="A2306" t="str">
        <f>"20190312161313667"</f>
        <v>20190312161313667</v>
      </c>
      <c r="B2306" t="str">
        <f>"1552378393658469"</f>
        <v>1552378393658469</v>
      </c>
      <c r="C2306" t="s">
        <v>40</v>
      </c>
      <c r="D2306">
        <v>4.9495019999999998</v>
      </c>
      <c r="E2306">
        <v>0.34860219999999997</v>
      </c>
      <c r="F2306" t="s">
        <v>73</v>
      </c>
      <c r="G2306">
        <v>-512.82560000000001</v>
      </c>
      <c r="H2306">
        <v>1.1762030000000001</v>
      </c>
      <c r="I2306">
        <v>229.28469999999999</v>
      </c>
      <c r="J2306">
        <v>-487.7482</v>
      </c>
      <c r="K2306">
        <v>1.1179079999999999</v>
      </c>
      <c r="L2306">
        <v>279.00549999999998</v>
      </c>
      <c r="M2306">
        <v>-0.71920589999999995</v>
      </c>
      <c r="N2306">
        <v>0</v>
      </c>
      <c r="O2306">
        <v>-0.6946348</v>
      </c>
      <c r="P2306">
        <v>-0.74730629999999998</v>
      </c>
      <c r="Q2306">
        <v>-2.7496489999999998E-2</v>
      </c>
      <c r="R2306">
        <v>-0.66391080000000002</v>
      </c>
      <c r="S2306">
        <v>-1.458801</v>
      </c>
      <c r="T2306">
        <v>3.3836360000000002E-3</v>
      </c>
      <c r="U2306">
        <v>-2.8878780000000002</v>
      </c>
      <c r="V2306">
        <v>4.1848070000000001E-2</v>
      </c>
      <c r="W2306">
        <v>-1.1718020000000001E-2</v>
      </c>
      <c r="X2306">
        <v>0.99905529999999998</v>
      </c>
      <c r="Y2306">
        <v>-0.32878740000000001</v>
      </c>
      <c r="Z2306">
        <v>-5.9933899999999995E-4</v>
      </c>
      <c r="AA2306">
        <v>0.94440380000000002</v>
      </c>
      <c r="AB2306">
        <v>24</v>
      </c>
      <c r="AC2306">
        <v>-25.077400000000001</v>
      </c>
      <c r="AD2306">
        <v>5.8295000000000201E-2</v>
      </c>
      <c r="AE2306">
        <v>-49.720799999999997</v>
      </c>
      <c r="AF2306">
        <v>-18.341904837238999</v>
      </c>
      <c r="AG2306">
        <v>5.8295000000000201E-2</v>
      </c>
      <c r="AH2306">
        <v>52.579479587941798</v>
      </c>
      <c r="AI2306">
        <v>89.940020754772604</v>
      </c>
      <c r="AJ2306">
        <v>109.230891843918</v>
      </c>
      <c r="AK2306">
        <v>55.686897427529097</v>
      </c>
      <c r="AL2306">
        <v>90.671408434292601</v>
      </c>
      <c r="AM2306">
        <v>87.601417117364093</v>
      </c>
      <c r="AN2306">
        <v>1.00000003270676</v>
      </c>
    </row>
    <row r="2307" spans="1:40" x14ac:dyDescent="0.25">
      <c r="A2307" t="str">
        <f>"20190312161313679"</f>
        <v>20190312161313679</v>
      </c>
      <c r="B2307" t="str">
        <f>"1552378393668229"</f>
        <v>1552378393668229</v>
      </c>
      <c r="C2307" t="s">
        <v>40</v>
      </c>
      <c r="D2307">
        <v>4.9870580000000002</v>
      </c>
      <c r="E2307">
        <v>0.34895300000000001</v>
      </c>
      <c r="F2307" t="s">
        <v>73</v>
      </c>
      <c r="G2307">
        <v>-512.82550000000003</v>
      </c>
      <c r="H2307">
        <v>1.12365</v>
      </c>
      <c r="I2307">
        <v>228.71520000000001</v>
      </c>
      <c r="J2307">
        <v>-487.8331</v>
      </c>
      <c r="K2307">
        <v>1.117904</v>
      </c>
      <c r="L2307">
        <v>278.91399999999999</v>
      </c>
      <c r="M2307">
        <v>-0.71491150000000003</v>
      </c>
      <c r="N2307">
        <v>0</v>
      </c>
      <c r="O2307">
        <v>-0.69905390000000001</v>
      </c>
      <c r="P2307">
        <v>-0.74319829999999998</v>
      </c>
      <c r="Q2307">
        <v>-2.7617039999999999E-2</v>
      </c>
      <c r="R2307">
        <v>-0.66850129999999996</v>
      </c>
      <c r="S2307">
        <v>-1.4432069999999999</v>
      </c>
      <c r="T2307">
        <v>3.3426279999999999E-4</v>
      </c>
      <c r="U2307">
        <v>-2.894196</v>
      </c>
      <c r="V2307">
        <v>4.185034E-2</v>
      </c>
      <c r="W2307">
        <v>-1.183882E-2</v>
      </c>
      <c r="X2307">
        <v>0.99905379999999999</v>
      </c>
      <c r="Y2307">
        <v>-0.32786349999999997</v>
      </c>
      <c r="Z2307" s="1">
        <v>-5.9801279999999998E-5</v>
      </c>
      <c r="AA2307">
        <v>0.94472509999999998</v>
      </c>
      <c r="AB2307">
        <v>24</v>
      </c>
      <c r="AC2307">
        <v>-24.9924</v>
      </c>
      <c r="AD2307">
        <v>5.7460000000000202E-3</v>
      </c>
      <c r="AE2307">
        <v>-50.198799999999899</v>
      </c>
      <c r="AF2307">
        <v>-18.4187385160979</v>
      </c>
      <c r="AG2307">
        <v>5.7460000000000202E-3</v>
      </c>
      <c r="AH2307">
        <v>52.964984514701598</v>
      </c>
      <c r="AI2307">
        <v>89.994129031849099</v>
      </c>
      <c r="AJ2307">
        <v>109.175278351814</v>
      </c>
      <c r="AK2307">
        <v>56.0761941128629</v>
      </c>
      <c r="AL2307">
        <v>90.678330231329895</v>
      </c>
      <c r="AM2307">
        <v>87.601283563719704</v>
      </c>
      <c r="AN2307">
        <v>1.0000000519557699</v>
      </c>
    </row>
    <row r="2308" spans="1:40" x14ac:dyDescent="0.25">
      <c r="A2308" t="str">
        <f>"20190312161313811"</f>
        <v>20190312161313811</v>
      </c>
      <c r="B2308" t="str">
        <f>"1552378393808774"</f>
        <v>1552378393808774</v>
      </c>
      <c r="C2308" t="s">
        <v>40</v>
      </c>
      <c r="D2308">
        <v>5.1168639999999996</v>
      </c>
      <c r="E2308">
        <v>0.34895300000000001</v>
      </c>
      <c r="F2308" t="s">
        <v>73</v>
      </c>
      <c r="G2308">
        <v>-512.82560000000001</v>
      </c>
      <c r="H2308">
        <v>1.1460570000000001</v>
      </c>
      <c r="I2308">
        <v>228.11770000000001</v>
      </c>
      <c r="J2308">
        <v>-488.74689999999998</v>
      </c>
      <c r="K2308">
        <v>1.1178549999999901</v>
      </c>
      <c r="L2308">
        <v>277.85480000000001</v>
      </c>
      <c r="M2308">
        <v>-0.66457919999999904</v>
      </c>
      <c r="N2308">
        <v>0</v>
      </c>
      <c r="O2308">
        <v>-0.74706719999999904</v>
      </c>
      <c r="P2308">
        <v>-0.69399739999999999</v>
      </c>
      <c r="Q2308">
        <v>-2.8664189999999999E-2</v>
      </c>
      <c r="R2308">
        <v>-0.71940680000000001</v>
      </c>
      <c r="S2308">
        <v>-1.4273070000000001</v>
      </c>
      <c r="T2308">
        <v>1.61159E-3</v>
      </c>
      <c r="U2308">
        <v>-2.9009399999999999</v>
      </c>
      <c r="V2308">
        <v>4.0612259999999997E-2</v>
      </c>
      <c r="W2308">
        <v>-1.2913310000000001E-2</v>
      </c>
      <c r="X2308">
        <v>0.99909150000000002</v>
      </c>
      <c r="Y2308">
        <v>-0.26653009999999999</v>
      </c>
      <c r="Z2308">
        <v>-3.2746879999999998E-4</v>
      </c>
      <c r="AA2308">
        <v>0.96382650000000003</v>
      </c>
      <c r="AB2308">
        <v>24</v>
      </c>
      <c r="AC2308">
        <v>-24.078700000000001</v>
      </c>
      <c r="AD2308">
        <v>2.8202000000000001E-2</v>
      </c>
      <c r="AE2308">
        <v>-49.737099999999998</v>
      </c>
      <c r="AF2308">
        <v>-15.067527052728799</v>
      </c>
      <c r="AG2308">
        <v>2.8202000000000001E-2</v>
      </c>
      <c r="AH2308">
        <v>53.165129059471802</v>
      </c>
      <c r="AI2308">
        <v>89.970758531422604</v>
      </c>
      <c r="AJ2308">
        <v>105.823257944145</v>
      </c>
      <c r="AK2308">
        <v>55.259045546840703</v>
      </c>
      <c r="AL2308">
        <v>90.7398987511678</v>
      </c>
      <c r="AM2308">
        <v>87.672254508597703</v>
      </c>
      <c r="AN2308">
        <v>0.99999996730485596</v>
      </c>
    </row>
    <row r="2309" spans="1:40" x14ac:dyDescent="0.25">
      <c r="A2309" t="str">
        <f>"20190312161313822"</f>
        <v>20190312161313822</v>
      </c>
      <c r="B2309" t="str">
        <f>"1552378393818537"</f>
        <v>1552378393818537</v>
      </c>
      <c r="C2309" t="s">
        <v>40</v>
      </c>
      <c r="D2309">
        <v>5.0419660000000004</v>
      </c>
      <c r="E2309">
        <v>0.31825819999999999</v>
      </c>
      <c r="F2309" t="s">
        <v>73</v>
      </c>
      <c r="G2309">
        <v>-511.959</v>
      </c>
      <c r="H2309">
        <v>1.1002879999999999</v>
      </c>
      <c r="I2309">
        <v>220.8073</v>
      </c>
      <c r="J2309">
        <v>-488.82319999999999</v>
      </c>
      <c r="K2309">
        <v>1.1178520000000001</v>
      </c>
      <c r="L2309">
        <v>277.75909999999999</v>
      </c>
      <c r="M2309">
        <v>-0.65998990000000002</v>
      </c>
      <c r="N2309">
        <v>0</v>
      </c>
      <c r="O2309">
        <v>-0.75112460000000003</v>
      </c>
      <c r="P2309">
        <v>-0.68939640000000002</v>
      </c>
      <c r="Q2309">
        <v>-2.869853E-2</v>
      </c>
      <c r="R2309">
        <v>-0.72381569999999995</v>
      </c>
      <c r="S2309">
        <v>-1.218445</v>
      </c>
      <c r="T2309">
        <v>-9.1874600000000002E-4</v>
      </c>
      <c r="U2309">
        <v>-2.994507</v>
      </c>
      <c r="V2309">
        <v>4.0364369999999997E-2</v>
      </c>
      <c r="W2309">
        <v>-1.29534E-2</v>
      </c>
      <c r="X2309">
        <v>0.99910100000000002</v>
      </c>
      <c r="Y2309">
        <v>-0.32826820000000001</v>
      </c>
      <c r="Z2309">
        <v>1.8181720000000001E-4</v>
      </c>
      <c r="AA2309">
        <v>0.94458450000000005</v>
      </c>
      <c r="AB2309">
        <v>24</v>
      </c>
      <c r="AC2309">
        <v>-23.1358</v>
      </c>
      <c r="AD2309">
        <v>-1.75640000000001E-2</v>
      </c>
      <c r="AE2309">
        <v>-56.951799999999899</v>
      </c>
      <c r="AF2309">
        <v>-20.2120182858589</v>
      </c>
      <c r="AG2309">
        <v>-1.75640000000001E-2</v>
      </c>
      <c r="AH2309">
        <v>58.053823859449402</v>
      </c>
      <c r="AI2309">
        <v>90.016370829906705</v>
      </c>
      <c r="AJ2309">
        <v>109.19607234378699</v>
      </c>
      <c r="AK2309">
        <v>61.471720785951398</v>
      </c>
      <c r="AL2309">
        <v>90.742195951022694</v>
      </c>
      <c r="AM2309">
        <v>87.686469140731305</v>
      </c>
      <c r="AN2309">
        <v>0.99999994056902597</v>
      </c>
    </row>
    <row r="2310" spans="1:40" x14ac:dyDescent="0.25">
      <c r="A2310" t="str">
        <f>"20190312161313835"</f>
        <v>20190312161313835</v>
      </c>
      <c r="B2310" t="str">
        <f>"1552378393828293"</f>
        <v>1552378393828293</v>
      </c>
      <c r="C2310" t="s">
        <v>40</v>
      </c>
      <c r="D2310">
        <v>5.0788159999999998</v>
      </c>
      <c r="E2310">
        <v>0.3192934</v>
      </c>
      <c r="F2310" t="s">
        <v>75</v>
      </c>
      <c r="G2310">
        <v>-511.05900000000003</v>
      </c>
      <c r="H2310">
        <v>1.116525</v>
      </c>
      <c r="I2310">
        <v>208.75550000000001</v>
      </c>
      <c r="J2310">
        <v>-488.89859999999999</v>
      </c>
      <c r="K2310">
        <v>1.1178440000000001</v>
      </c>
      <c r="L2310">
        <v>277.66329999999999</v>
      </c>
      <c r="M2310">
        <v>-0.65538949999999996</v>
      </c>
      <c r="N2310">
        <v>0</v>
      </c>
      <c r="O2310">
        <v>-0.75514190000000003</v>
      </c>
      <c r="P2310">
        <v>-0.68475959999999902</v>
      </c>
      <c r="Q2310">
        <v>-2.8923709999999998E-2</v>
      </c>
      <c r="R2310">
        <v>-0.72819509999999998</v>
      </c>
      <c r="S2310">
        <v>-1.0219419999999999</v>
      </c>
      <c r="T2310" s="1">
        <v>-5.8174129999999998E-5</v>
      </c>
      <c r="U2310">
        <v>-3.1713260000000001</v>
      </c>
      <c r="V2310">
        <v>4.0096E-2</v>
      </c>
      <c r="W2310">
        <v>-1.318514E-2</v>
      </c>
      <c r="X2310">
        <v>0.99910889999999997</v>
      </c>
      <c r="Y2310">
        <v>-0.39223360000000002</v>
      </c>
      <c r="Z2310" s="1">
        <v>1.084793E-5</v>
      </c>
      <c r="AA2310">
        <v>0.91986570000000001</v>
      </c>
      <c r="AB2310">
        <v>24</v>
      </c>
      <c r="AC2310">
        <v>-22.160399999999999</v>
      </c>
      <c r="AD2310">
        <v>-1.3190000000000699E-3</v>
      </c>
      <c r="AE2310">
        <v>-68.907799999999895</v>
      </c>
      <c r="AF2310">
        <v>-28.430405084671499</v>
      </c>
      <c r="AG2310">
        <v>-1.3190000000000699E-3</v>
      </c>
      <c r="AH2310">
        <v>66.566360064539793</v>
      </c>
      <c r="AI2310">
        <v>90.001044066033003</v>
      </c>
      <c r="AJ2310">
        <v>113.127264454818</v>
      </c>
      <c r="AK2310">
        <v>72.383480347799207</v>
      </c>
      <c r="AL2310">
        <v>90.755474715427397</v>
      </c>
      <c r="AM2310">
        <v>87.701852683922993</v>
      </c>
      <c r="AN2310">
        <v>1.00000006559601</v>
      </c>
    </row>
    <row r="2311" spans="1:40" x14ac:dyDescent="0.25">
      <c r="A2311" t="str">
        <f>"20190312161313846"</f>
        <v>20190312161313846</v>
      </c>
      <c r="B2311" t="str">
        <f>"1552378393838053"</f>
        <v>1552378393838053</v>
      </c>
      <c r="C2311" t="s">
        <v>40</v>
      </c>
      <c r="D2311">
        <v>5.0291290000000002</v>
      </c>
      <c r="E2311">
        <v>0.3203259</v>
      </c>
      <c r="F2311" t="s">
        <v>75</v>
      </c>
      <c r="G2311">
        <v>-511.05889999999999</v>
      </c>
      <c r="H2311">
        <v>0.67686769999999996</v>
      </c>
      <c r="I2311">
        <v>207.834</v>
      </c>
      <c r="J2311">
        <v>-488.9742</v>
      </c>
      <c r="K2311">
        <v>1.1178349999999999</v>
      </c>
      <c r="L2311">
        <v>277.56639999999999</v>
      </c>
      <c r="M2311">
        <v>-0.65073080000000005</v>
      </c>
      <c r="N2311">
        <v>0</v>
      </c>
      <c r="O2311">
        <v>-0.75916030000000001</v>
      </c>
      <c r="P2311">
        <v>-0.68035100000000004</v>
      </c>
      <c r="Q2311">
        <v>-2.8864500000000001E-2</v>
      </c>
      <c r="R2311">
        <v>-0.73231820000000003</v>
      </c>
      <c r="S2311">
        <v>-1.0067440000000001</v>
      </c>
      <c r="T2311">
        <v>-2.0030739999999998E-2</v>
      </c>
      <c r="U2311">
        <v>-3.1723330000000001</v>
      </c>
      <c r="V2311">
        <v>4.0208939999999999E-2</v>
      </c>
      <c r="W2311">
        <v>-1.312573E-2</v>
      </c>
      <c r="X2311">
        <v>0.99910509999999997</v>
      </c>
      <c r="Y2311">
        <v>-0.39065840000000002</v>
      </c>
      <c r="Z2311">
        <v>3.7726700000000001E-3</v>
      </c>
      <c r="AA2311">
        <v>0.92052800000000001</v>
      </c>
      <c r="AB2311">
        <v>24</v>
      </c>
      <c r="AC2311">
        <v>-22.084700000000002</v>
      </c>
      <c r="AD2311">
        <v>-0.44096730000000001</v>
      </c>
      <c r="AE2311">
        <v>-69.732399999999899</v>
      </c>
      <c r="AF2311">
        <v>-28.6133732698699</v>
      </c>
      <c r="AG2311">
        <v>-0.44096730000000001</v>
      </c>
      <c r="AH2311">
        <v>67.314393489432504</v>
      </c>
      <c r="AI2311">
        <v>90.345421038131605</v>
      </c>
      <c r="AJ2311">
        <v>113.02892076693701</v>
      </c>
      <c r="AK2311">
        <v>73.144700101174294</v>
      </c>
      <c r="AL2311">
        <v>90.752070511403602</v>
      </c>
      <c r="AM2311">
        <v>87.695377614958304</v>
      </c>
      <c r="AN2311">
        <v>1.0000000222449801</v>
      </c>
    </row>
    <row r="2312" spans="1:40" x14ac:dyDescent="0.25">
      <c r="A2312" t="str">
        <f>"20190312161313858"</f>
        <v>20190312161313858</v>
      </c>
      <c r="B2312" t="str">
        <f>"1552378393847813"</f>
        <v>1552378393847813</v>
      </c>
      <c r="C2312" t="s">
        <v>40</v>
      </c>
      <c r="D2312">
        <v>4.8921320000000001</v>
      </c>
      <c r="E2312">
        <v>0.31597920000000002</v>
      </c>
      <c r="F2312" t="s">
        <v>75</v>
      </c>
      <c r="G2312">
        <v>-511.05889999999999</v>
      </c>
      <c r="H2312">
        <v>0.64877609999999997</v>
      </c>
      <c r="I2312">
        <v>207.04570000000001</v>
      </c>
      <c r="J2312">
        <v>-489.04750000000001</v>
      </c>
      <c r="K2312">
        <v>1.1178220000000001</v>
      </c>
      <c r="L2312">
        <v>277.47050000000002</v>
      </c>
      <c r="M2312">
        <v>-0.64612159999999996</v>
      </c>
      <c r="N2312">
        <v>0</v>
      </c>
      <c r="O2312">
        <v>-0.76308699999999996</v>
      </c>
      <c r="P2312">
        <v>-0.67579359999999999</v>
      </c>
      <c r="Q2312">
        <v>-2.929402E-2</v>
      </c>
      <c r="R2312">
        <v>-0.73650869999999902</v>
      </c>
      <c r="S2312">
        <v>-0.99356080000000002</v>
      </c>
      <c r="T2312">
        <v>-2.1099449999999999E-2</v>
      </c>
      <c r="U2312">
        <v>-3.1726070000000002</v>
      </c>
      <c r="V2312">
        <v>4.0078219999999998E-2</v>
      </c>
      <c r="W2312">
        <v>-1.356016E-2</v>
      </c>
      <c r="X2312">
        <v>0.99910449999999995</v>
      </c>
      <c r="Y2312">
        <v>-0.38858579999999998</v>
      </c>
      <c r="Z2312">
        <v>4.0140540000000004E-3</v>
      </c>
      <c r="AA2312">
        <v>0.9214038</v>
      </c>
      <c r="AB2312">
        <v>24</v>
      </c>
      <c r="AC2312">
        <v>-22.011399999999899</v>
      </c>
      <c r="AD2312">
        <v>-0.46904589999999902</v>
      </c>
      <c r="AE2312">
        <v>-70.424800000000005</v>
      </c>
      <c r="AF2312">
        <v>-28.7084426940919</v>
      </c>
      <c r="AG2312">
        <v>-0.46904589999999902</v>
      </c>
      <c r="AH2312">
        <v>67.967194451718896</v>
      </c>
      <c r="AI2312">
        <v>90.364237341722998</v>
      </c>
      <c r="AJ2312">
        <v>112.898551903138</v>
      </c>
      <c r="AK2312">
        <v>73.783021133686603</v>
      </c>
      <c r="AL2312">
        <v>90.776963771765196</v>
      </c>
      <c r="AM2312">
        <v>87.702860567078702</v>
      </c>
      <c r="AN2312">
        <v>0.99999997178892097</v>
      </c>
    </row>
    <row r="2313" spans="1:40" x14ac:dyDescent="0.25">
      <c r="A2313" t="str">
        <f>"20190312161313869"</f>
        <v>20190312161313869</v>
      </c>
      <c r="B2313" t="str">
        <f>"1552378393858550"</f>
        <v>1552378393858550</v>
      </c>
      <c r="C2313" t="s">
        <v>40</v>
      </c>
      <c r="D2313">
        <v>4.8888129999999999</v>
      </c>
      <c r="E2313">
        <v>0.31311050000000001</v>
      </c>
      <c r="F2313" t="s">
        <v>75</v>
      </c>
      <c r="G2313">
        <v>-511.92559999999997</v>
      </c>
      <c r="H2313">
        <v>1.325048</v>
      </c>
      <c r="I2313">
        <v>200.3742</v>
      </c>
      <c r="J2313">
        <v>-489.11829999999998</v>
      </c>
      <c r="K2313">
        <v>1.117812</v>
      </c>
      <c r="L2313">
        <v>277.3777</v>
      </c>
      <c r="M2313">
        <v>-0.641646099999999</v>
      </c>
      <c r="N2313">
        <v>0</v>
      </c>
      <c r="O2313">
        <v>-0.76685400000000004</v>
      </c>
      <c r="P2313">
        <v>-0.6715544</v>
      </c>
      <c r="Q2313">
        <v>-2.9316180000000001E-2</v>
      </c>
      <c r="R2313">
        <v>-0.74037500000000001</v>
      </c>
      <c r="S2313">
        <v>-0.95013429999999999</v>
      </c>
      <c r="T2313">
        <v>8.6085799999999994E-3</v>
      </c>
      <c r="U2313">
        <v>-3.201813</v>
      </c>
      <c r="V2313">
        <v>4.018861E-2</v>
      </c>
      <c r="W2313">
        <v>-1.358263E-2</v>
      </c>
      <c r="X2313">
        <v>0.99909979999999998</v>
      </c>
      <c r="Y2313">
        <v>-0.39701819999999999</v>
      </c>
      <c r="Z2313">
        <v>-1.6344129999999999E-3</v>
      </c>
      <c r="AA2313">
        <v>0.91780930000000005</v>
      </c>
      <c r="AB2313">
        <v>24</v>
      </c>
      <c r="AC2313">
        <v>-22.807300000000001</v>
      </c>
      <c r="AD2313">
        <v>0.207236</v>
      </c>
      <c r="AE2313">
        <v>-77.003500000000003</v>
      </c>
      <c r="AF2313">
        <v>-31.922508764942901</v>
      </c>
      <c r="AG2313">
        <v>0.207236</v>
      </c>
      <c r="AH2313">
        <v>73.692465605587202</v>
      </c>
      <c r="AI2313">
        <v>89.852150587893107</v>
      </c>
      <c r="AJ2313">
        <v>113.421562059392</v>
      </c>
      <c r="AK2313">
        <v>80.309831276364903</v>
      </c>
      <c r="AL2313">
        <v>90.778251295805106</v>
      </c>
      <c r="AM2313">
        <v>87.696529391024498</v>
      </c>
      <c r="AN2313">
        <v>1.0000000112857399</v>
      </c>
    </row>
    <row r="2314" spans="1:40" x14ac:dyDescent="0.25">
      <c r="A2314" t="str">
        <f>"20190312161313880"</f>
        <v>20190312161313880</v>
      </c>
      <c r="B2314" t="str">
        <f>"1552378393878070"</f>
        <v>1552378393878070</v>
      </c>
      <c r="C2314" t="s">
        <v>40</v>
      </c>
      <c r="D2314">
        <v>5.0364459999999998</v>
      </c>
      <c r="E2314">
        <v>0.31753540000000002</v>
      </c>
      <c r="F2314" t="s">
        <v>75</v>
      </c>
      <c r="G2314">
        <v>-511.92579999999998</v>
      </c>
      <c r="H2314">
        <v>1.9340820000000001</v>
      </c>
      <c r="I2314">
        <v>197.18129999999999</v>
      </c>
      <c r="J2314">
        <v>-489.19029999999998</v>
      </c>
      <c r="K2314">
        <v>1.1177999999999999</v>
      </c>
      <c r="L2314">
        <v>277.28120000000001</v>
      </c>
      <c r="M2314">
        <v>-0.63700219999999996</v>
      </c>
      <c r="N2314">
        <v>0</v>
      </c>
      <c r="O2314">
        <v>-0.77071579999999995</v>
      </c>
      <c r="P2314">
        <v>-0.66705639999999999</v>
      </c>
      <c r="Q2314">
        <v>-2.9316200000000001E-2</v>
      </c>
      <c r="R2314">
        <v>-0.74443019999999904</v>
      </c>
      <c r="S2314">
        <v>-0.91635129999999998</v>
      </c>
      <c r="T2314">
        <v>3.2797809999999997E-2</v>
      </c>
      <c r="U2314">
        <v>-3.2220759999999999</v>
      </c>
      <c r="V2314">
        <v>4.0170129999999998E-2</v>
      </c>
      <c r="W2314">
        <v>-1.358582E-2</v>
      </c>
      <c r="X2314">
        <v>0.99910049999999995</v>
      </c>
      <c r="Y2314">
        <v>-0.40192670000000003</v>
      </c>
      <c r="Z2314">
        <v>-6.2378709999999999E-3</v>
      </c>
      <c r="AA2314">
        <v>0.91565059999999998</v>
      </c>
      <c r="AB2314">
        <v>24</v>
      </c>
      <c r="AC2314">
        <v>-22.735499999999998</v>
      </c>
      <c r="AD2314">
        <v>0.81628199999999995</v>
      </c>
      <c r="AE2314">
        <v>-80.099900000000005</v>
      </c>
      <c r="AF2314">
        <v>-33.501759049726402</v>
      </c>
      <c r="AG2314">
        <v>0.81628199999999995</v>
      </c>
      <c r="AH2314">
        <v>76.218086044718504</v>
      </c>
      <c r="AI2314">
        <v>89.438262648179403</v>
      </c>
      <c r="AJ2314">
        <v>113.72795236512199</v>
      </c>
      <c r="AK2314">
        <v>83.260019313290798</v>
      </c>
      <c r="AL2314">
        <v>90.778434086058496</v>
      </c>
      <c r="AM2314">
        <v>87.697589071241097</v>
      </c>
      <c r="AN2314">
        <v>1.00000001147476</v>
      </c>
    </row>
    <row r="2315" spans="1:40" x14ac:dyDescent="0.25">
      <c r="A2315" t="str">
        <f>"20190312161313891"</f>
        <v>20190312161313891</v>
      </c>
      <c r="B2315" t="str">
        <f>"1552378393887830"</f>
        <v>1552378393887830</v>
      </c>
      <c r="C2315" t="s">
        <v>40</v>
      </c>
      <c r="D2315">
        <v>5.0458730000000003</v>
      </c>
      <c r="E2315">
        <v>0.3192603</v>
      </c>
      <c r="F2315" t="s">
        <v>75</v>
      </c>
      <c r="G2315">
        <v>-511.92570000000001</v>
      </c>
      <c r="H2315">
        <v>1.519209</v>
      </c>
      <c r="I2315">
        <v>198.28309999999999</v>
      </c>
      <c r="J2315">
        <v>-489.25510000000003</v>
      </c>
      <c r="K2315">
        <v>1.117794</v>
      </c>
      <c r="L2315">
        <v>277.19380000000001</v>
      </c>
      <c r="M2315">
        <v>-0.63278659999999998</v>
      </c>
      <c r="N2315">
        <v>0</v>
      </c>
      <c r="O2315">
        <v>-0.77418109999999996</v>
      </c>
      <c r="P2315">
        <v>-0.66302320000000003</v>
      </c>
      <c r="Q2315">
        <v>-2.9081829999999999E-2</v>
      </c>
      <c r="R2315">
        <v>-0.74803409999999904</v>
      </c>
      <c r="S2315">
        <v>-0.92218020000000001</v>
      </c>
      <c r="T2315">
        <v>1.6283990000000002E-2</v>
      </c>
      <c r="U2315">
        <v>-3.2042540000000002</v>
      </c>
      <c r="V2315">
        <v>4.0212409999999997E-2</v>
      </c>
      <c r="W2315">
        <v>-1.335312E-2</v>
      </c>
      <c r="X2315">
        <v>0.99910189999999999</v>
      </c>
      <c r="Y2315">
        <v>-0.39403189999999999</v>
      </c>
      <c r="Z2315">
        <v>-3.1467140000000001E-3</v>
      </c>
      <c r="AA2315">
        <v>0.91909130000000006</v>
      </c>
      <c r="AB2315">
        <v>24</v>
      </c>
      <c r="AC2315">
        <v>-22.670599999999901</v>
      </c>
      <c r="AD2315">
        <v>0.40141500000000002</v>
      </c>
      <c r="AE2315">
        <v>-78.910700000000006</v>
      </c>
      <c r="AF2315">
        <v>-32.385348854622599</v>
      </c>
      <c r="AG2315">
        <v>0.40141500000000002</v>
      </c>
      <c r="AH2315">
        <v>75.443499401637297</v>
      </c>
      <c r="AI2315">
        <v>89.719866099766605</v>
      </c>
      <c r="AJ2315">
        <v>113.232215420271</v>
      </c>
      <c r="AK2315">
        <v>82.101726878322594</v>
      </c>
      <c r="AL2315">
        <v>90.765100176456201</v>
      </c>
      <c r="AM2315">
        <v>87.695171568236304</v>
      </c>
      <c r="AN2315">
        <v>0.99999997515767503</v>
      </c>
    </row>
    <row r="2316" spans="1:40" x14ac:dyDescent="0.25">
      <c r="A2316" t="str">
        <f>"20190312161313901"</f>
        <v>20190312161313901</v>
      </c>
      <c r="B2316" t="str">
        <f>"1552378393898565"</f>
        <v>1552378393898565</v>
      </c>
      <c r="C2316" t="s">
        <v>40</v>
      </c>
      <c r="D2316">
        <v>5.0334440000000003</v>
      </c>
      <c r="E2316">
        <v>0.32093769999999999</v>
      </c>
      <c r="F2316" t="s">
        <v>75</v>
      </c>
      <c r="G2316">
        <v>-511.92570000000001</v>
      </c>
      <c r="H2316">
        <v>1.3863749999999999</v>
      </c>
      <c r="I2316">
        <v>197.87110000000001</v>
      </c>
      <c r="J2316">
        <v>-489.31900000000002</v>
      </c>
      <c r="K2316">
        <v>1.1177859999999999</v>
      </c>
      <c r="L2316">
        <v>277.10629999999998</v>
      </c>
      <c r="M2316">
        <v>-0.62856529999999999</v>
      </c>
      <c r="N2316">
        <v>0</v>
      </c>
      <c r="O2316">
        <v>-0.77761230000000003</v>
      </c>
      <c r="P2316">
        <v>-0.658757699999999</v>
      </c>
      <c r="Q2316">
        <v>-2.963141E-2</v>
      </c>
      <c r="R2316">
        <v>-0.75177159999999998</v>
      </c>
      <c r="S2316">
        <v>-0.91464230000000002</v>
      </c>
      <c r="T2316">
        <v>1.083815E-2</v>
      </c>
      <c r="U2316">
        <v>-3.200256</v>
      </c>
      <c r="V2316">
        <v>3.9988669999999997E-2</v>
      </c>
      <c r="W2316">
        <v>-1.390972E-2</v>
      </c>
      <c r="X2316">
        <v>0.99910330000000003</v>
      </c>
      <c r="Y2316">
        <v>-0.3907233</v>
      </c>
      <c r="Z2316">
        <v>-2.1159310000000001E-3</v>
      </c>
      <c r="AA2316">
        <v>0.92050580000000004</v>
      </c>
      <c r="AB2316">
        <v>24</v>
      </c>
      <c r="AC2316">
        <v>-22.606699999999901</v>
      </c>
      <c r="AD2316">
        <v>0.26858899999999902</v>
      </c>
      <c r="AE2316">
        <v>-79.235199999999907</v>
      </c>
      <c r="AF2316">
        <v>-32.228529147471399</v>
      </c>
      <c r="AG2316">
        <v>0.26858899999999902</v>
      </c>
      <c r="AH2316">
        <v>75.831770618377902</v>
      </c>
      <c r="AI2316">
        <v>89.813232168087794</v>
      </c>
      <c r="AJ2316">
        <v>113.02550905390299</v>
      </c>
      <c r="AK2316">
        <v>82.396648391658601</v>
      </c>
      <c r="AL2316">
        <v>90.796993960780995</v>
      </c>
      <c r="AM2316">
        <v>87.707985020979095</v>
      </c>
      <c r="AN2316">
        <v>0.99999998905486798</v>
      </c>
    </row>
    <row r="2317" spans="1:40" x14ac:dyDescent="0.25">
      <c r="A2317" t="str">
        <f>"20190312161313913"</f>
        <v>20190312161313913</v>
      </c>
      <c r="B2317" t="str">
        <f>"1552378393908325"</f>
        <v>1552378393908325</v>
      </c>
      <c r="C2317" t="s">
        <v>40</v>
      </c>
      <c r="D2317">
        <v>5.0173819999999996</v>
      </c>
      <c r="E2317">
        <v>0.32228810000000002</v>
      </c>
      <c r="F2317" t="s">
        <v>75</v>
      </c>
      <c r="G2317">
        <v>-511.92559999999997</v>
      </c>
      <c r="H2317">
        <v>1.231589</v>
      </c>
      <c r="I2317">
        <v>197.3784</v>
      </c>
      <c r="J2317">
        <v>-489.38619999999997</v>
      </c>
      <c r="K2317">
        <v>1.117774</v>
      </c>
      <c r="L2317">
        <v>277.01339999999999</v>
      </c>
      <c r="M2317">
        <v>-0.62408430000000004</v>
      </c>
      <c r="N2317">
        <v>0</v>
      </c>
      <c r="O2317">
        <v>-0.78121339999999995</v>
      </c>
      <c r="P2317">
        <v>-0.65447149999999998</v>
      </c>
      <c r="Q2317">
        <v>-2.9672509999999999E-2</v>
      </c>
      <c r="R2317">
        <v>-0.75550469999999903</v>
      </c>
      <c r="S2317">
        <v>-0.90637210000000001</v>
      </c>
      <c r="T2317">
        <v>4.565001E-3</v>
      </c>
      <c r="U2317">
        <v>-3.1965330000000001</v>
      </c>
      <c r="V2317">
        <v>4.005177E-2</v>
      </c>
      <c r="W2317">
        <v>-1.395271E-2</v>
      </c>
      <c r="X2317">
        <v>0.99910019999999999</v>
      </c>
      <c r="Y2317">
        <v>-0.38734750000000001</v>
      </c>
      <c r="Z2317">
        <v>-9.0063239999999998E-4</v>
      </c>
      <c r="AA2317">
        <v>0.92193340000000001</v>
      </c>
      <c r="AB2317">
        <v>24</v>
      </c>
      <c r="AC2317">
        <v>-22.539400000000001</v>
      </c>
      <c r="AD2317">
        <v>0.113815</v>
      </c>
      <c r="AE2317">
        <v>-79.634999999999906</v>
      </c>
      <c r="AF2317">
        <v>-32.094412592399799</v>
      </c>
      <c r="AG2317">
        <v>0.113815</v>
      </c>
      <c r="AH2317">
        <v>76.286830777492895</v>
      </c>
      <c r="AI2317">
        <v>89.921207464583006</v>
      </c>
      <c r="AJ2317">
        <v>112.816836665868</v>
      </c>
      <c r="AK2317">
        <v>82.763185194742505</v>
      </c>
      <c r="AL2317">
        <v>90.799457323868893</v>
      </c>
      <c r="AM2317">
        <v>87.704365093987505</v>
      </c>
      <c r="AN2317">
        <v>1.0000000160182501</v>
      </c>
    </row>
    <row r="2318" spans="1:40" x14ac:dyDescent="0.25">
      <c r="A2318" t="str">
        <f>"20190312161313923"</f>
        <v>20190312161313923</v>
      </c>
      <c r="B2318" t="str">
        <f>"1552378393918085"</f>
        <v>1552378393918085</v>
      </c>
      <c r="C2318" t="s">
        <v>40</v>
      </c>
      <c r="D2318">
        <v>4.9064709999999998</v>
      </c>
      <c r="E2318">
        <v>0.32233729999999999</v>
      </c>
      <c r="F2318" t="s">
        <v>75</v>
      </c>
      <c r="G2318">
        <v>-511.92559999999997</v>
      </c>
      <c r="H2318">
        <v>1.1384510000000001</v>
      </c>
      <c r="I2318">
        <v>196.63210000000001</v>
      </c>
      <c r="J2318">
        <v>-489.45690000000002</v>
      </c>
      <c r="K2318">
        <v>1.1177589999999999</v>
      </c>
      <c r="L2318">
        <v>276.91449999999998</v>
      </c>
      <c r="M2318">
        <v>-0.61930390000000002</v>
      </c>
      <c r="N2318">
        <v>0</v>
      </c>
      <c r="O2318">
        <v>-0.78500829999999999</v>
      </c>
      <c r="P2318">
        <v>-0.64982269999999998</v>
      </c>
      <c r="Q2318">
        <v>-2.9861390000000002E-2</v>
      </c>
      <c r="R2318">
        <v>-0.75949909999999998</v>
      </c>
      <c r="S2318">
        <v>-0.89584349999999902</v>
      </c>
      <c r="T2318">
        <v>8.2409379999999997E-4</v>
      </c>
      <c r="U2318">
        <v>-3.1947939999999999</v>
      </c>
      <c r="V2318">
        <v>4.002708E-2</v>
      </c>
      <c r="W2318">
        <v>-1.414559E-2</v>
      </c>
      <c r="X2318">
        <v>0.9990985</v>
      </c>
      <c r="Y2318">
        <v>-0.38440020000000003</v>
      </c>
      <c r="Z2318">
        <v>-1.6424580000000001E-4</v>
      </c>
      <c r="AA2318">
        <v>0.9231665</v>
      </c>
      <c r="AB2318">
        <v>24</v>
      </c>
      <c r="AC2318">
        <v>-22.468699999999899</v>
      </c>
      <c r="AD2318">
        <v>2.0692000000000099E-2</v>
      </c>
      <c r="AE2318">
        <v>-80.282399999999896</v>
      </c>
      <c r="AF2318">
        <v>-32.084689543929102</v>
      </c>
      <c r="AG2318">
        <v>2.0692000000000099E-2</v>
      </c>
      <c r="AH2318">
        <v>76.945942518121299</v>
      </c>
      <c r="AI2318">
        <v>89.985779024158106</v>
      </c>
      <c r="AJ2318">
        <v>112.63501458040599</v>
      </c>
      <c r="AK2318">
        <v>83.367294554226802</v>
      </c>
      <c r="AL2318">
        <v>90.810509606012502</v>
      </c>
      <c r="AM2318">
        <v>87.705774830929499</v>
      </c>
      <c r="AN2318">
        <v>1.00000003877601</v>
      </c>
    </row>
    <row r="2319" spans="1:40" x14ac:dyDescent="0.25">
      <c r="A2319" t="str">
        <f>"20190312161313935"</f>
        <v>20190312161313935</v>
      </c>
      <c r="B2319" t="str">
        <f>"1552378393927845"</f>
        <v>1552378393927845</v>
      </c>
      <c r="C2319" t="s">
        <v>40</v>
      </c>
      <c r="D2319">
        <v>4.9209430000000003</v>
      </c>
      <c r="E2319">
        <v>0.32251790000000002</v>
      </c>
      <c r="F2319" t="s">
        <v>75</v>
      </c>
      <c r="G2319">
        <v>-511.92559999999997</v>
      </c>
      <c r="H2319">
        <v>1.291029</v>
      </c>
      <c r="I2319">
        <v>194.91669999999999</v>
      </c>
      <c r="J2319">
        <v>-489.52440000000001</v>
      </c>
      <c r="K2319">
        <v>1.117748</v>
      </c>
      <c r="L2319">
        <v>276.81849999999997</v>
      </c>
      <c r="M2319">
        <v>-0.61467209999999906</v>
      </c>
      <c r="N2319">
        <v>0</v>
      </c>
      <c r="O2319">
        <v>-0.78864029999999996</v>
      </c>
      <c r="P2319">
        <v>-0.64538399999999996</v>
      </c>
      <c r="Q2319">
        <v>-3.0051600000000001E-2</v>
      </c>
      <c r="R2319">
        <v>-0.76326719999999904</v>
      </c>
      <c r="S2319">
        <v>-0.87686160000000002</v>
      </c>
      <c r="T2319">
        <v>6.7641740000000004E-3</v>
      </c>
      <c r="U2319">
        <v>-3.2000120000000001</v>
      </c>
      <c r="V2319">
        <v>4.0091509999999997E-2</v>
      </c>
      <c r="W2319">
        <v>-1.4338109999999999E-2</v>
      </c>
      <c r="X2319">
        <v>0.99909309999999996</v>
      </c>
      <c r="Y2319">
        <v>-0.38444339999999999</v>
      </c>
      <c r="Z2319">
        <v>-1.357409E-3</v>
      </c>
      <c r="AA2319">
        <v>0.92314759999999996</v>
      </c>
      <c r="AB2319">
        <v>24</v>
      </c>
      <c r="AC2319">
        <v>-22.4011999999999</v>
      </c>
      <c r="AD2319">
        <v>0.17328099999999999</v>
      </c>
      <c r="AE2319">
        <v>-81.901799999999895</v>
      </c>
      <c r="AF2319">
        <v>-32.6797977893725</v>
      </c>
      <c r="AG2319">
        <v>0.17328099999999999</v>
      </c>
      <c r="AH2319">
        <v>78.368931145518005</v>
      </c>
      <c r="AI2319">
        <v>89.883072779386197</v>
      </c>
      <c r="AJ2319">
        <v>112.636107420127</v>
      </c>
      <c r="AK2319">
        <v>84.909885047326398</v>
      </c>
      <c r="AL2319">
        <v>90.821541367277405</v>
      </c>
      <c r="AM2319">
        <v>87.702073456768204</v>
      </c>
      <c r="AN2319">
        <v>0.99999996652002998</v>
      </c>
    </row>
    <row r="2320" spans="1:40" x14ac:dyDescent="0.25">
      <c r="A2320" t="str">
        <f>"20190312161313946"</f>
        <v>20190312161313946</v>
      </c>
      <c r="B2320" t="str">
        <f>"1552378393938581"</f>
        <v>1552378393938581</v>
      </c>
      <c r="C2320" t="s">
        <v>40</v>
      </c>
      <c r="D2320">
        <v>4.9062390000000002</v>
      </c>
      <c r="E2320">
        <v>0.32292549999999998</v>
      </c>
      <c r="F2320" t="s">
        <v>75</v>
      </c>
      <c r="G2320">
        <v>-511.92570000000001</v>
      </c>
      <c r="H2320">
        <v>1.421117</v>
      </c>
      <c r="I2320">
        <v>193.3486</v>
      </c>
      <c r="J2320">
        <v>-489.59190000000001</v>
      </c>
      <c r="K2320">
        <v>1.1177360000000001</v>
      </c>
      <c r="L2320">
        <v>276.72199999999998</v>
      </c>
      <c r="M2320">
        <v>-0.61000350000000003</v>
      </c>
      <c r="N2320">
        <v>0</v>
      </c>
      <c r="O2320">
        <v>-0.79225679999999998</v>
      </c>
      <c r="P2320">
        <v>-0.64086350000000003</v>
      </c>
      <c r="Q2320">
        <v>-3.012807E-2</v>
      </c>
      <c r="R2320">
        <v>-0.76706339999999995</v>
      </c>
      <c r="S2320">
        <v>-0.85983279999999995</v>
      </c>
      <c r="T2320">
        <v>1.164639E-2</v>
      </c>
      <c r="U2320">
        <v>-3.203827</v>
      </c>
      <c r="V2320">
        <v>4.0092860000000001E-2</v>
      </c>
      <c r="W2320">
        <v>-1.4417940000000001E-2</v>
      </c>
      <c r="X2320">
        <v>0.99909190000000003</v>
      </c>
      <c r="Y2320">
        <v>-0.38384269999999998</v>
      </c>
      <c r="Z2320">
        <v>-2.3543930000000002E-3</v>
      </c>
      <c r="AA2320">
        <v>0.92339550000000004</v>
      </c>
      <c r="AB2320">
        <v>24</v>
      </c>
      <c r="AC2320">
        <v>-22.3338</v>
      </c>
      <c r="AD2320">
        <v>0.30338099999999901</v>
      </c>
      <c r="AE2320">
        <v>-83.373399999999904</v>
      </c>
      <c r="AF2320">
        <v>-33.167280919862201</v>
      </c>
      <c r="AG2320">
        <v>0.30338099999999901</v>
      </c>
      <c r="AH2320">
        <v>79.684815678596394</v>
      </c>
      <c r="AI2320">
        <v>89.798609624409494</v>
      </c>
      <c r="AJ2320">
        <v>112.598586500199</v>
      </c>
      <c r="AK2320">
        <v>86.312400113657404</v>
      </c>
      <c r="AL2320">
        <v>90.826115759873801</v>
      </c>
      <c r="AM2320">
        <v>87.701993404570601</v>
      </c>
      <c r="AN2320">
        <v>0.99999996953121595</v>
      </c>
    </row>
    <row r="2321" spans="1:40" x14ac:dyDescent="0.25">
      <c r="A2321" t="str">
        <f>"20190312161313957"</f>
        <v>20190312161313957</v>
      </c>
      <c r="B2321" t="str">
        <f>"1552378393948342"</f>
        <v>1552378393948342</v>
      </c>
      <c r="C2321" t="s">
        <v>40</v>
      </c>
      <c r="D2321">
        <v>4.8970459999999996</v>
      </c>
      <c r="E2321">
        <v>0.32336179999999998</v>
      </c>
      <c r="F2321" t="s">
        <v>75</v>
      </c>
      <c r="G2321">
        <v>-511.92570000000001</v>
      </c>
      <c r="H2321">
        <v>1.5220720000000001</v>
      </c>
      <c r="I2321">
        <v>191.8272</v>
      </c>
      <c r="J2321">
        <v>-489.6542</v>
      </c>
      <c r="K2321">
        <v>1.117731</v>
      </c>
      <c r="L2321">
        <v>276.63099999999997</v>
      </c>
      <c r="M2321">
        <v>-0.60561089999999995</v>
      </c>
      <c r="N2321">
        <v>0</v>
      </c>
      <c r="O2321">
        <v>-0.79561979999999999</v>
      </c>
      <c r="P2321">
        <v>-0.63676699999999997</v>
      </c>
      <c r="Q2321">
        <v>-3.0205119999999998E-2</v>
      </c>
      <c r="R2321">
        <v>-0.7704647</v>
      </c>
      <c r="S2321">
        <v>-0.84362789999999999</v>
      </c>
      <c r="T2321">
        <v>1.5275240000000001E-2</v>
      </c>
      <c r="U2321">
        <v>-3.2067570000000001</v>
      </c>
      <c r="V2321">
        <v>4.0299429999999997E-2</v>
      </c>
      <c r="W2321">
        <v>-1.4494719999999999E-2</v>
      </c>
      <c r="X2321">
        <v>0.99908249999999998</v>
      </c>
      <c r="Y2321">
        <v>-0.38330399999999998</v>
      </c>
      <c r="Z2321">
        <v>-3.1095939999999998E-3</v>
      </c>
      <c r="AA2321">
        <v>0.92361700000000002</v>
      </c>
      <c r="AB2321">
        <v>24</v>
      </c>
      <c r="AC2321">
        <v>-22.2715</v>
      </c>
      <c r="AD2321">
        <v>0.40434099999999901</v>
      </c>
      <c r="AE2321">
        <v>-84.803799999999896</v>
      </c>
      <c r="AF2321">
        <v>-33.641521581994098</v>
      </c>
      <c r="AG2321">
        <v>0.40434099999999901</v>
      </c>
      <c r="AH2321">
        <v>80.966815791903997</v>
      </c>
      <c r="AI2321">
        <v>89.735772364824399</v>
      </c>
      <c r="AJ2321">
        <v>112.56276972712401</v>
      </c>
      <c r="AK2321">
        <v>87.678621826966307</v>
      </c>
      <c r="AL2321">
        <v>90.830515371561205</v>
      </c>
      <c r="AM2321">
        <v>87.690144493253996</v>
      </c>
      <c r="AN2321">
        <v>0.99999999138622597</v>
      </c>
    </row>
    <row r="2322" spans="1:40" x14ac:dyDescent="0.25">
      <c r="A2322" t="str">
        <f>"20190312161313967"</f>
        <v>20190312161313967</v>
      </c>
      <c r="B2322" t="str">
        <f>"1552378393958101"</f>
        <v>1552378393958101</v>
      </c>
      <c r="C2322" t="s">
        <v>40</v>
      </c>
      <c r="D2322">
        <v>4.8961800000000002</v>
      </c>
      <c r="E2322">
        <v>0.32393719999999998</v>
      </c>
      <c r="F2322" t="s">
        <v>75</v>
      </c>
      <c r="G2322">
        <v>-511.92570000000001</v>
      </c>
      <c r="H2322">
        <v>1.6236389999999901</v>
      </c>
      <c r="I2322">
        <v>190.47190000000001</v>
      </c>
      <c r="J2322">
        <v>-489.71730000000002</v>
      </c>
      <c r="K2322">
        <v>1.11772</v>
      </c>
      <c r="L2322">
        <v>276.53859999999997</v>
      </c>
      <c r="M2322">
        <v>-0.60113139999999998</v>
      </c>
      <c r="N2322">
        <v>0</v>
      </c>
      <c r="O2322">
        <v>-0.79900959999999999</v>
      </c>
      <c r="P2322">
        <v>-0.63244290000000003</v>
      </c>
      <c r="Q2322">
        <v>-3.017806E-2</v>
      </c>
      <c r="R2322">
        <v>-0.77401889999999995</v>
      </c>
      <c r="S2322">
        <v>-0.82949830000000002</v>
      </c>
      <c r="T2322">
        <v>1.8844369999999999E-2</v>
      </c>
      <c r="U2322">
        <v>-3.2089539999999999</v>
      </c>
      <c r="V2322">
        <v>4.031672E-2</v>
      </c>
      <c r="W2322">
        <v>-1.447067E-2</v>
      </c>
      <c r="X2322">
        <v>0.99908209999999997</v>
      </c>
      <c r="Y2322">
        <v>-0.382079</v>
      </c>
      <c r="Z2322">
        <v>-3.864517E-3</v>
      </c>
      <c r="AA2322">
        <v>0.92412159999999999</v>
      </c>
      <c r="AB2322">
        <v>24</v>
      </c>
      <c r="AC2322">
        <v>-22.208399999999902</v>
      </c>
      <c r="AD2322">
        <v>0.50591899999999901</v>
      </c>
      <c r="AE2322">
        <v>-86.066699999999898</v>
      </c>
      <c r="AF2322">
        <v>-33.995389439002302</v>
      </c>
      <c r="AG2322">
        <v>0.50591899999999901</v>
      </c>
      <c r="AH2322">
        <v>82.124853078385101</v>
      </c>
      <c r="AI2322">
        <v>89.673877701945401</v>
      </c>
      <c r="AJ2322">
        <v>112.48699403363101</v>
      </c>
      <c r="AK2322">
        <v>88.884385300739595</v>
      </c>
      <c r="AL2322">
        <v>90.829137305817895</v>
      </c>
      <c r="AM2322">
        <v>87.6891536266467</v>
      </c>
      <c r="AN2322">
        <v>0.99999994037110596</v>
      </c>
    </row>
    <row r="2323" spans="1:40" x14ac:dyDescent="0.25">
      <c r="A2323" t="str">
        <f>"20190312161313978"</f>
        <v>20190312161313978</v>
      </c>
      <c r="B2323" t="str">
        <f>"1552378393967861"</f>
        <v>1552378393967861</v>
      </c>
      <c r="C2323" t="s">
        <v>40</v>
      </c>
      <c r="D2323">
        <v>4.8916009999999996</v>
      </c>
      <c r="E2323">
        <v>0.32457619999999998</v>
      </c>
      <c r="F2323" t="s">
        <v>75</v>
      </c>
      <c r="G2323">
        <v>-511.92579999999998</v>
      </c>
      <c r="H2323">
        <v>1.7101150000000001</v>
      </c>
      <c r="I2323">
        <v>189.066</v>
      </c>
      <c r="J2323">
        <v>-489.78089999999997</v>
      </c>
      <c r="K2323">
        <v>1.11771</v>
      </c>
      <c r="L2323">
        <v>276.4434</v>
      </c>
      <c r="M2323">
        <v>-0.59653250000000002</v>
      </c>
      <c r="N2323">
        <v>0</v>
      </c>
      <c r="O2323">
        <v>-0.80244919999999997</v>
      </c>
      <c r="P2323">
        <v>-0.62787399999999904</v>
      </c>
      <c r="Q2323">
        <v>-2.9868220000000001E-2</v>
      </c>
      <c r="R2323">
        <v>-0.7777423</v>
      </c>
      <c r="S2323">
        <v>-0.81515499999999996</v>
      </c>
      <c r="T2323">
        <v>2.1745560000000001E-2</v>
      </c>
      <c r="U2323">
        <v>-3.2106319999999999</v>
      </c>
      <c r="V2323">
        <v>4.0158340000000001E-2</v>
      </c>
      <c r="W2323">
        <v>-1.4167020000000001E-2</v>
      </c>
      <c r="X2323">
        <v>0.99909289999999995</v>
      </c>
      <c r="Y2323">
        <v>-0.38076280000000001</v>
      </c>
      <c r="Z2323">
        <v>-4.4935399999999999E-3</v>
      </c>
      <c r="AA2323">
        <v>0.92466179999999998</v>
      </c>
      <c r="AB2323">
        <v>24</v>
      </c>
      <c r="AC2323">
        <v>-22.1449</v>
      </c>
      <c r="AD2323">
        <v>0.59240499999999996</v>
      </c>
      <c r="AE2323">
        <v>-87.377399999999994</v>
      </c>
      <c r="AF2323">
        <v>-34.3556703343273</v>
      </c>
      <c r="AG2323">
        <v>0.59240499999999996</v>
      </c>
      <c r="AH2323">
        <v>83.331822857490593</v>
      </c>
      <c r="AI2323">
        <v>89.623437867023199</v>
      </c>
      <c r="AJ2323">
        <v>112.405154966366</v>
      </c>
      <c r="AK2323">
        <v>90.137981609070906</v>
      </c>
      <c r="AL2323">
        <v>90.811737601109101</v>
      </c>
      <c r="AM2323">
        <v>87.698246615509106</v>
      </c>
      <c r="AN2323">
        <v>1.00000000977882</v>
      </c>
    </row>
    <row r="2324" spans="1:40" x14ac:dyDescent="0.25">
      <c r="A2324" t="str">
        <f>"20190312161313992"</f>
        <v>20190312161313992</v>
      </c>
      <c r="B2324" t="str">
        <f>"1552378393988357"</f>
        <v>1552378393988357</v>
      </c>
      <c r="C2324" t="s">
        <v>40</v>
      </c>
      <c r="D2324">
        <v>4.8901209999999997</v>
      </c>
      <c r="E2324">
        <v>0.3260788</v>
      </c>
      <c r="F2324" t="s">
        <v>75</v>
      </c>
      <c r="G2324">
        <v>-511.92579999999998</v>
      </c>
      <c r="H2324">
        <v>1.7818210000000001</v>
      </c>
      <c r="I2324">
        <v>187.53960000000001</v>
      </c>
      <c r="J2324">
        <v>-489.85300000000001</v>
      </c>
      <c r="K2324">
        <v>1.1177010000000001</v>
      </c>
      <c r="L2324">
        <v>276.33479999999997</v>
      </c>
      <c r="M2324">
        <v>-0.59127189999999996</v>
      </c>
      <c r="N2324">
        <v>0</v>
      </c>
      <c r="O2324">
        <v>-0.80633290000000002</v>
      </c>
      <c r="P2324">
        <v>-0.6226971</v>
      </c>
      <c r="Q2324">
        <v>-2.95505E-2</v>
      </c>
      <c r="R2324">
        <v>-0.78190490000000001</v>
      </c>
      <c r="S2324">
        <v>-0.80014039999999997</v>
      </c>
      <c r="T2324">
        <v>2.399743E-2</v>
      </c>
      <c r="U2324">
        <v>-3.21225</v>
      </c>
      <c r="V2324">
        <v>4.004651E-2</v>
      </c>
      <c r="W2324">
        <v>-1.385509E-2</v>
      </c>
      <c r="X2324">
        <v>0.99910180000000004</v>
      </c>
      <c r="Y2324">
        <v>-0.3788918</v>
      </c>
      <c r="Z2324">
        <v>-5.0021889999999998E-3</v>
      </c>
      <c r="AA2324">
        <v>0.92542740000000001</v>
      </c>
      <c r="AB2324">
        <v>24</v>
      </c>
      <c r="AC2324">
        <v>-22.072799999999901</v>
      </c>
      <c r="AD2324">
        <v>0.66411999999999904</v>
      </c>
      <c r="AE2324">
        <v>-88.795199999999895</v>
      </c>
      <c r="AF2324">
        <v>-34.706154642332301</v>
      </c>
      <c r="AG2324">
        <v>0.66411999999999904</v>
      </c>
      <c r="AH2324">
        <v>84.654573602244298</v>
      </c>
      <c r="AI2324">
        <v>89.584113211648202</v>
      </c>
      <c r="AJ2324">
        <v>112.29234252954799</v>
      </c>
      <c r="AK2324">
        <v>91.495109471543202</v>
      </c>
      <c r="AL2324">
        <v>90.793863544948806</v>
      </c>
      <c r="AM2324">
        <v>87.704669929197493</v>
      </c>
      <c r="AN2324">
        <v>1.00000004662266</v>
      </c>
    </row>
    <row r="2325" spans="1:40" x14ac:dyDescent="0.25">
      <c r="A2325" t="str">
        <f>"20190312161314002"</f>
        <v>20190312161314002</v>
      </c>
      <c r="B2325" t="str">
        <f>"1552378393998116"</f>
        <v>1552378393998116</v>
      </c>
      <c r="C2325" t="s">
        <v>40</v>
      </c>
      <c r="D2325">
        <v>4.8995329999999999</v>
      </c>
      <c r="E2325">
        <v>0.32686310000000002</v>
      </c>
      <c r="F2325" t="s">
        <v>75</v>
      </c>
      <c r="G2325">
        <v>-511.92579999999998</v>
      </c>
      <c r="H2325">
        <v>1.8704130000000001</v>
      </c>
      <c r="I2325">
        <v>186.45689999999999</v>
      </c>
      <c r="J2325">
        <v>-489.9135</v>
      </c>
      <c r="K2325">
        <v>1.117691</v>
      </c>
      <c r="L2325">
        <v>276.24209999999999</v>
      </c>
      <c r="M2325">
        <v>-0.58678189999999997</v>
      </c>
      <c r="N2325">
        <v>0</v>
      </c>
      <c r="O2325">
        <v>-0.80960639999999995</v>
      </c>
      <c r="P2325">
        <v>-0.61816349999999998</v>
      </c>
      <c r="Q2325">
        <v>-2.897158E-2</v>
      </c>
      <c r="R2325">
        <v>-0.78551569999999904</v>
      </c>
      <c r="S2325">
        <v>-0.78833009999999903</v>
      </c>
      <c r="T2325">
        <v>2.6884789999999999E-2</v>
      </c>
      <c r="U2325">
        <v>-3.2099609999999998</v>
      </c>
      <c r="V2325">
        <v>3.9795700000000003E-2</v>
      </c>
      <c r="W2325">
        <v>-1.328376E-2</v>
      </c>
      <c r="X2325">
        <v>0.99911950000000005</v>
      </c>
      <c r="Y2325">
        <v>-0.37680239999999998</v>
      </c>
      <c r="Z2325">
        <v>-5.6520019999999997E-3</v>
      </c>
      <c r="AA2325">
        <v>0.9262764</v>
      </c>
      <c r="AB2325">
        <v>24</v>
      </c>
      <c r="AC2325">
        <v>-22.0122999999999</v>
      </c>
      <c r="AD2325">
        <v>0.752722</v>
      </c>
      <c r="AE2325">
        <v>-89.785200000000003</v>
      </c>
      <c r="AF2325">
        <v>-34.864633448149398</v>
      </c>
      <c r="AG2325">
        <v>0.752722</v>
      </c>
      <c r="AH2325">
        <v>85.611025906255904</v>
      </c>
      <c r="AI2325">
        <v>89.533451351818101</v>
      </c>
      <c r="AJ2325">
        <v>112.15834821022599</v>
      </c>
      <c r="AK2325">
        <v>92.441100234715506</v>
      </c>
      <c r="AL2325">
        <v>90.7611257958214</v>
      </c>
      <c r="AM2325">
        <v>87.719070641527594</v>
      </c>
      <c r="AN2325">
        <v>0.99999996564923799</v>
      </c>
    </row>
    <row r="2326" spans="1:40" x14ac:dyDescent="0.25">
      <c r="A2326" t="str">
        <f>"20190312161314013"</f>
        <v>20190312161314013</v>
      </c>
      <c r="B2326" t="str">
        <f>"1552378394007878"</f>
        <v>1552378394007878</v>
      </c>
      <c r="C2326" t="s">
        <v>40</v>
      </c>
      <c r="D2326">
        <v>4.8605359999999997</v>
      </c>
      <c r="E2326">
        <v>0.32686310000000002</v>
      </c>
      <c r="F2326" t="s">
        <v>75</v>
      </c>
      <c r="G2326">
        <v>-511.92579999999998</v>
      </c>
      <c r="H2326">
        <v>1.9427289999999999</v>
      </c>
      <c r="I2326">
        <v>185.0067</v>
      </c>
      <c r="J2326">
        <v>-489.97669999999999</v>
      </c>
      <c r="K2326">
        <v>1.117683</v>
      </c>
      <c r="L2326">
        <v>276.14409999999998</v>
      </c>
      <c r="M2326">
        <v>-0.58203309999999997</v>
      </c>
      <c r="N2326">
        <v>0</v>
      </c>
      <c r="O2326">
        <v>-0.81302730000000001</v>
      </c>
      <c r="P2326">
        <v>-0.61325560000000001</v>
      </c>
      <c r="Q2326">
        <v>-2.8829469999999999E-2</v>
      </c>
      <c r="R2326">
        <v>-0.78935840000000002</v>
      </c>
      <c r="S2326">
        <v>-0.77462769999999903</v>
      </c>
      <c r="T2326">
        <v>2.9035209999999999E-2</v>
      </c>
      <c r="U2326">
        <v>-3.2106020000000002</v>
      </c>
      <c r="V2326">
        <v>3.9410710000000002E-2</v>
      </c>
      <c r="W2326">
        <v>-1.315205E-2</v>
      </c>
      <c r="X2326">
        <v>0.99913649999999998</v>
      </c>
      <c r="Y2326">
        <v>-0.37515559999999998</v>
      </c>
      <c r="Z2326">
        <v>-6.1518559999999998E-3</v>
      </c>
      <c r="AA2326">
        <v>0.92694149999999997</v>
      </c>
      <c r="AB2326">
        <v>24</v>
      </c>
      <c r="AC2326">
        <v>-21.949099999999898</v>
      </c>
      <c r="AD2326">
        <v>0.82504599999999995</v>
      </c>
      <c r="AE2326">
        <v>-91.1374</v>
      </c>
      <c r="AF2326">
        <v>-35.200983718122203</v>
      </c>
      <c r="AG2326">
        <v>0.82504599999999995</v>
      </c>
      <c r="AH2326">
        <v>86.875302423685994</v>
      </c>
      <c r="AI2326">
        <v>89.495706445271495</v>
      </c>
      <c r="AJ2326">
        <v>112.057287677925</v>
      </c>
      <c r="AK2326">
        <v>93.739576096932197</v>
      </c>
      <c r="AL2326">
        <v>90.753578711074496</v>
      </c>
      <c r="AM2326">
        <v>87.741152143625797</v>
      </c>
      <c r="AN2326">
        <v>0.99999996305707695</v>
      </c>
    </row>
    <row r="2327" spans="1:40" x14ac:dyDescent="0.25">
      <c r="A2327" t="str">
        <f>"20190312161314024"</f>
        <v>20190312161314024</v>
      </c>
      <c r="B2327" t="str">
        <f>"1552378394018614"</f>
        <v>1552378394018614</v>
      </c>
      <c r="C2327" t="s">
        <v>40</v>
      </c>
      <c r="D2327">
        <v>4.8261659999999997</v>
      </c>
      <c r="E2327">
        <v>0.34279280000000001</v>
      </c>
      <c r="F2327" t="s">
        <v>75</v>
      </c>
      <c r="G2327">
        <v>-511.92579999999998</v>
      </c>
      <c r="H2327">
        <v>1.9710479999999999</v>
      </c>
      <c r="I2327">
        <v>182.63669999999999</v>
      </c>
      <c r="J2327">
        <v>-490.04090000000002</v>
      </c>
      <c r="K2327">
        <v>1.1176729999999999</v>
      </c>
      <c r="L2327">
        <v>276.04349999999999</v>
      </c>
      <c r="M2327">
        <v>-0.57715369999999899</v>
      </c>
      <c r="N2327">
        <v>0</v>
      </c>
      <c r="O2327">
        <v>-0.81649859999999996</v>
      </c>
      <c r="P2327">
        <v>-0.60850740000000003</v>
      </c>
      <c r="Q2327">
        <v>-2.8610170000000001E-2</v>
      </c>
      <c r="R2327">
        <v>-0.79303290000000004</v>
      </c>
      <c r="S2327">
        <v>-0.75473020000000002</v>
      </c>
      <c r="T2327">
        <v>2.934492E-2</v>
      </c>
      <c r="U2327">
        <v>-3.215271</v>
      </c>
      <c r="V2327">
        <v>3.9389189999999998E-2</v>
      </c>
      <c r="W2327">
        <v>-1.293686E-2</v>
      </c>
      <c r="X2327">
        <v>0.99914020000000003</v>
      </c>
      <c r="Y2327">
        <v>-0.37534040000000002</v>
      </c>
      <c r="Z2327">
        <v>-6.2563460000000003E-3</v>
      </c>
      <c r="AA2327">
        <v>0.92686590000000002</v>
      </c>
      <c r="AB2327">
        <v>24</v>
      </c>
      <c r="AC2327">
        <v>-21.884899999999899</v>
      </c>
      <c r="AD2327">
        <v>0.85337499999999999</v>
      </c>
      <c r="AE2327">
        <v>-93.406800000000004</v>
      </c>
      <c r="AF2327">
        <v>-36.042269010801398</v>
      </c>
      <c r="AG2327">
        <v>0.85337499999999999</v>
      </c>
      <c r="AH2327">
        <v>88.900380504650101</v>
      </c>
      <c r="AI2327">
        <v>89.490314403945504</v>
      </c>
      <c r="AJ2327">
        <v>112.06877091631</v>
      </c>
      <c r="AK2327">
        <v>95.932533888192395</v>
      </c>
      <c r="AL2327">
        <v>90.741248151637606</v>
      </c>
      <c r="AM2327">
        <v>87.742392650086103</v>
      </c>
      <c r="AN2327">
        <v>1.00000000494577</v>
      </c>
    </row>
    <row r="2328" spans="1:40" x14ac:dyDescent="0.25">
      <c r="A2328" t="str">
        <f>"20190312161314036"</f>
        <v>20190312161314036</v>
      </c>
      <c r="B2328" t="str">
        <f>"1552378394028374"</f>
        <v>1552378394028374</v>
      </c>
      <c r="C2328" t="s">
        <v>40</v>
      </c>
      <c r="D2328">
        <v>4.8323390000000002</v>
      </c>
      <c r="E2328">
        <v>0.34328009999999998</v>
      </c>
      <c r="F2328" t="s">
        <v>75</v>
      </c>
      <c r="G2328">
        <v>-511.92570000000001</v>
      </c>
      <c r="H2328">
        <v>1.436761</v>
      </c>
      <c r="I2328">
        <v>193.73339999999999</v>
      </c>
      <c r="J2328">
        <v>-490.10430000000002</v>
      </c>
      <c r="K2328">
        <v>1.117659</v>
      </c>
      <c r="L2328">
        <v>275.94240000000002</v>
      </c>
      <c r="M2328">
        <v>-0.57225099999999995</v>
      </c>
      <c r="N2328">
        <v>0</v>
      </c>
      <c r="O2328">
        <v>-0.81994179999999905</v>
      </c>
      <c r="P2328">
        <v>-0.6036068</v>
      </c>
      <c r="Q2328">
        <v>-2.839239E-2</v>
      </c>
      <c r="R2328">
        <v>-0.7967765</v>
      </c>
      <c r="S2328">
        <v>-0.83547969999999905</v>
      </c>
      <c r="T2328">
        <v>1.2183670000000001E-2</v>
      </c>
      <c r="U2328">
        <v>-3.1422729999999999</v>
      </c>
      <c r="V2328">
        <v>3.9207789999999999E-2</v>
      </c>
      <c r="W2328">
        <v>-1.272599E-2</v>
      </c>
      <c r="X2328">
        <v>0.99914999999999998</v>
      </c>
      <c r="Y2328">
        <v>-0.34238679999999999</v>
      </c>
      <c r="Z2328">
        <v>-2.6942009999999998E-3</v>
      </c>
      <c r="AA2328">
        <v>0.93955520000000003</v>
      </c>
      <c r="AB2328">
        <v>24</v>
      </c>
      <c r="AC2328">
        <v>-21.821399999999901</v>
      </c>
      <c r="AD2328">
        <v>0.319102</v>
      </c>
      <c r="AE2328">
        <v>-82.209000000000003</v>
      </c>
      <c r="AF2328">
        <v>-29.154763135298399</v>
      </c>
      <c r="AG2328">
        <v>0.319102</v>
      </c>
      <c r="AH2328">
        <v>79.901747900852499</v>
      </c>
      <c r="AI2328">
        <v>89.785042710166806</v>
      </c>
      <c r="AJ2328">
        <v>110.046149739962</v>
      </c>
      <c r="AK2328">
        <v>85.055225337266293</v>
      </c>
      <c r="AL2328">
        <v>90.729165227179394</v>
      </c>
      <c r="AM2328">
        <v>87.752800999378195</v>
      </c>
      <c r="AN2328">
        <v>0.99999996205908104</v>
      </c>
    </row>
    <row r="2329" spans="1:40" x14ac:dyDescent="0.25">
      <c r="A2329" t="str">
        <f>"20190312161314049"</f>
        <v>20190312161314049</v>
      </c>
      <c r="B2329" t="str">
        <f>"1552378394038134"</f>
        <v>1552378394038134</v>
      </c>
      <c r="C2329" t="s">
        <v>40</v>
      </c>
      <c r="D2329">
        <v>4.9013790000000004</v>
      </c>
      <c r="E2329">
        <v>0.34328009999999998</v>
      </c>
      <c r="F2329" t="s">
        <v>75</v>
      </c>
      <c r="G2329">
        <v>-511.92570000000001</v>
      </c>
      <c r="H2329">
        <v>1.648908</v>
      </c>
      <c r="I2329">
        <v>192.15029999999999</v>
      </c>
      <c r="J2329">
        <v>-490.17320000000001</v>
      </c>
      <c r="K2329">
        <v>1.117645</v>
      </c>
      <c r="L2329">
        <v>275.83150000000001</v>
      </c>
      <c r="M2329">
        <v>-0.56686930000000002</v>
      </c>
      <c r="N2329">
        <v>0</v>
      </c>
      <c r="O2329">
        <v>-0.82367190000000001</v>
      </c>
      <c r="P2329">
        <v>-0.59841880000000003</v>
      </c>
      <c r="Q2329">
        <v>-2.840579E-2</v>
      </c>
      <c r="R2329">
        <v>-0.8006799</v>
      </c>
      <c r="S2329">
        <v>-0.81912229999999997</v>
      </c>
      <c r="T2329">
        <v>1.994371E-2</v>
      </c>
      <c r="U2329">
        <v>-3.1453250000000001</v>
      </c>
      <c r="V2329">
        <v>3.9261129999999998E-2</v>
      </c>
      <c r="W2329">
        <v>-1.274254E-2</v>
      </c>
      <c r="X2329">
        <v>0.99914769999999997</v>
      </c>
      <c r="Y2329">
        <v>-0.34103159999999999</v>
      </c>
      <c r="Z2329">
        <v>-4.443102E-3</v>
      </c>
      <c r="AA2329">
        <v>0.94004140000000003</v>
      </c>
      <c r="AB2329">
        <v>24</v>
      </c>
      <c r="AC2329">
        <v>-21.752500000000001</v>
      </c>
      <c r="AD2329">
        <v>0.53126300000000004</v>
      </c>
      <c r="AE2329">
        <v>-83.681200000000004</v>
      </c>
      <c r="AF2329">
        <v>-29.5215694379112</v>
      </c>
      <c r="AG2329">
        <v>0.53126300000000004</v>
      </c>
      <c r="AH2329">
        <v>81.262703491995595</v>
      </c>
      <c r="AI2329">
        <v>89.647939922817997</v>
      </c>
      <c r="AJ2329">
        <v>109.965354026333</v>
      </c>
      <c r="AK2329">
        <v>86.460582240004499</v>
      </c>
      <c r="AL2329">
        <v>90.730113545261901</v>
      </c>
      <c r="AM2329">
        <v>87.749741777113201</v>
      </c>
      <c r="AN2329">
        <v>0.99999996753490805</v>
      </c>
    </row>
    <row r="2330" spans="1:40" x14ac:dyDescent="0.25">
      <c r="A2330" t="str">
        <f>"20190312161314061"</f>
        <v>20190312161314061</v>
      </c>
      <c r="B2330" t="str">
        <f>"1552378394057654"</f>
        <v>1552378394057654</v>
      </c>
      <c r="C2330" t="s">
        <v>40</v>
      </c>
      <c r="D2330">
        <v>5.0167070000000002</v>
      </c>
      <c r="E2330">
        <v>0.3358894</v>
      </c>
      <c r="F2330" t="s">
        <v>75</v>
      </c>
      <c r="G2330">
        <v>-511.92579999999998</v>
      </c>
      <c r="H2330">
        <v>1.6644110000000001</v>
      </c>
      <c r="I2330">
        <v>190.04910000000001</v>
      </c>
      <c r="J2330">
        <v>-490.24180000000001</v>
      </c>
      <c r="K2330">
        <v>1.1176360000000001</v>
      </c>
      <c r="L2330">
        <v>275.71899999999999</v>
      </c>
      <c r="M2330">
        <v>-0.5614074</v>
      </c>
      <c r="N2330">
        <v>0</v>
      </c>
      <c r="O2330">
        <v>-0.82740409999999998</v>
      </c>
      <c r="P2330">
        <v>-0.59351200000000004</v>
      </c>
      <c r="Q2330">
        <v>-2.8624009999999998E-2</v>
      </c>
      <c r="R2330">
        <v>-0.80431600000000003</v>
      </c>
      <c r="S2330">
        <v>-0.79888919999999997</v>
      </c>
      <c r="T2330">
        <v>2.0082590000000001E-2</v>
      </c>
      <c r="U2330">
        <v>-3.150452</v>
      </c>
      <c r="V2330">
        <v>3.9770149999999997E-2</v>
      </c>
      <c r="W2330">
        <v>-1.295634E-2</v>
      </c>
      <c r="X2330">
        <v>0.99912480000000004</v>
      </c>
      <c r="Y2330">
        <v>-0.34084910000000002</v>
      </c>
      <c r="Z2330">
        <v>-4.5034819999999996E-3</v>
      </c>
      <c r="AA2330">
        <v>0.94010720000000003</v>
      </c>
      <c r="AB2330">
        <v>24</v>
      </c>
      <c r="AC2330">
        <v>-21.683999999999902</v>
      </c>
      <c r="AD2330">
        <v>0.54677500000000001</v>
      </c>
      <c r="AE2330">
        <v>-85.669899999999899</v>
      </c>
      <c r="AF2330">
        <v>-30.1565115275354</v>
      </c>
      <c r="AG2330">
        <v>0.54677500000000001</v>
      </c>
      <c r="AH2330">
        <v>83.063316470215298</v>
      </c>
      <c r="AI2330">
        <v>89.645488782238402</v>
      </c>
      <c r="AJ2330">
        <v>109.953656643447</v>
      </c>
      <c r="AK2330">
        <v>88.3698404063407</v>
      </c>
      <c r="AL2330">
        <v>90.742364408668607</v>
      </c>
      <c r="AM2330">
        <v>87.720545598448595</v>
      </c>
      <c r="AN2330">
        <v>0.99999994877612697</v>
      </c>
    </row>
    <row r="2331" spans="1:40" x14ac:dyDescent="0.25">
      <c r="A2331" t="str">
        <f>"20190312161314074"</f>
        <v>20190312161314074</v>
      </c>
      <c r="B2331" t="str">
        <f>"1552378394068389"</f>
        <v>1552378394068389</v>
      </c>
      <c r="C2331" t="s">
        <v>40</v>
      </c>
      <c r="D2331">
        <v>5.0021300000000002</v>
      </c>
      <c r="E2331">
        <v>0.33361960000000002</v>
      </c>
      <c r="F2331" t="s">
        <v>75</v>
      </c>
      <c r="G2331">
        <v>-511.58929999999998</v>
      </c>
      <c r="H2331">
        <v>1.3563229999999999</v>
      </c>
      <c r="I2331">
        <v>182.61779999999999</v>
      </c>
      <c r="J2331">
        <v>-490.30529999999999</v>
      </c>
      <c r="K2331">
        <v>1.1176250000000001</v>
      </c>
      <c r="L2331">
        <v>275.61360000000002</v>
      </c>
      <c r="M2331">
        <v>-0.5562859</v>
      </c>
      <c r="N2331">
        <v>0</v>
      </c>
      <c r="O2331">
        <v>-0.83085640000000005</v>
      </c>
      <c r="P2331">
        <v>-0.58858949999999999</v>
      </c>
      <c r="Q2331">
        <v>-2.8649959999999999E-2</v>
      </c>
      <c r="R2331">
        <v>-0.80792430000000004</v>
      </c>
      <c r="S2331">
        <v>-0.73153690000000005</v>
      </c>
      <c r="T2331">
        <v>8.1810949999999993E-3</v>
      </c>
      <c r="U2331">
        <v>-3.190369</v>
      </c>
      <c r="V2331">
        <v>3.984145E-2</v>
      </c>
      <c r="W2331">
        <v>-1.298508E-2</v>
      </c>
      <c r="X2331">
        <v>0.9991217</v>
      </c>
      <c r="Y2331">
        <v>-0.3565623</v>
      </c>
      <c r="Z2331">
        <v>-1.820573E-3</v>
      </c>
      <c r="AA2331">
        <v>0.93426980000000004</v>
      </c>
      <c r="AB2331">
        <v>24</v>
      </c>
      <c r="AC2331">
        <v>-21.283999999999899</v>
      </c>
      <c r="AD2331">
        <v>0.23869799999999899</v>
      </c>
      <c r="AE2331">
        <v>-92.995800000000003</v>
      </c>
      <c r="AF2331">
        <v>-34.051899426142498</v>
      </c>
      <c r="AG2331">
        <v>0.23869799999999899</v>
      </c>
      <c r="AH2331">
        <v>89.115552327927205</v>
      </c>
      <c r="AI2331">
        <v>89.856641568548795</v>
      </c>
      <c r="AJ2331">
        <v>110.912331811399</v>
      </c>
      <c r="AK2331">
        <v>95.400055020816794</v>
      </c>
      <c r="AL2331">
        <v>90.744011143430498</v>
      </c>
      <c r="AM2331">
        <v>87.716456232924799</v>
      </c>
      <c r="AN2331">
        <v>1.0000000624257901</v>
      </c>
    </row>
    <row r="2332" spans="1:40" x14ac:dyDescent="0.25">
      <c r="A2332" t="str">
        <f>"20190312161314092"</f>
        <v>20190312161314092</v>
      </c>
      <c r="B2332" t="str">
        <f>"1552378394087909"</f>
        <v>1552378394087909</v>
      </c>
      <c r="C2332" t="s">
        <v>40</v>
      </c>
      <c r="D2332">
        <v>5.010815</v>
      </c>
      <c r="E2332">
        <v>0.33160640000000002</v>
      </c>
      <c r="F2332" t="s">
        <v>75</v>
      </c>
      <c r="G2332">
        <v>-511.0591</v>
      </c>
      <c r="H2332">
        <v>1.2773209999999999</v>
      </c>
      <c r="I2332">
        <v>180.19210000000001</v>
      </c>
      <c r="J2332">
        <v>-490.40089999999998</v>
      </c>
      <c r="K2332">
        <v>1.1176109999999999</v>
      </c>
      <c r="L2332">
        <v>275.45179999999999</v>
      </c>
      <c r="M2332">
        <v>-0.54841980000000001</v>
      </c>
      <c r="N2332">
        <v>0</v>
      </c>
      <c r="O2332">
        <v>-0.83606930000000002</v>
      </c>
      <c r="P2332">
        <v>-0.58115589999999995</v>
      </c>
      <c r="Q2332">
        <v>-2.8156170000000001E-2</v>
      </c>
      <c r="R2332">
        <v>-0.81330519999999995</v>
      </c>
      <c r="S2332">
        <v>-0.69720459999999995</v>
      </c>
      <c r="T2332">
        <v>5.3665639999999999E-3</v>
      </c>
      <c r="U2332">
        <v>-3.2055660000000001</v>
      </c>
      <c r="V2332">
        <v>4.0089600000000003E-2</v>
      </c>
      <c r="W2332">
        <v>-1.249286E-2</v>
      </c>
      <c r="X2332">
        <v>0.99911799999999995</v>
      </c>
      <c r="Y2332">
        <v>-0.358242</v>
      </c>
      <c r="Z2332">
        <v>-1.201637E-3</v>
      </c>
      <c r="AA2332">
        <v>0.93362800000000001</v>
      </c>
      <c r="AB2332">
        <v>24</v>
      </c>
      <c r="AC2332">
        <v>-20.658200000000001</v>
      </c>
      <c r="AD2332">
        <v>0.15970999999999899</v>
      </c>
      <c r="AE2332">
        <v>-95.259699999999896</v>
      </c>
      <c r="AF2332">
        <v>-34.974439633472002</v>
      </c>
      <c r="AG2332">
        <v>0.15970999999999899</v>
      </c>
      <c r="AH2332">
        <v>90.983016158466896</v>
      </c>
      <c r="AI2332">
        <v>89.906121328150505</v>
      </c>
      <c r="AJ2332">
        <v>111.027071672446</v>
      </c>
      <c r="AK2332">
        <v>97.473822969304607</v>
      </c>
      <c r="AL2332">
        <v>90.715806763255202</v>
      </c>
      <c r="AM2332">
        <v>87.702240019733594</v>
      </c>
      <c r="AN2332">
        <v>1.00000001275156</v>
      </c>
    </row>
    <row r="2333" spans="1:40" x14ac:dyDescent="0.25">
      <c r="A2333" t="str">
        <f>"20190312161314104"</f>
        <v>20190312161314104</v>
      </c>
      <c r="B2333" t="str">
        <f>"1552378394097669"</f>
        <v>1552378394097669</v>
      </c>
      <c r="C2333" t="s">
        <v>40</v>
      </c>
      <c r="D2333">
        <v>4.9737850000000003</v>
      </c>
      <c r="E2333">
        <v>0.33121669999999998</v>
      </c>
      <c r="F2333" t="s">
        <v>75</v>
      </c>
      <c r="G2333">
        <v>-511.9255</v>
      </c>
      <c r="H2333">
        <v>1.0894969999999999</v>
      </c>
      <c r="I2333">
        <v>169.4796</v>
      </c>
      <c r="J2333">
        <v>-490.46679999999998</v>
      </c>
      <c r="K2333">
        <v>1.1175999999999999</v>
      </c>
      <c r="L2333">
        <v>275.33850000000001</v>
      </c>
      <c r="M2333">
        <v>-0.54290729999999998</v>
      </c>
      <c r="N2333">
        <v>0</v>
      </c>
      <c r="O2333">
        <v>-0.839659499999999</v>
      </c>
      <c r="P2333">
        <v>-0.57559399999999905</v>
      </c>
      <c r="Q2333">
        <v>-2.7660170000000001E-2</v>
      </c>
      <c r="R2333">
        <v>-0.81726779999999999</v>
      </c>
      <c r="S2333">
        <v>-0.65426640000000003</v>
      </c>
      <c r="T2333">
        <v>-8.5306170000000003E-4</v>
      </c>
      <c r="U2333">
        <v>-3.22113</v>
      </c>
      <c r="V2333">
        <v>3.9828669999999997E-2</v>
      </c>
      <c r="W2333">
        <v>-1.2005429999999999E-2</v>
      </c>
      <c r="X2333">
        <v>0.99913439999999998</v>
      </c>
      <c r="Y2333">
        <v>-0.36494779999999999</v>
      </c>
      <c r="Z2333">
        <v>1.9131169999999999E-4</v>
      </c>
      <c r="AA2333">
        <v>0.93102799999999997</v>
      </c>
      <c r="AB2333">
        <v>24</v>
      </c>
      <c r="AC2333">
        <v>-21.4587</v>
      </c>
      <c r="AD2333">
        <v>-2.8102999999999899E-2</v>
      </c>
      <c r="AE2333">
        <v>-105.85890000000001</v>
      </c>
      <c r="AF2333">
        <v>-39.457977001577603</v>
      </c>
      <c r="AG2333">
        <v>-2.8102999999999899E-2</v>
      </c>
      <c r="AH2333">
        <v>100.546750252237</v>
      </c>
      <c r="AI2333">
        <v>90.014907454993903</v>
      </c>
      <c r="AJ2333">
        <v>111.426737228332</v>
      </c>
      <c r="AK2333">
        <v>108.011951769799</v>
      </c>
      <c r="AL2333">
        <v>90.687876994023597</v>
      </c>
      <c r="AM2333">
        <v>87.717216939650896</v>
      </c>
      <c r="AN2333">
        <v>1.0000000012834001</v>
      </c>
    </row>
    <row r="2334" spans="1:40" x14ac:dyDescent="0.25">
      <c r="A2334" t="str">
        <f>"20190312161314115"</f>
        <v>20190312161314115</v>
      </c>
      <c r="B2334" t="str">
        <f>"1552378394108406"</f>
        <v>1552378394108406</v>
      </c>
      <c r="C2334" t="s">
        <v>40</v>
      </c>
      <c r="D2334">
        <v>4.9823879999999896</v>
      </c>
      <c r="E2334">
        <v>0.33104309999999998</v>
      </c>
      <c r="F2334" t="s">
        <v>75</v>
      </c>
      <c r="G2334">
        <v>-511.9255</v>
      </c>
      <c r="H2334">
        <v>1.007155</v>
      </c>
      <c r="I2334">
        <v>165.434</v>
      </c>
      <c r="J2334">
        <v>-490.52210000000002</v>
      </c>
      <c r="K2334">
        <v>1.117591</v>
      </c>
      <c r="L2334">
        <v>275.24160000000001</v>
      </c>
      <c r="M2334">
        <v>-0.53819479999999997</v>
      </c>
      <c r="N2334">
        <v>0</v>
      </c>
      <c r="O2334">
        <v>-0.84268779999999999</v>
      </c>
      <c r="P2334">
        <v>-0.57070010000000004</v>
      </c>
      <c r="Q2334">
        <v>-2.7037459999999999E-2</v>
      </c>
      <c r="R2334">
        <v>-0.82071309999999997</v>
      </c>
      <c r="S2334">
        <v>-0.63006589999999996</v>
      </c>
      <c r="T2334">
        <v>-3.2414200000000001E-3</v>
      </c>
      <c r="U2334">
        <v>-3.2269589999999999</v>
      </c>
      <c r="V2334">
        <v>3.9433429999999998E-2</v>
      </c>
      <c r="W2334">
        <v>-1.1392960000000001E-2</v>
      </c>
      <c r="X2334">
        <v>0.99915719999999997</v>
      </c>
      <c r="Y2334">
        <v>-0.36677549999999998</v>
      </c>
      <c r="Z2334">
        <v>7.3004159999999995E-4</v>
      </c>
      <c r="AA2334">
        <v>0.93030919999999895</v>
      </c>
      <c r="AB2334">
        <v>24</v>
      </c>
      <c r="AC2334">
        <v>-21.403399999999898</v>
      </c>
      <c r="AD2334">
        <v>-0.11043599999999899</v>
      </c>
      <c r="AE2334">
        <v>-109.807599999999</v>
      </c>
      <c r="AF2334">
        <v>-41.066047285340701</v>
      </c>
      <c r="AG2334">
        <v>-0.11043599999999899</v>
      </c>
      <c r="AH2334">
        <v>104.064258597722</v>
      </c>
      <c r="AI2334">
        <v>90.0565592996183</v>
      </c>
      <c r="AJ2334">
        <v>111.535283461882</v>
      </c>
      <c r="AK2334">
        <v>111.874046826087</v>
      </c>
      <c r="AL2334">
        <v>90.652782677421598</v>
      </c>
      <c r="AM2334">
        <v>87.739898059619904</v>
      </c>
      <c r="AN2334">
        <v>0.99999995262548202</v>
      </c>
    </row>
    <row r="2335" spans="1:40" x14ac:dyDescent="0.25">
      <c r="A2335" t="str">
        <f>"20190312161314126"</f>
        <v>20190312161314126</v>
      </c>
      <c r="B2335" t="str">
        <f>"1552378394117697"</f>
        <v>1552378394117697</v>
      </c>
      <c r="C2335" t="s">
        <v>40</v>
      </c>
      <c r="D2335">
        <v>5.0318069999999997</v>
      </c>
      <c r="E2335">
        <v>0.33123760000000002</v>
      </c>
      <c r="F2335" t="s">
        <v>75</v>
      </c>
      <c r="G2335">
        <v>-511.9255</v>
      </c>
      <c r="H2335">
        <v>0.96705890000000005</v>
      </c>
      <c r="I2335">
        <v>161.64830000000001</v>
      </c>
      <c r="J2335">
        <v>-490.5797</v>
      </c>
      <c r="K2335">
        <v>1.1175790000000001</v>
      </c>
      <c r="L2335">
        <v>275.14</v>
      </c>
      <c r="M2335">
        <v>-0.53324229999999995</v>
      </c>
      <c r="N2335">
        <v>0</v>
      </c>
      <c r="O2335">
        <v>-0.84583059999999999</v>
      </c>
      <c r="P2335">
        <v>-0.56554369999999998</v>
      </c>
      <c r="Q2335">
        <v>-2.7143339999999998E-2</v>
      </c>
      <c r="R2335">
        <v>-0.82427199999999901</v>
      </c>
      <c r="S2335">
        <v>-0.60894780000000004</v>
      </c>
      <c r="T2335">
        <v>-4.2814020000000001E-3</v>
      </c>
      <c r="U2335">
        <v>-3.2318120000000001</v>
      </c>
      <c r="V2335">
        <v>3.9034020000000003E-2</v>
      </c>
      <c r="W2335">
        <v>-1.150958E-2</v>
      </c>
      <c r="X2335">
        <v>0.99917160000000005</v>
      </c>
      <c r="Y2335">
        <v>-0.3674443</v>
      </c>
      <c r="Z2335">
        <v>9.6909640000000005E-4</v>
      </c>
      <c r="AA2335">
        <v>0.93004500000000001</v>
      </c>
      <c r="AB2335">
        <v>23</v>
      </c>
      <c r="AC2335">
        <v>-21.345800000000001</v>
      </c>
      <c r="AD2335">
        <v>-0.15052009999999999</v>
      </c>
      <c r="AE2335">
        <v>-113.491699999999</v>
      </c>
      <c r="AF2335">
        <v>-42.468312873322603</v>
      </c>
      <c r="AG2335">
        <v>-0.15052009999999999</v>
      </c>
      <c r="AH2335">
        <v>107.38904150674701</v>
      </c>
      <c r="AI2335">
        <v>90.074680063769193</v>
      </c>
      <c r="AJ2335">
        <v>111.576927095351</v>
      </c>
      <c r="AK2335">
        <v>115.481541773328</v>
      </c>
      <c r="AL2335">
        <v>90.659464914690702</v>
      </c>
      <c r="AM2335">
        <v>87.7627988194225</v>
      </c>
      <c r="AN2335">
        <v>1.00000000569784</v>
      </c>
    </row>
    <row r="2336" spans="1:40" x14ac:dyDescent="0.25">
      <c r="A2336" t="str">
        <f>"20190312161314137"</f>
        <v>20190312161314137</v>
      </c>
      <c r="B2336" t="str">
        <f>"1552378394128432"</f>
        <v>1552378394128432</v>
      </c>
      <c r="C2336" t="s">
        <v>40</v>
      </c>
      <c r="D2336">
        <v>4.9388360000000002</v>
      </c>
      <c r="E2336">
        <v>0.33118389999999998</v>
      </c>
      <c r="F2336" t="s">
        <v>75</v>
      </c>
      <c r="G2336">
        <v>-511.92540000000002</v>
      </c>
      <c r="H2336">
        <v>0.81011719999999998</v>
      </c>
      <c r="I2336">
        <v>157.9701</v>
      </c>
      <c r="J2336">
        <v>-490.6309</v>
      </c>
      <c r="K2336">
        <v>1.117569</v>
      </c>
      <c r="L2336">
        <v>275.04790000000003</v>
      </c>
      <c r="M2336">
        <v>-0.52875349999999999</v>
      </c>
      <c r="N2336">
        <v>0</v>
      </c>
      <c r="O2336">
        <v>-0.84864399999999995</v>
      </c>
      <c r="P2336">
        <v>-0.56083099999999997</v>
      </c>
      <c r="Q2336">
        <v>-2.7638699999999999E-2</v>
      </c>
      <c r="R2336">
        <v>-0.82746949999999997</v>
      </c>
      <c r="S2336">
        <v>-0.58932499999999999</v>
      </c>
      <c r="T2336">
        <v>-8.4872249999999993E-3</v>
      </c>
      <c r="U2336">
        <v>-3.2348629999999998</v>
      </c>
      <c r="V2336">
        <v>3.8643740000000003E-2</v>
      </c>
      <c r="W2336">
        <v>-1.201545E-2</v>
      </c>
      <c r="X2336">
        <v>0.99918079999999998</v>
      </c>
      <c r="Y2336">
        <v>-0.36813099999999999</v>
      </c>
      <c r="Z2336">
        <v>1.930363E-3</v>
      </c>
      <c r="AA2336">
        <v>0.92977189999999998</v>
      </c>
      <c r="AB2336">
        <v>23</v>
      </c>
      <c r="AC2336">
        <v>-21.294499999999999</v>
      </c>
      <c r="AD2336">
        <v>-0.3074518</v>
      </c>
      <c r="AE2336">
        <v>-117.0778</v>
      </c>
      <c r="AF2336">
        <v>-43.838444658972897</v>
      </c>
      <c r="AG2336">
        <v>-0.3074518</v>
      </c>
      <c r="AH2336">
        <v>110.628516674709</v>
      </c>
      <c r="AI2336">
        <v>90.148033412356796</v>
      </c>
      <c r="AJ2336">
        <v>111.616795102355</v>
      </c>
      <c r="AK2336">
        <v>118.998203593052</v>
      </c>
      <c r="AL2336">
        <v>90.688451146649399</v>
      </c>
      <c r="AM2336">
        <v>87.785165364377704</v>
      </c>
      <c r="AN2336">
        <v>0.99999999038426501</v>
      </c>
    </row>
    <row r="2337" spans="1:40" x14ac:dyDescent="0.25">
      <c r="A2337" t="str">
        <f>"20190312161314146"</f>
        <v>20190312161314146</v>
      </c>
      <c r="B2337" t="str">
        <f>"1552378394138192"</f>
        <v>1552378394138192</v>
      </c>
      <c r="C2337" t="s">
        <v>40</v>
      </c>
      <c r="D2337">
        <v>4.7345610000000002</v>
      </c>
      <c r="E2337">
        <v>0.33118389999999998</v>
      </c>
      <c r="F2337" t="s">
        <v>75</v>
      </c>
      <c r="G2337">
        <v>-511.92540000000002</v>
      </c>
      <c r="H2337">
        <v>0.69641779999999998</v>
      </c>
      <c r="I2337">
        <v>154.2458</v>
      </c>
      <c r="J2337">
        <v>-490.6807</v>
      </c>
      <c r="K2337">
        <v>1.117559</v>
      </c>
      <c r="L2337">
        <v>274.95769999999999</v>
      </c>
      <c r="M2337">
        <v>-0.52435410000000005</v>
      </c>
      <c r="N2337">
        <v>0</v>
      </c>
      <c r="O2337">
        <v>-0.8513693</v>
      </c>
      <c r="P2337">
        <v>-0.55641390000000002</v>
      </c>
      <c r="Q2337">
        <v>-2.808515E-2</v>
      </c>
      <c r="R2337">
        <v>-0.83043060000000002</v>
      </c>
      <c r="S2337">
        <v>-0.57083130000000004</v>
      </c>
      <c r="T2337">
        <v>-1.1288289999999999E-2</v>
      </c>
      <c r="U2337">
        <v>-3.238251</v>
      </c>
      <c r="V2337">
        <v>3.8506909999999998E-2</v>
      </c>
      <c r="W2337">
        <v>-1.2467829999999999E-2</v>
      </c>
      <c r="X2337">
        <v>0.99918059999999997</v>
      </c>
      <c r="Y2337">
        <v>-0.3686355</v>
      </c>
      <c r="Z2337">
        <v>2.5791170000000001E-3</v>
      </c>
      <c r="AA2337">
        <v>0.92957040000000002</v>
      </c>
      <c r="AB2337">
        <v>23</v>
      </c>
      <c r="AC2337">
        <v>-21.244700000000002</v>
      </c>
      <c r="AD2337">
        <v>-0.42114119999999899</v>
      </c>
      <c r="AE2337">
        <v>-120.7119</v>
      </c>
      <c r="AF2337">
        <v>-45.213204234953899</v>
      </c>
      <c r="AG2337">
        <v>-0.42114119999999899</v>
      </c>
      <c r="AH2337">
        <v>113.921514776487</v>
      </c>
      <c r="AI2337">
        <v>90.196870109301997</v>
      </c>
      <c r="AJ2337">
        <v>111.647152528448</v>
      </c>
      <c r="AK2337">
        <v>122.56640129362999</v>
      </c>
      <c r="AL2337">
        <v>90.714372511486602</v>
      </c>
      <c r="AM2337">
        <v>87.792999454821697</v>
      </c>
      <c r="AN2337">
        <v>1.0000000501595001</v>
      </c>
    </row>
    <row r="2338" spans="1:40" x14ac:dyDescent="0.25">
      <c r="A2338" t="str">
        <f>"20190312161314170"</f>
        <v>20190312161314170</v>
      </c>
      <c r="B2338" t="str">
        <f>"1552378394157716"</f>
        <v>1552378394157716</v>
      </c>
      <c r="C2338" t="s">
        <v>40</v>
      </c>
      <c r="D2338">
        <v>5.0067329999999997</v>
      </c>
      <c r="E2338">
        <v>0.3150365</v>
      </c>
      <c r="F2338" t="s">
        <v>75</v>
      </c>
      <c r="G2338">
        <v>-511.40719999999999</v>
      </c>
      <c r="H2338">
        <v>0.67883209999999905</v>
      </c>
      <c r="I2338">
        <v>153.596</v>
      </c>
      <c r="J2338">
        <v>-490.78890000000001</v>
      </c>
      <c r="K2338">
        <v>1.117532</v>
      </c>
      <c r="L2338">
        <v>274.75709999999998</v>
      </c>
      <c r="M2338">
        <v>-0.51457259999999905</v>
      </c>
      <c r="N2338">
        <v>0</v>
      </c>
      <c r="O2338">
        <v>-0.85731689999999905</v>
      </c>
      <c r="P2338">
        <v>-0.54683329999999997</v>
      </c>
      <c r="Q2338">
        <v>-2.862323E-2</v>
      </c>
      <c r="R2338">
        <v>-0.83675239999999995</v>
      </c>
      <c r="S2338">
        <v>-0.55355829999999995</v>
      </c>
      <c r="T2338">
        <v>-1.171613E-2</v>
      </c>
      <c r="U2338">
        <v>-3.2412719999999999</v>
      </c>
      <c r="V2338">
        <v>3.8481469999999997E-2</v>
      </c>
      <c r="W2338">
        <v>-1.301418E-2</v>
      </c>
      <c r="X2338">
        <v>0.99917449999999997</v>
      </c>
      <c r="Y2338">
        <v>-0.36294300000000002</v>
      </c>
      <c r="Z2338">
        <v>2.7105100000000002E-3</v>
      </c>
      <c r="AA2338">
        <v>0.93180739999999995</v>
      </c>
      <c r="AB2338">
        <v>23</v>
      </c>
      <c r="AC2338">
        <v>-20.618299999999898</v>
      </c>
      <c r="AD2338">
        <v>-0.43869989999999998</v>
      </c>
      <c r="AE2338">
        <v>-121.161099999999</v>
      </c>
      <c r="AF2338">
        <v>-44.674172428257201</v>
      </c>
      <c r="AG2338">
        <v>-0.43869989999999998</v>
      </c>
      <c r="AH2338">
        <v>114.494366053977</v>
      </c>
      <c r="AI2338">
        <v>90.204518064534</v>
      </c>
      <c r="AJ2338">
        <v>111.31506512822899</v>
      </c>
      <c r="AK2338">
        <v>122.902131787264</v>
      </c>
      <c r="AL2338">
        <v>90.745678684990693</v>
      </c>
      <c r="AM2338">
        <v>87.794442641166</v>
      </c>
      <c r="AN2338">
        <v>0.99999993693233902</v>
      </c>
    </row>
    <row r="2339" spans="1:40" x14ac:dyDescent="0.25">
      <c r="A2339" t="str">
        <f>"20190312161314181"</f>
        <v>20190312161314181</v>
      </c>
      <c r="B2339" t="str">
        <f>"1552378394178208"</f>
        <v>1552378394178208</v>
      </c>
      <c r="C2339" t="s">
        <v>40</v>
      </c>
      <c r="D2339">
        <v>4.7344910000000002</v>
      </c>
      <c r="E2339">
        <v>0.31334529999999999</v>
      </c>
      <c r="F2339" t="s">
        <v>44</v>
      </c>
      <c r="G2339">
        <v>0</v>
      </c>
      <c r="H2339">
        <v>0</v>
      </c>
      <c r="I2339">
        <v>0</v>
      </c>
      <c r="J2339">
        <v>-490.84370000000001</v>
      </c>
      <c r="K2339">
        <v>1.117523</v>
      </c>
      <c r="L2339">
        <v>274.65309999999999</v>
      </c>
      <c r="M2339">
        <v>-0.50950169999999995</v>
      </c>
      <c r="N2339">
        <v>0</v>
      </c>
      <c r="O2339">
        <v>-0.8603402</v>
      </c>
      <c r="P2339">
        <v>-0.54193199999999997</v>
      </c>
      <c r="Q2339">
        <v>-2.8886619999999998E-2</v>
      </c>
      <c r="R2339">
        <v>-0.83992599999999995</v>
      </c>
      <c r="S2339">
        <v>-0.41253659999999998</v>
      </c>
      <c r="T2339">
        <v>6.067181E-2</v>
      </c>
      <c r="U2339">
        <v>-3.31778</v>
      </c>
      <c r="V2339">
        <v>3.8548529999999998E-2</v>
      </c>
      <c r="W2339">
        <v>-1.3280439999999999E-2</v>
      </c>
      <c r="X2339">
        <v>0.99916850000000001</v>
      </c>
      <c r="Y2339">
        <v>-0.39950400000000003</v>
      </c>
      <c r="Z2339">
        <v>-1.3685050000000001E-2</v>
      </c>
      <c r="AA2339">
        <v>0.91662929999999998</v>
      </c>
      <c r="AB2339">
        <v>23</v>
      </c>
      <c r="AC2339">
        <v>-0.41253659999999998</v>
      </c>
      <c r="AD2339">
        <v>6.067181E-2</v>
      </c>
      <c r="AE2339">
        <v>-3.31778</v>
      </c>
      <c r="AF2339">
        <v>-1.3352017938290299</v>
      </c>
      <c r="AG2339">
        <v>6.067181E-2</v>
      </c>
      <c r="AH2339">
        <v>3.0639399867766999</v>
      </c>
      <c r="AI2339">
        <v>88.960018214380995</v>
      </c>
      <c r="AJ2339">
        <v>113.546578174519</v>
      </c>
      <c r="AK2339">
        <v>3.3427792540552499</v>
      </c>
      <c r="AL2339">
        <v>90.760935511635907</v>
      </c>
      <c r="AM2339">
        <v>87.790589662807704</v>
      </c>
      <c r="AN2339">
        <v>1.0000000253220001</v>
      </c>
    </row>
    <row r="2340" spans="1:40" x14ac:dyDescent="0.25">
      <c r="A2340" t="str">
        <f>"20190312161314191"</f>
        <v>20190312161314191</v>
      </c>
      <c r="B2340" t="str">
        <f>"1552378394187969"</f>
        <v>1552378394187969</v>
      </c>
      <c r="C2340" t="s">
        <v>40</v>
      </c>
      <c r="D2340">
        <v>4.9720909999999998</v>
      </c>
      <c r="E2340">
        <v>0.31787539999999997</v>
      </c>
      <c r="F2340" t="s">
        <v>44</v>
      </c>
      <c r="G2340">
        <v>0</v>
      </c>
      <c r="H2340">
        <v>0</v>
      </c>
      <c r="I2340">
        <v>0</v>
      </c>
      <c r="J2340">
        <v>-490.89589999999998</v>
      </c>
      <c r="K2340">
        <v>1.117518</v>
      </c>
      <c r="L2340">
        <v>274.5532</v>
      </c>
      <c r="M2340">
        <v>-0.50461469999999997</v>
      </c>
      <c r="N2340">
        <v>0</v>
      </c>
      <c r="O2340">
        <v>-0.86321539999999997</v>
      </c>
      <c r="P2340">
        <v>-0.53705950000000002</v>
      </c>
      <c r="Q2340">
        <v>-2.856411E-2</v>
      </c>
      <c r="R2340">
        <v>-0.84306080000000005</v>
      </c>
      <c r="S2340">
        <v>-0.38256839999999998</v>
      </c>
      <c r="T2340">
        <v>7.1023340000000004E-2</v>
      </c>
      <c r="U2340">
        <v>-3.3273619999999999</v>
      </c>
      <c r="V2340">
        <v>3.841758E-2</v>
      </c>
      <c r="W2340">
        <v>-1.296375E-2</v>
      </c>
      <c r="X2340">
        <v>0.99917769999999995</v>
      </c>
      <c r="Y2340">
        <v>-0.40276879999999998</v>
      </c>
      <c r="Z2340">
        <v>-1.6053230000000002E-2</v>
      </c>
      <c r="AA2340">
        <v>0.915161</v>
      </c>
      <c r="AB2340">
        <v>23</v>
      </c>
      <c r="AC2340">
        <v>-0.38256839999999998</v>
      </c>
      <c r="AD2340">
        <v>7.1023340000000004E-2</v>
      </c>
      <c r="AE2340">
        <v>-3.3273619999999999</v>
      </c>
      <c r="AF2340">
        <v>-1.3483410639781299</v>
      </c>
      <c r="AG2340">
        <v>7.1023340000000004E-2</v>
      </c>
      <c r="AH2340">
        <v>3.0642439534228698</v>
      </c>
      <c r="AI2340">
        <v>88.784648261281106</v>
      </c>
      <c r="AJ2340">
        <v>113.750649403298</v>
      </c>
      <c r="AK2340">
        <v>3.3485308637853501</v>
      </c>
      <c r="AL2340">
        <v>90.742788951146906</v>
      </c>
      <c r="AM2340">
        <v>87.798107920647595</v>
      </c>
      <c r="AN2340">
        <v>1.0000000227221999</v>
      </c>
    </row>
    <row r="2341" spans="1:40" x14ac:dyDescent="0.25">
      <c r="A2341" t="str">
        <f>"20190312161314203"</f>
        <v>20190312161314203</v>
      </c>
      <c r="B2341" t="str">
        <f>"1552378394197728"</f>
        <v>1552378394197728</v>
      </c>
      <c r="C2341" t="s">
        <v>40</v>
      </c>
      <c r="D2341">
        <v>4.7729939999999997</v>
      </c>
      <c r="E2341">
        <v>0.31813340000000001</v>
      </c>
      <c r="F2341" t="s">
        <v>44</v>
      </c>
      <c r="G2341">
        <v>0</v>
      </c>
      <c r="H2341">
        <v>0</v>
      </c>
      <c r="I2341">
        <v>0</v>
      </c>
      <c r="J2341">
        <v>-490.95069999999998</v>
      </c>
      <c r="K2341">
        <v>1.117507</v>
      </c>
      <c r="L2341">
        <v>274.44639999999998</v>
      </c>
      <c r="M2341">
        <v>-0.49940030000000002</v>
      </c>
      <c r="N2341">
        <v>0</v>
      </c>
      <c r="O2341">
        <v>-0.86624299999999999</v>
      </c>
      <c r="P2341">
        <v>-0.53196540000000003</v>
      </c>
      <c r="Q2341">
        <v>-2.8406150000000002E-2</v>
      </c>
      <c r="R2341">
        <v>-0.84628979999999998</v>
      </c>
      <c r="S2341">
        <v>-0.3927002</v>
      </c>
      <c r="T2341">
        <v>5.1480049999999999E-2</v>
      </c>
      <c r="U2341">
        <v>-3.3100890000000001</v>
      </c>
      <c r="V2341">
        <v>3.841104E-2</v>
      </c>
      <c r="W2341">
        <v>-1.2809859999999999E-2</v>
      </c>
      <c r="X2341">
        <v>0.99917990000000001</v>
      </c>
      <c r="Y2341">
        <v>-0.39391999999999999</v>
      </c>
      <c r="Z2341">
        <v>-1.179531E-2</v>
      </c>
      <c r="AA2341">
        <v>0.91906909999999997</v>
      </c>
      <c r="AB2341">
        <v>23</v>
      </c>
      <c r="AC2341">
        <v>-0.3927002</v>
      </c>
      <c r="AD2341">
        <v>5.1480049999999999E-2</v>
      </c>
      <c r="AE2341">
        <v>-3.3100890000000001</v>
      </c>
      <c r="AF2341">
        <v>-1.31271854865321</v>
      </c>
      <c r="AG2341">
        <v>5.1480049999999999E-2</v>
      </c>
      <c r="AH2341">
        <v>3.0630661357068898</v>
      </c>
      <c r="AI2341">
        <v>89.114974150750996</v>
      </c>
      <c r="AJ2341">
        <v>113.198209966094</v>
      </c>
      <c r="AK2341">
        <v>3.3329047894052599</v>
      </c>
      <c r="AL2341">
        <v>90.733970998160501</v>
      </c>
      <c r="AM2341">
        <v>87.798487232472397</v>
      </c>
      <c r="AN2341">
        <v>0.999999986535555</v>
      </c>
    </row>
    <row r="2342" spans="1:40" x14ac:dyDescent="0.25">
      <c r="A2342" t="str">
        <f>"20190312161314214"</f>
        <v>20190312161314214</v>
      </c>
      <c r="B2342" t="str">
        <f>"1552378394208464"</f>
        <v>1552378394208464</v>
      </c>
      <c r="C2342" t="s">
        <v>40</v>
      </c>
      <c r="D2342">
        <v>4.7202120000000001</v>
      </c>
      <c r="E2342">
        <v>0.31812580000000001</v>
      </c>
      <c r="F2342" t="s">
        <v>44</v>
      </c>
      <c r="G2342">
        <v>0</v>
      </c>
      <c r="H2342">
        <v>0</v>
      </c>
      <c r="I2342">
        <v>0</v>
      </c>
      <c r="J2342">
        <v>-491.00150000000002</v>
      </c>
      <c r="K2342">
        <v>1.1174959999999901</v>
      </c>
      <c r="L2342">
        <v>274.346</v>
      </c>
      <c r="M2342">
        <v>-0.4944924</v>
      </c>
      <c r="N2342">
        <v>0</v>
      </c>
      <c r="O2342">
        <v>-0.86905370000000004</v>
      </c>
      <c r="P2342">
        <v>-0.52695999999999998</v>
      </c>
      <c r="Q2342">
        <v>-2.8297249999999999E-2</v>
      </c>
      <c r="R2342">
        <v>-0.84941880000000003</v>
      </c>
      <c r="S2342">
        <v>-0.37414550000000002</v>
      </c>
      <c r="T2342">
        <v>5.2560570000000001E-2</v>
      </c>
      <c r="U2342">
        <v>-3.3115839999999999</v>
      </c>
      <c r="V2342">
        <v>3.8160409999999999E-2</v>
      </c>
      <c r="W2342">
        <v>-1.2709089999999999E-2</v>
      </c>
      <c r="X2342">
        <v>0.99919080000000005</v>
      </c>
      <c r="Y2342">
        <v>-0.39385130000000002</v>
      </c>
      <c r="Z2342">
        <v>-1.2105690000000001E-2</v>
      </c>
      <c r="AA2342">
        <v>0.91909450000000004</v>
      </c>
      <c r="AB2342">
        <v>23</v>
      </c>
      <c r="AC2342">
        <v>-0.37414550000000002</v>
      </c>
      <c r="AD2342">
        <v>5.2560570000000001E-2</v>
      </c>
      <c r="AE2342">
        <v>-3.3115839999999999</v>
      </c>
      <c r="AF2342">
        <v>-1.31222050439267</v>
      </c>
      <c r="AG2342">
        <v>5.2560570000000001E-2</v>
      </c>
      <c r="AH2342">
        <v>3.0625361427822599</v>
      </c>
      <c r="AI2342">
        <v>89.096216014637605</v>
      </c>
      <c r="AJ2342">
        <v>113.193927946274</v>
      </c>
      <c r="AK2342">
        <v>3.3322384205688098</v>
      </c>
      <c r="AL2342">
        <v>90.728196825195994</v>
      </c>
      <c r="AM2342">
        <v>87.812861826315995</v>
      </c>
      <c r="AN2342">
        <v>0.99999999633231795</v>
      </c>
    </row>
    <row r="2343" spans="1:40" x14ac:dyDescent="0.25">
      <c r="A2343" t="str">
        <f>"20190312161314225"</f>
        <v>20190312161314225</v>
      </c>
      <c r="B2343" t="str">
        <f>"1552378394217743"</f>
        <v>1552378394217743</v>
      </c>
      <c r="C2343" t="s">
        <v>40</v>
      </c>
      <c r="D2343">
        <v>4.9558249999999999</v>
      </c>
      <c r="E2343">
        <v>0.32034759999999901</v>
      </c>
      <c r="F2343" t="s">
        <v>44</v>
      </c>
      <c r="G2343">
        <v>0</v>
      </c>
      <c r="H2343">
        <v>0</v>
      </c>
      <c r="I2343">
        <v>0</v>
      </c>
      <c r="J2343">
        <v>-491.05380000000002</v>
      </c>
      <c r="K2343">
        <v>1.1174850000000001</v>
      </c>
      <c r="L2343">
        <v>274.24149999999997</v>
      </c>
      <c r="M2343">
        <v>-0.48937910000000001</v>
      </c>
      <c r="N2343">
        <v>0</v>
      </c>
      <c r="O2343">
        <v>-0.87194369999999999</v>
      </c>
      <c r="P2343">
        <v>-0.52163930000000003</v>
      </c>
      <c r="Q2343">
        <v>-2.8371210000000001E-2</v>
      </c>
      <c r="R2343">
        <v>-0.85269459999999997</v>
      </c>
      <c r="S2343">
        <v>-0.3547363</v>
      </c>
      <c r="T2343">
        <v>5.3669689999999999E-2</v>
      </c>
      <c r="U2343">
        <v>-3.313599</v>
      </c>
      <c r="V2343">
        <v>3.7785079999999999E-2</v>
      </c>
      <c r="W2343">
        <v>-1.2793540000000001E-2</v>
      </c>
      <c r="X2343">
        <v>0.99920399999999998</v>
      </c>
      <c r="Y2343">
        <v>-0.39383380000000001</v>
      </c>
      <c r="Z2343">
        <v>-1.242504E-2</v>
      </c>
      <c r="AA2343">
        <v>0.91909770000000002</v>
      </c>
      <c r="AB2343">
        <v>23</v>
      </c>
      <c r="AC2343">
        <v>-0.3547363</v>
      </c>
      <c r="AD2343">
        <v>5.3669689999999999E-2</v>
      </c>
      <c r="AE2343">
        <v>-3.313599</v>
      </c>
      <c r="AF2343">
        <v>-1.31210157609989</v>
      </c>
      <c r="AG2343">
        <v>5.3669689999999999E-2</v>
      </c>
      <c r="AH2343">
        <v>3.0624184884747998</v>
      </c>
      <c r="AI2343">
        <v>89.077104933125</v>
      </c>
      <c r="AJ2343">
        <v>113.19284488204801</v>
      </c>
      <c r="AK2343">
        <v>3.3321011359472301</v>
      </c>
      <c r="AL2343">
        <v>90.733035836992102</v>
      </c>
      <c r="AM2343">
        <v>87.834381609851604</v>
      </c>
      <c r="AN2343">
        <v>1.0000000102761599</v>
      </c>
    </row>
    <row r="2344" spans="1:40" x14ac:dyDescent="0.25">
      <c r="A2344" t="str">
        <f>"20190312161314237"</f>
        <v>20190312161314237</v>
      </c>
      <c r="B2344" t="str">
        <f>"1552378394228480"</f>
        <v>1552378394228480</v>
      </c>
      <c r="C2344" t="s">
        <v>40</v>
      </c>
      <c r="D2344">
        <v>4.9874900000000002</v>
      </c>
      <c r="E2344">
        <v>0.3197953</v>
      </c>
      <c r="F2344" t="s">
        <v>44</v>
      </c>
      <c r="G2344">
        <v>0</v>
      </c>
      <c r="H2344">
        <v>0</v>
      </c>
      <c r="I2344">
        <v>0</v>
      </c>
      <c r="J2344">
        <v>-491.10239999999999</v>
      </c>
      <c r="K2344">
        <v>1.1174740000000001</v>
      </c>
      <c r="L2344">
        <v>274.14229999999998</v>
      </c>
      <c r="M2344">
        <v>-0.48453040000000003</v>
      </c>
      <c r="N2344">
        <v>0</v>
      </c>
      <c r="O2344">
        <v>-0.87464730000000002</v>
      </c>
      <c r="P2344">
        <v>-0.51679770000000003</v>
      </c>
      <c r="Q2344">
        <v>-2.846247E-2</v>
      </c>
      <c r="R2344">
        <v>-0.85563449999999996</v>
      </c>
      <c r="S2344">
        <v>-0.34915159999999901</v>
      </c>
      <c r="T2344">
        <v>4.4395089999999998E-2</v>
      </c>
      <c r="U2344">
        <v>-3.3061519999999902</v>
      </c>
      <c r="V2344">
        <v>3.7672079999999997E-2</v>
      </c>
      <c r="W2344">
        <v>-1.289093E-2</v>
      </c>
      <c r="X2344">
        <v>0.99920699999999996</v>
      </c>
      <c r="Y2344">
        <v>-0.39004109999999997</v>
      </c>
      <c r="Z2344">
        <v>-1.036627E-2</v>
      </c>
      <c r="AA2344">
        <v>0.92073910000000003</v>
      </c>
      <c r="AB2344">
        <v>23</v>
      </c>
      <c r="AC2344">
        <v>-0.34915159999999901</v>
      </c>
      <c r="AD2344">
        <v>4.4395089999999998E-2</v>
      </c>
      <c r="AE2344">
        <v>-3.3061519999999902</v>
      </c>
      <c r="AF2344">
        <v>-1.29645965305765</v>
      </c>
      <c r="AG2344">
        <v>4.4395089999999998E-2</v>
      </c>
      <c r="AH2344">
        <v>3.0606861095154501</v>
      </c>
      <c r="AI2344">
        <v>89.234794670325996</v>
      </c>
      <c r="AJ2344">
        <v>112.95677001229301</v>
      </c>
      <c r="AK2344">
        <v>3.3242409685525698</v>
      </c>
      <c r="AL2344">
        <v>90.738616344184393</v>
      </c>
      <c r="AM2344">
        <v>87.840858442244496</v>
      </c>
      <c r="AN2344">
        <v>0.999999995268395</v>
      </c>
    </row>
    <row r="2345" spans="1:40" x14ac:dyDescent="0.25">
      <c r="A2345" t="str">
        <f>"20190312161314247"</f>
        <v>20190312161314247</v>
      </c>
      <c r="B2345" t="str">
        <f>"1552378394238240"</f>
        <v>1552378394238240</v>
      </c>
      <c r="C2345" t="s">
        <v>40</v>
      </c>
      <c r="D2345">
        <v>4.9923929999999999</v>
      </c>
      <c r="E2345">
        <v>0.3182894</v>
      </c>
      <c r="F2345" t="s">
        <v>44</v>
      </c>
      <c r="G2345">
        <v>0</v>
      </c>
      <c r="H2345">
        <v>0</v>
      </c>
      <c r="I2345">
        <v>0</v>
      </c>
      <c r="J2345">
        <v>-491.15120000000002</v>
      </c>
      <c r="K2345">
        <v>1.117461</v>
      </c>
      <c r="L2345">
        <v>274.04239999999999</v>
      </c>
      <c r="M2345">
        <v>-0.47963679999999997</v>
      </c>
      <c r="N2345">
        <v>0</v>
      </c>
      <c r="O2345">
        <v>-0.87734029999999996</v>
      </c>
      <c r="P2345">
        <v>-0.51188210000000001</v>
      </c>
      <c r="Q2345">
        <v>-2.8663879999999999E-2</v>
      </c>
      <c r="R2345">
        <v>-0.85857739999999905</v>
      </c>
      <c r="S2345">
        <v>-0.32626339999999998</v>
      </c>
      <c r="T2345">
        <v>4.4766779999999999E-2</v>
      </c>
      <c r="U2345">
        <v>-3.3106080000000002</v>
      </c>
      <c r="V2345">
        <v>3.7530069999999999E-2</v>
      </c>
      <c r="W2345">
        <v>-1.309899E-2</v>
      </c>
      <c r="X2345">
        <v>0.99920960000000003</v>
      </c>
      <c r="Y2345">
        <v>-0.39132640000000002</v>
      </c>
      <c r="Z2345">
        <v>-1.049134E-2</v>
      </c>
      <c r="AA2345">
        <v>0.92019209999999996</v>
      </c>
      <c r="AB2345">
        <v>23</v>
      </c>
      <c r="AC2345">
        <v>-0.32626339999999998</v>
      </c>
      <c r="AD2345">
        <v>4.4766779999999999E-2</v>
      </c>
      <c r="AE2345">
        <v>-3.3106080000000002</v>
      </c>
      <c r="AF2345">
        <v>-1.3015545542192599</v>
      </c>
      <c r="AG2345">
        <v>4.4766779999999999E-2</v>
      </c>
      <c r="AH2345">
        <v>3.06080411616737</v>
      </c>
      <c r="AI2345">
        <v>89.228875809312001</v>
      </c>
      <c r="AJ2345">
        <v>113.03679281280399</v>
      </c>
      <c r="AK2345">
        <v>3.32634486482499</v>
      </c>
      <c r="AL2345">
        <v>90.750538339379403</v>
      </c>
      <c r="AM2345">
        <v>87.848995550170599</v>
      </c>
      <c r="AN2345">
        <v>0.99999995721269097</v>
      </c>
    </row>
    <row r="2346" spans="1:40" x14ac:dyDescent="0.25">
      <c r="A2346" t="str">
        <f>"20190312161314260"</f>
        <v>20190312161314260</v>
      </c>
      <c r="B2346" t="str">
        <f>"1552378394247999"</f>
        <v>1552378394247999</v>
      </c>
      <c r="C2346" t="s">
        <v>40</v>
      </c>
      <c r="D2346">
        <v>4.9420010000000003</v>
      </c>
      <c r="E2346">
        <v>0.31692589999999998</v>
      </c>
      <c r="F2346" t="s">
        <v>44</v>
      </c>
      <c r="G2346">
        <v>0</v>
      </c>
      <c r="H2346">
        <v>0</v>
      </c>
      <c r="I2346">
        <v>0</v>
      </c>
      <c r="J2346">
        <v>-491.2038</v>
      </c>
      <c r="K2346">
        <v>1.117435</v>
      </c>
      <c r="L2346">
        <v>273.9316</v>
      </c>
      <c r="M2346">
        <v>-0.47423280000000001</v>
      </c>
      <c r="N2346">
        <v>0</v>
      </c>
      <c r="O2346">
        <v>-0.88027310000000003</v>
      </c>
      <c r="P2346">
        <v>-0.50652929999999996</v>
      </c>
      <c r="Q2346">
        <v>-2.8856389999999999E-2</v>
      </c>
      <c r="R2346">
        <v>-0.86173960000000005</v>
      </c>
      <c r="S2346">
        <v>-0.29721069999999999</v>
      </c>
      <c r="T2346">
        <v>5.1139950000000003E-2</v>
      </c>
      <c r="U2346">
        <v>-3.3186949999999902</v>
      </c>
      <c r="V2346">
        <v>3.7462290000000002E-2</v>
      </c>
      <c r="W2346">
        <v>-1.329815E-2</v>
      </c>
      <c r="X2346">
        <v>0.99920960000000003</v>
      </c>
      <c r="Y2346">
        <v>-0.39387119999999998</v>
      </c>
      <c r="Z2346">
        <v>-1.2016870000000001E-2</v>
      </c>
      <c r="AA2346">
        <v>0.91908710000000005</v>
      </c>
      <c r="AB2346">
        <v>23</v>
      </c>
      <c r="AC2346">
        <v>-0.29721069999999999</v>
      </c>
      <c r="AD2346">
        <v>5.1139950000000003E-2</v>
      </c>
      <c r="AE2346">
        <v>-3.3186949999999902</v>
      </c>
      <c r="AF2346">
        <v>-1.31204438316659</v>
      </c>
      <c r="AG2346">
        <v>5.1139950000000003E-2</v>
      </c>
      <c r="AH2346">
        <v>3.0619244762907698</v>
      </c>
      <c r="AI2346">
        <v>89.120473120868098</v>
      </c>
      <c r="AJ2346">
        <v>113.195286985099</v>
      </c>
      <c r="AK2346">
        <v>3.3315847965185501</v>
      </c>
      <c r="AL2346">
        <v>90.761950294980394</v>
      </c>
      <c r="AM2346">
        <v>87.852876664715595</v>
      </c>
      <c r="AN2346">
        <v>1.00000004434881</v>
      </c>
    </row>
    <row r="2347" spans="1:40" x14ac:dyDescent="0.25">
      <c r="A2347" t="str">
        <f>"20190312161314271"</f>
        <v>20190312161314271</v>
      </c>
      <c r="B2347" t="str">
        <f>"1552378394268495"</f>
        <v>1552378394268495</v>
      </c>
      <c r="C2347" t="s">
        <v>40</v>
      </c>
      <c r="D2347">
        <v>5.0348759999999997</v>
      </c>
      <c r="E2347">
        <v>0.31538159999999998</v>
      </c>
      <c r="F2347" t="s">
        <v>44</v>
      </c>
      <c r="G2347">
        <v>0</v>
      </c>
      <c r="H2347">
        <v>0</v>
      </c>
      <c r="I2347">
        <v>0</v>
      </c>
      <c r="J2347">
        <v>-491.25369999999998</v>
      </c>
      <c r="K2347">
        <v>1.1174170000000001</v>
      </c>
      <c r="L2347">
        <v>273.82580000000002</v>
      </c>
      <c r="M2347">
        <v>-0.46905859999999999</v>
      </c>
      <c r="N2347">
        <v>0</v>
      </c>
      <c r="O2347">
        <v>-0.88304119999999997</v>
      </c>
      <c r="P2347">
        <v>-0.50124099999999905</v>
      </c>
      <c r="Q2347">
        <v>-2.932599E-2</v>
      </c>
      <c r="R2347">
        <v>-0.86481059999999998</v>
      </c>
      <c r="S2347">
        <v>-0.2673645</v>
      </c>
      <c r="T2347">
        <v>5.3608780000000002E-2</v>
      </c>
      <c r="U2347">
        <v>-3.325958</v>
      </c>
      <c r="V2347">
        <v>3.722081E-2</v>
      </c>
      <c r="W2347">
        <v>-1.3777380000000001E-2</v>
      </c>
      <c r="X2347">
        <v>0.99921210000000005</v>
      </c>
      <c r="Y2347">
        <v>-0.39684209999999998</v>
      </c>
      <c r="Z2347">
        <v>-1.2627909999999999E-2</v>
      </c>
      <c r="AA2347">
        <v>0.91779999999999995</v>
      </c>
      <c r="AB2347">
        <v>23</v>
      </c>
      <c r="AC2347">
        <v>-0.2673645</v>
      </c>
      <c r="AD2347">
        <v>5.3608780000000002E-2</v>
      </c>
      <c r="AE2347">
        <v>-3.325958</v>
      </c>
      <c r="AF2347">
        <v>-1.32378078856683</v>
      </c>
      <c r="AG2347">
        <v>5.3608780000000002E-2</v>
      </c>
      <c r="AH2347">
        <v>3.0619175755768602</v>
      </c>
      <c r="AI2347">
        <v>89.079300750570894</v>
      </c>
      <c r="AJ2347">
        <v>113.380622773102</v>
      </c>
      <c r="AK2347">
        <v>3.3362566923272299</v>
      </c>
      <c r="AL2347">
        <v>90.789410691776496</v>
      </c>
      <c r="AM2347">
        <v>87.866709415106698</v>
      </c>
      <c r="AN2347">
        <v>1.00000001284156</v>
      </c>
    </row>
    <row r="2348" spans="1:40" x14ac:dyDescent="0.25">
      <c r="A2348" t="str">
        <f>"20190312161314283"</f>
        <v>20190312161314283</v>
      </c>
      <c r="B2348" t="str">
        <f>"1552378394278256"</f>
        <v>1552378394278256</v>
      </c>
      <c r="C2348" t="s">
        <v>40</v>
      </c>
      <c r="D2348">
        <v>5.0070100000000002</v>
      </c>
      <c r="E2348">
        <v>0.31505830000000001</v>
      </c>
      <c r="F2348" t="s">
        <v>44</v>
      </c>
      <c r="G2348">
        <v>0</v>
      </c>
      <c r="H2348">
        <v>0</v>
      </c>
      <c r="I2348">
        <v>0</v>
      </c>
      <c r="J2348">
        <v>-491.30309999999997</v>
      </c>
      <c r="K2348">
        <v>1.1173959999999901</v>
      </c>
      <c r="L2348">
        <v>273.71899999999999</v>
      </c>
      <c r="M2348">
        <v>-0.46385009999999999</v>
      </c>
      <c r="N2348">
        <v>0</v>
      </c>
      <c r="O2348">
        <v>-0.88578829999999997</v>
      </c>
      <c r="P2348">
        <v>-0.4959364</v>
      </c>
      <c r="Q2348">
        <v>-2.942415E-2</v>
      </c>
      <c r="R2348">
        <v>-0.86786039999999998</v>
      </c>
      <c r="S2348">
        <v>-0.23712159999999999</v>
      </c>
      <c r="T2348">
        <v>6.1651949999999997E-2</v>
      </c>
      <c r="U2348">
        <v>-3.3336489999999999</v>
      </c>
      <c r="V2348">
        <v>3.6989880000000003E-2</v>
      </c>
      <c r="W2348">
        <v>-1.388552E-2</v>
      </c>
      <c r="X2348">
        <v>0.99921919999999997</v>
      </c>
      <c r="Y2348">
        <v>-0.3998833</v>
      </c>
      <c r="Z2348">
        <v>-1.4554330000000001E-2</v>
      </c>
      <c r="AA2348">
        <v>0.91645049999999995</v>
      </c>
      <c r="AB2348">
        <v>23</v>
      </c>
      <c r="AC2348">
        <v>-0.23712159999999999</v>
      </c>
      <c r="AD2348">
        <v>6.1651949999999997E-2</v>
      </c>
      <c r="AE2348">
        <v>-3.3336489999999999</v>
      </c>
      <c r="AF2348">
        <v>-1.3359677193059001</v>
      </c>
      <c r="AG2348">
        <v>6.1651949999999997E-2</v>
      </c>
      <c r="AH2348">
        <v>3.0621943952217299</v>
      </c>
      <c r="AI2348">
        <v>88.942812107091598</v>
      </c>
      <c r="AJ2348">
        <v>113.57057916778599</v>
      </c>
      <c r="AK2348">
        <v>3.34150343768993</v>
      </c>
      <c r="AL2348">
        <v>90.7956072330051</v>
      </c>
      <c r="AM2348">
        <v>87.879947978133103</v>
      </c>
      <c r="AN2348">
        <v>1.0000000342683599</v>
      </c>
    </row>
    <row r="2349" spans="1:40" x14ac:dyDescent="0.25">
      <c r="A2349" t="str">
        <f>"20190312161314304"</f>
        <v>20190312161314304</v>
      </c>
      <c r="B2349" t="str">
        <f>"1552378394297776"</f>
        <v>1552378394297776</v>
      </c>
      <c r="C2349" t="s">
        <v>40</v>
      </c>
      <c r="D2349">
        <v>4.9910620000000003</v>
      </c>
      <c r="E2349">
        <v>0.31483610000000001</v>
      </c>
      <c r="F2349" t="s">
        <v>44</v>
      </c>
      <c r="G2349">
        <v>0</v>
      </c>
      <c r="H2349">
        <v>0</v>
      </c>
      <c r="I2349">
        <v>0</v>
      </c>
      <c r="J2349">
        <v>-491.3954</v>
      </c>
      <c r="K2349">
        <v>1.117356</v>
      </c>
      <c r="L2349">
        <v>273.51549999999997</v>
      </c>
      <c r="M2349">
        <v>-0.45392719999999998</v>
      </c>
      <c r="N2349">
        <v>0</v>
      </c>
      <c r="O2349">
        <v>-0.89091419999999999</v>
      </c>
      <c r="P2349">
        <v>-0.4858691</v>
      </c>
      <c r="Q2349">
        <v>-2.9697479999999998E-2</v>
      </c>
      <c r="R2349">
        <v>-0.87352719999999995</v>
      </c>
      <c r="S2349">
        <v>-0.21466060000000001</v>
      </c>
      <c r="T2349">
        <v>6.3271519999999998E-2</v>
      </c>
      <c r="U2349">
        <v>-3.3362729999999998</v>
      </c>
      <c r="V2349">
        <v>3.6605720000000001E-2</v>
      </c>
      <c r="W2349">
        <v>-1.417799E-2</v>
      </c>
      <c r="X2349">
        <v>0.99922920000000004</v>
      </c>
      <c r="Y2349">
        <v>-0.39583469999999998</v>
      </c>
      <c r="Z2349">
        <v>-1.508757E-2</v>
      </c>
      <c r="AA2349">
        <v>0.91819779999999995</v>
      </c>
      <c r="AB2349">
        <v>23</v>
      </c>
      <c r="AC2349">
        <v>-0.21466060000000001</v>
      </c>
      <c r="AD2349">
        <v>6.3271519999999998E-2</v>
      </c>
      <c r="AE2349">
        <v>-3.3362729999999998</v>
      </c>
      <c r="AF2349">
        <v>-1.3228539549529501</v>
      </c>
      <c r="AG2349">
        <v>6.3271519999999998E-2</v>
      </c>
      <c r="AH2349">
        <v>3.0690148006674498</v>
      </c>
      <c r="AI2349">
        <v>88.915384339697496</v>
      </c>
      <c r="AJ2349">
        <v>113.317751647663</v>
      </c>
      <c r="AK2349">
        <v>3.3425735172309401</v>
      </c>
      <c r="AL2349">
        <v>90.812366211646903</v>
      </c>
      <c r="AM2349">
        <v>87.901967068169398</v>
      </c>
      <c r="AN2349">
        <v>0.99999999413489904</v>
      </c>
    </row>
    <row r="2350" spans="1:40" x14ac:dyDescent="0.25">
      <c r="A2350" t="str">
        <f>"20190312161314315"</f>
        <v>20190312161314315</v>
      </c>
      <c r="B2350" t="str">
        <f>"1552378394308512"</f>
        <v>1552378394308512</v>
      </c>
      <c r="C2350" t="s">
        <v>40</v>
      </c>
      <c r="D2350">
        <v>4.8954420000000001</v>
      </c>
      <c r="E2350">
        <v>0.31467689999999998</v>
      </c>
      <c r="F2350" t="s">
        <v>44</v>
      </c>
      <c r="G2350">
        <v>0</v>
      </c>
      <c r="H2350">
        <v>0</v>
      </c>
      <c r="I2350">
        <v>0</v>
      </c>
      <c r="J2350">
        <v>-491.43950000000001</v>
      </c>
      <c r="K2350">
        <v>1.1173329999999999</v>
      </c>
      <c r="L2350">
        <v>273.41570000000002</v>
      </c>
      <c r="M2350">
        <v>-0.44907530000000001</v>
      </c>
      <c r="N2350">
        <v>0</v>
      </c>
      <c r="O2350">
        <v>-0.89336979999999999</v>
      </c>
      <c r="P2350">
        <v>-0.4808462</v>
      </c>
      <c r="Q2350">
        <v>-2.950202E-2</v>
      </c>
      <c r="R2350">
        <v>-0.87630859999999899</v>
      </c>
      <c r="S2350">
        <v>-0.17492679999999999</v>
      </c>
      <c r="T2350">
        <v>6.5045119999999998E-2</v>
      </c>
      <c r="U2350">
        <v>-3.3392940000000002</v>
      </c>
      <c r="V2350">
        <v>3.6296710000000003E-2</v>
      </c>
      <c r="W2350">
        <v>-1.399446E-2</v>
      </c>
      <c r="X2350">
        <v>0.99924310000000005</v>
      </c>
      <c r="Y2350">
        <v>-0.40177370000000001</v>
      </c>
      <c r="Z2350">
        <v>-1.5544820000000001E-2</v>
      </c>
      <c r="AA2350">
        <v>0.91560699999999995</v>
      </c>
      <c r="AB2350">
        <v>23</v>
      </c>
      <c r="AC2350">
        <v>-0.17492679999999999</v>
      </c>
      <c r="AD2350">
        <v>6.5045119999999998E-2</v>
      </c>
      <c r="AE2350">
        <v>-3.3392940000000002</v>
      </c>
      <c r="AF2350">
        <v>-1.3429609652465</v>
      </c>
      <c r="AG2350">
        <v>6.5045119999999998E-2</v>
      </c>
      <c r="AH2350">
        <v>3.0609610769449902</v>
      </c>
      <c r="AI2350">
        <v>88.885199586155593</v>
      </c>
      <c r="AJ2350">
        <v>113.688903247505</v>
      </c>
      <c r="AK2350">
        <v>3.3432406040223701</v>
      </c>
      <c r="AL2350">
        <v>90.801849641394895</v>
      </c>
      <c r="AM2350">
        <v>87.919691059966993</v>
      </c>
      <c r="AN2350">
        <v>1.0000000344825599</v>
      </c>
    </row>
    <row r="2351" spans="1:40" x14ac:dyDescent="0.25">
      <c r="A2351" t="str">
        <f>"20190312161314326"</f>
        <v>20190312161314326</v>
      </c>
      <c r="B2351" t="str">
        <f>"1552378394317801"</f>
        <v>1552378394317801</v>
      </c>
      <c r="C2351" t="s">
        <v>40</v>
      </c>
      <c r="D2351">
        <v>4.9462270000000004</v>
      </c>
      <c r="E2351">
        <v>0.31459579999999998</v>
      </c>
      <c r="F2351" t="s">
        <v>44</v>
      </c>
      <c r="G2351">
        <v>0</v>
      </c>
      <c r="H2351">
        <v>0</v>
      </c>
      <c r="I2351">
        <v>0</v>
      </c>
      <c r="J2351">
        <v>-491.4853</v>
      </c>
      <c r="K2351">
        <v>1.1173150000000001</v>
      </c>
      <c r="L2351">
        <v>273.31119999999999</v>
      </c>
      <c r="M2351">
        <v>-0.4439883</v>
      </c>
      <c r="N2351">
        <v>0</v>
      </c>
      <c r="O2351">
        <v>-0.89590879999999995</v>
      </c>
      <c r="P2351">
        <v>-0.47584680000000001</v>
      </c>
      <c r="Q2351">
        <v>-2.959415E-2</v>
      </c>
      <c r="R2351">
        <v>-0.87903019999999998</v>
      </c>
      <c r="S2351">
        <v>-0.15423580000000001</v>
      </c>
      <c r="T2351">
        <v>6.4742330000000001E-2</v>
      </c>
      <c r="U2351">
        <v>-3.3410030000000002</v>
      </c>
      <c r="V2351">
        <v>3.6288800000000003E-2</v>
      </c>
      <c r="W2351">
        <v>-1.4094000000000001E-2</v>
      </c>
      <c r="X2351">
        <v>0.99924190000000002</v>
      </c>
      <c r="Y2351">
        <v>-0.40224789999999999</v>
      </c>
      <c r="Z2351">
        <v>-1.553677E-2</v>
      </c>
      <c r="AA2351">
        <v>0.91539899999999996</v>
      </c>
      <c r="AB2351">
        <v>23</v>
      </c>
      <c r="AC2351">
        <v>-0.15423580000000001</v>
      </c>
      <c r="AD2351">
        <v>6.4742330000000001E-2</v>
      </c>
      <c r="AE2351">
        <v>-3.3410030000000002</v>
      </c>
      <c r="AF2351">
        <v>-1.3448303204494301</v>
      </c>
      <c r="AG2351">
        <v>6.4742330000000001E-2</v>
      </c>
      <c r="AH2351">
        <v>3.0609055372833498</v>
      </c>
      <c r="AI2351">
        <v>88.890620244811998</v>
      </c>
      <c r="AJ2351">
        <v>113.71862229945999</v>
      </c>
      <c r="AK2351">
        <v>3.3439352368528001</v>
      </c>
      <c r="AL2351">
        <v>90.807553496863605</v>
      </c>
      <c r="AM2351">
        <v>87.920141519829301</v>
      </c>
      <c r="AN2351">
        <v>0.99999994627852296</v>
      </c>
    </row>
    <row r="2352" spans="1:40" x14ac:dyDescent="0.25">
      <c r="A2352" t="str">
        <f>"20190312161314337"</f>
        <v>20190312161314337</v>
      </c>
      <c r="B2352" t="str">
        <f>"1552378394328537"</f>
        <v>1552378394328537</v>
      </c>
      <c r="C2352" t="s">
        <v>40</v>
      </c>
      <c r="D2352">
        <v>4.9502420000000003</v>
      </c>
      <c r="E2352">
        <v>0.31462570000000001</v>
      </c>
      <c r="F2352" t="s">
        <v>44</v>
      </c>
      <c r="G2352">
        <v>0</v>
      </c>
      <c r="H2352">
        <v>0</v>
      </c>
      <c r="I2352">
        <v>0</v>
      </c>
      <c r="J2352">
        <v>-491.52850000000001</v>
      </c>
      <c r="K2352">
        <v>1.1172879999999901</v>
      </c>
      <c r="L2352">
        <v>273.21010000000001</v>
      </c>
      <c r="M2352">
        <v>-0.43909290000000001</v>
      </c>
      <c r="N2352">
        <v>0</v>
      </c>
      <c r="O2352">
        <v>-0.89831859999999997</v>
      </c>
      <c r="P2352">
        <v>-0.47119299999999997</v>
      </c>
      <c r="Q2352">
        <v>-2.956317E-2</v>
      </c>
      <c r="R2352">
        <v>-0.88153510000000002</v>
      </c>
      <c r="S2352">
        <v>-0.1348877</v>
      </c>
      <c r="T2352">
        <v>6.5466399999999994E-2</v>
      </c>
      <c r="U2352">
        <v>-3.3420719999999999</v>
      </c>
      <c r="V2352">
        <v>3.6457000000000003E-2</v>
      </c>
      <c r="W2352">
        <v>-1.406806E-2</v>
      </c>
      <c r="X2352">
        <v>0.99923620000000002</v>
      </c>
      <c r="Y2352">
        <v>-0.40255489999999999</v>
      </c>
      <c r="Z2352">
        <v>-1.5775150000000002E-2</v>
      </c>
      <c r="AA2352">
        <v>0.91525990000000002</v>
      </c>
      <c r="AB2352">
        <v>23</v>
      </c>
      <c r="AC2352">
        <v>-0.1348877</v>
      </c>
      <c r="AD2352">
        <v>6.5466399999999994E-2</v>
      </c>
      <c r="AE2352">
        <v>-3.3420719999999999</v>
      </c>
      <c r="AF2352">
        <v>-1.3459412140632101</v>
      </c>
      <c r="AG2352">
        <v>6.5466399999999994E-2</v>
      </c>
      <c r="AH2352">
        <v>3.06063970716581</v>
      </c>
      <c r="AI2352">
        <v>88.878284549618002</v>
      </c>
      <c r="AJ2352">
        <v>113.737883405136</v>
      </c>
      <c r="AK2352">
        <v>3.3441529597676798</v>
      </c>
      <c r="AL2352">
        <v>90.806067050950901</v>
      </c>
      <c r="AM2352">
        <v>87.910497911602803</v>
      </c>
      <c r="AN2352">
        <v>1.0000000032758001</v>
      </c>
    </row>
    <row r="2353" spans="1:40" x14ac:dyDescent="0.25">
      <c r="A2353" t="str">
        <f>"20190312161314348"</f>
        <v>20190312161314348</v>
      </c>
      <c r="B2353" t="str">
        <f>"1552378394338298"</f>
        <v>1552378394338298</v>
      </c>
      <c r="C2353" t="s">
        <v>40</v>
      </c>
      <c r="D2353">
        <v>4.946923</v>
      </c>
      <c r="E2353">
        <v>0.31475330000000001</v>
      </c>
      <c r="F2353" t="s">
        <v>44</v>
      </c>
      <c r="G2353">
        <v>0</v>
      </c>
      <c r="H2353">
        <v>0</v>
      </c>
      <c r="I2353">
        <v>0</v>
      </c>
      <c r="J2353">
        <v>-491.57069999999999</v>
      </c>
      <c r="K2353">
        <v>1.117262</v>
      </c>
      <c r="L2353">
        <v>273.11110000000002</v>
      </c>
      <c r="M2353">
        <v>-0.43429060000000003</v>
      </c>
      <c r="N2353">
        <v>0</v>
      </c>
      <c r="O2353">
        <v>-0.90065010000000001</v>
      </c>
      <c r="P2353">
        <v>-0.46669709999999998</v>
      </c>
      <c r="Q2353">
        <v>-2.9631669999999999E-2</v>
      </c>
      <c r="R2353">
        <v>-0.88392090000000001</v>
      </c>
      <c r="S2353">
        <v>-0.117157</v>
      </c>
      <c r="T2353">
        <v>6.6560510000000003E-2</v>
      </c>
      <c r="U2353">
        <v>-3.3426819999999999</v>
      </c>
      <c r="V2353">
        <v>3.6703840000000001E-2</v>
      </c>
      <c r="W2353">
        <v>-1.4140049999999999E-2</v>
      </c>
      <c r="X2353">
        <v>0.99922619999999895</v>
      </c>
      <c r="Y2353">
        <v>-0.4025224</v>
      </c>
      <c r="Z2353">
        <v>-1.6105600000000001E-2</v>
      </c>
      <c r="AA2353">
        <v>0.91526839999999998</v>
      </c>
      <c r="AB2353">
        <v>23</v>
      </c>
      <c r="AC2353">
        <v>-0.117157</v>
      </c>
      <c r="AD2353">
        <v>6.6560510000000003E-2</v>
      </c>
      <c r="AE2353">
        <v>-3.3426819999999999</v>
      </c>
      <c r="AF2353">
        <v>-1.34579378100081</v>
      </c>
      <c r="AG2353">
        <v>6.6560510000000003E-2</v>
      </c>
      <c r="AH2353">
        <v>3.0605934836905999</v>
      </c>
      <c r="AI2353">
        <v>88.859508075073805</v>
      </c>
      <c r="AJ2353">
        <v>113.735889483886</v>
      </c>
      <c r="AK2353">
        <v>3.3440729170999401</v>
      </c>
      <c r="AL2353">
        <v>90.810192141842293</v>
      </c>
      <c r="AM2353">
        <v>87.896342120147395</v>
      </c>
      <c r="AN2353">
        <v>1.0000000558255899</v>
      </c>
    </row>
    <row r="2354" spans="1:40" x14ac:dyDescent="0.25">
      <c r="A2354" t="str">
        <f>"20190312161314358"</f>
        <v>20190312161314358</v>
      </c>
      <c r="B2354" t="str">
        <f>"1552378394348058"</f>
        <v>1552378394348058</v>
      </c>
      <c r="C2354" t="s">
        <v>40</v>
      </c>
      <c r="D2354">
        <v>4.9345429999999997</v>
      </c>
      <c r="E2354">
        <v>0.31492870000000001</v>
      </c>
      <c r="F2354" t="s">
        <v>44</v>
      </c>
      <c r="G2354">
        <v>0</v>
      </c>
      <c r="H2354">
        <v>0</v>
      </c>
      <c r="I2354">
        <v>0</v>
      </c>
      <c r="J2354">
        <v>-491.61450000000002</v>
      </c>
      <c r="K2354">
        <v>1.117232</v>
      </c>
      <c r="L2354">
        <v>273.00580000000002</v>
      </c>
      <c r="M2354">
        <v>-0.42920950000000002</v>
      </c>
      <c r="N2354">
        <v>0</v>
      </c>
      <c r="O2354">
        <v>-0.90308259999999996</v>
      </c>
      <c r="P2354">
        <v>-0.46200849999999999</v>
      </c>
      <c r="Q2354">
        <v>-2.9758130000000001E-2</v>
      </c>
      <c r="R2354">
        <v>-0.88637630000000001</v>
      </c>
      <c r="S2354">
        <v>-0.1014404</v>
      </c>
      <c r="T2354">
        <v>6.7209359999999996E-2</v>
      </c>
      <c r="U2354">
        <v>-3.3427120000000001</v>
      </c>
      <c r="V2354">
        <v>3.7043590000000001E-2</v>
      </c>
      <c r="W2354">
        <v>-1.4270130000000001E-2</v>
      </c>
      <c r="X2354">
        <v>0.99921170000000004</v>
      </c>
      <c r="Y2354">
        <v>-0.40166400000000002</v>
      </c>
      <c r="Z2354">
        <v>-1.6339449999999998E-2</v>
      </c>
      <c r="AA2354">
        <v>0.91564129999999999</v>
      </c>
      <c r="AB2354">
        <v>23</v>
      </c>
      <c r="AC2354">
        <v>-0.1014404</v>
      </c>
      <c r="AD2354">
        <v>6.7209359999999996E-2</v>
      </c>
      <c r="AE2354">
        <v>-3.3427120000000001</v>
      </c>
      <c r="AF2354">
        <v>-1.34272083007443</v>
      </c>
      <c r="AG2354">
        <v>6.7209359999999996E-2</v>
      </c>
      <c r="AH2354">
        <v>3.06138624095481</v>
      </c>
      <c r="AI2354">
        <v>88.848217666019394</v>
      </c>
      <c r="AJ2354">
        <v>113.682206489713</v>
      </c>
      <c r="AK2354">
        <v>3.3435762353944898</v>
      </c>
      <c r="AL2354">
        <v>90.817646020924499</v>
      </c>
      <c r="AM2354">
        <v>87.876856516516597</v>
      </c>
      <c r="AN2354">
        <v>0.99999994279359505</v>
      </c>
    </row>
    <row r="2355" spans="1:40" x14ac:dyDescent="0.25">
      <c r="A2355" t="str">
        <f>"20190312161314371"</f>
        <v>20190312161314371</v>
      </c>
      <c r="B2355" t="str">
        <f>"1552378394368552"</f>
        <v>1552378394368552</v>
      </c>
      <c r="C2355" t="s">
        <v>40</v>
      </c>
      <c r="D2355">
        <v>4.9479899999999999</v>
      </c>
      <c r="E2355">
        <v>0.31544460000000002</v>
      </c>
      <c r="F2355" t="s">
        <v>44</v>
      </c>
      <c r="G2355">
        <v>0</v>
      </c>
      <c r="H2355">
        <v>0</v>
      </c>
      <c r="I2355">
        <v>0</v>
      </c>
      <c r="J2355">
        <v>-491.65839999999997</v>
      </c>
      <c r="K2355">
        <v>1.1172029999999999</v>
      </c>
      <c r="L2355">
        <v>272.89940000000001</v>
      </c>
      <c r="M2355">
        <v>-0.42407489999999998</v>
      </c>
      <c r="N2355">
        <v>0</v>
      </c>
      <c r="O2355">
        <v>-0.90550520000000001</v>
      </c>
      <c r="P2355">
        <v>-0.45747100000000002</v>
      </c>
      <c r="Q2355">
        <v>-3.0105779999999999E-2</v>
      </c>
      <c r="R2355">
        <v>-0.88871509999999998</v>
      </c>
      <c r="S2355">
        <v>-8.4564210000000001E-2</v>
      </c>
      <c r="T2355">
        <v>6.8072079999999993E-2</v>
      </c>
      <c r="U2355">
        <v>-3.3427730000000002</v>
      </c>
      <c r="V2355">
        <v>3.7618489999999997E-2</v>
      </c>
      <c r="W2355">
        <v>-1.4617750000000001E-2</v>
      </c>
      <c r="X2355">
        <v>0.99918530000000005</v>
      </c>
      <c r="Y2355">
        <v>-0.40108379999999999</v>
      </c>
      <c r="Z2355">
        <v>-1.66252E-2</v>
      </c>
      <c r="AA2355">
        <v>0.91589050000000005</v>
      </c>
      <c r="AB2355">
        <v>23</v>
      </c>
      <c r="AC2355">
        <v>-8.4564210000000001E-2</v>
      </c>
      <c r="AD2355">
        <v>6.8072079999999993E-2</v>
      </c>
      <c r="AE2355">
        <v>-3.3427730000000002</v>
      </c>
      <c r="AF2355">
        <v>-1.34060529320597</v>
      </c>
      <c r="AG2355">
        <v>6.8072079999999993E-2</v>
      </c>
      <c r="AH2355">
        <v>3.0618291958796999</v>
      </c>
      <c r="AI2355">
        <v>88.833282379745</v>
      </c>
      <c r="AJ2355">
        <v>113.64594639630801</v>
      </c>
      <c r="AK2355">
        <v>3.3431503682886801</v>
      </c>
      <c r="AL2355">
        <v>90.837565172070498</v>
      </c>
      <c r="AM2355">
        <v>87.843880223581195</v>
      </c>
      <c r="AN2355">
        <v>1.0000000465705099</v>
      </c>
    </row>
    <row r="2356" spans="1:40" x14ac:dyDescent="0.25">
      <c r="A2356" t="str">
        <f>"20190312161314382"</f>
        <v>20190312161314382</v>
      </c>
      <c r="B2356" t="str">
        <f>"1552378394378314"</f>
        <v>1552378394378314</v>
      </c>
      <c r="C2356" t="s">
        <v>40</v>
      </c>
      <c r="D2356">
        <v>4.5865799999999997</v>
      </c>
      <c r="E2356">
        <v>0.31564209999999998</v>
      </c>
      <c r="F2356" t="s">
        <v>44</v>
      </c>
      <c r="G2356">
        <v>0</v>
      </c>
      <c r="H2356">
        <v>0</v>
      </c>
      <c r="I2356">
        <v>0</v>
      </c>
      <c r="J2356">
        <v>-491.7004</v>
      </c>
      <c r="K2356">
        <v>1.1171679999999999</v>
      </c>
      <c r="L2356">
        <v>272.7953</v>
      </c>
      <c r="M2356">
        <v>-0.41907810000000001</v>
      </c>
      <c r="N2356">
        <v>0</v>
      </c>
      <c r="O2356">
        <v>-0.90782859999999999</v>
      </c>
      <c r="P2356">
        <v>-0.45308609999999999</v>
      </c>
      <c r="Q2356">
        <v>-3.0374249999999998E-2</v>
      </c>
      <c r="R2356">
        <v>-0.89094910000000005</v>
      </c>
      <c r="S2356">
        <v>-7.1624759999999996E-2</v>
      </c>
      <c r="T2356">
        <v>6.7904709999999993E-2</v>
      </c>
      <c r="U2356">
        <v>-3.3410950000000001</v>
      </c>
      <c r="V2356">
        <v>3.8208619999999999E-2</v>
      </c>
      <c r="W2356">
        <v>-1.488659E-2</v>
      </c>
      <c r="X2356">
        <v>0.99915889999999996</v>
      </c>
      <c r="Y2356">
        <v>-0.39956829999999999</v>
      </c>
      <c r="Z2356">
        <v>-1.6669960000000001E-2</v>
      </c>
      <c r="AA2356">
        <v>0.91655180000000003</v>
      </c>
      <c r="AB2356">
        <v>23</v>
      </c>
      <c r="AC2356">
        <v>-7.1624759999999996E-2</v>
      </c>
      <c r="AD2356">
        <v>6.7904709999999993E-2</v>
      </c>
      <c r="AE2356">
        <v>-3.3410950000000001</v>
      </c>
      <c r="AF2356">
        <v>-1.3347530594282799</v>
      </c>
      <c r="AG2356">
        <v>6.7904709999999993E-2</v>
      </c>
      <c r="AH2356">
        <v>3.0622318306438201</v>
      </c>
      <c r="AI2356">
        <v>88.835462706643995</v>
      </c>
      <c r="AJ2356">
        <v>113.55122683284699</v>
      </c>
      <c r="AK2356">
        <v>3.3411735309471</v>
      </c>
      <c r="AL2356">
        <v>90.852970277754395</v>
      </c>
      <c r="AM2356">
        <v>87.8100315426761</v>
      </c>
      <c r="AN2356">
        <v>1.00000000832667</v>
      </c>
    </row>
    <row r="2357" spans="1:40" x14ac:dyDescent="0.25">
      <c r="A2357" t="str">
        <f>"20190312161314393"</f>
        <v>20190312161314393</v>
      </c>
      <c r="B2357" t="str">
        <f>"1552378394388073"</f>
        <v>1552378394388073</v>
      </c>
      <c r="C2357" t="s">
        <v>40</v>
      </c>
      <c r="D2357">
        <v>4.9457209999999998</v>
      </c>
      <c r="E2357">
        <v>0.3158994</v>
      </c>
      <c r="F2357" t="s">
        <v>44</v>
      </c>
      <c r="G2357">
        <v>0</v>
      </c>
      <c r="H2357">
        <v>0</v>
      </c>
      <c r="I2357">
        <v>0</v>
      </c>
      <c r="J2357">
        <v>-491.74400000000003</v>
      </c>
      <c r="K2357">
        <v>1.1171340000000001</v>
      </c>
      <c r="L2357">
        <v>272.6859</v>
      </c>
      <c r="M2357">
        <v>-0.4138329</v>
      </c>
      <c r="N2357">
        <v>0</v>
      </c>
      <c r="O2357">
        <v>-0.91023169999999998</v>
      </c>
      <c r="P2357">
        <v>-0.44827810000000001</v>
      </c>
      <c r="Q2357">
        <v>-3.063364E-2</v>
      </c>
      <c r="R2357">
        <v>-0.89336909999999903</v>
      </c>
      <c r="S2357">
        <v>-5.6518550000000001E-2</v>
      </c>
      <c r="T2357">
        <v>6.7789199999999994E-2</v>
      </c>
      <c r="U2357">
        <v>-3.3407589999999998</v>
      </c>
      <c r="V2357">
        <v>3.8595959999999999E-2</v>
      </c>
      <c r="W2357">
        <v>-1.515042E-2</v>
      </c>
      <c r="X2357">
        <v>0.99914000000000003</v>
      </c>
      <c r="Y2357">
        <v>-0.39841949999999998</v>
      </c>
      <c r="Z2357">
        <v>-1.6721139999999999E-2</v>
      </c>
      <c r="AA2357">
        <v>0.91705080000000005</v>
      </c>
      <c r="AB2357">
        <v>23</v>
      </c>
      <c r="AC2357">
        <v>-5.6518550000000001E-2</v>
      </c>
      <c r="AD2357">
        <v>6.7789199999999994E-2</v>
      </c>
      <c r="AE2357">
        <v>-3.3407589999999998</v>
      </c>
      <c r="AF2357">
        <v>-1.3306700965601099</v>
      </c>
      <c r="AG2357">
        <v>6.7789199999999994E-2</v>
      </c>
      <c r="AH2357">
        <v>3.0633310394218598</v>
      </c>
      <c r="AI2357">
        <v>88.837226953908697</v>
      </c>
      <c r="AJ2357">
        <v>113.479482769173</v>
      </c>
      <c r="AK2357">
        <v>3.3405501550794501</v>
      </c>
      <c r="AL2357">
        <v>90.868088368929705</v>
      </c>
      <c r="AM2357">
        <v>87.787810872577097</v>
      </c>
      <c r="AN2357">
        <v>0.99999996147724801</v>
      </c>
    </row>
    <row r="2358" spans="1:40" x14ac:dyDescent="0.25">
      <c r="A2358" t="str">
        <f>"20190312161314404"</f>
        <v>20190312161314404</v>
      </c>
      <c r="B2358" t="str">
        <f>"1552378394397833"</f>
        <v>1552378394397833</v>
      </c>
      <c r="C2358" t="s">
        <v>40</v>
      </c>
      <c r="D2358">
        <v>4.9203869999999998</v>
      </c>
      <c r="E2358">
        <v>0.31613780000000002</v>
      </c>
      <c r="F2358" t="s">
        <v>44</v>
      </c>
      <c r="G2358">
        <v>0</v>
      </c>
      <c r="H2358">
        <v>0</v>
      </c>
      <c r="I2358">
        <v>0</v>
      </c>
      <c r="J2358">
        <v>-491.78590000000003</v>
      </c>
      <c r="K2358">
        <v>1.1171009999999999</v>
      </c>
      <c r="L2358">
        <v>272.57920000000001</v>
      </c>
      <c r="M2358">
        <v>-0.4087327</v>
      </c>
      <c r="N2358">
        <v>0</v>
      </c>
      <c r="O2358">
        <v>-0.91253359999999994</v>
      </c>
      <c r="P2358">
        <v>-0.44388529999999998</v>
      </c>
      <c r="Q2358">
        <v>-3.0663269999999999E-2</v>
      </c>
      <c r="R2358">
        <v>-0.89555910000000005</v>
      </c>
      <c r="S2358">
        <v>-4.0435789999999999E-2</v>
      </c>
      <c r="T2358">
        <v>6.8381430000000007E-2</v>
      </c>
      <c r="U2358">
        <v>-3.3400569999999998</v>
      </c>
      <c r="V2358">
        <v>3.9279809999999998E-2</v>
      </c>
      <c r="W2358">
        <v>-1.517962E-2</v>
      </c>
      <c r="X2358">
        <v>0.99911300000000003</v>
      </c>
      <c r="Y2358">
        <v>-0.3976981</v>
      </c>
      <c r="Z2358">
        <v>-1.694412E-2</v>
      </c>
      <c r="AA2358">
        <v>0.91735979999999995</v>
      </c>
      <c r="AB2358">
        <v>23</v>
      </c>
      <c r="AC2358">
        <v>-4.0435789999999999E-2</v>
      </c>
      <c r="AD2358">
        <v>6.8381430000000007E-2</v>
      </c>
      <c r="AE2358">
        <v>-3.3400569999999998</v>
      </c>
      <c r="AF2358">
        <v>-1.32788114208143</v>
      </c>
      <c r="AG2358">
        <v>6.8381430000000007E-2</v>
      </c>
      <c r="AH2358">
        <v>3.0634949526045001</v>
      </c>
      <c r="AI2358">
        <v>88.826734313040006</v>
      </c>
      <c r="AJ2358">
        <v>113.434466026514</v>
      </c>
      <c r="AK2358">
        <v>3.3396026218844601</v>
      </c>
      <c r="AL2358">
        <v>90.869761516340105</v>
      </c>
      <c r="AM2358">
        <v>87.748594121238398</v>
      </c>
      <c r="AN2358">
        <v>1.00000005555298</v>
      </c>
    </row>
    <row r="2359" spans="1:40" x14ac:dyDescent="0.25">
      <c r="A2359" t="str">
        <f>"20190312161314416"</f>
        <v>20190312161314416</v>
      </c>
      <c r="B2359" t="str">
        <f>"1552378394408569"</f>
        <v>1552378394408569</v>
      </c>
      <c r="C2359" t="s">
        <v>40</v>
      </c>
      <c r="D2359">
        <v>4.93832</v>
      </c>
      <c r="E2359">
        <v>0.3164421</v>
      </c>
      <c r="F2359" t="s">
        <v>44</v>
      </c>
      <c r="G2359">
        <v>0</v>
      </c>
      <c r="H2359">
        <v>0</v>
      </c>
      <c r="I2359">
        <v>0</v>
      </c>
      <c r="J2359">
        <v>-491.82709999999997</v>
      </c>
      <c r="K2359">
        <v>1.117065</v>
      </c>
      <c r="L2359">
        <v>272.47179999999997</v>
      </c>
      <c r="M2359">
        <v>-0.40362300000000001</v>
      </c>
      <c r="N2359">
        <v>0</v>
      </c>
      <c r="O2359">
        <v>-0.91480510000000004</v>
      </c>
      <c r="P2359">
        <v>-0.43967099999999998</v>
      </c>
      <c r="Q2359">
        <v>-3.0618139999999999E-2</v>
      </c>
      <c r="R2359">
        <v>-0.89763709999999997</v>
      </c>
      <c r="S2359">
        <v>-2.5909419999999999E-2</v>
      </c>
      <c r="T2359">
        <v>6.8845749999999997E-2</v>
      </c>
      <c r="U2359">
        <v>-3.3393860000000002</v>
      </c>
      <c r="V2359">
        <v>4.0168309999999999E-2</v>
      </c>
      <c r="W2359">
        <v>-1.5131540000000001E-2</v>
      </c>
      <c r="X2359">
        <v>0.99907829999999997</v>
      </c>
      <c r="Y2359">
        <v>-0.39655449999999998</v>
      </c>
      <c r="Z2359">
        <v>-1.7137360000000001E-2</v>
      </c>
      <c r="AA2359">
        <v>0.91785119999999998</v>
      </c>
      <c r="AB2359">
        <v>23</v>
      </c>
      <c r="AC2359">
        <v>-2.5909419999999999E-2</v>
      </c>
      <c r="AD2359">
        <v>6.8845749999999997E-2</v>
      </c>
      <c r="AE2359">
        <v>-3.3393860000000002</v>
      </c>
      <c r="AF2359">
        <v>-1.3237340800070401</v>
      </c>
      <c r="AG2359">
        <v>6.8845749999999997E-2</v>
      </c>
      <c r="AH2359">
        <v>3.0643800034766602</v>
      </c>
      <c r="AI2359">
        <v>88.818474644683505</v>
      </c>
      <c r="AJ2359">
        <v>113.363114153371</v>
      </c>
      <c r="AK2359">
        <v>3.3387776891510499</v>
      </c>
      <c r="AL2359">
        <v>90.8670065078351</v>
      </c>
      <c r="AM2359">
        <v>87.697642171691001</v>
      </c>
      <c r="AN2359">
        <v>0.99999995308095702</v>
      </c>
    </row>
    <row r="2360" spans="1:40" x14ac:dyDescent="0.25">
      <c r="A2360" t="str">
        <f>"20190312161314426"</f>
        <v>20190312161314426</v>
      </c>
      <c r="B2360" t="str">
        <f>"1552378394417860"</f>
        <v>1552378394417860</v>
      </c>
      <c r="C2360" t="s">
        <v>40</v>
      </c>
      <c r="D2360">
        <v>4.944769</v>
      </c>
      <c r="E2360">
        <v>0.31676739999999998</v>
      </c>
      <c r="F2360" t="s">
        <v>44</v>
      </c>
      <c r="G2360">
        <v>0</v>
      </c>
      <c r="H2360">
        <v>0</v>
      </c>
      <c r="I2360">
        <v>0</v>
      </c>
      <c r="J2360">
        <v>-491.86579999999998</v>
      </c>
      <c r="K2360">
        <v>1.1170310000000001</v>
      </c>
      <c r="L2360">
        <v>272.3707</v>
      </c>
      <c r="M2360">
        <v>-0.39881349999999999</v>
      </c>
      <c r="N2360">
        <v>0</v>
      </c>
      <c r="O2360">
        <v>-0.91691210000000001</v>
      </c>
      <c r="P2360">
        <v>-0.43541049999999998</v>
      </c>
      <c r="Q2360">
        <v>-3.0391700000000001E-2</v>
      </c>
      <c r="R2360">
        <v>-0.89971909999999899</v>
      </c>
      <c r="S2360">
        <v>-1.2146000000000001E-2</v>
      </c>
      <c r="T2360">
        <v>6.9099069999999999E-2</v>
      </c>
      <c r="U2360">
        <v>-3.3385310000000001</v>
      </c>
      <c r="V2360">
        <v>4.0670100000000001E-2</v>
      </c>
      <c r="W2360">
        <v>-1.490767E-2</v>
      </c>
      <c r="X2360">
        <v>0.99906139999999999</v>
      </c>
      <c r="Y2360">
        <v>-0.39551550000000002</v>
      </c>
      <c r="Z2360">
        <v>-1.727424E-2</v>
      </c>
      <c r="AA2360">
        <v>0.91829689999999997</v>
      </c>
      <c r="AB2360">
        <v>23</v>
      </c>
      <c r="AC2360">
        <v>-1.2146000000000001E-2</v>
      </c>
      <c r="AD2360">
        <v>6.9099069999999999E-2</v>
      </c>
      <c r="AE2360">
        <v>-3.3385310000000001</v>
      </c>
      <c r="AF2360">
        <v>-1.3198942580577899</v>
      </c>
      <c r="AG2360">
        <v>6.9099069999999999E-2</v>
      </c>
      <c r="AH2360">
        <v>3.0650077782096101</v>
      </c>
      <c r="AI2360">
        <v>88.813792968220994</v>
      </c>
      <c r="AJ2360">
        <v>113.298318500272</v>
      </c>
      <c r="AK2360">
        <v>3.3378388538714998</v>
      </c>
      <c r="AL2360">
        <v>90.854178223913806</v>
      </c>
      <c r="AM2360">
        <v>87.668872833568798</v>
      </c>
      <c r="AN2360">
        <v>0.99999998831439896</v>
      </c>
    </row>
    <row r="2361" spans="1:40" x14ac:dyDescent="0.25">
      <c r="A2361" t="str">
        <f>"20190312161314438"</f>
        <v>20190312161314438</v>
      </c>
      <c r="B2361" t="str">
        <f>"1552378394428596"</f>
        <v>1552378394428596</v>
      </c>
      <c r="C2361" t="s">
        <v>40</v>
      </c>
      <c r="D2361">
        <v>4.9747320000000004</v>
      </c>
      <c r="E2361">
        <v>0.31711070000000002</v>
      </c>
      <c r="F2361" t="s">
        <v>44</v>
      </c>
      <c r="G2361">
        <v>0</v>
      </c>
      <c r="H2361">
        <v>0</v>
      </c>
      <c r="I2361">
        <v>0</v>
      </c>
      <c r="J2361">
        <v>-491.90390000000002</v>
      </c>
      <c r="K2361">
        <v>1.116994</v>
      </c>
      <c r="L2361">
        <v>272.2679</v>
      </c>
      <c r="M2361">
        <v>-0.39396409999999998</v>
      </c>
      <c r="N2361">
        <v>0</v>
      </c>
      <c r="O2361">
        <v>-0.9190064</v>
      </c>
      <c r="P2361">
        <v>-0.43130580000000002</v>
      </c>
      <c r="Q2361">
        <v>-3.0192460000000001E-2</v>
      </c>
      <c r="R2361">
        <v>-0.90170059999999996</v>
      </c>
      <c r="S2361">
        <v>9.765625E-4</v>
      </c>
      <c r="T2361">
        <v>6.9613220000000003E-2</v>
      </c>
      <c r="U2361">
        <v>-3.337189</v>
      </c>
      <c r="V2361">
        <v>4.1387739999999999E-2</v>
      </c>
      <c r="W2361">
        <v>-1.470891E-2</v>
      </c>
      <c r="X2361">
        <v>0.99903489999999995</v>
      </c>
      <c r="Y2361">
        <v>-0.39427259999999997</v>
      </c>
      <c r="Z2361">
        <v>-1.7480160000000002E-2</v>
      </c>
      <c r="AA2361">
        <v>0.91882730000000001</v>
      </c>
      <c r="AB2361">
        <v>23</v>
      </c>
      <c r="AC2361">
        <v>9.765625E-4</v>
      </c>
      <c r="AD2361">
        <v>6.9613220000000003E-2</v>
      </c>
      <c r="AE2361">
        <v>-3.337189</v>
      </c>
      <c r="AF2361">
        <v>-1.3152022708967299</v>
      </c>
      <c r="AG2361">
        <v>6.9613220000000003E-2</v>
      </c>
      <c r="AH2361">
        <v>3.0655160550090899</v>
      </c>
      <c r="AI2361">
        <v>88.804472878212394</v>
      </c>
      <c r="AJ2361">
        <v>113.220845845376</v>
      </c>
      <c r="AK2361">
        <v>3.3364639511448702</v>
      </c>
      <c r="AL2361">
        <v>90.842788843948398</v>
      </c>
      <c r="AM2361">
        <v>87.627722905089001</v>
      </c>
      <c r="AN2361">
        <v>1.0000000142368499</v>
      </c>
    </row>
    <row r="2362" spans="1:40" x14ac:dyDescent="0.25">
      <c r="A2362" t="str">
        <f>"20190312161314449"</f>
        <v>20190312161314449</v>
      </c>
      <c r="B2362" t="str">
        <f>"1552378394438356"</f>
        <v>1552378394438356</v>
      </c>
      <c r="C2362" t="s">
        <v>40</v>
      </c>
      <c r="D2362">
        <v>4.9360799999999996</v>
      </c>
      <c r="E2362">
        <v>0.3174883</v>
      </c>
      <c r="F2362" t="s">
        <v>44</v>
      </c>
      <c r="G2362">
        <v>0</v>
      </c>
      <c r="H2362">
        <v>0</v>
      </c>
      <c r="I2362">
        <v>0</v>
      </c>
      <c r="J2362">
        <v>-491.94229999999999</v>
      </c>
      <c r="K2362">
        <v>1.116957</v>
      </c>
      <c r="L2362">
        <v>272.1644</v>
      </c>
      <c r="M2362">
        <v>-0.38907550000000002</v>
      </c>
      <c r="N2362">
        <v>0</v>
      </c>
      <c r="O2362">
        <v>-0.92108679999999998</v>
      </c>
      <c r="P2362">
        <v>-0.42716159999999997</v>
      </c>
      <c r="Q2362">
        <v>-2.9953069999999998E-2</v>
      </c>
      <c r="R2362">
        <v>-0.90367900000000001</v>
      </c>
      <c r="S2362">
        <v>1.400757E-2</v>
      </c>
      <c r="T2362">
        <v>7.0105429999999996E-2</v>
      </c>
      <c r="U2362">
        <v>-3.3361209999999999</v>
      </c>
      <c r="V2362">
        <v>4.2101029999999998E-2</v>
      </c>
      <c r="W2362">
        <v>-1.44701E-2</v>
      </c>
      <c r="X2362">
        <v>0.99900860000000002</v>
      </c>
      <c r="Y2362">
        <v>-0.3929783</v>
      </c>
      <c r="Z2362">
        <v>-1.767999E-2</v>
      </c>
      <c r="AA2362">
        <v>0.91937780000000002</v>
      </c>
      <c r="AB2362">
        <v>23</v>
      </c>
      <c r="AC2362">
        <v>1.400757E-2</v>
      </c>
      <c r="AD2362">
        <v>7.0105429999999996E-2</v>
      </c>
      <c r="AE2362">
        <v>-3.3361209999999999</v>
      </c>
      <c r="AF2362">
        <v>-1.31047025809504</v>
      </c>
      <c r="AG2362">
        <v>7.0105429999999996E-2</v>
      </c>
      <c r="AH2362">
        <v>3.0663894412938801</v>
      </c>
      <c r="AI2362">
        <v>88.795639696486802</v>
      </c>
      <c r="AJ2362">
        <v>113.140210976638</v>
      </c>
      <c r="AK2362">
        <v>3.3354147080004499</v>
      </c>
      <c r="AL2362">
        <v>90.829104568077398</v>
      </c>
      <c r="AM2362">
        <v>87.586822766477894</v>
      </c>
      <c r="AN2362">
        <v>1.00000003169751</v>
      </c>
    </row>
    <row r="2363" spans="1:40" x14ac:dyDescent="0.25">
      <c r="A2363" t="str">
        <f>"20190312161314460"</f>
        <v>20190312161314460</v>
      </c>
      <c r="B2363" t="str">
        <f>"1552378394457876"</f>
        <v>1552378394457876</v>
      </c>
      <c r="C2363" t="s">
        <v>40</v>
      </c>
      <c r="D2363">
        <v>4.9055019999999896</v>
      </c>
      <c r="E2363">
        <v>0.31752750000000002</v>
      </c>
      <c r="F2363" t="s">
        <v>44</v>
      </c>
      <c r="G2363">
        <v>0</v>
      </c>
      <c r="H2363">
        <v>0</v>
      </c>
      <c r="I2363">
        <v>0</v>
      </c>
      <c r="J2363">
        <v>-491.98270000000002</v>
      </c>
      <c r="K2363">
        <v>1.1169150000000001</v>
      </c>
      <c r="L2363">
        <v>272.0523</v>
      </c>
      <c r="M2363">
        <v>-0.38382650000000001</v>
      </c>
      <c r="N2363">
        <v>0</v>
      </c>
      <c r="O2363">
        <v>-0.92328659999999996</v>
      </c>
      <c r="P2363">
        <v>-0.42249759999999997</v>
      </c>
      <c r="Q2363">
        <v>-2.9805269999999998E-2</v>
      </c>
      <c r="R2363">
        <v>-0.9058737</v>
      </c>
      <c r="S2363">
        <v>2.676392E-2</v>
      </c>
      <c r="T2363">
        <v>7.024503E-2</v>
      </c>
      <c r="U2363">
        <v>-3.3347169999999999</v>
      </c>
      <c r="V2363">
        <v>4.263169E-2</v>
      </c>
      <c r="W2363">
        <v>-1.4328250000000001E-2</v>
      </c>
      <c r="X2363">
        <v>0.99898810000000005</v>
      </c>
      <c r="Y2363">
        <v>-0.391262</v>
      </c>
      <c r="Z2363">
        <v>-1.779903E-2</v>
      </c>
      <c r="AA2363">
        <v>0.92010720000000001</v>
      </c>
      <c r="AB2363">
        <v>23</v>
      </c>
      <c r="AC2363">
        <v>2.676392E-2</v>
      </c>
      <c r="AD2363">
        <v>7.024503E-2</v>
      </c>
      <c r="AE2363">
        <v>-3.3347169999999999</v>
      </c>
      <c r="AF2363">
        <v>-1.30422777419769</v>
      </c>
      <c r="AG2363">
        <v>7.024503E-2</v>
      </c>
      <c r="AH2363">
        <v>3.0676019178212202</v>
      </c>
      <c r="AI2363">
        <v>88.792759935162593</v>
      </c>
      <c r="AJ2363">
        <v>113.033353537075</v>
      </c>
      <c r="AK2363">
        <v>3.3340854784256502</v>
      </c>
      <c r="AL2363">
        <v>90.8209763520439</v>
      </c>
      <c r="AM2363">
        <v>87.556392570738694</v>
      </c>
      <c r="AN2363">
        <v>0.999999991840964</v>
      </c>
    </row>
    <row r="2364" spans="1:40" x14ac:dyDescent="0.25">
      <c r="A2364" t="str">
        <f>"20190312161314472"</f>
        <v>20190312161314472</v>
      </c>
      <c r="B2364" t="str">
        <f>"1552378394467635"</f>
        <v>1552378394467635</v>
      </c>
      <c r="C2364" t="s">
        <v>40</v>
      </c>
      <c r="D2364">
        <v>4.9141690000000002</v>
      </c>
      <c r="E2364">
        <v>0.31764389999999998</v>
      </c>
      <c r="F2364" t="s">
        <v>44</v>
      </c>
      <c r="G2364">
        <v>0</v>
      </c>
      <c r="H2364">
        <v>0</v>
      </c>
      <c r="I2364">
        <v>0</v>
      </c>
      <c r="J2364">
        <v>-492.01979999999998</v>
      </c>
      <c r="K2364">
        <v>1.1168750000000001</v>
      </c>
      <c r="L2364">
        <v>271.94819999999999</v>
      </c>
      <c r="M2364">
        <v>-0.37895620000000002</v>
      </c>
      <c r="N2364">
        <v>0</v>
      </c>
      <c r="O2364">
        <v>-0.92529649999999997</v>
      </c>
      <c r="P2364">
        <v>-0.41855619999999999</v>
      </c>
      <c r="Q2364">
        <v>-2.9970810000000001E-2</v>
      </c>
      <c r="R2364">
        <v>-0.90769619999999995</v>
      </c>
      <c r="S2364">
        <v>4.3060300000000003E-2</v>
      </c>
      <c r="T2364">
        <v>7.5715660000000004E-2</v>
      </c>
      <c r="U2364">
        <v>-3.3342900000000002</v>
      </c>
      <c r="V2364">
        <v>4.3556499999999998E-2</v>
      </c>
      <c r="W2364">
        <v>-1.449276E-2</v>
      </c>
      <c r="X2364">
        <v>0.99894579999999999</v>
      </c>
      <c r="Y2364">
        <v>-0.39090930000000002</v>
      </c>
      <c r="Z2364">
        <v>-1.9255890000000001E-2</v>
      </c>
      <c r="AA2364">
        <v>0.92022780000000004</v>
      </c>
      <c r="AB2364">
        <v>23</v>
      </c>
      <c r="AC2364">
        <v>4.3060300000000003E-2</v>
      </c>
      <c r="AD2364">
        <v>7.5715660000000004E-2</v>
      </c>
      <c r="AE2364">
        <v>-3.3342900000000002</v>
      </c>
      <c r="AF2364">
        <v>-1.3028641630078199</v>
      </c>
      <c r="AG2364">
        <v>7.5715660000000004E-2</v>
      </c>
      <c r="AH2364">
        <v>3.06764276033307</v>
      </c>
      <c r="AI2364">
        <v>88.698578676733007</v>
      </c>
      <c r="AJ2364">
        <v>113.01150553706699</v>
      </c>
      <c r="AK2364">
        <v>3.3337096444416399</v>
      </c>
      <c r="AL2364">
        <v>90.8304030860495</v>
      </c>
      <c r="AM2364">
        <v>87.5033441298295</v>
      </c>
      <c r="AN2364">
        <v>0.99999996006115299</v>
      </c>
    </row>
    <row r="2365" spans="1:40" x14ac:dyDescent="0.25">
      <c r="A2365" t="str">
        <f>"20190312161314483"</f>
        <v>20190312161314483</v>
      </c>
      <c r="B2365" t="str">
        <f>"1552378394478371"</f>
        <v>1552378394478371</v>
      </c>
      <c r="C2365" t="s">
        <v>40</v>
      </c>
      <c r="D2365">
        <v>4.9268539999999996</v>
      </c>
      <c r="E2365">
        <v>0.3177719</v>
      </c>
      <c r="F2365" t="s">
        <v>44</v>
      </c>
      <c r="G2365">
        <v>0</v>
      </c>
      <c r="H2365">
        <v>0</v>
      </c>
      <c r="I2365">
        <v>0</v>
      </c>
      <c r="J2365">
        <v>-492.05799999999999</v>
      </c>
      <c r="K2365">
        <v>1.116832</v>
      </c>
      <c r="L2365">
        <v>271.83879999999999</v>
      </c>
      <c r="M2365">
        <v>-0.37386520000000001</v>
      </c>
      <c r="N2365">
        <v>0</v>
      </c>
      <c r="O2365">
        <v>-0.9273652</v>
      </c>
      <c r="P2365">
        <v>-0.41409170000000001</v>
      </c>
      <c r="Q2365">
        <v>-2.9974230000000001E-2</v>
      </c>
      <c r="R2365">
        <v>-0.90974169999999999</v>
      </c>
      <c r="S2365">
        <v>5.6823730000000003E-2</v>
      </c>
      <c r="T2365">
        <v>7.7720399999999995E-2</v>
      </c>
      <c r="U2365">
        <v>-3.3338320000000001</v>
      </c>
      <c r="V2365">
        <v>4.4137379999999997E-2</v>
      </c>
      <c r="W2365">
        <v>-1.450163E-2</v>
      </c>
      <c r="X2365">
        <v>0.99892020000000004</v>
      </c>
      <c r="Y2365">
        <v>-0.38965</v>
      </c>
      <c r="Z2365">
        <v>-1.9845519999999998E-2</v>
      </c>
      <c r="AA2365">
        <v>0.92074920000000005</v>
      </c>
      <c r="AB2365">
        <v>23</v>
      </c>
      <c r="AC2365">
        <v>5.6823730000000003E-2</v>
      </c>
      <c r="AD2365">
        <v>7.7720399999999995E-2</v>
      </c>
      <c r="AE2365">
        <v>-3.3338320000000001</v>
      </c>
      <c r="AF2365">
        <v>-1.2985366086558501</v>
      </c>
      <c r="AG2365">
        <v>7.7720399999999995E-2</v>
      </c>
      <c r="AH2365">
        <v>3.0691035065540899</v>
      </c>
      <c r="AI2365">
        <v>88.663995105256902</v>
      </c>
      <c r="AJ2365">
        <v>112.93320472209</v>
      </c>
      <c r="AK2365">
        <v>3.3334117835242401</v>
      </c>
      <c r="AL2365">
        <v>90.830911331678706</v>
      </c>
      <c r="AM2365">
        <v>87.470026349792704</v>
      </c>
      <c r="AN2365">
        <v>0.99999998577698002</v>
      </c>
    </row>
    <row r="2366" spans="1:40" x14ac:dyDescent="0.25">
      <c r="A2366" t="str">
        <f>"20190312161314495"</f>
        <v>20190312161314495</v>
      </c>
      <c r="B2366" t="str">
        <f>"1552378394488133"</f>
        <v>1552378394488133</v>
      </c>
      <c r="C2366" t="s">
        <v>40</v>
      </c>
      <c r="D2366">
        <v>4.8846720000000001</v>
      </c>
      <c r="E2366">
        <v>0.31798029999999999</v>
      </c>
      <c r="F2366" t="s">
        <v>44</v>
      </c>
      <c r="G2366">
        <v>0</v>
      </c>
      <c r="H2366">
        <v>0</v>
      </c>
      <c r="I2366">
        <v>0</v>
      </c>
      <c r="J2366">
        <v>-492.09840000000003</v>
      </c>
      <c r="K2366">
        <v>1.1167849999999999</v>
      </c>
      <c r="L2366">
        <v>271.72120000000001</v>
      </c>
      <c r="M2366">
        <v>-0.36841170000000001</v>
      </c>
      <c r="N2366">
        <v>0</v>
      </c>
      <c r="O2366">
        <v>-0.92954539999999997</v>
      </c>
      <c r="P2366">
        <v>-0.40938160000000001</v>
      </c>
      <c r="Q2366">
        <v>-3.0349839999999999E-2</v>
      </c>
      <c r="R2366">
        <v>-0.91185839999999996</v>
      </c>
      <c r="S2366">
        <v>7.2296139999999995E-2</v>
      </c>
      <c r="T2366">
        <v>8.0097199999999993E-2</v>
      </c>
      <c r="U2366">
        <v>-3.3331909999999998</v>
      </c>
      <c r="V2366">
        <v>4.4848020000000002E-2</v>
      </c>
      <c r="W2366">
        <v>-1.4881989999999999E-2</v>
      </c>
      <c r="X2366">
        <v>0.99888290000000002</v>
      </c>
      <c r="Y2366">
        <v>-0.3885151</v>
      </c>
      <c r="Z2366">
        <v>-2.053878E-2</v>
      </c>
      <c r="AA2366">
        <v>0.92121339999999996</v>
      </c>
      <c r="AB2366">
        <v>23</v>
      </c>
      <c r="AC2366">
        <v>7.2296139999999995E-2</v>
      </c>
      <c r="AD2366">
        <v>8.0097199999999993E-2</v>
      </c>
      <c r="AE2366">
        <v>-3.3331909999999998</v>
      </c>
      <c r="AF2366">
        <v>-1.2945832097038801</v>
      </c>
      <c r="AG2366">
        <v>8.0097199999999993E-2</v>
      </c>
      <c r="AH2366">
        <v>3.0702806491952699</v>
      </c>
      <c r="AI2366">
        <v>88.622966211522794</v>
      </c>
      <c r="AJ2366">
        <v>112.86271059898699</v>
      </c>
      <c r="AK2366">
        <v>3.3330143283697402</v>
      </c>
      <c r="AL2366">
        <v>90.852706752021206</v>
      </c>
      <c r="AM2366">
        <v>87.429250505813798</v>
      </c>
      <c r="AN2366">
        <v>0.99999993321834302</v>
      </c>
    </row>
    <row r="2367" spans="1:40" x14ac:dyDescent="0.25">
      <c r="A2367" t="str">
        <f>"20190312161314508"</f>
        <v>20190312161314508</v>
      </c>
      <c r="B2367" t="str">
        <f>"1552378394497892"</f>
        <v>1552378394497892</v>
      </c>
      <c r="C2367" t="s">
        <v>40</v>
      </c>
      <c r="D2367">
        <v>4.9189629999999998</v>
      </c>
      <c r="E2367">
        <v>0.31814969999999998</v>
      </c>
      <c r="F2367" t="s">
        <v>44</v>
      </c>
      <c r="G2367">
        <v>0</v>
      </c>
      <c r="H2367">
        <v>0</v>
      </c>
      <c r="I2367">
        <v>0</v>
      </c>
      <c r="J2367">
        <v>-492.13929999999999</v>
      </c>
      <c r="K2367">
        <v>1.1167400000000001</v>
      </c>
      <c r="L2367">
        <v>271.60059999999999</v>
      </c>
      <c r="M2367">
        <v>-0.36283379999999998</v>
      </c>
      <c r="N2367">
        <v>0</v>
      </c>
      <c r="O2367">
        <v>-0.93173729999999999</v>
      </c>
      <c r="P2367">
        <v>-0.40460010000000002</v>
      </c>
      <c r="Q2367">
        <v>-3.062405E-2</v>
      </c>
      <c r="R2367">
        <v>-0.91398120000000005</v>
      </c>
      <c r="S2367">
        <v>8.7799070000000007E-2</v>
      </c>
      <c r="T2367">
        <v>8.0697539999999998E-2</v>
      </c>
      <c r="U2367">
        <v>-3.3320919999999998</v>
      </c>
      <c r="V2367">
        <v>4.56091E-2</v>
      </c>
      <c r="W2367">
        <v>-1.5160359999999999E-2</v>
      </c>
      <c r="X2367">
        <v>0.99884430000000002</v>
      </c>
      <c r="Y2367">
        <v>-0.38728200000000002</v>
      </c>
      <c r="Z2367">
        <v>-2.0783590000000001E-2</v>
      </c>
      <c r="AA2367">
        <v>0.92172710000000002</v>
      </c>
      <c r="AB2367">
        <v>23</v>
      </c>
      <c r="AC2367">
        <v>8.7799070000000007E-2</v>
      </c>
      <c r="AD2367">
        <v>8.0697539999999998E-2</v>
      </c>
      <c r="AE2367">
        <v>-3.3320919999999998</v>
      </c>
      <c r="AF2367">
        <v>-1.2901852976460899</v>
      </c>
      <c r="AG2367">
        <v>8.0697539999999998E-2</v>
      </c>
      <c r="AH2367">
        <v>3.0713115971188998</v>
      </c>
      <c r="AI2367">
        <v>88.612334542029302</v>
      </c>
      <c r="AJ2367">
        <v>112.78612313022801</v>
      </c>
      <c r="AK2367">
        <v>3.3322732663785599</v>
      </c>
      <c r="AL2367">
        <v>90.868657937386999</v>
      </c>
      <c r="AM2367">
        <v>87.385583498657098</v>
      </c>
      <c r="AN2367">
        <v>0.99999998108031396</v>
      </c>
    </row>
    <row r="2368" spans="1:40" x14ac:dyDescent="0.25">
      <c r="A2368" t="str">
        <f>"20190312161314520"</f>
        <v>20190312161314520</v>
      </c>
      <c r="B2368" t="str">
        <f>"1552378394507653"</f>
        <v>1552378394507653</v>
      </c>
      <c r="C2368" t="s">
        <v>40</v>
      </c>
      <c r="D2368">
        <v>4.9508460000000003</v>
      </c>
      <c r="E2368">
        <v>0.31839669999999998</v>
      </c>
      <c r="F2368" t="s">
        <v>76</v>
      </c>
      <c r="G2368">
        <v>-485.21640000000002</v>
      </c>
      <c r="H2368">
        <v>6.5831520000000001</v>
      </c>
      <c r="I2368">
        <v>48.447890000000001</v>
      </c>
      <c r="J2368">
        <v>-492.17869999999999</v>
      </c>
      <c r="K2368">
        <v>1.116695</v>
      </c>
      <c r="L2368">
        <v>271.48110000000003</v>
      </c>
      <c r="M2368">
        <v>-0.35735440000000002</v>
      </c>
      <c r="N2368">
        <v>0</v>
      </c>
      <c r="O2368">
        <v>-0.93385249999999997</v>
      </c>
      <c r="P2368">
        <v>-0.39996359999999997</v>
      </c>
      <c r="Q2368">
        <v>-3.0722269999999999E-2</v>
      </c>
      <c r="R2368">
        <v>-0.91601619999999995</v>
      </c>
      <c r="S2368">
        <v>0.10333249999999999</v>
      </c>
      <c r="T2368">
        <v>8.1593390000000002E-2</v>
      </c>
      <c r="U2368">
        <v>-3.3308409999999999</v>
      </c>
      <c r="V2368">
        <v>4.641613E-2</v>
      </c>
      <c r="W2368">
        <v>-1.5262120000000001E-2</v>
      </c>
      <c r="X2368">
        <v>0.99880559999999996</v>
      </c>
      <c r="Y2368">
        <v>-0.3861697</v>
      </c>
      <c r="Z2368">
        <v>-2.1103549999999999E-2</v>
      </c>
      <c r="AA2368">
        <v>0.92218630000000001</v>
      </c>
      <c r="AB2368">
        <v>23</v>
      </c>
      <c r="AC2368">
        <v>6.9622999999999697</v>
      </c>
      <c r="AD2368">
        <v>5.4664570000000001</v>
      </c>
      <c r="AE2368">
        <v>-223.03321</v>
      </c>
      <c r="AF2368">
        <v>-86.161320999088204</v>
      </c>
      <c r="AG2368">
        <v>5.4664570000000001</v>
      </c>
      <c r="AH2368">
        <v>205.691036753389</v>
      </c>
      <c r="AI2368">
        <v>88.595825339456795</v>
      </c>
      <c r="AJ2368">
        <v>112.728180938271</v>
      </c>
      <c r="AK2368">
        <v>223.075005298946</v>
      </c>
      <c r="AL2368">
        <v>90.874489007113993</v>
      </c>
      <c r="AM2368">
        <v>87.339285675283506</v>
      </c>
      <c r="AN2368">
        <v>1.0000000080112099</v>
      </c>
    </row>
    <row r="2369" spans="1:40" x14ac:dyDescent="0.25">
      <c r="A2369" t="str">
        <f>"20190312161314532"</f>
        <v>20190312161314532</v>
      </c>
      <c r="B2369" t="str">
        <f>"1552378394527679"</f>
        <v>1552378394527679</v>
      </c>
      <c r="C2369" t="s">
        <v>40</v>
      </c>
      <c r="D2369">
        <v>5.002421</v>
      </c>
      <c r="E2369">
        <v>0.31898090000000001</v>
      </c>
      <c r="F2369" t="s">
        <v>76</v>
      </c>
      <c r="G2369">
        <v>-484.89089999999999</v>
      </c>
      <c r="H2369">
        <v>6.188993</v>
      </c>
      <c r="I2369">
        <v>66.713750000000005</v>
      </c>
      <c r="J2369">
        <v>-492.21260000000001</v>
      </c>
      <c r="K2369">
        <v>1.116657</v>
      </c>
      <c r="L2369">
        <v>271.37720000000002</v>
      </c>
      <c r="M2369">
        <v>-0.35259239999999997</v>
      </c>
      <c r="N2369">
        <v>0</v>
      </c>
      <c r="O2369">
        <v>-0.93566099999999996</v>
      </c>
      <c r="P2369">
        <v>-0.39574300000000001</v>
      </c>
      <c r="Q2369">
        <v>-3.0890790000000001E-2</v>
      </c>
      <c r="R2369">
        <v>-0.91784200000000005</v>
      </c>
      <c r="S2369">
        <v>0.1184998</v>
      </c>
      <c r="T2369">
        <v>8.2476850000000004E-2</v>
      </c>
      <c r="U2369">
        <v>-3.3295590000000002</v>
      </c>
      <c r="V2369">
        <v>4.6910130000000001E-2</v>
      </c>
      <c r="W2369">
        <v>-1.5436679999999999E-2</v>
      </c>
      <c r="X2369">
        <v>0.9987798</v>
      </c>
      <c r="Y2369">
        <v>-0.38567750000000001</v>
      </c>
      <c r="Z2369">
        <v>-2.140773E-2</v>
      </c>
      <c r="AA2369">
        <v>0.92238529999999996</v>
      </c>
      <c r="AB2369">
        <v>23</v>
      </c>
      <c r="AC2369">
        <v>7.3217000000000203</v>
      </c>
      <c r="AD2369">
        <v>5.072336</v>
      </c>
      <c r="AE2369">
        <v>-204.66345000000001</v>
      </c>
      <c r="AF2369">
        <v>-78.973537770526704</v>
      </c>
      <c r="AG2369">
        <v>5.072336</v>
      </c>
      <c r="AH2369">
        <v>188.81871071165301</v>
      </c>
      <c r="AI2369">
        <v>88.580321278486394</v>
      </c>
      <c r="AJ2369">
        <v>112.69714885151799</v>
      </c>
      <c r="AK2369">
        <v>204.73166285482199</v>
      </c>
      <c r="AL2369">
        <v>90.884491770231804</v>
      </c>
      <c r="AM2369">
        <v>87.310940072540504</v>
      </c>
      <c r="AN2369">
        <v>0.99999997013703901</v>
      </c>
    </row>
    <row r="2370" spans="1:40" x14ac:dyDescent="0.25">
      <c r="A2370" t="str">
        <f>"20190312161314542"</f>
        <v>20190312161314542</v>
      </c>
      <c r="B2370" t="str">
        <f>"1552378394538415"</f>
        <v>1552378394538415</v>
      </c>
      <c r="C2370" t="s">
        <v>40</v>
      </c>
      <c r="D2370">
        <v>4.978593</v>
      </c>
      <c r="E2370">
        <v>0.3192893</v>
      </c>
      <c r="F2370" t="s">
        <v>76</v>
      </c>
      <c r="G2370">
        <v>-484.26229999999998</v>
      </c>
      <c r="H2370">
        <v>6.2509889999999997</v>
      </c>
      <c r="I2370">
        <v>66.713750000000005</v>
      </c>
      <c r="J2370">
        <v>-492.24520000000001</v>
      </c>
      <c r="K2370">
        <v>1.1166199999999999</v>
      </c>
      <c r="L2370">
        <v>271.27519999999998</v>
      </c>
      <c r="M2370">
        <v>-0.34794340000000001</v>
      </c>
      <c r="N2370">
        <v>0</v>
      </c>
      <c r="O2370">
        <v>-0.93739989999999995</v>
      </c>
      <c r="P2370">
        <v>-0.3916</v>
      </c>
      <c r="Q2370">
        <v>-3.0829229999999999E-2</v>
      </c>
      <c r="R2370">
        <v>-0.91961930000000003</v>
      </c>
      <c r="S2370">
        <v>0.12924189999999999</v>
      </c>
      <c r="T2370">
        <v>8.3465929999999994E-2</v>
      </c>
      <c r="U2370">
        <v>-3.3270870000000001</v>
      </c>
      <c r="V2370">
        <v>4.7361239999999999E-2</v>
      </c>
      <c r="W2370">
        <v>-1.538139E-2</v>
      </c>
      <c r="X2370">
        <v>0.99875939999999996</v>
      </c>
      <c r="Y2370">
        <v>-0.38409500000000002</v>
      </c>
      <c r="Z2370">
        <v>-2.1752489999999999E-2</v>
      </c>
      <c r="AA2370">
        <v>0.92303740000000001</v>
      </c>
      <c r="AB2370">
        <v>23</v>
      </c>
      <c r="AC2370">
        <v>7.9829000000000203</v>
      </c>
      <c r="AD2370">
        <v>5.1343690000000004</v>
      </c>
      <c r="AE2370">
        <v>-204.56145000000001</v>
      </c>
      <c r="AF2370">
        <v>-78.618052339696803</v>
      </c>
      <c r="AG2370">
        <v>5.1343690000000004</v>
      </c>
      <c r="AH2370">
        <v>188.87996606155599</v>
      </c>
      <c r="AI2370">
        <v>88.562402140038202</v>
      </c>
      <c r="AJ2370">
        <v>112.59868421419</v>
      </c>
      <c r="AK2370">
        <v>204.65288045402599</v>
      </c>
      <c r="AL2370">
        <v>90.881323478149199</v>
      </c>
      <c r="AM2370">
        <v>87.285063935948997</v>
      </c>
      <c r="AN2370">
        <v>1.0000000066505099</v>
      </c>
    </row>
    <row r="2371" spans="1:40" x14ac:dyDescent="0.25">
      <c r="A2371" t="str">
        <f>"20190312161314553"</f>
        <v>20190312161314553</v>
      </c>
      <c r="B2371" t="str">
        <f>"1552378394548175"</f>
        <v>1552378394548175</v>
      </c>
      <c r="C2371" t="s">
        <v>40</v>
      </c>
      <c r="D2371">
        <v>4.9830690000000004</v>
      </c>
      <c r="E2371">
        <v>0.31962929999999901</v>
      </c>
      <c r="F2371" t="s">
        <v>76</v>
      </c>
      <c r="G2371">
        <v>-483.4864</v>
      </c>
      <c r="H2371">
        <v>6.2979710000000004</v>
      </c>
      <c r="I2371">
        <v>66.713750000000005</v>
      </c>
      <c r="J2371">
        <v>-492.27640000000002</v>
      </c>
      <c r="K2371">
        <v>1.116587</v>
      </c>
      <c r="L2371">
        <v>271.17630000000003</v>
      </c>
      <c r="M2371">
        <v>-0.3434429</v>
      </c>
      <c r="N2371">
        <v>0</v>
      </c>
      <c r="O2371">
        <v>-0.93905839999999996</v>
      </c>
      <c r="P2371">
        <v>-0.38726969999999999</v>
      </c>
      <c r="Q2371">
        <v>-3.1118409999999999E-2</v>
      </c>
      <c r="R2371">
        <v>-0.92144139999999997</v>
      </c>
      <c r="S2371">
        <v>0.14239499999999999</v>
      </c>
      <c r="T2371">
        <v>8.4236740000000004E-2</v>
      </c>
      <c r="U2371">
        <v>-3.3256839999999999</v>
      </c>
      <c r="V2371">
        <v>4.7460490000000001E-2</v>
      </c>
      <c r="W2371">
        <v>-1.5681839999999999E-2</v>
      </c>
      <c r="X2371">
        <v>0.99875000000000003</v>
      </c>
      <c r="Y2371">
        <v>-0.38332529999999998</v>
      </c>
      <c r="Z2371">
        <v>-2.2027410000000001E-2</v>
      </c>
      <c r="AA2371">
        <v>0.92335069999999997</v>
      </c>
      <c r="AB2371">
        <v>23</v>
      </c>
      <c r="AC2371">
        <v>8.7900000000000098</v>
      </c>
      <c r="AD2371">
        <v>5.1813840000000004</v>
      </c>
      <c r="AE2371">
        <v>-204.46254999999999</v>
      </c>
      <c r="AF2371">
        <v>-78.433746290478595</v>
      </c>
      <c r="AG2371">
        <v>5.1813840000000004</v>
      </c>
      <c r="AH2371">
        <v>188.88277845718801</v>
      </c>
      <c r="AI2371">
        <v>88.548760519127697</v>
      </c>
      <c r="AJ2371">
        <v>112.550713049127</v>
      </c>
      <c r="AK2371">
        <v>204.58593132232201</v>
      </c>
      <c r="AL2371">
        <v>90.898540086408403</v>
      </c>
      <c r="AM2371">
        <v>87.279357500078802</v>
      </c>
      <c r="AN2371">
        <v>0.99999999035841203</v>
      </c>
    </row>
    <row r="2372" spans="1:40" x14ac:dyDescent="0.25">
      <c r="A2372" t="str">
        <f>"20190312161314562"</f>
        <v>20190312161314562</v>
      </c>
      <c r="B2372" t="str">
        <f>"1552378394557935"</f>
        <v>1552378394557935</v>
      </c>
      <c r="C2372" t="s">
        <v>40</v>
      </c>
      <c r="D2372">
        <v>5.0189959999999996</v>
      </c>
      <c r="E2372">
        <v>0.31962929999999901</v>
      </c>
      <c r="F2372" t="s">
        <v>76</v>
      </c>
      <c r="G2372">
        <v>-482.73770000000002</v>
      </c>
      <c r="H2372">
        <v>6.2828010000000001</v>
      </c>
      <c r="I2372">
        <v>66.713750000000005</v>
      </c>
      <c r="J2372">
        <v>-492.30630000000002</v>
      </c>
      <c r="K2372">
        <v>1.116554</v>
      </c>
      <c r="L2372">
        <v>271.07979999999998</v>
      </c>
      <c r="M2372">
        <v>-0.33906979999999998</v>
      </c>
      <c r="N2372">
        <v>0</v>
      </c>
      <c r="O2372">
        <v>-0.94064630000000005</v>
      </c>
      <c r="P2372">
        <v>-0.38315110000000002</v>
      </c>
      <c r="Q2372">
        <v>-3.1272679999999997E-2</v>
      </c>
      <c r="R2372">
        <v>-0.92315639999999999</v>
      </c>
      <c r="S2372">
        <v>0.1550598</v>
      </c>
      <c r="T2372">
        <v>8.3982710000000002E-2</v>
      </c>
      <c r="U2372">
        <v>-3.3237610000000002</v>
      </c>
      <c r="V2372">
        <v>4.7650739999999997E-2</v>
      </c>
      <c r="W2372">
        <v>-1.5845709999999999E-2</v>
      </c>
      <c r="X2372">
        <v>0.99873829999999997</v>
      </c>
      <c r="Y2372">
        <v>-0.38256200000000001</v>
      </c>
      <c r="Z2372">
        <v>-2.2035679999999998E-2</v>
      </c>
      <c r="AA2372">
        <v>0.92366700000000002</v>
      </c>
      <c r="AB2372">
        <v>23</v>
      </c>
      <c r="AC2372">
        <v>9.5686</v>
      </c>
      <c r="AD2372">
        <v>5.1662470000000003</v>
      </c>
      <c r="AE2372">
        <v>-204.36605</v>
      </c>
      <c r="AF2372">
        <v>-78.253590965507499</v>
      </c>
      <c r="AG2372">
        <v>5.1662470000000003</v>
      </c>
      <c r="AH2372">
        <v>188.89173300290099</v>
      </c>
      <c r="AI2372">
        <v>88.552568641823299</v>
      </c>
      <c r="AJ2372">
        <v>112.503125775836</v>
      </c>
      <c r="AK2372">
        <v>204.524818552422</v>
      </c>
      <c r="AL2372">
        <v>90.907930362304796</v>
      </c>
      <c r="AM2372">
        <v>87.268436073151193</v>
      </c>
      <c r="AN2372">
        <v>0.99999993571741796</v>
      </c>
    </row>
    <row r="2373" spans="1:40" x14ac:dyDescent="0.25">
      <c r="A2373" t="str">
        <f>"20190312161314573"</f>
        <v>20190312161314573</v>
      </c>
      <c r="B2373" t="str">
        <f>"1552378394567695"</f>
        <v>1552378394567695</v>
      </c>
      <c r="C2373" t="s">
        <v>40</v>
      </c>
      <c r="D2373">
        <v>4.991015</v>
      </c>
      <c r="E2373">
        <v>0.33681929999999999</v>
      </c>
      <c r="F2373" t="s">
        <v>76</v>
      </c>
      <c r="G2373">
        <v>-481.86169999999998</v>
      </c>
      <c r="H2373">
        <v>6.2633999999999999</v>
      </c>
      <c r="I2373">
        <v>66.713750000000005</v>
      </c>
      <c r="J2373">
        <v>-492.33449999999999</v>
      </c>
      <c r="K2373">
        <v>1.1165229999999999</v>
      </c>
      <c r="L2373">
        <v>270.98689999999999</v>
      </c>
      <c r="M2373">
        <v>-0.3348778</v>
      </c>
      <c r="N2373">
        <v>0</v>
      </c>
      <c r="O2373">
        <v>-0.94214690000000001</v>
      </c>
      <c r="P2373">
        <v>-0.37928790000000001</v>
      </c>
      <c r="Q2373">
        <v>-3.1463530000000003E-2</v>
      </c>
      <c r="R2373">
        <v>-0.92474369999999995</v>
      </c>
      <c r="S2373">
        <v>0.16983029999999999</v>
      </c>
      <c r="T2373">
        <v>8.3689689999999997E-2</v>
      </c>
      <c r="U2373">
        <v>-3.3230590000000002</v>
      </c>
      <c r="V2373">
        <v>4.792623E-2</v>
      </c>
      <c r="W2373">
        <v>-1.6044389999999999E-2</v>
      </c>
      <c r="X2373">
        <v>0.998722</v>
      </c>
      <c r="Y2373">
        <v>-0.38255260000000002</v>
      </c>
      <c r="Z2373">
        <v>-2.2017450000000001E-2</v>
      </c>
      <c r="AA2373">
        <v>0.92367129999999997</v>
      </c>
      <c r="AB2373">
        <v>23</v>
      </c>
      <c r="AC2373">
        <v>10.472799999999999</v>
      </c>
      <c r="AD2373">
        <v>5.1468769999999999</v>
      </c>
      <c r="AE2373">
        <v>-204.27314999999999</v>
      </c>
      <c r="AF2373">
        <v>-78.232382150715495</v>
      </c>
      <c r="AG2373">
        <v>5.1468769999999999</v>
      </c>
      <c r="AH2373">
        <v>188.84904904404999</v>
      </c>
      <c r="AI2373">
        <v>88.557657949324494</v>
      </c>
      <c r="AJ2373">
        <v>112.502212754553</v>
      </c>
      <c r="AK2373">
        <v>204.47679400037299</v>
      </c>
      <c r="AL2373">
        <v>90.919315286339994</v>
      </c>
      <c r="AM2373">
        <v>87.252623050098705</v>
      </c>
      <c r="AN2373">
        <v>0.99999998962824199</v>
      </c>
    </row>
    <row r="2374" spans="1:40" x14ac:dyDescent="0.25">
      <c r="A2374" t="str">
        <f>"20190312161314584"</f>
        <v>20190312161314584</v>
      </c>
      <c r="B2374" t="str">
        <f>"1552378394578431"</f>
        <v>1552378394578431</v>
      </c>
      <c r="C2374" t="s">
        <v>40</v>
      </c>
      <c r="D2374">
        <v>5.0469819999999999</v>
      </c>
      <c r="E2374">
        <v>0.3382925</v>
      </c>
      <c r="F2374" t="s">
        <v>44</v>
      </c>
      <c r="G2374">
        <v>0</v>
      </c>
      <c r="H2374">
        <v>0</v>
      </c>
      <c r="I2374">
        <v>0</v>
      </c>
      <c r="J2374">
        <v>-492.36829999999998</v>
      </c>
      <c r="K2374">
        <v>1.1164799999999999</v>
      </c>
      <c r="L2374">
        <v>270.87450000000001</v>
      </c>
      <c r="M2374">
        <v>-0.32981899999999997</v>
      </c>
      <c r="N2374">
        <v>0</v>
      </c>
      <c r="O2374">
        <v>-0.94393000000000005</v>
      </c>
      <c r="P2374">
        <v>-0.3746408</v>
      </c>
      <c r="Q2374">
        <v>-3.1863460000000003E-2</v>
      </c>
      <c r="R2374">
        <v>-0.92662259999999996</v>
      </c>
      <c r="S2374">
        <v>5.6915279999999999E-2</v>
      </c>
      <c r="T2374">
        <v>7.7666399999999997E-2</v>
      </c>
      <c r="U2374">
        <v>-3.270111</v>
      </c>
      <c r="V2374">
        <v>4.8279250000000003E-2</v>
      </c>
      <c r="W2374">
        <v>-1.6453550000000001E-2</v>
      </c>
      <c r="X2374">
        <v>0.99869839999999999</v>
      </c>
      <c r="Y2374">
        <v>-0.34622570000000003</v>
      </c>
      <c r="Z2374">
        <v>-2.101271E-2</v>
      </c>
      <c r="AA2374">
        <v>0.93791590000000002</v>
      </c>
      <c r="AB2374">
        <v>23</v>
      </c>
      <c r="AC2374">
        <v>5.6915279999999999E-2</v>
      </c>
      <c r="AD2374">
        <v>7.7666399999999997E-2</v>
      </c>
      <c r="AE2374">
        <v>-3.270111</v>
      </c>
      <c r="AF2374">
        <v>-1.13175264180047</v>
      </c>
      <c r="AG2374">
        <v>7.7666399999999997E-2</v>
      </c>
      <c r="AH2374">
        <v>3.0665856121727302</v>
      </c>
      <c r="AI2374">
        <v>88.638898001716697</v>
      </c>
      <c r="AJ2374">
        <v>110.257062766128</v>
      </c>
      <c r="AK2374">
        <v>3.2696855244344398</v>
      </c>
      <c r="AL2374">
        <v>90.942761466677993</v>
      </c>
      <c r="AM2374">
        <v>87.232352186074607</v>
      </c>
      <c r="AN2374">
        <v>1.0000000497253601</v>
      </c>
    </row>
    <row r="2375" spans="1:40" x14ac:dyDescent="0.25">
      <c r="A2375" t="str">
        <f>"20190312161314595"</f>
        <v>20190312161314595</v>
      </c>
      <c r="B2375" t="str">
        <f>"1552378394588191"</f>
        <v>1552378394588191</v>
      </c>
      <c r="C2375" t="s">
        <v>40</v>
      </c>
      <c r="D2375">
        <v>5.0617999999999999</v>
      </c>
      <c r="E2375">
        <v>0.33926840000000003</v>
      </c>
      <c r="F2375" t="s">
        <v>44</v>
      </c>
      <c r="G2375">
        <v>0</v>
      </c>
      <c r="H2375">
        <v>0</v>
      </c>
      <c r="I2375">
        <v>0</v>
      </c>
      <c r="J2375">
        <v>-492.40010000000001</v>
      </c>
      <c r="K2375">
        <v>1.1164430000000001</v>
      </c>
      <c r="L2375">
        <v>270.76609999999999</v>
      </c>
      <c r="M2375">
        <v>-0.32496009999999997</v>
      </c>
      <c r="N2375">
        <v>0</v>
      </c>
      <c r="O2375">
        <v>-0.94561390000000001</v>
      </c>
      <c r="P2375">
        <v>-0.36994589999999999</v>
      </c>
      <c r="Q2375">
        <v>-3.2267440000000001E-2</v>
      </c>
      <c r="R2375">
        <v>-0.92849320000000002</v>
      </c>
      <c r="S2375">
        <v>6.3201900000000005E-2</v>
      </c>
      <c r="T2375">
        <v>7.2069170000000002E-2</v>
      </c>
      <c r="U2375">
        <v>-3.2656559999999999</v>
      </c>
      <c r="V2375">
        <v>4.8369929999999998E-2</v>
      </c>
      <c r="W2375">
        <v>-1.6870300000000001E-2</v>
      </c>
      <c r="X2375">
        <v>0.99868699999999999</v>
      </c>
      <c r="Y2375">
        <v>-0.34322740000000002</v>
      </c>
      <c r="Z2375">
        <v>-1.959311E-2</v>
      </c>
      <c r="AA2375">
        <v>0.93904799999999999</v>
      </c>
      <c r="AB2375">
        <v>23</v>
      </c>
      <c r="AC2375">
        <v>6.3201900000000005E-2</v>
      </c>
      <c r="AD2375">
        <v>7.2069170000000002E-2</v>
      </c>
      <c r="AE2375">
        <v>-3.2656559999999999</v>
      </c>
      <c r="AF2375">
        <v>-1.1205476404705801</v>
      </c>
      <c r="AG2375">
        <v>7.2069170000000002E-2</v>
      </c>
      <c r="AH2375">
        <v>3.0663490059902299</v>
      </c>
      <c r="AI2375">
        <v>88.735376489667402</v>
      </c>
      <c r="AJ2375">
        <v>110.07401315142999</v>
      </c>
      <c r="AK2375">
        <v>3.26547350415923</v>
      </c>
      <c r="AL2375">
        <v>90.966642854167404</v>
      </c>
      <c r="AM2375">
        <v>87.227130383008799</v>
      </c>
      <c r="AN2375">
        <v>0.99999999055964695</v>
      </c>
    </row>
    <row r="2376" spans="1:40" x14ac:dyDescent="0.25">
      <c r="A2376" t="str">
        <f>"20190312161314606"</f>
        <v>20190312161314606</v>
      </c>
      <c r="B2376" t="str">
        <f>"1552378394597951"</f>
        <v>1552378394597951</v>
      </c>
      <c r="C2376" t="s">
        <v>40</v>
      </c>
      <c r="D2376">
        <v>4.7602070000000003</v>
      </c>
      <c r="E2376">
        <v>0.33941850000000001</v>
      </c>
      <c r="F2376" t="s">
        <v>44</v>
      </c>
      <c r="G2376">
        <v>0</v>
      </c>
      <c r="H2376">
        <v>0</v>
      </c>
      <c r="I2376">
        <v>0</v>
      </c>
      <c r="J2376">
        <v>-492.43099999999998</v>
      </c>
      <c r="K2376">
        <v>1.1164099999999999</v>
      </c>
      <c r="L2376">
        <v>270.65969999999999</v>
      </c>
      <c r="M2376">
        <v>-0.32020130000000002</v>
      </c>
      <c r="N2376">
        <v>0</v>
      </c>
      <c r="O2376">
        <v>-0.94723590000000002</v>
      </c>
      <c r="P2376">
        <v>-0.36563849999999998</v>
      </c>
      <c r="Q2376">
        <v>-3.2801940000000002E-2</v>
      </c>
      <c r="R2376">
        <v>-0.93017890000000003</v>
      </c>
      <c r="S2376">
        <v>7.2784420000000002E-2</v>
      </c>
      <c r="T2376">
        <v>6.6177369999999999E-2</v>
      </c>
      <c r="U2376">
        <v>-3.2623600000000001</v>
      </c>
      <c r="V2376">
        <v>4.8775470000000001E-2</v>
      </c>
      <c r="W2376">
        <v>-1.7412710000000001E-2</v>
      </c>
      <c r="X2376">
        <v>0.99865800000000005</v>
      </c>
      <c r="Y2376">
        <v>-0.34128049999999999</v>
      </c>
      <c r="Z2376">
        <v>-1.8065970000000001E-2</v>
      </c>
      <c r="AA2376">
        <v>0.93978790000000001</v>
      </c>
      <c r="AB2376">
        <v>23</v>
      </c>
      <c r="AC2376">
        <v>7.2784420000000002E-2</v>
      </c>
      <c r="AD2376">
        <v>6.6177369999999999E-2</v>
      </c>
      <c r="AE2376">
        <v>-3.2623600000000001</v>
      </c>
      <c r="AF2376">
        <v>-1.11321796372719</v>
      </c>
      <c r="AG2376">
        <v>6.6177369999999999E-2</v>
      </c>
      <c r="AH2376">
        <v>3.0659880330197802</v>
      </c>
      <c r="AI2376">
        <v>88.837718843314605</v>
      </c>
      <c r="AJ2376">
        <v>109.955261280491</v>
      </c>
      <c r="AK2376">
        <v>3.2625015398748198</v>
      </c>
      <c r="AL2376">
        <v>90.997725191109396</v>
      </c>
      <c r="AM2376">
        <v>87.203837944667399</v>
      </c>
      <c r="AN2376">
        <v>1.0000000249536301</v>
      </c>
    </row>
    <row r="2377" spans="1:40" x14ac:dyDescent="0.25">
      <c r="A2377" t="str">
        <f>"20190312161314617"</f>
        <v>20190312161314617</v>
      </c>
      <c r="B2377" t="str">
        <f>"1552378394607710"</f>
        <v>1552378394607710</v>
      </c>
      <c r="C2377" t="s">
        <v>40</v>
      </c>
      <c r="D2377">
        <v>5.1093349999999997</v>
      </c>
      <c r="E2377">
        <v>0.34035209999999999</v>
      </c>
      <c r="F2377" t="s">
        <v>44</v>
      </c>
      <c r="G2377">
        <v>0</v>
      </c>
      <c r="H2377">
        <v>0</v>
      </c>
      <c r="I2377">
        <v>0</v>
      </c>
      <c r="J2377">
        <v>-492.46010000000001</v>
      </c>
      <c r="K2377">
        <v>1.116377</v>
      </c>
      <c r="L2377">
        <v>270.55650000000003</v>
      </c>
      <c r="M2377">
        <v>-0.3156157</v>
      </c>
      <c r="N2377">
        <v>0</v>
      </c>
      <c r="O2377">
        <v>-0.9487738</v>
      </c>
      <c r="P2377">
        <v>-0.36126839999999999</v>
      </c>
      <c r="Q2377">
        <v>-3.31966E-2</v>
      </c>
      <c r="R2377">
        <v>-0.93187089999999995</v>
      </c>
      <c r="S2377">
        <v>8.6242680000000002E-2</v>
      </c>
      <c r="T2377">
        <v>6.9628720000000005E-2</v>
      </c>
      <c r="U2377">
        <v>-3.2615050000000001</v>
      </c>
      <c r="V2377">
        <v>4.8927659999999998E-2</v>
      </c>
      <c r="W2377">
        <v>-1.7818850000000001E-2</v>
      </c>
      <c r="X2377">
        <v>0.99864330000000001</v>
      </c>
      <c r="Y2377">
        <v>-0.34061409999999998</v>
      </c>
      <c r="Z2377">
        <v>-1.906331E-2</v>
      </c>
      <c r="AA2377">
        <v>0.94000989999999995</v>
      </c>
      <c r="AB2377">
        <v>23</v>
      </c>
      <c r="AC2377">
        <v>8.6242680000000002E-2</v>
      </c>
      <c r="AD2377">
        <v>6.9628720000000005E-2</v>
      </c>
      <c r="AE2377">
        <v>-3.2615050000000001</v>
      </c>
      <c r="AF2377">
        <v>-1.1108205373055799</v>
      </c>
      <c r="AG2377">
        <v>6.9628720000000005E-2</v>
      </c>
      <c r="AH2377">
        <v>3.06614427281044</v>
      </c>
      <c r="AI2377">
        <v>88.776868954168606</v>
      </c>
      <c r="AJ2377">
        <v>109.914732674631</v>
      </c>
      <c r="AK2377">
        <v>3.26190299157363</v>
      </c>
      <c r="AL2377">
        <v>91.020999002852705</v>
      </c>
      <c r="AM2377">
        <v>87.195086004355801</v>
      </c>
      <c r="AN2377">
        <v>0.999999933981641</v>
      </c>
    </row>
    <row r="2378" spans="1:40" x14ac:dyDescent="0.25">
      <c r="A2378" t="str">
        <f>"20190312161314629"</f>
        <v>20190312161314629</v>
      </c>
      <c r="B2378" t="str">
        <f>"1552378394618447"</f>
        <v>1552378394618447</v>
      </c>
      <c r="C2378" t="s">
        <v>40</v>
      </c>
      <c r="D2378">
        <v>5.0903539999999996</v>
      </c>
      <c r="E2378">
        <v>0.34120499999999998</v>
      </c>
      <c r="F2378" t="s">
        <v>76</v>
      </c>
      <c r="G2378">
        <v>-485.21620000000001</v>
      </c>
      <c r="H2378">
        <v>6.0829389999999997</v>
      </c>
      <c r="I2378">
        <v>20.989409999999999</v>
      </c>
      <c r="J2378">
        <v>-492.4898</v>
      </c>
      <c r="K2378">
        <v>1.1163400000000001</v>
      </c>
      <c r="L2378">
        <v>270.45060000000001</v>
      </c>
      <c r="M2378">
        <v>-0.31090810000000002</v>
      </c>
      <c r="N2378">
        <v>0</v>
      </c>
      <c r="O2378">
        <v>-0.95032689999999997</v>
      </c>
      <c r="P2378">
        <v>-0.35694609999999999</v>
      </c>
      <c r="Q2378">
        <v>-3.363882E-2</v>
      </c>
      <c r="R2378">
        <v>-0.93351930000000005</v>
      </c>
      <c r="S2378">
        <v>9.4573969999999993E-2</v>
      </c>
      <c r="T2378">
        <v>6.4842579999999997E-2</v>
      </c>
      <c r="U2378">
        <v>-3.2583009999999999</v>
      </c>
      <c r="V2378">
        <v>4.9260850000000002E-2</v>
      </c>
      <c r="W2378">
        <v>-1.8270109999999999E-2</v>
      </c>
      <c r="X2378">
        <v>0.99861880000000003</v>
      </c>
      <c r="Y2378">
        <v>-0.33837889999999998</v>
      </c>
      <c r="Z2378">
        <v>-1.7824530000000002E-2</v>
      </c>
      <c r="AA2378">
        <v>0.94084109999999999</v>
      </c>
      <c r="AB2378">
        <v>23</v>
      </c>
      <c r="AC2378">
        <v>7.2735999999999796</v>
      </c>
      <c r="AD2378">
        <v>4.9665990000000004</v>
      </c>
      <c r="AE2378">
        <v>-249.46118999999999</v>
      </c>
      <c r="AF2378">
        <v>-84.447436967393401</v>
      </c>
      <c r="AG2378">
        <v>4.9665990000000004</v>
      </c>
      <c r="AH2378">
        <v>234.740529188827</v>
      </c>
      <c r="AI2378">
        <v>88.859464498611203</v>
      </c>
      <c r="AJ2378">
        <v>109.78609356947899</v>
      </c>
      <c r="AK2378">
        <v>249.517840564235</v>
      </c>
      <c r="AL2378">
        <v>91.046858472951698</v>
      </c>
      <c r="AM2378">
        <v>87.175946606405702</v>
      </c>
      <c r="AN2378">
        <v>0.99999996798778601</v>
      </c>
    </row>
    <row r="2379" spans="1:40" x14ac:dyDescent="0.25">
      <c r="A2379" t="str">
        <f>"20190312161314638"</f>
        <v>20190312161314638</v>
      </c>
      <c r="B2379" t="str">
        <f>"1552378394628207"</f>
        <v>1552378394628207</v>
      </c>
      <c r="C2379" t="s">
        <v>40</v>
      </c>
      <c r="D2379">
        <v>4.9138000000000002</v>
      </c>
      <c r="E2379">
        <v>0.3423002</v>
      </c>
      <c r="F2379" t="s">
        <v>76</v>
      </c>
      <c r="G2379">
        <v>-485.13670000000002</v>
      </c>
      <c r="H2379">
        <v>5.5108649999999999</v>
      </c>
      <c r="I2379">
        <v>39.337879999999998</v>
      </c>
      <c r="J2379">
        <v>-492.51799999999997</v>
      </c>
      <c r="K2379">
        <v>1.1163069999999999</v>
      </c>
      <c r="L2379">
        <v>270.3467</v>
      </c>
      <c r="M2379">
        <v>-0.30632989999999999</v>
      </c>
      <c r="N2379">
        <v>0</v>
      </c>
      <c r="O2379">
        <v>-0.95181269999999996</v>
      </c>
      <c r="P2379">
        <v>-0.35279169999999999</v>
      </c>
      <c r="Q2379">
        <v>-3.4016820000000003E-2</v>
      </c>
      <c r="R2379">
        <v>-0.93508340000000001</v>
      </c>
      <c r="S2379">
        <v>0.10357669999999999</v>
      </c>
      <c r="T2379">
        <v>6.1902169999999999E-2</v>
      </c>
      <c r="U2379">
        <v>-3.255493</v>
      </c>
      <c r="V2379">
        <v>4.9635829999999999E-2</v>
      </c>
      <c r="W2379">
        <v>-1.8656590000000001E-2</v>
      </c>
      <c r="X2379">
        <v>0.99859310000000001</v>
      </c>
      <c r="Y2379">
        <v>-0.336472099999999</v>
      </c>
      <c r="Z2379">
        <v>-1.7079230000000001E-2</v>
      </c>
      <c r="AA2379">
        <v>0.94153849999999994</v>
      </c>
      <c r="AB2379">
        <v>23</v>
      </c>
      <c r="AC2379">
        <v>7.3813000000000004</v>
      </c>
      <c r="AD2379">
        <v>4.394558</v>
      </c>
      <c r="AE2379">
        <v>-231.00881999999999</v>
      </c>
      <c r="AF2379">
        <v>-77.770755624412303</v>
      </c>
      <c r="AG2379">
        <v>4.394558</v>
      </c>
      <c r="AH2379">
        <v>217.56071504762801</v>
      </c>
      <c r="AI2379">
        <v>88.910336765009802</v>
      </c>
      <c r="AJ2379">
        <v>109.670288689952</v>
      </c>
      <c r="AK2379">
        <v>231.08497853050201</v>
      </c>
      <c r="AL2379">
        <v>91.069005907340497</v>
      </c>
      <c r="AM2379">
        <v>87.154411629525001</v>
      </c>
      <c r="AN2379">
        <v>0.99999998166891302</v>
      </c>
    </row>
    <row r="2380" spans="1:40" x14ac:dyDescent="0.25">
      <c r="A2380" t="str">
        <f>"20190312161314651"</f>
        <v>20190312161314651</v>
      </c>
      <c r="B2380" t="str">
        <f>"1552378394647727"</f>
        <v>1552378394647727</v>
      </c>
      <c r="C2380" t="s">
        <v>40</v>
      </c>
      <c r="D2380">
        <v>5.1347440000000004</v>
      </c>
      <c r="E2380">
        <v>0.34477859999999899</v>
      </c>
      <c r="F2380" t="s">
        <v>76</v>
      </c>
      <c r="G2380">
        <v>-483.90170000000001</v>
      </c>
      <c r="H2380">
        <v>5.5112769999999998</v>
      </c>
      <c r="I2380">
        <v>15.81047</v>
      </c>
      <c r="J2380">
        <v>-492.548</v>
      </c>
      <c r="K2380">
        <v>1.1162700000000001</v>
      </c>
      <c r="L2380">
        <v>270.23540000000003</v>
      </c>
      <c r="M2380">
        <v>-0.30142219999999997</v>
      </c>
      <c r="N2380">
        <v>0</v>
      </c>
      <c r="O2380">
        <v>-0.95337839999999996</v>
      </c>
      <c r="P2380">
        <v>-0.34831869999999998</v>
      </c>
      <c r="Q2380">
        <v>-3.4295829999999999E-2</v>
      </c>
      <c r="R2380">
        <v>-0.93674869999999999</v>
      </c>
      <c r="S2380">
        <v>0.11007690000000001</v>
      </c>
      <c r="T2380">
        <v>5.6148049999999998E-2</v>
      </c>
      <c r="U2380">
        <v>-3.2518310000000001</v>
      </c>
      <c r="V2380">
        <v>5.0013540000000002E-2</v>
      </c>
      <c r="W2380">
        <v>-1.8944760000000001E-2</v>
      </c>
      <c r="X2380">
        <v>0.99856880000000003</v>
      </c>
      <c r="Y2380">
        <v>-0.33353389999999999</v>
      </c>
      <c r="Z2380">
        <v>-1.5558560000000001E-2</v>
      </c>
      <c r="AA2380">
        <v>0.94260969999999999</v>
      </c>
      <c r="AB2380">
        <v>23</v>
      </c>
      <c r="AC2380">
        <v>8.6462999999999894</v>
      </c>
      <c r="AD2380">
        <v>4.3950069999999997</v>
      </c>
      <c r="AE2380">
        <v>-254.42492999999999</v>
      </c>
      <c r="AF2380">
        <v>-84.916309233094594</v>
      </c>
      <c r="AG2380">
        <v>4.3950069999999997</v>
      </c>
      <c r="AH2380">
        <v>239.91125239837299</v>
      </c>
      <c r="AI2380">
        <v>89.0106313160273</v>
      </c>
      <c r="AJ2380">
        <v>109.49135814952599</v>
      </c>
      <c r="AK2380">
        <v>254.53389693252299</v>
      </c>
      <c r="AL2380">
        <v>91.085519782157903</v>
      </c>
      <c r="AM2380">
        <v>87.132724112124095</v>
      </c>
      <c r="AN2380">
        <v>0.99999995322411295</v>
      </c>
    </row>
    <row r="2381" spans="1:40" x14ac:dyDescent="0.25">
      <c r="A2381" t="str">
        <f>"20190312161314663"</f>
        <v>20190312161314663</v>
      </c>
      <c r="B2381" t="str">
        <f>"1552378394658463"</f>
        <v>1552378394658463</v>
      </c>
      <c r="C2381" t="s">
        <v>40</v>
      </c>
      <c r="D2381">
        <v>4.8710820000000004</v>
      </c>
      <c r="E2381">
        <v>0.34477859999999899</v>
      </c>
      <c r="F2381" t="s">
        <v>76</v>
      </c>
      <c r="G2381">
        <v>-483.88549999999998</v>
      </c>
      <c r="H2381">
        <v>4.8603930000000002</v>
      </c>
      <c r="I2381">
        <v>8.8459970000000006</v>
      </c>
      <c r="J2381">
        <v>-492.57799999999997</v>
      </c>
      <c r="K2381">
        <v>1.116231</v>
      </c>
      <c r="L2381">
        <v>270.12099999999998</v>
      </c>
      <c r="M2381">
        <v>-0.296408</v>
      </c>
      <c r="N2381">
        <v>0</v>
      </c>
      <c r="O2381">
        <v>-0.95494950000000001</v>
      </c>
      <c r="P2381">
        <v>-0.34366729999999901</v>
      </c>
      <c r="Q2381">
        <v>-3.427152E-2</v>
      </c>
      <c r="R2381">
        <v>-0.93846589999999996</v>
      </c>
      <c r="S2381">
        <v>0.1075134</v>
      </c>
      <c r="T2381">
        <v>4.6470169999999998E-2</v>
      </c>
      <c r="U2381">
        <v>-3.2442319999999998</v>
      </c>
      <c r="V2381">
        <v>5.0305049999999997E-2</v>
      </c>
      <c r="W2381">
        <v>-1.8931099999999999E-2</v>
      </c>
      <c r="X2381">
        <v>0.99855450000000001</v>
      </c>
      <c r="Y2381">
        <v>-0.32790629999999998</v>
      </c>
      <c r="Z2381">
        <v>-1.295572E-2</v>
      </c>
      <c r="AA2381">
        <v>0.94462140000000006</v>
      </c>
      <c r="AB2381">
        <v>23</v>
      </c>
      <c r="AC2381">
        <v>8.6925000000000505</v>
      </c>
      <c r="AD2381">
        <v>3.7441620000000002</v>
      </c>
      <c r="AE2381">
        <v>-261.27500300000003</v>
      </c>
      <c r="AF2381">
        <v>-85.736477790389102</v>
      </c>
      <c r="AG2381">
        <v>3.7441620000000002</v>
      </c>
      <c r="AH2381">
        <v>246.90365378331401</v>
      </c>
      <c r="AI2381">
        <v>89.179273311468407</v>
      </c>
      <c r="AJ2381">
        <v>109.14938877806399</v>
      </c>
      <c r="AK2381">
        <v>261.39276314491701</v>
      </c>
      <c r="AL2381">
        <v>91.0847368904614</v>
      </c>
      <c r="AM2381">
        <v>87.115998747310698</v>
      </c>
      <c r="AN2381">
        <v>1.0000000370364801</v>
      </c>
    </row>
    <row r="2382" spans="1:40" x14ac:dyDescent="0.25">
      <c r="A2382" t="str">
        <f>"20190312161314676"</f>
        <v>20190312161314676</v>
      </c>
      <c r="B2382" t="str">
        <f>"1552378394668223"</f>
        <v>1552378394668223</v>
      </c>
      <c r="C2382" t="s">
        <v>40</v>
      </c>
      <c r="D2382">
        <v>5.1387640000000001</v>
      </c>
      <c r="E2382">
        <v>0.35754750000000002</v>
      </c>
      <c r="F2382" t="s">
        <v>76</v>
      </c>
      <c r="G2382">
        <v>-483.69819999999999</v>
      </c>
      <c r="H2382">
        <v>4.4739769999999996</v>
      </c>
      <c r="I2382">
        <v>37.867820000000002</v>
      </c>
      <c r="J2382">
        <v>-492.60899999999998</v>
      </c>
      <c r="K2382">
        <v>1.116193</v>
      </c>
      <c r="L2382">
        <v>270.00049999999999</v>
      </c>
      <c r="M2382">
        <v>-0.29114570000000001</v>
      </c>
      <c r="N2382">
        <v>0</v>
      </c>
      <c r="O2382">
        <v>-0.95656730000000001</v>
      </c>
      <c r="P2382">
        <v>-0.33912249999999999</v>
      </c>
      <c r="Q2382">
        <v>-3.4569910000000002E-2</v>
      </c>
      <c r="R2382">
        <v>-0.94010689999999997</v>
      </c>
      <c r="S2382">
        <v>0.12402340000000001</v>
      </c>
      <c r="T2382">
        <v>4.6898009999999997E-2</v>
      </c>
      <c r="U2382">
        <v>-3.2438959999999999</v>
      </c>
      <c r="V2382">
        <v>5.0977219999999997E-2</v>
      </c>
      <c r="W2382">
        <v>-1.923561E-2</v>
      </c>
      <c r="X2382">
        <v>0.99851449999999997</v>
      </c>
      <c r="Y2382">
        <v>-0.3275093</v>
      </c>
      <c r="Z2382">
        <v>-1.3111050000000001E-2</v>
      </c>
      <c r="AA2382">
        <v>0.94475699999999996</v>
      </c>
      <c r="AB2382">
        <v>23</v>
      </c>
      <c r="AC2382">
        <v>8.9108000000000498</v>
      </c>
      <c r="AD2382">
        <v>3.3577840000000001</v>
      </c>
      <c r="AE2382">
        <v>-232.13267999999999</v>
      </c>
      <c r="AF2382">
        <v>-76.100425860607999</v>
      </c>
      <c r="AG2382">
        <v>3.3577840000000001</v>
      </c>
      <c r="AH2382">
        <v>219.433740118663</v>
      </c>
      <c r="AI2382">
        <v>89.171714927383903</v>
      </c>
      <c r="AJ2382">
        <v>109.126733468059</v>
      </c>
      <c r="AK2382">
        <v>232.27939175058501</v>
      </c>
      <c r="AL2382">
        <v>91.102187305623204</v>
      </c>
      <c r="AM2382">
        <v>87.077412565778502</v>
      </c>
      <c r="AN2382">
        <v>0.99999994618062304</v>
      </c>
    </row>
    <row r="2383" spans="1:40" x14ac:dyDescent="0.25">
      <c r="A2383" t="str">
        <f>"20190312161314688"</f>
        <v>20190312161314688</v>
      </c>
      <c r="B2383" t="str">
        <f>"1552378394677983"</f>
        <v>1552378394677983</v>
      </c>
      <c r="C2383" t="s">
        <v>40</v>
      </c>
      <c r="D2383">
        <v>5.1780989999999996</v>
      </c>
      <c r="E2383">
        <v>0.35887909999999901</v>
      </c>
      <c r="F2383" t="s">
        <v>44</v>
      </c>
      <c r="G2383">
        <v>0</v>
      </c>
      <c r="H2383">
        <v>0</v>
      </c>
      <c r="I2383">
        <v>0</v>
      </c>
      <c r="J2383">
        <v>-492.64030000000002</v>
      </c>
      <c r="K2383">
        <v>1.116153</v>
      </c>
      <c r="L2383">
        <v>269.87709999999998</v>
      </c>
      <c r="M2383">
        <v>-0.28576649999999998</v>
      </c>
      <c r="N2383">
        <v>0</v>
      </c>
      <c r="O2383">
        <v>-0.95818809999999999</v>
      </c>
      <c r="P2383">
        <v>-0.33416950000000001</v>
      </c>
      <c r="Q2383">
        <v>-3.4833629999999997E-2</v>
      </c>
      <c r="R2383">
        <v>-0.94186910000000001</v>
      </c>
      <c r="S2383">
        <v>4.5623780000000003E-2</v>
      </c>
      <c r="T2383">
        <v>1.360536E-2</v>
      </c>
      <c r="U2383">
        <v>-3.2080690000000001</v>
      </c>
      <c r="V2383">
        <v>5.1336420000000001E-2</v>
      </c>
      <c r="W2383">
        <v>-1.9509909999999998E-2</v>
      </c>
      <c r="X2383">
        <v>0.99849080000000001</v>
      </c>
      <c r="Y2383">
        <v>-0.29939490000000002</v>
      </c>
      <c r="Z2383">
        <v>-3.877962E-3</v>
      </c>
      <c r="AA2383">
        <v>0.95412140000000001</v>
      </c>
      <c r="AB2383">
        <v>23</v>
      </c>
      <c r="AC2383">
        <v>4.5623780000000003E-2</v>
      </c>
      <c r="AD2383">
        <v>1.360536E-2</v>
      </c>
      <c r="AE2383">
        <v>-3.2080690000000001</v>
      </c>
      <c r="AF2383">
        <v>-0.96055988163907502</v>
      </c>
      <c r="AG2383">
        <v>1.360536E-2</v>
      </c>
      <c r="AH2383">
        <v>3.06116689355418</v>
      </c>
      <c r="AI2383">
        <v>89.757031338298503</v>
      </c>
      <c r="AJ2383">
        <v>107.42127301065401</v>
      </c>
      <c r="AK2383">
        <v>3.2083645588098899</v>
      </c>
      <c r="AL2383">
        <v>91.117906460938698</v>
      </c>
      <c r="AM2383">
        <v>87.056785527903301</v>
      </c>
      <c r="AN2383">
        <v>0.99999997114563099</v>
      </c>
    </row>
    <row r="2384" spans="1:40" x14ac:dyDescent="0.25">
      <c r="A2384" t="str">
        <f>"20190312161314700"</f>
        <v>20190312161314700</v>
      </c>
      <c r="B2384" t="str">
        <f>"1552378394698480"</f>
        <v>1552378394698480</v>
      </c>
      <c r="C2384" t="s">
        <v>40</v>
      </c>
      <c r="D2384">
        <v>5.236408</v>
      </c>
      <c r="E2384">
        <v>0.36106549999999998</v>
      </c>
      <c r="F2384" t="s">
        <v>44</v>
      </c>
      <c r="G2384">
        <v>0</v>
      </c>
      <c r="H2384">
        <v>0</v>
      </c>
      <c r="I2384">
        <v>0</v>
      </c>
      <c r="J2384">
        <v>-492.6696</v>
      </c>
      <c r="K2384">
        <v>1.116112</v>
      </c>
      <c r="L2384">
        <v>269.75689999999997</v>
      </c>
      <c r="M2384">
        <v>-0.28057369999999998</v>
      </c>
      <c r="N2384">
        <v>0</v>
      </c>
      <c r="O2384">
        <v>-0.95972150000000001</v>
      </c>
      <c r="P2384">
        <v>-0.32942440000000001</v>
      </c>
      <c r="Q2384">
        <v>-3.5031769999999997E-2</v>
      </c>
      <c r="R2384">
        <v>-0.94353200000000004</v>
      </c>
      <c r="S2384">
        <v>5.2581790000000003E-2</v>
      </c>
      <c r="T2384">
        <v>7.9097750000000008E-3</v>
      </c>
      <c r="U2384">
        <v>-3.204132</v>
      </c>
      <c r="V2384">
        <v>5.1720540000000002E-2</v>
      </c>
      <c r="W2384">
        <v>-1.971819E-2</v>
      </c>
      <c r="X2384">
        <v>0.99846690000000005</v>
      </c>
      <c r="Y2384">
        <v>-0.296315</v>
      </c>
      <c r="Z2384">
        <v>-2.2641390000000001E-3</v>
      </c>
      <c r="AA2384">
        <v>0.95508760000000004</v>
      </c>
      <c r="AB2384">
        <v>23</v>
      </c>
      <c r="AC2384">
        <v>5.2581790000000003E-2</v>
      </c>
      <c r="AD2384">
        <v>7.9097750000000008E-3</v>
      </c>
      <c r="AE2384">
        <v>-3.204132</v>
      </c>
      <c r="AF2384">
        <v>-0.94955441296662402</v>
      </c>
      <c r="AG2384">
        <v>7.9097750000000008E-3</v>
      </c>
      <c r="AH2384">
        <v>3.0606286947196901</v>
      </c>
      <c r="AI2384">
        <v>89.858577127182798</v>
      </c>
      <c r="AJ2384">
        <v>107.236407062908</v>
      </c>
      <c r="AK2384">
        <v>3.20455365919601</v>
      </c>
      <c r="AL2384">
        <v>91.129842305811906</v>
      </c>
      <c r="AM2384">
        <v>87.034731503570598</v>
      </c>
      <c r="AN2384">
        <v>0.99999998583518801</v>
      </c>
    </row>
    <row r="2385" spans="1:40" x14ac:dyDescent="0.25">
      <c r="A2385" t="str">
        <f>"20190312161314713"</f>
        <v>20190312161314713</v>
      </c>
      <c r="B2385" t="str">
        <f>"1552378394708239"</f>
        <v>1552378394708239</v>
      </c>
      <c r="C2385" t="s">
        <v>40</v>
      </c>
      <c r="D2385">
        <v>5.2648900000000003</v>
      </c>
      <c r="E2385">
        <v>0.36197560000000001</v>
      </c>
      <c r="F2385" t="s">
        <v>44</v>
      </c>
      <c r="G2385">
        <v>0</v>
      </c>
      <c r="H2385">
        <v>0</v>
      </c>
      <c r="I2385">
        <v>0</v>
      </c>
      <c r="J2385">
        <v>-492.69749999999999</v>
      </c>
      <c r="K2385">
        <v>1.116074</v>
      </c>
      <c r="L2385">
        <v>269.64150000000001</v>
      </c>
      <c r="M2385">
        <v>-0.27559440000000002</v>
      </c>
      <c r="N2385">
        <v>0</v>
      </c>
      <c r="O2385">
        <v>-0.96116369999999896</v>
      </c>
      <c r="P2385">
        <v>-0.32478780000000002</v>
      </c>
      <c r="Q2385">
        <v>-3.5233489999999999E-2</v>
      </c>
      <c r="R2385">
        <v>-0.94513080000000005</v>
      </c>
      <c r="S2385">
        <v>5.2886959999999997E-2</v>
      </c>
      <c r="T2385">
        <v>-1.5735629999999901E-3</v>
      </c>
      <c r="U2385">
        <v>-3.1979679999999999</v>
      </c>
      <c r="V2385">
        <v>5.1997920000000003E-2</v>
      </c>
      <c r="W2385">
        <v>-1.9930779999999999E-2</v>
      </c>
      <c r="X2385">
        <v>0.99844829999999996</v>
      </c>
      <c r="Y2385">
        <v>-0.29148079999999998</v>
      </c>
      <c r="Z2385">
        <v>4.5272550000000002E-4</v>
      </c>
      <c r="AA2385">
        <v>0.9565766</v>
      </c>
      <c r="AB2385">
        <v>23</v>
      </c>
      <c r="AC2385">
        <v>5.2886959999999997E-2</v>
      </c>
      <c r="AD2385">
        <v>-1.5735629999999901E-3</v>
      </c>
      <c r="AE2385">
        <v>-3.1979679999999999</v>
      </c>
      <c r="AF2385">
        <v>-0.93227373088668597</v>
      </c>
      <c r="AG2385">
        <v>-1.5735629999999901E-3</v>
      </c>
      <c r="AH2385">
        <v>3.05951909588115</v>
      </c>
      <c r="AI2385">
        <v>90.028188589389302</v>
      </c>
      <c r="AJ2385">
        <v>106.94663439820999</v>
      </c>
      <c r="AK2385">
        <v>3.1984048967357599</v>
      </c>
      <c r="AL2385">
        <v>91.142025178157994</v>
      </c>
      <c r="AM2385">
        <v>87.018801785761795</v>
      </c>
      <c r="AN2385">
        <v>1.0000000137243099</v>
      </c>
    </row>
    <row r="2386" spans="1:40" x14ac:dyDescent="0.25">
      <c r="A2386" t="str">
        <f>"20190312161314729"</f>
        <v>20190312161314729</v>
      </c>
      <c r="B2386" t="str">
        <f>"1552378394718000"</f>
        <v>1552378394718000</v>
      </c>
      <c r="C2386" t="s">
        <v>40</v>
      </c>
      <c r="D2386">
        <v>5.2851309999999998</v>
      </c>
      <c r="E2386">
        <v>0.36303299999999999</v>
      </c>
      <c r="F2386" t="s">
        <v>57</v>
      </c>
      <c r="G2386">
        <v>-475.18729999999999</v>
      </c>
      <c r="H2386">
        <v>-0.1</v>
      </c>
      <c r="I2386">
        <v>-632.61779999999999</v>
      </c>
      <c r="J2386">
        <v>-492.73469999999998</v>
      </c>
      <c r="K2386">
        <v>1.1160289999999999</v>
      </c>
      <c r="L2386">
        <v>269.48309999999998</v>
      </c>
      <c r="M2386">
        <v>-0.26879309999999901</v>
      </c>
      <c r="N2386">
        <v>0</v>
      </c>
      <c r="O2386">
        <v>-0.9630879</v>
      </c>
      <c r="P2386">
        <v>-0.3187741</v>
      </c>
      <c r="Q2386">
        <v>-3.5239409999999999E-2</v>
      </c>
      <c r="R2386">
        <v>-0.94717569999999995</v>
      </c>
      <c r="S2386">
        <v>6.2011719999999999E-2</v>
      </c>
      <c r="T2386">
        <v>-4.3066739999999999E-3</v>
      </c>
      <c r="U2386">
        <v>-3.1953130000000001</v>
      </c>
      <c r="V2386">
        <v>5.2707530000000002E-2</v>
      </c>
      <c r="W2386">
        <v>-1.9947070000000001E-2</v>
      </c>
      <c r="X2386">
        <v>0.99841080000000004</v>
      </c>
      <c r="Y2386">
        <v>-0.2874602</v>
      </c>
      <c r="Z2386">
        <v>1.2447630000000001E-3</v>
      </c>
      <c r="AA2386">
        <v>0.95779179999999997</v>
      </c>
      <c r="AB2386">
        <v>23</v>
      </c>
      <c r="AC2386">
        <v>17.5473999999999</v>
      </c>
      <c r="AD2386">
        <v>-1.216029</v>
      </c>
      <c r="AE2386">
        <v>-902.10090000000002</v>
      </c>
      <c r="AF2386">
        <v>-259.405208938351</v>
      </c>
      <c r="AG2386">
        <v>-1.216029</v>
      </c>
      <c r="AH2386">
        <v>864.17586471633194</v>
      </c>
      <c r="AI2386">
        <v>90.077220005491199</v>
      </c>
      <c r="AJ2386">
        <v>106.70851677970499</v>
      </c>
      <c r="AK2386">
        <v>902.27072783566405</v>
      </c>
      <c r="AL2386">
        <v>91.1429586734411</v>
      </c>
      <c r="AM2386">
        <v>86.978079303249601</v>
      </c>
      <c r="AN2386">
        <v>1.00000004743846</v>
      </c>
    </row>
    <row r="2387" spans="1:40" x14ac:dyDescent="0.25">
      <c r="A2387" t="str">
        <f>"20190312161314741"</f>
        <v>20190312161314741</v>
      </c>
      <c r="B2387" t="str">
        <f>"1552378394738495"</f>
        <v>1552378394738495</v>
      </c>
      <c r="C2387" t="s">
        <v>40</v>
      </c>
      <c r="D2387">
        <v>5.2541379999999904</v>
      </c>
      <c r="E2387">
        <v>0.37117689999999998</v>
      </c>
      <c r="F2387" t="s">
        <v>57</v>
      </c>
      <c r="G2387">
        <v>-476.62810000000002</v>
      </c>
      <c r="H2387">
        <v>-0.1</v>
      </c>
      <c r="I2387">
        <v>-424.10160000000002</v>
      </c>
      <c r="J2387">
        <v>-492.7611</v>
      </c>
      <c r="K2387">
        <v>1.1159920000000001</v>
      </c>
      <c r="L2387">
        <v>269.36660000000001</v>
      </c>
      <c r="M2387">
        <v>-0.26382939999999999</v>
      </c>
      <c r="N2387">
        <v>0</v>
      </c>
      <c r="O2387">
        <v>-0.96445950000000003</v>
      </c>
      <c r="P2387">
        <v>-0.31412449999999997</v>
      </c>
      <c r="Q2387">
        <v>-3.5205060000000003E-2</v>
      </c>
      <c r="R2387">
        <v>-0.9487293</v>
      </c>
      <c r="S2387">
        <v>7.4127199999999893E-2</v>
      </c>
      <c r="T2387">
        <v>-5.5965190000000003E-3</v>
      </c>
      <c r="U2387">
        <v>-3.192078</v>
      </c>
      <c r="V2387">
        <v>5.2949940000000001E-2</v>
      </c>
      <c r="W2387">
        <v>-1.992437E-2</v>
      </c>
      <c r="X2387">
        <v>0.99839840000000002</v>
      </c>
      <c r="Y2387">
        <v>-0.28617939999999997</v>
      </c>
      <c r="Z2387">
        <v>1.6230719999999999E-3</v>
      </c>
      <c r="AA2387">
        <v>0.95817470000000005</v>
      </c>
      <c r="AB2387">
        <v>23</v>
      </c>
      <c r="AC2387">
        <v>16.1329999999999</v>
      </c>
      <c r="AD2387">
        <v>-1.215992</v>
      </c>
      <c r="AE2387">
        <v>-693.46820000000002</v>
      </c>
      <c r="AF2387">
        <v>-198.53735237044901</v>
      </c>
      <c r="AG2387">
        <v>-1.215992</v>
      </c>
      <c r="AH2387">
        <v>664.63402000989595</v>
      </c>
      <c r="AI2387">
        <v>90.100440807521196</v>
      </c>
      <c r="AJ2387">
        <v>106.631769484975</v>
      </c>
      <c r="AK2387">
        <v>693.65476966379094</v>
      </c>
      <c r="AL2387">
        <v>91.141657831085794</v>
      </c>
      <c r="AM2387">
        <v>86.964169331383104</v>
      </c>
      <c r="AN2387">
        <v>1.0000000208942299</v>
      </c>
    </row>
    <row r="2388" spans="1:40" x14ac:dyDescent="0.25">
      <c r="A2388" t="str">
        <f>"20190312161314753"</f>
        <v>20190312161314753</v>
      </c>
      <c r="B2388" t="str">
        <f>"1552378394748256"</f>
        <v>1552378394748256</v>
      </c>
      <c r="C2388" t="s">
        <v>40</v>
      </c>
      <c r="D2388">
        <v>5.2814649999999999</v>
      </c>
      <c r="E2388">
        <v>0.37148560000000003</v>
      </c>
      <c r="F2388" t="s">
        <v>77</v>
      </c>
      <c r="G2388">
        <v>-491.48570000000001</v>
      </c>
      <c r="H2388" s="1">
        <v>-9.9635220000000006E-6</v>
      </c>
      <c r="I2388">
        <v>132.45830000000001</v>
      </c>
      <c r="J2388">
        <v>-492.78469999999999</v>
      </c>
      <c r="K2388">
        <v>1.115958</v>
      </c>
      <c r="L2388">
        <v>269.26159999999999</v>
      </c>
      <c r="M2388">
        <v>-0.2593606</v>
      </c>
      <c r="N2388">
        <v>0</v>
      </c>
      <c r="O2388">
        <v>-0.9656711</v>
      </c>
      <c r="P2388">
        <v>-0.31013099999999999</v>
      </c>
      <c r="Q2388">
        <v>-3.5327940000000002E-2</v>
      </c>
      <c r="R2388">
        <v>-0.95003749999999998</v>
      </c>
      <c r="S2388">
        <v>2.9541020000000001E-2</v>
      </c>
      <c r="T2388">
        <v>-2.584767E-2</v>
      </c>
      <c r="U2388">
        <v>-3.1709290000000001</v>
      </c>
      <c r="V2388">
        <v>5.3374680000000001E-2</v>
      </c>
      <c r="W2388">
        <v>-2.005496E-2</v>
      </c>
      <c r="X2388">
        <v>0.99837319999999996</v>
      </c>
      <c r="Y2388">
        <v>-0.26837329999999998</v>
      </c>
      <c r="Z2388">
        <v>7.5828529999999996E-3</v>
      </c>
      <c r="AA2388">
        <v>0.96328510000000001</v>
      </c>
      <c r="AB2388">
        <v>23</v>
      </c>
      <c r="AC2388">
        <v>1.29899999999997</v>
      </c>
      <c r="AD2388">
        <v>-1.1159679635219999</v>
      </c>
      <c r="AE2388">
        <v>-136.80329999999901</v>
      </c>
      <c r="AF2388">
        <v>-36.7372319944784</v>
      </c>
      <c r="AG2388">
        <v>-1.1159679635219999</v>
      </c>
      <c r="AH2388">
        <v>131.77524637373099</v>
      </c>
      <c r="AI2388">
        <v>90.467387906830396</v>
      </c>
      <c r="AJ2388">
        <v>105.57778163009201</v>
      </c>
      <c r="AK2388">
        <v>136.80491641738999</v>
      </c>
      <c r="AL2388">
        <v>91.149141546175599</v>
      </c>
      <c r="AM2388">
        <v>86.939786304069699</v>
      </c>
      <c r="AN2388">
        <v>1.0000000521819701</v>
      </c>
    </row>
    <row r="2389" spans="1:40" x14ac:dyDescent="0.25">
      <c r="A2389" t="str">
        <f>"20190312161314763"</f>
        <v>20190312161314763</v>
      </c>
      <c r="B2389" t="str">
        <f>"1552378394758015"</f>
        <v>1552378394758015</v>
      </c>
      <c r="C2389" t="s">
        <v>40</v>
      </c>
      <c r="D2389">
        <v>5.2643630000000003</v>
      </c>
      <c r="E2389">
        <v>0.37230029999999997</v>
      </c>
      <c r="F2389" t="s">
        <v>77</v>
      </c>
      <c r="G2389">
        <v>-491.06110000000001</v>
      </c>
      <c r="H2389" s="1">
        <v>-1.0224659999999999E-5</v>
      </c>
      <c r="I2389">
        <v>133.52699999999999</v>
      </c>
      <c r="J2389">
        <v>-492.80959999999999</v>
      </c>
      <c r="K2389">
        <v>1.115923</v>
      </c>
      <c r="L2389">
        <v>269.14769999999999</v>
      </c>
      <c r="M2389">
        <v>-0.2545384</v>
      </c>
      <c r="N2389">
        <v>0</v>
      </c>
      <c r="O2389">
        <v>-0.96695330000000002</v>
      </c>
      <c r="P2389">
        <v>-0.30557489999999998</v>
      </c>
      <c r="Q2389">
        <v>-3.5222990000000003E-2</v>
      </c>
      <c r="R2389">
        <v>-0.95151640000000004</v>
      </c>
      <c r="S2389">
        <v>4.0252690000000001E-2</v>
      </c>
      <c r="T2389">
        <v>-2.6062129999999999E-2</v>
      </c>
      <c r="U2389">
        <v>-3.1699220000000001</v>
      </c>
      <c r="V2389">
        <v>5.3568739999999997E-2</v>
      </c>
      <c r="W2389">
        <v>-1.9961739999999999E-2</v>
      </c>
      <c r="X2389">
        <v>0.99836460000000005</v>
      </c>
      <c r="Y2389">
        <v>-0.26682329999999999</v>
      </c>
      <c r="Z2389">
        <v>7.6655839999999996E-3</v>
      </c>
      <c r="AA2389">
        <v>0.96371499999999999</v>
      </c>
      <c r="AB2389">
        <v>22</v>
      </c>
      <c r="AC2389">
        <v>1.74849999999997</v>
      </c>
      <c r="AD2389">
        <v>-1.11593322466</v>
      </c>
      <c r="AE2389">
        <v>-135.620699999999</v>
      </c>
      <c r="AF2389">
        <v>-36.212772728978202</v>
      </c>
      <c r="AG2389">
        <v>-1.11593322466</v>
      </c>
      <c r="AH2389">
        <v>130.69879973042299</v>
      </c>
      <c r="AI2389">
        <v>90.471431247768194</v>
      </c>
      <c r="AJ2389">
        <v>105.486479285809</v>
      </c>
      <c r="AK2389">
        <v>135.62738096216299</v>
      </c>
      <c r="AL2389">
        <v>91.143799449595804</v>
      </c>
      <c r="AM2389">
        <v>86.928654817080101</v>
      </c>
      <c r="AN2389">
        <v>0.99999997775108695</v>
      </c>
    </row>
    <row r="2390" spans="1:40" x14ac:dyDescent="0.25">
      <c r="A2390" t="str">
        <f>"20190312161314776"</f>
        <v>20190312161314776</v>
      </c>
      <c r="B2390" t="str">
        <f>"1552378394767776"</f>
        <v>1552378394767776</v>
      </c>
      <c r="C2390" t="s">
        <v>40</v>
      </c>
      <c r="D2390">
        <v>5.287363</v>
      </c>
      <c r="E2390">
        <v>0.37306149999999999</v>
      </c>
      <c r="F2390" t="s">
        <v>77</v>
      </c>
      <c r="G2390">
        <v>-490.83069999999998</v>
      </c>
      <c r="H2390" s="1">
        <v>-8.955153E-6</v>
      </c>
      <c r="I2390">
        <v>141.8082</v>
      </c>
      <c r="J2390">
        <v>-492.83449999999999</v>
      </c>
      <c r="K2390">
        <v>1.1158840000000001</v>
      </c>
      <c r="L2390">
        <v>269.03050000000002</v>
      </c>
      <c r="M2390">
        <v>-0.24960160000000001</v>
      </c>
      <c r="N2390">
        <v>0</v>
      </c>
      <c r="O2390">
        <v>-0.96823970000000004</v>
      </c>
      <c r="P2390">
        <v>-0.30109360000000002</v>
      </c>
      <c r="Q2390">
        <v>-3.5097290000000003E-2</v>
      </c>
      <c r="R2390">
        <v>-0.95294880000000004</v>
      </c>
      <c r="S2390">
        <v>4.9224850000000001E-2</v>
      </c>
      <c r="T2390">
        <v>-2.7759909999999999E-2</v>
      </c>
      <c r="U2390">
        <v>-3.167694</v>
      </c>
      <c r="V2390">
        <v>5.3959390000000003E-2</v>
      </c>
      <c r="W2390">
        <v>-1.9845700000000001E-2</v>
      </c>
      <c r="X2390">
        <v>0.99834590000000001</v>
      </c>
      <c r="Y2390">
        <v>-0.26464300000000002</v>
      </c>
      <c r="Z2390">
        <v>8.1899920000000001E-3</v>
      </c>
      <c r="AA2390">
        <v>0.96431169999999999</v>
      </c>
      <c r="AB2390">
        <v>22</v>
      </c>
      <c r="AC2390">
        <v>2.0038000000000098</v>
      </c>
      <c r="AD2390">
        <v>-1.1158929551529999</v>
      </c>
      <c r="AE2390">
        <v>-127.2223</v>
      </c>
      <c r="AF2390">
        <v>-33.696010738867301</v>
      </c>
      <c r="AG2390">
        <v>-1.1158929551529999</v>
      </c>
      <c r="AH2390">
        <v>122.685033908539</v>
      </c>
      <c r="AI2390">
        <v>90.5025165042872</v>
      </c>
      <c r="AJ2390">
        <v>105.357851846638</v>
      </c>
      <c r="AK2390">
        <v>127.233187109105</v>
      </c>
      <c r="AL2390">
        <v>91.137149502484604</v>
      </c>
      <c r="AM2390">
        <v>86.906242550193198</v>
      </c>
      <c r="AN2390">
        <v>1.0000000018122299</v>
      </c>
    </row>
    <row r="2391" spans="1:40" x14ac:dyDescent="0.25">
      <c r="A2391" t="str">
        <f>"20190312161314787"</f>
        <v>20190312161314787</v>
      </c>
      <c r="B2391" t="str">
        <f>"1552378394778511"</f>
        <v>1552378394778511</v>
      </c>
      <c r="C2391" t="s">
        <v>40</v>
      </c>
      <c r="D2391">
        <v>5.2964719999999996</v>
      </c>
      <c r="E2391">
        <v>0.37306149999999999</v>
      </c>
      <c r="F2391" t="s">
        <v>77</v>
      </c>
      <c r="G2391">
        <v>-490.27409999999998</v>
      </c>
      <c r="H2391" s="1">
        <v>-1.016386E-5</v>
      </c>
      <c r="I2391">
        <v>130.054</v>
      </c>
      <c r="J2391">
        <v>-492.85770000000002</v>
      </c>
      <c r="K2391">
        <v>1.1158570000000001</v>
      </c>
      <c r="L2391">
        <v>268.91969999999998</v>
      </c>
      <c r="M2391">
        <v>-0.2449432</v>
      </c>
      <c r="N2391">
        <v>0</v>
      </c>
      <c r="O2391">
        <v>-0.96942899999999999</v>
      </c>
      <c r="P2391">
        <v>-0.2968808</v>
      </c>
      <c r="Q2391">
        <v>-3.5254250000000001E-2</v>
      </c>
      <c r="R2391">
        <v>-0.95426390000000005</v>
      </c>
      <c r="S2391">
        <v>5.8319089999999997E-2</v>
      </c>
      <c r="T2391">
        <v>-2.541769E-2</v>
      </c>
      <c r="U2391">
        <v>-3.1655880000000001</v>
      </c>
      <c r="V2391">
        <v>5.4351080000000003E-2</v>
      </c>
      <c r="W2391">
        <v>-2.0011560000000001E-2</v>
      </c>
      <c r="X2391">
        <v>0.99832140000000003</v>
      </c>
      <c r="Y2391">
        <v>-0.2627852</v>
      </c>
      <c r="Z2391">
        <v>7.5201460000000001E-3</v>
      </c>
      <c r="AA2391">
        <v>0.96482500000000004</v>
      </c>
      <c r="AB2391">
        <v>22</v>
      </c>
      <c r="AC2391">
        <v>2.5836000000000401</v>
      </c>
      <c r="AD2391">
        <v>-1.11586716386</v>
      </c>
      <c r="AE2391">
        <v>-138.86569999999901</v>
      </c>
      <c r="AF2391">
        <v>-36.520307883638402</v>
      </c>
      <c r="AG2391">
        <v>-1.11586716386</v>
      </c>
      <c r="AH2391">
        <v>133.993039593769</v>
      </c>
      <c r="AI2391">
        <v>90.460345261973899</v>
      </c>
      <c r="AJ2391">
        <v>105.245865458726</v>
      </c>
      <c r="AK2391">
        <v>138.885250142052</v>
      </c>
      <c r="AL2391">
        <v>91.146654401301703</v>
      </c>
      <c r="AM2391">
        <v>86.883752811475105</v>
      </c>
      <c r="AN2391">
        <v>1.0000000600643699</v>
      </c>
    </row>
    <row r="2392" spans="1:40" x14ac:dyDescent="0.25">
      <c r="A2392" t="str">
        <f>"20190312161314799"</f>
        <v>20190312161314799</v>
      </c>
      <c r="B2392" t="str">
        <f>"1552378394788271"</f>
        <v>1552378394788271</v>
      </c>
      <c r="C2392" t="s">
        <v>40</v>
      </c>
      <c r="D2392">
        <v>5.3658099999999997</v>
      </c>
      <c r="E2392">
        <v>0.37936360000000002</v>
      </c>
      <c r="F2392" t="s">
        <v>77</v>
      </c>
      <c r="G2392">
        <v>-489.74259999999998</v>
      </c>
      <c r="H2392" s="1">
        <v>-1.416022E-5</v>
      </c>
      <c r="I2392">
        <v>133.4992</v>
      </c>
      <c r="J2392">
        <v>-492.87970000000001</v>
      </c>
      <c r="K2392">
        <v>1.11582</v>
      </c>
      <c r="L2392">
        <v>268.8109</v>
      </c>
      <c r="M2392">
        <v>-0.2404125</v>
      </c>
      <c r="N2392">
        <v>0</v>
      </c>
      <c r="O2392">
        <v>-0.97056249999999999</v>
      </c>
      <c r="P2392">
        <v>-0.29264839999999998</v>
      </c>
      <c r="Q2392">
        <v>-3.5330739999999999E-2</v>
      </c>
      <c r="R2392">
        <v>-0.95556759999999996</v>
      </c>
      <c r="S2392">
        <v>7.2814939999999995E-2</v>
      </c>
      <c r="T2392">
        <v>-2.6083350000000002E-2</v>
      </c>
      <c r="U2392">
        <v>-3.1654360000000001</v>
      </c>
      <c r="V2392">
        <v>5.4589459999999999E-2</v>
      </c>
      <c r="W2392">
        <v>-2.0099280000000001E-2</v>
      </c>
      <c r="X2392">
        <v>0.99830660000000004</v>
      </c>
      <c r="Y2392">
        <v>-0.26269569999999998</v>
      </c>
      <c r="Z2392">
        <v>7.7311400000000001E-3</v>
      </c>
      <c r="AA2392">
        <v>0.96484769999999997</v>
      </c>
      <c r="AB2392">
        <v>22</v>
      </c>
      <c r="AC2392">
        <v>3.13710000000003</v>
      </c>
      <c r="AD2392">
        <v>-1.1158341602199999</v>
      </c>
      <c r="AE2392">
        <v>-135.3117</v>
      </c>
      <c r="AF2392">
        <v>-35.576698359826402</v>
      </c>
      <c r="AG2392">
        <v>-1.1158341602199999</v>
      </c>
      <c r="AH2392">
        <v>130.57911842717101</v>
      </c>
      <c r="AI2392">
        <v>90.472378283592306</v>
      </c>
      <c r="AJ2392">
        <v>105.240501495076</v>
      </c>
      <c r="AK2392">
        <v>135.34346205589799</v>
      </c>
      <c r="AL2392">
        <v>91.151681433755201</v>
      </c>
      <c r="AM2392">
        <v>86.870065977605194</v>
      </c>
      <c r="AN2392">
        <v>1.00000002890158</v>
      </c>
    </row>
    <row r="2393" spans="1:40" x14ac:dyDescent="0.25">
      <c r="A2393" t="str">
        <f>"20190312161314811"</f>
        <v>20190312161314811</v>
      </c>
      <c r="B2393" t="str">
        <f>"1552378394807792"</f>
        <v>1552378394807792</v>
      </c>
      <c r="C2393" t="s">
        <v>40</v>
      </c>
      <c r="D2393">
        <v>5.3133999999999997</v>
      </c>
      <c r="E2393">
        <v>0.38093320000000003</v>
      </c>
      <c r="F2393" t="s">
        <v>42</v>
      </c>
      <c r="G2393">
        <v>-492.00479999999999</v>
      </c>
      <c r="H2393" s="1">
        <v>-4.6174290000000002E-6</v>
      </c>
      <c r="I2393">
        <v>199.5103</v>
      </c>
      <c r="J2393">
        <v>-492.9042</v>
      </c>
      <c r="K2393">
        <v>1.115777</v>
      </c>
      <c r="L2393">
        <v>268.68849999999998</v>
      </c>
      <c r="M2393">
        <v>-0.23532400000000001</v>
      </c>
      <c r="N2393">
        <v>0</v>
      </c>
      <c r="O2393">
        <v>-0.97180889999999998</v>
      </c>
      <c r="P2393">
        <v>-0.28787499999999999</v>
      </c>
      <c r="Q2393">
        <v>-3.5547849999999999E-2</v>
      </c>
      <c r="R2393">
        <v>-0.95700819999999998</v>
      </c>
      <c r="S2393">
        <v>3.9764399999999998E-2</v>
      </c>
      <c r="T2393">
        <v>-5.0715330000000003E-2</v>
      </c>
      <c r="U2393">
        <v>-3.1497799999999998</v>
      </c>
      <c r="V2393">
        <v>5.483967E-2</v>
      </c>
      <c r="W2393">
        <v>-2.0329440000000001E-2</v>
      </c>
      <c r="X2393">
        <v>0.99828819999999996</v>
      </c>
      <c r="Y2393">
        <v>-0.24759700000000001</v>
      </c>
      <c r="Z2393">
        <v>1.516927E-2</v>
      </c>
      <c r="AA2393">
        <v>0.9687443</v>
      </c>
      <c r="AB2393">
        <v>22</v>
      </c>
      <c r="AC2393">
        <v>0.89940000000001397</v>
      </c>
      <c r="AD2393">
        <v>-1.1157816174290001</v>
      </c>
      <c r="AE2393">
        <v>-69.178199999999904</v>
      </c>
      <c r="AF2393">
        <v>-17.150676751196201</v>
      </c>
      <c r="AG2393">
        <v>-1.1157816174290001</v>
      </c>
      <c r="AH2393">
        <v>67.005951948064407</v>
      </c>
      <c r="AI2393">
        <v>90.924211042194301</v>
      </c>
      <c r="AJ2393">
        <v>104.35705186615699</v>
      </c>
      <c r="AK2393">
        <v>69.175055316986402</v>
      </c>
      <c r="AL2393">
        <v>91.1648713554154</v>
      </c>
      <c r="AM2393">
        <v>86.855690852783695</v>
      </c>
      <c r="AN2393">
        <v>1.00000000289783</v>
      </c>
    </row>
    <row r="2394" spans="1:40" x14ac:dyDescent="0.25">
      <c r="A2394" t="str">
        <f>"20190312161314823"</f>
        <v>20190312161314823</v>
      </c>
      <c r="B2394" t="str">
        <f>"1552378394818528"</f>
        <v>1552378394818528</v>
      </c>
      <c r="C2394" t="s">
        <v>40</v>
      </c>
      <c r="D2394">
        <v>5.3286709999999999</v>
      </c>
      <c r="E2394">
        <v>0.38183719999999999</v>
      </c>
      <c r="F2394" t="s">
        <v>42</v>
      </c>
      <c r="G2394">
        <v>-491.94459999999998</v>
      </c>
      <c r="H2394" s="1">
        <v>-4.4767769999999996E-6</v>
      </c>
      <c r="I2394">
        <v>199.1284</v>
      </c>
      <c r="J2394">
        <v>-492.92660000000001</v>
      </c>
      <c r="K2394">
        <v>1.1157379999999999</v>
      </c>
      <c r="L2394">
        <v>268.57209999999998</v>
      </c>
      <c r="M2394">
        <v>-0.23051830000000001</v>
      </c>
      <c r="N2394">
        <v>0</v>
      </c>
      <c r="O2394">
        <v>-0.97296009999999999</v>
      </c>
      <c r="P2394">
        <v>-0.28336539999999999</v>
      </c>
      <c r="Q2394">
        <v>-3.5727120000000001E-2</v>
      </c>
      <c r="R2394">
        <v>-0.95834629999999998</v>
      </c>
      <c r="S2394">
        <v>4.3395999999999997E-2</v>
      </c>
      <c r="T2394">
        <v>-5.0462479999999997E-2</v>
      </c>
      <c r="U2394">
        <v>-3.1459350000000001</v>
      </c>
      <c r="V2394">
        <v>5.5074739999999997E-2</v>
      </c>
      <c r="W2394">
        <v>-2.0521919999999999E-2</v>
      </c>
      <c r="X2394">
        <v>0.99827129999999997</v>
      </c>
      <c r="Y2394">
        <v>-0.24393989999999999</v>
      </c>
      <c r="Z2394">
        <v>1.514711E-2</v>
      </c>
      <c r="AA2394">
        <v>0.96967199999999998</v>
      </c>
      <c r="AB2394">
        <v>22</v>
      </c>
      <c r="AC2394">
        <v>0.98200000000002696</v>
      </c>
      <c r="AD2394">
        <v>-1.1157424767769999</v>
      </c>
      <c r="AE2394">
        <v>-69.443699999999893</v>
      </c>
      <c r="AF2394">
        <v>-16.960894091975899</v>
      </c>
      <c r="AG2394">
        <v>-1.1157424767769999</v>
      </c>
      <c r="AH2394">
        <v>67.329273472196206</v>
      </c>
      <c r="AI2394">
        <v>90.920629793287404</v>
      </c>
      <c r="AJ2394">
        <v>104.13917612377401</v>
      </c>
      <c r="AK2394">
        <v>69.441686874438005</v>
      </c>
      <c r="AL2394">
        <v>91.175901972539407</v>
      </c>
      <c r="AM2394">
        <v>86.842186653609005</v>
      </c>
      <c r="AN2394">
        <v>0.99999998229512099</v>
      </c>
    </row>
    <row r="2395" spans="1:40" x14ac:dyDescent="0.25">
      <c r="A2395" t="str">
        <f>"20190312161314835"</f>
        <v>20190312161314835</v>
      </c>
      <c r="B2395" t="str">
        <f>"1552378394828287"</f>
        <v>1552378394828287</v>
      </c>
      <c r="C2395" t="s">
        <v>40</v>
      </c>
      <c r="D2395">
        <v>5.3406010000000004</v>
      </c>
      <c r="E2395">
        <v>0.38260959999999999</v>
      </c>
      <c r="F2395" t="s">
        <v>63</v>
      </c>
      <c r="G2395">
        <v>-491.80860000000001</v>
      </c>
      <c r="H2395" s="1">
        <v>1.7437739999999899E-7</v>
      </c>
      <c r="I2395">
        <v>200.17920000000001</v>
      </c>
      <c r="J2395">
        <v>-492.94749999999999</v>
      </c>
      <c r="K2395">
        <v>1.1156980000000001</v>
      </c>
      <c r="L2395">
        <v>268.46170000000001</v>
      </c>
      <c r="M2395">
        <v>-0.2259853</v>
      </c>
      <c r="N2395">
        <v>0</v>
      </c>
      <c r="O2395">
        <v>-0.97402319999999998</v>
      </c>
      <c r="P2395">
        <v>-0.278943</v>
      </c>
      <c r="Q2395">
        <v>-3.6166709999999998E-2</v>
      </c>
      <c r="R2395">
        <v>-0.95962670000000005</v>
      </c>
      <c r="S2395">
        <v>5.1391600000000003E-2</v>
      </c>
      <c r="T2395">
        <v>-5.128539E-2</v>
      </c>
      <c r="U2395">
        <v>-3.143707</v>
      </c>
      <c r="V2395">
        <v>5.5127299999999997E-2</v>
      </c>
      <c r="W2395">
        <v>-2.0976519999999999E-2</v>
      </c>
      <c r="X2395">
        <v>0.99825889999999995</v>
      </c>
      <c r="Y2395">
        <v>-0.24189859999999999</v>
      </c>
      <c r="Z2395">
        <v>1.54348E-2</v>
      </c>
      <c r="AA2395">
        <v>0.97017880000000001</v>
      </c>
      <c r="AB2395">
        <v>22</v>
      </c>
      <c r="AC2395">
        <v>1.13889999999997</v>
      </c>
      <c r="AD2395">
        <v>-1.11569782562259</v>
      </c>
      <c r="AE2395">
        <v>-68.282499999999999</v>
      </c>
      <c r="AF2395">
        <v>-16.537474807582399</v>
      </c>
      <c r="AG2395">
        <v>-1.11569782562259</v>
      </c>
      <c r="AH2395">
        <v>66.240623936719203</v>
      </c>
      <c r="AI2395">
        <v>90.936217272218798</v>
      </c>
      <c r="AJ2395">
        <v>104.01777759532401</v>
      </c>
      <c r="AK2395">
        <v>68.282890347256</v>
      </c>
      <c r="AL2395">
        <v>91.201954303184294</v>
      </c>
      <c r="AM2395">
        <v>86.839139952422201</v>
      </c>
      <c r="AN2395">
        <v>0.99999993251290198</v>
      </c>
    </row>
    <row r="2396" spans="1:40" x14ac:dyDescent="0.25">
      <c r="A2396" t="str">
        <f>"20190312161314844"</f>
        <v>20190312161314844</v>
      </c>
      <c r="B2396" t="str">
        <f>"1552378394838047"</f>
        <v>1552378394838047</v>
      </c>
      <c r="C2396" t="s">
        <v>40</v>
      </c>
      <c r="D2396">
        <v>5.3194689999999998</v>
      </c>
      <c r="E2396">
        <v>0.38323659999999998</v>
      </c>
      <c r="F2396" t="s">
        <v>63</v>
      </c>
      <c r="G2396">
        <v>-491.73689999999999</v>
      </c>
      <c r="H2396" s="1">
        <v>1.4830719999999999E-6</v>
      </c>
      <c r="I2396">
        <v>204.91309999999999</v>
      </c>
      <c r="J2396">
        <v>-492.96640000000002</v>
      </c>
      <c r="K2396">
        <v>1.115661</v>
      </c>
      <c r="L2396">
        <v>268.35969999999998</v>
      </c>
      <c r="M2396">
        <v>-0.22181580000000001</v>
      </c>
      <c r="N2396">
        <v>0</v>
      </c>
      <c r="O2396">
        <v>-0.9749814</v>
      </c>
      <c r="P2396">
        <v>-0.27485039999999999</v>
      </c>
      <c r="Q2396">
        <v>-3.6362520000000002E-2</v>
      </c>
      <c r="R2396">
        <v>-0.96079959999999998</v>
      </c>
      <c r="S2396">
        <v>5.9844969999999997E-2</v>
      </c>
      <c r="T2396">
        <v>-5.51542E-2</v>
      </c>
      <c r="U2396">
        <v>-3.1415099999999998</v>
      </c>
      <c r="V2396">
        <v>5.5146100000000003E-2</v>
      </c>
      <c r="W2396">
        <v>-2.1186449999999999E-2</v>
      </c>
      <c r="X2396">
        <v>0.99825350000000002</v>
      </c>
      <c r="Y2396">
        <v>-0.24036730000000001</v>
      </c>
      <c r="Z2396">
        <v>1.663854E-2</v>
      </c>
      <c r="AA2396">
        <v>0.97053940000000005</v>
      </c>
      <c r="AB2396">
        <v>22</v>
      </c>
      <c r="AC2396">
        <v>1.22950000000003</v>
      </c>
      <c r="AD2396">
        <v>-1.1156595169279999</v>
      </c>
      <c r="AE2396">
        <v>-63.446599999999897</v>
      </c>
      <c r="AF2396">
        <v>-15.269074815824199</v>
      </c>
      <c r="AG2396">
        <v>-1.1156595169279999</v>
      </c>
      <c r="AH2396">
        <v>61.573937972600199</v>
      </c>
      <c r="AI2396">
        <v>91.007520454300405</v>
      </c>
      <c r="AJ2396">
        <v>103.927235832142</v>
      </c>
      <c r="AK2396">
        <v>63.448712984130502</v>
      </c>
      <c r="AL2396">
        <v>91.213984993760306</v>
      </c>
      <c r="AM2396">
        <v>86.838047125213507</v>
      </c>
      <c r="AN2396">
        <v>1.0000000041355299</v>
      </c>
    </row>
    <row r="2397" spans="1:40" x14ac:dyDescent="0.25">
      <c r="A2397" t="str">
        <f>"20190312161314856"</f>
        <v>20190312161314856</v>
      </c>
      <c r="B2397" t="str">
        <f>"1552378394847807"</f>
        <v>1552378394847807</v>
      </c>
      <c r="C2397" t="s">
        <v>40</v>
      </c>
      <c r="D2397">
        <v>5.3271579999999998</v>
      </c>
      <c r="E2397">
        <v>0.38323659999999998</v>
      </c>
      <c r="F2397" t="s">
        <v>63</v>
      </c>
      <c r="G2397">
        <v>-491.57060000000001</v>
      </c>
      <c r="H2397" s="1">
        <v>1.423944E-6</v>
      </c>
      <c r="I2397">
        <v>204.6746</v>
      </c>
      <c r="J2397">
        <v>-492.98559999999998</v>
      </c>
      <c r="K2397">
        <v>1.1156200000000001</v>
      </c>
      <c r="L2397">
        <v>268.2527</v>
      </c>
      <c r="M2397">
        <v>-0.21746750000000001</v>
      </c>
      <c r="N2397">
        <v>0</v>
      </c>
      <c r="O2397">
        <v>-0.97596050000000001</v>
      </c>
      <c r="P2397">
        <v>-0.2705745</v>
      </c>
      <c r="Q2397">
        <v>-3.6840070000000003E-2</v>
      </c>
      <c r="R2397">
        <v>-0.96199409999999996</v>
      </c>
      <c r="S2397">
        <v>6.8817139999999999E-2</v>
      </c>
      <c r="T2397">
        <v>-5.5007929999999997E-2</v>
      </c>
      <c r="U2397">
        <v>-3.140015</v>
      </c>
      <c r="V2397">
        <v>5.5164629999999999E-2</v>
      </c>
      <c r="W2397">
        <v>-2.1679380000000002E-2</v>
      </c>
      <c r="X2397">
        <v>0.99824190000000002</v>
      </c>
      <c r="Y2397">
        <v>-0.2388209</v>
      </c>
      <c r="Z2397">
        <v>1.6630869999999999E-2</v>
      </c>
      <c r="AA2397">
        <v>0.97092120000000004</v>
      </c>
      <c r="AB2397">
        <v>22</v>
      </c>
      <c r="AC2397">
        <v>1.4149999999999601</v>
      </c>
      <c r="AD2397">
        <v>-1.115618576056</v>
      </c>
      <c r="AE2397">
        <v>-63.578099999999999</v>
      </c>
      <c r="AF2397">
        <v>-15.2040647954839</v>
      </c>
      <c r="AG2397">
        <v>-1.115618576056</v>
      </c>
      <c r="AH2397">
        <v>61.729453077999203</v>
      </c>
      <c r="AI2397">
        <v>91.005338587089199</v>
      </c>
      <c r="AJ2397">
        <v>103.836634244085</v>
      </c>
      <c r="AK2397">
        <v>63.584066938356699</v>
      </c>
      <c r="AL2397">
        <v>91.242234282660604</v>
      </c>
      <c r="AM2397">
        <v>86.836950132877305</v>
      </c>
      <c r="AN2397">
        <v>1.00000001141791</v>
      </c>
    </row>
    <row r="2398" spans="1:40" x14ac:dyDescent="0.25">
      <c r="A2398" t="str">
        <f>"20190312161314869"</f>
        <v>20190312161314869</v>
      </c>
      <c r="B2398" t="str">
        <f>"1552378394858543"</f>
        <v>1552378394858543</v>
      </c>
      <c r="C2398" t="s">
        <v>40</v>
      </c>
      <c r="D2398">
        <v>5.3205019999999896</v>
      </c>
      <c r="E2398">
        <v>0.3900169</v>
      </c>
      <c r="F2398" t="s">
        <v>63</v>
      </c>
      <c r="G2398">
        <v>-491.34890000000001</v>
      </c>
      <c r="H2398" s="1">
        <v>1.899192E-6</v>
      </c>
      <c r="I2398">
        <v>206.14529999999999</v>
      </c>
      <c r="J2398">
        <v>-493.00639999999999</v>
      </c>
      <c r="K2398">
        <v>1.1155759999999999</v>
      </c>
      <c r="L2398">
        <v>268.13479999999998</v>
      </c>
      <c r="M2398">
        <v>-0.2126921</v>
      </c>
      <c r="N2398">
        <v>0</v>
      </c>
      <c r="O2398">
        <v>-0.97701260000000001</v>
      </c>
      <c r="P2398">
        <v>-0.26582420000000001</v>
      </c>
      <c r="Q2398">
        <v>-3.6944780000000003E-2</v>
      </c>
      <c r="R2398">
        <v>-0.96331359999999999</v>
      </c>
      <c r="S2398">
        <v>8.2733150000000005E-2</v>
      </c>
      <c r="T2398">
        <v>-5.6395529999999999E-2</v>
      </c>
      <c r="U2398">
        <v>-3.1395870000000001</v>
      </c>
      <c r="V2398">
        <v>5.512073E-2</v>
      </c>
      <c r="W2398">
        <v>-2.180141E-2</v>
      </c>
      <c r="X2398">
        <v>0.99824170000000001</v>
      </c>
      <c r="Y2398">
        <v>-0.23837559999999999</v>
      </c>
      <c r="Z2398">
        <v>1.7080910000000001E-2</v>
      </c>
      <c r="AA2398">
        <v>0.97102279999999996</v>
      </c>
      <c r="AB2398">
        <v>22</v>
      </c>
      <c r="AC2398">
        <v>1.65749999999997</v>
      </c>
      <c r="AD2398">
        <v>-1.115574100808</v>
      </c>
      <c r="AE2398">
        <v>-61.9894999999999</v>
      </c>
      <c r="AF2398">
        <v>-14.8008285059401</v>
      </c>
      <c r="AG2398">
        <v>-1.115574100808</v>
      </c>
      <c r="AH2398">
        <v>60.198779793694797</v>
      </c>
      <c r="AI2398">
        <v>91.030958976171902</v>
      </c>
      <c r="AJ2398">
        <v>103.813095568273</v>
      </c>
      <c r="AK2398">
        <v>62.001629967980698</v>
      </c>
      <c r="AL2398">
        <v>91.249227698772998</v>
      </c>
      <c r="AM2398">
        <v>86.839461550215006</v>
      </c>
      <c r="AN2398">
        <v>1.0000000439862999</v>
      </c>
    </row>
    <row r="2399" spans="1:40" x14ac:dyDescent="0.25">
      <c r="A2399" t="str">
        <f>"20190312161314881"</f>
        <v>20190312161314881</v>
      </c>
      <c r="B2399" t="str">
        <f>"1552378394878064"</f>
        <v>1552378394878064</v>
      </c>
      <c r="C2399" t="s">
        <v>40</v>
      </c>
      <c r="D2399">
        <v>5.3507009999999999</v>
      </c>
      <c r="E2399">
        <v>0.39109080000000002</v>
      </c>
      <c r="F2399" t="s">
        <v>63</v>
      </c>
      <c r="G2399">
        <v>-492.30439999999999</v>
      </c>
      <c r="H2399" s="1">
        <v>3.6261100000000002E-6</v>
      </c>
      <c r="I2399">
        <v>221.2542</v>
      </c>
      <c r="J2399">
        <v>-493.02769999999998</v>
      </c>
      <c r="K2399">
        <v>1.115529</v>
      </c>
      <c r="L2399">
        <v>268.0093</v>
      </c>
      <c r="M2399">
        <v>-0.20765980000000001</v>
      </c>
      <c r="N2399">
        <v>0</v>
      </c>
      <c r="O2399">
        <v>-0.97809460000000004</v>
      </c>
      <c r="P2399">
        <v>-0.26057740000000001</v>
      </c>
      <c r="Q2399">
        <v>-3.7210279999999998E-2</v>
      </c>
      <c r="R2399">
        <v>-0.96473569999999997</v>
      </c>
      <c r="S2399">
        <v>4.6783449999999997E-2</v>
      </c>
      <c r="T2399">
        <v>-7.4345830000000002E-2</v>
      </c>
      <c r="U2399">
        <v>-3.124298</v>
      </c>
      <c r="V2399">
        <v>5.4829879999999998E-2</v>
      </c>
      <c r="W2399">
        <v>-2.2088819999999999E-2</v>
      </c>
      <c r="X2399">
        <v>0.99825140000000001</v>
      </c>
      <c r="Y2399">
        <v>-0.22229940000000001</v>
      </c>
      <c r="Z2399">
        <v>2.2712010000000001E-2</v>
      </c>
      <c r="AA2399">
        <v>0.97471390000000002</v>
      </c>
      <c r="AB2399">
        <v>22</v>
      </c>
      <c r="AC2399">
        <v>0.72329999999999395</v>
      </c>
      <c r="AD2399">
        <v>-1.1155253738899999</v>
      </c>
      <c r="AE2399">
        <v>-46.755099999999999</v>
      </c>
      <c r="AF2399">
        <v>-10.411770462608599</v>
      </c>
      <c r="AG2399">
        <v>-1.1155253738899999</v>
      </c>
      <c r="AH2399">
        <v>45.559531428706201</v>
      </c>
      <c r="AI2399">
        <v>91.367369110537297</v>
      </c>
      <c r="AJ2399">
        <v>102.87280636225</v>
      </c>
      <c r="AK2399">
        <v>46.747409179858401</v>
      </c>
      <c r="AL2399">
        <v>91.265699043926801</v>
      </c>
      <c r="AM2399">
        <v>86.856135389956293</v>
      </c>
      <c r="AN2399">
        <v>1.0000000446558801</v>
      </c>
    </row>
    <row r="2400" spans="1:40" x14ac:dyDescent="0.25">
      <c r="A2400" t="str">
        <f>"20190312161314898"</f>
        <v>20190312161314898</v>
      </c>
      <c r="B2400" t="str">
        <f>"1552378394887823"</f>
        <v>1552378394887823</v>
      </c>
      <c r="C2400" t="s">
        <v>40</v>
      </c>
      <c r="D2400">
        <v>5.3940049999999999</v>
      </c>
      <c r="E2400">
        <v>0.3919513</v>
      </c>
      <c r="F2400" t="s">
        <v>63</v>
      </c>
      <c r="G2400">
        <v>-492.13409999999999</v>
      </c>
      <c r="H2400" s="1">
        <v>3.0639220000000002E-6</v>
      </c>
      <c r="I2400">
        <v>217.67160000000001</v>
      </c>
      <c r="J2400">
        <v>-493.05450000000002</v>
      </c>
      <c r="K2400">
        <v>1.115461</v>
      </c>
      <c r="L2400">
        <v>267.84679999999997</v>
      </c>
      <c r="M2400">
        <v>-0.20118839999999999</v>
      </c>
      <c r="N2400">
        <v>0</v>
      </c>
      <c r="O2400">
        <v>-0.97944659999999995</v>
      </c>
      <c r="P2400">
        <v>-0.25424960000000002</v>
      </c>
      <c r="Q2400">
        <v>-3.7507680000000002E-2</v>
      </c>
      <c r="R2400">
        <v>-0.96641140000000003</v>
      </c>
      <c r="S2400">
        <v>5.5419919999999998E-2</v>
      </c>
      <c r="T2400">
        <v>-6.918502E-2</v>
      </c>
      <c r="U2400">
        <v>-3.1219480000000002</v>
      </c>
      <c r="V2400">
        <v>5.4891139999999998E-2</v>
      </c>
      <c r="W2400">
        <v>-2.2409180000000001E-2</v>
      </c>
      <c r="X2400">
        <v>0.99824080000000004</v>
      </c>
      <c r="Y2400">
        <v>-0.2185588</v>
      </c>
      <c r="Z2400">
        <v>2.1205890000000002E-2</v>
      </c>
      <c r="AA2400">
        <v>0.9755933</v>
      </c>
      <c r="AB2400">
        <v>22</v>
      </c>
      <c r="AC2400">
        <v>0.92040000000002897</v>
      </c>
      <c r="AD2400">
        <v>-1.1154579360779999</v>
      </c>
      <c r="AE2400">
        <v>-50.175199999999897</v>
      </c>
      <c r="AF2400">
        <v>-10.9918616877709</v>
      </c>
      <c r="AG2400">
        <v>-1.1154579360779999</v>
      </c>
      <c r="AH2400">
        <v>48.939658335706099</v>
      </c>
      <c r="AI2400">
        <v>91.273962367401296</v>
      </c>
      <c r="AJ2400">
        <v>102.65858372254699</v>
      </c>
      <c r="AK2400">
        <v>50.171260974644603</v>
      </c>
      <c r="AL2400">
        <v>91.284058983284893</v>
      </c>
      <c r="AM2400">
        <v>86.852596535961396</v>
      </c>
      <c r="AN2400">
        <v>0.99999995169170497</v>
      </c>
    </row>
    <row r="2401" spans="1:40" x14ac:dyDescent="0.25">
      <c r="A2401" t="str">
        <f>"20190312161314912"</f>
        <v>20190312161314912</v>
      </c>
      <c r="B2401" t="str">
        <f>"1552378394908319"</f>
        <v>1552378394908319</v>
      </c>
      <c r="C2401" t="s">
        <v>40</v>
      </c>
      <c r="D2401">
        <v>5.3929710000000002</v>
      </c>
      <c r="E2401">
        <v>0.39318750000000002</v>
      </c>
      <c r="F2401" t="s">
        <v>63</v>
      </c>
      <c r="G2401">
        <v>-491.93049999999999</v>
      </c>
      <c r="H2401" s="1">
        <v>3.072715E-6</v>
      </c>
      <c r="I2401">
        <v>217.0463</v>
      </c>
      <c r="J2401">
        <v>-493.07459999999998</v>
      </c>
      <c r="K2401">
        <v>1.11541</v>
      </c>
      <c r="L2401">
        <v>267.72089999999997</v>
      </c>
      <c r="M2401">
        <v>-0.19620860000000001</v>
      </c>
      <c r="N2401">
        <v>0</v>
      </c>
      <c r="O2401">
        <v>-0.98045649999999995</v>
      </c>
      <c r="P2401">
        <v>-0.24934029999999999</v>
      </c>
      <c r="Q2401">
        <v>-3.794811E-2</v>
      </c>
      <c r="R2401">
        <v>-0.96767270000000005</v>
      </c>
      <c r="S2401">
        <v>6.9030759999999997E-2</v>
      </c>
      <c r="T2401">
        <v>-6.8503620000000001E-2</v>
      </c>
      <c r="U2401">
        <v>-3.119812</v>
      </c>
      <c r="V2401">
        <v>5.490275E-2</v>
      </c>
      <c r="W2401">
        <v>-2.2868039999999999E-2</v>
      </c>
      <c r="X2401">
        <v>0.99822979999999994</v>
      </c>
      <c r="Y2401">
        <v>-0.21786639999999999</v>
      </c>
      <c r="Z2401">
        <v>2.104547E-2</v>
      </c>
      <c r="AA2401">
        <v>0.97575160000000005</v>
      </c>
      <c r="AB2401">
        <v>22</v>
      </c>
      <c r="AC2401">
        <v>1.1440999999999799</v>
      </c>
      <c r="AD2401">
        <v>-1.115406927285</v>
      </c>
      <c r="AE2401">
        <v>-50.674599999999899</v>
      </c>
      <c r="AF2401">
        <v>-11.0603233703693</v>
      </c>
      <c r="AG2401">
        <v>-1.115406927285</v>
      </c>
      <c r="AH2401">
        <v>49.440942931065301</v>
      </c>
      <c r="AI2401">
        <v>91.261232285617695</v>
      </c>
      <c r="AJ2401">
        <v>102.6098926336</v>
      </c>
      <c r="AK2401">
        <v>50.675257508802297</v>
      </c>
      <c r="AL2401">
        <v>91.310356407248804</v>
      </c>
      <c r="AM2401">
        <v>86.851897548542098</v>
      </c>
      <c r="AN2401">
        <v>0.99999999640952197</v>
      </c>
    </row>
    <row r="2402" spans="1:40" x14ac:dyDescent="0.25">
      <c r="A2402" t="str">
        <f>"20190312161314924"</f>
        <v>20190312161314924</v>
      </c>
      <c r="B2402" t="str">
        <f>"1552378394918079"</f>
        <v>1552378394918079</v>
      </c>
      <c r="C2402" t="s">
        <v>40</v>
      </c>
      <c r="D2402">
        <v>5.4080029999999999</v>
      </c>
      <c r="E2402">
        <v>0.39318750000000002</v>
      </c>
      <c r="F2402" t="s">
        <v>63</v>
      </c>
      <c r="G2402">
        <v>-491.93040000000002</v>
      </c>
      <c r="H2402" s="1">
        <v>3.4480950000000001E-6</v>
      </c>
      <c r="I2402">
        <v>220.46539999999999</v>
      </c>
      <c r="J2402">
        <v>-493.09530000000001</v>
      </c>
      <c r="K2402">
        <v>1.115356</v>
      </c>
      <c r="L2402">
        <v>267.58690000000001</v>
      </c>
      <c r="M2402">
        <v>-0.19095280000000001</v>
      </c>
      <c r="N2402">
        <v>0</v>
      </c>
      <c r="O2402">
        <v>-0.98149370000000002</v>
      </c>
      <c r="P2402">
        <v>-0.2442462</v>
      </c>
      <c r="Q2402">
        <v>-3.8075499999999998E-2</v>
      </c>
      <c r="R2402">
        <v>-0.96896579999999999</v>
      </c>
      <c r="S2402">
        <v>7.5469969999999997E-2</v>
      </c>
      <c r="T2402">
        <v>-7.3567149999999998E-2</v>
      </c>
      <c r="U2402">
        <v>-3.1167600000000002</v>
      </c>
      <c r="V2402">
        <v>5.4999279999999998E-2</v>
      </c>
      <c r="W2402">
        <v>-2.301427E-2</v>
      </c>
      <c r="X2402">
        <v>0.99822120000000003</v>
      </c>
      <c r="Y2402">
        <v>-0.21467130000000001</v>
      </c>
      <c r="Z2402">
        <v>2.266686E-2</v>
      </c>
      <c r="AA2402">
        <v>0.97642329999999999</v>
      </c>
      <c r="AB2402">
        <v>22</v>
      </c>
      <c r="AC2402">
        <v>1.1648999999999801</v>
      </c>
      <c r="AD2402">
        <v>-1.115352551905</v>
      </c>
      <c r="AE2402">
        <v>-47.121499999999997</v>
      </c>
      <c r="AF2402">
        <v>-10.136699229298699</v>
      </c>
      <c r="AG2402">
        <v>-1.115352551905</v>
      </c>
      <c r="AH2402">
        <v>46.0060229580995</v>
      </c>
      <c r="AI2402">
        <v>91.356266382104906</v>
      </c>
      <c r="AJ2402">
        <v>102.425680276823</v>
      </c>
      <c r="AK2402">
        <v>47.122720963474599</v>
      </c>
      <c r="AL2402">
        <v>91.318736876658704</v>
      </c>
      <c r="AM2402">
        <v>86.846346603406502</v>
      </c>
      <c r="AN2402">
        <v>1.00000007077679</v>
      </c>
    </row>
    <row r="2403" spans="1:40" x14ac:dyDescent="0.25">
      <c r="A2403" t="str">
        <f>"20190312161314941"</f>
        <v>20190312161314941</v>
      </c>
      <c r="B2403" t="str">
        <f>"1552378394938575"</f>
        <v>1552378394938575</v>
      </c>
      <c r="C2403" t="s">
        <v>40</v>
      </c>
      <c r="D2403">
        <v>5.3137619999999997</v>
      </c>
      <c r="E2403">
        <v>0.36556559999999999</v>
      </c>
      <c r="F2403" t="s">
        <v>63</v>
      </c>
      <c r="G2403">
        <v>-491.71019999999999</v>
      </c>
      <c r="H2403" s="1">
        <v>3.5088319999999998E-6</v>
      </c>
      <c r="I2403">
        <v>220.53540000000001</v>
      </c>
      <c r="J2403">
        <v>-493.1182</v>
      </c>
      <c r="K2403">
        <v>1.1152930000000001</v>
      </c>
      <c r="L2403">
        <v>267.43259999999998</v>
      </c>
      <c r="M2403">
        <v>-0.1849652</v>
      </c>
      <c r="N2403">
        <v>0</v>
      </c>
      <c r="O2403">
        <v>-0.98263990000000001</v>
      </c>
      <c r="P2403">
        <v>-0.2388306</v>
      </c>
      <c r="Q2403">
        <v>-3.8574490000000003E-2</v>
      </c>
      <c r="R2403">
        <v>-0.97029500000000002</v>
      </c>
      <c r="S2403">
        <v>9.1735839999999999E-2</v>
      </c>
      <c r="T2403">
        <v>-7.3871019999999996E-2</v>
      </c>
      <c r="U2403">
        <v>-3.1162719999999999</v>
      </c>
      <c r="V2403">
        <v>5.5516459999999997E-2</v>
      </c>
      <c r="W2403">
        <v>-2.353102E-2</v>
      </c>
      <c r="X2403">
        <v>0.99818039999999997</v>
      </c>
      <c r="Y2403">
        <v>-0.213813</v>
      </c>
      <c r="Z2403">
        <v>2.2805309999999999E-2</v>
      </c>
      <c r="AA2403">
        <v>0.97660840000000004</v>
      </c>
      <c r="AB2403">
        <v>22</v>
      </c>
      <c r="AC2403">
        <v>1.4080000000000099</v>
      </c>
      <c r="AD2403">
        <v>-1.115289491168</v>
      </c>
      <c r="AE2403">
        <v>-46.897199999999899</v>
      </c>
      <c r="AF2403">
        <v>-10.0532659710563</v>
      </c>
      <c r="AG2403">
        <v>-1.115289491168</v>
      </c>
      <c r="AH2403">
        <v>45.8014851378475</v>
      </c>
      <c r="AI2403">
        <v>91.362483153692494</v>
      </c>
      <c r="AJ2403">
        <v>102.379899345666</v>
      </c>
      <c r="AK2403">
        <v>46.905096398647103</v>
      </c>
      <c r="AL2403">
        <v>91.34835265497</v>
      </c>
      <c r="AM2403">
        <v>86.816622410082402</v>
      </c>
      <c r="AN2403">
        <v>0.99999994858866403</v>
      </c>
    </row>
    <row r="2404" spans="1:40" x14ac:dyDescent="0.25">
      <c r="A2404" t="str">
        <f>"20190312161314953"</f>
        <v>20190312161314953</v>
      </c>
      <c r="B2404" t="str">
        <f>"1552378394948335"</f>
        <v>1552378394948335</v>
      </c>
      <c r="C2404" t="s">
        <v>40</v>
      </c>
      <c r="D2404">
        <v>5.4001460000000003</v>
      </c>
      <c r="E2404">
        <v>0.36346349999999999</v>
      </c>
      <c r="F2404" t="s">
        <v>76</v>
      </c>
      <c r="G2404">
        <v>-472.65050000000002</v>
      </c>
      <c r="H2404">
        <v>0.18314059999999999</v>
      </c>
      <c r="I2404">
        <v>64.450009999999907</v>
      </c>
      <c r="J2404">
        <v>-493.13479999999998</v>
      </c>
      <c r="K2404">
        <v>1.1152409999999999</v>
      </c>
      <c r="L2404">
        <v>267.31779999999998</v>
      </c>
      <c r="M2404">
        <v>-0.18054870000000001</v>
      </c>
      <c r="N2404">
        <v>0</v>
      </c>
      <c r="O2404">
        <v>-0.98346109999999998</v>
      </c>
      <c r="P2404">
        <v>-0.23476910000000001</v>
      </c>
      <c r="Q2404">
        <v>-3.8700680000000001E-2</v>
      </c>
      <c r="R2404">
        <v>-0.97128049999999999</v>
      </c>
      <c r="S2404">
        <v>0.31964110000000001</v>
      </c>
      <c r="T2404">
        <v>-1.4557E-2</v>
      </c>
      <c r="U2404">
        <v>-3.1699519999999999</v>
      </c>
      <c r="V2404">
        <v>5.582459E-2</v>
      </c>
      <c r="W2404">
        <v>-2.367172E-2</v>
      </c>
      <c r="X2404">
        <v>0.99815989999999999</v>
      </c>
      <c r="Y2404">
        <v>-0.27833210000000003</v>
      </c>
      <c r="Z2404">
        <v>4.3767379999999998E-3</v>
      </c>
      <c r="AA2404">
        <v>0.96047490000000002</v>
      </c>
      <c r="AB2404">
        <v>22</v>
      </c>
      <c r="AC2404">
        <v>20.484299999999902</v>
      </c>
      <c r="AD2404">
        <v>-0.93210040000000005</v>
      </c>
      <c r="AE2404">
        <v>-202.86779000000001</v>
      </c>
      <c r="AF2404">
        <v>-56.777702241009798</v>
      </c>
      <c r="AG2404">
        <v>-0.93210040000000005</v>
      </c>
      <c r="AH2404">
        <v>195.830288071994</v>
      </c>
      <c r="AI2404">
        <v>90.261924139680801</v>
      </c>
      <c r="AJ2404">
        <v>106.168628549351</v>
      </c>
      <c r="AK2404">
        <v>203.897224133348</v>
      </c>
      <c r="AL2404">
        <v>91.356416401481397</v>
      </c>
      <c r="AM2404">
        <v>86.798924918235102</v>
      </c>
      <c r="AN2404">
        <v>0.99999996057221696</v>
      </c>
    </row>
    <row r="2405" spans="1:40" x14ac:dyDescent="0.25">
      <c r="A2405" t="str">
        <f>"20190312161314965"</f>
        <v>20190312161314965</v>
      </c>
      <c r="B2405" t="str">
        <f>"1552378394958097"</f>
        <v>1552378394958097</v>
      </c>
      <c r="C2405" t="s">
        <v>40</v>
      </c>
      <c r="D2405">
        <v>5.3851269999999998</v>
      </c>
      <c r="E2405">
        <v>0.36258200000000002</v>
      </c>
      <c r="F2405" t="s">
        <v>78</v>
      </c>
      <c r="G2405">
        <v>-473.51979999999998</v>
      </c>
      <c r="H2405">
        <v>0.2097224</v>
      </c>
      <c r="I2405">
        <v>89.215289999999996</v>
      </c>
      <c r="J2405">
        <v>-493.15199999999999</v>
      </c>
      <c r="K2405">
        <v>1.1151850000000001</v>
      </c>
      <c r="L2405">
        <v>267.19450000000001</v>
      </c>
      <c r="M2405">
        <v>-0.175844</v>
      </c>
      <c r="N2405">
        <v>0</v>
      </c>
      <c r="O2405">
        <v>-0.9843132</v>
      </c>
      <c r="P2405">
        <v>-0.23027909999999999</v>
      </c>
      <c r="Q2405">
        <v>-3.9031299999999998E-2</v>
      </c>
      <c r="R2405">
        <v>-0.97234160000000003</v>
      </c>
      <c r="S2405">
        <v>0.34939579999999998</v>
      </c>
      <c r="T2405">
        <v>-1.612949E-2</v>
      </c>
      <c r="U2405">
        <v>-3.1725159999999999</v>
      </c>
      <c r="V2405">
        <v>5.5989049999999999E-2</v>
      </c>
      <c r="W2405">
        <v>-2.4020570000000002E-2</v>
      </c>
      <c r="X2405">
        <v>0.99814239999999999</v>
      </c>
      <c r="Y2405">
        <v>-0.28256789999999998</v>
      </c>
      <c r="Z2405">
        <v>4.8465790000000002E-3</v>
      </c>
      <c r="AA2405">
        <v>0.95923510000000001</v>
      </c>
      <c r="AB2405">
        <v>22</v>
      </c>
      <c r="AC2405">
        <v>19.632200000000001</v>
      </c>
      <c r="AD2405">
        <v>-0.90546260000000001</v>
      </c>
      <c r="AE2405">
        <v>-177.97920999999999</v>
      </c>
      <c r="AF2405">
        <v>-50.624740455318097</v>
      </c>
      <c r="AG2405">
        <v>-0.90546260000000001</v>
      </c>
      <c r="AH2405">
        <v>171.748416181192</v>
      </c>
      <c r="AI2405">
        <v>90.289737757996093</v>
      </c>
      <c r="AJ2405">
        <v>106.42346270986199</v>
      </c>
      <c r="AK2405">
        <v>179.056423144874</v>
      </c>
      <c r="AL2405">
        <v>91.376409657685997</v>
      </c>
      <c r="AM2405">
        <v>86.789458035481502</v>
      </c>
      <c r="AN2405">
        <v>1.00000000609039</v>
      </c>
    </row>
    <row r="2406" spans="1:40" x14ac:dyDescent="0.25">
      <c r="A2406" t="str">
        <f>"20190312161314977"</f>
        <v>20190312161314977</v>
      </c>
      <c r="B2406" t="str">
        <f>"1552378394967855"</f>
        <v>1552378394967855</v>
      </c>
      <c r="C2406" t="s">
        <v>40</v>
      </c>
      <c r="D2406">
        <v>5.412471</v>
      </c>
      <c r="E2406">
        <v>0.36254950000000002</v>
      </c>
      <c r="F2406" t="s">
        <v>78</v>
      </c>
      <c r="G2406">
        <v>-473.51209999999998</v>
      </c>
      <c r="H2406">
        <v>0.21102989999999999</v>
      </c>
      <c r="I2406">
        <v>99.129630000000006</v>
      </c>
      <c r="J2406">
        <v>-493.166</v>
      </c>
      <c r="K2406">
        <v>1.1151329999999999</v>
      </c>
      <c r="L2406">
        <v>267.09039999999999</v>
      </c>
      <c r="M2406">
        <v>-0.1719195</v>
      </c>
      <c r="N2406">
        <v>0</v>
      </c>
      <c r="O2406">
        <v>-0.98500659999999896</v>
      </c>
      <c r="P2406">
        <v>-0.2264092</v>
      </c>
      <c r="Q2406">
        <v>-3.9240379999999998E-2</v>
      </c>
      <c r="R2406">
        <v>-0.97324189999999999</v>
      </c>
      <c r="S2406">
        <v>0.37072749999999999</v>
      </c>
      <c r="T2406">
        <v>-1.7066720000000001E-2</v>
      </c>
      <c r="U2406">
        <v>-3.1724549999999998</v>
      </c>
      <c r="V2406">
        <v>5.5997789999999999E-2</v>
      </c>
      <c r="W2406">
        <v>-2.424741E-2</v>
      </c>
      <c r="X2406">
        <v>0.99813640000000003</v>
      </c>
      <c r="Y2406">
        <v>-0.28511340000000002</v>
      </c>
      <c r="Z2406">
        <v>5.129906E-3</v>
      </c>
      <c r="AA2406">
        <v>0.95848009999999995</v>
      </c>
      <c r="AB2406">
        <v>22</v>
      </c>
      <c r="AC2406">
        <v>19.6539</v>
      </c>
      <c r="AD2406">
        <v>-0.90410310000000005</v>
      </c>
      <c r="AE2406">
        <v>-167.960769999999</v>
      </c>
      <c r="AF2406">
        <v>-48.238535323845603</v>
      </c>
      <c r="AG2406">
        <v>-0.90410310000000005</v>
      </c>
      <c r="AH2406">
        <v>162.075615128469</v>
      </c>
      <c r="AI2406">
        <v>90.306328849049095</v>
      </c>
      <c r="AJ2406">
        <v>106.57457447431599</v>
      </c>
      <c r="AK2406">
        <v>169.10434267598501</v>
      </c>
      <c r="AL2406">
        <v>91.389410453556707</v>
      </c>
      <c r="AM2406">
        <v>86.788938650443399</v>
      </c>
      <c r="AN2406">
        <v>0.99999998119077504</v>
      </c>
    </row>
    <row r="2407" spans="1:40" x14ac:dyDescent="0.25">
      <c r="A2407" t="str">
        <f>"20190312161314992"</f>
        <v>20190312161314992</v>
      </c>
      <c r="B2407" t="str">
        <f>"1552378394988351"</f>
        <v>1552378394988351</v>
      </c>
      <c r="C2407" t="s">
        <v>40</v>
      </c>
      <c r="D2407">
        <v>5.415883</v>
      </c>
      <c r="E2407">
        <v>0.36306699999999997</v>
      </c>
      <c r="F2407" t="s">
        <v>77</v>
      </c>
      <c r="G2407">
        <v>-476.50689999999997</v>
      </c>
      <c r="H2407">
        <v>3.7038019999999998E-2</v>
      </c>
      <c r="I2407">
        <v>129.6163</v>
      </c>
      <c r="J2407">
        <v>-493.18470000000002</v>
      </c>
      <c r="K2407">
        <v>1.115057</v>
      </c>
      <c r="L2407">
        <v>266.94810000000001</v>
      </c>
      <c r="M2407">
        <v>-0.1665885</v>
      </c>
      <c r="N2407">
        <v>0</v>
      </c>
      <c r="O2407">
        <v>-0.98592230000000003</v>
      </c>
      <c r="P2407">
        <v>-0.22152649999999999</v>
      </c>
      <c r="Q2407">
        <v>-3.9430800000000002E-2</v>
      </c>
      <c r="R2407">
        <v>-0.97435689999999997</v>
      </c>
      <c r="S2407">
        <v>0.3842468</v>
      </c>
      <c r="T2407">
        <v>-2.486646E-2</v>
      </c>
      <c r="U2407">
        <v>-3.170868</v>
      </c>
      <c r="V2407">
        <v>5.6392070000000002E-2</v>
      </c>
      <c r="W2407">
        <v>-2.445816E-2</v>
      </c>
      <c r="X2407">
        <v>0.99810909999999997</v>
      </c>
      <c r="Y2407">
        <v>-0.28401110000000002</v>
      </c>
      <c r="Z2407">
        <v>7.4881130000000002E-3</v>
      </c>
      <c r="AA2407">
        <v>0.95879179999999997</v>
      </c>
      <c r="AB2407">
        <v>22</v>
      </c>
      <c r="AC2407">
        <v>16.677800000000001</v>
      </c>
      <c r="AD2407">
        <v>-1.07801898</v>
      </c>
      <c r="AE2407">
        <v>-137.33179999999999</v>
      </c>
      <c r="AF2407">
        <v>-39.3225663704021</v>
      </c>
      <c r="AG2407">
        <v>-1.07801898</v>
      </c>
      <c r="AH2407">
        <v>132.62572917789501</v>
      </c>
      <c r="AI2407">
        <v>90.446494783167395</v>
      </c>
      <c r="AJ2407">
        <v>106.514708054461</v>
      </c>
      <c r="AK2407">
        <v>138.33658370382099</v>
      </c>
      <c r="AL2407">
        <v>91.401489065285702</v>
      </c>
      <c r="AM2407">
        <v>86.766289146714001</v>
      </c>
      <c r="AN2407">
        <v>1.00000002132614</v>
      </c>
    </row>
    <row r="2408" spans="1:40" x14ac:dyDescent="0.25">
      <c r="A2408" t="str">
        <f>"20190312161315005"</f>
        <v>20190312161315005</v>
      </c>
      <c r="B2408" t="str">
        <f>"1552378394998111"</f>
        <v>1552378394998111</v>
      </c>
      <c r="C2408" t="s">
        <v>40</v>
      </c>
      <c r="D2408">
        <v>5.4061139999999996</v>
      </c>
      <c r="E2408">
        <v>0.36360239999999999</v>
      </c>
      <c r="F2408" t="s">
        <v>77</v>
      </c>
      <c r="G2408">
        <v>-479.74079999999998</v>
      </c>
      <c r="H2408">
        <v>7.9989899999999906E-2</v>
      </c>
      <c r="I2408">
        <v>159.54390000000001</v>
      </c>
      <c r="J2408">
        <v>-493.20319999999998</v>
      </c>
      <c r="K2408">
        <v>1.1149789999999999</v>
      </c>
      <c r="L2408">
        <v>266.80149999999998</v>
      </c>
      <c r="M2408">
        <v>-0.16116989999999901</v>
      </c>
      <c r="N2408">
        <v>0</v>
      </c>
      <c r="O2408">
        <v>-0.98682309999999995</v>
      </c>
      <c r="P2408">
        <v>-0.21641740000000001</v>
      </c>
      <c r="Q2408">
        <v>-3.9778229999999998E-2</v>
      </c>
      <c r="R2408">
        <v>-0.97549039999999998</v>
      </c>
      <c r="S2408">
        <v>0.3965149</v>
      </c>
      <c r="T2408">
        <v>-3.0528309999999999E-2</v>
      </c>
      <c r="U2408">
        <v>-3.167786</v>
      </c>
      <c r="V2408">
        <v>5.6646469999999997E-2</v>
      </c>
      <c r="W2408">
        <v>-2.4829500000000001E-2</v>
      </c>
      <c r="X2408">
        <v>0.99808549999999996</v>
      </c>
      <c r="Y2408">
        <v>-0.2825105</v>
      </c>
      <c r="Z2408">
        <v>9.2147830000000007E-3</v>
      </c>
      <c r="AA2408">
        <v>0.95921990000000001</v>
      </c>
      <c r="AB2408">
        <v>22</v>
      </c>
      <c r="AC2408">
        <v>13.462400000000001</v>
      </c>
      <c r="AD2408">
        <v>-1.0349891</v>
      </c>
      <c r="AE2408">
        <v>-107.257599999999</v>
      </c>
      <c r="AF2408">
        <v>-30.572026838459699</v>
      </c>
      <c r="AG2408">
        <v>-1.0349891</v>
      </c>
      <c r="AH2408">
        <v>103.675638585877</v>
      </c>
      <c r="AI2408">
        <v>90.548608605778796</v>
      </c>
      <c r="AJ2408">
        <v>106.429812532528</v>
      </c>
      <c r="AK2408">
        <v>108.094209204924</v>
      </c>
      <c r="AL2408">
        <v>91.4227717794612</v>
      </c>
      <c r="AM2408">
        <v>86.751655522320604</v>
      </c>
      <c r="AN2408">
        <v>0.99999999597197997</v>
      </c>
    </row>
    <row r="2409" spans="1:40" x14ac:dyDescent="0.25">
      <c r="A2409" t="str">
        <f>"20190312161315020"</f>
        <v>20190312161315020</v>
      </c>
      <c r="B2409" t="str">
        <f>"1552378395007872"</f>
        <v>1552378395007872</v>
      </c>
      <c r="C2409" t="s">
        <v>40</v>
      </c>
      <c r="D2409">
        <v>5.4153949999999904</v>
      </c>
      <c r="E2409">
        <v>0.3640949</v>
      </c>
      <c r="F2409" t="s">
        <v>42</v>
      </c>
      <c r="G2409">
        <v>-479.95780000000002</v>
      </c>
      <c r="H2409">
        <v>7.6435619999999996E-3</v>
      </c>
      <c r="I2409">
        <v>164.28270000000001</v>
      </c>
      <c r="J2409">
        <v>-493.21850000000001</v>
      </c>
      <c r="K2409">
        <v>1.114916</v>
      </c>
      <c r="L2409">
        <v>266.6739</v>
      </c>
      <c r="M2409">
        <v>-0.156517299999999</v>
      </c>
      <c r="N2409">
        <v>0</v>
      </c>
      <c r="O2409">
        <v>-0.98757189999999995</v>
      </c>
      <c r="P2409">
        <v>-0.21281939999999999</v>
      </c>
      <c r="Q2409">
        <v>-4.0552810000000002E-2</v>
      </c>
      <c r="R2409">
        <v>-0.9762499</v>
      </c>
      <c r="S2409">
        <v>0.40887449999999997</v>
      </c>
      <c r="T2409">
        <v>-3.4182549999999999E-2</v>
      </c>
      <c r="U2409">
        <v>-3.1646730000000001</v>
      </c>
      <c r="V2409">
        <v>5.7680229999999999E-2</v>
      </c>
      <c r="W2409">
        <v>-2.5616699999999999E-2</v>
      </c>
      <c r="X2409">
        <v>0.99800639999999996</v>
      </c>
      <c r="Y2409">
        <v>-0.28179090000000001</v>
      </c>
      <c r="Z2409">
        <v>1.0338460000000001E-2</v>
      </c>
      <c r="AA2409">
        <v>0.9594201</v>
      </c>
      <c r="AB2409">
        <v>22</v>
      </c>
      <c r="AC2409">
        <v>13.2606999999999</v>
      </c>
      <c r="AD2409">
        <v>-1.1072724380000001</v>
      </c>
      <c r="AE2409">
        <v>-102.3912</v>
      </c>
      <c r="AF2409">
        <v>-29.1215114214259</v>
      </c>
      <c r="AG2409">
        <v>-1.1072724380000001</v>
      </c>
      <c r="AH2409">
        <v>99.041859296669699</v>
      </c>
      <c r="AI2409">
        <v>90.614519696090397</v>
      </c>
      <c r="AJ2409">
        <v>106.38504259140301</v>
      </c>
      <c r="AK2409">
        <v>103.240391188049</v>
      </c>
      <c r="AL2409">
        <v>91.467889367786498</v>
      </c>
      <c r="AM2409">
        <v>86.692244288195397</v>
      </c>
      <c r="AN2409">
        <v>0.99999999934635098</v>
      </c>
    </row>
    <row r="2410" spans="1:40" x14ac:dyDescent="0.25">
      <c r="A2410" t="str">
        <f>"20190312161315032"</f>
        <v>20190312161315032</v>
      </c>
      <c r="B2410" t="str">
        <f>"1552378395028368"</f>
        <v>1552378395028368</v>
      </c>
      <c r="C2410" t="s">
        <v>40</v>
      </c>
      <c r="D2410">
        <v>5.4263029999999999</v>
      </c>
      <c r="E2410">
        <v>0.36541079999999998</v>
      </c>
      <c r="F2410" t="s">
        <v>42</v>
      </c>
      <c r="G2410">
        <v>-480.10469999999998</v>
      </c>
      <c r="H2410" s="1">
        <v>-5.5233110000000002E-6</v>
      </c>
      <c r="I2410">
        <v>167.1713</v>
      </c>
      <c r="J2410">
        <v>-493.23239999999998</v>
      </c>
      <c r="K2410">
        <v>1.1148549999999999</v>
      </c>
      <c r="L2410">
        <v>266.55619999999999</v>
      </c>
      <c r="M2410">
        <v>-0.1522578</v>
      </c>
      <c r="N2410">
        <v>0</v>
      </c>
      <c r="O2410">
        <v>-0.98823740000000004</v>
      </c>
      <c r="P2410">
        <v>-0.20920230000000001</v>
      </c>
      <c r="Q2410">
        <v>-4.0648330000000003E-2</v>
      </c>
      <c r="R2410">
        <v>-0.97702710000000004</v>
      </c>
      <c r="S2410">
        <v>0.4167786</v>
      </c>
      <c r="T2410">
        <v>-3.5434010000000002E-2</v>
      </c>
      <c r="U2410">
        <v>-3.1623540000000001</v>
      </c>
      <c r="V2410">
        <v>5.8284740000000002E-2</v>
      </c>
      <c r="W2410">
        <v>-2.5727460000000001E-2</v>
      </c>
      <c r="X2410">
        <v>0.99796839999999998</v>
      </c>
      <c r="Y2410">
        <v>-0.28010020000000002</v>
      </c>
      <c r="Z2410">
        <v>1.073693E-2</v>
      </c>
      <c r="AA2410">
        <v>0.95991070000000001</v>
      </c>
      <c r="AB2410">
        <v>22</v>
      </c>
      <c r="AC2410">
        <v>13.127700000000001</v>
      </c>
      <c r="AD2410">
        <v>-1.1148605233109901</v>
      </c>
      <c r="AE2410">
        <v>-99.384900000000002</v>
      </c>
      <c r="AF2410">
        <v>-28.104807294565202</v>
      </c>
      <c r="AG2410">
        <v>-1.1148605233109901</v>
      </c>
      <c r="AH2410">
        <v>96.215015955646294</v>
      </c>
      <c r="AI2410">
        <v>90.637239273277601</v>
      </c>
      <c r="AJ2410">
        <v>106.283303779522</v>
      </c>
      <c r="AK2410">
        <v>100.241969266352</v>
      </c>
      <c r="AL2410">
        <v>91.474237583471705</v>
      </c>
      <c r="AM2410">
        <v>86.657529000321006</v>
      </c>
      <c r="AN2410">
        <v>0.99999997025673903</v>
      </c>
    </row>
    <row r="2411" spans="1:40" x14ac:dyDescent="0.25">
      <c r="A2411" t="str">
        <f>"20190312161315045"</f>
        <v>20190312161315045</v>
      </c>
      <c r="B2411" t="str">
        <f>"1552378395038127"</f>
        <v>1552378395038127</v>
      </c>
      <c r="C2411" t="s">
        <v>40</v>
      </c>
      <c r="D2411">
        <v>5.4223330000000001</v>
      </c>
      <c r="E2411">
        <v>0.36613259999999997</v>
      </c>
      <c r="F2411" t="s">
        <v>42</v>
      </c>
      <c r="G2411">
        <v>-481.6628</v>
      </c>
      <c r="H2411" s="1">
        <v>-5.6177660000000001E-6</v>
      </c>
      <c r="I2411">
        <v>179.28059999999999</v>
      </c>
      <c r="J2411">
        <v>-493.24740000000003</v>
      </c>
      <c r="K2411">
        <v>1.114784</v>
      </c>
      <c r="L2411">
        <v>266.42270000000002</v>
      </c>
      <c r="M2411">
        <v>-0.14749279999999901</v>
      </c>
      <c r="N2411">
        <v>0</v>
      </c>
      <c r="O2411">
        <v>-0.98896030000000001</v>
      </c>
      <c r="P2411">
        <v>-0.20504220000000001</v>
      </c>
      <c r="Q2411">
        <v>-4.0775329999999999E-2</v>
      </c>
      <c r="R2411">
        <v>-0.97790370000000004</v>
      </c>
      <c r="S2411">
        <v>0.4187012</v>
      </c>
      <c r="T2411">
        <v>-4.03465E-2</v>
      </c>
      <c r="U2411">
        <v>-3.1584780000000001</v>
      </c>
      <c r="V2411">
        <v>5.8845179999999997E-2</v>
      </c>
      <c r="W2411">
        <v>-2.587366E-2</v>
      </c>
      <c r="X2411">
        <v>0.99793180000000004</v>
      </c>
      <c r="Y2411">
        <v>-0.27619529999999998</v>
      </c>
      <c r="Z2411">
        <v>1.226067E-2</v>
      </c>
      <c r="AA2411">
        <v>0.96102330000000002</v>
      </c>
      <c r="AB2411">
        <v>22</v>
      </c>
      <c r="AC2411">
        <v>11.5846</v>
      </c>
      <c r="AD2411">
        <v>-1.1147896177659999</v>
      </c>
      <c r="AE2411">
        <v>-87.142099999999999</v>
      </c>
      <c r="AF2411">
        <v>-24.308105399926799</v>
      </c>
      <c r="AG2411">
        <v>-1.1147896177659999</v>
      </c>
      <c r="AH2411">
        <v>84.466440963724196</v>
      </c>
      <c r="AI2411">
        <v>90.726657876699306</v>
      </c>
      <c r="AJ2411">
        <v>106.05498136773301</v>
      </c>
      <c r="AK2411">
        <v>87.901685951431702</v>
      </c>
      <c r="AL2411">
        <v>91.482616913480101</v>
      </c>
      <c r="AM2411">
        <v>86.625339736515997</v>
      </c>
      <c r="AN2411">
        <v>1.0000000394711299</v>
      </c>
    </row>
    <row r="2412" spans="1:40" x14ac:dyDescent="0.25">
      <c r="A2412" t="str">
        <f>"20190312161315059"</f>
        <v>20190312161315059</v>
      </c>
      <c r="B2412" t="str">
        <f>"1552378395047888"</f>
        <v>1552378395047888</v>
      </c>
      <c r="C2412" t="s">
        <v>40</v>
      </c>
      <c r="D2412">
        <v>5.4186199999999998</v>
      </c>
      <c r="E2412">
        <v>0.36688910000000002</v>
      </c>
      <c r="F2412" t="s">
        <v>42</v>
      </c>
      <c r="G2412">
        <v>-482.00049999999999</v>
      </c>
      <c r="H2412" s="1">
        <v>-3.3558050000000001E-6</v>
      </c>
      <c r="I2412">
        <v>183.25460000000001</v>
      </c>
      <c r="J2412">
        <v>-493.26150000000001</v>
      </c>
      <c r="K2412">
        <v>1.1147149999999999</v>
      </c>
      <c r="L2412">
        <v>266.2921</v>
      </c>
      <c r="M2412">
        <v>-0.14290059999999999</v>
      </c>
      <c r="N2412">
        <v>0</v>
      </c>
      <c r="O2412">
        <v>-0.98963429999999997</v>
      </c>
      <c r="P2412">
        <v>-0.20089489999999999</v>
      </c>
      <c r="Q2412">
        <v>-4.0792090000000003E-2</v>
      </c>
      <c r="R2412">
        <v>-0.9787633</v>
      </c>
      <c r="S2412">
        <v>0.42672729999999998</v>
      </c>
      <c r="T2412">
        <v>-4.2296649999999998E-2</v>
      </c>
      <c r="U2412">
        <v>-3.1555179999999998</v>
      </c>
      <c r="V2412">
        <v>5.9242929999999999E-2</v>
      </c>
      <c r="W2412">
        <v>-2.5911219999999999E-2</v>
      </c>
      <c r="X2412">
        <v>0.99790730000000005</v>
      </c>
      <c r="Y2412">
        <v>-0.27425110000000003</v>
      </c>
      <c r="Z2412">
        <v>1.2880229999999999E-2</v>
      </c>
      <c r="AA2412">
        <v>0.96157190000000003</v>
      </c>
      <c r="AB2412">
        <v>22</v>
      </c>
      <c r="AC2412">
        <v>11.260999999999999</v>
      </c>
      <c r="AD2412">
        <v>-1.114718355805</v>
      </c>
      <c r="AE2412">
        <v>-83.037499999999994</v>
      </c>
      <c r="AF2412">
        <v>-23.0086490647112</v>
      </c>
      <c r="AG2412">
        <v>-1.114718355805</v>
      </c>
      <c r="AH2412">
        <v>80.561492420037297</v>
      </c>
      <c r="AI2412">
        <v>90.762267604656401</v>
      </c>
      <c r="AJ2412">
        <v>105.939530434636</v>
      </c>
      <c r="AK2412">
        <v>83.7901819412008</v>
      </c>
      <c r="AL2412">
        <v>91.484769652343999</v>
      </c>
      <c r="AM2412">
        <v>86.602499558425293</v>
      </c>
      <c r="AN2412">
        <v>1.0000000477350801</v>
      </c>
    </row>
    <row r="2413" spans="1:40" x14ac:dyDescent="0.25">
      <c r="A2413" t="str">
        <f>"20190312161315072"</f>
        <v>20190312161315072</v>
      </c>
      <c r="B2413" t="str">
        <f>"1552378395068383"</f>
        <v>1552378395068383</v>
      </c>
      <c r="C2413" t="s">
        <v>40</v>
      </c>
      <c r="D2413">
        <v>5.4948160000000001</v>
      </c>
      <c r="E2413">
        <v>0.36840450000000002</v>
      </c>
      <c r="F2413" t="s">
        <v>42</v>
      </c>
      <c r="G2413">
        <v>-482.16759999999999</v>
      </c>
      <c r="H2413" s="1">
        <v>-4.1506410000000002E-6</v>
      </c>
      <c r="I2413">
        <v>185.721</v>
      </c>
      <c r="J2413">
        <v>-493.27429999999998</v>
      </c>
      <c r="K2413">
        <v>1.1146480000000001</v>
      </c>
      <c r="L2413">
        <v>266.17009999999999</v>
      </c>
      <c r="M2413">
        <v>-0.138654</v>
      </c>
      <c r="N2413">
        <v>0</v>
      </c>
      <c r="O2413">
        <v>-0.99023850000000002</v>
      </c>
      <c r="P2413">
        <v>-0.19722880000000001</v>
      </c>
      <c r="Q2413">
        <v>-4.1017610000000003E-2</v>
      </c>
      <c r="R2413">
        <v>-0.97949920000000001</v>
      </c>
      <c r="S2413">
        <v>0.43405149999999998</v>
      </c>
      <c r="T2413">
        <v>-4.361379E-2</v>
      </c>
      <c r="U2413">
        <v>-3.152374</v>
      </c>
      <c r="V2413">
        <v>5.9786819999999997E-2</v>
      </c>
      <c r="W2413">
        <v>-2.6154739999999999E-2</v>
      </c>
      <c r="X2413">
        <v>0.99786850000000005</v>
      </c>
      <c r="Y2413">
        <v>-0.272445099999999</v>
      </c>
      <c r="Z2413">
        <v>1.330835E-2</v>
      </c>
      <c r="AA2413">
        <v>0.96207929999999997</v>
      </c>
      <c r="AB2413">
        <v>22</v>
      </c>
      <c r="AC2413">
        <v>11.106699999999901</v>
      </c>
      <c r="AD2413">
        <v>-1.1146521506410001</v>
      </c>
      <c r="AE2413">
        <v>-80.449100000000001</v>
      </c>
      <c r="AF2413">
        <v>-22.1509450848094</v>
      </c>
      <c r="AG2413">
        <v>-1.1146521506410001</v>
      </c>
      <c r="AH2413">
        <v>78.117014220336003</v>
      </c>
      <c r="AI2413">
        <v>90.786493982858005</v>
      </c>
      <c r="AJ2413">
        <v>105.831272567734</v>
      </c>
      <c r="AK2413">
        <v>81.204524062809199</v>
      </c>
      <c r="AL2413">
        <v>91.498727063739494</v>
      </c>
      <c r="AM2413">
        <v>86.571249291215594</v>
      </c>
      <c r="AN2413">
        <v>1.00000003878121</v>
      </c>
    </row>
    <row r="2414" spans="1:40" x14ac:dyDescent="0.25">
      <c r="A2414" t="str">
        <f>"20190312161315089"</f>
        <v>20190312161315089</v>
      </c>
      <c r="B2414" t="str">
        <f>"1552378395078144"</f>
        <v>1552378395078144</v>
      </c>
      <c r="C2414" t="s">
        <v>40</v>
      </c>
      <c r="D2414">
        <v>5.4685620000000004</v>
      </c>
      <c r="E2414">
        <v>0.36913780000000002</v>
      </c>
      <c r="F2414" t="s">
        <v>42</v>
      </c>
      <c r="G2414">
        <v>-483.38810000000001</v>
      </c>
      <c r="H2414" s="1">
        <v>-3.3973040000000002E-6</v>
      </c>
      <c r="I2414">
        <v>194.4615</v>
      </c>
      <c r="J2414">
        <v>-493.29090000000002</v>
      </c>
      <c r="K2414">
        <v>1.1145499999999999</v>
      </c>
      <c r="L2414">
        <v>266.00490000000002</v>
      </c>
      <c r="M2414">
        <v>-0.132995</v>
      </c>
      <c r="N2414">
        <v>0</v>
      </c>
      <c r="O2414">
        <v>-0.99101479999999997</v>
      </c>
      <c r="P2414">
        <v>-0.19273319999999999</v>
      </c>
      <c r="Q2414">
        <v>-4.1660419999999997E-2</v>
      </c>
      <c r="R2414">
        <v>-0.98036679999999998</v>
      </c>
      <c r="S2414">
        <v>0.43402099999999999</v>
      </c>
      <c r="T2414">
        <v>-4.893517E-2</v>
      </c>
      <c r="U2414">
        <v>-3.1481319999999999</v>
      </c>
      <c r="V2414">
        <v>6.0913450000000001E-2</v>
      </c>
      <c r="W2414">
        <v>-2.681948E-2</v>
      </c>
      <c r="X2414">
        <v>0.99778259999999996</v>
      </c>
      <c r="Y2414">
        <v>-0.26710729999999999</v>
      </c>
      <c r="Z2414">
        <v>1.4981349999999999E-2</v>
      </c>
      <c r="AA2414">
        <v>0.96355029999999997</v>
      </c>
      <c r="AB2414">
        <v>22</v>
      </c>
      <c r="AC2414">
        <v>9.9028000000000098</v>
      </c>
      <c r="AD2414">
        <v>-1.1145533973039901</v>
      </c>
      <c r="AE2414">
        <v>-71.543400000000005</v>
      </c>
      <c r="AF2414">
        <v>-19.326086115882301</v>
      </c>
      <c r="AG2414">
        <v>-1.1145533973039901</v>
      </c>
      <c r="AH2414">
        <v>69.574006320308499</v>
      </c>
      <c r="AI2414">
        <v>90.884304527533999</v>
      </c>
      <c r="AJ2414">
        <v>105.524090544877</v>
      </c>
      <c r="AK2414">
        <v>72.216910687817901</v>
      </c>
      <c r="AL2414">
        <v>91.536827401779107</v>
      </c>
      <c r="AM2414">
        <v>86.506496032627993</v>
      </c>
      <c r="AN2414">
        <v>0.999999924880563</v>
      </c>
    </row>
    <row r="2415" spans="1:40" x14ac:dyDescent="0.25">
      <c r="A2415" t="str">
        <f>"20190312161315104"</f>
        <v>20190312161315104</v>
      </c>
      <c r="B2415" t="str">
        <f>"1552378395097664"</f>
        <v>1552378395097664</v>
      </c>
      <c r="C2415" t="s">
        <v>40</v>
      </c>
      <c r="D2415">
        <v>5.4713159999999998</v>
      </c>
      <c r="E2415">
        <v>0.36990459999999997</v>
      </c>
      <c r="F2415" t="s">
        <v>42</v>
      </c>
      <c r="G2415">
        <v>-483.73489999999998</v>
      </c>
      <c r="H2415" s="1">
        <v>-4.7335170000000003E-6</v>
      </c>
      <c r="I2415">
        <v>198.0762</v>
      </c>
      <c r="J2415">
        <v>-493.30529999999999</v>
      </c>
      <c r="K2415">
        <v>1.114463</v>
      </c>
      <c r="L2415">
        <v>265.85239999999999</v>
      </c>
      <c r="M2415">
        <v>-0.12787509999999999</v>
      </c>
      <c r="N2415">
        <v>0</v>
      </c>
      <c r="O2415">
        <v>-0.99168849999999997</v>
      </c>
      <c r="P2415">
        <v>-0.18801300000000001</v>
      </c>
      <c r="Q2415">
        <v>-4.2002980000000002E-2</v>
      </c>
      <c r="R2415">
        <v>-0.98126800000000003</v>
      </c>
      <c r="S2415">
        <v>0.44241330000000001</v>
      </c>
      <c r="T2415">
        <v>-5.160058E-2</v>
      </c>
      <c r="U2415">
        <v>-3.1448969999999998</v>
      </c>
      <c r="V2415">
        <v>6.1264720000000002E-2</v>
      </c>
      <c r="W2415">
        <v>-2.7189660000000001E-2</v>
      </c>
      <c r="X2415">
        <v>0.99775119999999895</v>
      </c>
      <c r="Y2415">
        <v>-0.26478410000000002</v>
      </c>
      <c r="Z2415">
        <v>1.583213E-2</v>
      </c>
      <c r="AA2415">
        <v>0.96417770000000003</v>
      </c>
      <c r="AB2415">
        <v>22</v>
      </c>
      <c r="AC2415">
        <v>9.5703999999999994</v>
      </c>
      <c r="AD2415">
        <v>-1.1144677335169999</v>
      </c>
      <c r="AE2415">
        <v>-67.776199999999903</v>
      </c>
      <c r="AF2415">
        <v>-18.154764282711099</v>
      </c>
      <c r="AG2415">
        <v>-1.1144677335169999</v>
      </c>
      <c r="AH2415">
        <v>65.978233435106404</v>
      </c>
      <c r="AI2415">
        <v>90.9330448411243</v>
      </c>
      <c r="AJ2415">
        <v>105.384929955079</v>
      </c>
      <c r="AK2415">
        <v>68.439497307528896</v>
      </c>
      <c r="AL2415">
        <v>91.5580446974799</v>
      </c>
      <c r="AM2415">
        <v>86.486290046801898</v>
      </c>
      <c r="AN2415">
        <v>1.0000000503145099</v>
      </c>
    </row>
    <row r="2416" spans="1:40" x14ac:dyDescent="0.25">
      <c r="A2416" t="str">
        <f>"20190312161315124"</f>
        <v>20190312161315124</v>
      </c>
      <c r="B2416" t="str">
        <f>"1552378395118159"</f>
        <v>1552378395118159</v>
      </c>
      <c r="C2416" t="s">
        <v>40</v>
      </c>
      <c r="D2416">
        <v>5.5063510000000004</v>
      </c>
      <c r="E2416">
        <v>0.38495639999999998</v>
      </c>
      <c r="F2416" t="s">
        <v>63</v>
      </c>
      <c r="G2416">
        <v>-484.01080000000002</v>
      </c>
      <c r="H2416" s="1">
        <v>2.1493170000000001E-7</v>
      </c>
      <c r="I2416">
        <v>201.2396</v>
      </c>
      <c r="J2416">
        <v>-493.322</v>
      </c>
      <c r="K2416">
        <v>1.114358</v>
      </c>
      <c r="L2416">
        <v>265.66680000000002</v>
      </c>
      <c r="M2416">
        <v>-0.1217472</v>
      </c>
      <c r="N2416">
        <v>0</v>
      </c>
      <c r="O2416">
        <v>-0.9924598</v>
      </c>
      <c r="P2416">
        <v>-0.18263019999999999</v>
      </c>
      <c r="Q2416">
        <v>-4.2122710000000001E-2</v>
      </c>
      <c r="R2416">
        <v>-0.98227889999999995</v>
      </c>
      <c r="S2416">
        <v>0.45190429999999998</v>
      </c>
      <c r="T2416">
        <v>-5.4185869999999997E-2</v>
      </c>
      <c r="U2416">
        <v>-3.1415099999999998</v>
      </c>
      <c r="V2416">
        <v>6.1952319999999998E-2</v>
      </c>
      <c r="W2416">
        <v>-2.7339820000000001E-2</v>
      </c>
      <c r="X2416">
        <v>0.99770460000000005</v>
      </c>
      <c r="Y2416">
        <v>-0.26182299999999997</v>
      </c>
      <c r="Z2416">
        <v>1.6666199999999999E-2</v>
      </c>
      <c r="AA2416">
        <v>0.96497200000000005</v>
      </c>
      <c r="AB2416">
        <v>22</v>
      </c>
      <c r="AC2416">
        <v>9.3111999999999195</v>
      </c>
      <c r="AD2416">
        <v>-1.1143577850683</v>
      </c>
      <c r="AE2416">
        <v>-64.427199999999999</v>
      </c>
      <c r="AF2416">
        <v>-17.0815359387142</v>
      </c>
      <c r="AG2416">
        <v>-1.1143577850683</v>
      </c>
      <c r="AH2416">
        <v>62.795709885172897</v>
      </c>
      <c r="AI2416">
        <v>90.9810113455287</v>
      </c>
      <c r="AJ2416">
        <v>105.217263646761</v>
      </c>
      <c r="AK2416">
        <v>65.087032835131893</v>
      </c>
      <c r="AL2416">
        <v>91.566651490470093</v>
      </c>
      <c r="AM2416">
        <v>86.446789123530294</v>
      </c>
      <c r="AN2416">
        <v>1.0000000122860799</v>
      </c>
    </row>
    <row r="2417" spans="1:40" x14ac:dyDescent="0.25">
      <c r="A2417" t="str">
        <f>"20190312161315143"</f>
        <v>20190312161315143</v>
      </c>
      <c r="B2417" t="str">
        <f>"1552378395137681"</f>
        <v>1552378395137681</v>
      </c>
      <c r="C2417" t="s">
        <v>40</v>
      </c>
      <c r="D2417">
        <v>5.2632899999999996</v>
      </c>
      <c r="E2417">
        <v>0.3861368</v>
      </c>
      <c r="F2417" t="s">
        <v>63</v>
      </c>
      <c r="G2417">
        <v>-489.15929999999997</v>
      </c>
      <c r="H2417" s="1">
        <v>6.2169480000000002E-6</v>
      </c>
      <c r="I2417">
        <v>228.95959999999999</v>
      </c>
      <c r="J2417">
        <v>-493.33749999999998</v>
      </c>
      <c r="K2417">
        <v>1.1142529999999999</v>
      </c>
      <c r="L2417">
        <v>265.48309999999998</v>
      </c>
      <c r="M2417">
        <v>-0.1158119</v>
      </c>
      <c r="N2417">
        <v>0</v>
      </c>
      <c r="O2417">
        <v>-0.99317009999999994</v>
      </c>
      <c r="P2417">
        <v>-0.17695529999999901</v>
      </c>
      <c r="Q2417">
        <v>-4.2184960000000001E-2</v>
      </c>
      <c r="R2417">
        <v>-0.98331449999999998</v>
      </c>
      <c r="S2417">
        <v>0.35333249999999999</v>
      </c>
      <c r="T2417">
        <v>-9.4586610000000002E-2</v>
      </c>
      <c r="U2417">
        <v>-3.115723</v>
      </c>
      <c r="V2417">
        <v>6.2149990000000002E-2</v>
      </c>
      <c r="W2417">
        <v>-2.7436849999999999E-2</v>
      </c>
      <c r="X2417">
        <v>0.99768959999999995</v>
      </c>
      <c r="Y2417">
        <v>-0.2269582</v>
      </c>
      <c r="Z2417">
        <v>2.9546340000000001E-2</v>
      </c>
      <c r="AA2417">
        <v>0.97345619999999999</v>
      </c>
      <c r="AB2417">
        <v>22</v>
      </c>
      <c r="AC2417">
        <v>4.1782000000000004</v>
      </c>
      <c r="AD2417">
        <v>-1.114246783052</v>
      </c>
      <c r="AE2417">
        <v>-36.523499999999899</v>
      </c>
      <c r="AF2417">
        <v>-8.3726685601768001</v>
      </c>
      <c r="AG2417">
        <v>-1.114246783052</v>
      </c>
      <c r="AH2417">
        <v>35.760902596321699</v>
      </c>
      <c r="AI2417">
        <v>91.737696465581706</v>
      </c>
      <c r="AJ2417">
        <v>103.17725552644001</v>
      </c>
      <c r="AK2417">
        <v>36.744867386013503</v>
      </c>
      <c r="AL2417">
        <v>91.572213052722603</v>
      </c>
      <c r="AM2417">
        <v>86.435427696863101</v>
      </c>
      <c r="AN2417">
        <v>0.99999996997153995</v>
      </c>
    </row>
    <row r="2418" spans="1:40" x14ac:dyDescent="0.25">
      <c r="A2418" t="str">
        <f>"20190312161315156"</f>
        <v>20190312161315156</v>
      </c>
      <c r="B2418" t="str">
        <f>"1552378395148416"</f>
        <v>1552378395148416</v>
      </c>
      <c r="C2418" t="s">
        <v>40</v>
      </c>
      <c r="D2418">
        <v>5.5263339999999896</v>
      </c>
      <c r="E2418">
        <v>0.38608490000000001</v>
      </c>
      <c r="F2418" t="s">
        <v>42</v>
      </c>
      <c r="G2418">
        <v>-489.20170000000002</v>
      </c>
      <c r="H2418" s="1">
        <v>-3.1843869999999998E-7</v>
      </c>
      <c r="I2418">
        <v>229.95959999999999</v>
      </c>
      <c r="J2418">
        <v>-493.34739999999999</v>
      </c>
      <c r="K2418">
        <v>1.1141859999999999</v>
      </c>
      <c r="L2418">
        <v>265.36009999999999</v>
      </c>
      <c r="M2418">
        <v>-0.11191710000000001</v>
      </c>
      <c r="N2418">
        <v>0</v>
      </c>
      <c r="O2418">
        <v>-0.99361690000000003</v>
      </c>
      <c r="P2418">
        <v>-0.17301329999999901</v>
      </c>
      <c r="Q2418">
        <v>-4.2281590000000001E-2</v>
      </c>
      <c r="R2418">
        <v>-0.98401170000000004</v>
      </c>
      <c r="S2418">
        <v>0.36230469999999998</v>
      </c>
      <c r="T2418">
        <v>-9.7610119999999995E-2</v>
      </c>
      <c r="U2418">
        <v>-3.1119080000000001</v>
      </c>
      <c r="V2418">
        <v>6.2060379999999998E-2</v>
      </c>
      <c r="W2418">
        <v>-2.7559440000000001E-2</v>
      </c>
      <c r="X2418">
        <v>0.99769180000000002</v>
      </c>
      <c r="Y2418">
        <v>-0.22603980000000001</v>
      </c>
      <c r="Z2418">
        <v>3.0546299999999901E-2</v>
      </c>
      <c r="AA2418">
        <v>0.97363900000000003</v>
      </c>
      <c r="AB2418">
        <v>22</v>
      </c>
      <c r="AC2418">
        <v>4.1456999999999704</v>
      </c>
      <c r="AD2418">
        <v>-1.1141863184387</v>
      </c>
      <c r="AE2418">
        <v>-35.400499999999901</v>
      </c>
      <c r="AF2418">
        <v>-8.07407724598567</v>
      </c>
      <c r="AG2418">
        <v>-1.1141863184387</v>
      </c>
      <c r="AH2418">
        <v>34.6801429874184</v>
      </c>
      <c r="AI2418">
        <v>91.792238291920498</v>
      </c>
      <c r="AJ2418">
        <v>103.10588514892</v>
      </c>
      <c r="AK2418">
        <v>35.6250537144034</v>
      </c>
      <c r="AL2418">
        <v>91.579239598544902</v>
      </c>
      <c r="AM2418">
        <v>86.440561825979898</v>
      </c>
      <c r="AN2418">
        <v>0.99999997064304802</v>
      </c>
    </row>
    <row r="2419" spans="1:40" x14ac:dyDescent="0.25">
      <c r="A2419" t="str">
        <f>"20190312161315168"</f>
        <v>20190312161315168</v>
      </c>
      <c r="B2419" t="str">
        <f>"1552378395158176"</f>
        <v>1552378395158176</v>
      </c>
      <c r="C2419" t="s">
        <v>40</v>
      </c>
      <c r="D2419">
        <v>5.5103839999999904</v>
      </c>
      <c r="E2419">
        <v>0.38634990000000002</v>
      </c>
      <c r="F2419" t="s">
        <v>63</v>
      </c>
      <c r="G2419">
        <v>-488.92759999999998</v>
      </c>
      <c r="H2419" s="1">
        <v>6.0827049999999997E-6</v>
      </c>
      <c r="I2419">
        <v>228.7253</v>
      </c>
      <c r="J2419">
        <v>-493.35669999999999</v>
      </c>
      <c r="K2419">
        <v>1.114112</v>
      </c>
      <c r="L2419">
        <v>265.23910000000001</v>
      </c>
      <c r="M2419">
        <v>-0.10812769999999999</v>
      </c>
      <c r="N2419">
        <v>0</v>
      </c>
      <c r="O2419">
        <v>-0.9940369</v>
      </c>
      <c r="P2419">
        <v>-0.169205299999999</v>
      </c>
      <c r="Q2419">
        <v>-4.2157680000000003E-2</v>
      </c>
      <c r="R2419">
        <v>-0.98467930000000004</v>
      </c>
      <c r="S2419">
        <v>0.37527470000000002</v>
      </c>
      <c r="T2419">
        <v>-9.4602939999999996E-2</v>
      </c>
      <c r="U2419">
        <v>-3.1105960000000001</v>
      </c>
      <c r="V2419">
        <v>6.1998350000000001E-2</v>
      </c>
      <c r="W2419">
        <v>-2.74608E-2</v>
      </c>
      <c r="X2419">
        <v>0.99769839999999999</v>
      </c>
      <c r="Y2419">
        <v>-0.22637959999999999</v>
      </c>
      <c r="Z2419">
        <v>2.962917E-2</v>
      </c>
      <c r="AA2419">
        <v>0.97358840000000002</v>
      </c>
      <c r="AB2419">
        <v>22</v>
      </c>
      <c r="AC2419">
        <v>4.4291</v>
      </c>
      <c r="AD2419">
        <v>-1.1141059172949901</v>
      </c>
      <c r="AE2419">
        <v>-36.513800000000003</v>
      </c>
      <c r="AF2419">
        <v>-8.3440178050026592</v>
      </c>
      <c r="AG2419">
        <v>-1.1141059172949901</v>
      </c>
      <c r="AH2419">
        <v>35.787886670811403</v>
      </c>
      <c r="AI2419">
        <v>91.736543306940604</v>
      </c>
      <c r="AJ2419">
        <v>103.12416941375299</v>
      </c>
      <c r="AK2419">
        <v>36.764612026893303</v>
      </c>
      <c r="AL2419">
        <v>91.573585765864195</v>
      </c>
      <c r="AM2419">
        <v>86.444133851443596</v>
      </c>
      <c r="AN2419">
        <v>0.99999999415096097</v>
      </c>
    </row>
    <row r="2420" spans="1:40" x14ac:dyDescent="0.25">
      <c r="A2420" t="str">
        <f>"20190312161315179"</f>
        <v>20190312161315179</v>
      </c>
      <c r="B2420" t="str">
        <f>"1552378395167935"</f>
        <v>1552378395167935</v>
      </c>
      <c r="C2420" t="s">
        <v>40</v>
      </c>
      <c r="D2420">
        <v>5.5392060000000001</v>
      </c>
      <c r="E2420">
        <v>0.38675229999999999</v>
      </c>
      <c r="F2420" t="s">
        <v>63</v>
      </c>
      <c r="G2420">
        <v>-488.61810000000003</v>
      </c>
      <c r="H2420" s="1">
        <v>5.4406710000000001E-6</v>
      </c>
      <c r="I2420">
        <v>226.9186</v>
      </c>
      <c r="J2420">
        <v>-493.3648</v>
      </c>
      <c r="K2420">
        <v>1.114039</v>
      </c>
      <c r="L2420">
        <v>265.1277</v>
      </c>
      <c r="M2420">
        <v>-0.1047289</v>
      </c>
      <c r="N2420">
        <v>0</v>
      </c>
      <c r="O2420">
        <v>-0.99440059999999997</v>
      </c>
      <c r="P2420">
        <v>-0.16587079999999901</v>
      </c>
      <c r="Q2420">
        <v>-4.2431429999999999E-2</v>
      </c>
      <c r="R2420">
        <v>-0.98523430000000001</v>
      </c>
      <c r="S2420">
        <v>0.38442989999999999</v>
      </c>
      <c r="T2420">
        <v>-9.0384839999999994E-2</v>
      </c>
      <c r="U2420">
        <v>-3.1088559999999998</v>
      </c>
      <c r="V2420">
        <v>6.2030750000000003E-2</v>
      </c>
      <c r="W2420">
        <v>-2.7758580000000001E-2</v>
      </c>
      <c r="X2420">
        <v>0.99768820000000003</v>
      </c>
      <c r="Y2420">
        <v>-0.22594429999999999</v>
      </c>
      <c r="Z2420">
        <v>2.83372E-2</v>
      </c>
      <c r="AA2420">
        <v>0.97372800000000004</v>
      </c>
      <c r="AB2420">
        <v>22</v>
      </c>
      <c r="AC2420">
        <v>4.7466999999999704</v>
      </c>
      <c r="AD2420">
        <v>-1.1140335593290001</v>
      </c>
      <c r="AE2420">
        <v>-38.209099999999999</v>
      </c>
      <c r="AF2420">
        <v>-8.7152914615301498</v>
      </c>
      <c r="AG2420">
        <v>-1.1140335593290001</v>
      </c>
      <c r="AH2420">
        <v>37.470403659017798</v>
      </c>
      <c r="AI2420">
        <v>91.658710286364894</v>
      </c>
      <c r="AJ2420">
        <v>103.09369778954</v>
      </c>
      <c r="AK2420">
        <v>38.486731822804501</v>
      </c>
      <c r="AL2420">
        <v>91.590653723358201</v>
      </c>
      <c r="AM2420">
        <v>86.442244067417903</v>
      </c>
      <c r="AN2420">
        <v>1.0000000485642</v>
      </c>
    </row>
    <row r="2421" spans="1:40" x14ac:dyDescent="0.25">
      <c r="A2421" t="str">
        <f>"20190312161315191"</f>
        <v>20190312161315191</v>
      </c>
      <c r="B2421" t="str">
        <f>"1552378395188432"</f>
        <v>1552378395188432</v>
      </c>
      <c r="C2421" t="s">
        <v>40</v>
      </c>
      <c r="D2421">
        <v>5.4907859999999999</v>
      </c>
      <c r="E2421">
        <v>0.38784619999999997</v>
      </c>
      <c r="F2421" t="s">
        <v>63</v>
      </c>
      <c r="G2421">
        <v>-488.40370000000001</v>
      </c>
      <c r="H2421" s="1">
        <v>5.0394670000000003E-6</v>
      </c>
      <c r="I2421">
        <v>225.80760000000001</v>
      </c>
      <c r="J2421">
        <v>-493.37259999999998</v>
      </c>
      <c r="K2421">
        <v>1.113972</v>
      </c>
      <c r="L2421">
        <v>265.01859999999999</v>
      </c>
      <c r="M2421">
        <v>-0.1014277</v>
      </c>
      <c r="N2421">
        <v>0</v>
      </c>
      <c r="O2421">
        <v>-0.99474289999999999</v>
      </c>
      <c r="P2421">
        <v>-0.16263169999999999</v>
      </c>
      <c r="Q2421">
        <v>-4.2503260000000001E-2</v>
      </c>
      <c r="R2421">
        <v>-0.98577110000000001</v>
      </c>
      <c r="S2421">
        <v>0.39202880000000001</v>
      </c>
      <c r="T2421">
        <v>-8.8032250000000006E-2</v>
      </c>
      <c r="U2421">
        <v>-3.1071170000000001</v>
      </c>
      <c r="V2421">
        <v>6.2059660000000003E-2</v>
      </c>
      <c r="W2421">
        <v>-2.7853559999999999E-2</v>
      </c>
      <c r="X2421">
        <v>0.99768369999999995</v>
      </c>
      <c r="Y2421">
        <v>-0.22512450000000001</v>
      </c>
      <c r="Z2421">
        <v>2.7628550000000002E-2</v>
      </c>
      <c r="AA2421">
        <v>0.97393819999999998</v>
      </c>
      <c r="AB2421">
        <v>22</v>
      </c>
      <c r="AC2421">
        <v>4.9688999999999597</v>
      </c>
      <c r="AD2421">
        <v>-1.113966960533</v>
      </c>
      <c r="AE2421">
        <v>-39.210999999999899</v>
      </c>
      <c r="AF2421">
        <v>-8.9136665888871391</v>
      </c>
      <c r="AG2421">
        <v>-1.113966960533</v>
      </c>
      <c r="AH2421">
        <v>38.474149053781503</v>
      </c>
      <c r="AI2421">
        <v>91.615687544176396</v>
      </c>
      <c r="AJ2421">
        <v>103.04411735668501</v>
      </c>
      <c r="AK2421">
        <v>39.508916966421602</v>
      </c>
      <c r="AL2421">
        <v>91.596097868804193</v>
      </c>
      <c r="AM2421">
        <v>86.4405741912514</v>
      </c>
      <c r="AN2421">
        <v>0.99999999372483905</v>
      </c>
    </row>
    <row r="2422" spans="1:40" x14ac:dyDescent="0.25">
      <c r="A2422" t="str">
        <f>"20190312161315203"</f>
        <v>20190312161315203</v>
      </c>
      <c r="B2422" t="str">
        <f>"1552378395198192"</f>
        <v>1552378395198192</v>
      </c>
      <c r="C2422" t="s">
        <v>40</v>
      </c>
      <c r="D2422">
        <v>5.534135</v>
      </c>
      <c r="E2422">
        <v>0.38847300000000001</v>
      </c>
      <c r="F2422" t="s">
        <v>63</v>
      </c>
      <c r="G2422">
        <v>-488.39589999999998</v>
      </c>
      <c r="H2422" s="1">
        <v>5.0375749999999998E-6</v>
      </c>
      <c r="I2422">
        <v>225.8082</v>
      </c>
      <c r="J2422">
        <v>-493.38010000000003</v>
      </c>
      <c r="K2422">
        <v>1.113904</v>
      </c>
      <c r="L2422">
        <v>264.90839999999997</v>
      </c>
      <c r="M2422">
        <v>-9.8149689999999998E-2</v>
      </c>
      <c r="N2422">
        <v>0</v>
      </c>
      <c r="O2422">
        <v>-0.99507199999999996</v>
      </c>
      <c r="P2422">
        <v>-0.15971949999999999</v>
      </c>
      <c r="Q2422">
        <v>-4.2801470000000001E-2</v>
      </c>
      <c r="R2422">
        <v>-0.98623439999999996</v>
      </c>
      <c r="S2422">
        <v>0.39404299999999998</v>
      </c>
      <c r="T2422">
        <v>-8.8200329999999993E-2</v>
      </c>
      <c r="U2422">
        <v>-3.1045530000000001</v>
      </c>
      <c r="V2422">
        <v>6.2399410000000002E-2</v>
      </c>
      <c r="W2422">
        <v>-2.8173030000000002E-2</v>
      </c>
      <c r="X2422">
        <v>0.99765349999999997</v>
      </c>
      <c r="Y2422">
        <v>-0.222635</v>
      </c>
      <c r="Z2422">
        <v>2.772488E-2</v>
      </c>
      <c r="AA2422">
        <v>0.97450760000000003</v>
      </c>
      <c r="AB2422">
        <v>22</v>
      </c>
      <c r="AC2422">
        <v>4.9842000000000404</v>
      </c>
      <c r="AD2422">
        <v>-1.113898962425</v>
      </c>
      <c r="AE2422">
        <v>-39.100199999999901</v>
      </c>
      <c r="AF2422">
        <v>-8.7911622998115604</v>
      </c>
      <c r="AG2422">
        <v>-1.113898962425</v>
      </c>
      <c r="AH2422">
        <v>38.391467578177</v>
      </c>
      <c r="AI2422">
        <v>91.620019620062394</v>
      </c>
      <c r="AJ2422">
        <v>102.897649508198</v>
      </c>
      <c r="AK2422">
        <v>39.400889435218801</v>
      </c>
      <c r="AL2422">
        <v>91.614409398881705</v>
      </c>
      <c r="AM2422">
        <v>86.421030317155001</v>
      </c>
      <c r="AN2422">
        <v>0.99999995602498803</v>
      </c>
    </row>
    <row r="2423" spans="1:40" x14ac:dyDescent="0.25">
      <c r="A2423" t="str">
        <f>"20190312161315215"</f>
        <v>20190312161315215</v>
      </c>
      <c r="B2423" t="str">
        <f>"1552378395207952"</f>
        <v>1552378395207952</v>
      </c>
      <c r="C2423" t="s">
        <v>40</v>
      </c>
      <c r="D2423">
        <v>5.6378360000000001</v>
      </c>
      <c r="E2423">
        <v>0.38847300000000001</v>
      </c>
      <c r="F2423" t="s">
        <v>63</v>
      </c>
      <c r="G2423">
        <v>-488.25119999999998</v>
      </c>
      <c r="H2423" s="1">
        <v>4.7658519999999999E-6</v>
      </c>
      <c r="I2423">
        <v>224.88919999999999</v>
      </c>
      <c r="J2423">
        <v>-493.3879</v>
      </c>
      <c r="K2423">
        <v>1.1138300000000001</v>
      </c>
      <c r="L2423">
        <v>264.78769999999997</v>
      </c>
      <c r="M2423">
        <v>-9.4620120000000002E-2</v>
      </c>
      <c r="N2423">
        <v>0</v>
      </c>
      <c r="O2423">
        <v>-0.99541389999999996</v>
      </c>
      <c r="P2423">
        <v>-0.15621959999999999</v>
      </c>
      <c r="Q2423">
        <v>-4.2871510000000002E-2</v>
      </c>
      <c r="R2423">
        <v>-0.98679150000000004</v>
      </c>
      <c r="S2423">
        <v>0.39761350000000001</v>
      </c>
      <c r="T2423">
        <v>-8.6354849999999997E-2</v>
      </c>
      <c r="U2423">
        <v>-3.1024780000000001</v>
      </c>
      <c r="V2423">
        <v>6.2393999999999998E-2</v>
      </c>
      <c r="W2423">
        <v>-2.8269079999999999E-2</v>
      </c>
      <c r="X2423">
        <v>0.99765119999999896</v>
      </c>
      <c r="Y2423">
        <v>-0.220364</v>
      </c>
      <c r="Z2423">
        <v>2.7182649999999999E-2</v>
      </c>
      <c r="AA2423">
        <v>0.97503890000000004</v>
      </c>
      <c r="AB2423">
        <v>22</v>
      </c>
      <c r="AC2423">
        <v>5.13670000000001</v>
      </c>
      <c r="AD2423">
        <v>-1.1138252341479999</v>
      </c>
      <c r="AE2423">
        <v>-39.898499999999899</v>
      </c>
      <c r="AF2423">
        <v>-8.8824149478843903</v>
      </c>
      <c r="AG2423">
        <v>-1.1138252341479999</v>
      </c>
      <c r="AH2423">
        <v>39.20332040588</v>
      </c>
      <c r="AI2423">
        <v>91.587212551175298</v>
      </c>
      <c r="AJ2423">
        <v>102.766139449219</v>
      </c>
      <c r="AK2423">
        <v>40.212413914172203</v>
      </c>
      <c r="AL2423">
        <v>91.619914724391407</v>
      </c>
      <c r="AM2423">
        <v>86.421331576899902</v>
      </c>
      <c r="AN2423">
        <v>1.00000003449074</v>
      </c>
    </row>
    <row r="2424" spans="1:40" x14ac:dyDescent="0.25">
      <c r="A2424" t="str">
        <f>"20190312161315226"</f>
        <v>20190312161315226</v>
      </c>
      <c r="B2424" t="str">
        <f>"1552378395217712"</f>
        <v>1552378395217712</v>
      </c>
      <c r="C2424" t="s">
        <v>40</v>
      </c>
      <c r="D2424">
        <v>5.5541679999999998</v>
      </c>
      <c r="E2424">
        <v>0.40306330000000001</v>
      </c>
      <c r="F2424" t="s">
        <v>63</v>
      </c>
      <c r="G2424">
        <v>-488.12540000000001</v>
      </c>
      <c r="H2424" s="1">
        <v>4.7302379999999998E-6</v>
      </c>
      <c r="I2424">
        <v>224.85429999999999</v>
      </c>
      <c r="J2424">
        <v>-493.39499999999998</v>
      </c>
      <c r="K2424">
        <v>1.113758</v>
      </c>
      <c r="L2424">
        <v>264.67500000000001</v>
      </c>
      <c r="M2424">
        <v>-9.1363360000000005E-2</v>
      </c>
      <c r="N2424">
        <v>0</v>
      </c>
      <c r="O2424">
        <v>-0.99571829999999995</v>
      </c>
      <c r="P2424">
        <v>-0.15305089999999999</v>
      </c>
      <c r="Q2424">
        <v>-4.273536E-2</v>
      </c>
      <c r="R2424">
        <v>-0.98729389999999995</v>
      </c>
      <c r="S2424">
        <v>0.40866089999999999</v>
      </c>
      <c r="T2424">
        <v>-8.6495279999999994E-2</v>
      </c>
      <c r="U2424">
        <v>-3.1010740000000001</v>
      </c>
      <c r="V2424">
        <v>6.2448360000000001E-2</v>
      </c>
      <c r="W2424">
        <v>-2.815631E-2</v>
      </c>
      <c r="X2424">
        <v>0.99765099999999995</v>
      </c>
      <c r="Y2424">
        <v>-0.22064439999999999</v>
      </c>
      <c r="Z2424">
        <v>2.7244629999999999E-2</v>
      </c>
      <c r="AA2424">
        <v>0.97497370000000005</v>
      </c>
      <c r="AB2424">
        <v>22</v>
      </c>
      <c r="AC2424">
        <v>5.2695999999999596</v>
      </c>
      <c r="AD2424">
        <v>-1.1137532697620001</v>
      </c>
      <c r="AE2424">
        <v>-39.820700000000002</v>
      </c>
      <c r="AF2424">
        <v>-8.8792425186994404</v>
      </c>
      <c r="AG2424">
        <v>-1.1137532697620001</v>
      </c>
      <c r="AH2424">
        <v>39.142532497726997</v>
      </c>
      <c r="AI2424">
        <v>91.589480780772405</v>
      </c>
      <c r="AJ2424">
        <v>102.780897610824</v>
      </c>
      <c r="AK2424">
        <v>40.152450042150598</v>
      </c>
      <c r="AL2424">
        <v>91.613450886993704</v>
      </c>
      <c r="AM2424">
        <v>86.418221103352494</v>
      </c>
      <c r="AN2424">
        <v>1.0000000466302501</v>
      </c>
    </row>
    <row r="2425" spans="1:40" x14ac:dyDescent="0.25">
      <c r="A2425" t="str">
        <f>"20190312161315238"</f>
        <v>20190312161315238</v>
      </c>
      <c r="B2425" t="str">
        <f>"1552378395228448"</f>
        <v>1552378395228448</v>
      </c>
      <c r="C2425" t="s">
        <v>40</v>
      </c>
      <c r="D2425">
        <v>5.5143750000000002</v>
      </c>
      <c r="E2425">
        <v>0.40216079999999998</v>
      </c>
      <c r="F2425" t="s">
        <v>42</v>
      </c>
      <c r="G2425">
        <v>-491.20679999999999</v>
      </c>
      <c r="H2425" s="1">
        <v>-1.6834240000000001E-6</v>
      </c>
      <c r="I2425">
        <v>242.7647</v>
      </c>
      <c r="J2425">
        <v>-493.40159999999997</v>
      </c>
      <c r="K2425">
        <v>1.1136889999999999</v>
      </c>
      <c r="L2425">
        <v>264.56279999999998</v>
      </c>
      <c r="M2425">
        <v>-8.8209079999999995E-2</v>
      </c>
      <c r="N2425">
        <v>0</v>
      </c>
      <c r="O2425">
        <v>-0.99600290000000002</v>
      </c>
      <c r="P2425">
        <v>-0.14974709999999999</v>
      </c>
      <c r="Q2425">
        <v>-4.2599619999999998E-2</v>
      </c>
      <c r="R2425">
        <v>-0.98780630000000003</v>
      </c>
      <c r="S2425">
        <v>0.3075562</v>
      </c>
      <c r="T2425">
        <v>-0.15654089999999901</v>
      </c>
      <c r="U2425">
        <v>-3.079529</v>
      </c>
      <c r="V2425">
        <v>6.2264319999999998E-2</v>
      </c>
      <c r="W2425">
        <v>-2.804599E-2</v>
      </c>
      <c r="X2425">
        <v>0.99766560000000004</v>
      </c>
      <c r="Y2425">
        <v>-0.18664520000000001</v>
      </c>
      <c r="Z2425">
        <v>4.9899989999999998E-2</v>
      </c>
      <c r="AA2425">
        <v>0.98115929999999996</v>
      </c>
      <c r="AB2425">
        <v>22</v>
      </c>
      <c r="AC2425">
        <v>2.1947999999999799</v>
      </c>
      <c r="AD2425">
        <v>-1.1136906834239999</v>
      </c>
      <c r="AE2425">
        <v>-21.798099999999899</v>
      </c>
      <c r="AF2425">
        <v>-4.0986317540140904</v>
      </c>
      <c r="AG2425">
        <v>-1.1136906834239999</v>
      </c>
      <c r="AH2425">
        <v>21.464027971666201</v>
      </c>
      <c r="AI2425">
        <v>92.917584467149595</v>
      </c>
      <c r="AJ2425">
        <v>100.810687157579</v>
      </c>
      <c r="AK2425">
        <v>21.880209915853801</v>
      </c>
      <c r="AL2425">
        <v>91.607127536362995</v>
      </c>
      <c r="AM2425">
        <v>86.428801642677698</v>
      </c>
      <c r="AN2425">
        <v>1.00000003626175</v>
      </c>
    </row>
    <row r="2426" spans="1:40" x14ac:dyDescent="0.25">
      <c r="A2426" t="str">
        <f>"20190312161315256"</f>
        <v>20190312161315256</v>
      </c>
      <c r="B2426" t="str">
        <f>"1552378395247967"</f>
        <v>1552378395247967</v>
      </c>
      <c r="C2426" t="s">
        <v>40</v>
      </c>
      <c r="D2426">
        <v>5.5418310000000002</v>
      </c>
      <c r="E2426">
        <v>0.40144970000000002</v>
      </c>
      <c r="F2426" t="s">
        <v>42</v>
      </c>
      <c r="G2426">
        <v>-491.0838</v>
      </c>
      <c r="H2426" s="1">
        <v>-1.5738240000000001E-6</v>
      </c>
      <c r="I2426">
        <v>242.5855</v>
      </c>
      <c r="J2426">
        <v>-493.41109999999998</v>
      </c>
      <c r="K2426">
        <v>1.1135729999999999</v>
      </c>
      <c r="L2426">
        <v>264.39229999999998</v>
      </c>
      <c r="M2426">
        <v>-8.3507520000000002E-2</v>
      </c>
      <c r="N2426">
        <v>0</v>
      </c>
      <c r="O2426">
        <v>-0.99640850000000003</v>
      </c>
      <c r="P2426">
        <v>-0.14451029999999901</v>
      </c>
      <c r="Q2426">
        <v>-4.1936260000000003E-2</v>
      </c>
      <c r="R2426">
        <v>-0.9886144</v>
      </c>
      <c r="S2426">
        <v>0.324768099999999</v>
      </c>
      <c r="T2426">
        <v>-0.1560539</v>
      </c>
      <c r="U2426">
        <v>-3.079529</v>
      </c>
      <c r="V2426">
        <v>6.1670780000000001E-2</v>
      </c>
      <c r="W2426">
        <v>-2.7423619999999999E-2</v>
      </c>
      <c r="X2426">
        <v>0.99771969999999999</v>
      </c>
      <c r="Y2426">
        <v>-0.18743609999999999</v>
      </c>
      <c r="Z2426">
        <v>4.9757940000000001E-2</v>
      </c>
      <c r="AA2426">
        <v>0.98101570000000005</v>
      </c>
      <c r="AB2426">
        <v>22</v>
      </c>
      <c r="AC2426">
        <v>2.3272999999999802</v>
      </c>
      <c r="AD2426">
        <v>-1.1135745738239999</v>
      </c>
      <c r="AE2426">
        <v>-21.8067999999999</v>
      </c>
      <c r="AF2426">
        <v>-4.1297325440741197</v>
      </c>
      <c r="AG2426">
        <v>-1.1135745738239999</v>
      </c>
      <c r="AH2426">
        <v>21.480866435552901</v>
      </c>
      <c r="AI2426">
        <v>92.914299876433702</v>
      </c>
      <c r="AJ2426">
        <v>100.882431908501</v>
      </c>
      <c r="AK2426">
        <v>21.9025651931256</v>
      </c>
      <c r="AL2426">
        <v>91.571454744307104</v>
      </c>
      <c r="AM2426">
        <v>86.462948865566901</v>
      </c>
      <c r="AN2426">
        <v>0.99999996990390005</v>
      </c>
    </row>
    <row r="2427" spans="1:40" x14ac:dyDescent="0.25">
      <c r="A2427" t="str">
        <f>"20190312161315268"</f>
        <v>20190312161315268</v>
      </c>
      <c r="B2427" t="str">
        <f>"1552378395257728"</f>
        <v>1552378395257728</v>
      </c>
      <c r="C2427" t="s">
        <v>40</v>
      </c>
      <c r="D2427">
        <v>5.5833550000000001</v>
      </c>
      <c r="E2427">
        <v>0.40182669999999998</v>
      </c>
      <c r="F2427" t="s">
        <v>42</v>
      </c>
      <c r="G2427">
        <v>-490.74919999999997</v>
      </c>
      <c r="H2427" s="1">
        <v>-6.8538319999999997E-7</v>
      </c>
      <c r="I2427">
        <v>240.72200000000001</v>
      </c>
      <c r="J2427">
        <v>-493.41719999999998</v>
      </c>
      <c r="K2427">
        <v>1.11349599999999</v>
      </c>
      <c r="L2427">
        <v>264.27780000000001</v>
      </c>
      <c r="M2427">
        <v>-8.0411339999999998E-2</v>
      </c>
      <c r="N2427">
        <v>0</v>
      </c>
      <c r="O2427">
        <v>-0.99666339999999998</v>
      </c>
      <c r="P2427">
        <v>-0.14117569999999999</v>
      </c>
      <c r="Q2427">
        <v>-4.1774890000000002E-2</v>
      </c>
      <c r="R2427">
        <v>-0.98910290000000001</v>
      </c>
      <c r="S2427">
        <v>0.34625240000000002</v>
      </c>
      <c r="T2427">
        <v>-0.14485139999999999</v>
      </c>
      <c r="U2427">
        <v>-3.0789789999999999</v>
      </c>
      <c r="V2427">
        <v>6.139936E-2</v>
      </c>
      <c r="W2427">
        <v>-2.728912E-2</v>
      </c>
      <c r="X2427">
        <v>0.99774010000000002</v>
      </c>
      <c r="Y2427">
        <v>-0.19118550000000001</v>
      </c>
      <c r="Z2427">
        <v>4.6185950000000003E-2</v>
      </c>
      <c r="AA2427">
        <v>0.98046670000000002</v>
      </c>
      <c r="AB2427">
        <v>22</v>
      </c>
      <c r="AC2427">
        <v>2.6680000000000001</v>
      </c>
      <c r="AD2427">
        <v>-1.11349668538319</v>
      </c>
      <c r="AE2427">
        <v>-23.555800000000001</v>
      </c>
      <c r="AF2427">
        <v>-4.5436735846334102</v>
      </c>
      <c r="AG2427">
        <v>-1.11349668538319</v>
      </c>
      <c r="AH2427">
        <v>23.213733014050199</v>
      </c>
      <c r="AI2427">
        <v>92.695146327867405</v>
      </c>
      <c r="AJ2427">
        <v>101.074615177646</v>
      </c>
      <c r="AK2427">
        <v>23.680419019934199</v>
      </c>
      <c r="AL2427">
        <v>91.563745619681299</v>
      </c>
      <c r="AM2427">
        <v>86.478548383351793</v>
      </c>
      <c r="AN2427">
        <v>0.99999994231339495</v>
      </c>
    </row>
    <row r="2428" spans="1:40" x14ac:dyDescent="0.25">
      <c r="A2428" t="str">
        <f>"20190312161315281"</f>
        <v>20190312161315281</v>
      </c>
      <c r="B2428" t="str">
        <f>"1552378395268464"</f>
        <v>1552378395268464</v>
      </c>
      <c r="C2428" t="s">
        <v>40</v>
      </c>
      <c r="D2428">
        <v>5.5876929999999998</v>
      </c>
      <c r="E2428">
        <v>0.40213969999999999</v>
      </c>
      <c r="F2428" t="s">
        <v>42</v>
      </c>
      <c r="G2428">
        <v>-490.6266</v>
      </c>
      <c r="H2428" s="1">
        <v>-3.4058110000000002E-7</v>
      </c>
      <c r="I2428">
        <v>239.99430000000001</v>
      </c>
      <c r="J2428">
        <v>-493.42329999999998</v>
      </c>
      <c r="K2428">
        <v>1.113413</v>
      </c>
      <c r="L2428">
        <v>264.1576</v>
      </c>
      <c r="M2428">
        <v>-7.7268749999999997E-2</v>
      </c>
      <c r="N2428">
        <v>0</v>
      </c>
      <c r="O2428">
        <v>-0.99691209999999997</v>
      </c>
      <c r="P2428">
        <v>-0.13817260000000001</v>
      </c>
      <c r="Q2428">
        <v>-4.1817399999999998E-2</v>
      </c>
      <c r="R2428">
        <v>-0.98952530000000005</v>
      </c>
      <c r="S2428">
        <v>0.35366819999999999</v>
      </c>
      <c r="T2428">
        <v>-0.14112069999999999</v>
      </c>
      <c r="U2428">
        <v>-3.0776059999999998</v>
      </c>
      <c r="V2428">
        <v>6.1511339999999998E-2</v>
      </c>
      <c r="W2428">
        <v>-2.7357820000000001E-2</v>
      </c>
      <c r="X2428">
        <v>0.99773140000000005</v>
      </c>
      <c r="Y2428">
        <v>-0.19047810000000001</v>
      </c>
      <c r="Z2428">
        <v>4.5032910000000002E-2</v>
      </c>
      <c r="AA2428">
        <v>0.98065800000000003</v>
      </c>
      <c r="AB2428">
        <v>22</v>
      </c>
      <c r="AC2428">
        <v>2.79669999999998</v>
      </c>
      <c r="AD2428">
        <v>-1.1134133405811</v>
      </c>
      <c r="AE2428">
        <v>-24.1632999999999</v>
      </c>
      <c r="AF2428">
        <v>-4.6458539781290096</v>
      </c>
      <c r="AG2428">
        <v>-1.1134133405811</v>
      </c>
      <c r="AH2428">
        <v>23.825008509155001</v>
      </c>
      <c r="AI2428">
        <v>92.626260830598298</v>
      </c>
      <c r="AJ2428">
        <v>101.034156456359</v>
      </c>
      <c r="AK2428">
        <v>24.299273217822499</v>
      </c>
      <c r="AL2428">
        <v>91.567683186883798</v>
      </c>
      <c r="AM2428">
        <v>86.472111489635196</v>
      </c>
      <c r="AN2428">
        <v>1.0000000209048501</v>
      </c>
    </row>
    <row r="2429" spans="1:40" x14ac:dyDescent="0.25">
      <c r="A2429" t="str">
        <f>"20190312161315293"</f>
        <v>20190312161315293</v>
      </c>
      <c r="B2429" t="str">
        <f>"1552378395287984"</f>
        <v>1552378395287984</v>
      </c>
      <c r="C2429" t="s">
        <v>40</v>
      </c>
      <c r="D2429">
        <v>5.619872</v>
      </c>
      <c r="E2429">
        <v>0.40315250000000002</v>
      </c>
      <c r="F2429" t="s">
        <v>42</v>
      </c>
      <c r="G2429">
        <v>-490.53899999999999</v>
      </c>
      <c r="H2429" s="1">
        <v>-4.3603819999999997E-6</v>
      </c>
      <c r="I2429">
        <v>239.51900000000001</v>
      </c>
      <c r="J2429">
        <v>-493.42910000000001</v>
      </c>
      <c r="K2429">
        <v>1.1133280000000001</v>
      </c>
      <c r="L2429">
        <v>264.03440000000001</v>
      </c>
      <c r="M2429">
        <v>-7.4093010000000001E-2</v>
      </c>
      <c r="N2429">
        <v>0</v>
      </c>
      <c r="O2429">
        <v>-0.99715319999999996</v>
      </c>
      <c r="P2429">
        <v>-0.1349986</v>
      </c>
      <c r="Q2429">
        <v>-4.2119669999999998E-2</v>
      </c>
      <c r="R2429">
        <v>-0.9899502</v>
      </c>
      <c r="S2429">
        <v>0.36010740000000002</v>
      </c>
      <c r="T2429">
        <v>-0.13901350000000001</v>
      </c>
      <c r="U2429">
        <v>-3.0762019999999999</v>
      </c>
      <c r="V2429">
        <v>6.1487640000000003E-2</v>
      </c>
      <c r="W2429">
        <v>-2.768758E-2</v>
      </c>
      <c r="X2429">
        <v>0.99772380000000005</v>
      </c>
      <c r="Y2429">
        <v>-0.18943080000000001</v>
      </c>
      <c r="Z2429">
        <v>4.4397480000000003E-2</v>
      </c>
      <c r="AA2429">
        <v>0.98088980000000003</v>
      </c>
      <c r="AB2429">
        <v>22</v>
      </c>
      <c r="AC2429">
        <v>2.8901000000000101</v>
      </c>
      <c r="AD2429">
        <v>-1.113332360382</v>
      </c>
      <c r="AE2429">
        <v>-24.5154</v>
      </c>
      <c r="AF2429">
        <v>-4.6892136432708797</v>
      </c>
      <c r="AG2429">
        <v>-1.113332360382</v>
      </c>
      <c r="AH2429">
        <v>24.1846504248389</v>
      </c>
      <c r="AI2429">
        <v>92.587607989268804</v>
      </c>
      <c r="AJ2429">
        <v>100.973045880448</v>
      </c>
      <c r="AK2429">
        <v>24.660201736980401</v>
      </c>
      <c r="AL2429">
        <v>91.5865841464081</v>
      </c>
      <c r="AM2429">
        <v>86.473440540758105</v>
      </c>
      <c r="AN2429">
        <v>1.0000000565227301</v>
      </c>
    </row>
    <row r="2430" spans="1:40" x14ac:dyDescent="0.25">
      <c r="A2430" t="str">
        <f>"20190312161315312"</f>
        <v>20190312161315312</v>
      </c>
      <c r="B2430" t="str">
        <f>"1552378395308479"</f>
        <v>1552378395308479</v>
      </c>
      <c r="C2430" t="s">
        <v>40</v>
      </c>
      <c r="D2430">
        <v>5.6439079999999997</v>
      </c>
      <c r="E2430">
        <v>0.40379409999999999</v>
      </c>
      <c r="F2430" t="s">
        <v>42</v>
      </c>
      <c r="G2430">
        <v>-490.5034</v>
      </c>
      <c r="H2430" s="1">
        <v>-4.2346059999999998E-6</v>
      </c>
      <c r="I2430">
        <v>239.1679</v>
      </c>
      <c r="J2430">
        <v>-493.43709999999999</v>
      </c>
      <c r="K2430">
        <v>1.1132120000000001</v>
      </c>
      <c r="L2430">
        <v>263.85840000000002</v>
      </c>
      <c r="M2430">
        <v>-6.9683309999999998E-2</v>
      </c>
      <c r="N2430">
        <v>0</v>
      </c>
      <c r="O2430">
        <v>-0.99747129999999995</v>
      </c>
      <c r="P2430">
        <v>-0.1312333</v>
      </c>
      <c r="Q2430">
        <v>-4.1971460000000002E-2</v>
      </c>
      <c r="R2430">
        <v>-0.99046299999999998</v>
      </c>
      <c r="S2430">
        <v>0.36166379999999998</v>
      </c>
      <c r="T2430">
        <v>-0.1376269</v>
      </c>
      <c r="U2430">
        <v>-3.0739139999999998</v>
      </c>
      <c r="V2430">
        <v>6.2095619999999997E-2</v>
      </c>
      <c r="W2430">
        <v>-2.7573540000000001E-2</v>
      </c>
      <c r="X2430">
        <v>0.99768920000000005</v>
      </c>
      <c r="Y2430">
        <v>-0.1856643</v>
      </c>
      <c r="Z2430">
        <v>4.4023979999999997E-2</v>
      </c>
      <c r="AA2430">
        <v>0.98162660000000002</v>
      </c>
      <c r="AB2430">
        <v>22</v>
      </c>
      <c r="AC2430">
        <v>2.93369999999998</v>
      </c>
      <c r="AD2430">
        <v>-1.1132162346059999</v>
      </c>
      <c r="AE2430">
        <v>-24.6905</v>
      </c>
      <c r="AF2430">
        <v>-4.6379541287614403</v>
      </c>
      <c r="AG2430">
        <v>-1.1132162346059999</v>
      </c>
      <c r="AH2430">
        <v>24.377155271184801</v>
      </c>
      <c r="AI2430">
        <v>92.568660045237806</v>
      </c>
      <c r="AJ2430">
        <v>100.772245745958</v>
      </c>
      <c r="AK2430">
        <v>24.8393954838063</v>
      </c>
      <c r="AL2430">
        <v>91.5800478041307</v>
      </c>
      <c r="AM2430">
        <v>86.438536598981301</v>
      </c>
      <c r="AN2430">
        <v>0.99999995296397703</v>
      </c>
    </row>
    <row r="2431" spans="1:40" x14ac:dyDescent="0.25">
      <c r="A2431" t="str">
        <f>"20190312161315333"</f>
        <v>20190312161315333</v>
      </c>
      <c r="B2431" t="str">
        <f>"1552378395327999"</f>
        <v>1552378395327999</v>
      </c>
      <c r="C2431" t="s">
        <v>40</v>
      </c>
      <c r="D2431">
        <v>5.5766629999999999</v>
      </c>
      <c r="E2431">
        <v>0.40506019999999998</v>
      </c>
      <c r="F2431" t="s">
        <v>42</v>
      </c>
      <c r="G2431">
        <v>-490.41379999999998</v>
      </c>
      <c r="H2431" s="1">
        <v>-4.011859E-6</v>
      </c>
      <c r="I2431">
        <v>238.6842</v>
      </c>
      <c r="J2431">
        <v>-493.44560000000001</v>
      </c>
      <c r="K2431">
        <v>1.1130739999999999</v>
      </c>
      <c r="L2431">
        <v>263.64850000000001</v>
      </c>
      <c r="M2431">
        <v>-6.4633060000000006E-2</v>
      </c>
      <c r="N2431">
        <v>0</v>
      </c>
      <c r="O2431">
        <v>-0.99781169999999997</v>
      </c>
      <c r="P2431">
        <v>-0.126608</v>
      </c>
      <c r="Q2431">
        <v>-4.190514E-2</v>
      </c>
      <c r="R2431">
        <v>-0.99106749999999999</v>
      </c>
      <c r="S2431">
        <v>0.368927</v>
      </c>
      <c r="T2431">
        <v>-0.13584740000000001</v>
      </c>
      <c r="U2431">
        <v>-3.0720519999999998</v>
      </c>
      <c r="V2431">
        <v>6.2478300000000001E-2</v>
      </c>
      <c r="W2431">
        <v>-2.755032E-2</v>
      </c>
      <c r="X2431">
        <v>0.99766600000000005</v>
      </c>
      <c r="Y2431">
        <v>-0.18304989999999999</v>
      </c>
      <c r="Z2431">
        <v>4.3509239999999998E-2</v>
      </c>
      <c r="AA2431">
        <v>0.98214040000000002</v>
      </c>
      <c r="AB2431">
        <v>22</v>
      </c>
      <c r="AC2431">
        <v>3.0318000000000298</v>
      </c>
      <c r="AD2431">
        <v>-1.11307801185899</v>
      </c>
      <c r="AE2431">
        <v>-24.964300000000001</v>
      </c>
      <c r="AF2431">
        <v>-4.6300648075091804</v>
      </c>
      <c r="AG2431">
        <v>-1.11307801185899</v>
      </c>
      <c r="AH2431">
        <v>24.6677920151756</v>
      </c>
      <c r="AI2431">
        <v>92.539306010427296</v>
      </c>
      <c r="AJ2431">
        <v>100.630545912507</v>
      </c>
      <c r="AK2431">
        <v>25.123224428527902</v>
      </c>
      <c r="AL2431">
        <v>91.578716811707295</v>
      </c>
      <c r="AM2431">
        <v>86.416562080531605</v>
      </c>
      <c r="AN2431">
        <v>1.00000000282949</v>
      </c>
    </row>
    <row r="2432" spans="1:40" x14ac:dyDescent="0.25">
      <c r="A2432" t="str">
        <f>"20190312161315345"</f>
        <v>20190312161315345</v>
      </c>
      <c r="B2432" t="str">
        <f>"1552378395338736"</f>
        <v>1552378395338736</v>
      </c>
      <c r="C2432" t="s">
        <v>40</v>
      </c>
      <c r="D2432">
        <v>5.6837309999999999</v>
      </c>
      <c r="E2432">
        <v>0.40580739999999998</v>
      </c>
      <c r="F2432" t="s">
        <v>42</v>
      </c>
      <c r="G2432">
        <v>-490.37799999999999</v>
      </c>
      <c r="H2432" s="1">
        <v>-3.871517E-6</v>
      </c>
      <c r="I2432">
        <v>238.3793</v>
      </c>
      <c r="J2432">
        <v>-493.44990000000001</v>
      </c>
      <c r="K2432">
        <v>1.1129990000000001</v>
      </c>
      <c r="L2432">
        <v>263.53649999999999</v>
      </c>
      <c r="M2432">
        <v>-6.2016990000000001E-2</v>
      </c>
      <c r="N2432">
        <v>0</v>
      </c>
      <c r="O2432">
        <v>-0.99797769999999997</v>
      </c>
      <c r="P2432">
        <v>-0.12418750000000001</v>
      </c>
      <c r="Q2432">
        <v>-4.1743830000000003E-2</v>
      </c>
      <c r="R2432">
        <v>-0.99138029999999999</v>
      </c>
      <c r="S2432">
        <v>0.37255860000000002</v>
      </c>
      <c r="T2432">
        <v>-0.13518289999999999</v>
      </c>
      <c r="U2432">
        <v>-3.0689389999999999</v>
      </c>
      <c r="V2432">
        <v>6.265097E-2</v>
      </c>
      <c r="W2432">
        <v>-2.7411720000000001E-2</v>
      </c>
      <c r="X2432">
        <v>0.99765899999999996</v>
      </c>
      <c r="Y2432">
        <v>-0.1817368</v>
      </c>
      <c r="Z2432">
        <v>4.335352E-2</v>
      </c>
      <c r="AA2432">
        <v>0.98239109999999996</v>
      </c>
      <c r="AB2432">
        <v>22</v>
      </c>
      <c r="AC2432">
        <v>3.0718999999999701</v>
      </c>
      <c r="AD2432">
        <v>-1.1130028715169999</v>
      </c>
      <c r="AE2432">
        <v>-25.1571999999999</v>
      </c>
      <c r="AF2432">
        <v>-4.6174061338677799</v>
      </c>
      <c r="AG2432">
        <v>-1.1130028715169999</v>
      </c>
      <c r="AH2432">
        <v>24.8702722170495</v>
      </c>
      <c r="AI2432">
        <v>92.519413755980693</v>
      </c>
      <c r="AJ2432">
        <v>100.517758475156</v>
      </c>
      <c r="AK2432">
        <v>25.319748319192101</v>
      </c>
      <c r="AL2432">
        <v>91.570772599820202</v>
      </c>
      <c r="AM2432">
        <v>86.406659372431207</v>
      </c>
      <c r="AN2432">
        <v>1.0000000133581399</v>
      </c>
    </row>
    <row r="2433" spans="1:40" x14ac:dyDescent="0.25">
      <c r="A2433" t="str">
        <f>"20190312161315357"</f>
        <v>20190312161315357</v>
      </c>
      <c r="B2433" t="str">
        <f>"1552378395348496"</f>
        <v>1552378395348496</v>
      </c>
      <c r="C2433" t="s">
        <v>40</v>
      </c>
      <c r="D2433">
        <v>5.6440169999999998</v>
      </c>
      <c r="E2433">
        <v>0.40655920000000001</v>
      </c>
      <c r="F2433" t="s">
        <v>42</v>
      </c>
      <c r="G2433">
        <v>-490.2672</v>
      </c>
      <c r="H2433" s="1">
        <v>-3.4360190000000001E-6</v>
      </c>
      <c r="I2433">
        <v>237.43279999999999</v>
      </c>
      <c r="J2433">
        <v>-493.4538</v>
      </c>
      <c r="K2433">
        <v>1.112927</v>
      </c>
      <c r="L2433">
        <v>263.42579999999998</v>
      </c>
      <c r="M2433">
        <v>-5.951219E-2</v>
      </c>
      <c r="N2433">
        <v>0</v>
      </c>
      <c r="O2433">
        <v>-0.99813059999999998</v>
      </c>
      <c r="P2433">
        <v>-0.12190280000000001</v>
      </c>
      <c r="Q2433">
        <v>-4.1676159999999997E-2</v>
      </c>
      <c r="R2433">
        <v>-0.99166690000000002</v>
      </c>
      <c r="S2433">
        <v>0.37399290000000002</v>
      </c>
      <c r="T2433">
        <v>-0.1307876</v>
      </c>
      <c r="U2433">
        <v>-3.0674130000000002</v>
      </c>
      <c r="V2433">
        <v>6.2850379999999997E-2</v>
      </c>
      <c r="W2433">
        <v>-2.7366250000000002E-2</v>
      </c>
      <c r="X2433">
        <v>0.99764770000000003</v>
      </c>
      <c r="Y2433">
        <v>-0.1797868</v>
      </c>
      <c r="Z2433">
        <v>4.1983369999999999E-2</v>
      </c>
      <c r="AA2433">
        <v>0.9828093</v>
      </c>
      <c r="AB2433">
        <v>22</v>
      </c>
      <c r="AC2433">
        <v>3.1865999999999901</v>
      </c>
      <c r="AD2433">
        <v>-1.112930436019</v>
      </c>
      <c r="AE2433">
        <v>-25.992999999999899</v>
      </c>
      <c r="AF2433">
        <v>-4.7194771254999699</v>
      </c>
      <c r="AG2433">
        <v>-1.112930436019</v>
      </c>
      <c r="AH2433">
        <v>25.710824004924302</v>
      </c>
      <c r="AI2433">
        <v>92.437902908470505</v>
      </c>
      <c r="AJ2433">
        <v>100.401418311897</v>
      </c>
      <c r="AK2433">
        <v>26.1640698192335</v>
      </c>
      <c r="AL2433">
        <v>91.568166392057705</v>
      </c>
      <c r="AM2433">
        <v>86.3952116174476</v>
      </c>
      <c r="AN2433">
        <v>1.00000000761024</v>
      </c>
    </row>
    <row r="2434" spans="1:40" x14ac:dyDescent="0.25">
      <c r="A2434" t="str">
        <f>"20190312161315368"</f>
        <v>20190312161315368</v>
      </c>
      <c r="B2434" t="str">
        <f>"1552378395358255"</f>
        <v>1552378395358255</v>
      </c>
      <c r="C2434" t="s">
        <v>40</v>
      </c>
      <c r="D2434">
        <v>5.6038639999999997</v>
      </c>
      <c r="E2434">
        <v>0.40717880000000001</v>
      </c>
      <c r="F2434" t="s">
        <v>42</v>
      </c>
      <c r="G2434">
        <v>-490.24590000000001</v>
      </c>
      <c r="H2434" s="1">
        <v>-3.338191E-6</v>
      </c>
      <c r="I2434">
        <v>237.21799999999999</v>
      </c>
      <c r="J2434">
        <v>-493.45760000000001</v>
      </c>
      <c r="K2434">
        <v>1.112854</v>
      </c>
      <c r="L2434">
        <v>263.31599999999997</v>
      </c>
      <c r="M2434">
        <v>-5.7051770000000002E-2</v>
      </c>
      <c r="N2434">
        <v>0</v>
      </c>
      <c r="O2434">
        <v>-0.99827429999999995</v>
      </c>
      <c r="P2434">
        <v>-0.1195407</v>
      </c>
      <c r="Q2434">
        <v>-4.1457510000000003E-2</v>
      </c>
      <c r="R2434">
        <v>-0.99196340000000005</v>
      </c>
      <c r="S2434">
        <v>0.37527470000000002</v>
      </c>
      <c r="T2434">
        <v>-0.1301957</v>
      </c>
      <c r="U2434">
        <v>-3.0659179999999999</v>
      </c>
      <c r="V2434">
        <v>6.2926750000000004E-2</v>
      </c>
      <c r="W2434">
        <v>-2.7170039999999999E-2</v>
      </c>
      <c r="X2434">
        <v>0.99764819999999999</v>
      </c>
      <c r="Y2434">
        <v>-0.17782510000000001</v>
      </c>
      <c r="Z2434">
        <v>4.1829520000000002E-2</v>
      </c>
      <c r="AA2434">
        <v>0.98317270000000001</v>
      </c>
      <c r="AB2434">
        <v>22</v>
      </c>
      <c r="AC2434">
        <v>3.2117</v>
      </c>
      <c r="AD2434">
        <v>-1.1128573381910001</v>
      </c>
      <c r="AE2434">
        <v>-26.0979999999999</v>
      </c>
      <c r="AF2434">
        <v>-4.6871535342449899</v>
      </c>
      <c r="AG2434">
        <v>-1.1128573381910001</v>
      </c>
      <c r="AH2434">
        <v>25.8259743029645</v>
      </c>
      <c r="AI2434">
        <v>92.427773328658205</v>
      </c>
      <c r="AJ2434">
        <v>100.286638235073</v>
      </c>
      <c r="AK2434">
        <v>26.271444733895699</v>
      </c>
      <c r="AL2434">
        <v>91.556920281165603</v>
      </c>
      <c r="AM2434">
        <v>86.390844785047804</v>
      </c>
      <c r="AN2434">
        <v>0.99999995895120097</v>
      </c>
    </row>
    <row r="2435" spans="1:40" x14ac:dyDescent="0.25">
      <c r="A2435" t="str">
        <f>"20190312161315380"</f>
        <v>20190312161315380</v>
      </c>
      <c r="B2435" t="str">
        <f>"1552378395368015"</f>
        <v>1552378395368015</v>
      </c>
      <c r="C2435" t="s">
        <v>40</v>
      </c>
      <c r="D2435">
        <v>5.6011930000000003</v>
      </c>
      <c r="E2435">
        <v>0.40775169999999999</v>
      </c>
      <c r="F2435" t="s">
        <v>42</v>
      </c>
      <c r="G2435">
        <v>-490.19119999999998</v>
      </c>
      <c r="H2435" s="1">
        <v>-3.1578180000000001E-6</v>
      </c>
      <c r="I2435">
        <v>236.83150000000001</v>
      </c>
      <c r="J2435">
        <v>-493.46129999999999</v>
      </c>
      <c r="K2435">
        <v>1.1127689999999999</v>
      </c>
      <c r="L2435">
        <v>263.20030000000003</v>
      </c>
      <c r="M2435">
        <v>-5.4583930000000003E-2</v>
      </c>
      <c r="N2435">
        <v>0</v>
      </c>
      <c r="O2435">
        <v>-0.99841250000000004</v>
      </c>
      <c r="P2435">
        <v>-0.1172779</v>
      </c>
      <c r="Q2435">
        <v>-4.1323360000000003E-2</v>
      </c>
      <c r="R2435">
        <v>-0.99223910000000004</v>
      </c>
      <c r="S2435">
        <v>0.37796020000000002</v>
      </c>
      <c r="T2435">
        <v>-0.12876689999999999</v>
      </c>
      <c r="U2435">
        <v>-3.0644840000000002</v>
      </c>
      <c r="V2435">
        <v>6.3110630000000001E-2</v>
      </c>
      <c r="W2435">
        <v>-2.706066E-2</v>
      </c>
      <c r="X2435">
        <v>0.99763959999999996</v>
      </c>
      <c r="Y2435">
        <v>-0.17629890000000001</v>
      </c>
      <c r="Z2435">
        <v>4.1402660000000001E-2</v>
      </c>
      <c r="AA2435">
        <v>0.98346560000000005</v>
      </c>
      <c r="AB2435">
        <v>22</v>
      </c>
      <c r="AC2435">
        <v>3.27010000000001</v>
      </c>
      <c r="AD2435">
        <v>-1.1127721578180001</v>
      </c>
      <c r="AE2435">
        <v>-26.3688</v>
      </c>
      <c r="AF2435">
        <v>-4.6964385914419697</v>
      </c>
      <c r="AG2435">
        <v>-1.1127721578180001</v>
      </c>
      <c r="AH2435">
        <v>26.105183554121599</v>
      </c>
      <c r="AI2435">
        <v>92.402319508581499</v>
      </c>
      <c r="AJ2435">
        <v>100.198670624052</v>
      </c>
      <c r="AK2435">
        <v>26.547606402702002</v>
      </c>
      <c r="AL2435">
        <v>91.550650897834601</v>
      </c>
      <c r="AM2435">
        <v>86.380295250878504</v>
      </c>
      <c r="AN2435">
        <v>1.0000000012133901</v>
      </c>
    </row>
    <row r="2436" spans="1:40" x14ac:dyDescent="0.25">
      <c r="A2436" t="str">
        <f>"20190312161315393"</f>
        <v>20190312161315393</v>
      </c>
      <c r="B2436" t="str">
        <f>"1552378395388512"</f>
        <v>1552378395388512</v>
      </c>
      <c r="C2436" t="s">
        <v>40</v>
      </c>
      <c r="D2436">
        <v>5.5798030000000001</v>
      </c>
      <c r="E2436">
        <v>0.40878140000000002</v>
      </c>
      <c r="F2436" t="s">
        <v>42</v>
      </c>
      <c r="G2436">
        <v>-490.15370000000001</v>
      </c>
      <c r="H2436" s="1">
        <v>-3.017918E-6</v>
      </c>
      <c r="I2436">
        <v>236.52860000000001</v>
      </c>
      <c r="J2436">
        <v>-493.46469999999999</v>
      </c>
      <c r="K2436">
        <v>1.112689</v>
      </c>
      <c r="L2436">
        <v>263.08999999999997</v>
      </c>
      <c r="M2436">
        <v>-5.2270289999999997E-2</v>
      </c>
      <c r="N2436">
        <v>0</v>
      </c>
      <c r="O2436">
        <v>-0.99853630000000004</v>
      </c>
      <c r="P2436">
        <v>-0.1150153</v>
      </c>
      <c r="Q2436">
        <v>-4.1480599999999999E-2</v>
      </c>
      <c r="R2436">
        <v>-0.99249719999999997</v>
      </c>
      <c r="S2436">
        <v>0.37985229999999998</v>
      </c>
      <c r="T2436">
        <v>-0.12779369999999901</v>
      </c>
      <c r="U2436">
        <v>-3.0630489999999999</v>
      </c>
      <c r="V2436">
        <v>6.3143820000000003E-2</v>
      </c>
      <c r="W2436">
        <v>-2.7242490000000001E-2</v>
      </c>
      <c r="X2436">
        <v>0.99763259999999998</v>
      </c>
      <c r="Y2436">
        <v>-0.17467349999999901</v>
      </c>
      <c r="Z2436">
        <v>4.1121539999999998E-2</v>
      </c>
      <c r="AA2436">
        <v>0.98376730000000001</v>
      </c>
      <c r="AB2436">
        <v>22</v>
      </c>
      <c r="AC2436">
        <v>3.3109999999999702</v>
      </c>
      <c r="AD2436">
        <v>-1.112692017918</v>
      </c>
      <c r="AE2436">
        <v>-26.5613999999999</v>
      </c>
      <c r="AF2436">
        <v>-4.6868799584205103</v>
      </c>
      <c r="AG2436">
        <v>-1.112692017918</v>
      </c>
      <c r="AH2436">
        <v>26.306540702752599</v>
      </c>
      <c r="AI2436">
        <v>92.384500303408203</v>
      </c>
      <c r="AJ2436">
        <v>100.102050547537</v>
      </c>
      <c r="AK2436">
        <v>26.743952793425301</v>
      </c>
      <c r="AL2436">
        <v>91.561072755640197</v>
      </c>
      <c r="AM2436">
        <v>86.378371362570903</v>
      </c>
      <c r="AN2436">
        <v>1.0000000499241699</v>
      </c>
    </row>
    <row r="2437" spans="1:40" x14ac:dyDescent="0.25">
      <c r="A2437" t="str">
        <f>"20190312161315405"</f>
        <v>20190312161315405</v>
      </c>
      <c r="B2437" t="str">
        <f>"1552378395398272"</f>
        <v>1552378395398272</v>
      </c>
      <c r="C2437" t="s">
        <v>40</v>
      </c>
      <c r="D2437">
        <v>5.6107630000000004</v>
      </c>
      <c r="E2437">
        <v>0.40934480000000001</v>
      </c>
      <c r="F2437" t="s">
        <v>42</v>
      </c>
      <c r="G2437">
        <v>-490.13619999999997</v>
      </c>
      <c r="H2437" s="1">
        <v>-2.8585950000000001E-6</v>
      </c>
      <c r="I2437">
        <v>236.16810000000001</v>
      </c>
      <c r="J2437">
        <v>-493.46820000000002</v>
      </c>
      <c r="K2437">
        <v>1.1125940000000001</v>
      </c>
      <c r="L2437">
        <v>262.96629999999999</v>
      </c>
      <c r="M2437">
        <v>-4.9763780000000001E-2</v>
      </c>
      <c r="N2437">
        <v>0</v>
      </c>
      <c r="O2437">
        <v>-0.99866469999999896</v>
      </c>
      <c r="P2437">
        <v>-0.1127388</v>
      </c>
      <c r="Q2437">
        <v>-4.1568399999999998E-2</v>
      </c>
      <c r="R2437">
        <v>-0.99275469999999999</v>
      </c>
      <c r="S2437">
        <v>0.37847900000000001</v>
      </c>
      <c r="T2437">
        <v>-0.12652369999999999</v>
      </c>
      <c r="U2437">
        <v>-3.0612789999999999</v>
      </c>
      <c r="V2437">
        <v>6.3354320000000006E-2</v>
      </c>
      <c r="W2437">
        <v>-2.735744E-2</v>
      </c>
      <c r="X2437">
        <v>0.99761610000000001</v>
      </c>
      <c r="Y2437">
        <v>-0.17183809999999999</v>
      </c>
      <c r="Z2437">
        <v>4.0756210000000001E-2</v>
      </c>
      <c r="AA2437">
        <v>0.98428179999999998</v>
      </c>
      <c r="AB2437">
        <v>22</v>
      </c>
      <c r="AC2437">
        <v>3.33200000000005</v>
      </c>
      <c r="AD2437">
        <v>-1.1125968585949999</v>
      </c>
      <c r="AE2437">
        <v>-26.798199999999898</v>
      </c>
      <c r="AF2437">
        <v>-4.6536794610033798</v>
      </c>
      <c r="AG2437">
        <v>-1.1125968585949999</v>
      </c>
      <c r="AH2437">
        <v>26.5540874571724</v>
      </c>
      <c r="AI2437">
        <v>92.363271940701296</v>
      </c>
      <c r="AJ2437">
        <v>99.940301558533804</v>
      </c>
      <c r="AK2437">
        <v>26.981737619706401</v>
      </c>
      <c r="AL2437">
        <v>91.567661374539199</v>
      </c>
      <c r="AM2437">
        <v>86.366270441002797</v>
      </c>
      <c r="AN2437">
        <v>1.00000004118261</v>
      </c>
    </row>
    <row r="2438" spans="1:40" x14ac:dyDescent="0.25">
      <c r="A2438" t="str">
        <f>"20190312161315424"</f>
        <v>20190312161315424</v>
      </c>
      <c r="B2438" t="str">
        <f>"1552378395417791"</f>
        <v>1552378395417791</v>
      </c>
      <c r="C2438" t="s">
        <v>40</v>
      </c>
      <c r="D2438">
        <v>5.6000350000000001</v>
      </c>
      <c r="E2438">
        <v>0.42144579999999998</v>
      </c>
      <c r="F2438" t="s">
        <v>42</v>
      </c>
      <c r="G2438">
        <v>-490.0976</v>
      </c>
      <c r="H2438" s="1">
        <v>-2.7320369999999998E-6</v>
      </c>
      <c r="I2438">
        <v>235.89699999999999</v>
      </c>
      <c r="J2438">
        <v>-493.47300000000001</v>
      </c>
      <c r="K2438">
        <v>1.1124529999999999</v>
      </c>
      <c r="L2438">
        <v>262.78820000000002</v>
      </c>
      <c r="M2438">
        <v>-4.6309429999999999E-2</v>
      </c>
      <c r="N2438">
        <v>0</v>
      </c>
      <c r="O2438">
        <v>-0.99883120000000003</v>
      </c>
      <c r="P2438">
        <v>-0.1098663</v>
      </c>
      <c r="Q2438">
        <v>-4.2082670000000003E-2</v>
      </c>
      <c r="R2438">
        <v>-0.99305529999999997</v>
      </c>
      <c r="S2438">
        <v>0.38101200000000002</v>
      </c>
      <c r="T2438">
        <v>-0.1257675</v>
      </c>
      <c r="U2438">
        <v>-3.0599059999999998</v>
      </c>
      <c r="V2438">
        <v>6.3913189999999995E-2</v>
      </c>
      <c r="W2438">
        <v>-2.79101E-2</v>
      </c>
      <c r="X2438">
        <v>0.99756509999999998</v>
      </c>
      <c r="Y2438">
        <v>-0.16928770000000001</v>
      </c>
      <c r="Z2438">
        <v>4.0548210000000001E-2</v>
      </c>
      <c r="AA2438">
        <v>0.98473219999999995</v>
      </c>
      <c r="AB2438">
        <v>22</v>
      </c>
      <c r="AC2438">
        <v>3.3754000000000102</v>
      </c>
      <c r="AD2438">
        <v>-1.1124557320370001</v>
      </c>
      <c r="AE2438">
        <v>-26.891200000000001</v>
      </c>
      <c r="AF2438">
        <v>-4.60944735681647</v>
      </c>
      <c r="AG2438">
        <v>-1.1124557320370001</v>
      </c>
      <c r="AH2438">
        <v>26.661096814502699</v>
      </c>
      <c r="AI2438">
        <v>92.354437473487096</v>
      </c>
      <c r="AJ2438">
        <v>99.808923452010703</v>
      </c>
      <c r="AK2438">
        <v>27.079487551342101</v>
      </c>
      <c r="AL2438">
        <v>91.599338623462799</v>
      </c>
      <c r="AM2438">
        <v>86.334116199979604</v>
      </c>
      <c r="AN2438">
        <v>0.99999999913799797</v>
      </c>
    </row>
    <row r="2439" spans="1:40" x14ac:dyDescent="0.25">
      <c r="A2439" t="str">
        <f>"20190312161315436"</f>
        <v>20190312161315436</v>
      </c>
      <c r="B2439" t="str">
        <f>"1552378395427997"</f>
        <v>1552378395427997</v>
      </c>
      <c r="C2439" t="s">
        <v>40</v>
      </c>
      <c r="D2439">
        <v>5.6441470000000002</v>
      </c>
      <c r="E2439">
        <v>0.42150110000000002</v>
      </c>
      <c r="F2439" t="s">
        <v>42</v>
      </c>
      <c r="G2439">
        <v>-491.07749999999999</v>
      </c>
      <c r="H2439" s="1">
        <v>-3.8990329999999997E-6</v>
      </c>
      <c r="I2439">
        <v>238.00960000000001</v>
      </c>
      <c r="J2439">
        <v>-493.47609999999997</v>
      </c>
      <c r="K2439">
        <v>1.1123529999999999</v>
      </c>
      <c r="L2439">
        <v>262.66000000000003</v>
      </c>
      <c r="M2439">
        <v>-4.3940699999999999E-2</v>
      </c>
      <c r="N2439">
        <v>0</v>
      </c>
      <c r="O2439">
        <v>-0.9989384</v>
      </c>
      <c r="P2439">
        <v>-0.1079847</v>
      </c>
      <c r="Q2439">
        <v>-4.2434930000000003E-2</v>
      </c>
      <c r="R2439">
        <v>-0.99324670000000004</v>
      </c>
      <c r="S2439">
        <v>0.2946472</v>
      </c>
      <c r="T2439">
        <v>-0.1368345</v>
      </c>
      <c r="U2439">
        <v>-3.0478209999999999</v>
      </c>
      <c r="V2439">
        <v>6.4384330000000004E-2</v>
      </c>
      <c r="W2439">
        <v>-2.8289849999999998E-2</v>
      </c>
      <c r="X2439">
        <v>0.99752410000000002</v>
      </c>
      <c r="Y2439">
        <v>-0.13977870000000001</v>
      </c>
      <c r="Z2439">
        <v>4.4462010000000003E-2</v>
      </c>
      <c r="AA2439">
        <v>0.98918399999999995</v>
      </c>
      <c r="AB2439">
        <v>22</v>
      </c>
      <c r="AC2439">
        <v>2.3985999999999801</v>
      </c>
      <c r="AD2439">
        <v>-1.1123568990329999</v>
      </c>
      <c r="AE2439">
        <v>-24.650400000000001</v>
      </c>
      <c r="AF2439">
        <v>-3.47253750794333</v>
      </c>
      <c r="AG2439">
        <v>-1.1123568990329999</v>
      </c>
      <c r="AH2439">
        <v>24.471815980799601</v>
      </c>
      <c r="AI2439">
        <v>92.576788208362004</v>
      </c>
      <c r="AJ2439">
        <v>98.076321477564207</v>
      </c>
      <c r="AK2439">
        <v>24.741981165885299</v>
      </c>
      <c r="AL2439">
        <v>91.621105299774399</v>
      </c>
      <c r="AM2439">
        <v>86.307016054037703</v>
      </c>
      <c r="AN2439">
        <v>0.99999999382169003</v>
      </c>
    </row>
    <row r="2440" spans="1:40" x14ac:dyDescent="0.25">
      <c r="A2440" t="str">
        <f>"20190312161315448"</f>
        <v>20190312161315448</v>
      </c>
      <c r="B2440" t="str">
        <f>"1552378395438734"</f>
        <v>1552378395438734</v>
      </c>
      <c r="C2440" t="s">
        <v>40</v>
      </c>
      <c r="D2440">
        <v>5.6245880000000001</v>
      </c>
      <c r="E2440">
        <v>0.4218076</v>
      </c>
      <c r="F2440" t="s">
        <v>42</v>
      </c>
      <c r="G2440">
        <v>-490.95839999999998</v>
      </c>
      <c r="H2440" s="1">
        <v>-3.440187E-6</v>
      </c>
      <c r="I2440">
        <v>237.01390000000001</v>
      </c>
      <c r="J2440">
        <v>-493.47859999999997</v>
      </c>
      <c r="K2440">
        <v>1.1122669999999999</v>
      </c>
      <c r="L2440">
        <v>262.55059999999997</v>
      </c>
      <c r="M2440">
        <v>-4.1960400000000002E-2</v>
      </c>
      <c r="N2440">
        <v>0</v>
      </c>
      <c r="O2440">
        <v>-0.99902389999999996</v>
      </c>
      <c r="P2440">
        <v>-0.106410199999999</v>
      </c>
      <c r="Q2440">
        <v>-4.245728E-2</v>
      </c>
      <c r="R2440">
        <v>-0.99341599999999997</v>
      </c>
      <c r="S2440">
        <v>0.29916379999999998</v>
      </c>
      <c r="T2440">
        <v>-0.13217129999999999</v>
      </c>
      <c r="U2440">
        <v>-3.0473020000000002</v>
      </c>
      <c r="V2440">
        <v>6.4774559999999995E-2</v>
      </c>
      <c r="W2440">
        <v>-2.8335570000000001E-2</v>
      </c>
      <c r="X2440">
        <v>0.99749759999999998</v>
      </c>
      <c r="Y2440">
        <v>-0.13929069999999999</v>
      </c>
      <c r="Z2440">
        <v>4.2960869999999998E-2</v>
      </c>
      <c r="AA2440">
        <v>0.98931919999999995</v>
      </c>
      <c r="AB2440">
        <v>22</v>
      </c>
      <c r="AC2440">
        <v>2.52019999999998</v>
      </c>
      <c r="AD2440">
        <v>-1.1122704401870001</v>
      </c>
      <c r="AE2440">
        <v>-25.5366999999999</v>
      </c>
      <c r="AF2440">
        <v>-3.5828806991252402</v>
      </c>
      <c r="AG2440">
        <v>-1.1122704401870001</v>
      </c>
      <c r="AH2440">
        <v>25.360798201211299</v>
      </c>
      <c r="AI2440">
        <v>92.486600212761203</v>
      </c>
      <c r="AJ2440">
        <v>98.041320800205497</v>
      </c>
      <c r="AK2440">
        <v>25.636775636550698</v>
      </c>
      <c r="AL2440">
        <v>91.623725813904898</v>
      </c>
      <c r="AM2440">
        <v>86.284597151609503</v>
      </c>
      <c r="AN2440">
        <v>1.0000000550780801</v>
      </c>
    </row>
    <row r="2441" spans="1:40" x14ac:dyDescent="0.25">
      <c r="A2441" t="str">
        <f>"20190312161315459"</f>
        <v>20190312161315459</v>
      </c>
      <c r="B2441" t="str">
        <f>"1552378395448494"</f>
        <v>1552378395448494</v>
      </c>
      <c r="C2441" t="s">
        <v>40</v>
      </c>
      <c r="D2441">
        <v>5.637486</v>
      </c>
      <c r="E2441">
        <v>0.42207020000000001</v>
      </c>
      <c r="F2441" t="s">
        <v>42</v>
      </c>
      <c r="G2441">
        <v>-490.89080000000001</v>
      </c>
      <c r="H2441" s="1">
        <v>-3.1653680000000002E-6</v>
      </c>
      <c r="I2441">
        <v>236.4151</v>
      </c>
      <c r="J2441">
        <v>-493.48090000000002</v>
      </c>
      <c r="K2441">
        <v>1.11219</v>
      </c>
      <c r="L2441">
        <v>262.44470000000001</v>
      </c>
      <c r="M2441">
        <v>-4.0157279999999997E-2</v>
      </c>
      <c r="N2441">
        <v>0</v>
      </c>
      <c r="O2441">
        <v>-0.99909789999999998</v>
      </c>
      <c r="P2441">
        <v>-0.10508190000000001</v>
      </c>
      <c r="Q2441">
        <v>-4.2194969999999998E-2</v>
      </c>
      <c r="R2441">
        <v>-0.99356820000000001</v>
      </c>
      <c r="S2441">
        <v>0.3016663</v>
      </c>
      <c r="T2441">
        <v>-0.12966079999999999</v>
      </c>
      <c r="U2441">
        <v>-3.0466920000000002</v>
      </c>
      <c r="V2441">
        <v>6.5233689999999997E-2</v>
      </c>
      <c r="W2441">
        <v>-2.809495E-2</v>
      </c>
      <c r="X2441">
        <v>0.99747439999999998</v>
      </c>
      <c r="Y2441">
        <v>-0.13833090000000001</v>
      </c>
      <c r="Z2441">
        <v>4.2160629999999998E-2</v>
      </c>
      <c r="AA2441">
        <v>0.98948829999999999</v>
      </c>
      <c r="AB2441">
        <v>22</v>
      </c>
      <c r="AC2441">
        <v>2.5901000000000001</v>
      </c>
      <c r="AD2441">
        <v>-1.1121931653679999</v>
      </c>
      <c r="AE2441">
        <v>-26.029599999999999</v>
      </c>
      <c r="AF2441">
        <v>-3.62683148317497</v>
      </c>
      <c r="AG2441">
        <v>-1.1121931653679999</v>
      </c>
      <c r="AH2441">
        <v>25.857833101347499</v>
      </c>
      <c r="AI2441">
        <v>92.439033824235693</v>
      </c>
      <c r="AJ2441">
        <v>97.984246077473799</v>
      </c>
      <c r="AK2441">
        <v>26.1346209641844</v>
      </c>
      <c r="AL2441">
        <v>91.609933950824797</v>
      </c>
      <c r="AM2441">
        <v>86.258249690761005</v>
      </c>
      <c r="AN2441">
        <v>0.99999996959093795</v>
      </c>
    </row>
    <row r="2442" spans="1:40" x14ac:dyDescent="0.25">
      <c r="A2442" t="str">
        <f>"20190312161315472"</f>
        <v>20190312161315472</v>
      </c>
      <c r="B2442" t="str">
        <f>"1552378395468013"</f>
        <v>1552378395468013</v>
      </c>
      <c r="C2442" t="s">
        <v>40</v>
      </c>
      <c r="D2442">
        <v>5.6059729999999997</v>
      </c>
      <c r="E2442">
        <v>0.42286319999999999</v>
      </c>
      <c r="F2442" t="s">
        <v>42</v>
      </c>
      <c r="G2442">
        <v>-490.81130000000002</v>
      </c>
      <c r="H2442" s="1">
        <v>-2.8140500000000002E-6</v>
      </c>
      <c r="I2442">
        <v>235.6455</v>
      </c>
      <c r="J2442">
        <v>-493.48349999999999</v>
      </c>
      <c r="K2442">
        <v>1.1121019999999999</v>
      </c>
      <c r="L2442">
        <v>262.3227</v>
      </c>
      <c r="M2442">
        <v>-3.8115349999999999E-2</v>
      </c>
      <c r="N2442">
        <v>0</v>
      </c>
      <c r="O2442">
        <v>-0.99917809999999996</v>
      </c>
      <c r="P2442">
        <v>-0.10363269999999999</v>
      </c>
      <c r="Q2442">
        <v>-4.2140150000000001E-2</v>
      </c>
      <c r="R2442">
        <v>-0.99372269999999896</v>
      </c>
      <c r="S2442">
        <v>0.30343629999999999</v>
      </c>
      <c r="T2442">
        <v>-0.12641659999999999</v>
      </c>
      <c r="U2442">
        <v>-3.0461119999999999</v>
      </c>
      <c r="V2442">
        <v>6.5810610000000005E-2</v>
      </c>
      <c r="W2442">
        <v>-2.8064390000000002E-2</v>
      </c>
      <c r="X2442">
        <v>0.99743740000000003</v>
      </c>
      <c r="Y2442">
        <v>-0.13689879999999999</v>
      </c>
      <c r="Z2442">
        <v>4.1123220000000002E-2</v>
      </c>
      <c r="AA2442">
        <v>0.98973109999999997</v>
      </c>
      <c r="AB2442">
        <v>22</v>
      </c>
      <c r="AC2442">
        <v>2.6721999999999699</v>
      </c>
      <c r="AD2442">
        <v>-1.1121048140500001</v>
      </c>
      <c r="AE2442">
        <v>-26.677199999999999</v>
      </c>
      <c r="AF2442">
        <v>-3.68083229637742</v>
      </c>
      <c r="AG2442">
        <v>-1.1121048140500001</v>
      </c>
      <c r="AH2442">
        <v>26.510336500367998</v>
      </c>
      <c r="AI2442">
        <v>92.379342930055003</v>
      </c>
      <c r="AJ2442">
        <v>97.904705436710401</v>
      </c>
      <c r="AK2442">
        <v>26.787744303584699</v>
      </c>
      <c r="AL2442">
        <v>91.608182241445505</v>
      </c>
      <c r="AM2442">
        <v>86.225113672471295</v>
      </c>
      <c r="AN2442">
        <v>1.0000000066467001</v>
      </c>
    </row>
    <row r="2443" spans="1:40" x14ac:dyDescent="0.25">
      <c r="A2443" t="str">
        <f>"20190312161315490"</f>
        <v>20190312161315490</v>
      </c>
      <c r="B2443" t="str">
        <f>"1552378395478751"</f>
        <v>1552378395478751</v>
      </c>
      <c r="C2443" t="s">
        <v>40</v>
      </c>
      <c r="D2443">
        <v>5.6098559999999997</v>
      </c>
      <c r="E2443">
        <v>0.42334490000000002</v>
      </c>
      <c r="F2443" t="s">
        <v>42</v>
      </c>
      <c r="G2443">
        <v>-490.83789999999999</v>
      </c>
      <c r="H2443" s="1">
        <v>-2.811694E-6</v>
      </c>
      <c r="I2443">
        <v>235.62350000000001</v>
      </c>
      <c r="J2443">
        <v>-493.48660000000001</v>
      </c>
      <c r="K2443">
        <v>1.111988</v>
      </c>
      <c r="L2443">
        <v>262.15769999999998</v>
      </c>
      <c r="M2443">
        <v>-3.5476319999999999E-2</v>
      </c>
      <c r="N2443">
        <v>0</v>
      </c>
      <c r="O2443">
        <v>-0.99927560000000004</v>
      </c>
      <c r="P2443">
        <v>-0.1013891</v>
      </c>
      <c r="Q2443">
        <v>-4.1397240000000002E-2</v>
      </c>
      <c r="R2443">
        <v>-0.99398549999999997</v>
      </c>
      <c r="S2443">
        <v>0.30172729999999998</v>
      </c>
      <c r="T2443">
        <v>-0.12683710000000001</v>
      </c>
      <c r="U2443">
        <v>-3.0450740000000001</v>
      </c>
      <c r="V2443">
        <v>6.6181089999999998E-2</v>
      </c>
      <c r="W2443">
        <v>-2.735344E-2</v>
      </c>
      <c r="X2443">
        <v>0.9974326</v>
      </c>
      <c r="Y2443">
        <v>-0.13376459999999901</v>
      </c>
      <c r="Z2443">
        <v>4.1289850000000003E-2</v>
      </c>
      <c r="AA2443">
        <v>0.99015260000000005</v>
      </c>
      <c r="AB2443">
        <v>22</v>
      </c>
      <c r="AC2443">
        <v>2.6487000000000198</v>
      </c>
      <c r="AD2443">
        <v>-1.111990811694</v>
      </c>
      <c r="AE2443">
        <v>-26.534199999999899</v>
      </c>
      <c r="AF2443">
        <v>-3.5822281681479202</v>
      </c>
      <c r="AG2443">
        <v>-1.111990811694</v>
      </c>
      <c r="AH2443">
        <v>26.377649844958999</v>
      </c>
      <c r="AI2443">
        <v>92.392031647358806</v>
      </c>
      <c r="AJ2443">
        <v>97.733764860876505</v>
      </c>
      <c r="AK2443">
        <v>26.642997082858901</v>
      </c>
      <c r="AL2443">
        <v>91.567432218098304</v>
      </c>
      <c r="AM2443">
        <v>86.203906743002605</v>
      </c>
      <c r="AN2443">
        <v>0.99999996944809</v>
      </c>
    </row>
    <row r="2444" spans="1:40" x14ac:dyDescent="0.25">
      <c r="A2444" t="str">
        <f>"20190312161315504"</f>
        <v>20190312161315504</v>
      </c>
      <c r="B2444" t="str">
        <f>"1552378395498270"</f>
        <v>1552378395498270</v>
      </c>
      <c r="C2444" t="s">
        <v>40</v>
      </c>
      <c r="D2444">
        <v>5.6533910000000001</v>
      </c>
      <c r="E2444">
        <v>0.42379440000000002</v>
      </c>
      <c r="F2444" t="s">
        <v>42</v>
      </c>
      <c r="G2444">
        <v>-490.92439999999999</v>
      </c>
      <c r="H2444" s="1">
        <v>-3.2394109999999999E-6</v>
      </c>
      <c r="I2444">
        <v>236.5669</v>
      </c>
      <c r="J2444">
        <v>-493.48899999999998</v>
      </c>
      <c r="K2444">
        <v>1.1119079999999999</v>
      </c>
      <c r="L2444">
        <v>262.02080000000001</v>
      </c>
      <c r="M2444">
        <v>-3.3398890000000001E-2</v>
      </c>
      <c r="N2444">
        <v>0</v>
      </c>
      <c r="O2444">
        <v>-0.99934719999999999</v>
      </c>
      <c r="P2444">
        <v>-9.9244390000000002E-2</v>
      </c>
      <c r="Q2444">
        <v>-4.117237E-2</v>
      </c>
      <c r="R2444">
        <v>-0.99421110000000001</v>
      </c>
      <c r="S2444">
        <v>0.30474849999999998</v>
      </c>
      <c r="T2444">
        <v>-0.13225979999999901</v>
      </c>
      <c r="U2444">
        <v>-3.0437620000000001</v>
      </c>
      <c r="V2444">
        <v>6.6096059999999998E-2</v>
      </c>
      <c r="W2444">
        <v>-2.715424E-2</v>
      </c>
      <c r="X2444">
        <v>0.99744370000000004</v>
      </c>
      <c r="Y2444">
        <v>-0.13271189999999999</v>
      </c>
      <c r="Z2444">
        <v>4.3075929999999998E-2</v>
      </c>
      <c r="AA2444">
        <v>0.99021820000000005</v>
      </c>
      <c r="AB2444">
        <v>21</v>
      </c>
      <c r="AC2444">
        <v>2.56460000000004</v>
      </c>
      <c r="AD2444">
        <v>-1.11191123941099</v>
      </c>
      <c r="AE2444">
        <v>-25.453900000000001</v>
      </c>
      <c r="AF2444">
        <v>-3.4069456749225102</v>
      </c>
      <c r="AG2444">
        <v>-1.11191123941099</v>
      </c>
      <c r="AH2444">
        <v>25.306228784842201</v>
      </c>
      <c r="AI2444">
        <v>92.493391735991594</v>
      </c>
      <c r="AJ2444">
        <v>97.667555802256501</v>
      </c>
      <c r="AK2444">
        <v>25.558733160056601</v>
      </c>
      <c r="AL2444">
        <v>91.556014628027199</v>
      </c>
      <c r="AM2444">
        <v>86.208811828800606</v>
      </c>
      <c r="AN2444">
        <v>0.99999998828359504</v>
      </c>
    </row>
    <row r="2445" spans="1:40" x14ac:dyDescent="0.25">
      <c r="A2445" t="str">
        <f>"20190312161315519"</f>
        <v>20190312161315519</v>
      </c>
      <c r="B2445" t="str">
        <f>"1552378395508030"</f>
        <v>1552378395508030</v>
      </c>
      <c r="C2445" t="s">
        <v>40</v>
      </c>
      <c r="D2445">
        <v>5.6459619999999999</v>
      </c>
      <c r="E2445">
        <v>0.42390630000000001</v>
      </c>
      <c r="F2445" t="s">
        <v>42</v>
      </c>
      <c r="G2445">
        <v>-490.96980000000002</v>
      </c>
      <c r="H2445" s="1">
        <v>-3.5124789999999999E-6</v>
      </c>
      <c r="I2445">
        <v>237.17529999999999</v>
      </c>
      <c r="J2445">
        <v>-493.49119999999999</v>
      </c>
      <c r="K2445">
        <v>1.1118399999999999</v>
      </c>
      <c r="L2445">
        <v>261.88049999999998</v>
      </c>
      <c r="M2445">
        <v>-3.1346039999999999E-2</v>
      </c>
      <c r="N2445">
        <v>0</v>
      </c>
      <c r="O2445">
        <v>-0.99941380000000002</v>
      </c>
      <c r="P2445">
        <v>-9.7040970000000004E-2</v>
      </c>
      <c r="Q2445">
        <v>-4.0901849999999997E-2</v>
      </c>
      <c r="R2445">
        <v>-0.99443970000000004</v>
      </c>
      <c r="S2445">
        <v>0.3085022</v>
      </c>
      <c r="T2445">
        <v>-0.1361667</v>
      </c>
      <c r="U2445">
        <v>-3.0426329999999999</v>
      </c>
      <c r="V2445">
        <v>6.5928470000000003E-2</v>
      </c>
      <c r="W2445">
        <v>-2.6907739999999999E-2</v>
      </c>
      <c r="X2445">
        <v>0.9974615</v>
      </c>
      <c r="Y2445">
        <v>-0.131915899999999</v>
      </c>
      <c r="Z2445">
        <v>4.4366290000000003E-2</v>
      </c>
      <c r="AA2445">
        <v>0.99026760000000003</v>
      </c>
      <c r="AB2445">
        <v>21</v>
      </c>
      <c r="AC2445">
        <v>2.5213999999999701</v>
      </c>
      <c r="AD2445">
        <v>-1.111843512479</v>
      </c>
      <c r="AE2445">
        <v>-24.705199999999898</v>
      </c>
      <c r="AF2445">
        <v>-3.28805332825968</v>
      </c>
      <c r="AG2445">
        <v>-1.111843512479</v>
      </c>
      <c r="AH2445">
        <v>24.5647734049479</v>
      </c>
      <c r="AI2445">
        <v>92.568658524574701</v>
      </c>
      <c r="AJ2445">
        <v>97.623860972312698</v>
      </c>
      <c r="AK2445">
        <v>24.808780363455099</v>
      </c>
      <c r="AL2445">
        <v>91.541886011551398</v>
      </c>
      <c r="AM2445">
        <v>86.218463944133205</v>
      </c>
      <c r="AN2445">
        <v>1.00000001680534</v>
      </c>
    </row>
    <row r="2446" spans="1:40" x14ac:dyDescent="0.25">
      <c r="A2446" t="str">
        <f>"20190312161315536"</f>
        <v>20190312161315536</v>
      </c>
      <c r="B2446" t="str">
        <f>"1552378395528526"</f>
        <v>1552378395528526</v>
      </c>
      <c r="C2446" t="s">
        <v>40</v>
      </c>
      <c r="D2446">
        <v>5.5742139999999996</v>
      </c>
      <c r="E2446">
        <v>0.42378640000000001</v>
      </c>
      <c r="F2446" t="s">
        <v>42</v>
      </c>
      <c r="G2446">
        <v>-490.93700000000001</v>
      </c>
      <c r="H2446" s="1">
        <v>-3.4894209999999999E-6</v>
      </c>
      <c r="I2446">
        <v>237.14189999999999</v>
      </c>
      <c r="J2446">
        <v>-493.49369999999999</v>
      </c>
      <c r="K2446">
        <v>1.1117629999999901</v>
      </c>
      <c r="L2446">
        <v>261.71510000000001</v>
      </c>
      <c r="M2446">
        <v>-2.9016509999999999E-2</v>
      </c>
      <c r="N2446">
        <v>0</v>
      </c>
      <c r="O2446">
        <v>-0.9994845</v>
      </c>
      <c r="P2446">
        <v>-9.4393400000000002E-2</v>
      </c>
      <c r="Q2446">
        <v>-4.07E-2</v>
      </c>
      <c r="R2446">
        <v>-0.994703</v>
      </c>
      <c r="S2446">
        <v>0.31405640000000001</v>
      </c>
      <c r="T2446">
        <v>-0.13670829999999901</v>
      </c>
      <c r="U2446">
        <v>-3.041779</v>
      </c>
      <c r="V2446">
        <v>6.5592360000000002E-2</v>
      </c>
      <c r="W2446">
        <v>-2.673215E-2</v>
      </c>
      <c r="X2446">
        <v>0.99748840000000005</v>
      </c>
      <c r="Y2446">
        <v>-0.13142209999999999</v>
      </c>
      <c r="Z2446">
        <v>4.4556909999999998E-2</v>
      </c>
      <c r="AA2446">
        <v>0.99032469999999995</v>
      </c>
      <c r="AB2446">
        <v>21</v>
      </c>
      <c r="AC2446">
        <v>2.5567000000000299</v>
      </c>
      <c r="AD2446">
        <v>-1.11176648942099</v>
      </c>
      <c r="AE2446">
        <v>-24.5732</v>
      </c>
      <c r="AF2446">
        <v>-3.2621132483064601</v>
      </c>
      <c r="AG2446">
        <v>-1.11176648942099</v>
      </c>
      <c r="AH2446">
        <v>24.439167938047898</v>
      </c>
      <c r="AI2446">
        <v>92.581790198829296</v>
      </c>
      <c r="AJ2446">
        <v>97.602837873367505</v>
      </c>
      <c r="AK2446">
        <v>24.6809711534187</v>
      </c>
      <c r="AL2446">
        <v>91.531821794811606</v>
      </c>
      <c r="AM2446">
        <v>86.237788255272605</v>
      </c>
      <c r="AN2446">
        <v>1.0000000368342701</v>
      </c>
    </row>
    <row r="2447" spans="1:40" x14ac:dyDescent="0.25">
      <c r="A2447" t="str">
        <f>"20190312161315558"</f>
        <v>20190312161315558</v>
      </c>
      <c r="B2447" t="str">
        <f>"1552378395548047"</f>
        <v>1552378395548047</v>
      </c>
      <c r="C2447" t="s">
        <v>40</v>
      </c>
      <c r="D2447">
        <v>5.6491439999999997</v>
      </c>
      <c r="E2447">
        <v>0.42358970000000001</v>
      </c>
      <c r="F2447" t="s">
        <v>42</v>
      </c>
      <c r="G2447">
        <v>-490.79430000000002</v>
      </c>
      <c r="H2447" s="1">
        <v>-3.0776009999999998E-6</v>
      </c>
      <c r="I2447">
        <v>236.2704</v>
      </c>
      <c r="J2447">
        <v>-493.49619999999999</v>
      </c>
      <c r="K2447">
        <v>1.1116820000000001</v>
      </c>
      <c r="L2447">
        <v>261.5059</v>
      </c>
      <c r="M2447">
        <v>-2.6208019999999999E-2</v>
      </c>
      <c r="N2447">
        <v>0</v>
      </c>
      <c r="O2447">
        <v>-0.99956230000000001</v>
      </c>
      <c r="P2447">
        <v>-9.1008190000000003E-2</v>
      </c>
      <c r="Q2447">
        <v>-4.0513639999999997E-2</v>
      </c>
      <c r="R2447">
        <v>-0.99502599999999997</v>
      </c>
      <c r="S2447">
        <v>0.32263180000000002</v>
      </c>
      <c r="T2447">
        <v>-0.1328802</v>
      </c>
      <c r="U2447">
        <v>-3.0411990000000002</v>
      </c>
      <c r="V2447">
        <v>6.4995040000000004E-2</v>
      </c>
      <c r="W2447">
        <v>-2.6576160000000001E-2</v>
      </c>
      <c r="X2447">
        <v>0.99753170000000002</v>
      </c>
      <c r="Y2447">
        <v>-0.13142390000000001</v>
      </c>
      <c r="Z2447">
        <v>4.3318580000000002E-2</v>
      </c>
      <c r="AA2447">
        <v>0.99037929999999996</v>
      </c>
      <c r="AB2447">
        <v>21</v>
      </c>
      <c r="AC2447">
        <v>2.7018999999999598</v>
      </c>
      <c r="AD2447">
        <v>-1.1116850776010001</v>
      </c>
      <c r="AE2447">
        <v>-25.235499999999998</v>
      </c>
      <c r="AF2447">
        <v>-3.3559676982455202</v>
      </c>
      <c r="AG2447">
        <v>-1.1116850776010001</v>
      </c>
      <c r="AH2447">
        <v>25.107839661029299</v>
      </c>
      <c r="AI2447">
        <v>92.512877203724003</v>
      </c>
      <c r="AJ2447">
        <v>97.613153000726001</v>
      </c>
      <c r="AK2447">
        <v>25.355511735072199</v>
      </c>
      <c r="AL2447">
        <v>91.522880999445405</v>
      </c>
      <c r="AM2447">
        <v>86.272113326701998</v>
      </c>
      <c r="AN2447">
        <v>1.0000000700049101</v>
      </c>
    </row>
    <row r="2448" spans="1:40" x14ac:dyDescent="0.25">
      <c r="A2448" t="str">
        <f>"20190312161315571"</f>
        <v>20190312161315571</v>
      </c>
      <c r="B2448" t="str">
        <f>"1552378395568542"</f>
        <v>1552378395568542</v>
      </c>
      <c r="C2448" t="s">
        <v>40</v>
      </c>
      <c r="D2448">
        <v>5.681934</v>
      </c>
      <c r="E2448">
        <v>0.423647</v>
      </c>
      <c r="F2448" t="s">
        <v>42</v>
      </c>
      <c r="G2448">
        <v>-490.51150000000001</v>
      </c>
      <c r="H2448" s="1">
        <v>-2.1877260000000001E-6</v>
      </c>
      <c r="I2448">
        <v>234.3715</v>
      </c>
      <c r="J2448">
        <v>-493.49759999999998</v>
      </c>
      <c r="K2448">
        <v>1.1116379999999999</v>
      </c>
      <c r="L2448">
        <v>261.387</v>
      </c>
      <c r="M2448">
        <v>-2.4662690000000001E-2</v>
      </c>
      <c r="N2448">
        <v>0</v>
      </c>
      <c r="O2448">
        <v>-0.99960170000000004</v>
      </c>
      <c r="P2448">
        <v>-8.9326039999999995E-2</v>
      </c>
      <c r="Q2448">
        <v>-4.0216990000000001E-2</v>
      </c>
      <c r="R2448">
        <v>-0.99519040000000003</v>
      </c>
      <c r="S2448">
        <v>0.33444210000000002</v>
      </c>
      <c r="T2448">
        <v>-0.1245663</v>
      </c>
      <c r="U2448">
        <v>-3.0404659999999999</v>
      </c>
      <c r="V2448">
        <v>6.484695E-2</v>
      </c>
      <c r="W2448">
        <v>-2.62948E-2</v>
      </c>
      <c r="X2448">
        <v>0.99754869999999995</v>
      </c>
      <c r="Y2448">
        <v>-0.13373109999999999</v>
      </c>
      <c r="Z2448">
        <v>4.0610319999999998E-2</v>
      </c>
      <c r="AA2448">
        <v>0.99018530000000005</v>
      </c>
      <c r="AB2448">
        <v>21</v>
      </c>
      <c r="AC2448">
        <v>2.98609999999996</v>
      </c>
      <c r="AD2448">
        <v>-1.11164018772599</v>
      </c>
      <c r="AE2448">
        <v>-27.015499999999999</v>
      </c>
      <c r="AF2448">
        <v>-3.6454312893607499</v>
      </c>
      <c r="AG2448">
        <v>-1.11164018772599</v>
      </c>
      <c r="AH2448">
        <v>26.888651208194599</v>
      </c>
      <c r="AI2448">
        <v>92.34595677371</v>
      </c>
      <c r="AJ2448">
        <v>97.720805721677493</v>
      </c>
      <c r="AK2448">
        <v>27.157401882145599</v>
      </c>
      <c r="AL2448">
        <v>91.506754765625004</v>
      </c>
      <c r="AM2448">
        <v>86.280646585480895</v>
      </c>
      <c r="AN2448">
        <v>0.99999997615151504</v>
      </c>
    </row>
    <row r="2449" spans="1:40" x14ac:dyDescent="0.25">
      <c r="A2449" t="str">
        <f>"20190312161315582"</f>
        <v>20190312161315582</v>
      </c>
      <c r="B2449" t="str">
        <f>"1552378395578302"</f>
        <v>1552378395578302</v>
      </c>
      <c r="C2449" t="s">
        <v>40</v>
      </c>
      <c r="D2449">
        <v>5.6683379999999897</v>
      </c>
      <c r="E2449">
        <v>0.42316290000000001</v>
      </c>
      <c r="F2449" t="s">
        <v>42</v>
      </c>
      <c r="G2449">
        <v>-490.43599999999998</v>
      </c>
      <c r="H2449" s="1">
        <v>-1.9896130000000001E-6</v>
      </c>
      <c r="I2449">
        <v>233.95650000000001</v>
      </c>
      <c r="J2449">
        <v>-493.49869999999999</v>
      </c>
      <c r="K2449">
        <v>1.111604</v>
      </c>
      <c r="L2449">
        <v>261.274</v>
      </c>
      <c r="M2449">
        <v>-2.3237339999999999E-2</v>
      </c>
      <c r="N2449">
        <v>0</v>
      </c>
      <c r="O2449">
        <v>-0.99963590000000002</v>
      </c>
      <c r="P2449">
        <v>-8.7786110000000001E-2</v>
      </c>
      <c r="Q2449">
        <v>-3.9974870000000003E-2</v>
      </c>
      <c r="R2449">
        <v>-0.99533709999999997</v>
      </c>
      <c r="S2449">
        <v>0.3392944</v>
      </c>
      <c r="T2449">
        <v>-0.1231973</v>
      </c>
      <c r="U2449">
        <v>-3.0399780000000001</v>
      </c>
      <c r="V2449">
        <v>6.4722580000000002E-2</v>
      </c>
      <c r="W2449">
        <v>-2.6066059999999999E-2</v>
      </c>
      <c r="X2449">
        <v>0.99756279999999997</v>
      </c>
      <c r="Y2449">
        <v>-0.13389860000000001</v>
      </c>
      <c r="Z2449">
        <v>4.0169240000000002E-2</v>
      </c>
      <c r="AA2449">
        <v>0.99018059999999997</v>
      </c>
      <c r="AB2449">
        <v>21</v>
      </c>
      <c r="AC2449">
        <v>3.0627</v>
      </c>
      <c r="AD2449">
        <v>-1.1116059896129999</v>
      </c>
      <c r="AE2449">
        <v>-27.3174999999999</v>
      </c>
      <c r="AF2449">
        <v>-3.69068324797309</v>
      </c>
      <c r="AG2449">
        <v>-1.1116059896129999</v>
      </c>
      <c r="AH2449">
        <v>27.1944756851066</v>
      </c>
      <c r="AI2449">
        <v>92.319489233127996</v>
      </c>
      <c r="AJ2449">
        <v>97.7286461089451</v>
      </c>
      <c r="AK2449">
        <v>27.466276021711899</v>
      </c>
      <c r="AL2449">
        <v>91.493644405403302</v>
      </c>
      <c r="AM2449">
        <v>86.287812293652294</v>
      </c>
      <c r="AN2449">
        <v>0.99999999589480904</v>
      </c>
    </row>
    <row r="2450" spans="1:40" x14ac:dyDescent="0.25">
      <c r="A2450" t="str">
        <f>"20190312161315594"</f>
        <v>20190312161315594</v>
      </c>
      <c r="B2450" t="str">
        <f>"1552378395588061"</f>
        <v>1552378395588061</v>
      </c>
      <c r="C2450" t="s">
        <v>40</v>
      </c>
      <c r="D2450">
        <v>5.6635790000000004</v>
      </c>
      <c r="E2450">
        <v>0.42286570000000001</v>
      </c>
      <c r="F2450" t="s">
        <v>42</v>
      </c>
      <c r="G2450">
        <v>-490.34750000000003</v>
      </c>
      <c r="H2450" s="1">
        <v>-1.873639E-6</v>
      </c>
      <c r="I2450">
        <v>233.74100000000001</v>
      </c>
      <c r="J2450">
        <v>-493.49959999999999</v>
      </c>
      <c r="K2450">
        <v>1.111578</v>
      </c>
      <c r="L2450">
        <v>261.17140000000001</v>
      </c>
      <c r="M2450">
        <v>-2.1962949999999998E-2</v>
      </c>
      <c r="N2450">
        <v>0</v>
      </c>
      <c r="O2450">
        <v>-0.99966500000000003</v>
      </c>
      <c r="P2450">
        <v>-8.6056809999999997E-2</v>
      </c>
      <c r="Q2450">
        <v>-3.9853359999999997E-2</v>
      </c>
      <c r="R2450">
        <v>-0.99549310000000002</v>
      </c>
      <c r="S2450">
        <v>0.3479004</v>
      </c>
      <c r="T2450">
        <v>-0.12272760000000001</v>
      </c>
      <c r="U2450">
        <v>-3.0397949999999998</v>
      </c>
      <c r="V2450">
        <v>6.425902E-2</v>
      </c>
      <c r="W2450">
        <v>-2.5956980000000001E-2</v>
      </c>
      <c r="X2450">
        <v>0.99759560000000003</v>
      </c>
      <c r="Y2450">
        <v>-0.13541029999999901</v>
      </c>
      <c r="Z2450">
        <v>4.0010009999999999E-2</v>
      </c>
      <c r="AA2450">
        <v>0.98998140000000001</v>
      </c>
      <c r="AB2450">
        <v>21</v>
      </c>
      <c r="AC2450">
        <v>3.1520999999999599</v>
      </c>
      <c r="AD2450">
        <v>-1.1115798736389999</v>
      </c>
      <c r="AE2450">
        <v>-27.430399999999999</v>
      </c>
      <c r="AF2450">
        <v>-3.7477742635679201</v>
      </c>
      <c r="AG2450">
        <v>-1.1115798736389999</v>
      </c>
      <c r="AH2450">
        <v>27.310282714522401</v>
      </c>
      <c r="AI2450">
        <v>92.309141869517603</v>
      </c>
      <c r="AJ2450">
        <v>97.813860543057999</v>
      </c>
      <c r="AK2450">
        <v>27.588638308065999</v>
      </c>
      <c r="AL2450">
        <v>91.487392484351702</v>
      </c>
      <c r="AM2450">
        <v>86.314447249108198</v>
      </c>
      <c r="AN2450">
        <v>0.99999998380071997</v>
      </c>
    </row>
    <row r="2451" spans="1:40" x14ac:dyDescent="0.25">
      <c r="A2451" t="str">
        <f>"20190312161315613"</f>
        <v>20190312161315613</v>
      </c>
      <c r="B2451" t="str">
        <f>"1552378395608558"</f>
        <v>1552378395608558</v>
      </c>
      <c r="C2451" t="s">
        <v>40</v>
      </c>
      <c r="D2451">
        <v>5.7191320000000001</v>
      </c>
      <c r="E2451">
        <v>0.42263430000000002</v>
      </c>
      <c r="F2451" t="s">
        <v>42</v>
      </c>
      <c r="G2451">
        <v>-490.31310000000002</v>
      </c>
      <c r="H2451" s="1">
        <v>-1.9368479999999999E-6</v>
      </c>
      <c r="I2451">
        <v>233.90979999999999</v>
      </c>
      <c r="J2451">
        <v>-493.5009</v>
      </c>
      <c r="K2451">
        <v>1.1115330000000001</v>
      </c>
      <c r="L2451">
        <v>260.98829999999998</v>
      </c>
      <c r="M2451">
        <v>-1.9741370000000001E-2</v>
      </c>
      <c r="N2451">
        <v>0</v>
      </c>
      <c r="O2451">
        <v>-0.99971120000000002</v>
      </c>
      <c r="P2451">
        <v>-8.3083480000000001E-2</v>
      </c>
      <c r="Q2451">
        <v>-3.9286219999999997E-2</v>
      </c>
      <c r="R2451">
        <v>-0.99576770000000003</v>
      </c>
      <c r="S2451">
        <v>0.35525509999999999</v>
      </c>
      <c r="T2451">
        <v>-0.1239276</v>
      </c>
      <c r="U2451">
        <v>-3.0393370000000002</v>
      </c>
      <c r="V2451">
        <v>6.3491660000000005E-2</v>
      </c>
      <c r="W2451">
        <v>-2.5409939999999999E-2</v>
      </c>
      <c r="X2451">
        <v>0.99765879999999996</v>
      </c>
      <c r="Y2451">
        <v>-0.1355876</v>
      </c>
      <c r="Z2451">
        <v>4.0403340000000003E-2</v>
      </c>
      <c r="AA2451">
        <v>0.98994119999999997</v>
      </c>
      <c r="AB2451">
        <v>21</v>
      </c>
      <c r="AC2451">
        <v>3.1877999999999802</v>
      </c>
      <c r="AD2451">
        <v>-1.1115349368480001</v>
      </c>
      <c r="AE2451">
        <v>-27.078499999999899</v>
      </c>
      <c r="AF2451">
        <v>-3.7156203378800901</v>
      </c>
      <c r="AG2451">
        <v>-1.1115349368480001</v>
      </c>
      <c r="AH2451">
        <v>26.9654690897333</v>
      </c>
      <c r="AI2451">
        <v>92.338365095306798</v>
      </c>
      <c r="AJ2451">
        <v>97.845484157807107</v>
      </c>
      <c r="AK2451">
        <v>27.242941611369101</v>
      </c>
      <c r="AL2451">
        <v>91.456039079700304</v>
      </c>
      <c r="AM2451">
        <v>86.358569828140702</v>
      </c>
      <c r="AN2451">
        <v>0.99999996857889895</v>
      </c>
    </row>
    <row r="2452" spans="1:40" x14ac:dyDescent="0.25">
      <c r="A2452" t="str">
        <f>"20190312161315624"</f>
        <v>20190312161315624</v>
      </c>
      <c r="B2452" t="str">
        <f>"1552378395618318"</f>
        <v>1552378395618318</v>
      </c>
      <c r="C2452" t="s">
        <v>40</v>
      </c>
      <c r="D2452">
        <v>5.6808009999999998</v>
      </c>
      <c r="E2452">
        <v>0.42256450000000001</v>
      </c>
      <c r="F2452" t="s">
        <v>42</v>
      </c>
      <c r="G2452">
        <v>-490.13630000000001</v>
      </c>
      <c r="H2452" s="1">
        <v>-1.5327669999999999E-6</v>
      </c>
      <c r="I2452">
        <v>233.07749999999999</v>
      </c>
      <c r="J2452">
        <v>-493.5016</v>
      </c>
      <c r="K2452">
        <v>1.1115120000000001</v>
      </c>
      <c r="L2452">
        <v>260.87860000000001</v>
      </c>
      <c r="M2452">
        <v>-1.8441320000000001E-2</v>
      </c>
      <c r="N2452">
        <v>0</v>
      </c>
      <c r="O2452">
        <v>-0.99973619999999996</v>
      </c>
      <c r="P2452">
        <v>-8.1321619999999997E-2</v>
      </c>
      <c r="Q2452">
        <v>-3.906722E-2</v>
      </c>
      <c r="R2452">
        <v>-0.99592210000000003</v>
      </c>
      <c r="S2452">
        <v>0.36630249999999998</v>
      </c>
      <c r="T2452">
        <v>-0.1210089</v>
      </c>
      <c r="U2452">
        <v>-3.0385439999999999</v>
      </c>
      <c r="V2452">
        <v>6.3021659999999993E-2</v>
      </c>
      <c r="W2452">
        <v>-2.520207E-2</v>
      </c>
      <c r="X2452">
        <v>0.99769390000000002</v>
      </c>
      <c r="Y2452">
        <v>-0.13788230000000001</v>
      </c>
      <c r="Z2452">
        <v>3.9450289999999999E-2</v>
      </c>
      <c r="AA2452">
        <v>0.98966259999999995</v>
      </c>
      <c r="AB2452">
        <v>21</v>
      </c>
      <c r="AC2452">
        <v>3.3652999999999902</v>
      </c>
      <c r="AD2452">
        <v>-1.111513532767</v>
      </c>
      <c r="AE2452">
        <v>-27.801100000000002</v>
      </c>
      <c r="AF2452">
        <v>-3.8713657337305998</v>
      </c>
      <c r="AG2452">
        <v>-1.111513532767</v>
      </c>
      <c r="AH2452">
        <v>27.690681370315499</v>
      </c>
      <c r="AI2452">
        <v>92.276521087727005</v>
      </c>
      <c r="AJ2452">
        <v>97.958794311935193</v>
      </c>
      <c r="AK2452">
        <v>27.9820794389939</v>
      </c>
      <c r="AL2452">
        <v>91.444125150564702</v>
      </c>
      <c r="AM2452">
        <v>86.385580785124205</v>
      </c>
      <c r="AN2452">
        <v>0.99999999602932499</v>
      </c>
    </row>
    <row r="2453" spans="1:40" x14ac:dyDescent="0.25">
      <c r="A2453" t="str">
        <f>"20190312161315635"</f>
        <v>20190312161315635</v>
      </c>
      <c r="B2453" t="str">
        <f>"1552378395628077"</f>
        <v>1552378395628077</v>
      </c>
      <c r="C2453" t="s">
        <v>40</v>
      </c>
      <c r="D2453">
        <v>5.7451239999999997</v>
      </c>
      <c r="E2453">
        <v>0.42267579999999999</v>
      </c>
      <c r="F2453" t="s">
        <v>42</v>
      </c>
      <c r="G2453">
        <v>-490.07089999999999</v>
      </c>
      <c r="H2453" s="1">
        <v>-1.4261289999999999E-6</v>
      </c>
      <c r="I2453">
        <v>232.86949999999999</v>
      </c>
      <c r="J2453">
        <v>-493.50209999999998</v>
      </c>
      <c r="K2453">
        <v>1.1114919999999999</v>
      </c>
      <c r="L2453">
        <v>260.77280000000002</v>
      </c>
      <c r="M2453">
        <v>-1.720702E-2</v>
      </c>
      <c r="N2453">
        <v>0</v>
      </c>
      <c r="O2453">
        <v>-0.99975840000000005</v>
      </c>
      <c r="P2453">
        <v>-7.9720620000000006E-2</v>
      </c>
      <c r="Q2453">
        <v>-3.9168719999999997E-2</v>
      </c>
      <c r="R2453">
        <v>-0.99604780000000004</v>
      </c>
      <c r="S2453">
        <v>0.37210080000000001</v>
      </c>
      <c r="T2453">
        <v>-0.1205572</v>
      </c>
      <c r="U2453">
        <v>-3.0379330000000002</v>
      </c>
      <c r="V2453">
        <v>6.2648880000000004E-2</v>
      </c>
      <c r="W2453">
        <v>-2.5313329999999998E-2</v>
      </c>
      <c r="X2453">
        <v>0.99771460000000001</v>
      </c>
      <c r="Y2453">
        <v>-0.13854520000000001</v>
      </c>
      <c r="Z2453">
        <v>3.9306059999999997E-2</v>
      </c>
      <c r="AA2453">
        <v>0.98957580000000001</v>
      </c>
      <c r="AB2453">
        <v>21</v>
      </c>
      <c r="AC2453">
        <v>3.4311999999999898</v>
      </c>
      <c r="AD2453">
        <v>-1.1114934261289999</v>
      </c>
      <c r="AE2453">
        <v>-27.903300000000002</v>
      </c>
      <c r="AF2453">
        <v>-3.9047659514994</v>
      </c>
      <c r="AG2453">
        <v>-1.1114934261289999</v>
      </c>
      <c r="AH2453">
        <v>27.796673057929201</v>
      </c>
      <c r="AI2453">
        <v>92.267600432629706</v>
      </c>
      <c r="AJ2453">
        <v>97.996358189148296</v>
      </c>
      <c r="AK2453">
        <v>28.091593900341799</v>
      </c>
      <c r="AL2453">
        <v>91.450501856916603</v>
      </c>
      <c r="AM2453">
        <v>86.406978646276897</v>
      </c>
      <c r="AN2453">
        <v>1.0000000349470499</v>
      </c>
    </row>
    <row r="2454" spans="1:40" x14ac:dyDescent="0.25">
      <c r="A2454" t="str">
        <f>"20190312161315647"</f>
        <v>20190312161315647</v>
      </c>
      <c r="B2454" t="str">
        <f>"1552378395637838"</f>
        <v>1552378395637838</v>
      </c>
      <c r="C2454" t="s">
        <v>40</v>
      </c>
      <c r="D2454">
        <v>5.7383940000000004</v>
      </c>
      <c r="E2454">
        <v>0.4227513</v>
      </c>
      <c r="F2454" t="s">
        <v>42</v>
      </c>
      <c r="G2454">
        <v>-490.05439999999999</v>
      </c>
      <c r="H2454" s="1">
        <v>-1.4634499999999999E-6</v>
      </c>
      <c r="I2454">
        <v>232.9667</v>
      </c>
      <c r="J2454">
        <v>-493.5025</v>
      </c>
      <c r="K2454">
        <v>1.1114710000000001</v>
      </c>
      <c r="L2454">
        <v>260.65890000000002</v>
      </c>
      <c r="M2454">
        <v>-1.588883E-2</v>
      </c>
      <c r="N2454">
        <v>0</v>
      </c>
      <c r="O2454">
        <v>-0.99978020000000001</v>
      </c>
      <c r="P2454">
        <v>-7.8426709999999997E-2</v>
      </c>
      <c r="Q2454">
        <v>-3.8979090000000001E-2</v>
      </c>
      <c r="R2454">
        <v>-0.99615759999999998</v>
      </c>
      <c r="S2454">
        <v>0.3765869</v>
      </c>
      <c r="T2454">
        <v>-0.1214083</v>
      </c>
      <c r="U2454">
        <v>-3.0372620000000001</v>
      </c>
      <c r="V2454">
        <v>6.2666319999999998E-2</v>
      </c>
      <c r="W2454">
        <v>-2.513259E-2</v>
      </c>
      <c r="X2454">
        <v>0.99771799999999999</v>
      </c>
      <c r="Y2454">
        <v>-0.1387042</v>
      </c>
      <c r="Z2454">
        <v>3.9589109999999997E-2</v>
      </c>
      <c r="AA2454">
        <v>0.98954219999999904</v>
      </c>
      <c r="AB2454">
        <v>21</v>
      </c>
      <c r="AC2454">
        <v>3.4481000000000099</v>
      </c>
      <c r="AD2454">
        <v>-1.1114724634499999</v>
      </c>
      <c r="AE2454">
        <v>-27.6922</v>
      </c>
      <c r="AF2454">
        <v>-3.8815449562698401</v>
      </c>
      <c r="AG2454">
        <v>-1.1114724634499999</v>
      </c>
      <c r="AH2454">
        <v>27.5901443985885</v>
      </c>
      <c r="AI2454">
        <v>92.284447776735007</v>
      </c>
      <c r="AJ2454">
        <v>98.008151821959004</v>
      </c>
      <c r="AK2454">
        <v>27.884006710290301</v>
      </c>
      <c r="AL2454">
        <v>91.440143028710807</v>
      </c>
      <c r="AM2454">
        <v>86.405993268990699</v>
      </c>
      <c r="AN2454">
        <v>0.99999996113322398</v>
      </c>
    </row>
    <row r="2455" spans="1:40" x14ac:dyDescent="0.25">
      <c r="A2455" t="str">
        <f>"20190312161315660"</f>
        <v>20190312161315660</v>
      </c>
      <c r="B2455" t="str">
        <f>"1552378395648575"</f>
        <v>1552378395648575</v>
      </c>
      <c r="C2455" t="s">
        <v>40</v>
      </c>
      <c r="D2455">
        <v>5.7135160000000003</v>
      </c>
      <c r="E2455">
        <v>0.42281859999999999</v>
      </c>
      <c r="F2455" t="s">
        <v>42</v>
      </c>
      <c r="G2455">
        <v>-490.0052</v>
      </c>
      <c r="H2455" s="1">
        <v>-1.335516E-6</v>
      </c>
      <c r="I2455">
        <v>232.69900000000001</v>
      </c>
      <c r="J2455">
        <v>-493.50279999999998</v>
      </c>
      <c r="K2455">
        <v>1.1114550000000001</v>
      </c>
      <c r="L2455">
        <v>260.54579999999999</v>
      </c>
      <c r="M2455">
        <v>-1.4610150000000001E-2</v>
      </c>
      <c r="N2455">
        <v>0</v>
      </c>
      <c r="O2455">
        <v>-0.99979980000000002</v>
      </c>
      <c r="P2455">
        <v>-7.687107E-2</v>
      </c>
      <c r="Q2455">
        <v>-3.8985319999999997E-2</v>
      </c>
      <c r="R2455">
        <v>-0.99627869999999996</v>
      </c>
      <c r="S2455">
        <v>0.37985229999999998</v>
      </c>
      <c r="T2455">
        <v>-0.12071800000000001</v>
      </c>
      <c r="U2455">
        <v>-3.036743</v>
      </c>
      <c r="V2455">
        <v>6.238345E-2</v>
      </c>
      <c r="W2455">
        <v>-2.5147160000000002E-2</v>
      </c>
      <c r="X2455">
        <v>0.99773540000000005</v>
      </c>
      <c r="Y2455">
        <v>-0.1385072</v>
      </c>
      <c r="Z2455">
        <v>3.9370120000000002E-2</v>
      </c>
      <c r="AA2455">
        <v>0.98957859999999997</v>
      </c>
      <c r="AB2455">
        <v>21</v>
      </c>
      <c r="AC2455">
        <v>3.4975999999999701</v>
      </c>
      <c r="AD2455">
        <v>-1.1114563355160001</v>
      </c>
      <c r="AE2455">
        <v>-27.846799999999899</v>
      </c>
      <c r="AF2455">
        <v>-3.8979972373792098</v>
      </c>
      <c r="AG2455">
        <v>-1.1114563355160001</v>
      </c>
      <c r="AH2455">
        <v>27.749202209453301</v>
      </c>
      <c r="AI2455">
        <v>92.271400989085706</v>
      </c>
      <c r="AJ2455">
        <v>97.996155305895996</v>
      </c>
      <c r="AK2455">
        <v>28.043679161435001</v>
      </c>
      <c r="AL2455">
        <v>91.440978034067996</v>
      </c>
      <c r="AM2455">
        <v>86.422236282780105</v>
      </c>
      <c r="AN2455">
        <v>1.00000000145156</v>
      </c>
    </row>
    <row r="2456" spans="1:40" x14ac:dyDescent="0.25">
      <c r="A2456" t="str">
        <f>"20190312161315679"</f>
        <v>20190312161315679</v>
      </c>
      <c r="B2456" t="str">
        <f>"1552378395668094"</f>
        <v>1552378395668094</v>
      </c>
      <c r="C2456" t="s">
        <v>40</v>
      </c>
      <c r="D2456">
        <v>5.7467750000000004</v>
      </c>
      <c r="E2456">
        <v>0.42310179999999997</v>
      </c>
      <c r="F2456" t="s">
        <v>42</v>
      </c>
      <c r="G2456">
        <v>-489.99209999999999</v>
      </c>
      <c r="H2456" s="1">
        <v>-1.369484E-6</v>
      </c>
      <c r="I2456">
        <v>232.78630000000001</v>
      </c>
      <c r="J2456">
        <v>-493.50310000000002</v>
      </c>
      <c r="K2456">
        <v>1.111432</v>
      </c>
      <c r="L2456">
        <v>260.35399999999998</v>
      </c>
      <c r="M2456">
        <v>-1.247087E-2</v>
      </c>
      <c r="N2456">
        <v>0</v>
      </c>
      <c r="O2456">
        <v>-0.99982890000000002</v>
      </c>
      <c r="P2456">
        <v>-7.4315329999999999E-2</v>
      </c>
      <c r="Q2456">
        <v>-3.856031E-2</v>
      </c>
      <c r="R2456">
        <v>-0.99648910000000002</v>
      </c>
      <c r="S2456">
        <v>0.38397219999999999</v>
      </c>
      <c r="T2456">
        <v>-0.1215606</v>
      </c>
      <c r="U2456">
        <v>-3.0360719999999999</v>
      </c>
      <c r="V2456">
        <v>6.1956160000000003E-2</v>
      </c>
      <c r="W2456">
        <v>-2.473496E-2</v>
      </c>
      <c r="X2456">
        <v>0.99777229999999995</v>
      </c>
      <c r="Y2456">
        <v>-0.13773560000000001</v>
      </c>
      <c r="Z2456">
        <v>3.9653710000000002E-2</v>
      </c>
      <c r="AA2456">
        <v>0.98967490000000002</v>
      </c>
      <c r="AB2456">
        <v>21</v>
      </c>
      <c r="AC2456">
        <v>3.5110000000000201</v>
      </c>
      <c r="AD2456">
        <v>-1.111433369484</v>
      </c>
      <c r="AE2456">
        <v>-27.567699999999999</v>
      </c>
      <c r="AF2456">
        <v>-3.8483967892858701</v>
      </c>
      <c r="AG2456">
        <v>-1.111433369484</v>
      </c>
      <c r="AH2456">
        <v>27.477816379420702</v>
      </c>
      <c r="AI2456">
        <v>92.293895051767095</v>
      </c>
      <c r="AJ2456">
        <v>97.972683098140394</v>
      </c>
      <c r="AK2456">
        <v>27.768252285006099</v>
      </c>
      <c r="AL2456">
        <v>91.417353404406597</v>
      </c>
      <c r="AM2456">
        <v>86.4468099352639</v>
      </c>
      <c r="AN2456">
        <v>0.99999997332771795</v>
      </c>
    </row>
    <row r="2457" spans="1:40" x14ac:dyDescent="0.25">
      <c r="A2457" t="str">
        <f>"20190312161315693"</f>
        <v>20190312161315693</v>
      </c>
      <c r="B2457" t="str">
        <f>"1552378395688591"</f>
        <v>1552378395688591</v>
      </c>
      <c r="C2457" t="s">
        <v>40</v>
      </c>
      <c r="D2457">
        <v>5.7234369999999997</v>
      </c>
      <c r="E2457">
        <v>0.42329280000000002</v>
      </c>
      <c r="F2457" t="s">
        <v>42</v>
      </c>
      <c r="G2457">
        <v>-489.94549999999998</v>
      </c>
      <c r="H2457" s="1">
        <v>-1.3035009999999999E-6</v>
      </c>
      <c r="I2457">
        <v>232.64869999999999</v>
      </c>
      <c r="J2457">
        <v>-493.50310000000002</v>
      </c>
      <c r="K2457">
        <v>1.1114139999999999</v>
      </c>
      <c r="L2457">
        <v>260.22719999999998</v>
      </c>
      <c r="M2457">
        <v>-1.10803E-2</v>
      </c>
      <c r="N2457">
        <v>0</v>
      </c>
      <c r="O2457">
        <v>-0.9998454</v>
      </c>
      <c r="P2457">
        <v>-7.2442039999999999E-2</v>
      </c>
      <c r="Q2457">
        <v>-3.818295E-2</v>
      </c>
      <c r="R2457">
        <v>-0.99664189999999997</v>
      </c>
      <c r="S2457">
        <v>0.38970949999999999</v>
      </c>
      <c r="T2457">
        <v>-0.1217482</v>
      </c>
      <c r="U2457">
        <v>-3.0348820000000001</v>
      </c>
      <c r="V2457">
        <v>6.1466340000000001E-2</v>
      </c>
      <c r="W2457">
        <v>-2.4365589999999999E-2</v>
      </c>
      <c r="X2457">
        <v>0.99781169999999997</v>
      </c>
      <c r="Y2457">
        <v>-0.13824700000000001</v>
      </c>
      <c r="Z2457">
        <v>3.9725070000000001E-2</v>
      </c>
      <c r="AA2457">
        <v>0.98960079999999995</v>
      </c>
      <c r="AB2457">
        <v>21</v>
      </c>
      <c r="AC2457">
        <v>3.5576000000000301</v>
      </c>
      <c r="AD2457">
        <v>-1.1114153035009999</v>
      </c>
      <c r="AE2457">
        <v>-27.578499999999899</v>
      </c>
      <c r="AF2457">
        <v>-3.8568267772607099</v>
      </c>
      <c r="AG2457">
        <v>-1.1114153035009999</v>
      </c>
      <c r="AH2457">
        <v>27.4934626162439</v>
      </c>
      <c r="AI2457">
        <v>92.292482353413703</v>
      </c>
      <c r="AJ2457">
        <v>97.985433813977806</v>
      </c>
      <c r="AK2457">
        <v>27.784903156164798</v>
      </c>
      <c r="AL2457">
        <v>91.396183656625794</v>
      </c>
      <c r="AM2457">
        <v>86.474968872544196</v>
      </c>
      <c r="AN2457">
        <v>0.99999999079296598</v>
      </c>
    </row>
    <row r="2458" spans="1:40" x14ac:dyDescent="0.25">
      <c r="A2458" t="str">
        <f>"20190312161315707"</f>
        <v>20190312161315707</v>
      </c>
      <c r="B2458" t="str">
        <f>"1552378395698351"</f>
        <v>1552378395698351</v>
      </c>
      <c r="C2458" t="s">
        <v>40</v>
      </c>
      <c r="D2458">
        <v>5.7316159999999998</v>
      </c>
      <c r="E2458">
        <v>0.42344310000000002</v>
      </c>
      <c r="F2458" t="s">
        <v>42</v>
      </c>
      <c r="G2458">
        <v>-489.95920000000001</v>
      </c>
      <c r="H2458" s="1">
        <v>-1.4216770000000001E-6</v>
      </c>
      <c r="I2458">
        <v>232.92840000000001</v>
      </c>
      <c r="J2458">
        <v>-493.50290000000001</v>
      </c>
      <c r="K2458">
        <v>1.1114029999999999</v>
      </c>
      <c r="L2458">
        <v>260.09300000000002</v>
      </c>
      <c r="M2458">
        <v>-9.623497E-3</v>
      </c>
      <c r="N2458">
        <v>0</v>
      </c>
      <c r="O2458">
        <v>-0.99986050000000004</v>
      </c>
      <c r="P2458">
        <v>-7.0457710000000007E-2</v>
      </c>
      <c r="Q2458">
        <v>-3.7854930000000002E-2</v>
      </c>
      <c r="R2458">
        <v>-0.99679629999999997</v>
      </c>
      <c r="S2458">
        <v>0.39385989999999999</v>
      </c>
      <c r="T2458">
        <v>-0.1235216</v>
      </c>
      <c r="U2458">
        <v>-3.0339659999999999</v>
      </c>
      <c r="V2458">
        <v>6.0932060000000003E-2</v>
      </c>
      <c r="W2458">
        <v>-2.404535E-2</v>
      </c>
      <c r="X2458">
        <v>0.99785230000000003</v>
      </c>
      <c r="Y2458">
        <v>-0.13817019999999999</v>
      </c>
      <c r="Z2458">
        <v>4.0312420000000002E-2</v>
      </c>
      <c r="AA2458">
        <v>0.98958769999999996</v>
      </c>
      <c r="AB2458">
        <v>21</v>
      </c>
      <c r="AC2458">
        <v>3.5436999999999999</v>
      </c>
      <c r="AD2458">
        <v>-1.1114044216769901</v>
      </c>
      <c r="AE2458">
        <v>-27.1646</v>
      </c>
      <c r="AF2458">
        <v>-3.7987262782662601</v>
      </c>
      <c r="AG2458">
        <v>-1.1114044216769901</v>
      </c>
      <c r="AH2458">
        <v>27.084656686042599</v>
      </c>
      <c r="AI2458">
        <v>92.327032614722</v>
      </c>
      <c r="AJ2458">
        <v>97.983872559931697</v>
      </c>
      <c r="AK2458">
        <v>27.372324872515001</v>
      </c>
      <c r="AL2458">
        <v>91.377829791678707</v>
      </c>
      <c r="AM2458">
        <v>86.505674848607399</v>
      </c>
      <c r="AN2458">
        <v>1.00000005370387</v>
      </c>
    </row>
    <row r="2459" spans="1:40" x14ac:dyDescent="0.25">
      <c r="A2459" t="str">
        <f>"20190312161315725"</f>
        <v>20190312161315725</v>
      </c>
      <c r="B2459" t="str">
        <f>"1552378395718846"</f>
        <v>1552378395718846</v>
      </c>
      <c r="C2459" t="s">
        <v>40</v>
      </c>
      <c r="D2459">
        <v>5.6657260000000003</v>
      </c>
      <c r="E2459">
        <v>0.42959409999999998</v>
      </c>
      <c r="F2459" t="s">
        <v>42</v>
      </c>
      <c r="G2459">
        <v>-489.9203</v>
      </c>
      <c r="H2459" s="1">
        <v>-1.3880549999999999E-6</v>
      </c>
      <c r="I2459">
        <v>232.83539999999999</v>
      </c>
      <c r="J2459">
        <v>-493.50240000000002</v>
      </c>
      <c r="K2459">
        <v>1.1113850000000001</v>
      </c>
      <c r="L2459">
        <v>259.92489999999998</v>
      </c>
      <c r="M2459">
        <v>-7.8243519999999997E-3</v>
      </c>
      <c r="N2459">
        <v>0</v>
      </c>
      <c r="O2459">
        <v>-0.99987610000000005</v>
      </c>
      <c r="P2459">
        <v>-6.8033990000000003E-2</v>
      </c>
      <c r="Q2459">
        <v>-3.7435469999999998E-2</v>
      </c>
      <c r="R2459">
        <v>-0.99698039999999999</v>
      </c>
      <c r="S2459">
        <v>0.39865109999999998</v>
      </c>
      <c r="T2459">
        <v>-0.1236714</v>
      </c>
      <c r="U2459">
        <v>-3.0330810000000001</v>
      </c>
      <c r="V2459">
        <v>6.0299730000000003E-2</v>
      </c>
      <c r="W2459">
        <v>-2.363459E-2</v>
      </c>
      <c r="X2459">
        <v>0.99790049999999997</v>
      </c>
      <c r="Y2459">
        <v>-0.13796169999999999</v>
      </c>
      <c r="Z2459">
        <v>4.0370349999999999E-2</v>
      </c>
      <c r="AA2459">
        <v>0.98961449999999995</v>
      </c>
      <c r="AB2459">
        <v>21</v>
      </c>
      <c r="AC2459">
        <v>3.58210000000002</v>
      </c>
      <c r="AD2459">
        <v>-1.1113863880549999</v>
      </c>
      <c r="AE2459">
        <v>-27.089499999999902</v>
      </c>
      <c r="AF2459">
        <v>-3.7877020970752802</v>
      </c>
      <c r="AG2459">
        <v>-1.1113863880549999</v>
      </c>
      <c r="AH2459">
        <v>27.015949371739399</v>
      </c>
      <c r="AI2459">
        <v>92.332922872976098</v>
      </c>
      <c r="AJ2459">
        <v>97.980986224775705</v>
      </c>
      <c r="AK2459">
        <v>27.302809147341002</v>
      </c>
      <c r="AL2459">
        <v>91.354288320256899</v>
      </c>
      <c r="AM2459">
        <v>86.542015806577396</v>
      </c>
      <c r="AN2459">
        <v>1.00000002959139</v>
      </c>
    </row>
    <row r="2460" spans="1:40" x14ac:dyDescent="0.25">
      <c r="A2460" t="str">
        <f>"20190312161315741"</f>
        <v>20190312161315741</v>
      </c>
      <c r="B2460" t="str">
        <f>"1552378395738366"</f>
        <v>1552378395738366</v>
      </c>
      <c r="C2460" t="s">
        <v>40</v>
      </c>
      <c r="D2460">
        <v>5.6320959999999998</v>
      </c>
      <c r="E2460">
        <v>0.42814760000000002</v>
      </c>
      <c r="F2460" t="s">
        <v>42</v>
      </c>
      <c r="G2460">
        <v>-491.7278</v>
      </c>
      <c r="H2460" s="1">
        <v>-2.8245860000000001E-6</v>
      </c>
      <c r="I2460">
        <v>245.10169999999999</v>
      </c>
      <c r="J2460">
        <v>-493.50170000000003</v>
      </c>
      <c r="K2460">
        <v>1.1113789999999999</v>
      </c>
      <c r="L2460">
        <v>259.77850000000001</v>
      </c>
      <c r="M2460">
        <v>-6.2733149999999998E-3</v>
      </c>
      <c r="N2460">
        <v>0</v>
      </c>
      <c r="O2460">
        <v>-0.99988730000000003</v>
      </c>
      <c r="P2460">
        <v>-6.6212010000000002E-2</v>
      </c>
      <c r="Q2460">
        <v>-3.7548480000000002E-2</v>
      </c>
      <c r="R2460">
        <v>-0.99709899999999996</v>
      </c>
      <c r="S2460">
        <v>0.36218260000000002</v>
      </c>
      <c r="T2460">
        <v>-0.2268249</v>
      </c>
      <c r="U2460">
        <v>-3.025299</v>
      </c>
      <c r="V2460">
        <v>6.002416E-2</v>
      </c>
      <c r="W2460">
        <v>-2.3753940000000001E-2</v>
      </c>
      <c r="X2460">
        <v>0.99791430000000003</v>
      </c>
      <c r="Y2460">
        <v>-0.1247684</v>
      </c>
      <c r="Z2460">
        <v>7.4208330000000003E-2</v>
      </c>
      <c r="AA2460">
        <v>0.98940689999999998</v>
      </c>
      <c r="AB2460">
        <v>21</v>
      </c>
      <c r="AC2460">
        <v>1.77390000000002</v>
      </c>
      <c r="AD2460">
        <v>-1.1113818245860001</v>
      </c>
      <c r="AE2460">
        <v>-14.6768</v>
      </c>
      <c r="AF2460">
        <v>-1.8554596702525601</v>
      </c>
      <c r="AG2460">
        <v>-1.1113818245860001</v>
      </c>
      <c r="AH2460">
        <v>14.5829659127331</v>
      </c>
      <c r="AI2460">
        <v>94.323420856590701</v>
      </c>
      <c r="AJ2460">
        <v>97.251051989230106</v>
      </c>
      <c r="AK2460">
        <v>14.7424826593044</v>
      </c>
      <c r="AL2460">
        <v>91.361128464203901</v>
      </c>
      <c r="AM2460">
        <v>86.557828209805606</v>
      </c>
      <c r="AN2460">
        <v>1.00000004979685</v>
      </c>
    </row>
    <row r="2461" spans="1:40" x14ac:dyDescent="0.25">
      <c r="A2461" t="str">
        <f>"20190312161315760"</f>
        <v>20190312161315760</v>
      </c>
      <c r="B2461" t="str">
        <f>"1552378395748126"</f>
        <v>1552378395748126</v>
      </c>
      <c r="C2461" t="s">
        <v>40</v>
      </c>
      <c r="D2461">
        <v>5.7198399999999996</v>
      </c>
      <c r="E2461">
        <v>0.42764049999999998</v>
      </c>
      <c r="F2461" t="s">
        <v>42</v>
      </c>
      <c r="G2461">
        <v>-491.19369999999998</v>
      </c>
      <c r="H2461" s="1">
        <v>-1.0329699999999999E-6</v>
      </c>
      <c r="I2461">
        <v>241.25659999999999</v>
      </c>
      <c r="J2461">
        <v>-493.50060000000002</v>
      </c>
      <c r="K2461">
        <v>1.11138</v>
      </c>
      <c r="L2461">
        <v>259.60230000000001</v>
      </c>
      <c r="M2461">
        <v>-4.4197689999999996E-3</v>
      </c>
      <c r="N2461">
        <v>0</v>
      </c>
      <c r="O2461">
        <v>-0.99989740000000005</v>
      </c>
      <c r="P2461">
        <v>-6.3636090000000006E-2</v>
      </c>
      <c r="Q2461">
        <v>-3.7322399999999999E-2</v>
      </c>
      <c r="R2461">
        <v>-0.99727509999999997</v>
      </c>
      <c r="S2461">
        <v>0.37719730000000001</v>
      </c>
      <c r="T2461">
        <v>-0.1816295</v>
      </c>
      <c r="U2461">
        <v>-3.0269780000000002</v>
      </c>
      <c r="V2461">
        <v>5.9295399999999998E-2</v>
      </c>
      <c r="W2461">
        <v>-2.3535480000000001E-2</v>
      </c>
      <c r="X2461">
        <v>0.99796300000000004</v>
      </c>
      <c r="Y2461">
        <v>-0.12782199999999999</v>
      </c>
      <c r="Z2461">
        <v>5.9420359999999998E-2</v>
      </c>
      <c r="AA2461">
        <v>0.99001550000000005</v>
      </c>
      <c r="AB2461">
        <v>21</v>
      </c>
      <c r="AC2461">
        <v>2.3069000000000401</v>
      </c>
      <c r="AD2461">
        <v>-1.11138103297</v>
      </c>
      <c r="AE2461">
        <v>-18.345700000000001</v>
      </c>
      <c r="AF2461">
        <v>-2.3793725487945001</v>
      </c>
      <c r="AG2461">
        <v>-1.11138103297</v>
      </c>
      <c r="AH2461">
        <v>18.269320453192499</v>
      </c>
      <c r="AI2461">
        <v>93.452111924637805</v>
      </c>
      <c r="AJ2461">
        <v>97.420360938280396</v>
      </c>
      <c r="AK2461">
        <v>18.457103005288701</v>
      </c>
      <c r="AL2461">
        <v>91.348608187072401</v>
      </c>
      <c r="AM2461">
        <v>86.599686883525706</v>
      </c>
      <c r="AN2461">
        <v>1.00000000632449</v>
      </c>
    </row>
    <row r="2462" spans="1:40" x14ac:dyDescent="0.25">
      <c r="A2462" t="str">
        <f>"20190312161315773"</f>
        <v>20190312161315773</v>
      </c>
      <c r="B2462" t="str">
        <f>"1552378395768623"</f>
        <v>1552378395768623</v>
      </c>
      <c r="C2462" t="s">
        <v>40</v>
      </c>
      <c r="D2462">
        <v>5.6654039999999997</v>
      </c>
      <c r="E2462">
        <v>0.42526779999999997</v>
      </c>
      <c r="F2462" t="s">
        <v>42</v>
      </c>
      <c r="G2462">
        <v>-490.9579</v>
      </c>
      <c r="H2462" s="1">
        <v>-3.3810700000000002E-7</v>
      </c>
      <c r="I2462">
        <v>239.78309999999999</v>
      </c>
      <c r="J2462">
        <v>-493.49970000000002</v>
      </c>
      <c r="K2462">
        <v>1.1113789999999999</v>
      </c>
      <c r="L2462">
        <v>259.47640000000001</v>
      </c>
      <c r="M2462">
        <v>-3.1041300000000001E-3</v>
      </c>
      <c r="N2462">
        <v>0</v>
      </c>
      <c r="O2462">
        <v>-0.99990210000000002</v>
      </c>
      <c r="P2462">
        <v>-6.2157839999999999E-2</v>
      </c>
      <c r="Q2462">
        <v>-3.7105770000000003E-2</v>
      </c>
      <c r="R2462">
        <v>-0.99737640000000005</v>
      </c>
      <c r="S2462">
        <v>0.38830569999999998</v>
      </c>
      <c r="T2462">
        <v>-0.16972200000000001</v>
      </c>
      <c r="U2462">
        <v>-3.0266419999999998</v>
      </c>
      <c r="V2462">
        <v>5.9128529999999999E-2</v>
      </c>
      <c r="W2462">
        <v>-2.3323099999999999E-2</v>
      </c>
      <c r="X2462">
        <v>0.99797789999999997</v>
      </c>
      <c r="Y2462">
        <v>-0.1301351</v>
      </c>
      <c r="Z2462">
        <v>5.5522740000000001E-2</v>
      </c>
      <c r="AA2462">
        <v>0.9899405</v>
      </c>
      <c r="AB2462">
        <v>21</v>
      </c>
      <c r="AC2462">
        <v>2.5418000000000198</v>
      </c>
      <c r="AD2462">
        <v>-1.1113793381070001</v>
      </c>
      <c r="AE2462">
        <v>-19.693300000000001</v>
      </c>
      <c r="AF2462">
        <v>-2.5947954103819502</v>
      </c>
      <c r="AG2462">
        <v>-1.1113793381070001</v>
      </c>
      <c r="AH2462">
        <v>19.623839598032401</v>
      </c>
      <c r="AI2462">
        <v>93.213523433752997</v>
      </c>
      <c r="AJ2462">
        <v>97.532336054464494</v>
      </c>
      <c r="AK2462">
        <v>19.825821743983699</v>
      </c>
      <c r="AL2462">
        <v>91.3364363506941</v>
      </c>
      <c r="AM2462">
        <v>86.609284243709595</v>
      </c>
      <c r="AN2462">
        <v>1.0000000194709899</v>
      </c>
    </row>
    <row r="2463" spans="1:40" x14ac:dyDescent="0.25">
      <c r="A2463" t="str">
        <f>"20190312161315791"</f>
        <v>20190312161315791</v>
      </c>
      <c r="B2463" t="str">
        <f>"1552378395788142"</f>
        <v>1552378395788142</v>
      </c>
      <c r="C2463" t="s">
        <v>40</v>
      </c>
      <c r="D2463">
        <v>5.6690269999999998</v>
      </c>
      <c r="E2463">
        <v>0.4243845</v>
      </c>
      <c r="F2463" t="s">
        <v>42</v>
      </c>
      <c r="G2463">
        <v>-490.16809999999998</v>
      </c>
      <c r="H2463" s="1">
        <v>-2.3141960000000001E-6</v>
      </c>
      <c r="I2463">
        <v>234.8793</v>
      </c>
      <c r="J2463">
        <v>-493.4982</v>
      </c>
      <c r="K2463">
        <v>1.111378</v>
      </c>
      <c r="L2463">
        <v>259.30700000000002</v>
      </c>
      <c r="M2463">
        <v>-1.3419149999999999E-3</v>
      </c>
      <c r="N2463">
        <v>0</v>
      </c>
      <c r="O2463">
        <v>-0.99990610000000002</v>
      </c>
      <c r="P2463">
        <v>-5.9506999999999997E-2</v>
      </c>
      <c r="Q2463">
        <v>-3.7092609999999998E-2</v>
      </c>
      <c r="R2463">
        <v>-0.99753860000000005</v>
      </c>
      <c r="S2463">
        <v>0.41018680000000002</v>
      </c>
      <c r="T2463">
        <v>-0.13683389999999901</v>
      </c>
      <c r="U2463">
        <v>-3.0284119999999999</v>
      </c>
      <c r="V2463">
        <v>5.8235309999999998E-2</v>
      </c>
      <c r="W2463">
        <v>-2.3316460000000001E-2</v>
      </c>
      <c r="X2463">
        <v>0.99803050000000004</v>
      </c>
      <c r="Y2463">
        <v>-0.13541610000000001</v>
      </c>
      <c r="Z2463">
        <v>4.4725609999999999E-2</v>
      </c>
      <c r="AA2463">
        <v>0.98977879999999996</v>
      </c>
      <c r="AB2463">
        <v>21</v>
      </c>
      <c r="AC2463">
        <v>3.3301000000000101</v>
      </c>
      <c r="AD2463">
        <v>-1.1113803141959999</v>
      </c>
      <c r="AE2463">
        <v>-24.427700000000002</v>
      </c>
      <c r="AF2463">
        <v>-3.3560598130791299</v>
      </c>
      <c r="AG2463">
        <v>-1.1113803141959999</v>
      </c>
      <c r="AH2463">
        <v>24.373677058077501</v>
      </c>
      <c r="AI2463">
        <v>92.586370765798094</v>
      </c>
      <c r="AJ2463">
        <v>97.839871676395802</v>
      </c>
      <c r="AK2463">
        <v>24.628731940625801</v>
      </c>
      <c r="AL2463">
        <v>91.336055904378696</v>
      </c>
      <c r="AM2463">
        <v>86.6605645880677</v>
      </c>
      <c r="AN2463">
        <v>0.99999994378398704</v>
      </c>
    </row>
    <row r="2464" spans="1:40" x14ac:dyDescent="0.25">
      <c r="A2464" t="str">
        <f>"20190312161315802"</f>
        <v>20190312161315802</v>
      </c>
      <c r="B2464" t="str">
        <f>"1552378395797903"</f>
        <v>1552378395797903</v>
      </c>
      <c r="C2464" t="s">
        <v>40</v>
      </c>
      <c r="D2464">
        <v>5.6763190000000003</v>
      </c>
      <c r="E2464">
        <v>0.42443649999999999</v>
      </c>
      <c r="F2464" t="s">
        <v>42</v>
      </c>
      <c r="G2464">
        <v>-489.59280000000001</v>
      </c>
      <c r="H2464" s="1">
        <v>-8.5494780000000003E-7</v>
      </c>
      <c r="I2464">
        <v>231.4573</v>
      </c>
      <c r="J2464">
        <v>-493.49700000000001</v>
      </c>
      <c r="K2464">
        <v>1.1113770000000001</v>
      </c>
      <c r="L2464">
        <v>259.1934</v>
      </c>
      <c r="M2464">
        <v>-1.648989E-4</v>
      </c>
      <c r="N2464">
        <v>0</v>
      </c>
      <c r="O2464">
        <v>-0.99990730000000005</v>
      </c>
      <c r="P2464">
        <v>-5.7886359999999998E-2</v>
      </c>
      <c r="Q2464">
        <v>-3.6922160000000002E-2</v>
      </c>
      <c r="R2464">
        <v>-0.99764050000000004</v>
      </c>
      <c r="S2464">
        <v>0.42465209999999998</v>
      </c>
      <c r="T2464">
        <v>-0.1208453</v>
      </c>
      <c r="U2464">
        <v>-3.0282290000000001</v>
      </c>
      <c r="V2464">
        <v>5.7788430000000002E-2</v>
      </c>
      <c r="W2464">
        <v>-2.3149610000000001E-2</v>
      </c>
      <c r="X2464">
        <v>0.99806039999999996</v>
      </c>
      <c r="Y2464">
        <v>-0.13892739999999901</v>
      </c>
      <c r="Z2464">
        <v>3.9488309999999999E-2</v>
      </c>
      <c r="AA2464">
        <v>0.98951489999999998</v>
      </c>
      <c r="AB2464">
        <v>21</v>
      </c>
      <c r="AC2464">
        <v>3.9041999999999399</v>
      </c>
      <c r="AD2464">
        <v>-1.1113778549477999</v>
      </c>
      <c r="AE2464">
        <v>-27.7361</v>
      </c>
      <c r="AF2464">
        <v>-3.9026297708169801</v>
      </c>
      <c r="AG2464">
        <v>-1.1113778549477999</v>
      </c>
      <c r="AH2464">
        <v>27.691858043338598</v>
      </c>
      <c r="AI2464">
        <v>92.2757953883048</v>
      </c>
      <c r="AJ2464">
        <v>98.021897370945894</v>
      </c>
      <c r="AK2464">
        <v>27.987580848600601</v>
      </c>
      <c r="AL2464">
        <v>91.326493467799907</v>
      </c>
      <c r="AM2464">
        <v>86.686232121274401</v>
      </c>
      <c r="AN2464">
        <v>0.99999998456658801</v>
      </c>
    </row>
    <row r="2465" spans="1:40" x14ac:dyDescent="0.25">
      <c r="A2465" t="str">
        <f>"20190312161315814"</f>
        <v>20190312161315814</v>
      </c>
      <c r="B2465" t="str">
        <f>"1552378395808638"</f>
        <v>1552378395808638</v>
      </c>
      <c r="C2465" t="s">
        <v>40</v>
      </c>
      <c r="D2465">
        <v>5.6955249999999999</v>
      </c>
      <c r="E2465">
        <v>0.42461120000000002</v>
      </c>
      <c r="F2465" t="s">
        <v>42</v>
      </c>
      <c r="G2465">
        <v>-489.447</v>
      </c>
      <c r="H2465" s="1">
        <v>-5.1149549999999998E-7</v>
      </c>
      <c r="I2465">
        <v>230.59639999999999</v>
      </c>
      <c r="J2465">
        <v>-493.4957</v>
      </c>
      <c r="K2465">
        <v>1.111378</v>
      </c>
      <c r="L2465">
        <v>259.08780000000002</v>
      </c>
      <c r="M2465">
        <v>9.2802520000000003E-4</v>
      </c>
      <c r="N2465">
        <v>0</v>
      </c>
      <c r="O2465">
        <v>-0.99990659999999998</v>
      </c>
      <c r="P2465">
        <v>-5.6255499999999903E-2</v>
      </c>
      <c r="Q2465">
        <v>-3.7015579999999999E-2</v>
      </c>
      <c r="R2465">
        <v>-0.99773000000000001</v>
      </c>
      <c r="S2465">
        <v>0.42877199999999999</v>
      </c>
      <c r="T2465">
        <v>-0.1176624</v>
      </c>
      <c r="U2465">
        <v>-3.0275880000000002</v>
      </c>
      <c r="V2465">
        <v>5.724837E-2</v>
      </c>
      <c r="W2465">
        <v>-2.3246530000000001E-2</v>
      </c>
      <c r="X2465">
        <v>0.99808929999999996</v>
      </c>
      <c r="Y2465">
        <v>-0.13919970000000001</v>
      </c>
      <c r="Z2465">
        <v>3.8453479999999998E-2</v>
      </c>
      <c r="AA2465">
        <v>0.98951750000000005</v>
      </c>
      <c r="AB2465">
        <v>21</v>
      </c>
      <c r="AC2465">
        <v>4.0487000000000499</v>
      </c>
      <c r="AD2465">
        <v>-1.1113785114954999</v>
      </c>
      <c r="AE2465">
        <v>-28.491399999999999</v>
      </c>
      <c r="AF2465">
        <v>-4.0162649289705001</v>
      </c>
      <c r="AG2465">
        <v>-1.1113785114954999</v>
      </c>
      <c r="AH2465">
        <v>28.452709061255199</v>
      </c>
      <c r="AI2465">
        <v>92.214932411334402</v>
      </c>
      <c r="AJ2465">
        <v>98.034549551296195</v>
      </c>
      <c r="AK2465">
        <v>28.7562549560948</v>
      </c>
      <c r="AL2465">
        <v>91.332048030565105</v>
      </c>
      <c r="AM2465">
        <v>86.7172276333458</v>
      </c>
      <c r="AN2465">
        <v>1.0000000138995899</v>
      </c>
    </row>
    <row r="2466" spans="1:40" x14ac:dyDescent="0.25">
      <c r="A2466" t="str">
        <f>"20190312161315826"</f>
        <v>20190312161315826</v>
      </c>
      <c r="B2466" t="str">
        <f>"1552378395818399"</f>
        <v>1552378395818399</v>
      </c>
      <c r="C2466" t="s">
        <v>40</v>
      </c>
      <c r="D2466">
        <v>5.6603260000000004</v>
      </c>
      <c r="E2466">
        <v>0.42432379999999997</v>
      </c>
      <c r="F2466" t="s">
        <v>42</v>
      </c>
      <c r="G2466">
        <v>-489.41550000000001</v>
      </c>
      <c r="H2466" s="1">
        <v>-4.9393190000000004E-7</v>
      </c>
      <c r="I2466">
        <v>230.54249999999999</v>
      </c>
      <c r="J2466">
        <v>-493.49439999999998</v>
      </c>
      <c r="K2466">
        <v>1.111378</v>
      </c>
      <c r="L2466">
        <v>258.9778</v>
      </c>
      <c r="M2466">
        <v>2.0658360000000001E-3</v>
      </c>
      <c r="N2466">
        <v>0</v>
      </c>
      <c r="O2466">
        <v>-0.99990489999999999</v>
      </c>
      <c r="P2466">
        <v>-5.4590199999999901E-2</v>
      </c>
      <c r="Q2466">
        <v>-3.7066599999999998E-2</v>
      </c>
      <c r="R2466">
        <v>-0.9978205</v>
      </c>
      <c r="S2466">
        <v>0.43264770000000002</v>
      </c>
      <c r="T2466">
        <v>-0.1178468</v>
      </c>
      <c r="U2466">
        <v>-3.0268549999999999</v>
      </c>
      <c r="V2466">
        <v>5.6718699999999997E-2</v>
      </c>
      <c r="W2466">
        <v>-2.3300959999999999E-2</v>
      </c>
      <c r="X2466">
        <v>0.99811830000000001</v>
      </c>
      <c r="Y2466">
        <v>-0.13934769999999999</v>
      </c>
      <c r="Z2466">
        <v>3.8518919999999998E-2</v>
      </c>
      <c r="AA2466">
        <v>0.98949410000000004</v>
      </c>
      <c r="AB2466">
        <v>21</v>
      </c>
      <c r="AC2466">
        <v>4.0788999999999698</v>
      </c>
      <c r="AD2466">
        <v>-1.1113784939319</v>
      </c>
      <c r="AE2466">
        <v>-28.435300000000002</v>
      </c>
      <c r="AF2466">
        <v>-4.0141348230828902</v>
      </c>
      <c r="AG2466">
        <v>-1.1113784939319</v>
      </c>
      <c r="AH2466">
        <v>28.401155679302398</v>
      </c>
      <c r="AI2466">
        <v>92.218893244055593</v>
      </c>
      <c r="AJ2466">
        <v>98.044729784037202</v>
      </c>
      <c r="AK2466">
        <v>28.7049487798642</v>
      </c>
      <c r="AL2466">
        <v>91.335167445599396</v>
      </c>
      <c r="AM2466">
        <v>86.747629093027697</v>
      </c>
      <c r="AN2466">
        <v>1.0000000432307401</v>
      </c>
    </row>
    <row r="2467" spans="1:40" x14ac:dyDescent="0.25">
      <c r="A2467" t="str">
        <f>"20190312161315838"</f>
        <v>20190312161315838</v>
      </c>
      <c r="B2467" t="str">
        <f>"1552378395828158"</f>
        <v>1552378395828158</v>
      </c>
      <c r="C2467" t="s">
        <v>40</v>
      </c>
      <c r="D2467">
        <v>5.9748599999999996</v>
      </c>
      <c r="E2467">
        <v>0.42432379999999997</v>
      </c>
      <c r="F2467" t="s">
        <v>63</v>
      </c>
      <c r="G2467">
        <v>-489.22210000000001</v>
      </c>
      <c r="H2467" s="1">
        <v>6.4229589999999997E-6</v>
      </c>
      <c r="I2467">
        <v>229.57069999999999</v>
      </c>
      <c r="J2467">
        <v>-493.49270000000001</v>
      </c>
      <c r="K2467">
        <v>1.11138</v>
      </c>
      <c r="L2467">
        <v>258.86369999999999</v>
      </c>
      <c r="M2467">
        <v>3.2438250000000001E-3</v>
      </c>
      <c r="N2467">
        <v>0</v>
      </c>
      <c r="O2467">
        <v>-0.99990179999999995</v>
      </c>
      <c r="P2467">
        <v>-5.2981060000000003E-2</v>
      </c>
      <c r="Q2467">
        <v>-3.7417499999999999E-2</v>
      </c>
      <c r="R2467">
        <v>-0.99789399999999995</v>
      </c>
      <c r="S2467">
        <v>0.43966670000000002</v>
      </c>
      <c r="T2467">
        <v>-0.11437369999999999</v>
      </c>
      <c r="U2467">
        <v>-3.0263520000000002</v>
      </c>
      <c r="V2467">
        <v>5.6286269999999999E-2</v>
      </c>
      <c r="W2467">
        <v>-2.3655079999999998E-2</v>
      </c>
      <c r="X2467">
        <v>0.99813439999999998</v>
      </c>
      <c r="Y2467">
        <v>-0.14045849999999999</v>
      </c>
      <c r="Z2467">
        <v>3.7382199999999997E-2</v>
      </c>
      <c r="AA2467">
        <v>0.98938060000000005</v>
      </c>
      <c r="AB2467">
        <v>21</v>
      </c>
      <c r="AC2467">
        <v>4.2706</v>
      </c>
      <c r="AD2467">
        <v>-1.111373577041</v>
      </c>
      <c r="AE2467">
        <v>-29.292999999999999</v>
      </c>
      <c r="AF2467">
        <v>-4.1696702688919602</v>
      </c>
      <c r="AG2467">
        <v>-1.111373577041</v>
      </c>
      <c r="AH2467">
        <v>29.265451196124499</v>
      </c>
      <c r="AI2467">
        <v>92.153074558778101</v>
      </c>
      <c r="AJ2467">
        <v>98.108788061572795</v>
      </c>
      <c r="AK2467">
        <v>29.581885252494899</v>
      </c>
      <c r="AL2467">
        <v>91.355462687673693</v>
      </c>
      <c r="AM2467">
        <v>86.772424874534806</v>
      </c>
      <c r="AN2467">
        <v>0.99999999373183901</v>
      </c>
    </row>
    <row r="2468" spans="1:40" x14ac:dyDescent="0.25">
      <c r="A2468" t="str">
        <f>"20190312161315850"</f>
        <v>20190312161315850</v>
      </c>
      <c r="B2468" t="str">
        <f>"1552378395848654"</f>
        <v>1552378395848654</v>
      </c>
      <c r="C2468" t="s">
        <v>40</v>
      </c>
      <c r="D2468">
        <v>5.6859229999999998</v>
      </c>
      <c r="E2468">
        <v>0.36800929999999998</v>
      </c>
      <c r="F2468" t="s">
        <v>42</v>
      </c>
      <c r="G2468">
        <v>-489.2054</v>
      </c>
      <c r="H2468" s="1">
        <v>-2.148587E-7</v>
      </c>
      <c r="I2468">
        <v>229.65819999999999</v>
      </c>
      <c r="J2468">
        <v>-493.49110000000002</v>
      </c>
      <c r="K2468">
        <v>1.1113820000000001</v>
      </c>
      <c r="L2468">
        <v>258.75470000000001</v>
      </c>
      <c r="M2468">
        <v>4.3701779999999997E-3</v>
      </c>
      <c r="N2468">
        <v>0</v>
      </c>
      <c r="O2468">
        <v>-0.9998977</v>
      </c>
      <c r="P2468">
        <v>-5.1722450000000003E-2</v>
      </c>
      <c r="Q2468">
        <v>-3.764261E-2</v>
      </c>
      <c r="R2468">
        <v>-0.99795199999999995</v>
      </c>
      <c r="S2468">
        <v>0.44415280000000001</v>
      </c>
      <c r="T2468">
        <v>-0.1151348</v>
      </c>
      <c r="U2468">
        <v>-3.0255890000000001</v>
      </c>
      <c r="V2468">
        <v>5.6152489999999999E-2</v>
      </c>
      <c r="W2468">
        <v>-2.3882549999999999E-2</v>
      </c>
      <c r="X2468">
        <v>0.99813649999999998</v>
      </c>
      <c r="Y2468">
        <v>-0.14081370000000001</v>
      </c>
      <c r="Z2468">
        <v>3.7634800000000003E-2</v>
      </c>
      <c r="AA2468">
        <v>0.98932050000000005</v>
      </c>
      <c r="AB2468">
        <v>21</v>
      </c>
      <c r="AC2468">
        <v>4.2857000000000198</v>
      </c>
      <c r="AD2468">
        <v>-1.11138221485869</v>
      </c>
      <c r="AE2468">
        <v>-29.096499999999999</v>
      </c>
      <c r="AF2468">
        <v>-4.1525605880820402</v>
      </c>
      <c r="AG2468">
        <v>-1.11138221485869</v>
      </c>
      <c r="AH2468">
        <v>29.073436635700901</v>
      </c>
      <c r="AI2468">
        <v>92.167191079510104</v>
      </c>
      <c r="AJ2468">
        <v>98.128581435267407</v>
      </c>
      <c r="AK2468">
        <v>29.3895159482989</v>
      </c>
      <c r="AL2468">
        <v>91.3684994668521</v>
      </c>
      <c r="AM2468">
        <v>86.780086705426797</v>
      </c>
      <c r="AN2468">
        <v>0.99999997547997599</v>
      </c>
    </row>
    <row r="2469" spans="1:40" x14ac:dyDescent="0.25">
      <c r="A2469" t="str">
        <f>"20190312161315861"</f>
        <v>20190312161315861</v>
      </c>
      <c r="B2469" t="str">
        <f>"1552378395858415"</f>
        <v>1552378395858415</v>
      </c>
      <c r="C2469" t="s">
        <v>40</v>
      </c>
      <c r="D2469">
        <v>5.7134819999999999</v>
      </c>
      <c r="E2469">
        <v>0.35937709999999901</v>
      </c>
      <c r="F2469" t="s">
        <v>63</v>
      </c>
      <c r="G2469">
        <v>-479.5772</v>
      </c>
      <c r="H2469" s="1">
        <v>1.5684979999999901E-6</v>
      </c>
      <c r="I2469">
        <v>211.34829999999999</v>
      </c>
      <c r="J2469">
        <v>-493.48939999999999</v>
      </c>
      <c r="K2469">
        <v>1.1113789999999999</v>
      </c>
      <c r="L2469">
        <v>258.64960000000002</v>
      </c>
      <c r="M2469">
        <v>5.4559639999999998E-3</v>
      </c>
      <c r="N2469">
        <v>0</v>
      </c>
      <c r="O2469">
        <v>-0.99989249999999996</v>
      </c>
      <c r="P2469">
        <v>-5.0412699999999998E-2</v>
      </c>
      <c r="Q2469">
        <v>-3.7628549999999997E-2</v>
      </c>
      <c r="R2469">
        <v>-0.99801930000000005</v>
      </c>
      <c r="S2469">
        <v>0.89514159999999898</v>
      </c>
      <c r="T2469">
        <v>-7.1499709999999994E-2</v>
      </c>
      <c r="U2469">
        <v>-3.0498500000000002</v>
      </c>
      <c r="V2469">
        <v>5.5926539999999997E-2</v>
      </c>
      <c r="W2469">
        <v>-2.387075E-2</v>
      </c>
      <c r="X2469">
        <v>0.99814950000000002</v>
      </c>
      <c r="Y2469">
        <v>-0.27631270000000002</v>
      </c>
      <c r="Z2469">
        <v>2.2506060000000001E-2</v>
      </c>
      <c r="AA2469">
        <v>0.9608042</v>
      </c>
      <c r="AB2469">
        <v>21</v>
      </c>
      <c r="AC2469">
        <v>13.912199999999901</v>
      </c>
      <c r="AD2469">
        <v>-1.111377431502</v>
      </c>
      <c r="AE2469">
        <v>-47.301299999999998</v>
      </c>
      <c r="AF2469">
        <v>-13.646960847820999</v>
      </c>
      <c r="AG2469">
        <v>-1.111377431502</v>
      </c>
      <c r="AH2469">
        <v>47.352447793312898</v>
      </c>
      <c r="AI2469">
        <v>91.291939238668107</v>
      </c>
      <c r="AJ2469">
        <v>106.076965139538</v>
      </c>
      <c r="AK2469">
        <v>49.292281466733101</v>
      </c>
      <c r="AL2469">
        <v>91.367823140077505</v>
      </c>
      <c r="AM2469">
        <v>86.793057781951106</v>
      </c>
      <c r="AN2469">
        <v>1.00000000746609</v>
      </c>
    </row>
    <row r="2470" spans="1:40" x14ac:dyDescent="0.25">
      <c r="A2470" t="str">
        <f>"20190312161315880"</f>
        <v>20190312161315880</v>
      </c>
      <c r="B2470" t="str">
        <f>"1552378395877934"</f>
        <v>1552378395877934</v>
      </c>
      <c r="C2470" t="s">
        <v>40</v>
      </c>
      <c r="D2470">
        <v>5.801005</v>
      </c>
      <c r="E2470">
        <v>0.35117189999999998</v>
      </c>
      <c r="F2470" t="s">
        <v>63</v>
      </c>
      <c r="G2470">
        <v>-477.86079999999998</v>
      </c>
      <c r="H2470">
        <v>4.5242119999999997E-2</v>
      </c>
      <c r="I2470">
        <v>209.35400000000001</v>
      </c>
      <c r="J2470">
        <v>-493.48630000000003</v>
      </c>
      <c r="K2470">
        <v>1.111381</v>
      </c>
      <c r="L2470">
        <v>258.47190000000001</v>
      </c>
      <c r="M2470">
        <v>7.2930419999999996E-3</v>
      </c>
      <c r="N2470">
        <v>0</v>
      </c>
      <c r="O2470">
        <v>-0.99988069999999896</v>
      </c>
      <c r="P2470">
        <v>-4.8075069999999998E-2</v>
      </c>
      <c r="Q2470">
        <v>-3.7444640000000001E-2</v>
      </c>
      <c r="R2470">
        <v>-0.99814190000000003</v>
      </c>
      <c r="S2470">
        <v>0.96771240000000003</v>
      </c>
      <c r="T2470">
        <v>-6.6014649999999994E-2</v>
      </c>
      <c r="U2470">
        <v>-3.0523530000000001</v>
      </c>
      <c r="V2470">
        <v>5.5422480000000003E-2</v>
      </c>
      <c r="W2470">
        <v>-2.3690679999999999E-2</v>
      </c>
      <c r="X2470">
        <v>0.99818189999999996</v>
      </c>
      <c r="Y2470">
        <v>-0.29518850000000002</v>
      </c>
      <c r="Z2470">
        <v>2.063394E-2</v>
      </c>
      <c r="AA2470">
        <v>0.95521619999999996</v>
      </c>
      <c r="AB2470">
        <v>21</v>
      </c>
      <c r="AC2470">
        <v>15.625500000000001</v>
      </c>
      <c r="AD2470">
        <v>-1.06613888</v>
      </c>
      <c r="AE2470">
        <v>-49.117899999999899</v>
      </c>
      <c r="AF2470">
        <v>-15.260303287219299</v>
      </c>
      <c r="AG2470">
        <v>-1.06613888</v>
      </c>
      <c r="AH2470">
        <v>49.209507700260801</v>
      </c>
      <c r="AI2470">
        <v>91.185460142596895</v>
      </c>
      <c r="AJ2470">
        <v>107.22912527761299</v>
      </c>
      <c r="AK2470">
        <v>51.532408799040198</v>
      </c>
      <c r="AL2470">
        <v>91.357502977245105</v>
      </c>
      <c r="AM2470">
        <v>86.822005041779803</v>
      </c>
      <c r="AN2470">
        <v>1.0000000025479101</v>
      </c>
    </row>
    <row r="2471" spans="1:40" x14ac:dyDescent="0.25">
      <c r="A2471" t="str">
        <f>"20190312161315892"</f>
        <v>20190312161315892</v>
      </c>
      <c r="B2471" t="str">
        <f>"1552378395888670"</f>
        <v>1552378395888670</v>
      </c>
      <c r="C2471" t="s">
        <v>40</v>
      </c>
      <c r="D2471">
        <v>5.564851</v>
      </c>
      <c r="E2471">
        <v>0.34668120000000002</v>
      </c>
      <c r="F2471" t="s">
        <v>63</v>
      </c>
      <c r="G2471">
        <v>-477.91329999999999</v>
      </c>
      <c r="H2471" s="1">
        <v>2.3690979999999998E-6</v>
      </c>
      <c r="I2471">
        <v>212.7833</v>
      </c>
      <c r="J2471">
        <v>-493.48430000000002</v>
      </c>
      <c r="K2471">
        <v>1.1113850000000001</v>
      </c>
      <c r="L2471">
        <v>258.36660000000001</v>
      </c>
      <c r="M2471">
        <v>8.3814049999999998E-3</v>
      </c>
      <c r="N2471">
        <v>0</v>
      </c>
      <c r="O2471">
        <v>-0.99987239999999999</v>
      </c>
      <c r="P2471">
        <v>-4.6788900000000001E-2</v>
      </c>
      <c r="Q2471">
        <v>-3.7168239999999998E-2</v>
      </c>
      <c r="R2471">
        <v>-0.99821329999999997</v>
      </c>
      <c r="S2471">
        <v>1.0405879999999901</v>
      </c>
      <c r="T2471">
        <v>-7.4262499999999995E-2</v>
      </c>
      <c r="U2471">
        <v>-3.0529169999999999</v>
      </c>
      <c r="V2471">
        <v>5.5222279999999999E-2</v>
      </c>
      <c r="W2471">
        <v>-2.341623E-2</v>
      </c>
      <c r="X2471">
        <v>0.99819950000000002</v>
      </c>
      <c r="Y2471">
        <v>-0.31459330000000002</v>
      </c>
      <c r="Z2471">
        <v>2.3048599999999999E-2</v>
      </c>
      <c r="AA2471">
        <v>0.94894670000000003</v>
      </c>
      <c r="AB2471">
        <v>21</v>
      </c>
      <c r="AC2471">
        <v>15.571</v>
      </c>
      <c r="AD2471">
        <v>-1.1113826309020001</v>
      </c>
      <c r="AE2471">
        <v>-45.583300000000001</v>
      </c>
      <c r="AF2471">
        <v>-15.1802845589424</v>
      </c>
      <c r="AG2471">
        <v>-1.1113826309020001</v>
      </c>
      <c r="AH2471">
        <v>45.687896308185501</v>
      </c>
      <c r="AI2471">
        <v>91.322418137838895</v>
      </c>
      <c r="AJ2471">
        <v>108.379610543364</v>
      </c>
      <c r="AK2471">
        <v>48.156620310298401</v>
      </c>
      <c r="AL2471">
        <v>91.341773748865805</v>
      </c>
      <c r="AM2471">
        <v>86.833517076844998</v>
      </c>
      <c r="AN2471">
        <v>1.0000000309180299</v>
      </c>
    </row>
    <row r="2472" spans="1:40" x14ac:dyDescent="0.25">
      <c r="A2472" t="str">
        <f>"20190312161315904"</f>
        <v>20190312161315904</v>
      </c>
      <c r="B2472" t="str">
        <f>"1552378395898431"</f>
        <v>1552378395898431</v>
      </c>
      <c r="C2472" t="s">
        <v>40</v>
      </c>
      <c r="D2472">
        <v>5.6548239999999996</v>
      </c>
      <c r="E2472">
        <v>0.34528759999999997</v>
      </c>
      <c r="F2472" t="s">
        <v>63</v>
      </c>
      <c r="G2472">
        <v>-475.28390000000002</v>
      </c>
      <c r="H2472">
        <v>7.9999490000000006E-2</v>
      </c>
      <c r="I2472">
        <v>206.89490000000001</v>
      </c>
      <c r="J2472">
        <v>-493.4819</v>
      </c>
      <c r="K2472">
        <v>1.1113839999999999</v>
      </c>
      <c r="L2472">
        <v>258.24950000000001</v>
      </c>
      <c r="M2472">
        <v>9.5948809999999995E-3</v>
      </c>
      <c r="N2472">
        <v>0</v>
      </c>
      <c r="O2472">
        <v>-0.99986140000000001</v>
      </c>
      <c r="P2472">
        <v>-4.5038069999999999E-2</v>
      </c>
      <c r="Q2472">
        <v>-3.7345629999999998E-2</v>
      </c>
      <c r="R2472">
        <v>-0.99828709999999998</v>
      </c>
      <c r="S2472">
        <v>1.0798030000000001</v>
      </c>
      <c r="T2472">
        <v>-6.1190609999999999E-2</v>
      </c>
      <c r="U2472">
        <v>-3.053741</v>
      </c>
      <c r="V2472">
        <v>5.4683750000000003E-2</v>
      </c>
      <c r="W2472">
        <v>-2.3596610000000001E-2</v>
      </c>
      <c r="X2472">
        <v>0.99822489999999997</v>
      </c>
      <c r="Y2472">
        <v>-0.32425080000000001</v>
      </c>
      <c r="Z2472">
        <v>1.8917610000000001E-2</v>
      </c>
      <c r="AA2472">
        <v>0.94578200000000001</v>
      </c>
      <c r="AB2472">
        <v>21</v>
      </c>
      <c r="AC2472">
        <v>18.197999999999901</v>
      </c>
      <c r="AD2472">
        <v>-1.0313845100000001</v>
      </c>
      <c r="AE2472">
        <v>-51.354599999999998</v>
      </c>
      <c r="AF2472">
        <v>-17.698033142245901</v>
      </c>
      <c r="AG2472">
        <v>-1.0313845100000001</v>
      </c>
      <c r="AH2472">
        <v>51.508401286485501</v>
      </c>
      <c r="AI2472">
        <v>91.084878683637498</v>
      </c>
      <c r="AJ2472">
        <v>108.96246906591399</v>
      </c>
      <c r="AK2472">
        <v>54.473842660502001</v>
      </c>
      <c r="AL2472">
        <v>91.352111616643796</v>
      </c>
      <c r="AM2472">
        <v>86.86441445557</v>
      </c>
      <c r="AN2472">
        <v>1.00000003174878</v>
      </c>
    </row>
    <row r="2473" spans="1:40" x14ac:dyDescent="0.25">
      <c r="A2473" t="str">
        <f>"20190312161315918"</f>
        <v>20190312161315918</v>
      </c>
      <c r="B2473" t="str">
        <f>"1552378395908191"</f>
        <v>1552378395908191</v>
      </c>
      <c r="C2473" t="s">
        <v>40</v>
      </c>
      <c r="D2473">
        <v>5.8301499999999997</v>
      </c>
      <c r="E2473">
        <v>0.34433570000000002</v>
      </c>
      <c r="F2473" t="s">
        <v>63</v>
      </c>
      <c r="G2473">
        <v>-475.8698</v>
      </c>
      <c r="H2473">
        <v>8.0000059999999998E-2</v>
      </c>
      <c r="I2473">
        <v>209.20910000000001</v>
      </c>
      <c r="J2473">
        <v>-493.47919999999999</v>
      </c>
      <c r="K2473">
        <v>1.1113839999999999</v>
      </c>
      <c r="L2473">
        <v>258.1223</v>
      </c>
      <c r="M2473">
        <v>1.091351E-2</v>
      </c>
      <c r="N2473">
        <v>0</v>
      </c>
      <c r="O2473">
        <v>-0.99984779999999995</v>
      </c>
      <c r="P2473">
        <v>-4.3459680000000001E-2</v>
      </c>
      <c r="Q2473">
        <v>-3.7639850000000002E-2</v>
      </c>
      <c r="R2473">
        <v>-0.99834599999999996</v>
      </c>
      <c r="S2473">
        <v>1.0961609999999999</v>
      </c>
      <c r="T2473">
        <v>-6.4192410000000005E-2</v>
      </c>
      <c r="U2473">
        <v>-3.0522309999999999</v>
      </c>
      <c r="V2473">
        <v>5.4422909999999998E-2</v>
      </c>
      <c r="W2473">
        <v>-2.3893439999999998E-2</v>
      </c>
      <c r="X2473">
        <v>0.99823209999999996</v>
      </c>
      <c r="Y2473">
        <v>-0.32763949999999997</v>
      </c>
      <c r="Z2473">
        <v>1.9824890000000001E-2</v>
      </c>
      <c r="AA2473">
        <v>0.94459479999999996</v>
      </c>
      <c r="AB2473">
        <v>21</v>
      </c>
      <c r="AC2473">
        <v>17.609399999999901</v>
      </c>
      <c r="AD2473">
        <v>-1.03138394</v>
      </c>
      <c r="AE2473">
        <v>-48.913199999999897</v>
      </c>
      <c r="AF2473">
        <v>-17.067768985257899</v>
      </c>
      <c r="AG2473">
        <v>-1.03138394</v>
      </c>
      <c r="AH2473">
        <v>49.083165283402401</v>
      </c>
      <c r="AI2473">
        <v>91.137016158883398</v>
      </c>
      <c r="AJ2473">
        <v>109.17417990438599</v>
      </c>
      <c r="AK2473">
        <v>51.976240775989297</v>
      </c>
      <c r="AL2473">
        <v>91.369123511024199</v>
      </c>
      <c r="AM2473">
        <v>86.879363944816902</v>
      </c>
      <c r="AN2473">
        <v>1.00000003753915</v>
      </c>
    </row>
    <row r="2474" spans="1:40" x14ac:dyDescent="0.25">
      <c r="A2474" t="str">
        <f>"20190312161315932"</f>
        <v>20190312161315932</v>
      </c>
      <c r="B2474" t="str">
        <f>"1552378395928687"</f>
        <v>1552378395928687</v>
      </c>
      <c r="C2474" t="s">
        <v>40</v>
      </c>
      <c r="D2474">
        <v>5.5633990000000004</v>
      </c>
      <c r="E2474">
        <v>0.3404122</v>
      </c>
      <c r="F2474" t="s">
        <v>63</v>
      </c>
      <c r="G2474">
        <v>-475.8417</v>
      </c>
      <c r="H2474">
        <v>1.7662649999999998E-2</v>
      </c>
      <c r="I2474">
        <v>209.61580000000001</v>
      </c>
      <c r="J2474">
        <v>-493.47629999999998</v>
      </c>
      <c r="K2474">
        <v>1.1113839999999999</v>
      </c>
      <c r="L2474">
        <v>257.995</v>
      </c>
      <c r="M2474">
        <v>1.223485E-2</v>
      </c>
      <c r="N2474">
        <v>0</v>
      </c>
      <c r="O2474">
        <v>-0.99983270000000002</v>
      </c>
      <c r="P2474">
        <v>-4.1939589999999999E-2</v>
      </c>
      <c r="Q2474">
        <v>-3.8041619999999998E-2</v>
      </c>
      <c r="R2474">
        <v>-0.99839599999999995</v>
      </c>
      <c r="S2474">
        <v>1.109253</v>
      </c>
      <c r="T2474">
        <v>-6.8786029999999998E-2</v>
      </c>
      <c r="U2474">
        <v>-3.050659</v>
      </c>
      <c r="V2474">
        <v>5.4223380000000002E-2</v>
      </c>
      <c r="W2474">
        <v>-2.4297659999999999E-2</v>
      </c>
      <c r="X2474">
        <v>0.99823309999999998</v>
      </c>
      <c r="Y2474">
        <v>-0.33012000000000002</v>
      </c>
      <c r="Z2474">
        <v>2.1228250000000001E-2</v>
      </c>
      <c r="AA2474">
        <v>0.94370030000000005</v>
      </c>
      <c r="AB2474">
        <v>21</v>
      </c>
      <c r="AC2474">
        <v>17.634599999999899</v>
      </c>
      <c r="AD2474">
        <v>-1.09372135</v>
      </c>
      <c r="AE2474">
        <v>-48.379199999999997</v>
      </c>
      <c r="AF2474">
        <v>-17.033628192360101</v>
      </c>
      <c r="AG2474">
        <v>-1.09372135</v>
      </c>
      <c r="AH2474">
        <v>48.569442921118601</v>
      </c>
      <c r="AI2474">
        <v>91.217340015806698</v>
      </c>
      <c r="AJ2474">
        <v>109.326109464776</v>
      </c>
      <c r="AK2474">
        <v>51.481370431009402</v>
      </c>
      <c r="AL2474">
        <v>91.392290477156394</v>
      </c>
      <c r="AM2474">
        <v>86.890785711137099</v>
      </c>
      <c r="AN2474">
        <v>0.99999993657785302</v>
      </c>
    </row>
    <row r="2475" spans="1:40" x14ac:dyDescent="0.25">
      <c r="A2475" t="str">
        <f>"20190312161315949"</f>
        <v>20190312161315949</v>
      </c>
      <c r="B2475" t="str">
        <f>"1552378395938446"</f>
        <v>1552378395938446</v>
      </c>
      <c r="C2475" t="s">
        <v>40</v>
      </c>
      <c r="D2475">
        <v>5.7513120000000004</v>
      </c>
      <c r="E2475">
        <v>0.34020009999999901</v>
      </c>
      <c r="F2475" t="s">
        <v>41</v>
      </c>
      <c r="G2475">
        <v>-470.02910000000003</v>
      </c>
      <c r="H2475">
        <v>-0.05</v>
      </c>
      <c r="I2475">
        <v>195.48599999999999</v>
      </c>
      <c r="J2475">
        <v>-493.47239999999999</v>
      </c>
      <c r="K2475">
        <v>1.111383</v>
      </c>
      <c r="L2475">
        <v>257.83350000000002</v>
      </c>
      <c r="M2475">
        <v>1.3911410000000001E-2</v>
      </c>
      <c r="N2475">
        <v>0</v>
      </c>
      <c r="O2475">
        <v>-0.9998108</v>
      </c>
      <c r="P2475">
        <v>-3.9571330000000002E-2</v>
      </c>
      <c r="Q2475">
        <v>-3.8522529999999999E-2</v>
      </c>
      <c r="R2475">
        <v>-0.99847430000000004</v>
      </c>
      <c r="S2475">
        <v>1.1443479999999999</v>
      </c>
      <c r="T2475">
        <v>-5.6681629999999997E-2</v>
      </c>
      <c r="U2475">
        <v>-3.0507659999999999</v>
      </c>
      <c r="V2475">
        <v>5.3531009999999997E-2</v>
      </c>
      <c r="W2475">
        <v>-2.4782410000000001E-2</v>
      </c>
      <c r="X2475">
        <v>0.9982586</v>
      </c>
      <c r="Y2475">
        <v>-0.33809339999999999</v>
      </c>
      <c r="Z2475">
        <v>1.743376E-2</v>
      </c>
      <c r="AA2475">
        <v>0.94095099999999998</v>
      </c>
      <c r="AB2475">
        <v>21</v>
      </c>
      <c r="AC2475">
        <v>23.443299999999901</v>
      </c>
      <c r="AD2475">
        <v>-1.1613830000000001</v>
      </c>
      <c r="AE2475">
        <v>-62.347499999999997</v>
      </c>
      <c r="AF2475">
        <v>-22.566748795328699</v>
      </c>
      <c r="AG2475">
        <v>-1.1613830000000001</v>
      </c>
      <c r="AH2475">
        <v>62.648579621898399</v>
      </c>
      <c r="AI2475">
        <v>90.999197166819002</v>
      </c>
      <c r="AJ2475">
        <v>109.809611433638</v>
      </c>
      <c r="AK2475">
        <v>66.599185357671701</v>
      </c>
      <c r="AL2475">
        <v>91.420072906749297</v>
      </c>
      <c r="AM2475">
        <v>86.9304886382142</v>
      </c>
      <c r="AN2475">
        <v>0.999999984675493</v>
      </c>
    </row>
    <row r="2476" spans="1:40" x14ac:dyDescent="0.25">
      <c r="A2476" t="str">
        <f>"20190312161315969"</f>
        <v>20190312161315969</v>
      </c>
      <c r="B2476" t="str">
        <f>"1552378395957967"</f>
        <v>1552378395957967</v>
      </c>
      <c r="C2476" t="s">
        <v>40</v>
      </c>
      <c r="D2476">
        <v>5.6826150000000002</v>
      </c>
      <c r="E2476">
        <v>0.33889360000000002</v>
      </c>
      <c r="F2476" t="s">
        <v>63</v>
      </c>
      <c r="G2476">
        <v>-475.21969999999999</v>
      </c>
      <c r="H2476">
        <v>5.3954479999999999E-2</v>
      </c>
      <c r="I2476">
        <v>209.6122</v>
      </c>
      <c r="J2476">
        <v>-493.4674</v>
      </c>
      <c r="K2476">
        <v>1.111381</v>
      </c>
      <c r="L2476">
        <v>257.64269999999999</v>
      </c>
      <c r="M2476">
        <v>1.5894189999999999E-2</v>
      </c>
      <c r="N2476">
        <v>0</v>
      </c>
      <c r="O2476">
        <v>-0.99978120000000004</v>
      </c>
      <c r="P2476">
        <v>-3.7279199999999998E-2</v>
      </c>
      <c r="Q2476">
        <v>-3.8791529999999998E-2</v>
      </c>
      <c r="R2476">
        <v>-0.99855210000000005</v>
      </c>
      <c r="S2476">
        <v>1.1536249999999999</v>
      </c>
      <c r="T2476">
        <v>-6.6832660000000002E-2</v>
      </c>
      <c r="U2476">
        <v>-3.0477289999999999</v>
      </c>
      <c r="V2476">
        <v>5.322002E-2</v>
      </c>
      <c r="W2476">
        <v>-2.5054779999999999E-2</v>
      </c>
      <c r="X2476">
        <v>0.99826839999999994</v>
      </c>
      <c r="Y2476">
        <v>-0.33902189999999999</v>
      </c>
      <c r="Z2476">
        <v>2.0558659999999999E-2</v>
      </c>
      <c r="AA2476">
        <v>0.9405538</v>
      </c>
      <c r="AB2476">
        <v>21</v>
      </c>
      <c r="AC2476">
        <v>18.247699999999998</v>
      </c>
      <c r="AD2476">
        <v>-1.0574265199999999</v>
      </c>
      <c r="AE2476">
        <v>-48.030499999999897</v>
      </c>
      <c r="AF2476">
        <v>-17.474516572366198</v>
      </c>
      <c r="AG2476">
        <v>-1.0574265199999999</v>
      </c>
      <c r="AH2476">
        <v>48.294035598725998</v>
      </c>
      <c r="AI2476">
        <v>91.179508376662397</v>
      </c>
      <c r="AJ2476">
        <v>109.891943451305</v>
      </c>
      <c r="AK2476">
        <v>51.369161514415602</v>
      </c>
      <c r="AL2476">
        <v>91.435683447737205</v>
      </c>
      <c r="AM2476">
        <v>86.948317153346395</v>
      </c>
      <c r="AN2476">
        <v>0.99999995548410303</v>
      </c>
    </row>
    <row r="2477" spans="1:40" x14ac:dyDescent="0.25">
      <c r="A2477" t="str">
        <f>"20190312161315983"</f>
        <v>20190312161315983</v>
      </c>
      <c r="B2477" t="str">
        <f>"1552378395978462"</f>
        <v>1552378395978462</v>
      </c>
      <c r="C2477" t="s">
        <v>40</v>
      </c>
      <c r="D2477">
        <v>5.6602040000000002</v>
      </c>
      <c r="E2477">
        <v>0.33794970000000002</v>
      </c>
      <c r="F2477" t="s">
        <v>63</v>
      </c>
      <c r="G2477">
        <v>-475.19580000000002</v>
      </c>
      <c r="H2477" s="1">
        <v>3.4578300000000001E-6</v>
      </c>
      <c r="I2477">
        <v>210.1216</v>
      </c>
      <c r="J2477">
        <v>-493.46379999999999</v>
      </c>
      <c r="K2477">
        <v>1.1113789999999999</v>
      </c>
      <c r="L2477">
        <v>257.51459999999997</v>
      </c>
      <c r="M2477">
        <v>1.7226599999999901E-2</v>
      </c>
      <c r="N2477">
        <v>0</v>
      </c>
      <c r="O2477">
        <v>-0.99975930000000002</v>
      </c>
      <c r="P2477">
        <v>-3.5628710000000001E-2</v>
      </c>
      <c r="Q2477">
        <v>-3.8738340000000003E-2</v>
      </c>
      <c r="R2477">
        <v>-0.99861449999999996</v>
      </c>
      <c r="S2477">
        <v>1.170898</v>
      </c>
      <c r="T2477">
        <v>-7.1220519999999995E-2</v>
      </c>
      <c r="U2477">
        <v>-3.0453030000000001</v>
      </c>
      <c r="V2477">
        <v>5.290048E-2</v>
      </c>
      <c r="W2477">
        <v>-2.5004160000000001E-2</v>
      </c>
      <c r="X2477">
        <v>0.99828669999999997</v>
      </c>
      <c r="Y2477">
        <v>-0.34266010000000002</v>
      </c>
      <c r="Z2477">
        <v>2.1887050000000002E-2</v>
      </c>
      <c r="AA2477">
        <v>0.9392045</v>
      </c>
      <c r="AB2477">
        <v>21</v>
      </c>
      <c r="AC2477">
        <v>18.267999999999901</v>
      </c>
      <c r="AD2477">
        <v>-1.11137554217</v>
      </c>
      <c r="AE2477">
        <v>-47.392999999999901</v>
      </c>
      <c r="AF2477">
        <v>-17.4404430415793</v>
      </c>
      <c r="AG2477">
        <v>-1.11137554217</v>
      </c>
      <c r="AH2477">
        <v>47.677863640066697</v>
      </c>
      <c r="AI2477">
        <v>91.254086800569198</v>
      </c>
      <c r="AJ2477">
        <v>110.092393030758</v>
      </c>
      <c r="AK2477">
        <v>50.779748821386498</v>
      </c>
      <c r="AL2477">
        <v>91.432782159532806</v>
      </c>
      <c r="AM2477">
        <v>86.966661039038698</v>
      </c>
      <c r="AN2477">
        <v>1.0000000020992099</v>
      </c>
    </row>
    <row r="2478" spans="1:40" x14ac:dyDescent="0.25">
      <c r="A2478" t="str">
        <f>"20190312161316004"</f>
        <v>20190312161316004</v>
      </c>
      <c r="B2478" t="str">
        <f>"1552378395997982"</f>
        <v>1552378395997982</v>
      </c>
      <c r="C2478" t="s">
        <v>40</v>
      </c>
      <c r="D2478">
        <v>5.6346480000000003</v>
      </c>
      <c r="E2478">
        <v>0.33805570000000001</v>
      </c>
      <c r="F2478" t="s">
        <v>63</v>
      </c>
      <c r="G2478">
        <v>-474.83210000000003</v>
      </c>
      <c r="H2478">
        <v>5.1129859999999999E-2</v>
      </c>
      <c r="I2478">
        <v>209.61519999999999</v>
      </c>
      <c r="J2478">
        <v>-493.4581</v>
      </c>
      <c r="K2478">
        <v>1.11137</v>
      </c>
      <c r="L2478">
        <v>257.31959999999998</v>
      </c>
      <c r="M2478">
        <v>1.9254919999999998E-2</v>
      </c>
      <c r="N2478">
        <v>0</v>
      </c>
      <c r="O2478">
        <v>-0.99972220000000001</v>
      </c>
      <c r="P2478">
        <v>-3.3102199999999998E-2</v>
      </c>
      <c r="Q2478">
        <v>-3.904212E-2</v>
      </c>
      <c r="R2478">
        <v>-0.9986893</v>
      </c>
      <c r="S2478">
        <v>1.1839599999999999</v>
      </c>
      <c r="T2478">
        <v>-6.7374110000000001E-2</v>
      </c>
      <c r="U2478">
        <v>-3.043793</v>
      </c>
      <c r="V2478">
        <v>5.2401099999999999E-2</v>
      </c>
      <c r="W2478">
        <v>-2.5311839999999999E-2</v>
      </c>
      <c r="X2478">
        <v>0.99830529999999995</v>
      </c>
      <c r="Y2478">
        <v>-0.34442460000000003</v>
      </c>
      <c r="Z2478">
        <v>2.0691600000000001E-2</v>
      </c>
      <c r="AA2478">
        <v>0.93858589999999997</v>
      </c>
      <c r="AB2478">
        <v>21</v>
      </c>
      <c r="AC2478">
        <v>18.625999999999902</v>
      </c>
      <c r="AD2478">
        <v>-1.0602401400000001</v>
      </c>
      <c r="AE2478">
        <v>-47.7043999999999</v>
      </c>
      <c r="AF2478">
        <v>-17.6963319885954</v>
      </c>
      <c r="AG2478">
        <v>-1.0602401400000001</v>
      </c>
      <c r="AH2478">
        <v>48.033641500664999</v>
      </c>
      <c r="AI2478">
        <v>91.186538254217197</v>
      </c>
      <c r="AJ2478">
        <v>110.224572943769</v>
      </c>
      <c r="AK2478">
        <v>51.200732326983903</v>
      </c>
      <c r="AL2478">
        <v>91.450416483043895</v>
      </c>
      <c r="AM2478">
        <v>86.995298886861306</v>
      </c>
      <c r="AN2478">
        <v>1.0000000182667399</v>
      </c>
    </row>
    <row r="2479" spans="1:40" x14ac:dyDescent="0.25">
      <c r="A2479" t="str">
        <f>"20190312161316026"</f>
        <v>20190312161316026</v>
      </c>
      <c r="B2479" t="str">
        <f>"1552378396018478"</f>
        <v>1552378396018478</v>
      </c>
      <c r="C2479" t="s">
        <v>40</v>
      </c>
      <c r="D2479">
        <v>5.5012869999999996</v>
      </c>
      <c r="E2479">
        <v>0.33724769999999998</v>
      </c>
      <c r="F2479" t="s">
        <v>63</v>
      </c>
      <c r="G2479">
        <v>-474.85669999999999</v>
      </c>
      <c r="H2479" s="1">
        <v>3.5950299999999999E-6</v>
      </c>
      <c r="I2479">
        <v>209.8193</v>
      </c>
      <c r="J2479">
        <v>-493.45170000000002</v>
      </c>
      <c r="K2479">
        <v>1.111372</v>
      </c>
      <c r="L2479">
        <v>257.11810000000003</v>
      </c>
      <c r="M2479">
        <v>2.1352070000000001E-2</v>
      </c>
      <c r="N2479">
        <v>0</v>
      </c>
      <c r="O2479">
        <v>-0.99967950000000005</v>
      </c>
      <c r="P2479">
        <v>-3.0582089999999999E-2</v>
      </c>
      <c r="Q2479">
        <v>-3.9139510000000002E-2</v>
      </c>
      <c r="R2479">
        <v>-0.99876580000000004</v>
      </c>
      <c r="S2479">
        <v>1.1907350000000001</v>
      </c>
      <c r="T2479">
        <v>-7.1142079999999996E-2</v>
      </c>
      <c r="U2479">
        <v>-3.0406490000000002</v>
      </c>
      <c r="V2479">
        <v>5.1976580000000001E-2</v>
      </c>
      <c r="W2479">
        <v>-2.5413100000000001E-2</v>
      </c>
      <c r="X2479">
        <v>0.99832489999999996</v>
      </c>
      <c r="Y2479">
        <v>-0.34458860000000002</v>
      </c>
      <c r="Z2479">
        <v>2.1858610000000001E-2</v>
      </c>
      <c r="AA2479">
        <v>0.93849930000000004</v>
      </c>
      <c r="AB2479">
        <v>21</v>
      </c>
      <c r="AC2479">
        <v>18.594999999999999</v>
      </c>
      <c r="AD2479">
        <v>-1.1113684049699999</v>
      </c>
      <c r="AE2479">
        <v>-47.2988</v>
      </c>
      <c r="AF2479">
        <v>-17.5723362817407</v>
      </c>
      <c r="AG2479">
        <v>-1.1113684049699999</v>
      </c>
      <c r="AH2479">
        <v>47.6623016160746</v>
      </c>
      <c r="AI2479">
        <v>91.253317156784902</v>
      </c>
      <c r="AJ2479">
        <v>110.238132284983</v>
      </c>
      <c r="AK2479">
        <v>50.810600640730598</v>
      </c>
      <c r="AL2479">
        <v>91.456220149652694</v>
      </c>
      <c r="AM2479">
        <v>87.019655384768399</v>
      </c>
      <c r="AN2479">
        <v>0.99999999824005803</v>
      </c>
    </row>
    <row r="2480" spans="1:40" x14ac:dyDescent="0.25">
      <c r="A2480" t="str">
        <f>"20190312161316038"</f>
        <v>20190312161316038</v>
      </c>
      <c r="B2480" t="str">
        <f>"1552378396028238"</f>
        <v>1552378396028238</v>
      </c>
      <c r="C2480" t="s">
        <v>40</v>
      </c>
      <c r="D2480">
        <v>5.5295909999999999</v>
      </c>
      <c r="E2480">
        <v>0.33668100000000001</v>
      </c>
      <c r="F2480" t="s">
        <v>63</v>
      </c>
      <c r="G2480">
        <v>-473.70370000000003</v>
      </c>
      <c r="H2480">
        <v>7.999974E-2</v>
      </c>
      <c r="I2480">
        <v>207.3005</v>
      </c>
      <c r="J2480">
        <v>-493.44799999999998</v>
      </c>
      <c r="K2480">
        <v>1.1113729999999999</v>
      </c>
      <c r="L2480">
        <v>257.00749999999999</v>
      </c>
      <c r="M2480">
        <v>2.2503280000000001E-2</v>
      </c>
      <c r="N2480">
        <v>0</v>
      </c>
      <c r="O2480">
        <v>-0.9996545</v>
      </c>
      <c r="P2480">
        <v>-2.9488779999999999E-2</v>
      </c>
      <c r="Q2480">
        <v>-3.9353739999999998E-2</v>
      </c>
      <c r="R2480">
        <v>-0.99879050000000003</v>
      </c>
      <c r="S2480">
        <v>1.204315</v>
      </c>
      <c r="T2480">
        <v>-6.2897439999999999E-2</v>
      </c>
      <c r="U2480">
        <v>-3.0380859999999998</v>
      </c>
      <c r="V2480">
        <v>5.203377E-2</v>
      </c>
      <c r="W2480">
        <v>-2.5628979999999999E-2</v>
      </c>
      <c r="X2480">
        <v>0.99831639999999999</v>
      </c>
      <c r="Y2480">
        <v>-0.34742509999999999</v>
      </c>
      <c r="Z2480">
        <v>1.9315220000000001E-2</v>
      </c>
      <c r="AA2480">
        <v>0.93750880000000003</v>
      </c>
      <c r="AB2480">
        <v>21</v>
      </c>
      <c r="AC2480">
        <v>19.744299999999999</v>
      </c>
      <c r="AD2480">
        <v>-1.0313732599999901</v>
      </c>
      <c r="AE2480">
        <v>-49.707000000000001</v>
      </c>
      <c r="AF2480">
        <v>-18.613703921014299</v>
      </c>
      <c r="AG2480">
        <v>-1.0313732599999901</v>
      </c>
      <c r="AH2480">
        <v>50.120125521528102</v>
      </c>
      <c r="AI2480">
        <v>91.105136111682</v>
      </c>
      <c r="AJ2480">
        <v>110.37408175105</v>
      </c>
      <c r="AK2480">
        <v>53.4748603247765</v>
      </c>
      <c r="AL2480">
        <v>91.468593195699796</v>
      </c>
      <c r="AM2480">
        <v>87.016356666094296</v>
      </c>
      <c r="AN2480">
        <v>0.99999999617260604</v>
      </c>
    </row>
    <row r="2481" spans="1:40" x14ac:dyDescent="0.25">
      <c r="A2481" t="str">
        <f>"20190312161316064"</f>
        <v>20190312161316064</v>
      </c>
      <c r="B2481" t="str">
        <f>"1552378396058495"</f>
        <v>1552378396058495</v>
      </c>
      <c r="C2481" t="s">
        <v>40</v>
      </c>
      <c r="D2481">
        <v>5.5381019999999896</v>
      </c>
      <c r="E2481">
        <v>0.33573940000000002</v>
      </c>
      <c r="F2481" t="s">
        <v>41</v>
      </c>
      <c r="G2481">
        <v>-469.64679999999998</v>
      </c>
      <c r="H2481">
        <v>-0.05</v>
      </c>
      <c r="I2481">
        <v>197.3783</v>
      </c>
      <c r="J2481">
        <v>-493.43970000000002</v>
      </c>
      <c r="K2481">
        <v>1.1113740000000001</v>
      </c>
      <c r="L2481">
        <v>256.77109999999999</v>
      </c>
      <c r="M2481">
        <v>2.4963550000000001E-2</v>
      </c>
      <c r="N2481">
        <v>0</v>
      </c>
      <c r="O2481">
        <v>-0.99959600000000004</v>
      </c>
      <c r="P2481">
        <v>-2.6967709999999999E-2</v>
      </c>
      <c r="Q2481">
        <v>-3.9283749999999999E-2</v>
      </c>
      <c r="R2481">
        <v>-0.99886439999999999</v>
      </c>
      <c r="S2481">
        <v>1.21228</v>
      </c>
      <c r="T2481">
        <v>-5.9152839999999998E-2</v>
      </c>
      <c r="U2481">
        <v>-3.0371250000000001</v>
      </c>
      <c r="V2481">
        <v>5.1970759999999998E-2</v>
      </c>
      <c r="W2481">
        <v>-2.5562499999999998E-2</v>
      </c>
      <c r="X2481">
        <v>0.99832140000000003</v>
      </c>
      <c r="Y2481">
        <v>-0.34734969999999998</v>
      </c>
      <c r="Z2481">
        <v>1.8161190000000001E-2</v>
      </c>
      <c r="AA2481">
        <v>0.93755980000000005</v>
      </c>
      <c r="AB2481">
        <v>21</v>
      </c>
      <c r="AC2481">
        <v>23.792899999999999</v>
      </c>
      <c r="AD2481">
        <v>-1.1613739999999999</v>
      </c>
      <c r="AE2481">
        <v>-59.392800000000001</v>
      </c>
      <c r="AF2481">
        <v>-22.295345792706101</v>
      </c>
      <c r="AG2481">
        <v>-1.1613739999999999</v>
      </c>
      <c r="AH2481">
        <v>59.948545367987698</v>
      </c>
      <c r="AI2481">
        <v>91.040248307396595</v>
      </c>
      <c r="AJ2481">
        <v>110.400572300142</v>
      </c>
      <c r="AK2481">
        <v>63.970769303814798</v>
      </c>
      <c r="AL2481">
        <v>91.464782904398206</v>
      </c>
      <c r="AM2481">
        <v>87.019978074115897</v>
      </c>
      <c r="AN2481">
        <v>1.00000000949959</v>
      </c>
    </row>
    <row r="2482" spans="1:40" x14ac:dyDescent="0.25">
      <c r="A2482" t="str">
        <f>"20190312161316083"</f>
        <v>20190312161316083</v>
      </c>
      <c r="B2482" t="str">
        <f>"1552378396078014"</f>
        <v>1552378396078014</v>
      </c>
      <c r="C2482" t="s">
        <v>40</v>
      </c>
      <c r="D2482">
        <v>5.5098390000000004</v>
      </c>
      <c r="E2482">
        <v>0.33487080000000002</v>
      </c>
      <c r="F2482" t="s">
        <v>41</v>
      </c>
      <c r="G2482">
        <v>-467.03980000000001</v>
      </c>
      <c r="H2482">
        <v>-0.05</v>
      </c>
      <c r="I2482">
        <v>191.47730000000001</v>
      </c>
      <c r="J2482">
        <v>-493.4332</v>
      </c>
      <c r="K2482">
        <v>1.1113740000000001</v>
      </c>
      <c r="L2482">
        <v>256.59679999999997</v>
      </c>
      <c r="M2482">
        <v>2.6778079999999999E-2</v>
      </c>
      <c r="N2482">
        <v>0</v>
      </c>
      <c r="O2482">
        <v>-0.99954920000000003</v>
      </c>
      <c r="P2482">
        <v>-2.4650100000000001E-2</v>
      </c>
      <c r="Q2482">
        <v>-3.9531570000000002E-2</v>
      </c>
      <c r="R2482">
        <v>-0.99891450000000004</v>
      </c>
      <c r="S2482">
        <v>1.226898</v>
      </c>
      <c r="T2482">
        <v>-5.3973199999999999E-2</v>
      </c>
      <c r="U2482">
        <v>-3.0344389999999999</v>
      </c>
      <c r="V2482">
        <v>5.1467249999999999E-2</v>
      </c>
      <c r="W2482">
        <v>-2.5814030000000002E-2</v>
      </c>
      <c r="X2482">
        <v>0.99834100000000003</v>
      </c>
      <c r="Y2482">
        <v>-0.34983069999999999</v>
      </c>
      <c r="Z2482">
        <v>1.6561599999999999E-2</v>
      </c>
      <c r="AA2482">
        <v>0.93666649999999996</v>
      </c>
      <c r="AB2482">
        <v>21</v>
      </c>
      <c r="AC2482">
        <v>26.3933999999999</v>
      </c>
      <c r="AD2482">
        <v>-1.1613739999999999</v>
      </c>
      <c r="AE2482">
        <v>-65.119499999999903</v>
      </c>
      <c r="AF2482">
        <v>-24.633268144252501</v>
      </c>
      <c r="AG2482">
        <v>-1.1613739999999999</v>
      </c>
      <c r="AH2482">
        <v>65.785001863935094</v>
      </c>
      <c r="AI2482">
        <v>90.947185753844806</v>
      </c>
      <c r="AJ2482">
        <v>110.52846934625001</v>
      </c>
      <c r="AK2482">
        <v>70.255342567469299</v>
      </c>
      <c r="AL2482">
        <v>91.479199287400505</v>
      </c>
      <c r="AM2482">
        <v>87.0488560668513</v>
      </c>
      <c r="AN2482">
        <v>0.99999999712420096</v>
      </c>
    </row>
    <row r="2483" spans="1:40" x14ac:dyDescent="0.25">
      <c r="A2483" t="str">
        <f>"20190312161316097"</f>
        <v>20190312161316097</v>
      </c>
      <c r="B2483" t="str">
        <f>"1552378396088751"</f>
        <v>1552378396088751</v>
      </c>
      <c r="C2483" t="s">
        <v>40</v>
      </c>
      <c r="D2483">
        <v>5.5101199999999997</v>
      </c>
      <c r="E2483">
        <v>0.334513</v>
      </c>
      <c r="F2483" t="s">
        <v>79</v>
      </c>
      <c r="G2483">
        <v>-469.1841</v>
      </c>
      <c r="H2483">
        <v>0.1254749</v>
      </c>
      <c r="I2483">
        <v>197.345</v>
      </c>
      <c r="J2483">
        <v>-493.42840000000001</v>
      </c>
      <c r="K2483">
        <v>1.1113690000000001</v>
      </c>
      <c r="L2483">
        <v>256.47230000000002</v>
      </c>
      <c r="M2483">
        <v>2.8073529999999999E-2</v>
      </c>
      <c r="N2483">
        <v>0</v>
      </c>
      <c r="O2483">
        <v>-0.9995136</v>
      </c>
      <c r="P2483">
        <v>-2.3269680000000001E-2</v>
      </c>
      <c r="Q2483">
        <v>-3.9524379999999998E-2</v>
      </c>
      <c r="R2483">
        <v>-0.99894810000000001</v>
      </c>
      <c r="S2483">
        <v>1.2408140000000001</v>
      </c>
      <c r="T2483">
        <v>-5.044568E-2</v>
      </c>
      <c r="U2483">
        <v>-3.03186</v>
      </c>
      <c r="V2483">
        <v>5.1381459999999997E-2</v>
      </c>
      <c r="W2483">
        <v>-2.5808910000000001E-2</v>
      </c>
      <c r="X2483">
        <v>0.99834560000000006</v>
      </c>
      <c r="Y2483">
        <v>-0.35258679999999998</v>
      </c>
      <c r="Z2483">
        <v>1.546968E-2</v>
      </c>
      <c r="AA2483">
        <v>0.93565120000000002</v>
      </c>
      <c r="AB2483">
        <v>21</v>
      </c>
      <c r="AC2483">
        <v>24.244299999999999</v>
      </c>
      <c r="AD2483">
        <v>-0.9858941</v>
      </c>
      <c r="AE2483">
        <v>-59.127299999999998</v>
      </c>
      <c r="AF2483">
        <v>-22.569305778554298</v>
      </c>
      <c r="AG2483">
        <v>-0.9858941</v>
      </c>
      <c r="AH2483">
        <v>59.770451260689498</v>
      </c>
      <c r="AI2483">
        <v>90.884073338768104</v>
      </c>
      <c r="AJ2483">
        <v>110.686522491291</v>
      </c>
      <c r="AK2483">
        <v>63.897201772916198</v>
      </c>
      <c r="AL2483">
        <v>91.478905763452801</v>
      </c>
      <c r="AM2483">
        <v>87.053780162242802</v>
      </c>
      <c r="AN2483">
        <v>1.0000000456532301</v>
      </c>
    </row>
    <row r="2484" spans="1:40" x14ac:dyDescent="0.25">
      <c r="A2484" t="str">
        <f>"20190312161316111"</f>
        <v>20190312161316111</v>
      </c>
      <c r="B2484" t="str">
        <f>"1552378396108270"</f>
        <v>1552378396108270</v>
      </c>
      <c r="C2484" t="s">
        <v>40</v>
      </c>
      <c r="D2484">
        <v>5.4756320000000001</v>
      </c>
      <c r="E2484">
        <v>0.3338912</v>
      </c>
      <c r="F2484" t="s">
        <v>79</v>
      </c>
      <c r="G2484">
        <v>-469.0761</v>
      </c>
      <c r="H2484">
        <v>0.18094869999999999</v>
      </c>
      <c r="I2484">
        <v>197.345</v>
      </c>
      <c r="J2484">
        <v>-493.42340000000002</v>
      </c>
      <c r="K2484">
        <v>1.1113660000000001</v>
      </c>
      <c r="L2484">
        <v>256.34570000000002</v>
      </c>
      <c r="M2484">
        <v>2.9391770000000001E-2</v>
      </c>
      <c r="N2484">
        <v>0</v>
      </c>
      <c r="O2484">
        <v>-0.99947569999999997</v>
      </c>
      <c r="P2484">
        <v>-2.172485E-2</v>
      </c>
      <c r="Q2484">
        <v>-3.9610720000000002E-2</v>
      </c>
      <c r="R2484">
        <v>-0.99897930000000001</v>
      </c>
      <c r="S2484">
        <v>1.2480770000000001</v>
      </c>
      <c r="T2484">
        <v>-4.7682759999999998E-2</v>
      </c>
      <c r="U2484">
        <v>-3.030319</v>
      </c>
      <c r="V2484">
        <v>5.1154440000000002E-2</v>
      </c>
      <c r="W2484">
        <v>-2.5897739999999999E-2</v>
      </c>
      <c r="X2484">
        <v>0.99835490000000005</v>
      </c>
      <c r="Y2484">
        <v>-0.35344309999999901</v>
      </c>
      <c r="Z2484">
        <v>1.4619790000000001E-2</v>
      </c>
      <c r="AA2484">
        <v>0.9353418</v>
      </c>
      <c r="AB2484">
        <v>21</v>
      </c>
      <c r="AC2484">
        <v>24.347300000000001</v>
      </c>
      <c r="AD2484">
        <v>-0.9304173</v>
      </c>
      <c r="AE2484">
        <v>-59.000700000000002</v>
      </c>
      <c r="AF2484">
        <v>-22.5976824182918</v>
      </c>
      <c r="AG2484">
        <v>-0.9304173</v>
      </c>
      <c r="AH2484">
        <v>59.678200090956302</v>
      </c>
      <c r="AI2484">
        <v>90.835330111508796</v>
      </c>
      <c r="AJ2484">
        <v>110.739618012273</v>
      </c>
      <c r="AK2484">
        <v>63.820126082030903</v>
      </c>
      <c r="AL2484">
        <v>91.483997134653407</v>
      </c>
      <c r="AM2484">
        <v>87.066802012931902</v>
      </c>
      <c r="AN2484">
        <v>0.99999998801141499</v>
      </c>
    </row>
    <row r="2485" spans="1:40" x14ac:dyDescent="0.25">
      <c r="A2485" t="str">
        <f>"20190312161316129"</f>
        <v>20190312161316129</v>
      </c>
      <c r="B2485" t="str">
        <f>"1552378396118030"</f>
        <v>1552378396118030</v>
      </c>
      <c r="C2485" t="s">
        <v>40</v>
      </c>
      <c r="D2485">
        <v>5.4618789999999997</v>
      </c>
      <c r="E2485">
        <v>0.33362979999999998</v>
      </c>
      <c r="F2485" t="s">
        <v>79</v>
      </c>
      <c r="G2485">
        <v>-468.93419999999998</v>
      </c>
      <c r="H2485">
        <v>0.30662200000000001</v>
      </c>
      <c r="I2485">
        <v>197.345</v>
      </c>
      <c r="J2485">
        <v>-493.41640000000001</v>
      </c>
      <c r="K2485">
        <v>1.1113660000000001</v>
      </c>
      <c r="L2485">
        <v>256.17840000000001</v>
      </c>
      <c r="M2485">
        <v>3.1132859999999998E-2</v>
      </c>
      <c r="N2485">
        <v>0</v>
      </c>
      <c r="O2485">
        <v>-0.99942319999999996</v>
      </c>
      <c r="P2485">
        <v>-1.9573460000000001E-2</v>
      </c>
      <c r="Q2485">
        <v>-3.933296E-2</v>
      </c>
      <c r="R2485">
        <v>-0.99903459999999999</v>
      </c>
      <c r="S2485">
        <v>1.2571410000000001</v>
      </c>
      <c r="T2485">
        <v>-4.1309239999999997E-2</v>
      </c>
      <c r="U2485">
        <v>-3.0287630000000001</v>
      </c>
      <c r="V2485">
        <v>5.0743169999999997E-2</v>
      </c>
      <c r="W2485">
        <v>-2.5623179999999999E-2</v>
      </c>
      <c r="X2485">
        <v>0.99838300000000002</v>
      </c>
      <c r="Y2485">
        <v>-0.35438309999999901</v>
      </c>
      <c r="Z2485">
        <v>1.266169E-2</v>
      </c>
      <c r="AA2485">
        <v>0.93501460000000003</v>
      </c>
      <c r="AB2485">
        <v>21</v>
      </c>
      <c r="AC2485">
        <v>24.482199999999999</v>
      </c>
      <c r="AD2485">
        <v>-0.80474400000000001</v>
      </c>
      <c r="AE2485">
        <v>-58.833399999999997</v>
      </c>
      <c r="AF2485">
        <v>-22.634899798316098</v>
      </c>
      <c r="AG2485">
        <v>-0.80474400000000001</v>
      </c>
      <c r="AH2485">
        <v>59.557648270306501</v>
      </c>
      <c r="AI2485">
        <v>90.723641679787605</v>
      </c>
      <c r="AJ2485">
        <v>110.809307372955</v>
      </c>
      <c r="AK2485">
        <v>63.718912178998202</v>
      </c>
      <c r="AL2485">
        <v>91.468260742371996</v>
      </c>
      <c r="AM2485">
        <v>87.090425319694404</v>
      </c>
      <c r="AN2485">
        <v>1.0000000156719799</v>
      </c>
    </row>
    <row r="2486" spans="1:40" x14ac:dyDescent="0.25">
      <c r="A2486" t="str">
        <f>"20190312161316150"</f>
        <v>20190312161316150</v>
      </c>
      <c r="B2486" t="str">
        <f>"1552378396138058"</f>
        <v>1552378396138058</v>
      </c>
      <c r="C2486" t="s">
        <v>40</v>
      </c>
      <c r="D2486">
        <v>5.4655449999999997</v>
      </c>
      <c r="E2486">
        <v>0.33320909999999998</v>
      </c>
      <c r="F2486" t="s">
        <v>79</v>
      </c>
      <c r="G2486">
        <v>-468.81450000000001</v>
      </c>
      <c r="H2486">
        <v>0.39490510000000001</v>
      </c>
      <c r="I2486">
        <v>197.345</v>
      </c>
      <c r="J2486">
        <v>-493.40789999999998</v>
      </c>
      <c r="K2486">
        <v>1.1113660000000001</v>
      </c>
      <c r="L2486">
        <v>255.98349999999999</v>
      </c>
      <c r="M2486">
        <v>3.3161210000000003E-2</v>
      </c>
      <c r="N2486">
        <v>0</v>
      </c>
      <c r="O2486">
        <v>-0.99935779999999996</v>
      </c>
      <c r="P2486">
        <v>-1.701389E-2</v>
      </c>
      <c r="Q2486">
        <v>-3.8909220000000001E-2</v>
      </c>
      <c r="R2486">
        <v>-0.99909800000000004</v>
      </c>
      <c r="S2486">
        <v>1.265442</v>
      </c>
      <c r="T2486">
        <v>-3.685045E-2</v>
      </c>
      <c r="U2486">
        <v>-3.0261840000000002</v>
      </c>
      <c r="V2486">
        <v>5.0210999999999999E-2</v>
      </c>
      <c r="W2486">
        <v>-2.5203199999999999E-2</v>
      </c>
      <c r="X2486">
        <v>0.99842059999999999</v>
      </c>
      <c r="Y2486">
        <v>-0.35495860000000001</v>
      </c>
      <c r="Z2486">
        <v>1.1295970000000001E-2</v>
      </c>
      <c r="AA2486">
        <v>0.93481369999999997</v>
      </c>
      <c r="AB2486">
        <v>21</v>
      </c>
      <c r="AC2486">
        <v>24.5933999999999</v>
      </c>
      <c r="AD2486">
        <v>-0.71646089999999996</v>
      </c>
      <c r="AE2486">
        <v>-58.638499999999901</v>
      </c>
      <c r="AF2486">
        <v>-22.632295407345101</v>
      </c>
      <c r="AG2486">
        <v>-0.71646089999999996</v>
      </c>
      <c r="AH2486">
        <v>59.414322965363397</v>
      </c>
      <c r="AI2486">
        <v>90.645629565675904</v>
      </c>
      <c r="AJ2486">
        <v>110.852999130196</v>
      </c>
      <c r="AK2486">
        <v>63.582984241533303</v>
      </c>
      <c r="AL2486">
        <v>91.444189880514102</v>
      </c>
      <c r="AM2486">
        <v>87.120996172954904</v>
      </c>
      <c r="AN2486">
        <v>1.0000000201577901</v>
      </c>
    </row>
    <row r="2487" spans="1:40" x14ac:dyDescent="0.25">
      <c r="A2487" t="str">
        <f>"20190312161316162"</f>
        <v>20190312161316162</v>
      </c>
      <c r="B2487" t="str">
        <f>"1552378396158553"</f>
        <v>1552378396158553</v>
      </c>
      <c r="C2487" t="s">
        <v>40</v>
      </c>
      <c r="D2487">
        <v>5.4726210000000002</v>
      </c>
      <c r="E2487">
        <v>0.33293260000000002</v>
      </c>
      <c r="F2487" t="s">
        <v>79</v>
      </c>
      <c r="G2487">
        <v>-468.6456</v>
      </c>
      <c r="H2487">
        <v>0.48683310000000002</v>
      </c>
      <c r="I2487">
        <v>197.345</v>
      </c>
      <c r="J2487">
        <v>-493.40260000000001</v>
      </c>
      <c r="K2487">
        <v>1.111367</v>
      </c>
      <c r="L2487">
        <v>255.8673</v>
      </c>
      <c r="M2487">
        <v>3.4370869999999998E-2</v>
      </c>
      <c r="N2487">
        <v>0</v>
      </c>
      <c r="O2487">
        <v>-0.99931700000000001</v>
      </c>
      <c r="P2487">
        <v>-1.5446649999999999E-2</v>
      </c>
      <c r="Q2487">
        <v>-3.8718750000000003E-2</v>
      </c>
      <c r="R2487">
        <v>-0.9991314</v>
      </c>
      <c r="S2487">
        <v>1.276672</v>
      </c>
      <c r="T2487">
        <v>-3.2197000000000003E-2</v>
      </c>
      <c r="U2487">
        <v>-3.023209</v>
      </c>
      <c r="V2487">
        <v>4.9853139999999997E-2</v>
      </c>
      <c r="W2487">
        <v>-2.5014979999999999E-2</v>
      </c>
      <c r="X2487">
        <v>0.99844319999999998</v>
      </c>
      <c r="Y2487">
        <v>-0.35711039999999999</v>
      </c>
      <c r="Z2487">
        <v>9.8670149999999998E-3</v>
      </c>
      <c r="AA2487">
        <v>0.93401009999999995</v>
      </c>
      <c r="AB2487">
        <v>21</v>
      </c>
      <c r="AC2487">
        <v>24.757000000000001</v>
      </c>
      <c r="AD2487">
        <v>-0.62453389999999998</v>
      </c>
      <c r="AE2487">
        <v>-58.522300000000001</v>
      </c>
      <c r="AF2487">
        <v>-22.728526393206899</v>
      </c>
      <c r="AG2487">
        <v>-0.62453389999999998</v>
      </c>
      <c r="AH2487">
        <v>59.332982076724299</v>
      </c>
      <c r="AI2487">
        <v>90.563165313389405</v>
      </c>
      <c r="AJ2487">
        <v>110.960203472093</v>
      </c>
      <c r="AK2487">
        <v>63.5403707631285</v>
      </c>
      <c r="AL2487">
        <v>91.433402362496395</v>
      </c>
      <c r="AM2487">
        <v>87.141545631146499</v>
      </c>
      <c r="AN2487">
        <v>0.99999995420924803</v>
      </c>
    </row>
    <row r="2488" spans="1:40" x14ac:dyDescent="0.25">
      <c r="A2488" t="str">
        <f>"20190312161316183"</f>
        <v>20190312161316183</v>
      </c>
      <c r="B2488" t="str">
        <f>"1552378396178073"</f>
        <v>1552378396178073</v>
      </c>
      <c r="C2488" t="s">
        <v>40</v>
      </c>
      <c r="D2488">
        <v>5.5019650000000002</v>
      </c>
      <c r="E2488">
        <v>0.33269720000000003</v>
      </c>
      <c r="F2488" t="s">
        <v>79</v>
      </c>
      <c r="G2488">
        <v>-468.53460000000001</v>
      </c>
      <c r="H2488">
        <v>0.5581431</v>
      </c>
      <c r="I2488">
        <v>197.345</v>
      </c>
      <c r="J2488">
        <v>-493.39409999999998</v>
      </c>
      <c r="K2488">
        <v>1.1113649999999999</v>
      </c>
      <c r="L2488">
        <v>255.68340000000001</v>
      </c>
      <c r="M2488">
        <v>3.6284289999999997E-2</v>
      </c>
      <c r="N2488">
        <v>0</v>
      </c>
      <c r="O2488">
        <v>-0.9992491</v>
      </c>
      <c r="P2488">
        <v>-1.2882499999999899E-2</v>
      </c>
      <c r="Q2488">
        <v>-3.835413E-2</v>
      </c>
      <c r="R2488">
        <v>-0.99918119999999999</v>
      </c>
      <c r="S2488">
        <v>1.2838750000000001</v>
      </c>
      <c r="T2488">
        <v>-2.8559569999999999E-2</v>
      </c>
      <c r="U2488">
        <v>-3.021347</v>
      </c>
      <c r="V2488">
        <v>4.9202200000000001E-2</v>
      </c>
      <c r="W2488">
        <v>-2.4654160000000001E-2</v>
      </c>
      <c r="X2488">
        <v>0.9984845</v>
      </c>
      <c r="Y2488">
        <v>-0.3574196</v>
      </c>
      <c r="Z2488">
        <v>8.7520050000000002E-3</v>
      </c>
      <c r="AA2488">
        <v>0.93390289999999998</v>
      </c>
      <c r="AB2488">
        <v>21</v>
      </c>
      <c r="AC2488">
        <v>24.859499999999901</v>
      </c>
      <c r="AD2488">
        <v>-0.55322189999999904</v>
      </c>
      <c r="AE2488">
        <v>-58.3384</v>
      </c>
      <c r="AF2488">
        <v>-22.724434790252801</v>
      </c>
      <c r="AG2488">
        <v>-0.55322189999999904</v>
      </c>
      <c r="AH2488">
        <v>59.197564808055702</v>
      </c>
      <c r="AI2488">
        <v>90.499870324216104</v>
      </c>
      <c r="AJ2488">
        <v>111.000521915259</v>
      </c>
      <c r="AK2488">
        <v>63.4118101792643</v>
      </c>
      <c r="AL2488">
        <v>91.412722468922794</v>
      </c>
      <c r="AM2488">
        <v>87.178924711243795</v>
      </c>
      <c r="AN2488">
        <v>0.99999999041519705</v>
      </c>
    </row>
    <row r="2489" spans="1:40" x14ac:dyDescent="0.25">
      <c r="A2489" t="str">
        <f>"20190312161316195"</f>
        <v>20190312161316195</v>
      </c>
      <c r="B2489" t="str">
        <f>"1552378396188809"</f>
        <v>1552378396188809</v>
      </c>
      <c r="C2489" t="s">
        <v>40</v>
      </c>
      <c r="D2489">
        <v>5.4376110000000004</v>
      </c>
      <c r="E2489">
        <v>0.33263860000000001</v>
      </c>
      <c r="F2489" t="s">
        <v>79</v>
      </c>
      <c r="G2489">
        <v>-468.39550000000003</v>
      </c>
      <c r="H2489">
        <v>0.64883849999999998</v>
      </c>
      <c r="I2489">
        <v>197.345</v>
      </c>
      <c r="J2489">
        <v>-493.38889999999998</v>
      </c>
      <c r="K2489">
        <v>1.111361</v>
      </c>
      <c r="L2489">
        <v>255.57589999999999</v>
      </c>
      <c r="M2489">
        <v>3.7403449999999998E-2</v>
      </c>
      <c r="N2489">
        <v>0</v>
      </c>
      <c r="O2489">
        <v>-0.99920810000000004</v>
      </c>
      <c r="P2489">
        <v>-1.1649929999999999E-2</v>
      </c>
      <c r="Q2489">
        <v>-3.8042430000000002E-2</v>
      </c>
      <c r="R2489">
        <v>-0.99920850000000005</v>
      </c>
      <c r="S2489">
        <v>1.2933349999999999</v>
      </c>
      <c r="T2489">
        <v>-2.3927449999999999E-2</v>
      </c>
      <c r="U2489">
        <v>-3.0182039999999999</v>
      </c>
      <c r="V2489">
        <v>4.9088319999999998E-2</v>
      </c>
      <c r="W2489">
        <v>-2.4344049999999999E-2</v>
      </c>
      <c r="X2489">
        <v>0.99849770000000004</v>
      </c>
      <c r="Y2489">
        <v>-0.35920340000000001</v>
      </c>
      <c r="Z2489">
        <v>7.3322279999999997E-3</v>
      </c>
      <c r="AA2489">
        <v>0.93323049999999996</v>
      </c>
      <c r="AB2489">
        <v>21</v>
      </c>
      <c r="AC2489">
        <v>24.993399999999902</v>
      </c>
      <c r="AD2489">
        <v>-0.4625225</v>
      </c>
      <c r="AE2489">
        <v>-58.230899999999899</v>
      </c>
      <c r="AF2489">
        <v>-22.796455930834</v>
      </c>
      <c r="AG2489">
        <v>-0.4625225</v>
      </c>
      <c r="AH2489">
        <v>59.121920938228399</v>
      </c>
      <c r="AI2489">
        <v>90.418216040163898</v>
      </c>
      <c r="AJ2489">
        <v>111.085832014527</v>
      </c>
      <c r="AK2489">
        <v>63.366346474257099</v>
      </c>
      <c r="AL2489">
        <v>91.394949159394201</v>
      </c>
      <c r="AM2489">
        <v>87.185480813451903</v>
      </c>
      <c r="AN2489">
        <v>0.99999997641805705</v>
      </c>
    </row>
    <row r="2490" spans="1:40" x14ac:dyDescent="0.25">
      <c r="A2490" t="str">
        <f>"20190312161316206"</f>
        <v>20190312161316206</v>
      </c>
      <c r="B2490" t="str">
        <f>"1552378396198571"</f>
        <v>1552378396198571</v>
      </c>
      <c r="C2490" t="s">
        <v>40</v>
      </c>
      <c r="D2490">
        <v>5.4787739999999996</v>
      </c>
      <c r="E2490">
        <v>0.33257560000000003</v>
      </c>
      <c r="F2490" t="s">
        <v>79</v>
      </c>
      <c r="G2490">
        <v>-468.34519999999998</v>
      </c>
      <c r="H2490">
        <v>0.68833730000000004</v>
      </c>
      <c r="I2490">
        <v>197.345</v>
      </c>
      <c r="J2490">
        <v>-493.38339999999999</v>
      </c>
      <c r="K2490">
        <v>1.111359</v>
      </c>
      <c r="L2490">
        <v>255.464</v>
      </c>
      <c r="M2490">
        <v>3.85683E-2</v>
      </c>
      <c r="N2490">
        <v>0</v>
      </c>
      <c r="O2490">
        <v>-0.99916369999999999</v>
      </c>
      <c r="P2490">
        <v>-1.024013E-2</v>
      </c>
      <c r="Q2490">
        <v>-3.8094129999999997E-2</v>
      </c>
      <c r="R2490">
        <v>-0.99922169999999999</v>
      </c>
      <c r="S2490">
        <v>1.2973939999999999</v>
      </c>
      <c r="T2490">
        <v>-2.1912810000000001E-2</v>
      </c>
      <c r="U2490">
        <v>-3.0166469999999999</v>
      </c>
      <c r="V2490">
        <v>4.8843650000000002E-2</v>
      </c>
      <c r="W2490">
        <v>-2.439784E-2</v>
      </c>
      <c r="X2490">
        <v>0.99850839999999996</v>
      </c>
      <c r="Y2490">
        <v>-0.35935159999999899</v>
      </c>
      <c r="Z2490">
        <v>6.7157199999999997E-3</v>
      </c>
      <c r="AA2490">
        <v>0.93317810000000001</v>
      </c>
      <c r="AB2490">
        <v>21</v>
      </c>
      <c r="AC2490">
        <v>25.0382</v>
      </c>
      <c r="AD2490">
        <v>-0.4230217</v>
      </c>
      <c r="AE2490">
        <v>-58.119</v>
      </c>
      <c r="AF2490">
        <v>-22.7767918283052</v>
      </c>
      <c r="AG2490">
        <v>-0.4230217</v>
      </c>
      <c r="AH2490">
        <v>59.038881286145099</v>
      </c>
      <c r="AI2490">
        <v>90.383011324629805</v>
      </c>
      <c r="AJ2490">
        <v>111.096269288786</v>
      </c>
      <c r="AK2490">
        <v>63.281519394434198</v>
      </c>
      <c r="AL2490">
        <v>91.398031994984294</v>
      </c>
      <c r="AM2490">
        <v>87.1995167432204</v>
      </c>
      <c r="AN2490">
        <v>0.999999990806274</v>
      </c>
    </row>
    <row r="2491" spans="1:40" x14ac:dyDescent="0.25">
      <c r="A2491" t="str">
        <f>"20190312161316219"</f>
        <v>20190312161316219</v>
      </c>
      <c r="B2491" t="str">
        <f>"1552378396208330"</f>
        <v>1552378396208330</v>
      </c>
      <c r="C2491" t="s">
        <v>40</v>
      </c>
      <c r="D2491">
        <v>5.4761470000000001</v>
      </c>
      <c r="E2491">
        <v>0.33248739999999999</v>
      </c>
      <c r="F2491" t="s">
        <v>79</v>
      </c>
      <c r="G2491">
        <v>-468.2833</v>
      </c>
      <c r="H2491">
        <v>0.7141113</v>
      </c>
      <c r="I2491">
        <v>197.345</v>
      </c>
      <c r="J2491">
        <v>-493.37819999999999</v>
      </c>
      <c r="K2491">
        <v>1.1113569999999999</v>
      </c>
      <c r="L2491">
        <v>255.3614</v>
      </c>
      <c r="M2491">
        <v>3.9636240000000003E-2</v>
      </c>
      <c r="N2491">
        <v>0</v>
      </c>
      <c r="O2491">
        <v>-0.99912199999999995</v>
      </c>
      <c r="P2491">
        <v>-9.0227899999999993E-3</v>
      </c>
      <c r="Q2491">
        <v>-3.8155210000000002E-2</v>
      </c>
      <c r="R2491">
        <v>-0.99923119999999999</v>
      </c>
      <c r="S2491">
        <v>1.302063</v>
      </c>
      <c r="T2491">
        <v>-2.0605209999999999E-2</v>
      </c>
      <c r="U2491">
        <v>-3.0148929999999998</v>
      </c>
      <c r="V2491">
        <v>4.8694519999999998E-2</v>
      </c>
      <c r="W2491">
        <v>-2.446069E-2</v>
      </c>
      <c r="X2491">
        <v>0.99851420000000002</v>
      </c>
      <c r="Y2491">
        <v>-0.35977100000000001</v>
      </c>
      <c r="Z2491">
        <v>6.3155750000000004E-3</v>
      </c>
      <c r="AA2491">
        <v>0.9330193</v>
      </c>
      <c r="AB2491">
        <v>21</v>
      </c>
      <c r="AC2491">
        <v>25.094899999999999</v>
      </c>
      <c r="AD2491">
        <v>-0.39724569999999898</v>
      </c>
      <c r="AE2491">
        <v>-58.016399999999997</v>
      </c>
      <c r="AF2491">
        <v>-22.774512953358101</v>
      </c>
      <c r="AG2491">
        <v>-0.39724569999999898</v>
      </c>
      <c r="AH2491">
        <v>58.963231298080203</v>
      </c>
      <c r="AI2491">
        <v>90.360080156717999</v>
      </c>
      <c r="AJ2491">
        <v>111.11902401941499</v>
      </c>
      <c r="AK2491">
        <v>63.2099587843542</v>
      </c>
      <c r="AL2491">
        <v>91.401634034333398</v>
      </c>
      <c r="AM2491">
        <v>87.208069853455996</v>
      </c>
      <c r="AN2491">
        <v>1.0000000446174699</v>
      </c>
    </row>
    <row r="2492" spans="1:40" x14ac:dyDescent="0.25">
      <c r="A2492" t="str">
        <f>"20190312161316230"</f>
        <v>20190312161316230</v>
      </c>
      <c r="B2492" t="str">
        <f>"1552378396227849"</f>
        <v>1552378396227849</v>
      </c>
      <c r="C2492" t="s">
        <v>40</v>
      </c>
      <c r="D2492">
        <v>5.4852369999999997</v>
      </c>
      <c r="E2492">
        <v>0.33226080000000002</v>
      </c>
      <c r="F2492" t="s">
        <v>79</v>
      </c>
      <c r="G2492">
        <v>-468.23250000000002</v>
      </c>
      <c r="H2492">
        <v>0.73016689999999995</v>
      </c>
      <c r="I2492">
        <v>197.345</v>
      </c>
      <c r="J2492">
        <v>-493.37259999999998</v>
      </c>
      <c r="K2492">
        <v>1.1113550000000001</v>
      </c>
      <c r="L2492">
        <v>255.25139999999999</v>
      </c>
      <c r="M2492">
        <v>4.0780709999999998E-2</v>
      </c>
      <c r="N2492">
        <v>0</v>
      </c>
      <c r="O2492">
        <v>-0.99907610000000002</v>
      </c>
      <c r="P2492">
        <v>-8.0201170000000002E-3</v>
      </c>
      <c r="Q2492">
        <v>-3.8247839999999998E-2</v>
      </c>
      <c r="R2492">
        <v>-0.99923629999999997</v>
      </c>
      <c r="S2492">
        <v>1.3060609999999999</v>
      </c>
      <c r="T2492">
        <v>-1.9796970000000001E-2</v>
      </c>
      <c r="U2492">
        <v>-3.0133359999999998</v>
      </c>
      <c r="V2492">
        <v>4.8836299999999999E-2</v>
      </c>
      <c r="W2492">
        <v>-2.455456E-2</v>
      </c>
      <c r="X2492">
        <v>0.99850490000000003</v>
      </c>
      <c r="Y2492">
        <v>-0.35992069999999998</v>
      </c>
      <c r="Z2492">
        <v>6.0685879999999998E-3</v>
      </c>
      <c r="AA2492">
        <v>0.93296310000000005</v>
      </c>
      <c r="AB2492">
        <v>20</v>
      </c>
      <c r="AC2492">
        <v>25.140099999999901</v>
      </c>
      <c r="AD2492">
        <v>-0.38118809999999897</v>
      </c>
      <c r="AE2492">
        <v>-57.906399999999898</v>
      </c>
      <c r="AF2492">
        <v>-22.756671642090801</v>
      </c>
      <c r="AG2492">
        <v>-0.38118809999999897</v>
      </c>
      <c r="AH2492">
        <v>58.881398521961401</v>
      </c>
      <c r="AI2492">
        <v>90.345978236844701</v>
      </c>
      <c r="AJ2492">
        <v>111.130679875643</v>
      </c>
      <c r="AK2492">
        <v>63.127097988863397</v>
      </c>
      <c r="AL2492">
        <v>91.407014105659997</v>
      </c>
      <c r="AM2492">
        <v>87.199927690388193</v>
      </c>
      <c r="AN2492">
        <v>0.99999997296924603</v>
      </c>
    </row>
    <row r="2493" spans="1:40" x14ac:dyDescent="0.25">
      <c r="A2493" t="str">
        <f>"20190312161316242"</f>
        <v>20190312161316242</v>
      </c>
      <c r="B2493" t="str">
        <f>"1552378396238585"</f>
        <v>1552378396238585</v>
      </c>
      <c r="C2493" t="s">
        <v>40</v>
      </c>
      <c r="D2493">
        <v>5.4728960000000004</v>
      </c>
      <c r="E2493">
        <v>0.3321829</v>
      </c>
      <c r="F2493" t="s">
        <v>79</v>
      </c>
      <c r="G2493">
        <v>-468.16860000000003</v>
      </c>
      <c r="H2493">
        <v>0.71845769999999998</v>
      </c>
      <c r="I2493">
        <v>197.345</v>
      </c>
      <c r="J2493">
        <v>-493.36700000000002</v>
      </c>
      <c r="K2493">
        <v>1.1113519999999999</v>
      </c>
      <c r="L2493">
        <v>255.14599999999999</v>
      </c>
      <c r="M2493">
        <v>4.187826E-2</v>
      </c>
      <c r="N2493">
        <v>0</v>
      </c>
      <c r="O2493">
        <v>-0.99903059999999999</v>
      </c>
      <c r="P2493">
        <v>-6.786233E-3</v>
      </c>
      <c r="Q2493">
        <v>-3.8355470000000003E-2</v>
      </c>
      <c r="R2493">
        <v>-0.99924109999999999</v>
      </c>
      <c r="S2493">
        <v>1.311005</v>
      </c>
      <c r="T2493">
        <v>-2.0434859999999999E-2</v>
      </c>
      <c r="U2493">
        <v>-3.0120390000000001</v>
      </c>
      <c r="V2493">
        <v>4.8700359999999998E-2</v>
      </c>
      <c r="W2493">
        <v>-2.466397E-2</v>
      </c>
      <c r="X2493">
        <v>0.99850890000000003</v>
      </c>
      <c r="Y2493">
        <v>-0.36032999999999998</v>
      </c>
      <c r="Z2493">
        <v>6.2636810000000001E-3</v>
      </c>
      <c r="AA2493">
        <v>0.93280390000000002</v>
      </c>
      <c r="AB2493">
        <v>20</v>
      </c>
      <c r="AC2493">
        <v>25.1983999999999</v>
      </c>
      <c r="AD2493">
        <v>-0.39289429999999997</v>
      </c>
      <c r="AE2493">
        <v>-57.800999999999902</v>
      </c>
      <c r="AF2493">
        <v>-22.754578325915599</v>
      </c>
      <c r="AG2493">
        <v>-0.39289429999999997</v>
      </c>
      <c r="AH2493">
        <v>58.8033622753561</v>
      </c>
      <c r="AI2493">
        <v>90.357018776594998</v>
      </c>
      <c r="AJ2493">
        <v>111.15446895377301</v>
      </c>
      <c r="AK2493">
        <v>63.053632850201197</v>
      </c>
      <c r="AL2493">
        <v>91.413284655635906</v>
      </c>
      <c r="AM2493">
        <v>87.2077207457166</v>
      </c>
      <c r="AN2493">
        <v>1.00000002992974</v>
      </c>
    </row>
    <row r="2494" spans="1:40" x14ac:dyDescent="0.25">
      <c r="A2494" t="str">
        <f>"20190312161316261"</f>
        <v>20190312161316261</v>
      </c>
      <c r="B2494" t="str">
        <f>"1552378396248345"</f>
        <v>1552378396248345</v>
      </c>
      <c r="C2494" t="s">
        <v>40</v>
      </c>
      <c r="D2494">
        <v>5.4678230000000001</v>
      </c>
      <c r="E2494">
        <v>0.33214100000000002</v>
      </c>
      <c r="F2494" t="s">
        <v>79</v>
      </c>
      <c r="G2494">
        <v>-468.11239999999998</v>
      </c>
      <c r="H2494">
        <v>0.73243429999999998</v>
      </c>
      <c r="I2494">
        <v>197.345</v>
      </c>
      <c r="J2494">
        <v>-493.35809999999998</v>
      </c>
      <c r="K2494">
        <v>1.1113470000000001</v>
      </c>
      <c r="L2494">
        <v>254.98159999999999</v>
      </c>
      <c r="M2494">
        <v>4.358969E-2</v>
      </c>
      <c r="N2494">
        <v>0</v>
      </c>
      <c r="O2494">
        <v>-0.99895730000000005</v>
      </c>
      <c r="P2494">
        <v>-5.1386230000000001E-3</v>
      </c>
      <c r="Q2494">
        <v>-3.8925260000000003E-2</v>
      </c>
      <c r="R2494">
        <v>-0.99922900000000003</v>
      </c>
      <c r="S2494">
        <v>1.3153379999999999</v>
      </c>
      <c r="T2494">
        <v>-1.9733190000000001E-2</v>
      </c>
      <c r="U2494">
        <v>-3.010437</v>
      </c>
      <c r="V2494">
        <v>4.8765030000000001E-2</v>
      </c>
      <c r="W2494">
        <v>-2.5236040000000001E-2</v>
      </c>
      <c r="X2494">
        <v>0.99849140000000003</v>
      </c>
      <c r="Y2494">
        <v>-0.36004229999999998</v>
      </c>
      <c r="Z2494">
        <v>6.0495649999999998E-3</v>
      </c>
      <c r="AA2494">
        <v>0.93291639999999998</v>
      </c>
      <c r="AB2494">
        <v>20</v>
      </c>
      <c r="AC2494">
        <v>25.245699999999999</v>
      </c>
      <c r="AD2494">
        <v>-0.37891269999999899</v>
      </c>
      <c r="AE2494">
        <v>-57.636599999999902</v>
      </c>
      <c r="AF2494">
        <v>-22.7082835156836</v>
      </c>
      <c r="AG2494">
        <v>-0.37891269999999899</v>
      </c>
      <c r="AH2494">
        <v>58.6802330752977</v>
      </c>
      <c r="AI2494">
        <v>90.345033945745897</v>
      </c>
      <c r="AJ2494">
        <v>111.155616548689</v>
      </c>
      <c r="AK2494">
        <v>62.922011004370702</v>
      </c>
      <c r="AL2494">
        <v>91.446072129360402</v>
      </c>
      <c r="AM2494">
        <v>87.203969786714396</v>
      </c>
      <c r="AN2494">
        <v>0.99999998086987096</v>
      </c>
    </row>
    <row r="2495" spans="1:40" x14ac:dyDescent="0.25">
      <c r="A2495" t="str">
        <f>"20190312161316272"</f>
        <v>20190312161316272</v>
      </c>
      <c r="B2495" t="str">
        <f>"1552378396267866"</f>
        <v>1552378396267866</v>
      </c>
      <c r="C2495" t="s">
        <v>40</v>
      </c>
      <c r="D2495">
        <v>5.4966650000000001</v>
      </c>
      <c r="E2495">
        <v>0.33204139999999999</v>
      </c>
      <c r="F2495" t="s">
        <v>79</v>
      </c>
      <c r="G2495">
        <v>-468.05720000000002</v>
      </c>
      <c r="H2495">
        <v>0.73204569999999902</v>
      </c>
      <c r="I2495">
        <v>197.345</v>
      </c>
      <c r="J2495">
        <v>-493.35219999999998</v>
      </c>
      <c r="K2495">
        <v>1.111343</v>
      </c>
      <c r="L2495">
        <v>254.87479999999999</v>
      </c>
      <c r="M2495">
        <v>4.4701900000000003E-2</v>
      </c>
      <c r="N2495">
        <v>0</v>
      </c>
      <c r="O2495">
        <v>-0.99890820000000002</v>
      </c>
      <c r="P2495">
        <v>-4.1387489999999997E-3</v>
      </c>
      <c r="Q2495">
        <v>-3.919591E-2</v>
      </c>
      <c r="R2495">
        <v>-0.99922290000000002</v>
      </c>
      <c r="S2495">
        <v>1.320587</v>
      </c>
      <c r="T2495">
        <v>-1.979566E-2</v>
      </c>
      <c r="U2495">
        <v>-3.0083470000000001</v>
      </c>
      <c r="V2495">
        <v>4.8877770000000001E-2</v>
      </c>
      <c r="W2495">
        <v>-2.550796E-2</v>
      </c>
      <c r="X2495">
        <v>0.99847900000000001</v>
      </c>
      <c r="Y2495">
        <v>-0.36060690000000001</v>
      </c>
      <c r="Z2495">
        <v>6.0693969999999998E-3</v>
      </c>
      <c r="AA2495">
        <v>0.93269809999999997</v>
      </c>
      <c r="AB2495">
        <v>20</v>
      </c>
      <c r="AC2495">
        <v>25.294999999999899</v>
      </c>
      <c r="AD2495">
        <v>-0.3792973</v>
      </c>
      <c r="AE2495">
        <v>-57.529800000000002</v>
      </c>
      <c r="AF2495">
        <v>-22.696954757989399</v>
      </c>
      <c r="AG2495">
        <v>-0.3792973</v>
      </c>
      <c r="AH2495">
        <v>58.600984979700002</v>
      </c>
      <c r="AI2495">
        <v>90.345812789028002</v>
      </c>
      <c r="AJ2495">
        <v>111.17206013624801</v>
      </c>
      <c r="AK2495">
        <v>62.8440216911603</v>
      </c>
      <c r="AL2495">
        <v>91.461656982919493</v>
      </c>
      <c r="AM2495">
        <v>87.1974811821934</v>
      </c>
      <c r="AN2495">
        <v>1.00000000293226</v>
      </c>
    </row>
    <row r="2496" spans="1:40" x14ac:dyDescent="0.25">
      <c r="A2496" t="str">
        <f>"20190312161316283"</f>
        <v>20190312161316283</v>
      </c>
      <c r="B2496" t="str">
        <f>"1552378396278602"</f>
        <v>1552378396278602</v>
      </c>
      <c r="C2496" t="s">
        <v>40</v>
      </c>
      <c r="D2496">
        <v>5.4864439999999997</v>
      </c>
      <c r="E2496">
        <v>0.33200819999999998</v>
      </c>
      <c r="F2496" t="s">
        <v>79</v>
      </c>
      <c r="G2496">
        <v>-468.01909999999998</v>
      </c>
      <c r="H2496">
        <v>0.75074580000000002</v>
      </c>
      <c r="I2496">
        <v>197.345</v>
      </c>
      <c r="J2496">
        <v>-493.346</v>
      </c>
      <c r="K2496">
        <v>1.1113409999999999</v>
      </c>
      <c r="L2496">
        <v>254.76609999999999</v>
      </c>
      <c r="M2496">
        <v>4.583421E-2</v>
      </c>
      <c r="N2496">
        <v>0</v>
      </c>
      <c r="O2496">
        <v>-0.99885690000000005</v>
      </c>
      <c r="P2496">
        <v>-3.3180879999999999E-3</v>
      </c>
      <c r="Q2496">
        <v>-3.9477489999999997E-2</v>
      </c>
      <c r="R2496">
        <v>-0.99921499999999996</v>
      </c>
      <c r="S2496">
        <v>1.3241579999999999</v>
      </c>
      <c r="T2496">
        <v>-1.8846390000000001E-2</v>
      </c>
      <c r="U2496">
        <v>-3.0070649999999999</v>
      </c>
      <c r="V2496">
        <v>4.9189599999999903E-2</v>
      </c>
      <c r="W2496">
        <v>-2.579041E-2</v>
      </c>
      <c r="X2496">
        <v>0.99845640000000002</v>
      </c>
      <c r="Y2496">
        <v>-0.36062460000000002</v>
      </c>
      <c r="Z2496">
        <v>5.7788170000000003E-3</v>
      </c>
      <c r="AA2496">
        <v>0.9326932</v>
      </c>
      <c r="AB2496">
        <v>20</v>
      </c>
      <c r="AC2496">
        <v>25.326899999999998</v>
      </c>
      <c r="AD2496">
        <v>-0.36059519999999901</v>
      </c>
      <c r="AE2496">
        <v>-57.421100000000003</v>
      </c>
      <c r="AF2496">
        <v>-22.6674366411943</v>
      </c>
      <c r="AG2496">
        <v>-0.36059519999999901</v>
      </c>
      <c r="AH2496">
        <v>58.519756151393402</v>
      </c>
      <c r="AI2496">
        <v>90.3292147511916</v>
      </c>
      <c r="AJ2496">
        <v>111.17371424940499</v>
      </c>
      <c r="AK2496">
        <v>62.757506107232899</v>
      </c>
      <c r="AL2496">
        <v>91.477845546990494</v>
      </c>
      <c r="AM2496">
        <v>87.179566736547002</v>
      </c>
      <c r="AN2496">
        <v>0.99999997234854299</v>
      </c>
    </row>
    <row r="2497" spans="1:40" x14ac:dyDescent="0.25">
      <c r="A2497" t="str">
        <f>"20190312161316295"</f>
        <v>20190312161316295</v>
      </c>
      <c r="B2497" t="str">
        <f>"1552378396288362"</f>
        <v>1552378396288362</v>
      </c>
      <c r="C2497" t="s">
        <v>40</v>
      </c>
      <c r="D2497">
        <v>5.6334920000000004</v>
      </c>
      <c r="E2497">
        <v>0.33197189999999999</v>
      </c>
      <c r="F2497" t="s">
        <v>79</v>
      </c>
      <c r="G2497">
        <v>-467.99450000000002</v>
      </c>
      <c r="H2497">
        <v>0.75821019999999995</v>
      </c>
      <c r="I2497">
        <v>197.345</v>
      </c>
      <c r="J2497">
        <v>-493.34</v>
      </c>
      <c r="K2497">
        <v>1.111343</v>
      </c>
      <c r="L2497">
        <v>254.6626</v>
      </c>
      <c r="M2497">
        <v>4.6912830000000003E-2</v>
      </c>
      <c r="N2497">
        <v>0</v>
      </c>
      <c r="O2497">
        <v>-0.998807</v>
      </c>
      <c r="P2497">
        <v>-2.2508200000000002E-3</v>
      </c>
      <c r="Q2497">
        <v>-3.965697E-2</v>
      </c>
      <c r="R2497">
        <v>-0.99921110000000002</v>
      </c>
      <c r="S2497">
        <v>1.3271790000000001</v>
      </c>
      <c r="T2497">
        <v>-1.8484710000000001E-2</v>
      </c>
      <c r="U2497">
        <v>-3.0060419999999999</v>
      </c>
      <c r="V2497">
        <v>4.9201429999999997E-2</v>
      </c>
      <c r="W2497">
        <v>-2.5971319999999999E-2</v>
      </c>
      <c r="X2497">
        <v>0.99845119999999998</v>
      </c>
      <c r="Y2497">
        <v>-0.36051939999999999</v>
      </c>
      <c r="Z2497">
        <v>5.6682659999999999E-3</v>
      </c>
      <c r="AA2497">
        <v>0.93273450000000002</v>
      </c>
      <c r="AB2497">
        <v>20</v>
      </c>
      <c r="AC2497">
        <v>25.345499999999902</v>
      </c>
      <c r="AD2497">
        <v>-0.35313280000000002</v>
      </c>
      <c r="AE2497">
        <v>-57.317599999999999</v>
      </c>
      <c r="AF2497">
        <v>-22.6276928039319</v>
      </c>
      <c r="AG2497">
        <v>-0.35313280000000002</v>
      </c>
      <c r="AH2497">
        <v>58.441763874041897</v>
      </c>
      <c r="AI2497">
        <v>90.322849885962398</v>
      </c>
      <c r="AJ2497">
        <v>111.165586385136</v>
      </c>
      <c r="AK2497">
        <v>62.670383349017598</v>
      </c>
      <c r="AL2497">
        <v>91.488214292603502</v>
      </c>
      <c r="AM2497">
        <v>87.178874854858094</v>
      </c>
      <c r="AN2497">
        <v>1.00000004447901</v>
      </c>
    </row>
    <row r="2498" spans="1:40" x14ac:dyDescent="0.25">
      <c r="A2498" t="str">
        <f>"20190312161316318"</f>
        <v>20190312161316318</v>
      </c>
      <c r="B2498" t="str">
        <f>"1552378396307885"</f>
        <v>1552378396307885</v>
      </c>
      <c r="C2498" t="s">
        <v>40</v>
      </c>
      <c r="D2498">
        <v>5.5042299999999997</v>
      </c>
      <c r="E2498">
        <v>0.33195950000000002</v>
      </c>
      <c r="F2498" t="s">
        <v>79</v>
      </c>
      <c r="G2498">
        <v>-467.95749999999998</v>
      </c>
      <c r="H2498">
        <v>0.70847990000000005</v>
      </c>
      <c r="I2498">
        <v>197.345</v>
      </c>
      <c r="J2498">
        <v>-493.32780000000002</v>
      </c>
      <c r="K2498">
        <v>1.1113390000000001</v>
      </c>
      <c r="L2498">
        <v>254.45650000000001</v>
      </c>
      <c r="M2498">
        <v>4.9059930000000002E-2</v>
      </c>
      <c r="N2498">
        <v>0</v>
      </c>
      <c r="O2498">
        <v>-0.99870369999999997</v>
      </c>
      <c r="P2498">
        <v>-3.0778510000000002E-4</v>
      </c>
      <c r="Q2498">
        <v>-4.0096590000000001E-2</v>
      </c>
      <c r="R2498">
        <v>-0.99919590000000003</v>
      </c>
      <c r="S2498">
        <v>1.3305359999999999</v>
      </c>
      <c r="T2498">
        <v>-2.11159E-2</v>
      </c>
      <c r="U2498">
        <v>-3.0045320000000002</v>
      </c>
      <c r="V2498">
        <v>4.9406400000000003E-2</v>
      </c>
      <c r="W2498">
        <v>-2.6413510000000001E-2</v>
      </c>
      <c r="X2498">
        <v>0.99842940000000002</v>
      </c>
      <c r="Y2498">
        <v>-0.35955690000000001</v>
      </c>
      <c r="Z2498">
        <v>6.4768680000000002E-3</v>
      </c>
      <c r="AA2498">
        <v>0.93310070000000001</v>
      </c>
      <c r="AB2498">
        <v>20</v>
      </c>
      <c r="AC2498">
        <v>25.3703</v>
      </c>
      <c r="AD2498">
        <v>-0.40285909999999903</v>
      </c>
      <c r="AE2498">
        <v>-57.111499999999999</v>
      </c>
      <c r="AF2498">
        <v>-22.536663770957801</v>
      </c>
      <c r="AG2498">
        <v>-0.40285909999999903</v>
      </c>
      <c r="AH2498">
        <v>58.2850733013031</v>
      </c>
      <c r="AI2498">
        <v>90.369365594943702</v>
      </c>
      <c r="AJ2498">
        <v>111.13962705999801</v>
      </c>
      <c r="AK2498">
        <v>62.491705682577802</v>
      </c>
      <c r="AL2498">
        <v>91.513558725870894</v>
      </c>
      <c r="AM2498">
        <v>87.167079580366902</v>
      </c>
      <c r="AN2498">
        <v>0.99999996632791899</v>
      </c>
    </row>
    <row r="2499" spans="1:40" x14ac:dyDescent="0.25">
      <c r="A2499" t="str">
        <f>"20190312161316333"</f>
        <v>20190312161316333</v>
      </c>
      <c r="B2499" t="str">
        <f>"1552378396328378"</f>
        <v>1552378396328378</v>
      </c>
      <c r="C2499" t="s">
        <v>40</v>
      </c>
      <c r="D2499">
        <v>5.5350219999999997</v>
      </c>
      <c r="E2499">
        <v>0.33195370000000002</v>
      </c>
      <c r="F2499" t="s">
        <v>79</v>
      </c>
      <c r="G2499">
        <v>-467.90109999999999</v>
      </c>
      <c r="H2499">
        <v>0.70763109999999996</v>
      </c>
      <c r="I2499">
        <v>197.345</v>
      </c>
      <c r="J2499">
        <v>-493.31990000000002</v>
      </c>
      <c r="K2499">
        <v>1.1113390000000001</v>
      </c>
      <c r="L2499">
        <v>254.3287</v>
      </c>
      <c r="M2499">
        <v>5.0391789999999999E-2</v>
      </c>
      <c r="N2499">
        <v>0</v>
      </c>
      <c r="O2499">
        <v>-0.99863729999999995</v>
      </c>
      <c r="P2499">
        <v>7.2726080000000003E-4</v>
      </c>
      <c r="Q2499">
        <v>-4.0557629999999997E-2</v>
      </c>
      <c r="R2499">
        <v>-0.99917690000000003</v>
      </c>
      <c r="S2499">
        <v>1.336517</v>
      </c>
      <c r="T2499">
        <v>-2.1218420000000002E-2</v>
      </c>
      <c r="U2499">
        <v>-3.0019680000000002</v>
      </c>
      <c r="V2499">
        <v>4.9703749999999998E-2</v>
      </c>
      <c r="W2499">
        <v>-2.6875900000000001E-2</v>
      </c>
      <c r="X2499">
        <v>0.99840240000000002</v>
      </c>
      <c r="Y2499">
        <v>-0.36016009999999998</v>
      </c>
      <c r="Z2499">
        <v>6.5094250000000001E-3</v>
      </c>
      <c r="AA2499">
        <v>0.93286780000000002</v>
      </c>
      <c r="AB2499">
        <v>20</v>
      </c>
      <c r="AC2499">
        <v>25.418800000000001</v>
      </c>
      <c r="AD2499">
        <v>-0.40370789999999901</v>
      </c>
      <c r="AE2499">
        <v>-56.983699999999999</v>
      </c>
      <c r="AF2499">
        <v>-22.513782502856401</v>
      </c>
      <c r="AG2499">
        <v>-0.40370789999999901</v>
      </c>
      <c r="AH2499">
        <v>58.189871256722697</v>
      </c>
      <c r="AI2499">
        <v>90.370719506077407</v>
      </c>
      <c r="AJ2499">
        <v>111.15155796763899</v>
      </c>
      <c r="AK2499">
        <v>62.394667236298403</v>
      </c>
      <c r="AL2499">
        <v>91.540060980425494</v>
      </c>
      <c r="AM2499">
        <v>87.149980867766203</v>
      </c>
      <c r="AN2499">
        <v>1.00000006454531</v>
      </c>
    </row>
    <row r="2500" spans="1:40" x14ac:dyDescent="0.25">
      <c r="A2500" t="str">
        <f>"20190312161316351"</f>
        <v>20190312161316351</v>
      </c>
      <c r="B2500" t="str">
        <f>"1552378396347897"</f>
        <v>1552378396347897</v>
      </c>
      <c r="C2500" t="s">
        <v>40</v>
      </c>
      <c r="D2500">
        <v>5.4987579999999996</v>
      </c>
      <c r="E2500">
        <v>0.33188879999999998</v>
      </c>
      <c r="F2500" t="s">
        <v>79</v>
      </c>
      <c r="G2500">
        <v>-467.88310000000001</v>
      </c>
      <c r="H2500">
        <v>0.70402240000000005</v>
      </c>
      <c r="I2500">
        <v>197.345</v>
      </c>
      <c r="J2500">
        <v>-493.30959999999999</v>
      </c>
      <c r="K2500">
        <v>1.1113360000000001</v>
      </c>
      <c r="L2500">
        <v>254.16200000000001</v>
      </c>
      <c r="M2500">
        <v>5.2128550000000003E-2</v>
      </c>
      <c r="N2500">
        <v>0</v>
      </c>
      <c r="O2500">
        <v>-0.99854830000000006</v>
      </c>
      <c r="P2500">
        <v>2.1210489999999999E-3</v>
      </c>
      <c r="Q2500">
        <v>-4.0940360000000002E-2</v>
      </c>
      <c r="R2500">
        <v>-0.99915949999999998</v>
      </c>
      <c r="S2500">
        <v>1.3394469999999901</v>
      </c>
      <c r="T2500">
        <v>-2.1446469999999999E-2</v>
      </c>
      <c r="U2500">
        <v>-3.000626</v>
      </c>
      <c r="V2500">
        <v>5.0047410000000001E-2</v>
      </c>
      <c r="W2500">
        <v>-2.7260329999999999E-2</v>
      </c>
      <c r="X2500">
        <v>0.99837480000000001</v>
      </c>
      <c r="Y2500">
        <v>-0.359452299999999</v>
      </c>
      <c r="Z2500">
        <v>6.5808480000000003E-3</v>
      </c>
      <c r="AA2500">
        <v>0.93314030000000003</v>
      </c>
      <c r="AB2500">
        <v>20</v>
      </c>
      <c r="AC2500">
        <v>25.426499999999901</v>
      </c>
      <c r="AD2500">
        <v>-0.4073136</v>
      </c>
      <c r="AE2500">
        <v>-56.817</v>
      </c>
      <c r="AF2500">
        <v>-22.4289027706468</v>
      </c>
      <c r="AG2500">
        <v>-0.4073136</v>
      </c>
      <c r="AH2500">
        <v>58.062818776968101</v>
      </c>
      <c r="AI2500">
        <v>90.374926475596993</v>
      </c>
      <c r="AJ2500">
        <v>111.120890445385</v>
      </c>
      <c r="AK2500">
        <v>62.245582238347701</v>
      </c>
      <c r="AL2500">
        <v>91.562095284033802</v>
      </c>
      <c r="AM2500">
        <v>87.130228987029795</v>
      </c>
      <c r="AN2500">
        <v>1.0000000550572199</v>
      </c>
    </row>
    <row r="2501" spans="1:40" x14ac:dyDescent="0.25">
      <c r="A2501" t="str">
        <f>"20190312161316365"</f>
        <v>20190312161316365</v>
      </c>
      <c r="B2501" t="str">
        <f>"1552378396358633"</f>
        <v>1552378396358633</v>
      </c>
      <c r="C2501" t="s">
        <v>40</v>
      </c>
      <c r="D2501">
        <v>5.6376929999999996</v>
      </c>
      <c r="E2501">
        <v>0.33195190000000002</v>
      </c>
      <c r="F2501" t="s">
        <v>79</v>
      </c>
      <c r="G2501">
        <v>-467.84589999999997</v>
      </c>
      <c r="H2501">
        <v>0.73008869999999904</v>
      </c>
      <c r="I2501">
        <v>197.345</v>
      </c>
      <c r="J2501">
        <v>-493.3014</v>
      </c>
      <c r="K2501">
        <v>1.111334</v>
      </c>
      <c r="L2501">
        <v>254.0351</v>
      </c>
      <c r="M2501">
        <v>5.3451690000000003E-2</v>
      </c>
      <c r="N2501">
        <v>0</v>
      </c>
      <c r="O2501">
        <v>-0.99847819999999998</v>
      </c>
      <c r="P2501">
        <v>3.3220699999999999E-3</v>
      </c>
      <c r="Q2501">
        <v>-4.0903370000000001E-2</v>
      </c>
      <c r="R2501">
        <v>-0.99915770000000004</v>
      </c>
      <c r="S2501">
        <v>1.3439939999999999</v>
      </c>
      <c r="T2501">
        <v>-2.0120499999999999E-2</v>
      </c>
      <c r="U2501">
        <v>-2.99884</v>
      </c>
      <c r="V2501">
        <v>5.0170079999999999E-2</v>
      </c>
      <c r="W2501">
        <v>-2.7224740000000001E-2</v>
      </c>
      <c r="X2501">
        <v>0.99836959999999997</v>
      </c>
      <c r="Y2501">
        <v>-0.35960239999999999</v>
      </c>
      <c r="Z2501">
        <v>6.1746709999999996E-3</v>
      </c>
      <c r="AA2501">
        <v>0.93308519999999995</v>
      </c>
      <c r="AB2501">
        <v>20</v>
      </c>
      <c r="AC2501">
        <v>25.455500000000001</v>
      </c>
      <c r="AD2501">
        <v>-0.38124530000000001</v>
      </c>
      <c r="AE2501">
        <v>-56.690100000000001</v>
      </c>
      <c r="AF2501">
        <v>-22.3877996397758</v>
      </c>
      <c r="AG2501">
        <v>-0.38124530000000001</v>
      </c>
      <c r="AH2501">
        <v>57.967626016619299</v>
      </c>
      <c r="AI2501">
        <v>90.351516693485493</v>
      </c>
      <c r="AJ2501">
        <v>111.117165017899</v>
      </c>
      <c r="AK2501">
        <v>62.141810294616903</v>
      </c>
      <c r="AL2501">
        <v>91.560055392493894</v>
      </c>
      <c r="AM2501">
        <v>87.123191803372407</v>
      </c>
      <c r="AN2501">
        <v>1.0000000407997101</v>
      </c>
    </row>
    <row r="2502" spans="1:40" x14ac:dyDescent="0.25">
      <c r="A2502" t="str">
        <f>"20190312161316384"</f>
        <v>20190312161316384</v>
      </c>
      <c r="B2502" t="str">
        <f>"1552378396378153"</f>
        <v>1552378396378153</v>
      </c>
      <c r="C2502" t="s">
        <v>40</v>
      </c>
      <c r="D2502">
        <v>5.6495230000000003</v>
      </c>
      <c r="E2502">
        <v>0.33168409999999998</v>
      </c>
      <c r="F2502" t="s">
        <v>79</v>
      </c>
      <c r="G2502">
        <v>-467.81670000000003</v>
      </c>
      <c r="H2502">
        <v>0.72241639999999996</v>
      </c>
      <c r="I2502">
        <v>197.345</v>
      </c>
      <c r="J2502">
        <v>-493.28989999999999</v>
      </c>
      <c r="K2502">
        <v>1.111335</v>
      </c>
      <c r="L2502">
        <v>253.8604</v>
      </c>
      <c r="M2502">
        <v>5.5272969999999998E-2</v>
      </c>
      <c r="N2502">
        <v>0</v>
      </c>
      <c r="O2502">
        <v>-0.99837909999999996</v>
      </c>
      <c r="P2502">
        <v>4.9562010000000004E-3</v>
      </c>
      <c r="Q2502">
        <v>-4.0907319999999997E-2</v>
      </c>
      <c r="R2502">
        <v>-0.99915080000000001</v>
      </c>
      <c r="S2502">
        <v>1.3473820000000001</v>
      </c>
      <c r="T2502">
        <v>-2.056026E-2</v>
      </c>
      <c r="U2502">
        <v>-2.9972080000000001</v>
      </c>
      <c r="V2502">
        <v>5.0358109999999998E-2</v>
      </c>
      <c r="W2502">
        <v>-2.7230620000000001E-2</v>
      </c>
      <c r="X2502">
        <v>0.99835989999999997</v>
      </c>
      <c r="Y2502">
        <v>-0.35896719999999999</v>
      </c>
      <c r="Z2502">
        <v>6.3111950000000003E-3</v>
      </c>
      <c r="AA2502">
        <v>0.93332890000000002</v>
      </c>
      <c r="AB2502">
        <v>20</v>
      </c>
      <c r="AC2502">
        <v>25.473199999999899</v>
      </c>
      <c r="AD2502">
        <v>-0.388918599999999</v>
      </c>
      <c r="AE2502">
        <v>-56.5154</v>
      </c>
      <c r="AF2502">
        <v>-22.3093118036611</v>
      </c>
      <c r="AG2502">
        <v>-0.388918599999999</v>
      </c>
      <c r="AH2502">
        <v>57.834820521481603</v>
      </c>
      <c r="AI2502">
        <v>90.3594716531328</v>
      </c>
      <c r="AJ2502">
        <v>111.093715260476</v>
      </c>
      <c r="AK2502">
        <v>61.989701689735398</v>
      </c>
      <c r="AL2502">
        <v>91.560392530364595</v>
      </c>
      <c r="AM2502">
        <v>87.112400159484196</v>
      </c>
      <c r="AN2502">
        <v>0.99999996791818202</v>
      </c>
    </row>
    <row r="2503" spans="1:40" x14ac:dyDescent="0.25">
      <c r="A2503" t="str">
        <f>"20190312161316396"</f>
        <v>20190312161316396</v>
      </c>
      <c r="B2503" t="str">
        <f>"1552378396387913"</f>
        <v>1552378396387913</v>
      </c>
      <c r="C2503" t="s">
        <v>40</v>
      </c>
      <c r="D2503">
        <v>5.6218690000000002</v>
      </c>
      <c r="E2503">
        <v>0.30625580000000002</v>
      </c>
      <c r="F2503" t="s">
        <v>79</v>
      </c>
      <c r="G2503">
        <v>-467.72820000000002</v>
      </c>
      <c r="H2503">
        <v>0.69502449999999905</v>
      </c>
      <c r="I2503">
        <v>197.345</v>
      </c>
      <c r="J2503">
        <v>-493.2826</v>
      </c>
      <c r="K2503">
        <v>1.111334</v>
      </c>
      <c r="L2503">
        <v>253.75299999999999</v>
      </c>
      <c r="M2503">
        <v>5.6392200000000003E-2</v>
      </c>
      <c r="N2503">
        <v>0</v>
      </c>
      <c r="O2503">
        <v>-0.9983166</v>
      </c>
      <c r="P2503">
        <v>6.3290839999999996E-3</v>
      </c>
      <c r="Q2503">
        <v>-4.0429930000000003E-2</v>
      </c>
      <c r="R2503">
        <v>-0.99916229999999995</v>
      </c>
      <c r="S2503">
        <v>1.354614</v>
      </c>
      <c r="T2503">
        <v>-2.205992E-2</v>
      </c>
      <c r="U2503">
        <v>-2.9949490000000001</v>
      </c>
      <c r="V2503">
        <v>5.0105320000000002E-2</v>
      </c>
      <c r="W2503">
        <v>-2.6755009999999999E-2</v>
      </c>
      <c r="X2503">
        <v>0.99838550000000004</v>
      </c>
      <c r="Y2503">
        <v>-0.36005530000000002</v>
      </c>
      <c r="Z2503">
        <v>6.7708289999999999E-3</v>
      </c>
      <c r="AA2503">
        <v>0.93290640000000002</v>
      </c>
      <c r="AB2503">
        <v>20</v>
      </c>
      <c r="AC2503">
        <v>25.554399999999902</v>
      </c>
      <c r="AD2503">
        <v>-0.4163095</v>
      </c>
      <c r="AE2503">
        <v>-56.407999999999902</v>
      </c>
      <c r="AF2503">
        <v>-22.3314546675727</v>
      </c>
      <c r="AG2503">
        <v>-0.4163095</v>
      </c>
      <c r="AH2503">
        <v>57.756812170403698</v>
      </c>
      <c r="AI2503">
        <v>90.385190521977606</v>
      </c>
      <c r="AJ2503">
        <v>111.138807014599</v>
      </c>
      <c r="AK2503">
        <v>61.925088076295303</v>
      </c>
      <c r="AL2503">
        <v>91.533132116543698</v>
      </c>
      <c r="AM2503">
        <v>87.126944667464201</v>
      </c>
      <c r="AN2503">
        <v>0.99999999013132601</v>
      </c>
    </row>
    <row r="2504" spans="1:40" x14ac:dyDescent="0.25">
      <c r="A2504" t="str">
        <f>"20190312161316407"</f>
        <v>20190312161316407</v>
      </c>
      <c r="B2504" t="str">
        <f>"1552378396398650"</f>
        <v>1552378396398650</v>
      </c>
      <c r="C2504" t="s">
        <v>40</v>
      </c>
      <c r="D2504">
        <v>5.5975460000000004</v>
      </c>
      <c r="E2504">
        <v>0.30517030000000001</v>
      </c>
      <c r="F2504" t="s">
        <v>79</v>
      </c>
      <c r="G2504">
        <v>-463.93630000000002</v>
      </c>
      <c r="H2504">
        <v>0.74742790000000003</v>
      </c>
      <c r="I2504">
        <v>197.51820000000001</v>
      </c>
      <c r="J2504">
        <v>-493.2756</v>
      </c>
      <c r="K2504">
        <v>1.111332</v>
      </c>
      <c r="L2504">
        <v>253.65</v>
      </c>
      <c r="M2504">
        <v>5.7465570000000001E-2</v>
      </c>
      <c r="N2504">
        <v>0</v>
      </c>
      <c r="O2504">
        <v>-0.99825529999999996</v>
      </c>
      <c r="P2504">
        <v>7.597815E-3</v>
      </c>
      <c r="Q2504">
        <v>-4.0273829999999997E-2</v>
      </c>
      <c r="R2504">
        <v>-0.99915969999999998</v>
      </c>
      <c r="S2504">
        <v>1.56131</v>
      </c>
      <c r="T2504">
        <v>-1.935887E-2</v>
      </c>
      <c r="U2504">
        <v>-2.9918369999999999</v>
      </c>
      <c r="V2504">
        <v>4.9910980000000001E-2</v>
      </c>
      <c r="W2504">
        <v>-2.6600639999999998E-2</v>
      </c>
      <c r="X2504">
        <v>0.99839940000000005</v>
      </c>
      <c r="Y2504">
        <v>-0.41092509999999999</v>
      </c>
      <c r="Z2504">
        <v>5.7977180000000003E-3</v>
      </c>
      <c r="AA2504">
        <v>0.91165070000000004</v>
      </c>
      <c r="AB2504">
        <v>20</v>
      </c>
      <c r="AC2504">
        <v>29.339299999999898</v>
      </c>
      <c r="AD2504">
        <v>-0.36390410000000001</v>
      </c>
      <c r="AE2504">
        <v>-56.131799999999998</v>
      </c>
      <c r="AF2504">
        <v>-26.064004357158499</v>
      </c>
      <c r="AG2504">
        <v>-0.36390410000000001</v>
      </c>
      <c r="AH2504">
        <v>57.723273757870103</v>
      </c>
      <c r="AI2504">
        <v>90.329201466827797</v>
      </c>
      <c r="AJ2504">
        <v>114.300780707811</v>
      </c>
      <c r="AK2504">
        <v>63.335938318224997</v>
      </c>
      <c r="AL2504">
        <v>91.524284155621999</v>
      </c>
      <c r="AM2504">
        <v>87.138109402379797</v>
      </c>
      <c r="AN2504">
        <v>1.0000000309466599</v>
      </c>
    </row>
    <row r="2505" spans="1:40" x14ac:dyDescent="0.25">
      <c r="A2505" t="str">
        <f>"20190312161316420"</f>
        <v>20190312161316420</v>
      </c>
      <c r="B2505" t="str">
        <f>"1552378396408410"</f>
        <v>1552378396408410</v>
      </c>
      <c r="C2505" t="s">
        <v>40</v>
      </c>
      <c r="D2505">
        <v>5.6217329999999999</v>
      </c>
      <c r="E2505">
        <v>0.30467050000000001</v>
      </c>
      <c r="F2505" t="s">
        <v>79</v>
      </c>
      <c r="G2505">
        <v>-463.64229999999998</v>
      </c>
      <c r="H2505">
        <v>0.80861810000000001</v>
      </c>
      <c r="I2505">
        <v>197.345</v>
      </c>
      <c r="J2505">
        <v>-493.26830000000001</v>
      </c>
      <c r="K2505">
        <v>1.111332</v>
      </c>
      <c r="L2505">
        <v>253.5453</v>
      </c>
      <c r="M2505">
        <v>5.8557489999999997E-2</v>
      </c>
      <c r="N2505">
        <v>0</v>
      </c>
      <c r="O2505">
        <v>-0.99819210000000003</v>
      </c>
      <c r="P2505">
        <v>8.7882900000000007E-3</v>
      </c>
      <c r="Q2505">
        <v>-4.0405040000000003E-2</v>
      </c>
      <c r="R2505">
        <v>-0.99914499999999995</v>
      </c>
      <c r="S2505">
        <v>1.5736079999999999</v>
      </c>
      <c r="T2505">
        <v>-1.6072989999999999E-2</v>
      </c>
      <c r="U2505">
        <v>-2.9899290000000001</v>
      </c>
      <c r="V2505">
        <v>4.981348E-2</v>
      </c>
      <c r="W2505">
        <v>-2.6733489999999999E-2</v>
      </c>
      <c r="X2505">
        <v>0.99840070000000003</v>
      </c>
      <c r="Y2505">
        <v>-0.41310920000000001</v>
      </c>
      <c r="Z2505">
        <v>4.8091030000000003E-3</v>
      </c>
      <c r="AA2505">
        <v>0.91066879999999994</v>
      </c>
      <c r="AB2505">
        <v>20</v>
      </c>
      <c r="AC2505">
        <v>29.626000000000001</v>
      </c>
      <c r="AD2505">
        <v>-0.30271389999999998</v>
      </c>
      <c r="AE2505">
        <v>-56.200299999999999</v>
      </c>
      <c r="AF2505">
        <v>-26.283306263833001</v>
      </c>
      <c r="AG2505">
        <v>-0.30271389999999998</v>
      </c>
      <c r="AH2505">
        <v>57.837515011990597</v>
      </c>
      <c r="AI2505">
        <v>90.273008802716305</v>
      </c>
      <c r="AJ2505">
        <v>114.438639958724</v>
      </c>
      <c r="AK2505">
        <v>63.530165800397</v>
      </c>
      <c r="AL2505">
        <v>91.531898639690198</v>
      </c>
      <c r="AM2505">
        <v>87.143694488524105</v>
      </c>
      <c r="AN2505">
        <v>1.0000000100188899</v>
      </c>
    </row>
    <row r="2506" spans="1:40" x14ac:dyDescent="0.25">
      <c r="A2506" t="str">
        <f>"20190312161316432"</f>
        <v>20190312161316432</v>
      </c>
      <c r="B2506" t="str">
        <f>"1552378396427929"</f>
        <v>1552378396427929</v>
      </c>
      <c r="C2506" t="s">
        <v>40</v>
      </c>
      <c r="D2506">
        <v>5.6099030000000001</v>
      </c>
      <c r="E2506">
        <v>0.30408839999999998</v>
      </c>
      <c r="F2506" t="s">
        <v>79</v>
      </c>
      <c r="G2506">
        <v>-463.53050000000002</v>
      </c>
      <c r="H2506">
        <v>0.80448769999999903</v>
      </c>
      <c r="I2506">
        <v>197.345</v>
      </c>
      <c r="J2506">
        <v>-493.25990000000002</v>
      </c>
      <c r="K2506">
        <v>1.1113309999999901</v>
      </c>
      <c r="L2506">
        <v>253.4255</v>
      </c>
      <c r="M2506">
        <v>5.9806539999999998E-2</v>
      </c>
      <c r="N2506">
        <v>0</v>
      </c>
      <c r="O2506">
        <v>-0.99811799999999995</v>
      </c>
      <c r="P2506">
        <v>1.003716E-2</v>
      </c>
      <c r="Q2506">
        <v>-4.0245589999999998E-2</v>
      </c>
      <c r="R2506">
        <v>-0.99913949999999996</v>
      </c>
      <c r="S2506">
        <v>1.5810850000000001</v>
      </c>
      <c r="T2506">
        <v>-1.6312239999999999E-2</v>
      </c>
      <c r="U2506">
        <v>-2.988022</v>
      </c>
      <c r="V2506">
        <v>4.981472E-2</v>
      </c>
      <c r="W2506">
        <v>-2.657559E-2</v>
      </c>
      <c r="X2506">
        <v>0.99840490000000004</v>
      </c>
      <c r="Y2506">
        <v>-0.4139909</v>
      </c>
      <c r="Z2506">
        <v>4.8791770000000002E-3</v>
      </c>
      <c r="AA2506">
        <v>0.91026790000000002</v>
      </c>
      <c r="AB2506">
        <v>20</v>
      </c>
      <c r="AC2506">
        <v>29.729399999999998</v>
      </c>
      <c r="AD2506">
        <v>-0.30684329999999899</v>
      </c>
      <c r="AE2506">
        <v>-56.080500000000001</v>
      </c>
      <c r="AF2506">
        <v>-26.3212704172239</v>
      </c>
      <c r="AG2506">
        <v>-0.30684329999999899</v>
      </c>
      <c r="AH2506">
        <v>57.756922781711502</v>
      </c>
      <c r="AI2506">
        <v>90.276984183821199</v>
      </c>
      <c r="AJ2506">
        <v>114.49993779135301</v>
      </c>
      <c r="AK2506">
        <v>63.472557522129001</v>
      </c>
      <c r="AL2506">
        <v>91.522848350146603</v>
      </c>
      <c r="AM2506">
        <v>87.143635500706495</v>
      </c>
      <c r="AN2506">
        <v>1.0000000563282601</v>
      </c>
    </row>
    <row r="2507" spans="1:40" x14ac:dyDescent="0.25">
      <c r="A2507" t="str">
        <f>"20190312161316451"</f>
        <v>20190312161316451</v>
      </c>
      <c r="B2507" t="str">
        <f>"1552378396448425"</f>
        <v>1552378396448425</v>
      </c>
      <c r="C2507" t="s">
        <v>40</v>
      </c>
      <c r="D2507">
        <v>5.6556930000000003</v>
      </c>
      <c r="E2507">
        <v>0.29668470000000002</v>
      </c>
      <c r="F2507" t="s">
        <v>79</v>
      </c>
      <c r="G2507">
        <v>-463.39850000000001</v>
      </c>
      <c r="H2507">
        <v>0.81687880000000002</v>
      </c>
      <c r="I2507">
        <v>197.345</v>
      </c>
      <c r="J2507">
        <v>-493.2482</v>
      </c>
      <c r="K2507">
        <v>1.1113299999999999</v>
      </c>
      <c r="L2507">
        <v>253.26439999999999</v>
      </c>
      <c r="M2507">
        <v>6.1486579999999999E-2</v>
      </c>
      <c r="N2507">
        <v>0</v>
      </c>
      <c r="O2507">
        <v>-0.99801589999999996</v>
      </c>
      <c r="P2507">
        <v>1.1920429999999999E-2</v>
      </c>
      <c r="Q2507">
        <v>-4.0365570000000003E-2</v>
      </c>
      <c r="R2507">
        <v>-0.99911419999999995</v>
      </c>
      <c r="S2507">
        <v>1.589966</v>
      </c>
      <c r="T2507">
        <v>-1.5676019999999999E-2</v>
      </c>
      <c r="U2507">
        <v>-2.985992</v>
      </c>
      <c r="V2507">
        <v>4.9613379999999999E-2</v>
      </c>
      <c r="W2507">
        <v>-2.6698159999999999E-2</v>
      </c>
      <c r="X2507">
        <v>0.99841159999999995</v>
      </c>
      <c r="Y2507">
        <v>-0.41482639999999998</v>
      </c>
      <c r="Z2507">
        <v>4.6869449999999997E-3</v>
      </c>
      <c r="AA2507">
        <v>0.90988849999999999</v>
      </c>
      <c r="AB2507">
        <v>20</v>
      </c>
      <c r="AC2507">
        <v>29.849699999999899</v>
      </c>
      <c r="AD2507">
        <v>-0.29445119999999902</v>
      </c>
      <c r="AE2507">
        <v>-55.919400000000003</v>
      </c>
      <c r="AF2507">
        <v>-26.354034176445499</v>
      </c>
      <c r="AG2507">
        <v>-0.29445119999999902</v>
      </c>
      <c r="AH2507">
        <v>57.647856609511898</v>
      </c>
      <c r="AI2507">
        <v>90.266157134987495</v>
      </c>
      <c r="AJ2507">
        <v>114.56777004564999</v>
      </c>
      <c r="AK2507">
        <v>63.3868850043389</v>
      </c>
      <c r="AL2507">
        <v>91.529873670660095</v>
      </c>
      <c r="AM2507">
        <v>87.1551803457413</v>
      </c>
      <c r="AN2507">
        <v>1.00000000111848</v>
      </c>
    </row>
    <row r="2508" spans="1:40" x14ac:dyDescent="0.25">
      <c r="A2508" t="str">
        <f>"20190312161316462"</f>
        <v>20190312161316462</v>
      </c>
      <c r="B2508" t="str">
        <f>"1552378396458185"</f>
        <v>1552378396458185</v>
      </c>
      <c r="C2508" t="s">
        <v>40</v>
      </c>
      <c r="D2508">
        <v>5.6200809999999999</v>
      </c>
      <c r="E2508">
        <v>0.29658869999999998</v>
      </c>
      <c r="F2508" t="s">
        <v>79</v>
      </c>
      <c r="G2508">
        <v>-462.28390000000002</v>
      </c>
      <c r="H2508">
        <v>1.616363</v>
      </c>
      <c r="I2508">
        <v>197.345</v>
      </c>
      <c r="J2508">
        <v>-493.24040000000002</v>
      </c>
      <c r="K2508">
        <v>1.1113249999999999</v>
      </c>
      <c r="L2508">
        <v>253.15819999999999</v>
      </c>
      <c r="M2508">
        <v>6.2593819999999994E-2</v>
      </c>
      <c r="N2508">
        <v>0</v>
      </c>
      <c r="O2508">
        <v>-0.99794700000000003</v>
      </c>
      <c r="P2508">
        <v>1.272704E-2</v>
      </c>
      <c r="Q2508">
        <v>-4.0370860000000001E-2</v>
      </c>
      <c r="R2508">
        <v>-0.99910390000000004</v>
      </c>
      <c r="S2508">
        <v>1.65234399999999</v>
      </c>
      <c r="T2508">
        <v>2.6951909999999999E-2</v>
      </c>
      <c r="U2508">
        <v>-2.9840089999999999</v>
      </c>
      <c r="V2508">
        <v>4.9914809999999997E-2</v>
      </c>
      <c r="W2508">
        <v>-2.6704209999999999E-2</v>
      </c>
      <c r="X2508">
        <v>0.99839639999999996</v>
      </c>
      <c r="Y2508">
        <v>-0.42869420000000003</v>
      </c>
      <c r="Z2508">
        <v>-7.9972529999999993E-3</v>
      </c>
      <c r="AA2508">
        <v>0.90341419999999995</v>
      </c>
      <c r="AB2508">
        <v>20</v>
      </c>
      <c r="AC2508">
        <v>30.956499999999998</v>
      </c>
      <c r="AD2508">
        <v>0.50503799999999999</v>
      </c>
      <c r="AE2508">
        <v>-55.813200000000002</v>
      </c>
      <c r="AF2508">
        <v>-27.400187541350299</v>
      </c>
      <c r="AG2508">
        <v>0.50503799999999999</v>
      </c>
      <c r="AH2508">
        <v>57.637989471662699</v>
      </c>
      <c r="AI2508">
        <v>89.546596031062705</v>
      </c>
      <c r="AJ2508">
        <v>115.42567449820299</v>
      </c>
      <c r="AK2508">
        <v>63.821337897431398</v>
      </c>
      <c r="AL2508">
        <v>91.530220454894206</v>
      </c>
      <c r="AM2508">
        <v>87.137881569881202</v>
      </c>
      <c r="AN2508">
        <v>0.99999998731101003</v>
      </c>
    </row>
    <row r="2509" spans="1:40" x14ac:dyDescent="0.25">
      <c r="A2509" t="str">
        <f>"20190312161316473"</f>
        <v>20190312161316473</v>
      </c>
      <c r="B2509" t="str">
        <f>"1552378396467946"</f>
        <v>1552378396467946</v>
      </c>
      <c r="C2509" t="s">
        <v>40</v>
      </c>
      <c r="D2509">
        <v>5.6234520000000003</v>
      </c>
      <c r="E2509">
        <v>0.29658869999999998</v>
      </c>
      <c r="F2509" t="s">
        <v>79</v>
      </c>
      <c r="G2509">
        <v>-462.25409999999999</v>
      </c>
      <c r="H2509">
        <v>1.646093</v>
      </c>
      <c r="I2509">
        <v>197.345</v>
      </c>
      <c r="J2509">
        <v>-493.23309999999998</v>
      </c>
      <c r="K2509">
        <v>1.111326</v>
      </c>
      <c r="L2509">
        <v>253.0598</v>
      </c>
      <c r="M2509">
        <v>6.3620250000000003E-2</v>
      </c>
      <c r="N2509">
        <v>0</v>
      </c>
      <c r="O2509">
        <v>-0.99788209999999999</v>
      </c>
      <c r="P2509">
        <v>1.393382E-2</v>
      </c>
      <c r="Q2509">
        <v>-3.9886129999999999E-2</v>
      </c>
      <c r="R2509">
        <v>-0.99910710000000003</v>
      </c>
      <c r="S2509">
        <v>1.655975</v>
      </c>
      <c r="T2509">
        <v>2.8581019999999999E-2</v>
      </c>
      <c r="U2509">
        <v>-2.9827729999999999</v>
      </c>
      <c r="V2509">
        <v>4.9735710000000002E-2</v>
      </c>
      <c r="W2509">
        <v>-2.6220920000000002E-2</v>
      </c>
      <c r="X2509">
        <v>0.99841820000000003</v>
      </c>
      <c r="Y2509">
        <v>-0.4287629</v>
      </c>
      <c r="Z2509">
        <v>-8.4803399999999994E-3</v>
      </c>
      <c r="AA2509">
        <v>0.90337719999999999</v>
      </c>
      <c r="AB2509">
        <v>20</v>
      </c>
      <c r="AC2509">
        <v>30.9789999999999</v>
      </c>
      <c r="AD2509">
        <v>0.53476699999999999</v>
      </c>
      <c r="AE2509">
        <v>-55.714799999999997</v>
      </c>
      <c r="AF2509">
        <v>-27.369389305971801</v>
      </c>
      <c r="AG2509">
        <v>0.53476699999999999</v>
      </c>
      <c r="AH2509">
        <v>57.568932749678297</v>
      </c>
      <c r="AI2509">
        <v>89.519338382290698</v>
      </c>
      <c r="AJ2509">
        <v>115.427322615981</v>
      </c>
      <c r="AK2509">
        <v>63.745991753702597</v>
      </c>
      <c r="AL2509">
        <v>91.502520197654405</v>
      </c>
      <c r="AM2509">
        <v>87.148196357853195</v>
      </c>
      <c r="AN2509">
        <v>1.00000003979304</v>
      </c>
    </row>
    <row r="2510" spans="1:40" x14ac:dyDescent="0.25">
      <c r="A2510" t="str">
        <f>"20190312161316486"</f>
        <v>20190312161316486</v>
      </c>
      <c r="B2510" t="str">
        <f>"1552378396477706"</f>
        <v>1552378396477706</v>
      </c>
      <c r="C2510" t="s">
        <v>40</v>
      </c>
      <c r="D2510">
        <v>5.6472949999999997</v>
      </c>
      <c r="E2510">
        <v>0.30496450000000003</v>
      </c>
      <c r="F2510" t="s">
        <v>79</v>
      </c>
      <c r="G2510">
        <v>-462.21100000000001</v>
      </c>
      <c r="H2510">
        <v>1.6638599999999999</v>
      </c>
      <c r="I2510">
        <v>197.345</v>
      </c>
      <c r="J2510">
        <v>-493.2244</v>
      </c>
      <c r="K2510">
        <v>1.111326</v>
      </c>
      <c r="L2510">
        <v>252.9462</v>
      </c>
      <c r="M2510">
        <v>6.4805050000000003E-2</v>
      </c>
      <c r="N2510">
        <v>0</v>
      </c>
      <c r="O2510">
        <v>-0.99780619999999998</v>
      </c>
      <c r="P2510">
        <v>1.523775E-2</v>
      </c>
      <c r="Q2510">
        <v>-3.9775379999999999E-2</v>
      </c>
      <c r="R2510">
        <v>-0.99909269999999994</v>
      </c>
      <c r="S2510">
        <v>1.6596679999999999</v>
      </c>
      <c r="T2510">
        <v>2.9562229999999998E-2</v>
      </c>
      <c r="U2510">
        <v>-2.9807130000000002</v>
      </c>
      <c r="V2510">
        <v>4.961803E-2</v>
      </c>
      <c r="W2510">
        <v>-2.6111849999999999E-2</v>
      </c>
      <c r="X2510">
        <v>0.99842690000000001</v>
      </c>
      <c r="Y2510">
        <v>-0.42880869999999999</v>
      </c>
      <c r="Z2510">
        <v>-8.7731389999999992E-3</v>
      </c>
      <c r="AA2510">
        <v>0.90335270000000001</v>
      </c>
      <c r="AB2510">
        <v>20</v>
      </c>
      <c r="AC2510">
        <v>31.013399999999901</v>
      </c>
      <c r="AD2510">
        <v>0.55253399999999897</v>
      </c>
      <c r="AE2510">
        <v>-55.601199999999999</v>
      </c>
      <c r="AF2510">
        <v>-27.342568248087701</v>
      </c>
      <c r="AG2510">
        <v>0.55253399999999897</v>
      </c>
      <c r="AH2510">
        <v>57.489980552554002</v>
      </c>
      <c r="AI2510">
        <v>89.502723699584706</v>
      </c>
      <c r="AJ2510">
        <v>115.436031572094</v>
      </c>
      <c r="AK2510">
        <v>63.663326932823097</v>
      </c>
      <c r="AL2510">
        <v>91.496268827213896</v>
      </c>
      <c r="AM2510">
        <v>87.154957680646405</v>
      </c>
      <c r="AN2510">
        <v>1.0000000261275499</v>
      </c>
    </row>
    <row r="2511" spans="1:40" x14ac:dyDescent="0.25">
      <c r="A2511" t="str">
        <f>"20190312161316498"</f>
        <v>20190312161316498</v>
      </c>
      <c r="B2511" t="str">
        <f>"1552378396488442"</f>
        <v>1552378396488442</v>
      </c>
      <c r="C2511" t="s">
        <v>40</v>
      </c>
      <c r="D2511">
        <v>5.6680029999999997</v>
      </c>
      <c r="E2511">
        <v>0.305052299999999</v>
      </c>
      <c r="F2511" t="s">
        <v>79</v>
      </c>
      <c r="G2511">
        <v>-463.37189999999998</v>
      </c>
      <c r="H2511">
        <v>0.61202100000000004</v>
      </c>
      <c r="I2511">
        <v>197.345</v>
      </c>
      <c r="J2511">
        <v>-493.21629999999999</v>
      </c>
      <c r="K2511">
        <v>1.1113230000000001</v>
      </c>
      <c r="L2511">
        <v>252.8407</v>
      </c>
      <c r="M2511">
        <v>6.5905999999999895E-2</v>
      </c>
      <c r="N2511">
        <v>0</v>
      </c>
      <c r="O2511">
        <v>-0.99773400000000001</v>
      </c>
      <c r="P2511">
        <v>1.6506179999999999E-2</v>
      </c>
      <c r="Q2511">
        <v>-3.9598170000000002E-2</v>
      </c>
      <c r="R2511">
        <v>-0.99907959999999996</v>
      </c>
      <c r="S2511">
        <v>1.598511</v>
      </c>
      <c r="T2511">
        <v>-2.6734230000000001E-2</v>
      </c>
      <c r="U2511">
        <v>-2.9772639999999999</v>
      </c>
      <c r="V2511">
        <v>4.9452049999999997E-2</v>
      </c>
      <c r="W2511">
        <v>-2.5936319999999999E-2</v>
      </c>
      <c r="X2511">
        <v>0.99843970000000004</v>
      </c>
      <c r="Y2511">
        <v>-0.41392190000000001</v>
      </c>
      <c r="Z2511">
        <v>8.0068239999999992E-3</v>
      </c>
      <c r="AA2511">
        <v>0.91027720000000001</v>
      </c>
      <c r="AB2511">
        <v>20</v>
      </c>
      <c r="AC2511">
        <v>29.8444</v>
      </c>
      <c r="AD2511">
        <v>-0.49930200000000002</v>
      </c>
      <c r="AE2511">
        <v>-55.495699999999999</v>
      </c>
      <c r="AF2511">
        <v>-26.1200266226145</v>
      </c>
      <c r="AG2511">
        <v>-0.49930200000000002</v>
      </c>
      <c r="AH2511">
        <v>57.338526150103903</v>
      </c>
      <c r="AI2511">
        <v>90.454029061707999</v>
      </c>
      <c r="AJ2511">
        <v>114.49119141657199</v>
      </c>
      <c r="AK2511">
        <v>63.009615729025398</v>
      </c>
      <c r="AL2511">
        <v>91.486208306642993</v>
      </c>
      <c r="AM2511">
        <v>87.164495522435104</v>
      </c>
      <c r="AN2511">
        <v>1.0000000162402101</v>
      </c>
    </row>
    <row r="2512" spans="1:40" x14ac:dyDescent="0.25">
      <c r="A2512" t="str">
        <f>"20190312161316510"</f>
        <v>20190312161316510</v>
      </c>
      <c r="B2512" t="str">
        <f>"1552378396498203"</f>
        <v>1552378396498203</v>
      </c>
      <c r="C2512" t="s">
        <v>40</v>
      </c>
      <c r="D2512">
        <v>5.782159</v>
      </c>
      <c r="E2512">
        <v>0.30516880000000002</v>
      </c>
      <c r="F2512" t="s">
        <v>79</v>
      </c>
      <c r="G2512">
        <v>-463.33620000000002</v>
      </c>
      <c r="H2512">
        <v>0.62127829999999995</v>
      </c>
      <c r="I2512">
        <v>197.345</v>
      </c>
      <c r="J2512">
        <v>-493.2081</v>
      </c>
      <c r="K2512">
        <v>1.1113200000000001</v>
      </c>
      <c r="L2512">
        <v>252.7353</v>
      </c>
      <c r="M2512">
        <v>6.7005809999999999E-2</v>
      </c>
      <c r="N2512">
        <v>0</v>
      </c>
      <c r="O2512">
        <v>-0.99766080000000001</v>
      </c>
      <c r="P2512">
        <v>1.7570099999999901E-2</v>
      </c>
      <c r="Q2512">
        <v>-3.9319699999999902E-2</v>
      </c>
      <c r="R2512">
        <v>-0.99907239999999997</v>
      </c>
      <c r="S2512">
        <v>1.6019289999999999</v>
      </c>
      <c r="T2512">
        <v>-2.627003E-2</v>
      </c>
      <c r="U2512">
        <v>-2.9752200000000002</v>
      </c>
      <c r="V2512">
        <v>4.9489289999999998E-2</v>
      </c>
      <c r="W2512">
        <v>-2.5659049999999999E-2</v>
      </c>
      <c r="X2512">
        <v>0.99844500000000003</v>
      </c>
      <c r="Y2512">
        <v>-0.41399069999999999</v>
      </c>
      <c r="Z2512">
        <v>7.8695350000000004E-3</v>
      </c>
      <c r="AA2512">
        <v>0.91024709999999998</v>
      </c>
      <c r="AB2512">
        <v>20</v>
      </c>
      <c r="AC2512">
        <v>29.871899999999901</v>
      </c>
      <c r="AD2512">
        <v>-0.49004170000000002</v>
      </c>
      <c r="AE2512">
        <v>-55.390300000000003</v>
      </c>
      <c r="AF2512">
        <v>-26.091359242233001</v>
      </c>
      <c r="AG2512">
        <v>-0.49004170000000002</v>
      </c>
      <c r="AH2512">
        <v>57.264094147526201</v>
      </c>
      <c r="AI2512">
        <v>90.446172537261901</v>
      </c>
      <c r="AJ2512">
        <v>114.495532668778</v>
      </c>
      <c r="AK2512">
        <v>62.929926477882802</v>
      </c>
      <c r="AL2512">
        <v>91.470316644844601</v>
      </c>
      <c r="AM2512">
        <v>87.162378765038994</v>
      </c>
      <c r="AN2512">
        <v>0.99999999734830303</v>
      </c>
    </row>
    <row r="2513" spans="1:40" x14ac:dyDescent="0.25">
      <c r="A2513" t="str">
        <f>"20190312161316531"</f>
        <v>20190312161316531</v>
      </c>
      <c r="B2513" t="str">
        <f>"1552378396528458"</f>
        <v>1552378396528458</v>
      </c>
      <c r="C2513" t="s">
        <v>40</v>
      </c>
      <c r="D2513">
        <v>5.6731889999999998</v>
      </c>
      <c r="E2513">
        <v>0.30484549999999999</v>
      </c>
      <c r="F2513" t="s">
        <v>79</v>
      </c>
      <c r="G2513">
        <v>-463.32249999999999</v>
      </c>
      <c r="H2513">
        <v>0.53930900000000004</v>
      </c>
      <c r="I2513">
        <v>197.345</v>
      </c>
      <c r="J2513">
        <v>-493.19349999999997</v>
      </c>
      <c r="K2513">
        <v>1.1113150000000001</v>
      </c>
      <c r="L2513">
        <v>252.55269999999999</v>
      </c>
      <c r="M2513">
        <v>6.8910589999999994E-2</v>
      </c>
      <c r="N2513">
        <v>0</v>
      </c>
      <c r="O2513">
        <v>-0.9975311</v>
      </c>
      <c r="P2513">
        <v>1.9516749999999999E-2</v>
      </c>
      <c r="Q2513">
        <v>-3.9138079999999999E-2</v>
      </c>
      <c r="R2513">
        <v>-0.99904349999999997</v>
      </c>
      <c r="S2513">
        <v>1.604279</v>
      </c>
      <c r="T2513">
        <v>-3.070378E-2</v>
      </c>
      <c r="U2513">
        <v>-2.973373</v>
      </c>
      <c r="V2513">
        <v>4.9450069999999999E-2</v>
      </c>
      <c r="W2513">
        <v>-2.54798E-2</v>
      </c>
      <c r="X2513">
        <v>0.99845150000000005</v>
      </c>
      <c r="Y2513">
        <v>-0.41304030000000003</v>
      </c>
      <c r="Z2513">
        <v>9.2012429999999996E-3</v>
      </c>
      <c r="AA2513">
        <v>0.91066630000000004</v>
      </c>
      <c r="AB2513">
        <v>20</v>
      </c>
      <c r="AC2513">
        <v>29.870999999999899</v>
      </c>
      <c r="AD2513">
        <v>-0.57200600000000001</v>
      </c>
      <c r="AE2513">
        <v>-55.207699999999903</v>
      </c>
      <c r="AF2513">
        <v>-25.9930769766789</v>
      </c>
      <c r="AG2513">
        <v>-0.57200600000000001</v>
      </c>
      <c r="AH2513">
        <v>57.130310950903997</v>
      </c>
      <c r="AI2513">
        <v>90.522143593307504</v>
      </c>
      <c r="AJ2513">
        <v>114.46452599042</v>
      </c>
      <c r="AK2513">
        <v>62.768142165644598</v>
      </c>
      <c r="AL2513">
        <v>91.460043066428895</v>
      </c>
      <c r="AM2513">
        <v>87.164642322146705</v>
      </c>
      <c r="AN2513">
        <v>0.99999996374164601</v>
      </c>
    </row>
    <row r="2514" spans="1:40" x14ac:dyDescent="0.25">
      <c r="A2514" t="str">
        <f>"20190312161316545"</f>
        <v>20190312161316545</v>
      </c>
      <c r="B2514" t="str">
        <f>"1552378396538217"</f>
        <v>1552378396538217</v>
      </c>
      <c r="C2514" t="s">
        <v>40</v>
      </c>
      <c r="D2514">
        <v>5.6604469999999996</v>
      </c>
      <c r="E2514">
        <v>0.30492780000000003</v>
      </c>
      <c r="F2514" t="s">
        <v>79</v>
      </c>
      <c r="G2514">
        <v>-463.22250000000003</v>
      </c>
      <c r="H2514">
        <v>0.59566739999999996</v>
      </c>
      <c r="I2514">
        <v>197.345</v>
      </c>
      <c r="J2514">
        <v>-493.18310000000002</v>
      </c>
      <c r="K2514">
        <v>1.111316</v>
      </c>
      <c r="L2514">
        <v>252.4238</v>
      </c>
      <c r="M2514">
        <v>7.0255410000000004E-2</v>
      </c>
      <c r="N2514">
        <v>0</v>
      </c>
      <c r="O2514">
        <v>-0.99743720000000002</v>
      </c>
      <c r="P2514">
        <v>2.1083270000000001E-2</v>
      </c>
      <c r="Q2514">
        <v>-3.9460769999999999E-2</v>
      </c>
      <c r="R2514">
        <v>-0.99899890000000002</v>
      </c>
      <c r="S2514">
        <v>1.6125179999999999</v>
      </c>
      <c r="T2514">
        <v>-2.7741189999999999E-2</v>
      </c>
      <c r="U2514">
        <v>-2.9703059999999999</v>
      </c>
      <c r="V2514">
        <v>4.9230530000000002E-2</v>
      </c>
      <c r="W2514">
        <v>-2.5804790000000001E-2</v>
      </c>
      <c r="X2514">
        <v>0.99845399999999995</v>
      </c>
      <c r="Y2514">
        <v>-0.41416219999999998</v>
      </c>
      <c r="Z2514">
        <v>8.3124589999999995E-3</v>
      </c>
      <c r="AA2514">
        <v>0.91016509999999995</v>
      </c>
      <c r="AB2514">
        <v>20</v>
      </c>
      <c r="AC2514">
        <v>29.960599999999999</v>
      </c>
      <c r="AD2514">
        <v>-0.51564860000000001</v>
      </c>
      <c r="AE2514">
        <v>-55.078800000000001</v>
      </c>
      <c r="AF2514">
        <v>-26.014857142208601</v>
      </c>
      <c r="AG2514">
        <v>-0.51564860000000001</v>
      </c>
      <c r="AH2514">
        <v>57.043906218448903</v>
      </c>
      <c r="AI2514">
        <v>90.471223903749205</v>
      </c>
      <c r="AJ2514">
        <v>114.515343857825</v>
      </c>
      <c r="AK2514">
        <v>62.6980535763863</v>
      </c>
      <c r="AL2514">
        <v>91.478669751121799</v>
      </c>
      <c r="AM2514">
        <v>87.177216912154407</v>
      </c>
      <c r="AN2514">
        <v>0.99999996119351098</v>
      </c>
    </row>
    <row r="2515" spans="1:40" x14ac:dyDescent="0.25">
      <c r="A2515" t="str">
        <f>"20190312161316565"</f>
        <v>20190312161316565</v>
      </c>
      <c r="B2515" t="str">
        <f>"1552378396557738"</f>
        <v>1552378396557738</v>
      </c>
      <c r="C2515" t="s">
        <v>40</v>
      </c>
      <c r="D2515">
        <v>5.678617</v>
      </c>
      <c r="E2515">
        <v>0.30502380000000001</v>
      </c>
      <c r="F2515" t="s">
        <v>79</v>
      </c>
      <c r="G2515">
        <v>-463.17939999999999</v>
      </c>
      <c r="H2515">
        <v>0.57786890000000002</v>
      </c>
      <c r="I2515">
        <v>197.345</v>
      </c>
      <c r="J2515">
        <v>-493.1694</v>
      </c>
      <c r="K2515">
        <v>1.1113139999999999</v>
      </c>
      <c r="L2515">
        <v>252.2576</v>
      </c>
      <c r="M2515">
        <v>7.1990360000000003E-2</v>
      </c>
      <c r="N2515">
        <v>0</v>
      </c>
      <c r="O2515">
        <v>-0.99731329999999996</v>
      </c>
      <c r="P2515">
        <v>2.3128929999999999E-2</v>
      </c>
      <c r="Q2515">
        <v>-3.9309940000000002E-2</v>
      </c>
      <c r="R2515">
        <v>-0.99895929999999999</v>
      </c>
      <c r="S2515">
        <v>1.6166689999999999</v>
      </c>
      <c r="T2515">
        <v>-2.8741240000000001E-2</v>
      </c>
      <c r="U2515">
        <v>-2.9677579999999999</v>
      </c>
      <c r="V2515">
        <v>4.8922739999999999E-2</v>
      </c>
      <c r="W2515">
        <v>-2.5656729999999999E-2</v>
      </c>
      <c r="X2515">
        <v>0.99847300000000005</v>
      </c>
      <c r="Y2515">
        <v>-0.41388740000000002</v>
      </c>
      <c r="Z2515">
        <v>8.6147959999999992E-3</v>
      </c>
      <c r="AA2515">
        <v>0.91028730000000002</v>
      </c>
      <c r="AB2515">
        <v>20</v>
      </c>
      <c r="AC2515">
        <v>29.99</v>
      </c>
      <c r="AD2515">
        <v>-0.53344509999999901</v>
      </c>
      <c r="AE2515">
        <v>-54.912599999999998</v>
      </c>
      <c r="AF2515">
        <v>-25.956743965043799</v>
      </c>
      <c r="AG2515">
        <v>-0.53344509999999901</v>
      </c>
      <c r="AH2515">
        <v>56.925144849986403</v>
      </c>
      <c r="AI2515">
        <v>90.488516192440102</v>
      </c>
      <c r="AJ2515">
        <v>114.512050822728</v>
      </c>
      <c r="AK2515">
        <v>62.566039007863402</v>
      </c>
      <c r="AL2515">
        <v>91.470183645952602</v>
      </c>
      <c r="AM2515">
        <v>87.194890011272406</v>
      </c>
      <c r="AN2515">
        <v>1.0000000170062</v>
      </c>
    </row>
    <row r="2516" spans="1:40" x14ac:dyDescent="0.25">
      <c r="A2516" t="str">
        <f>"20190312161316586"</f>
        <v>20190312161316586</v>
      </c>
      <c r="B2516" t="str">
        <f>"1552378396578233"</f>
        <v>1552378396578233</v>
      </c>
      <c r="C2516" t="s">
        <v>40</v>
      </c>
      <c r="D2516">
        <v>5.7181790000000001</v>
      </c>
      <c r="E2516">
        <v>0.3049366</v>
      </c>
      <c r="F2516" t="s">
        <v>79</v>
      </c>
      <c r="G2516">
        <v>-463.125</v>
      </c>
      <c r="H2516">
        <v>0.55968669999999998</v>
      </c>
      <c r="I2516">
        <v>197.345</v>
      </c>
      <c r="J2516">
        <v>-493.15289999999999</v>
      </c>
      <c r="K2516">
        <v>1.1113120000000001</v>
      </c>
      <c r="L2516">
        <v>252.0634</v>
      </c>
      <c r="M2516">
        <v>7.4016490000000004E-2</v>
      </c>
      <c r="N2516">
        <v>0</v>
      </c>
      <c r="O2516">
        <v>-0.99716519999999997</v>
      </c>
      <c r="P2516">
        <v>2.5540279999999999E-2</v>
      </c>
      <c r="Q2516">
        <v>-3.9063510000000003E-2</v>
      </c>
      <c r="R2516">
        <v>-0.99891050000000003</v>
      </c>
      <c r="S2516">
        <v>1.6219479999999999</v>
      </c>
      <c r="T2516">
        <v>-2.9777649999999999E-2</v>
      </c>
      <c r="U2516">
        <v>-2.9644469999999998</v>
      </c>
      <c r="V2516">
        <v>4.854112E-2</v>
      </c>
      <c r="W2516">
        <v>-2.5413499999999999E-2</v>
      </c>
      <c r="X2516">
        <v>0.99849779999999999</v>
      </c>
      <c r="Y2516">
        <v>-0.41371229999999998</v>
      </c>
      <c r="Z2516">
        <v>8.9289130000000001E-3</v>
      </c>
      <c r="AA2516">
        <v>0.9103639</v>
      </c>
      <c r="AB2516">
        <v>20</v>
      </c>
      <c r="AC2516">
        <v>30.027899999999899</v>
      </c>
      <c r="AD2516">
        <v>-0.55162529999999999</v>
      </c>
      <c r="AE2516">
        <v>-54.718400000000003</v>
      </c>
      <c r="AF2516">
        <v>-25.893061656615401</v>
      </c>
      <c r="AG2516">
        <v>-0.55162529999999999</v>
      </c>
      <c r="AH2516">
        <v>56.786608679937999</v>
      </c>
      <c r="AI2516">
        <v>90.506398389933494</v>
      </c>
      <c r="AJ2516">
        <v>114.511622695079</v>
      </c>
      <c r="AK2516">
        <v>62.413731324070802</v>
      </c>
      <c r="AL2516">
        <v>91.456243114377003</v>
      </c>
      <c r="AM2516">
        <v>87.216805645543701</v>
      </c>
      <c r="AN2516">
        <v>0.99999997145897102</v>
      </c>
    </row>
    <row r="2517" spans="1:40" x14ac:dyDescent="0.25">
      <c r="A2517" t="str">
        <f>"20190312161316598"</f>
        <v>20190312161316598</v>
      </c>
      <c r="B2517" t="str">
        <f>"1552378396587993"</f>
        <v>1552378396587993</v>
      </c>
      <c r="C2517" t="s">
        <v>40</v>
      </c>
      <c r="D2517">
        <v>5.7285339999999998</v>
      </c>
      <c r="E2517">
        <v>0.30670459999999999</v>
      </c>
      <c r="F2517" t="s">
        <v>79</v>
      </c>
      <c r="G2517">
        <v>-463.0342</v>
      </c>
      <c r="H2517">
        <v>0.60612060000000001</v>
      </c>
      <c r="I2517">
        <v>197.345</v>
      </c>
      <c r="J2517">
        <v>-493.14330000000001</v>
      </c>
      <c r="K2517">
        <v>1.11131</v>
      </c>
      <c r="L2517">
        <v>251.95249999999999</v>
      </c>
      <c r="M2517">
        <v>7.5174089999999999E-2</v>
      </c>
      <c r="N2517">
        <v>0</v>
      </c>
      <c r="O2517">
        <v>-0.99707880000000004</v>
      </c>
      <c r="P2517">
        <v>2.6731899999999999E-2</v>
      </c>
      <c r="Q2517">
        <v>-3.9172279999999997E-2</v>
      </c>
      <c r="R2517">
        <v>-0.99887499999999996</v>
      </c>
      <c r="S2517">
        <v>1.629578</v>
      </c>
      <c r="T2517">
        <v>-2.7331589999999999E-2</v>
      </c>
      <c r="U2517">
        <v>-2.9605410000000001</v>
      </c>
      <c r="V2517">
        <v>4.8509070000000001E-2</v>
      </c>
      <c r="W2517">
        <v>-2.5523799999999999E-2</v>
      </c>
      <c r="X2517">
        <v>0.99849659999999996</v>
      </c>
      <c r="Y2517">
        <v>-0.4149661</v>
      </c>
      <c r="Z2517">
        <v>8.1966750000000005E-3</v>
      </c>
      <c r="AA2517">
        <v>0.90979989999999999</v>
      </c>
      <c r="AB2517">
        <v>20</v>
      </c>
      <c r="AC2517">
        <v>30.109100000000002</v>
      </c>
      <c r="AD2517">
        <v>-0.50518940000000001</v>
      </c>
      <c r="AE2517">
        <v>-54.607499999999902</v>
      </c>
      <c r="AF2517">
        <v>-25.916743237217801</v>
      </c>
      <c r="AG2517">
        <v>-0.50518940000000001</v>
      </c>
      <c r="AH2517">
        <v>56.712864472038497</v>
      </c>
      <c r="AI2517">
        <v>90.464197446533404</v>
      </c>
      <c r="AJ2517">
        <v>114.559535007365</v>
      </c>
      <c r="AK2517">
        <v>62.356088660030302</v>
      </c>
      <c r="AL2517">
        <v>91.462564808110798</v>
      </c>
      <c r="AM2517">
        <v>87.218637067264893</v>
      </c>
      <c r="AN2517">
        <v>1.0000000272251299</v>
      </c>
    </row>
    <row r="2518" spans="1:40" x14ac:dyDescent="0.25">
      <c r="A2518" t="str">
        <f>"20190312161316610"</f>
        <v>20190312161316610</v>
      </c>
      <c r="B2518" t="str">
        <f>"1552378396608490"</f>
        <v>1552378396608490</v>
      </c>
      <c r="C2518" t="s">
        <v>40</v>
      </c>
      <c r="D2518">
        <v>5.6578030000000004</v>
      </c>
      <c r="E2518">
        <v>0.30563099999999999</v>
      </c>
      <c r="F2518" t="s">
        <v>69</v>
      </c>
      <c r="G2518">
        <v>-469.68470000000002</v>
      </c>
      <c r="H2518">
        <v>8.0000329999999995E-2</v>
      </c>
      <c r="I2518">
        <v>209.1413</v>
      </c>
      <c r="J2518">
        <v>-493.13400000000001</v>
      </c>
      <c r="K2518">
        <v>1.1113090000000001</v>
      </c>
      <c r="L2518">
        <v>251.846</v>
      </c>
      <c r="M2518">
        <v>7.6286199999999998E-2</v>
      </c>
      <c r="N2518">
        <v>0</v>
      </c>
      <c r="O2518">
        <v>-0.99699409999999999</v>
      </c>
      <c r="P2518">
        <v>2.786723E-2</v>
      </c>
      <c r="Q2518">
        <v>-3.9551610000000001E-2</v>
      </c>
      <c r="R2518">
        <v>-0.99882890000000002</v>
      </c>
      <c r="S2518">
        <v>1.620422</v>
      </c>
      <c r="T2518">
        <v>-7.1238399999999993E-2</v>
      </c>
      <c r="U2518">
        <v>-2.957214</v>
      </c>
      <c r="V2518">
        <v>4.8487660000000002E-2</v>
      </c>
      <c r="W2518">
        <v>-2.5904699999999999E-2</v>
      </c>
      <c r="X2518">
        <v>0.99848780000000004</v>
      </c>
      <c r="Y2518">
        <v>-0.4121245</v>
      </c>
      <c r="Z2518">
        <v>2.1407269999999999E-2</v>
      </c>
      <c r="AA2518">
        <v>0.91087600000000002</v>
      </c>
      <c r="AB2518">
        <v>20</v>
      </c>
      <c r="AC2518">
        <v>23.449299999999901</v>
      </c>
      <c r="AD2518">
        <v>-1.03130867</v>
      </c>
      <c r="AE2518">
        <v>-42.704699999999903</v>
      </c>
      <c r="AF2518">
        <v>-20.113864541470601</v>
      </c>
      <c r="AG2518">
        <v>-1.03130867</v>
      </c>
      <c r="AH2518">
        <v>44.349382854654202</v>
      </c>
      <c r="AI2518">
        <v>91.213223308854296</v>
      </c>
      <c r="AJ2518">
        <v>114.395812920013</v>
      </c>
      <c r="AK2518">
        <v>48.708304260712502</v>
      </c>
      <c r="AL2518">
        <v>91.484396034213304</v>
      </c>
      <c r="AM2518">
        <v>87.219838261539493</v>
      </c>
      <c r="AN2518">
        <v>0.999999996701602</v>
      </c>
    </row>
    <row r="2519" spans="1:40" x14ac:dyDescent="0.25">
      <c r="A2519" t="str">
        <f>"20190312161316623"</f>
        <v>20190312161316623</v>
      </c>
      <c r="B2519" t="str">
        <f>"1552378396618250"</f>
        <v>1552378396618250</v>
      </c>
      <c r="C2519" t="s">
        <v>40</v>
      </c>
      <c r="D2519">
        <v>5.7621520000000004</v>
      </c>
      <c r="E2519">
        <v>0.30563099999999999</v>
      </c>
      <c r="F2519" t="s">
        <v>79</v>
      </c>
      <c r="G2519">
        <v>-463.0772</v>
      </c>
      <c r="H2519">
        <v>0.66731019999999996</v>
      </c>
      <c r="I2519">
        <v>197.345</v>
      </c>
      <c r="J2519">
        <v>-493.12419999999997</v>
      </c>
      <c r="K2519">
        <v>1.1113109999999999</v>
      </c>
      <c r="L2519">
        <v>251.73519999999999</v>
      </c>
      <c r="M2519">
        <v>7.7442319999999995E-2</v>
      </c>
      <c r="N2519">
        <v>0</v>
      </c>
      <c r="O2519">
        <v>-0.99690500000000004</v>
      </c>
      <c r="P2519">
        <v>2.8830410000000001E-2</v>
      </c>
      <c r="Q2519">
        <v>-3.9685030000000003E-2</v>
      </c>
      <c r="R2519">
        <v>-0.99879649999999998</v>
      </c>
      <c r="S2519">
        <v>1.630798</v>
      </c>
      <c r="T2519">
        <v>-2.408803E-2</v>
      </c>
      <c r="U2519">
        <v>-2.9570620000000001</v>
      </c>
      <c r="V2519">
        <v>4.8682469999999999E-2</v>
      </c>
      <c r="W2519">
        <v>-2.603927E-2</v>
      </c>
      <c r="X2519">
        <v>0.9984748</v>
      </c>
      <c r="Y2519">
        <v>-0.41363929999999999</v>
      </c>
      <c r="Z2519">
        <v>7.2311019999999997E-3</v>
      </c>
      <c r="AA2519">
        <v>0.91041209999999995</v>
      </c>
      <c r="AB2519">
        <v>20</v>
      </c>
      <c r="AC2519">
        <v>30.046999999999901</v>
      </c>
      <c r="AD2519">
        <v>-0.44400079999999997</v>
      </c>
      <c r="AE2519">
        <v>-54.390199999999901</v>
      </c>
      <c r="AF2519">
        <v>-25.7429440045481</v>
      </c>
      <c r="AG2519">
        <v>-0.44400079999999997</v>
      </c>
      <c r="AH2519">
        <v>56.551062375444502</v>
      </c>
      <c r="AI2519">
        <v>90.409415931286802</v>
      </c>
      <c r="AJ2519">
        <v>114.475783794488</v>
      </c>
      <c r="AK2519">
        <v>62.136293408306202</v>
      </c>
      <c r="AL2519">
        <v>91.492108959447805</v>
      </c>
      <c r="AM2519">
        <v>87.208649686185296</v>
      </c>
      <c r="AN2519">
        <v>0.99999997635123605</v>
      </c>
    </row>
    <row r="2520" spans="1:40" x14ac:dyDescent="0.25">
      <c r="A2520" t="str">
        <f>"20190312161316640"</f>
        <v>20190312161316640</v>
      </c>
      <c r="B2520" t="str">
        <f>"1552378396628009"</f>
        <v>1552378396628009</v>
      </c>
      <c r="C2520" t="s">
        <v>40</v>
      </c>
      <c r="D2520">
        <v>5.7564109999999999</v>
      </c>
      <c r="E2520">
        <v>0.30497210000000002</v>
      </c>
      <c r="F2520" t="s">
        <v>79</v>
      </c>
      <c r="G2520">
        <v>-463.05770000000001</v>
      </c>
      <c r="H2520">
        <v>0.67126660000000005</v>
      </c>
      <c r="I2520">
        <v>197.345</v>
      </c>
      <c r="J2520">
        <v>-493.1105</v>
      </c>
      <c r="K2520">
        <v>1.111305</v>
      </c>
      <c r="L2520">
        <v>251.58330000000001</v>
      </c>
      <c r="M2520">
        <v>7.9028580000000001E-2</v>
      </c>
      <c r="N2520">
        <v>0</v>
      </c>
      <c r="O2520">
        <v>-0.99678060000000002</v>
      </c>
      <c r="P2520">
        <v>2.9718890000000001E-2</v>
      </c>
      <c r="Q2520">
        <v>-3.9892549999999999E-2</v>
      </c>
      <c r="R2520">
        <v>-0.99876209999999999</v>
      </c>
      <c r="S2520">
        <v>1.6337889999999999</v>
      </c>
      <c r="T2520">
        <v>-2.3909570000000002E-2</v>
      </c>
      <c r="U2520">
        <v>-2.955505</v>
      </c>
      <c r="V2520">
        <v>4.9382549999999997E-2</v>
      </c>
      <c r="W2520">
        <v>-2.624744E-2</v>
      </c>
      <c r="X2520">
        <v>0.99843499999999996</v>
      </c>
      <c r="Y2520">
        <v>-0.4130993</v>
      </c>
      <c r="Z2520">
        <v>7.1787329999999996E-3</v>
      </c>
      <c r="AA2520">
        <v>0.91065770000000001</v>
      </c>
      <c r="AB2520">
        <v>20</v>
      </c>
      <c r="AC2520">
        <v>30.052799999999898</v>
      </c>
      <c r="AD2520">
        <v>-0.4400384</v>
      </c>
      <c r="AE2520">
        <v>-54.238300000000002</v>
      </c>
      <c r="AF2520">
        <v>-25.670727455436801</v>
      </c>
      <c r="AG2520">
        <v>-0.4400384</v>
      </c>
      <c r="AH2520">
        <v>56.441035499928297</v>
      </c>
      <c r="AI2520">
        <v>90.406613366952996</v>
      </c>
      <c r="AJ2520">
        <v>114.45717160957</v>
      </c>
      <c r="AK2520">
        <v>62.006212351577801</v>
      </c>
      <c r="AL2520">
        <v>91.504040254467796</v>
      </c>
      <c r="AM2520">
        <v>87.168460748436701</v>
      </c>
      <c r="AN2520">
        <v>1.0000000067880199</v>
      </c>
    </row>
    <row r="2521" spans="1:40" x14ac:dyDescent="0.25">
      <c r="A2521" t="str">
        <f>"20190312161316664"</f>
        <v>20190312161316664</v>
      </c>
      <c r="B2521" t="str">
        <f>"1552378396658266"</f>
        <v>1552378396658266</v>
      </c>
      <c r="C2521" t="s">
        <v>40</v>
      </c>
      <c r="D2521">
        <v>5.7322170000000003</v>
      </c>
      <c r="E2521">
        <v>0.30547960000000002</v>
      </c>
      <c r="F2521" t="s">
        <v>69</v>
      </c>
      <c r="G2521">
        <v>-468.0727</v>
      </c>
      <c r="H2521">
        <v>8.0000909999999995E-2</v>
      </c>
      <c r="I2521">
        <v>206.5975</v>
      </c>
      <c r="J2521">
        <v>-493.0917</v>
      </c>
      <c r="K2521">
        <v>1.111305</v>
      </c>
      <c r="L2521">
        <v>251.37909999999999</v>
      </c>
      <c r="M2521">
        <v>8.1161479999999994E-2</v>
      </c>
      <c r="N2521">
        <v>0</v>
      </c>
      <c r="O2521">
        <v>-0.99660910000000003</v>
      </c>
      <c r="P2521">
        <v>3.1424639999999997E-2</v>
      </c>
      <c r="Q2521">
        <v>-4.0006460000000001E-2</v>
      </c>
      <c r="R2521">
        <v>-0.99870519999999996</v>
      </c>
      <c r="S2521">
        <v>1.6430659999999999</v>
      </c>
      <c r="T2521">
        <v>-6.7677619999999994E-2</v>
      </c>
      <c r="U2521">
        <v>-2.952118</v>
      </c>
      <c r="V2521">
        <v>4.981344E-2</v>
      </c>
      <c r="W2521">
        <v>-2.63632E-2</v>
      </c>
      <c r="X2521">
        <v>0.99841049999999998</v>
      </c>
      <c r="Y2521">
        <v>-0.41369309999999998</v>
      </c>
      <c r="Z2521">
        <v>2.0313479999999998E-2</v>
      </c>
      <c r="AA2521">
        <v>0.91018969999999999</v>
      </c>
      <c r="AB2521">
        <v>20</v>
      </c>
      <c r="AC2521">
        <v>25.018999999999998</v>
      </c>
      <c r="AD2521">
        <v>-1.0313040899999999</v>
      </c>
      <c r="AE2521">
        <v>-44.781599999999997</v>
      </c>
      <c r="AF2521">
        <v>-21.2929659442649</v>
      </c>
      <c r="AG2521">
        <v>-1.0313040899999999</v>
      </c>
      <c r="AH2521">
        <v>46.645747647734296</v>
      </c>
      <c r="AI2521">
        <v>91.152226008464794</v>
      </c>
      <c r="AJ2521">
        <v>114.535866378676</v>
      </c>
      <c r="AK2521">
        <v>51.286253133230403</v>
      </c>
      <c r="AL2521">
        <v>91.510675177776207</v>
      </c>
      <c r="AM2521">
        <v>87.143724768234705</v>
      </c>
      <c r="AN2521">
        <v>0.99999996181456097</v>
      </c>
    </row>
    <row r="2522" spans="1:40" x14ac:dyDescent="0.25">
      <c r="A2522" t="str">
        <f>"20190312161316676"</f>
        <v>20190312161316676</v>
      </c>
      <c r="B2522" t="str">
        <f>"1552378396668026"</f>
        <v>1552378396668026</v>
      </c>
      <c r="C2522" t="s">
        <v>40</v>
      </c>
      <c r="D2522">
        <v>5.7172799999999997</v>
      </c>
      <c r="E2522">
        <v>0.30547960000000002</v>
      </c>
      <c r="F2522" t="s">
        <v>41</v>
      </c>
      <c r="G2522">
        <v>-461.42</v>
      </c>
      <c r="H2522">
        <v>-0.05</v>
      </c>
      <c r="I2522">
        <v>194.54400000000001</v>
      </c>
      <c r="J2522">
        <v>-493.08069999999998</v>
      </c>
      <c r="K2522">
        <v>1.1113029999999999</v>
      </c>
      <c r="L2522">
        <v>251.26060000000001</v>
      </c>
      <c r="M2522">
        <v>8.2399280000000005E-2</v>
      </c>
      <c r="N2522">
        <v>0</v>
      </c>
      <c r="O2522">
        <v>-0.99650780000000005</v>
      </c>
      <c r="P2522">
        <v>3.2659349999999997E-2</v>
      </c>
      <c r="Q2522">
        <v>-4.007061E-2</v>
      </c>
      <c r="R2522">
        <v>-0.99866339999999998</v>
      </c>
      <c r="S2522">
        <v>1.6437679999999999</v>
      </c>
      <c r="T2522">
        <v>-6.0271980000000003E-2</v>
      </c>
      <c r="U2522">
        <v>-2.9497529999999998</v>
      </c>
      <c r="V2522">
        <v>4.9819000000000002E-2</v>
      </c>
      <c r="W2522">
        <v>-2.6428920000000002E-2</v>
      </c>
      <c r="X2522">
        <v>0.99840850000000003</v>
      </c>
      <c r="Y2522">
        <v>-0.41305819999999999</v>
      </c>
      <c r="Z2522">
        <v>1.8103080000000001E-2</v>
      </c>
      <c r="AA2522">
        <v>0.91052469999999996</v>
      </c>
      <c r="AB2522">
        <v>20</v>
      </c>
      <c r="AC2522">
        <v>31.660699999999899</v>
      </c>
      <c r="AD2522">
        <v>-1.161303</v>
      </c>
      <c r="AE2522">
        <v>-56.7166</v>
      </c>
      <c r="AF2522">
        <v>-26.870592216945798</v>
      </c>
      <c r="AG2522">
        <v>-1.161303</v>
      </c>
      <c r="AH2522">
        <v>59.113855882738498</v>
      </c>
      <c r="AI2522">
        <v>91.024582733425902</v>
      </c>
      <c r="AJ2522">
        <v>114.44448311404</v>
      </c>
      <c r="AK2522">
        <v>64.944786611954996</v>
      </c>
      <c r="AL2522">
        <v>91.514441946455705</v>
      </c>
      <c r="AM2522">
        <v>87.143400776096698</v>
      </c>
      <c r="AN2522">
        <v>0.99999997672280705</v>
      </c>
    </row>
    <row r="2523" spans="1:40" x14ac:dyDescent="0.25">
      <c r="A2523" t="str">
        <f>"20190312161316689"</f>
        <v>20190312161316689</v>
      </c>
      <c r="B2523" t="str">
        <f>"1552378396677874"</f>
        <v>1552378396677874</v>
      </c>
      <c r="C2523" t="s">
        <v>40</v>
      </c>
      <c r="D2523">
        <v>5.6536739999999996</v>
      </c>
      <c r="E2523">
        <v>0.305560099999999</v>
      </c>
      <c r="F2523" t="s">
        <v>41</v>
      </c>
      <c r="G2523">
        <v>-462.07569999999998</v>
      </c>
      <c r="H2523">
        <v>-0.05</v>
      </c>
      <c r="I2523">
        <v>195.79249999999999</v>
      </c>
      <c r="J2523">
        <v>-493.07040000000001</v>
      </c>
      <c r="K2523">
        <v>1.1113010000000001</v>
      </c>
      <c r="L2523">
        <v>251.15260000000001</v>
      </c>
      <c r="M2523">
        <v>8.3526520000000007E-2</v>
      </c>
      <c r="N2523">
        <v>0</v>
      </c>
      <c r="O2523">
        <v>-0.99641400000000002</v>
      </c>
      <c r="P2523">
        <v>3.3780690000000002E-2</v>
      </c>
      <c r="Q2523">
        <v>-4.0192270000000002E-2</v>
      </c>
      <c r="R2523">
        <v>-0.99862110000000004</v>
      </c>
      <c r="S2523">
        <v>1.647675</v>
      </c>
      <c r="T2523">
        <v>-6.1714169999999999E-2</v>
      </c>
      <c r="U2523">
        <v>-2.9476930000000001</v>
      </c>
      <c r="V2523">
        <v>4.9827160000000002E-2</v>
      </c>
      <c r="W2523">
        <v>-2.6552019999999999E-2</v>
      </c>
      <c r="X2523">
        <v>0.99840490000000004</v>
      </c>
      <c r="Y2523">
        <v>-0.41321449999999998</v>
      </c>
      <c r="Z2523">
        <v>1.8538410000000002E-2</v>
      </c>
      <c r="AA2523">
        <v>0.91044499999999995</v>
      </c>
      <c r="AB2523">
        <v>20</v>
      </c>
      <c r="AC2523">
        <v>30.994700000000002</v>
      </c>
      <c r="AD2523">
        <v>-1.1613009999999999</v>
      </c>
      <c r="AE2523">
        <v>-55.360100000000003</v>
      </c>
      <c r="AF2523">
        <v>-26.253117011683099</v>
      </c>
      <c r="AG2523">
        <v>-1.1613009999999999</v>
      </c>
      <c r="AH2523">
        <v>57.736384214038203</v>
      </c>
      <c r="AI2523">
        <v>91.048960679458204</v>
      </c>
      <c r="AJ2523">
        <v>114.451607970296</v>
      </c>
      <c r="AK2523">
        <v>63.4355171410526</v>
      </c>
      <c r="AL2523">
        <v>91.521497421623394</v>
      </c>
      <c r="AM2523">
        <v>87.1429233757068</v>
      </c>
      <c r="AN2523">
        <v>1.00000004999187</v>
      </c>
    </row>
    <row r="2524" spans="1:40" x14ac:dyDescent="0.25">
      <c r="A2524" t="str">
        <f>"20190312161316700"</f>
        <v>20190312161316700</v>
      </c>
      <c r="B2524" t="str">
        <f>"1552378396698282"</f>
        <v>1552378396698282</v>
      </c>
      <c r="C2524" t="s">
        <v>40</v>
      </c>
      <c r="D2524">
        <v>5.6642359999999998</v>
      </c>
      <c r="E2524">
        <v>0.3053265</v>
      </c>
      <c r="F2524" t="s">
        <v>41</v>
      </c>
      <c r="G2524">
        <v>-460.40280000000001</v>
      </c>
      <c r="H2524">
        <v>-0.05</v>
      </c>
      <c r="I2524">
        <v>192.83009999999999</v>
      </c>
      <c r="J2524">
        <v>-493.06049999999999</v>
      </c>
      <c r="K2524">
        <v>1.111302</v>
      </c>
      <c r="L2524">
        <v>251.04910000000001</v>
      </c>
      <c r="M2524">
        <v>8.4608290000000003E-2</v>
      </c>
      <c r="N2524">
        <v>0</v>
      </c>
      <c r="O2524">
        <v>-0.99632259999999995</v>
      </c>
      <c r="P2524">
        <v>3.4824010000000002E-2</v>
      </c>
      <c r="Q2524">
        <v>-4.0398459999999997E-2</v>
      </c>
      <c r="R2524">
        <v>-0.99857669999999998</v>
      </c>
      <c r="S2524">
        <v>1.65008499999999</v>
      </c>
      <c r="T2524">
        <v>-5.8658960000000003E-2</v>
      </c>
      <c r="U2524">
        <v>-2.9459529999999998</v>
      </c>
      <c r="V2524">
        <v>4.9867729999999999E-2</v>
      </c>
      <c r="W2524">
        <v>-2.6759620000000001E-2</v>
      </c>
      <c r="X2524">
        <v>0.99839730000000004</v>
      </c>
      <c r="Y2524">
        <v>-0.41303010000000001</v>
      </c>
      <c r="Z2524">
        <v>1.762503E-2</v>
      </c>
      <c r="AA2524">
        <v>0.91054679999999999</v>
      </c>
      <c r="AB2524">
        <v>20</v>
      </c>
      <c r="AC2524">
        <v>32.657699999999899</v>
      </c>
      <c r="AD2524">
        <v>-1.1613020000000001</v>
      </c>
      <c r="AE2524">
        <v>-58.219000000000001</v>
      </c>
      <c r="AF2524">
        <v>-27.605962341508501</v>
      </c>
      <c r="AG2524">
        <v>-1.1613020000000001</v>
      </c>
      <c r="AH2524">
        <v>60.755182106758397</v>
      </c>
      <c r="AI2524">
        <v>90.996974170681497</v>
      </c>
      <c r="AJ2524">
        <v>114.436115445844</v>
      </c>
      <c r="AK2524">
        <v>66.743014106057402</v>
      </c>
      <c r="AL2524">
        <v>91.533396301639698</v>
      </c>
      <c r="AM2524">
        <v>87.140579231134595</v>
      </c>
      <c r="AN2524">
        <v>1.0000000182025901</v>
      </c>
    </row>
    <row r="2525" spans="1:40" x14ac:dyDescent="0.25">
      <c r="A2525" t="str">
        <f>"20190312161316719"</f>
        <v>20190312161316719</v>
      </c>
      <c r="B2525" t="str">
        <f>"1552378396708042"</f>
        <v>1552378396708042</v>
      </c>
      <c r="C2525" t="s">
        <v>40</v>
      </c>
      <c r="D2525">
        <v>5.6514059999999997</v>
      </c>
      <c r="E2525">
        <v>0.30514469999999999</v>
      </c>
      <c r="F2525" t="s">
        <v>79</v>
      </c>
      <c r="G2525">
        <v>-462.87900000000002</v>
      </c>
      <c r="H2525">
        <v>0.13790179999999999</v>
      </c>
      <c r="I2525">
        <v>197.345</v>
      </c>
      <c r="J2525">
        <v>-493.04469999999998</v>
      </c>
      <c r="K2525">
        <v>1.111299</v>
      </c>
      <c r="L2525">
        <v>250.88630000000001</v>
      </c>
      <c r="M2525">
        <v>8.6309060000000007E-2</v>
      </c>
      <c r="N2525">
        <v>0</v>
      </c>
      <c r="O2525">
        <v>-0.99617679999999997</v>
      </c>
      <c r="P2525">
        <v>3.6706339999999997E-2</v>
      </c>
      <c r="Q2525">
        <v>-4.127832E-2</v>
      </c>
      <c r="R2525">
        <v>-0.99847359999999996</v>
      </c>
      <c r="S2525">
        <v>1.654755</v>
      </c>
      <c r="T2525">
        <v>-5.3366179999999999E-2</v>
      </c>
      <c r="U2525">
        <v>-2.9444119999999998</v>
      </c>
      <c r="V2525">
        <v>4.9689249999999997E-2</v>
      </c>
      <c r="W2525">
        <v>-2.7642420000000001E-2</v>
      </c>
      <c r="X2525">
        <v>0.9983822</v>
      </c>
      <c r="Y2525">
        <v>-0.41278979999999998</v>
      </c>
      <c r="Z2525">
        <v>1.6033990000000001E-2</v>
      </c>
      <c r="AA2525">
        <v>0.91068519999999997</v>
      </c>
      <c r="AB2525">
        <v>20</v>
      </c>
      <c r="AC2525">
        <v>30.165699999999902</v>
      </c>
      <c r="AD2525">
        <v>-0.97339719999999996</v>
      </c>
      <c r="AE2525">
        <v>-53.5413</v>
      </c>
      <c r="AF2525">
        <v>-25.425213530134499</v>
      </c>
      <c r="AG2525">
        <v>-0.97339719999999996</v>
      </c>
      <c r="AH2525">
        <v>55.931247865684398</v>
      </c>
      <c r="AI2525">
        <v>90.907679498688196</v>
      </c>
      <c r="AJ2525">
        <v>114.445584002728</v>
      </c>
      <c r="AK2525">
        <v>61.446671781102403</v>
      </c>
      <c r="AL2525">
        <v>91.583995655300299</v>
      </c>
      <c r="AM2525">
        <v>87.150753377467296</v>
      </c>
      <c r="AN2525">
        <v>1.00000007111292</v>
      </c>
    </row>
    <row r="2526" spans="1:40" x14ac:dyDescent="0.25">
      <c r="A2526" t="str">
        <f>"20190312161316734"</f>
        <v>20190312161316734</v>
      </c>
      <c r="B2526" t="str">
        <f>"1552378396728538"</f>
        <v>1552378396728538</v>
      </c>
      <c r="C2526" t="s">
        <v>40</v>
      </c>
      <c r="D2526">
        <v>5.6828130000000003</v>
      </c>
      <c r="E2526">
        <v>0.30529400000000001</v>
      </c>
      <c r="F2526" t="s">
        <v>79</v>
      </c>
      <c r="G2526">
        <v>-462.79539999999997</v>
      </c>
      <c r="H2526">
        <v>0.19704340000000001</v>
      </c>
      <c r="I2526">
        <v>197.345</v>
      </c>
      <c r="J2526">
        <v>-493.0324</v>
      </c>
      <c r="K2526">
        <v>1.1112949999999999</v>
      </c>
      <c r="L2526">
        <v>250.7619</v>
      </c>
      <c r="M2526">
        <v>8.7608459999999999E-2</v>
      </c>
      <c r="N2526">
        <v>0</v>
      </c>
      <c r="O2526">
        <v>-0.99606320000000004</v>
      </c>
      <c r="P2526">
        <v>3.7950339999999999E-2</v>
      </c>
      <c r="Q2526">
        <v>-4.1376080000000003E-2</v>
      </c>
      <c r="R2526">
        <v>-0.9984227</v>
      </c>
      <c r="S2526">
        <v>1.661835</v>
      </c>
      <c r="T2526">
        <v>-5.0225140000000001E-2</v>
      </c>
      <c r="U2526">
        <v>-2.9414370000000001</v>
      </c>
      <c r="V2526">
        <v>4.9747439999999997E-2</v>
      </c>
      <c r="W2526">
        <v>-2.7741809999999999E-2</v>
      </c>
      <c r="X2526">
        <v>0.9983765</v>
      </c>
      <c r="Y2526">
        <v>-0.41366540000000002</v>
      </c>
      <c r="Z2526">
        <v>1.5089669999999999E-2</v>
      </c>
      <c r="AA2526">
        <v>0.91030390000000005</v>
      </c>
      <c r="AB2526">
        <v>20</v>
      </c>
      <c r="AC2526">
        <v>30.236999999999998</v>
      </c>
      <c r="AD2526">
        <v>-0.91425160000000005</v>
      </c>
      <c r="AE2526">
        <v>-53.416899999999998</v>
      </c>
      <c r="AF2526">
        <v>-25.434873996991598</v>
      </c>
      <c r="AG2526">
        <v>-0.91425160000000005</v>
      </c>
      <c r="AH2526">
        <v>55.848342889772098</v>
      </c>
      <c r="AI2526">
        <v>90.853528040622507</v>
      </c>
      <c r="AJ2526">
        <v>114.48582705635199</v>
      </c>
      <c r="AK2526">
        <v>61.3743111958456</v>
      </c>
      <c r="AL2526">
        <v>91.589692539234605</v>
      </c>
      <c r="AM2526">
        <v>87.147405935376398</v>
      </c>
      <c r="AN2526">
        <v>1.00000002578043</v>
      </c>
    </row>
    <row r="2527" spans="1:40" x14ac:dyDescent="0.25">
      <c r="A2527" t="str">
        <f>"20190312161316749"</f>
        <v>20190312161316749</v>
      </c>
      <c r="B2527" t="str">
        <f>"1552378396738298"</f>
        <v>1552378396738298</v>
      </c>
      <c r="C2527" t="s">
        <v>40</v>
      </c>
      <c r="D2527">
        <v>5.6701389999999998</v>
      </c>
      <c r="E2527">
        <v>0.30524380000000001</v>
      </c>
      <c r="F2527" t="s">
        <v>79</v>
      </c>
      <c r="G2527">
        <v>-462.78649999999999</v>
      </c>
      <c r="H2527">
        <v>0.1517906</v>
      </c>
      <c r="I2527">
        <v>197.345</v>
      </c>
      <c r="J2527">
        <v>-493.01920000000001</v>
      </c>
      <c r="K2527">
        <v>1.111297</v>
      </c>
      <c r="L2527">
        <v>250.62960000000001</v>
      </c>
      <c r="M2527">
        <v>8.8991059999999997E-2</v>
      </c>
      <c r="N2527">
        <v>0</v>
      </c>
      <c r="O2527">
        <v>-0.99594099999999997</v>
      </c>
      <c r="P2527">
        <v>3.9453599999999998E-2</v>
      </c>
      <c r="Q2527">
        <v>-4.1165069999999998E-2</v>
      </c>
      <c r="R2527">
        <v>-0.99837370000000003</v>
      </c>
      <c r="S2527">
        <v>1.664307</v>
      </c>
      <c r="T2527">
        <v>-5.2795290000000002E-2</v>
      </c>
      <c r="U2527">
        <v>-2.9393009999999999</v>
      </c>
      <c r="V2527">
        <v>4.9630239999999999E-2</v>
      </c>
      <c r="W2527">
        <v>-2.753272E-2</v>
      </c>
      <c r="X2527">
        <v>0.9983881</v>
      </c>
      <c r="Y2527">
        <v>-0.41325889999999998</v>
      </c>
      <c r="Z2527">
        <v>1.5867119999999998E-2</v>
      </c>
      <c r="AA2527">
        <v>0.91047529999999999</v>
      </c>
      <c r="AB2527">
        <v>20</v>
      </c>
      <c r="AC2527">
        <v>30.232700000000001</v>
      </c>
      <c r="AD2527">
        <v>-0.95950639999999998</v>
      </c>
      <c r="AE2527">
        <v>-53.284599999999998</v>
      </c>
      <c r="AF2527">
        <v>-25.364221033042401</v>
      </c>
      <c r="AG2527">
        <v>-0.95950639999999998</v>
      </c>
      <c r="AH2527">
        <v>55.750160627958898</v>
      </c>
      <c r="AI2527">
        <v>90.897505051418193</v>
      </c>
      <c r="AJ2527">
        <v>114.463745287961</v>
      </c>
      <c r="AK2527">
        <v>61.256385554388402</v>
      </c>
      <c r="AL2527">
        <v>91.577708020196098</v>
      </c>
      <c r="AM2527">
        <v>87.154148312354394</v>
      </c>
      <c r="AN2527">
        <v>1.0000000048073301</v>
      </c>
    </row>
    <row r="2528" spans="1:40" x14ac:dyDescent="0.25">
      <c r="A2528" t="str">
        <f>"20190312161316764"</f>
        <v>20190312161316764</v>
      </c>
      <c r="B2528" t="str">
        <f>"1552378396757818"</f>
        <v>1552378396757818</v>
      </c>
      <c r="C2528" t="s">
        <v>40</v>
      </c>
      <c r="D2528">
        <v>5.6650239999999998</v>
      </c>
      <c r="E2528">
        <v>0.30543940000000003</v>
      </c>
      <c r="F2528" t="s">
        <v>79</v>
      </c>
      <c r="G2528">
        <v>-462.74349999999998</v>
      </c>
      <c r="H2528">
        <v>0.19758510000000001</v>
      </c>
      <c r="I2528">
        <v>197.345</v>
      </c>
      <c r="J2528">
        <v>-493.00510000000003</v>
      </c>
      <c r="K2528">
        <v>1.111294</v>
      </c>
      <c r="L2528">
        <v>250.49090000000001</v>
      </c>
      <c r="M2528">
        <v>9.0440400000000004E-2</v>
      </c>
      <c r="N2528">
        <v>0</v>
      </c>
      <c r="O2528">
        <v>-0.99581019999999998</v>
      </c>
      <c r="P2528">
        <v>4.1164140000000002E-2</v>
      </c>
      <c r="Q2528">
        <v>-4.1057469999999999E-2</v>
      </c>
      <c r="R2528">
        <v>-0.99830870000000005</v>
      </c>
      <c r="S2528">
        <v>1.66870099999999</v>
      </c>
      <c r="T2528">
        <v>-5.0358769999999997E-2</v>
      </c>
      <c r="U2528">
        <v>-2.936874</v>
      </c>
      <c r="V2528">
        <v>4.9372689999999997E-2</v>
      </c>
      <c r="W2528">
        <v>-2.7427449999999999E-2</v>
      </c>
      <c r="X2528">
        <v>0.99840379999999995</v>
      </c>
      <c r="Y2528">
        <v>-0.4132923</v>
      </c>
      <c r="Z2528">
        <v>1.513751E-2</v>
      </c>
      <c r="AA2528">
        <v>0.91047259999999997</v>
      </c>
      <c r="AB2528">
        <v>20</v>
      </c>
      <c r="AC2528">
        <v>30.261600000000001</v>
      </c>
      <c r="AD2528">
        <v>-0.91370890000000005</v>
      </c>
      <c r="AE2528">
        <v>-53.145899999999997</v>
      </c>
      <c r="AF2528">
        <v>-25.324933228672499</v>
      </c>
      <c r="AG2528">
        <v>-0.91370890000000005</v>
      </c>
      <c r="AH2528">
        <v>55.652760123022603</v>
      </c>
      <c r="AI2528">
        <v>90.856139846902707</v>
      </c>
      <c r="AJ2528">
        <v>114.468031941188</v>
      </c>
      <c r="AK2528">
        <v>61.150771183210402</v>
      </c>
      <c r="AL2528">
        <v>91.571674163154995</v>
      </c>
      <c r="AM2528">
        <v>87.168936866120106</v>
      </c>
      <c r="AN2528">
        <v>1.0000000376928799</v>
      </c>
    </row>
    <row r="2529" spans="1:40" x14ac:dyDescent="0.25">
      <c r="A2529" t="str">
        <f>"20190312161316778"</f>
        <v>20190312161316778</v>
      </c>
      <c r="B2529" t="str">
        <f>"1552378396768554"</f>
        <v>1552378396768554</v>
      </c>
      <c r="C2529" t="s">
        <v>40</v>
      </c>
      <c r="D2529">
        <v>5.7157309999999999</v>
      </c>
      <c r="E2529">
        <v>0.30555359999999998</v>
      </c>
      <c r="F2529" t="s">
        <v>79</v>
      </c>
      <c r="G2529">
        <v>-462.71589999999998</v>
      </c>
      <c r="H2529">
        <v>0.1686783</v>
      </c>
      <c r="I2529">
        <v>197.345</v>
      </c>
      <c r="J2529">
        <v>-492.99329999999998</v>
      </c>
      <c r="K2529">
        <v>1.111291</v>
      </c>
      <c r="L2529">
        <v>250.37739999999999</v>
      </c>
      <c r="M2529">
        <v>9.1625709999999999E-2</v>
      </c>
      <c r="N2529">
        <v>0</v>
      </c>
      <c r="O2529">
        <v>-0.99570179999999997</v>
      </c>
      <c r="P2529">
        <v>4.2300570000000003E-2</v>
      </c>
      <c r="Q2529">
        <v>-4.1391539999999998E-2</v>
      </c>
      <c r="R2529">
        <v>-0.99824760000000001</v>
      </c>
      <c r="S2529">
        <v>1.67215</v>
      </c>
      <c r="T2529">
        <v>-5.203605E-2</v>
      </c>
      <c r="U2529">
        <v>-2.9339750000000002</v>
      </c>
      <c r="V2529">
        <v>4.9424059999999999E-2</v>
      </c>
      <c r="W2529">
        <v>-2.7762970000000001E-2</v>
      </c>
      <c r="X2529">
        <v>0.9983919</v>
      </c>
      <c r="Y2529">
        <v>-0.41339900000000002</v>
      </c>
      <c r="Z2529">
        <v>1.5647709999999999E-2</v>
      </c>
      <c r="AA2529">
        <v>0.91041550000000004</v>
      </c>
      <c r="AB2529">
        <v>20</v>
      </c>
      <c r="AC2529">
        <v>30.2774</v>
      </c>
      <c r="AD2529">
        <v>-0.94261269999999997</v>
      </c>
      <c r="AE2529">
        <v>-53.032400000000003</v>
      </c>
      <c r="AF2529">
        <v>-25.284415859197299</v>
      </c>
      <c r="AG2529">
        <v>-0.94261269999999997</v>
      </c>
      <c r="AH2529">
        <v>55.5704805870485</v>
      </c>
      <c r="AI2529">
        <v>90.884544281361201</v>
      </c>
      <c r="AJ2529">
        <v>114.465404581215</v>
      </c>
      <c r="AK2529">
        <v>61.059548939691403</v>
      </c>
      <c r="AL2529">
        <v>91.590905500712694</v>
      </c>
      <c r="AM2529">
        <v>87.165962351527895</v>
      </c>
      <c r="AN2529">
        <v>0.99999995309785605</v>
      </c>
    </row>
    <row r="2530" spans="1:40" x14ac:dyDescent="0.25">
      <c r="A2530" t="str">
        <f>"20190312161316791"</f>
        <v>20190312161316791</v>
      </c>
      <c r="B2530" t="str">
        <f>"1552378396788075"</f>
        <v>1552378396788075</v>
      </c>
      <c r="C2530" t="s">
        <v>40</v>
      </c>
      <c r="D2530">
        <v>5.6598759999999997</v>
      </c>
      <c r="E2530">
        <v>0.3055947</v>
      </c>
      <c r="F2530" t="s">
        <v>79</v>
      </c>
      <c r="G2530">
        <v>-462.69979999999998</v>
      </c>
      <c r="H2530">
        <v>0.1100006</v>
      </c>
      <c r="I2530">
        <v>197.345</v>
      </c>
      <c r="J2530">
        <v>-492.98160000000001</v>
      </c>
      <c r="K2530">
        <v>1.111289</v>
      </c>
      <c r="L2530">
        <v>250.2646</v>
      </c>
      <c r="M2530">
        <v>9.2804689999999995E-2</v>
      </c>
      <c r="N2530">
        <v>0</v>
      </c>
      <c r="O2530">
        <v>-0.9955927</v>
      </c>
      <c r="P2530">
        <v>4.3298490000000002E-2</v>
      </c>
      <c r="Q2530">
        <v>-4.1994620000000003E-2</v>
      </c>
      <c r="R2530">
        <v>-0.99817940000000005</v>
      </c>
      <c r="S2530">
        <v>1.6748350000000001</v>
      </c>
      <c r="T2530">
        <v>-5.5356139999999998E-2</v>
      </c>
      <c r="U2530">
        <v>-2.9319920000000002</v>
      </c>
      <c r="V2530">
        <v>4.9607239999999997E-2</v>
      </c>
      <c r="W2530">
        <v>-2.836733E-2</v>
      </c>
      <c r="X2530">
        <v>0.99836590000000003</v>
      </c>
      <c r="Y2530">
        <v>-0.41320659999999998</v>
      </c>
      <c r="Z2530">
        <v>1.664999E-2</v>
      </c>
      <c r="AA2530">
        <v>0.91048510000000005</v>
      </c>
      <c r="AB2530">
        <v>20</v>
      </c>
      <c r="AC2530">
        <v>30.2818</v>
      </c>
      <c r="AD2530">
        <v>-1.0012884</v>
      </c>
      <c r="AE2530">
        <v>-52.919600000000003</v>
      </c>
      <c r="AF2530">
        <v>-25.232649630883</v>
      </c>
      <c r="AG2530">
        <v>-1.0012884</v>
      </c>
      <c r="AH2530">
        <v>55.486759879818997</v>
      </c>
      <c r="AI2530">
        <v>90.941100592599099</v>
      </c>
      <c r="AJ2530">
        <v>114.45370584083599</v>
      </c>
      <c r="AK2530">
        <v>60.962855148160301</v>
      </c>
      <c r="AL2530">
        <v>91.625546305241997</v>
      </c>
      <c r="AM2530">
        <v>87.155401842565297</v>
      </c>
      <c r="AN2530">
        <v>1.00000002697727</v>
      </c>
    </row>
    <row r="2531" spans="1:40" x14ac:dyDescent="0.25">
      <c r="A2531" t="str">
        <f>"20190312161316809"</f>
        <v>20190312161316809</v>
      </c>
      <c r="B2531" t="str">
        <f>"1552378396797837"</f>
        <v>1552378396797837</v>
      </c>
      <c r="C2531" t="s">
        <v>40</v>
      </c>
      <c r="D2531">
        <v>5.6495170000000003</v>
      </c>
      <c r="E2531">
        <v>0.30559059999999999</v>
      </c>
      <c r="F2531" t="s">
        <v>79</v>
      </c>
      <c r="G2531">
        <v>-462.6884</v>
      </c>
      <c r="H2531">
        <v>6.0115340000000003E-2</v>
      </c>
      <c r="I2531">
        <v>197.345</v>
      </c>
      <c r="J2531">
        <v>-492.96440000000001</v>
      </c>
      <c r="K2531">
        <v>1.111286</v>
      </c>
      <c r="L2531">
        <v>250.10149999999999</v>
      </c>
      <c r="M2531">
        <v>9.4509019999999999E-2</v>
      </c>
      <c r="N2531">
        <v>0</v>
      </c>
      <c r="O2531">
        <v>-0.99543219999999999</v>
      </c>
      <c r="P2531">
        <v>4.442401E-2</v>
      </c>
      <c r="Q2531">
        <v>-4.2671889999999997E-2</v>
      </c>
      <c r="R2531">
        <v>-0.99810120000000002</v>
      </c>
      <c r="S2531">
        <v>1.6773990000000001</v>
      </c>
      <c r="T2531">
        <v>-5.8203579999999998E-2</v>
      </c>
      <c r="U2531">
        <v>-2.9302670000000002</v>
      </c>
      <c r="V2531">
        <v>5.0189310000000001E-2</v>
      </c>
      <c r="W2531">
        <v>-2.9045830000000002E-2</v>
      </c>
      <c r="X2531">
        <v>0.99831720000000002</v>
      </c>
      <c r="Y2531">
        <v>-0.41247109999999898</v>
      </c>
      <c r="Z2531">
        <v>1.751026E-2</v>
      </c>
      <c r="AA2531">
        <v>0.91080240000000001</v>
      </c>
      <c r="AB2531">
        <v>20</v>
      </c>
      <c r="AC2531">
        <v>30.276</v>
      </c>
      <c r="AD2531">
        <v>-1.0511706599999999</v>
      </c>
      <c r="AE2531">
        <v>-52.756499999999903</v>
      </c>
      <c r="AF2531">
        <v>-25.1465291726158</v>
      </c>
      <c r="AG2531">
        <v>-1.0511706599999999</v>
      </c>
      <c r="AH2531">
        <v>55.365400828431603</v>
      </c>
      <c r="AI2531">
        <v>90.990348866695001</v>
      </c>
      <c r="AJ2531">
        <v>114.427174845972</v>
      </c>
      <c r="AK2531">
        <v>60.817600232815501</v>
      </c>
      <c r="AL2531">
        <v>91.664437681518393</v>
      </c>
      <c r="AM2531">
        <v>87.1219401844792</v>
      </c>
      <c r="AN2531">
        <v>0.99999992944725002</v>
      </c>
    </row>
    <row r="2532" spans="1:40" x14ac:dyDescent="0.25">
      <c r="A2532" t="str">
        <f>"20190312161316821"</f>
        <v>20190312161316821</v>
      </c>
      <c r="B2532" t="str">
        <f>"1552378396818330"</f>
        <v>1552378396818330</v>
      </c>
      <c r="C2532" t="s">
        <v>40</v>
      </c>
      <c r="D2532">
        <v>5.7164320000000002</v>
      </c>
      <c r="E2532">
        <v>0.305577299999999</v>
      </c>
      <c r="F2532" t="s">
        <v>79</v>
      </c>
      <c r="G2532">
        <v>-462.68099999999998</v>
      </c>
      <c r="H2532">
        <v>6.2626360000000006E-2</v>
      </c>
      <c r="I2532">
        <v>197.345</v>
      </c>
      <c r="J2532">
        <v>-492.95280000000002</v>
      </c>
      <c r="K2532">
        <v>1.111283</v>
      </c>
      <c r="L2532">
        <v>249.9933</v>
      </c>
      <c r="M2532">
        <v>9.5639660000000001E-2</v>
      </c>
      <c r="N2532">
        <v>0</v>
      </c>
      <c r="O2532">
        <v>-0.99532430000000005</v>
      </c>
      <c r="P2532">
        <v>4.5440979999999999E-2</v>
      </c>
      <c r="Q2532">
        <v>-4.2748809999999998E-2</v>
      </c>
      <c r="R2532">
        <v>-0.99805189999999999</v>
      </c>
      <c r="S2532">
        <v>1.6809689999999999</v>
      </c>
      <c r="T2532">
        <v>-5.8206679999999997E-2</v>
      </c>
      <c r="U2532">
        <v>-2.928391</v>
      </c>
      <c r="V2532">
        <v>5.0305799999999998E-2</v>
      </c>
      <c r="W2532">
        <v>-2.912387E-2</v>
      </c>
      <c r="X2532">
        <v>0.99830909999999995</v>
      </c>
      <c r="Y2532">
        <v>-0.4125238</v>
      </c>
      <c r="Z2532">
        <v>1.7512819999999998E-2</v>
      </c>
      <c r="AA2532">
        <v>0.91077850000000005</v>
      </c>
      <c r="AB2532">
        <v>20</v>
      </c>
      <c r="AC2532">
        <v>30.271799999999999</v>
      </c>
      <c r="AD2532">
        <v>-1.0486566399999999</v>
      </c>
      <c r="AE2532">
        <v>-52.648299999999999</v>
      </c>
      <c r="AF2532">
        <v>-25.0898032631227</v>
      </c>
      <c r="AG2532">
        <v>-1.0486566399999999</v>
      </c>
      <c r="AH2532">
        <v>55.2858821228496</v>
      </c>
      <c r="AI2532">
        <v>90.989540343013203</v>
      </c>
      <c r="AJ2532">
        <v>114.409466528873</v>
      </c>
      <c r="AK2532">
        <v>60.721714984282599</v>
      </c>
      <c r="AL2532">
        <v>91.668910875491207</v>
      </c>
      <c r="AM2532">
        <v>87.115248076362207</v>
      </c>
      <c r="AN2532">
        <v>0.999999966230112</v>
      </c>
    </row>
    <row r="2533" spans="1:40" x14ac:dyDescent="0.25">
      <c r="A2533" t="str">
        <f>"20190312161316833"</f>
        <v>20190312161316833</v>
      </c>
      <c r="B2533" t="str">
        <f>"1552378396828090"</f>
        <v>1552378396828090</v>
      </c>
      <c r="C2533" t="s">
        <v>40</v>
      </c>
      <c r="D2533">
        <v>5.7413759999999998</v>
      </c>
      <c r="E2533">
        <v>0.32664729999999997</v>
      </c>
      <c r="F2533" t="s">
        <v>79</v>
      </c>
      <c r="G2533">
        <v>-462.66140000000001</v>
      </c>
      <c r="H2533">
        <v>7.9170699999999997E-2</v>
      </c>
      <c r="I2533">
        <v>197.345</v>
      </c>
      <c r="J2533">
        <v>-492.94139999999999</v>
      </c>
      <c r="K2533">
        <v>1.111281</v>
      </c>
      <c r="L2533">
        <v>249.88839999999999</v>
      </c>
      <c r="M2533">
        <v>9.6736030000000001E-2</v>
      </c>
      <c r="N2533">
        <v>0</v>
      </c>
      <c r="O2533">
        <v>-0.9952183</v>
      </c>
      <c r="P2533">
        <v>4.639998E-2</v>
      </c>
      <c r="Q2533">
        <v>-4.2694370000000002E-2</v>
      </c>
      <c r="R2533">
        <v>-0.99801030000000002</v>
      </c>
      <c r="S2533">
        <v>1.683899</v>
      </c>
      <c r="T2533">
        <v>-5.7372930000000003E-2</v>
      </c>
      <c r="U2533">
        <v>-2.9267120000000002</v>
      </c>
      <c r="V2533">
        <v>5.0446129999999999E-2</v>
      </c>
      <c r="W2533">
        <v>-2.9070410000000001E-2</v>
      </c>
      <c r="X2533">
        <v>0.99830359999999996</v>
      </c>
      <c r="Y2533">
        <v>-0.4124332</v>
      </c>
      <c r="Z2533">
        <v>1.7264160000000001E-2</v>
      </c>
      <c r="AA2533">
        <v>0.91082419999999997</v>
      </c>
      <c r="AB2533">
        <v>20</v>
      </c>
      <c r="AC2533">
        <v>30.279999999999902</v>
      </c>
      <c r="AD2533">
        <v>-1.0321103</v>
      </c>
      <c r="AE2533">
        <v>-52.543399999999899</v>
      </c>
      <c r="AF2533">
        <v>-25.047403704774201</v>
      </c>
      <c r="AG2533">
        <v>-1.0321103</v>
      </c>
      <c r="AH2533">
        <v>55.210372876559099</v>
      </c>
      <c r="AI2533">
        <v>90.975315601212898</v>
      </c>
      <c r="AJ2533">
        <v>114.402468214877</v>
      </c>
      <c r="AK2533">
        <v>60.635162712653802</v>
      </c>
      <c r="AL2533">
        <v>91.665846507148402</v>
      </c>
      <c r="AM2533">
        <v>87.107198686935504</v>
      </c>
      <c r="AN2533">
        <v>0.999999989271252</v>
      </c>
    </row>
    <row r="2534" spans="1:40" x14ac:dyDescent="0.25">
      <c r="A2534" t="str">
        <f>"20190312161316852"</f>
        <v>20190312161316852</v>
      </c>
      <c r="B2534" t="str">
        <f>"1552378396848586"</f>
        <v>1552378396848586</v>
      </c>
      <c r="C2534" t="s">
        <v>40</v>
      </c>
      <c r="D2534">
        <v>5.6550909999999996</v>
      </c>
      <c r="E2534">
        <v>0.33648620000000001</v>
      </c>
      <c r="F2534" t="s">
        <v>63</v>
      </c>
      <c r="G2534">
        <v>-474.02140000000003</v>
      </c>
      <c r="H2534" s="1">
        <v>4.1214580000000004E-6</v>
      </c>
      <c r="I2534">
        <v>213.38829999999999</v>
      </c>
      <c r="J2534">
        <v>-492.92340000000002</v>
      </c>
      <c r="K2534">
        <v>1.1112799999999901</v>
      </c>
      <c r="L2534">
        <v>249.72389999999999</v>
      </c>
      <c r="M2534">
        <v>9.8456039999999995E-2</v>
      </c>
      <c r="N2534">
        <v>0</v>
      </c>
      <c r="O2534">
        <v>-0.99504970000000004</v>
      </c>
      <c r="P2534">
        <v>4.855922E-2</v>
      </c>
      <c r="Q2534">
        <v>-4.2537150000000003E-2</v>
      </c>
      <c r="R2534">
        <v>-0.99791439999999998</v>
      </c>
      <c r="S2534">
        <v>1.5195620000000001</v>
      </c>
      <c r="T2534">
        <v>-8.9252109999999996E-2</v>
      </c>
      <c r="U2534">
        <v>-2.9315030000000002</v>
      </c>
      <c r="V2534">
        <v>5.001191E-2</v>
      </c>
      <c r="W2534">
        <v>-2.8916029999999999E-2</v>
      </c>
      <c r="X2534">
        <v>0.99832989999999999</v>
      </c>
      <c r="Y2534">
        <v>-0.37037599999999998</v>
      </c>
      <c r="Z2534">
        <v>2.74001E-2</v>
      </c>
      <c r="AA2534">
        <v>0.92847769999999996</v>
      </c>
      <c r="AB2534">
        <v>20</v>
      </c>
      <c r="AC2534">
        <v>18.901999999999902</v>
      </c>
      <c r="AD2534">
        <v>-1.1112758785419901</v>
      </c>
      <c r="AE2534">
        <v>-36.335599999999999</v>
      </c>
      <c r="AF2534">
        <v>-15.221155151126901</v>
      </c>
      <c r="AG2534">
        <v>-1.1112758785419901</v>
      </c>
      <c r="AH2534">
        <v>37.992245572991003</v>
      </c>
      <c r="AI2534">
        <v>91.555314424930501</v>
      </c>
      <c r="AJ2534">
        <v>111.83293845185401</v>
      </c>
      <c r="AK2534">
        <v>40.942999668946598</v>
      </c>
      <c r="AL2534">
        <v>91.656997515402594</v>
      </c>
      <c r="AM2534">
        <v>87.132132433551604</v>
      </c>
      <c r="AN2534">
        <v>0.99999995858340796</v>
      </c>
    </row>
    <row r="2535" spans="1:40" x14ac:dyDescent="0.25">
      <c r="A2535" t="str">
        <f>"20190312161316864"</f>
        <v>20190312161316864</v>
      </c>
      <c r="B2535" t="str">
        <f>"1552378396858346"</f>
        <v>1552378396858346</v>
      </c>
      <c r="C2535" t="s">
        <v>40</v>
      </c>
      <c r="D2535">
        <v>5.8029260000000003</v>
      </c>
      <c r="E2535">
        <v>0.33887390000000001</v>
      </c>
      <c r="F2535" t="s">
        <v>63</v>
      </c>
      <c r="G2535">
        <v>-479.01600000000002</v>
      </c>
      <c r="H2535">
        <v>8.0000479999999999E-2</v>
      </c>
      <c r="I2535">
        <v>221.5795</v>
      </c>
      <c r="J2535">
        <v>-492.91230000000002</v>
      </c>
      <c r="K2535">
        <v>1.111278</v>
      </c>
      <c r="L2535">
        <v>249.624</v>
      </c>
      <c r="M2535">
        <v>9.9500309999999995E-2</v>
      </c>
      <c r="N2535">
        <v>0</v>
      </c>
      <c r="O2535">
        <v>-0.99494579999999999</v>
      </c>
      <c r="P2535">
        <v>4.9965269999999999E-2</v>
      </c>
      <c r="Q2535">
        <v>-4.2653650000000001E-2</v>
      </c>
      <c r="R2535">
        <v>-0.99784010000000001</v>
      </c>
      <c r="S2535">
        <v>1.4484250000000001</v>
      </c>
      <c r="T2535">
        <v>-0.1074055</v>
      </c>
      <c r="U2535">
        <v>-2.9311829999999999</v>
      </c>
      <c r="V2535">
        <v>4.9652849999999998E-2</v>
      </c>
      <c r="W2535">
        <v>-2.9034520000000001E-2</v>
      </c>
      <c r="X2535">
        <v>0.99834440000000002</v>
      </c>
      <c r="Y2535">
        <v>-0.35135290000000002</v>
      </c>
      <c r="Z2535">
        <v>3.3263010000000003E-2</v>
      </c>
      <c r="AA2535">
        <v>0.93565200000000004</v>
      </c>
      <c r="AB2535">
        <v>20</v>
      </c>
      <c r="AC2535">
        <v>13.8963</v>
      </c>
      <c r="AD2535">
        <v>-1.0312775199999999</v>
      </c>
      <c r="AE2535">
        <v>-28.044499999999999</v>
      </c>
      <c r="AF2535">
        <v>-11.02466699506</v>
      </c>
      <c r="AG2535">
        <v>-1.0312775199999999</v>
      </c>
      <c r="AH2535">
        <v>29.256353906534901</v>
      </c>
      <c r="AI2535">
        <v>91.889240979895405</v>
      </c>
      <c r="AJ2535">
        <v>110.647905962164</v>
      </c>
      <c r="AK2535">
        <v>31.281640934894199</v>
      </c>
      <c r="AL2535">
        <v>91.663789317079093</v>
      </c>
      <c r="AM2535">
        <v>87.152729541669601</v>
      </c>
      <c r="AN2535">
        <v>0.99999997493805604</v>
      </c>
    </row>
    <row r="2536" spans="1:40" x14ac:dyDescent="0.25">
      <c r="A2536" t="str">
        <f>"20190312161316875"</f>
        <v>20190312161316875</v>
      </c>
      <c r="B2536" t="str">
        <f>"1552378396868105"</f>
        <v>1552378396868105</v>
      </c>
      <c r="C2536" t="s">
        <v>40</v>
      </c>
      <c r="D2536">
        <v>5.6460929999999996</v>
      </c>
      <c r="E2536">
        <v>0.3407965</v>
      </c>
      <c r="F2536" t="s">
        <v>63</v>
      </c>
      <c r="G2536">
        <v>-480.00810000000001</v>
      </c>
      <c r="H2536" s="1">
        <v>2.5783419999999998E-6</v>
      </c>
      <c r="I2536">
        <v>223.27209999999999</v>
      </c>
      <c r="J2536">
        <v>-492.90050000000002</v>
      </c>
      <c r="K2536">
        <v>1.1112740000000001</v>
      </c>
      <c r="L2536">
        <v>249.51929999999999</v>
      </c>
      <c r="M2536">
        <v>0.1005952</v>
      </c>
      <c r="N2536">
        <v>0</v>
      </c>
      <c r="O2536">
        <v>-0.99483580000000005</v>
      </c>
      <c r="P2536">
        <v>5.1327400000000002E-2</v>
      </c>
      <c r="Q2536">
        <v>-4.2737249999999997E-2</v>
      </c>
      <c r="R2536">
        <v>-0.99776699999999996</v>
      </c>
      <c r="S2536">
        <v>1.4344790000000001</v>
      </c>
      <c r="T2536">
        <v>-0.123533</v>
      </c>
      <c r="U2536">
        <v>-2.9293670000000001</v>
      </c>
      <c r="V2536">
        <v>4.9388500000000002E-2</v>
      </c>
      <c r="W2536">
        <v>-2.9119949999999999E-2</v>
      </c>
      <c r="X2536">
        <v>0.99835499999999999</v>
      </c>
      <c r="Y2536">
        <v>-0.346883099999999</v>
      </c>
      <c r="Z2536">
        <v>3.8336210000000003E-2</v>
      </c>
      <c r="AA2536">
        <v>0.93712459999999997</v>
      </c>
      <c r="AB2536">
        <v>20</v>
      </c>
      <c r="AC2536">
        <v>12.8924</v>
      </c>
      <c r="AD2536">
        <v>-1.111271421658</v>
      </c>
      <c r="AE2536">
        <v>-26.2471999999999</v>
      </c>
      <c r="AF2536">
        <v>-10.171718100191301</v>
      </c>
      <c r="AG2536">
        <v>-1.111271421658</v>
      </c>
      <c r="AH2536">
        <v>27.371538649863499</v>
      </c>
      <c r="AI2536">
        <v>92.179435560568606</v>
      </c>
      <c r="AJ2536">
        <v>110.385901739923</v>
      </c>
      <c r="AK2536">
        <v>29.221565689458298</v>
      </c>
      <c r="AL2536">
        <v>91.668686206611895</v>
      </c>
      <c r="AM2536">
        <v>87.167893583272999</v>
      </c>
      <c r="AN2536">
        <v>0.99999995072262504</v>
      </c>
    </row>
    <row r="2537" spans="1:40" x14ac:dyDescent="0.25">
      <c r="A2537" t="str">
        <f>"20190312161316887"</f>
        <v>20190312161316887</v>
      </c>
      <c r="B2537" t="str">
        <f>"1552378396877867"</f>
        <v>1552378396877867</v>
      </c>
      <c r="C2537" t="s">
        <v>40</v>
      </c>
      <c r="D2537">
        <v>5.6184560000000001</v>
      </c>
      <c r="E2537">
        <v>0.34340999999999999</v>
      </c>
      <c r="F2537" t="s">
        <v>63</v>
      </c>
      <c r="G2537">
        <v>-480.1121</v>
      </c>
      <c r="H2537" s="1">
        <v>2.580786E-6</v>
      </c>
      <c r="I2537">
        <v>223.19970000000001</v>
      </c>
      <c r="J2537">
        <v>-492.88889999999998</v>
      </c>
      <c r="K2537">
        <v>1.11127</v>
      </c>
      <c r="L2537">
        <v>249.41659999999999</v>
      </c>
      <c r="M2537">
        <v>0.10167</v>
      </c>
      <c r="N2537">
        <v>0</v>
      </c>
      <c r="O2537">
        <v>-0.99472640000000001</v>
      </c>
      <c r="P2537">
        <v>5.2722199999999997E-2</v>
      </c>
      <c r="Q2537">
        <v>-4.2911949999999997E-2</v>
      </c>
      <c r="R2537">
        <v>-0.99768690000000004</v>
      </c>
      <c r="S2537">
        <v>1.4227909999999999</v>
      </c>
      <c r="T2537">
        <v>-0.1236352</v>
      </c>
      <c r="U2537">
        <v>-2.928207</v>
      </c>
      <c r="V2537">
        <v>4.9071209999999997E-2</v>
      </c>
      <c r="W2537">
        <v>-2.9296599999999999E-2</v>
      </c>
      <c r="X2537">
        <v>0.99836550000000002</v>
      </c>
      <c r="Y2537">
        <v>-0.34299039999999997</v>
      </c>
      <c r="Z2537">
        <v>3.843535E-2</v>
      </c>
      <c r="AA2537">
        <v>0.93855230000000001</v>
      </c>
      <c r="AB2537">
        <v>20</v>
      </c>
      <c r="AC2537">
        <v>12.7767999999999</v>
      </c>
      <c r="AD2537">
        <v>-1.111267419214</v>
      </c>
      <c r="AE2537">
        <v>-26.2168999999999</v>
      </c>
      <c r="AF2537">
        <v>-10.0303025517146</v>
      </c>
      <c r="AG2537">
        <v>-1.111267419214</v>
      </c>
      <c r="AH2537">
        <v>27.3404651096048</v>
      </c>
      <c r="AI2537">
        <v>92.185269362832898</v>
      </c>
      <c r="AJ2537">
        <v>110.146398816104</v>
      </c>
      <c r="AK2537">
        <v>29.143488414489099</v>
      </c>
      <c r="AL2537">
        <v>91.678811789277404</v>
      </c>
      <c r="AM2537">
        <v>87.1860882926469</v>
      </c>
      <c r="AN2537">
        <v>0.99999997300633603</v>
      </c>
    </row>
    <row r="2538" spans="1:40" x14ac:dyDescent="0.25">
      <c r="A2538" t="str">
        <f>"20190312161316900"</f>
        <v>20190312161316900</v>
      </c>
      <c r="B2538" t="str">
        <f>"1552378396888603"</f>
        <v>1552378396888603</v>
      </c>
      <c r="C2538" t="s">
        <v>40</v>
      </c>
      <c r="D2538">
        <v>5.6240899999999998</v>
      </c>
      <c r="E2538">
        <v>0.34544589999999997</v>
      </c>
      <c r="F2538" t="s">
        <v>63</v>
      </c>
      <c r="G2538">
        <v>-480.4873</v>
      </c>
      <c r="H2538" s="1">
        <v>2.7357809999999998E-6</v>
      </c>
      <c r="I2538">
        <v>223.59970000000001</v>
      </c>
      <c r="J2538">
        <v>-492.87709999999998</v>
      </c>
      <c r="K2538">
        <v>1.1112679999999999</v>
      </c>
      <c r="L2538">
        <v>249.3134</v>
      </c>
      <c r="M2538">
        <v>0.1027487</v>
      </c>
      <c r="N2538">
        <v>0</v>
      </c>
      <c r="O2538">
        <v>-0.99461569999999999</v>
      </c>
      <c r="P2538">
        <v>5.3824429999999999E-2</v>
      </c>
      <c r="Q2538">
        <v>-4.3391939999999997E-2</v>
      </c>
      <c r="R2538">
        <v>-0.99760760000000004</v>
      </c>
      <c r="S2538">
        <v>1.406158</v>
      </c>
      <c r="T2538">
        <v>-0.12600049999999999</v>
      </c>
      <c r="U2538">
        <v>-2.9272309999999999</v>
      </c>
      <c r="V2538">
        <v>4.9049929999999999E-2</v>
      </c>
      <c r="W2538">
        <v>-2.977815E-2</v>
      </c>
      <c r="X2538">
        <v>0.99835229999999997</v>
      </c>
      <c r="Y2538">
        <v>-0.33775240000000001</v>
      </c>
      <c r="Z2538">
        <v>3.9258990000000001E-2</v>
      </c>
      <c r="AA2538">
        <v>0.94041589999999997</v>
      </c>
      <c r="AB2538">
        <v>20</v>
      </c>
      <c r="AC2538">
        <v>12.3897999999999</v>
      </c>
      <c r="AD2538">
        <v>-1.111265264219</v>
      </c>
      <c r="AE2538">
        <v>-25.7136999999999</v>
      </c>
      <c r="AF2538">
        <v>-9.6672694875620095</v>
      </c>
      <c r="AG2538">
        <v>-1.111265264219</v>
      </c>
      <c r="AH2538">
        <v>26.810095032470201</v>
      </c>
      <c r="AI2538">
        <v>92.232949779162695</v>
      </c>
      <c r="AJ2538">
        <v>109.828451330116</v>
      </c>
      <c r="AK2538">
        <v>28.521434141408299</v>
      </c>
      <c r="AL2538">
        <v>91.706414614326107</v>
      </c>
      <c r="AM2538">
        <v>87.1872694718557</v>
      </c>
      <c r="AN2538">
        <v>0.99999997438285804</v>
      </c>
    </row>
    <row r="2539" spans="1:40" x14ac:dyDescent="0.25">
      <c r="A2539" t="str">
        <f>"20190312161316913"</f>
        <v>20190312161316913</v>
      </c>
      <c r="B2539" t="str">
        <f>"1552378396908121"</f>
        <v>1552378396908121</v>
      </c>
      <c r="C2539" t="s">
        <v>40</v>
      </c>
      <c r="D2539">
        <v>5.6407410000000002</v>
      </c>
      <c r="E2539">
        <v>0.347997</v>
      </c>
      <c r="F2539" t="s">
        <v>63</v>
      </c>
      <c r="G2539">
        <v>-480.92989999999998</v>
      </c>
      <c r="H2539" s="1">
        <v>2.9575320000000001E-6</v>
      </c>
      <c r="I2539">
        <v>224.214</v>
      </c>
      <c r="J2539">
        <v>-492.86470000000003</v>
      </c>
      <c r="K2539">
        <v>1.1112660000000001</v>
      </c>
      <c r="L2539">
        <v>249.2064</v>
      </c>
      <c r="M2539">
        <v>0.1038683</v>
      </c>
      <c r="N2539">
        <v>0</v>
      </c>
      <c r="O2539">
        <v>-0.99449960000000004</v>
      </c>
      <c r="P2539">
        <v>5.4831270000000001E-2</v>
      </c>
      <c r="Q2539">
        <v>-4.3632200000000003E-2</v>
      </c>
      <c r="R2539">
        <v>-0.99754200000000004</v>
      </c>
      <c r="S2539">
        <v>1.3929750000000001</v>
      </c>
      <c r="T2539">
        <v>-0.1295666</v>
      </c>
      <c r="U2539">
        <v>-2.926437</v>
      </c>
      <c r="V2539">
        <v>4.9165540000000001E-2</v>
      </c>
      <c r="W2539">
        <v>-3.0019649999999998E-2</v>
      </c>
      <c r="X2539">
        <v>0.99833939999999999</v>
      </c>
      <c r="Y2539">
        <v>-0.33332060000000002</v>
      </c>
      <c r="Z2539">
        <v>4.0441100000000001E-2</v>
      </c>
      <c r="AA2539">
        <v>0.94194580000000006</v>
      </c>
      <c r="AB2539">
        <v>20</v>
      </c>
      <c r="AC2539">
        <v>11.934799999999999</v>
      </c>
      <c r="AD2539">
        <v>-1.1112630424679999</v>
      </c>
      <c r="AE2539">
        <v>-24.9923999999999</v>
      </c>
      <c r="AF2539">
        <v>-9.2591728015714203</v>
      </c>
      <c r="AG2539">
        <v>-1.1112630424679999</v>
      </c>
      <c r="AH2539">
        <v>26.055006587165899</v>
      </c>
      <c r="AI2539">
        <v>92.301388532900205</v>
      </c>
      <c r="AJ2539">
        <v>109.563696900454</v>
      </c>
      <c r="AK2539">
        <v>27.6736436844911</v>
      </c>
      <c r="AL2539">
        <v>91.720257701183002</v>
      </c>
      <c r="AM2539">
        <v>87.180614217776295</v>
      </c>
      <c r="AN2539">
        <v>0.99999999365098702</v>
      </c>
    </row>
    <row r="2540" spans="1:40" x14ac:dyDescent="0.25">
      <c r="A2540" t="str">
        <f>"20190312161316932"</f>
        <v>20190312161316932</v>
      </c>
      <c r="B2540" t="str">
        <f>"1552378396928620"</f>
        <v>1552378396928620</v>
      </c>
      <c r="C2540" t="s">
        <v>40</v>
      </c>
      <c r="D2540">
        <v>5.5372830000000004</v>
      </c>
      <c r="E2540">
        <v>0.34822429999999999</v>
      </c>
      <c r="F2540" t="s">
        <v>63</v>
      </c>
      <c r="G2540">
        <v>-481.75990000000002</v>
      </c>
      <c r="H2540" s="1">
        <v>3.4821300000000001E-6</v>
      </c>
      <c r="I2540">
        <v>225.59299999999999</v>
      </c>
      <c r="J2540">
        <v>-492.84440000000001</v>
      </c>
      <c r="K2540">
        <v>1.1112610000000001</v>
      </c>
      <c r="L2540">
        <v>249.03219999999999</v>
      </c>
      <c r="M2540">
        <v>0.1056894</v>
      </c>
      <c r="N2540">
        <v>0</v>
      </c>
      <c r="O2540">
        <v>-0.99430759999999996</v>
      </c>
      <c r="P2540">
        <v>5.6802279999999997E-2</v>
      </c>
      <c r="Q2540">
        <v>-4.3618610000000002E-2</v>
      </c>
      <c r="R2540">
        <v>-0.99743250000000006</v>
      </c>
      <c r="S2540">
        <v>1.375885</v>
      </c>
      <c r="T2540">
        <v>-0.13768469999999999</v>
      </c>
      <c r="U2540">
        <v>-2.9256899999999999</v>
      </c>
      <c r="V2540">
        <v>4.9021049999999997E-2</v>
      </c>
      <c r="W2540">
        <v>-3.0008449999999999E-2</v>
      </c>
      <c r="X2540">
        <v>0.99834690000000004</v>
      </c>
      <c r="Y2540">
        <v>-0.32713829999999999</v>
      </c>
      <c r="Z2540">
        <v>4.306654E-2</v>
      </c>
      <c r="AA2540">
        <v>0.94399460000000002</v>
      </c>
      <c r="AB2540">
        <v>20</v>
      </c>
      <c r="AC2540">
        <v>11.084499999999901</v>
      </c>
      <c r="AD2540">
        <v>-1.1112575178699999</v>
      </c>
      <c r="AE2540">
        <v>-23.4392</v>
      </c>
      <c r="AF2540">
        <v>-8.5292383137418195</v>
      </c>
      <c r="AG2540">
        <v>-1.1112575178699999</v>
      </c>
      <c r="AH2540">
        <v>24.434633877219401</v>
      </c>
      <c r="AI2540">
        <v>92.458659192315196</v>
      </c>
      <c r="AJ2540">
        <v>109.24222942516801</v>
      </c>
      <c r="AK2540">
        <v>25.904326515031801</v>
      </c>
      <c r="AL2540">
        <v>91.7196155995711</v>
      </c>
      <c r="AM2540">
        <v>87.188907735551098</v>
      </c>
      <c r="AN2540">
        <v>1.00000005157705</v>
      </c>
    </row>
    <row r="2541" spans="1:40" x14ac:dyDescent="0.25">
      <c r="A2541" t="str">
        <f>"20190312161316954"</f>
        <v>20190312161316954</v>
      </c>
      <c r="B2541" t="str">
        <f>"1552378396948138"</f>
        <v>1552378396948138</v>
      </c>
      <c r="C2541" t="s">
        <v>40</v>
      </c>
      <c r="D2541">
        <v>5.4932059999999998</v>
      </c>
      <c r="E2541">
        <v>0.34711180000000003</v>
      </c>
      <c r="F2541" t="s">
        <v>63</v>
      </c>
      <c r="G2541">
        <v>-481.39830000000001</v>
      </c>
      <c r="H2541" s="1">
        <v>3.2239609999999999E-6</v>
      </c>
      <c r="I2541">
        <v>224.78790000000001</v>
      </c>
      <c r="J2541">
        <v>-492.82220000000001</v>
      </c>
      <c r="K2541">
        <v>1.1112629999999999</v>
      </c>
      <c r="L2541">
        <v>248.84549999999999</v>
      </c>
      <c r="M2541">
        <v>0.1076429</v>
      </c>
      <c r="N2541">
        <v>0</v>
      </c>
      <c r="O2541">
        <v>-0.99409809999999998</v>
      </c>
      <c r="P2541">
        <v>5.917617E-2</v>
      </c>
      <c r="Q2541">
        <v>-4.3474539999999999E-2</v>
      </c>
      <c r="R2541">
        <v>-0.99730059999999998</v>
      </c>
      <c r="S2541">
        <v>1.3801270000000001</v>
      </c>
      <c r="T2541">
        <v>-0.13399029999999901</v>
      </c>
      <c r="U2541">
        <v>-2.9232640000000001</v>
      </c>
      <c r="V2541">
        <v>4.8606740000000002E-2</v>
      </c>
      <c r="W2541">
        <v>-2.986743E-2</v>
      </c>
      <c r="X2541">
        <v>0.99837140000000002</v>
      </c>
      <c r="Y2541">
        <v>-0.32672489999999998</v>
      </c>
      <c r="Z2541">
        <v>4.1921880000000002E-2</v>
      </c>
      <c r="AA2541">
        <v>0.94418930000000001</v>
      </c>
      <c r="AB2541">
        <v>20</v>
      </c>
      <c r="AC2541">
        <v>11.4239</v>
      </c>
      <c r="AD2541">
        <v>-1.1112597760389999</v>
      </c>
      <c r="AE2541">
        <v>-24.057599999999901</v>
      </c>
      <c r="AF2541">
        <v>-8.7524066368830997</v>
      </c>
      <c r="AG2541">
        <v>-1.1112597760389999</v>
      </c>
      <c r="AH2541">
        <v>25.103896623077301</v>
      </c>
      <c r="AI2541">
        <v>92.393503543464206</v>
      </c>
      <c r="AJ2541">
        <v>109.220972987419</v>
      </c>
      <c r="AK2541">
        <v>26.609117720987101</v>
      </c>
      <c r="AL2541">
        <v>91.711532102074301</v>
      </c>
      <c r="AM2541">
        <v>87.212696841174306</v>
      </c>
      <c r="AN2541">
        <v>1.0000000654430901</v>
      </c>
    </row>
    <row r="2542" spans="1:40" x14ac:dyDescent="0.25">
      <c r="A2542" t="str">
        <f>"20190312161316978"</f>
        <v>20190312161316978</v>
      </c>
      <c r="B2542" t="str">
        <f>"1552378396968633"</f>
        <v>1552378396968633</v>
      </c>
      <c r="C2542" t="s">
        <v>40</v>
      </c>
      <c r="D2542">
        <v>5.4942609999999998</v>
      </c>
      <c r="E2542">
        <v>0.34641440000000001</v>
      </c>
      <c r="F2542" t="s">
        <v>63</v>
      </c>
      <c r="G2542">
        <v>-480.28809999999999</v>
      </c>
      <c r="H2542" s="1">
        <v>2.4822359999999999E-6</v>
      </c>
      <c r="I2542">
        <v>222.61269999999999</v>
      </c>
      <c r="J2542">
        <v>-492.79770000000002</v>
      </c>
      <c r="K2542">
        <v>1.1112599999999999</v>
      </c>
      <c r="L2542">
        <v>248.6429</v>
      </c>
      <c r="M2542">
        <v>0.109761999999999</v>
      </c>
      <c r="N2542">
        <v>0</v>
      </c>
      <c r="O2542">
        <v>-0.99386620000000003</v>
      </c>
      <c r="P2542">
        <v>6.1407580000000003E-2</v>
      </c>
      <c r="Q2542">
        <v>-4.3031029999999998E-2</v>
      </c>
      <c r="R2542">
        <v>-0.99718490000000004</v>
      </c>
      <c r="S2542">
        <v>1.3951420000000001</v>
      </c>
      <c r="T2542">
        <v>-0.12369230000000001</v>
      </c>
      <c r="U2542">
        <v>-2.9199220000000001</v>
      </c>
      <c r="V2542">
        <v>4.850206E-2</v>
      </c>
      <c r="W2542">
        <v>-2.9426359999999999E-2</v>
      </c>
      <c r="X2542">
        <v>0.99838950000000004</v>
      </c>
      <c r="Y2542">
        <v>-0.32914330000000003</v>
      </c>
      <c r="Z2542">
        <v>3.8674130000000001E-2</v>
      </c>
      <c r="AA2542">
        <v>0.94348759999999998</v>
      </c>
      <c r="AB2542">
        <v>20</v>
      </c>
      <c r="AC2542">
        <v>12.509600000000001</v>
      </c>
      <c r="AD2542">
        <v>-1.1112575177640001</v>
      </c>
      <c r="AE2542">
        <v>-26.030200000000001</v>
      </c>
      <c r="AF2542">
        <v>-9.56245668835966</v>
      </c>
      <c r="AG2542">
        <v>-1.1112575177640001</v>
      </c>
      <c r="AH2542">
        <v>27.2058176499505</v>
      </c>
      <c r="AI2542">
        <v>92.206815526442796</v>
      </c>
      <c r="AJ2542">
        <v>109.365847213341</v>
      </c>
      <c r="AK2542">
        <v>28.858828548468502</v>
      </c>
      <c r="AL2542">
        <v>91.686249689718693</v>
      </c>
      <c r="AM2542">
        <v>87.218740515344194</v>
      </c>
      <c r="AN2542">
        <v>0.99999997709867094</v>
      </c>
    </row>
    <row r="2543" spans="1:40" x14ac:dyDescent="0.25">
      <c r="A2543" t="str">
        <f>"20190312161316994"</f>
        <v>20190312161316994</v>
      </c>
      <c r="B2543" t="str">
        <f>"1552378396988154"</f>
        <v>1552378396988154</v>
      </c>
      <c r="C2543" t="s">
        <v>40</v>
      </c>
      <c r="D2543">
        <v>5.5287980000000001</v>
      </c>
      <c r="E2543">
        <v>0.34576469999999998</v>
      </c>
      <c r="F2543" t="s">
        <v>63</v>
      </c>
      <c r="G2543">
        <v>-478.8954</v>
      </c>
      <c r="H2543" s="1">
        <v>2.2587250000000001E-6</v>
      </c>
      <c r="I2543">
        <v>219.81610000000001</v>
      </c>
      <c r="J2543">
        <v>-492.78129999999999</v>
      </c>
      <c r="K2543">
        <v>1.111259</v>
      </c>
      <c r="L2543">
        <v>248.5094</v>
      </c>
      <c r="M2543">
        <v>0.1111591</v>
      </c>
      <c r="N2543">
        <v>0</v>
      </c>
      <c r="O2543">
        <v>-0.99371089999999995</v>
      </c>
      <c r="P2543">
        <v>6.2850740000000002E-2</v>
      </c>
      <c r="Q2543">
        <v>-4.3033309999999998E-2</v>
      </c>
      <c r="R2543">
        <v>-0.99709479999999995</v>
      </c>
      <c r="S2543">
        <v>1.4067689999999999</v>
      </c>
      <c r="T2543">
        <v>-0.1124479</v>
      </c>
      <c r="U2543">
        <v>-2.9169770000000002</v>
      </c>
      <c r="V2543">
        <v>4.8460509999999998E-2</v>
      </c>
      <c r="W2543">
        <v>-2.9430410000000001E-2</v>
      </c>
      <c r="X2543">
        <v>0.99839140000000004</v>
      </c>
      <c r="Y2543">
        <v>-0.33129809999999998</v>
      </c>
      <c r="Z2543">
        <v>3.5144370000000001E-2</v>
      </c>
      <c r="AA2543">
        <v>0.94287140000000003</v>
      </c>
      <c r="AB2543">
        <v>19</v>
      </c>
      <c r="AC2543">
        <v>13.8858999999999</v>
      </c>
      <c r="AD2543">
        <v>-1.1112567412750001</v>
      </c>
      <c r="AE2543">
        <v>-28.693299999999901</v>
      </c>
      <c r="AF2543">
        <v>-10.5971372746546</v>
      </c>
      <c r="AG2543">
        <v>-1.1112567412750001</v>
      </c>
      <c r="AH2543">
        <v>30.0226427415332</v>
      </c>
      <c r="AI2543">
        <v>91.999009983397201</v>
      </c>
      <c r="AJ2543">
        <v>109.441579826793</v>
      </c>
      <c r="AK2543">
        <v>31.857389835776601</v>
      </c>
      <c r="AL2543">
        <v>91.686481835259102</v>
      </c>
      <c r="AM2543">
        <v>87.221124665844499</v>
      </c>
      <c r="AN2543">
        <v>0.99999997882809299</v>
      </c>
    </row>
    <row r="2544" spans="1:40" x14ac:dyDescent="0.25">
      <c r="A2544" t="str">
        <f>"20190312161317009"</f>
        <v>20190312161317009</v>
      </c>
      <c r="B2544" t="str">
        <f>"1552378396997914"</f>
        <v>1552378396997914</v>
      </c>
      <c r="C2544" t="s">
        <v>40</v>
      </c>
      <c r="D2544">
        <v>5.5174580000000004</v>
      </c>
      <c r="E2544">
        <v>0.34545160000000003</v>
      </c>
      <c r="F2544" t="s">
        <v>63</v>
      </c>
      <c r="G2544">
        <v>-477.94060000000002</v>
      </c>
      <c r="H2544" s="1">
        <v>2.583267E-6</v>
      </c>
      <c r="I2544">
        <v>217.95930000000001</v>
      </c>
      <c r="J2544">
        <v>-492.76389999999998</v>
      </c>
      <c r="K2544">
        <v>1.111256</v>
      </c>
      <c r="L2544">
        <v>248.36969999999999</v>
      </c>
      <c r="M2544">
        <v>0.1126219</v>
      </c>
      <c r="N2544">
        <v>0</v>
      </c>
      <c r="O2544">
        <v>-0.99354620000000005</v>
      </c>
      <c r="P2544">
        <v>6.392478E-2</v>
      </c>
      <c r="Q2544">
        <v>-4.3030140000000001E-2</v>
      </c>
      <c r="R2544">
        <v>-0.99702670000000004</v>
      </c>
      <c r="S2544">
        <v>1.4160159999999999</v>
      </c>
      <c r="T2544">
        <v>-0.1060297</v>
      </c>
      <c r="U2544">
        <v>-2.914917</v>
      </c>
      <c r="V2544">
        <v>4.8854509999999997E-2</v>
      </c>
      <c r="W2544">
        <v>-2.9428240000000001E-2</v>
      </c>
      <c r="X2544">
        <v>0.99837229999999999</v>
      </c>
      <c r="Y2544">
        <v>-0.33262269999999999</v>
      </c>
      <c r="Z2544">
        <v>3.3123850000000003E-2</v>
      </c>
      <c r="AA2544">
        <v>0.94247809999999999</v>
      </c>
      <c r="AB2544">
        <v>19</v>
      </c>
      <c r="AC2544">
        <v>14.8232999999999</v>
      </c>
      <c r="AD2544">
        <v>-1.1112534167329999</v>
      </c>
      <c r="AE2544">
        <v>-30.4103999999999</v>
      </c>
      <c r="AF2544">
        <v>-11.291603407972101</v>
      </c>
      <c r="AG2544">
        <v>-1.1112534167329999</v>
      </c>
      <c r="AH2544">
        <v>31.852104586848998</v>
      </c>
      <c r="AI2544">
        <v>91.883368998935197</v>
      </c>
      <c r="AJ2544">
        <v>109.519468372444</v>
      </c>
      <c r="AK2544">
        <v>33.812597627078198</v>
      </c>
      <c r="AL2544">
        <v>91.686357385263406</v>
      </c>
      <c r="AM2544">
        <v>87.198513825791693</v>
      </c>
      <c r="AN2544">
        <v>1.00000001693206</v>
      </c>
    </row>
    <row r="2545" spans="1:40" x14ac:dyDescent="0.25">
      <c r="A2545" t="str">
        <f>"20190312161317033"</f>
        <v>20190312161317033</v>
      </c>
      <c r="B2545" t="str">
        <f>"1552378397028170"</f>
        <v>1552378397028170</v>
      </c>
      <c r="C2545" t="s">
        <v>40</v>
      </c>
      <c r="D2545">
        <v>5.5021959999999996</v>
      </c>
      <c r="E2545">
        <v>0.34498139999999999</v>
      </c>
      <c r="F2545" t="s">
        <v>63</v>
      </c>
      <c r="G2545">
        <v>-477.41860000000003</v>
      </c>
      <c r="H2545" s="1">
        <v>2.7695279999999998E-6</v>
      </c>
      <c r="I2545">
        <v>216.92580000000001</v>
      </c>
      <c r="J2545">
        <v>-492.73910000000001</v>
      </c>
      <c r="K2545">
        <v>1.1112519999999999</v>
      </c>
      <c r="L2545">
        <v>248.1728</v>
      </c>
      <c r="M2545">
        <v>0.1146823</v>
      </c>
      <c r="N2545">
        <v>0</v>
      </c>
      <c r="O2545">
        <v>-0.99331069999999999</v>
      </c>
      <c r="P2545">
        <v>6.5671199999999999E-2</v>
      </c>
      <c r="Q2545">
        <v>-4.3307650000000003E-2</v>
      </c>
      <c r="R2545">
        <v>-0.9969017</v>
      </c>
      <c r="S2545">
        <v>1.421753</v>
      </c>
      <c r="T2545">
        <v>-0.10295839999999901</v>
      </c>
      <c r="U2545">
        <v>-2.9133</v>
      </c>
      <c r="V2545">
        <v>4.9175280000000002E-2</v>
      </c>
      <c r="W2545">
        <v>-2.9707959999999999E-2</v>
      </c>
      <c r="X2545">
        <v>0.99834820000000002</v>
      </c>
      <c r="Y2545">
        <v>-0.33238659999999998</v>
      </c>
      <c r="Z2545">
        <v>3.2158109999999997E-2</v>
      </c>
      <c r="AA2545">
        <v>0.94259479999999995</v>
      </c>
      <c r="AB2545">
        <v>19</v>
      </c>
      <c r="AC2545">
        <v>15.3204999999999</v>
      </c>
      <c r="AD2545">
        <v>-1.1112492304719901</v>
      </c>
      <c r="AE2545">
        <v>-31.2469999999999</v>
      </c>
      <c r="AF2545">
        <v>-11.623744611734701</v>
      </c>
      <c r="AG2545">
        <v>-1.1112492304719901</v>
      </c>
      <c r="AH2545">
        <v>32.764543533975903</v>
      </c>
      <c r="AI2545">
        <v>91.830796868890502</v>
      </c>
      <c r="AJ2545">
        <v>109.53295253842499</v>
      </c>
      <c r="AK2545">
        <v>34.783065227792399</v>
      </c>
      <c r="AL2545">
        <v>91.702391285380699</v>
      </c>
      <c r="AM2545">
        <v>87.180081397768703</v>
      </c>
      <c r="AN2545">
        <v>0.99999994974683803</v>
      </c>
    </row>
    <row r="2546" spans="1:40" x14ac:dyDescent="0.25">
      <c r="A2546" t="str">
        <f>"20190312161317044"</f>
        <v>20190312161317044</v>
      </c>
      <c r="B2546" t="str">
        <f>"1552378397037929"</f>
        <v>1552378397037929</v>
      </c>
      <c r="C2546" t="s">
        <v>40</v>
      </c>
      <c r="D2546">
        <v>5.5059040000000001</v>
      </c>
      <c r="E2546">
        <v>0.34483069999999999</v>
      </c>
      <c r="F2546" t="s">
        <v>63</v>
      </c>
      <c r="G2546">
        <v>-476.24250000000001</v>
      </c>
      <c r="H2546" s="1">
        <v>3.1896400000000002E-6</v>
      </c>
      <c r="I2546">
        <v>214.6044</v>
      </c>
      <c r="J2546">
        <v>-492.72539999999998</v>
      </c>
      <c r="K2546">
        <v>1.1112470000000001</v>
      </c>
      <c r="L2546">
        <v>248.0652</v>
      </c>
      <c r="M2546">
        <v>0.1158086</v>
      </c>
      <c r="N2546">
        <v>0</v>
      </c>
      <c r="O2546">
        <v>-0.99317999999999995</v>
      </c>
      <c r="P2546">
        <v>6.6433539999999999E-2</v>
      </c>
      <c r="Q2546">
        <v>-4.333977E-2</v>
      </c>
      <c r="R2546">
        <v>-0.99684950000000005</v>
      </c>
      <c r="S2546">
        <v>1.4305110000000001</v>
      </c>
      <c r="T2546">
        <v>-9.6362229999999993E-2</v>
      </c>
      <c r="U2546">
        <v>-2.9108890000000001</v>
      </c>
      <c r="V2546">
        <v>4.9543490000000003E-2</v>
      </c>
      <c r="W2546">
        <v>-2.9740829999999999E-2</v>
      </c>
      <c r="X2546">
        <v>0.99832900000000002</v>
      </c>
      <c r="Y2546">
        <v>-0.33394010000000002</v>
      </c>
      <c r="Z2546">
        <v>3.0088810000000001E-2</v>
      </c>
      <c r="AA2546">
        <v>0.94211389999999995</v>
      </c>
      <c r="AB2546">
        <v>19</v>
      </c>
      <c r="AC2546">
        <v>16.482899999999901</v>
      </c>
      <c r="AD2546">
        <v>-1.11124381036</v>
      </c>
      <c r="AE2546">
        <v>-33.460799999999999</v>
      </c>
      <c r="AF2546">
        <v>-12.485493017126</v>
      </c>
      <c r="AG2546">
        <v>-1.11124381036</v>
      </c>
      <c r="AH2546">
        <v>35.113489597164197</v>
      </c>
      <c r="AI2546">
        <v>91.7079552251938</v>
      </c>
      <c r="AJ2546">
        <v>109.574135086531</v>
      </c>
      <c r="AK2546">
        <v>37.283770602997301</v>
      </c>
      <c r="AL2546">
        <v>91.704275458318904</v>
      </c>
      <c r="AM2546">
        <v>87.158946593533699</v>
      </c>
      <c r="AN2546">
        <v>0.999999933305732</v>
      </c>
    </row>
    <row r="2547" spans="1:40" x14ac:dyDescent="0.25">
      <c r="A2547" t="str">
        <f>"20190312161317058"</f>
        <v>20190312161317058</v>
      </c>
      <c r="B2547" t="str">
        <f>"1552378397048666"</f>
        <v>1552378397048666</v>
      </c>
      <c r="C2547" t="s">
        <v>40</v>
      </c>
      <c r="D2547">
        <v>5.4878980000000004</v>
      </c>
      <c r="E2547">
        <v>0.34468589999999999</v>
      </c>
      <c r="F2547" t="s">
        <v>63</v>
      </c>
      <c r="G2547">
        <v>-475.76830000000001</v>
      </c>
      <c r="H2547" s="1">
        <v>3.3579530000000001E-6</v>
      </c>
      <c r="I2547">
        <v>213.6446</v>
      </c>
      <c r="J2547">
        <v>-492.71109999999999</v>
      </c>
      <c r="K2547">
        <v>1.111245</v>
      </c>
      <c r="L2547">
        <v>247.9545</v>
      </c>
      <c r="M2547">
        <v>0.116966899999999</v>
      </c>
      <c r="N2547">
        <v>0</v>
      </c>
      <c r="O2547">
        <v>-0.99304409999999999</v>
      </c>
      <c r="P2547">
        <v>6.728605E-2</v>
      </c>
      <c r="Q2547">
        <v>-4.3640390000000001E-2</v>
      </c>
      <c r="R2547">
        <v>-0.99677890000000002</v>
      </c>
      <c r="S2547">
        <v>1.4335329999999999</v>
      </c>
      <c r="T2547">
        <v>-9.3943479999999996E-2</v>
      </c>
      <c r="U2547">
        <v>-2.9098820000000001</v>
      </c>
      <c r="V2547">
        <v>4.9853019999999998E-2</v>
      </c>
      <c r="W2547">
        <v>-3.0042449999999998E-2</v>
      </c>
      <c r="X2547">
        <v>0.99830459999999999</v>
      </c>
      <c r="Y2547">
        <v>-0.33376719999999999</v>
      </c>
      <c r="Z2547">
        <v>2.933183E-2</v>
      </c>
      <c r="AA2547">
        <v>0.94219909999999996</v>
      </c>
      <c r="AB2547">
        <v>19</v>
      </c>
      <c r="AC2547">
        <v>16.942799999999899</v>
      </c>
      <c r="AD2547">
        <v>-1.1112416420469999</v>
      </c>
      <c r="AE2547">
        <v>-34.309899999999999</v>
      </c>
      <c r="AF2547">
        <v>-12.802195249193399</v>
      </c>
      <c r="AG2547">
        <v>-1.1112416420469999</v>
      </c>
      <c r="AH2547">
        <v>36.025892236340603</v>
      </c>
      <c r="AI2547">
        <v>91.664833049701699</v>
      </c>
      <c r="AJ2547">
        <v>109.563226477828</v>
      </c>
      <c r="AK2547">
        <v>38.249130351027802</v>
      </c>
      <c r="AL2547">
        <v>91.721564669320799</v>
      </c>
      <c r="AM2547">
        <v>87.141156304893002</v>
      </c>
      <c r="AN2547">
        <v>0.99999997339314095</v>
      </c>
    </row>
    <row r="2548" spans="1:40" x14ac:dyDescent="0.25">
      <c r="A2548" t="str">
        <f>"20190312161317077"</f>
        <v>20190312161317077</v>
      </c>
      <c r="B2548" t="str">
        <f>"1552378397068187"</f>
        <v>1552378397068187</v>
      </c>
      <c r="C2548" t="s">
        <v>40</v>
      </c>
      <c r="D2548">
        <v>5.4425330000000001</v>
      </c>
      <c r="E2548">
        <v>0.34440340000000003</v>
      </c>
      <c r="F2548" t="s">
        <v>63</v>
      </c>
      <c r="G2548">
        <v>-475.63979999999998</v>
      </c>
      <c r="H2548" s="1">
        <v>3.4046119999999999E-6</v>
      </c>
      <c r="I2548">
        <v>213.40809999999999</v>
      </c>
      <c r="J2548">
        <v>-492.68920000000003</v>
      </c>
      <c r="K2548">
        <v>1.11124</v>
      </c>
      <c r="L2548">
        <v>247.78700000000001</v>
      </c>
      <c r="M2548">
        <v>0.1187211</v>
      </c>
      <c r="N2548">
        <v>0</v>
      </c>
      <c r="O2548">
        <v>-0.9928361</v>
      </c>
      <c r="P2548">
        <v>6.8408339999999998E-2</v>
      </c>
      <c r="Q2548">
        <v>-4.3508709999999999E-2</v>
      </c>
      <c r="R2548">
        <v>-0.9967085</v>
      </c>
      <c r="S2548">
        <v>1.4372860000000001</v>
      </c>
      <c r="T2548">
        <v>-9.3558790000000003E-2</v>
      </c>
      <c r="U2548">
        <v>-2.908569</v>
      </c>
      <c r="V2548">
        <v>5.0492450000000001E-2</v>
      </c>
      <c r="W2548">
        <v>-2.9911699999999999E-2</v>
      </c>
      <c r="X2548">
        <v>0.99827639999999995</v>
      </c>
      <c r="Y2548">
        <v>-0.33324969999999998</v>
      </c>
      <c r="Z2548">
        <v>2.9209180000000001E-2</v>
      </c>
      <c r="AA2548">
        <v>0.94238599999999995</v>
      </c>
      <c r="AB2548">
        <v>19</v>
      </c>
      <c r="AC2548">
        <v>17.049399999999999</v>
      </c>
      <c r="AD2548">
        <v>-1.1112365953879999</v>
      </c>
      <c r="AE2548">
        <v>-34.378900000000002</v>
      </c>
      <c r="AF2548">
        <v>-12.8361628675483</v>
      </c>
      <c r="AG2548">
        <v>-1.1112365953879999</v>
      </c>
      <c r="AH2548">
        <v>36.1297265122925</v>
      </c>
      <c r="AI2548">
        <v>91.660086047678206</v>
      </c>
      <c r="AJ2548">
        <v>109.559099404381</v>
      </c>
      <c r="AK2548">
        <v>38.358298473553397</v>
      </c>
      <c r="AL2548">
        <v>91.714069859411296</v>
      </c>
      <c r="AM2548">
        <v>87.104468255769007</v>
      </c>
      <c r="AN2548">
        <v>0.99999998405042601</v>
      </c>
    </row>
    <row r="2549" spans="1:40" x14ac:dyDescent="0.25">
      <c r="A2549" t="str">
        <f>"20190312161317091"</f>
        <v>20190312161317091</v>
      </c>
      <c r="B2549" t="str">
        <f>"1552378397088683"</f>
        <v>1552378397088683</v>
      </c>
      <c r="C2549" t="s">
        <v>40</v>
      </c>
      <c r="D2549">
        <v>5.455317</v>
      </c>
      <c r="E2549">
        <v>0.3442132</v>
      </c>
      <c r="F2549" t="s">
        <v>63</v>
      </c>
      <c r="G2549">
        <v>-474.85989999999998</v>
      </c>
      <c r="H2549" s="1">
        <v>3.682932E-6</v>
      </c>
      <c r="I2549">
        <v>211.8629</v>
      </c>
      <c r="J2549">
        <v>-492.6737</v>
      </c>
      <c r="K2549">
        <v>1.1112379999999999</v>
      </c>
      <c r="L2549">
        <v>247.66900000000001</v>
      </c>
      <c r="M2549">
        <v>0.1199556</v>
      </c>
      <c r="N2549">
        <v>0</v>
      </c>
      <c r="O2549">
        <v>-0.99268780000000001</v>
      </c>
      <c r="P2549">
        <v>6.9601479999999993E-2</v>
      </c>
      <c r="Q2549">
        <v>-4.3589570000000001E-2</v>
      </c>
      <c r="R2549">
        <v>-0.99662229999999996</v>
      </c>
      <c r="S2549">
        <v>1.4427490000000001</v>
      </c>
      <c r="T2549">
        <v>-8.9921119999999993E-2</v>
      </c>
      <c r="U2549">
        <v>-2.9069669999999999</v>
      </c>
      <c r="V2549">
        <v>5.0538350000000003E-2</v>
      </c>
      <c r="W2549">
        <v>-2.9994110000000001E-2</v>
      </c>
      <c r="X2549">
        <v>0.99827160000000004</v>
      </c>
      <c r="Y2549">
        <v>-0.33372010000000002</v>
      </c>
      <c r="Z2549">
        <v>2.8068429999999998E-2</v>
      </c>
      <c r="AA2549">
        <v>0.94225420000000004</v>
      </c>
      <c r="AB2549">
        <v>19</v>
      </c>
      <c r="AC2549">
        <v>17.813800000000001</v>
      </c>
      <c r="AD2549">
        <v>-1.1112343170679999</v>
      </c>
      <c r="AE2549">
        <v>-35.806100000000001</v>
      </c>
      <c r="AF2549">
        <v>-13.379285826588299</v>
      </c>
      <c r="AG2549">
        <v>-1.1112343170679999</v>
      </c>
      <c r="AH2549">
        <v>37.655492988218498</v>
      </c>
      <c r="AI2549">
        <v>91.592838994174599</v>
      </c>
      <c r="AJ2549">
        <v>109.56051652180101</v>
      </c>
      <c r="AK2549">
        <v>39.977197039346699</v>
      </c>
      <c r="AL2549">
        <v>91.718793732200098</v>
      </c>
      <c r="AM2549">
        <v>87.101826655840199</v>
      </c>
      <c r="AN2549">
        <v>0.99999997941098695</v>
      </c>
    </row>
    <row r="2550" spans="1:40" x14ac:dyDescent="0.25">
      <c r="A2550" t="str">
        <f>"20190312161317111"</f>
        <v>20190312161317111</v>
      </c>
      <c r="B2550" t="str">
        <f>"1552378397108202"</f>
        <v>1552378397108202</v>
      </c>
      <c r="C2550" t="s">
        <v>40</v>
      </c>
      <c r="D2550">
        <v>5.4758069999999996</v>
      </c>
      <c r="E2550">
        <v>0.3441109</v>
      </c>
      <c r="F2550" t="s">
        <v>63</v>
      </c>
      <c r="G2550">
        <v>-474.14580000000001</v>
      </c>
      <c r="H2550" s="1">
        <v>3.939234E-6</v>
      </c>
      <c r="I2550">
        <v>210.482</v>
      </c>
      <c r="J2550">
        <v>-492.65210000000002</v>
      </c>
      <c r="K2550">
        <v>1.1112359999999999</v>
      </c>
      <c r="L2550">
        <v>247.5068</v>
      </c>
      <c r="M2550">
        <v>0.1216541</v>
      </c>
      <c r="N2550">
        <v>0</v>
      </c>
      <c r="O2550">
        <v>-0.9924811</v>
      </c>
      <c r="P2550">
        <v>7.0909539999999993E-2</v>
      </c>
      <c r="Q2550">
        <v>-4.4038279999999999E-2</v>
      </c>
      <c r="R2550">
        <v>-0.99651049999999997</v>
      </c>
      <c r="S2550">
        <v>1.4475100000000001</v>
      </c>
      <c r="T2550">
        <v>-8.6816190000000001E-2</v>
      </c>
      <c r="U2550">
        <v>-2.9052730000000002</v>
      </c>
      <c r="V2550">
        <v>5.0934649999999998E-2</v>
      </c>
      <c r="W2550">
        <v>-3.0444519999999999E-2</v>
      </c>
      <c r="X2550">
        <v>0.99823779999999995</v>
      </c>
      <c r="Y2550">
        <v>-0.33357560000000003</v>
      </c>
      <c r="Z2550">
        <v>2.7096930000000002E-2</v>
      </c>
      <c r="AA2550">
        <v>0.94233389999999995</v>
      </c>
      <c r="AB2550">
        <v>19</v>
      </c>
      <c r="AC2550">
        <v>18.5063</v>
      </c>
      <c r="AD2550">
        <v>-1.111232060766</v>
      </c>
      <c r="AE2550">
        <v>-37.024799999999999</v>
      </c>
      <c r="AF2550">
        <v>-13.8542076980349</v>
      </c>
      <c r="AG2550">
        <v>-1.111232060766</v>
      </c>
      <c r="AH2550">
        <v>38.973232837219498</v>
      </c>
      <c r="AI2550">
        <v>91.538922421352595</v>
      </c>
      <c r="AJ2550">
        <v>109.56928634678999</v>
      </c>
      <c r="AK2550">
        <v>41.377370450734198</v>
      </c>
      <c r="AL2550">
        <v>91.744612156688305</v>
      </c>
      <c r="AM2550">
        <v>87.079040900250803</v>
      </c>
      <c r="AN2550">
        <v>0.99999995635874495</v>
      </c>
    </row>
    <row r="2551" spans="1:40" x14ac:dyDescent="0.25">
      <c r="A2551" t="str">
        <f>"20190312161317132"</f>
        <v>20190312161317132</v>
      </c>
      <c r="B2551" t="str">
        <f>"1552378397127722"</f>
        <v>1552378397127722</v>
      </c>
      <c r="C2551" t="s">
        <v>40</v>
      </c>
      <c r="D2551">
        <v>5.4522539999999999</v>
      </c>
      <c r="E2551">
        <v>0.34397499999999998</v>
      </c>
      <c r="F2551" t="s">
        <v>63</v>
      </c>
      <c r="G2551">
        <v>-473.89550000000003</v>
      </c>
      <c r="H2551" s="1">
        <v>4.0287869999999997E-6</v>
      </c>
      <c r="I2551">
        <v>209.99170000000001</v>
      </c>
      <c r="J2551">
        <v>-492.62689999999998</v>
      </c>
      <c r="K2551">
        <v>1.1112310000000001</v>
      </c>
      <c r="L2551">
        <v>247.32079999999999</v>
      </c>
      <c r="M2551">
        <v>0.12360260000000001</v>
      </c>
      <c r="N2551">
        <v>0</v>
      </c>
      <c r="O2551">
        <v>-0.99224029999999996</v>
      </c>
      <c r="P2551">
        <v>7.2362330000000002E-2</v>
      </c>
      <c r="Q2551">
        <v>-4.4956049999999997E-2</v>
      </c>
      <c r="R2551">
        <v>-0.9963649</v>
      </c>
      <c r="S2551">
        <v>1.45163</v>
      </c>
      <c r="T2551">
        <v>-8.6001750000000002E-2</v>
      </c>
      <c r="U2551">
        <v>-2.9034119999999999</v>
      </c>
      <c r="V2551">
        <v>5.1436030000000001E-2</v>
      </c>
      <c r="W2551">
        <v>-3.1364389999999999E-2</v>
      </c>
      <c r="X2551">
        <v>0.99818370000000001</v>
      </c>
      <c r="Y2551">
        <v>-0.33303909999999998</v>
      </c>
      <c r="Z2551">
        <v>2.6842990000000001E-2</v>
      </c>
      <c r="AA2551">
        <v>0.94253089999999995</v>
      </c>
      <c r="AB2551">
        <v>19</v>
      </c>
      <c r="AC2551">
        <v>18.731399999999901</v>
      </c>
      <c r="AD2551">
        <v>-1.1112269712129901</v>
      </c>
      <c r="AE2551">
        <v>-37.329099999999897</v>
      </c>
      <c r="AF2551">
        <v>-13.9634600040782</v>
      </c>
      <c r="AG2551">
        <v>-1.1112269712129901</v>
      </c>
      <c r="AH2551">
        <v>39.330418338501303</v>
      </c>
      <c r="AI2551">
        <v>91.525162738644696</v>
      </c>
      <c r="AJ2551">
        <v>109.546364980405</v>
      </c>
      <c r="AK2551">
        <v>41.7503873915987</v>
      </c>
      <c r="AL2551">
        <v>91.797341857778804</v>
      </c>
      <c r="AM2551">
        <v>87.050179109960894</v>
      </c>
      <c r="AN2551">
        <v>1.0000000445439601</v>
      </c>
    </row>
    <row r="2552" spans="1:40" x14ac:dyDescent="0.25">
      <c r="A2552" t="str">
        <f>"20190312161317145"</f>
        <v>20190312161317145</v>
      </c>
      <c r="B2552" t="str">
        <f>"1552378397138458"</f>
        <v>1552378397138458</v>
      </c>
      <c r="C2552" t="s">
        <v>40</v>
      </c>
      <c r="D2552">
        <v>3.7029049999999999</v>
      </c>
      <c r="E2552">
        <v>0.34362359999999997</v>
      </c>
      <c r="F2552" t="s">
        <v>63</v>
      </c>
      <c r="G2552">
        <v>-473.69319999999999</v>
      </c>
      <c r="H2552">
        <v>5.1732590000000004E-3</v>
      </c>
      <c r="I2552">
        <v>209.6163</v>
      </c>
      <c r="J2552">
        <v>-492.61200000000002</v>
      </c>
      <c r="K2552">
        <v>1.111227</v>
      </c>
      <c r="L2552">
        <v>247.2115</v>
      </c>
      <c r="M2552">
        <v>0.12474730000000001</v>
      </c>
      <c r="N2552">
        <v>0</v>
      </c>
      <c r="O2552">
        <v>-0.99209709999999995</v>
      </c>
      <c r="P2552">
        <v>7.3396470000000005E-2</v>
      </c>
      <c r="Q2552">
        <v>-4.4949759999999998E-2</v>
      </c>
      <c r="R2552">
        <v>-0.99628969999999994</v>
      </c>
      <c r="S2552">
        <v>1.456909</v>
      </c>
      <c r="T2552">
        <v>-8.5108760000000006E-2</v>
      </c>
      <c r="U2552">
        <v>-2.9012760000000002</v>
      </c>
      <c r="V2552">
        <v>5.15515E-2</v>
      </c>
      <c r="W2552">
        <v>-3.1359379999999999E-2</v>
      </c>
      <c r="X2552">
        <v>0.9981778</v>
      </c>
      <c r="Y2552">
        <v>-0.33360279999999998</v>
      </c>
      <c r="Z2552">
        <v>2.6563130000000001E-2</v>
      </c>
      <c r="AA2552">
        <v>0.94233940000000005</v>
      </c>
      <c r="AB2552">
        <v>19</v>
      </c>
      <c r="AC2552">
        <v>18.918799999999901</v>
      </c>
      <c r="AD2552">
        <v>-1.106053741</v>
      </c>
      <c r="AE2552">
        <v>-37.595199999999998</v>
      </c>
      <c r="AF2552">
        <v>-14.070946445156</v>
      </c>
      <c r="AG2552">
        <v>-1.106053741</v>
      </c>
      <c r="AH2552">
        <v>39.634383371568397</v>
      </c>
      <c r="AI2552">
        <v>91.506433941159997</v>
      </c>
      <c r="AJ2552">
        <v>109.545812791324</v>
      </c>
      <c r="AK2552">
        <v>42.072547272359003</v>
      </c>
      <c r="AL2552">
        <v>91.797054845155998</v>
      </c>
      <c r="AM2552">
        <v>87.043551276127204</v>
      </c>
      <c r="AN2552">
        <v>0.99999994413953497</v>
      </c>
    </row>
    <row r="2553" spans="1:40" x14ac:dyDescent="0.25">
      <c r="A2553" t="str">
        <f>"20190312161317167"</f>
        <v>20190312161317167</v>
      </c>
      <c r="B2553" t="str">
        <f>"1552378397157978"</f>
        <v>1552378397157978</v>
      </c>
      <c r="C2553" t="s">
        <v>40</v>
      </c>
      <c r="D2553">
        <v>5.4300300000000004</v>
      </c>
      <c r="E2553">
        <v>0.3431747</v>
      </c>
      <c r="F2553" t="s">
        <v>63</v>
      </c>
      <c r="G2553">
        <v>-473.64530000000002</v>
      </c>
      <c r="H2553">
        <v>5.1110570000000001E-2</v>
      </c>
      <c r="I2553">
        <v>209.61519999999999</v>
      </c>
      <c r="J2553">
        <v>-492.5856</v>
      </c>
      <c r="K2553">
        <v>1.111221</v>
      </c>
      <c r="L2553">
        <v>247.02119999999999</v>
      </c>
      <c r="M2553">
        <v>0.12674079999999999</v>
      </c>
      <c r="N2553">
        <v>0</v>
      </c>
      <c r="O2553">
        <v>-0.99184439999999996</v>
      </c>
      <c r="P2553">
        <v>7.5326489999999996E-2</v>
      </c>
      <c r="Q2553">
        <v>-4.500962E-2</v>
      </c>
      <c r="R2553">
        <v>-0.99614279999999999</v>
      </c>
      <c r="S2553">
        <v>1.46286</v>
      </c>
      <c r="T2553">
        <v>-8.1764459999999997E-2</v>
      </c>
      <c r="U2553">
        <v>-2.8997190000000002</v>
      </c>
      <c r="V2553">
        <v>5.162311E-2</v>
      </c>
      <c r="W2553">
        <v>-3.1421860000000003E-2</v>
      </c>
      <c r="X2553">
        <v>0.99817219999999995</v>
      </c>
      <c r="Y2553">
        <v>-0.3334665</v>
      </c>
      <c r="Z2553">
        <v>2.551194E-2</v>
      </c>
      <c r="AA2553">
        <v>0.9424167</v>
      </c>
      <c r="AB2553">
        <v>19</v>
      </c>
      <c r="AC2553">
        <v>18.940299999999901</v>
      </c>
      <c r="AD2553">
        <v>-1.0601104299999999</v>
      </c>
      <c r="AE2553">
        <v>-37.405999999999999</v>
      </c>
      <c r="AF2553">
        <v>-14.0372646992619</v>
      </c>
      <c r="AG2553">
        <v>-1.0601104299999999</v>
      </c>
      <c r="AH2553">
        <v>39.479785778723397</v>
      </c>
      <c r="AI2553">
        <v>91.449292878064199</v>
      </c>
      <c r="AJ2553">
        <v>109.573135536492</v>
      </c>
      <c r="AK2553">
        <v>41.914461937317398</v>
      </c>
      <c r="AL2553">
        <v>91.800636332408899</v>
      </c>
      <c r="AM2553">
        <v>87.039435205071996</v>
      </c>
      <c r="AN2553">
        <v>1.00000000981238</v>
      </c>
    </row>
    <row r="2554" spans="1:40" x14ac:dyDescent="0.25">
      <c r="A2554" t="str">
        <f>"20190312161317190"</f>
        <v>20190312161317190</v>
      </c>
      <c r="B2554" t="str">
        <f>"1552378397178475"</f>
        <v>1552378397178475</v>
      </c>
      <c r="C2554" t="s">
        <v>40</v>
      </c>
      <c r="D2554">
        <v>5.4095370000000003</v>
      </c>
      <c r="E2554">
        <v>0.34277770000000002</v>
      </c>
      <c r="F2554" t="s">
        <v>63</v>
      </c>
      <c r="G2554">
        <v>-473.3433</v>
      </c>
      <c r="H2554">
        <v>7.9999909999999994E-2</v>
      </c>
      <c r="I2554">
        <v>209.1489</v>
      </c>
      <c r="J2554">
        <v>-492.55990000000003</v>
      </c>
      <c r="K2554">
        <v>1.1112120000000001</v>
      </c>
      <c r="L2554">
        <v>246.83840000000001</v>
      </c>
      <c r="M2554">
        <v>0.12865599999999999</v>
      </c>
      <c r="N2554">
        <v>0</v>
      </c>
      <c r="O2554">
        <v>-0.99159779999999997</v>
      </c>
      <c r="P2554">
        <v>7.7277239999999997E-2</v>
      </c>
      <c r="Q2554">
        <v>-4.4845339999999997E-2</v>
      </c>
      <c r="R2554">
        <v>-0.99600089999999997</v>
      </c>
      <c r="S2554">
        <v>1.4718020000000001</v>
      </c>
      <c r="T2554">
        <v>-7.8875539999999994E-2</v>
      </c>
      <c r="U2554">
        <v>-2.8967589999999999</v>
      </c>
      <c r="V2554">
        <v>5.1596309999999999E-2</v>
      </c>
      <c r="W2554">
        <v>-3.1260080000000003E-2</v>
      </c>
      <c r="X2554">
        <v>0.99817869999999997</v>
      </c>
      <c r="Y2554">
        <v>-0.3343583</v>
      </c>
      <c r="Z2554">
        <v>2.4604009999999999E-2</v>
      </c>
      <c r="AA2554">
        <v>0.94212479999999998</v>
      </c>
      <c r="AB2554">
        <v>19</v>
      </c>
      <c r="AC2554">
        <v>19.2166</v>
      </c>
      <c r="AD2554">
        <v>-1.0312120899999999</v>
      </c>
      <c r="AE2554">
        <v>-37.689500000000002</v>
      </c>
      <c r="AF2554">
        <v>-14.199010541046899</v>
      </c>
      <c r="AG2554">
        <v>-1.0312120899999999</v>
      </c>
      <c r="AH2554">
        <v>39.825109198534797</v>
      </c>
      <c r="AI2554">
        <v>91.3971503407207</v>
      </c>
      <c r="AJ2554">
        <v>109.622885865708</v>
      </c>
      <c r="AK2554">
        <v>42.293198287603502</v>
      </c>
      <c r="AL2554">
        <v>91.791362403398196</v>
      </c>
      <c r="AM2554">
        <v>87.040988676771505</v>
      </c>
      <c r="AN2554">
        <v>1.00000004447045</v>
      </c>
    </row>
    <row r="2555" spans="1:40" x14ac:dyDescent="0.25">
      <c r="A2555" t="str">
        <f>"20190312161317200"</f>
        <v>20190312161317200</v>
      </c>
      <c r="B2555" t="str">
        <f>"1552378397197994"</f>
        <v>1552378397197994</v>
      </c>
      <c r="C2555" t="s">
        <v>40</v>
      </c>
      <c r="D2555">
        <v>5.3836240000000002</v>
      </c>
      <c r="E2555">
        <v>0.3424026</v>
      </c>
      <c r="F2555" t="s">
        <v>63</v>
      </c>
      <c r="G2555">
        <v>-472.26769999999999</v>
      </c>
      <c r="H2555">
        <v>7.9999979999999998E-2</v>
      </c>
      <c r="I2555">
        <v>207.185</v>
      </c>
      <c r="J2555">
        <v>-492.54520000000002</v>
      </c>
      <c r="K2555">
        <v>1.1112089999999999</v>
      </c>
      <c r="L2555">
        <v>246.7353</v>
      </c>
      <c r="M2555">
        <v>0.1297354</v>
      </c>
      <c r="N2555">
        <v>0</v>
      </c>
      <c r="O2555">
        <v>-0.99145720000000004</v>
      </c>
      <c r="P2555">
        <v>7.8070630000000002E-2</v>
      </c>
      <c r="Q2555">
        <v>-4.5083190000000002E-2</v>
      </c>
      <c r="R2555">
        <v>-0.99592820000000004</v>
      </c>
      <c r="S2555">
        <v>1.4808650000000001</v>
      </c>
      <c r="T2555">
        <v>-7.5254799999999997E-2</v>
      </c>
      <c r="U2555">
        <v>-2.8937840000000001</v>
      </c>
      <c r="V2555">
        <v>5.1886639999999998E-2</v>
      </c>
      <c r="W2555">
        <v>-3.1499010000000001E-2</v>
      </c>
      <c r="X2555">
        <v>0.99815609999999999</v>
      </c>
      <c r="Y2555">
        <v>-0.33607690000000001</v>
      </c>
      <c r="Z2555">
        <v>2.3468470000000002E-2</v>
      </c>
      <c r="AA2555">
        <v>0.94154210000000005</v>
      </c>
      <c r="AB2555">
        <v>19</v>
      </c>
      <c r="AC2555">
        <v>20.2775</v>
      </c>
      <c r="AD2555">
        <v>-1.0312090199999999</v>
      </c>
      <c r="AE2555">
        <v>-39.550299999999901</v>
      </c>
      <c r="AF2555">
        <v>-14.966500522807101</v>
      </c>
      <c r="AG2555">
        <v>-1.0312090199999999</v>
      </c>
      <c r="AH2555">
        <v>41.824419068857701</v>
      </c>
      <c r="AI2555">
        <v>91.329833242534306</v>
      </c>
      <c r="AJ2555">
        <v>109.689302308641</v>
      </c>
      <c r="AK2555">
        <v>44.433563444647802</v>
      </c>
      <c r="AL2555">
        <v>91.8050588987102</v>
      </c>
      <c r="AM2555">
        <v>87.024301047040495</v>
      </c>
      <c r="AN2555">
        <v>1.0000000055043301</v>
      </c>
    </row>
    <row r="2556" spans="1:40" x14ac:dyDescent="0.25">
      <c r="A2556" t="str">
        <f>"20190312161317213"</f>
        <v>20190312161317213</v>
      </c>
      <c r="B2556" t="str">
        <f>"1552378397207755"</f>
        <v>1552378397207755</v>
      </c>
      <c r="C2556" t="s">
        <v>40</v>
      </c>
      <c r="D2556">
        <v>5.3501709999999996</v>
      </c>
      <c r="E2556">
        <v>0.34222639999999999</v>
      </c>
      <c r="F2556" t="s">
        <v>63</v>
      </c>
      <c r="G2556">
        <v>-471.51580000000001</v>
      </c>
      <c r="H2556">
        <v>8.0000020000000005E-2</v>
      </c>
      <c r="I2556">
        <v>205.791</v>
      </c>
      <c r="J2556">
        <v>-492.53089999999997</v>
      </c>
      <c r="K2556">
        <v>1.1112070000000001</v>
      </c>
      <c r="L2556">
        <v>246.63550000000001</v>
      </c>
      <c r="M2556">
        <v>0.13078119999999999</v>
      </c>
      <c r="N2556">
        <v>0</v>
      </c>
      <c r="O2556">
        <v>-0.99131979999999997</v>
      </c>
      <c r="P2556">
        <v>7.8833120000000007E-2</v>
      </c>
      <c r="Q2556">
        <v>-4.5451270000000002E-2</v>
      </c>
      <c r="R2556">
        <v>-0.9958515</v>
      </c>
      <c r="S2556">
        <v>1.4856259999999999</v>
      </c>
      <c r="T2556">
        <v>-7.2849869999999997E-2</v>
      </c>
      <c r="U2556">
        <v>-2.8925169999999998</v>
      </c>
      <c r="V2556">
        <v>5.2173829999999997E-2</v>
      </c>
      <c r="W2556">
        <v>-3.186816E-2</v>
      </c>
      <c r="X2556">
        <v>0.99812940000000006</v>
      </c>
      <c r="Y2556">
        <v>-0.3364856</v>
      </c>
      <c r="Z2556">
        <v>2.2713190000000001E-2</v>
      </c>
      <c r="AA2556">
        <v>0.94141470000000005</v>
      </c>
      <c r="AB2556">
        <v>19</v>
      </c>
      <c r="AC2556">
        <v>21.015099999999901</v>
      </c>
      <c r="AD2556">
        <v>-1.0312069800000001</v>
      </c>
      <c r="AE2556">
        <v>-40.844499999999996</v>
      </c>
      <c r="AF2556">
        <v>-15.484592508240899</v>
      </c>
      <c r="AG2556">
        <v>-1.0312069800000001</v>
      </c>
      <c r="AH2556">
        <v>43.220479337886601</v>
      </c>
      <c r="AI2556">
        <v>91.286715601231705</v>
      </c>
      <c r="AJ2556">
        <v>109.71106850511801</v>
      </c>
      <c r="AK2556">
        <v>45.922171411841497</v>
      </c>
      <c r="AL2556">
        <v>91.826220281453104</v>
      </c>
      <c r="AM2556">
        <v>87.007780652241607</v>
      </c>
      <c r="AN2556">
        <v>0.99999999365150705</v>
      </c>
    </row>
    <row r="2557" spans="1:40" x14ac:dyDescent="0.25">
      <c r="A2557" t="str">
        <f>"20190312161317226"</f>
        <v>20190312161317226</v>
      </c>
      <c r="B2557" t="str">
        <f>"1552378397218491"</f>
        <v>1552378397218491</v>
      </c>
      <c r="C2557" t="s">
        <v>40</v>
      </c>
      <c r="D2557">
        <v>5.3088980000000001</v>
      </c>
      <c r="E2557">
        <v>0.34200069999999999</v>
      </c>
      <c r="F2557" t="s">
        <v>63</v>
      </c>
      <c r="G2557">
        <v>-471.28609999999998</v>
      </c>
      <c r="H2557">
        <v>8.0000039999999994E-2</v>
      </c>
      <c r="I2557">
        <v>205.39340000000001</v>
      </c>
      <c r="J2557">
        <v>-492.5154</v>
      </c>
      <c r="K2557">
        <v>1.1112070000000001</v>
      </c>
      <c r="L2557">
        <v>246.5273</v>
      </c>
      <c r="M2557">
        <v>0.13191420000000001</v>
      </c>
      <c r="N2557">
        <v>0</v>
      </c>
      <c r="O2557">
        <v>-0.99116950000000004</v>
      </c>
      <c r="P2557">
        <v>7.9565739999999996E-2</v>
      </c>
      <c r="Q2557">
        <v>-4.5886730000000001E-2</v>
      </c>
      <c r="R2557">
        <v>-0.99577280000000001</v>
      </c>
      <c r="S2557">
        <v>1.4893799999999999</v>
      </c>
      <c r="T2557">
        <v>-7.2293280000000001E-2</v>
      </c>
      <c r="U2557">
        <v>-2.8912960000000001</v>
      </c>
      <c r="V2557">
        <v>5.2578529999999998E-2</v>
      </c>
      <c r="W2557">
        <v>-3.2304569999999998E-2</v>
      </c>
      <c r="X2557">
        <v>0.99809409999999998</v>
      </c>
      <c r="Y2557">
        <v>-0.33653889999999997</v>
      </c>
      <c r="Z2557">
        <v>2.2536480000000001E-2</v>
      </c>
      <c r="AA2557">
        <v>0.94139989999999996</v>
      </c>
      <c r="AB2557">
        <v>19</v>
      </c>
      <c r="AC2557">
        <v>21.229299999999999</v>
      </c>
      <c r="AD2557">
        <v>-1.03120696</v>
      </c>
      <c r="AE2557">
        <v>-41.133899999999898</v>
      </c>
      <c r="AF2557">
        <v>-15.6093610233508</v>
      </c>
      <c r="AG2557">
        <v>-1.03120696</v>
      </c>
      <c r="AH2557">
        <v>43.553456381190102</v>
      </c>
      <c r="AI2557">
        <v>91.276830649099097</v>
      </c>
      <c r="AJ2557">
        <v>109.717448983895</v>
      </c>
      <c r="AK2557">
        <v>46.277630688053698</v>
      </c>
      <c r="AL2557">
        <v>91.851237677140603</v>
      </c>
      <c r="AM2557">
        <v>86.984506937355704</v>
      </c>
      <c r="AN2557">
        <v>0.99999995975732703</v>
      </c>
    </row>
    <row r="2558" spans="1:40" x14ac:dyDescent="0.25">
      <c r="A2558" t="str">
        <f>"20190312161317244"</f>
        <v>20190312161317244</v>
      </c>
      <c r="B2558" t="str">
        <f>"1552378397238009"</f>
        <v>1552378397238009</v>
      </c>
      <c r="C2558" t="s">
        <v>40</v>
      </c>
      <c r="D2558">
        <v>5.28477</v>
      </c>
      <c r="E2558">
        <v>0.34165279999999998</v>
      </c>
      <c r="F2558" t="s">
        <v>63</v>
      </c>
      <c r="G2558">
        <v>-470.89429999999999</v>
      </c>
      <c r="H2558">
        <v>8.0000050000000003E-2</v>
      </c>
      <c r="I2558">
        <v>204.68379999999999</v>
      </c>
      <c r="J2558">
        <v>-492.49340000000001</v>
      </c>
      <c r="K2558">
        <v>1.1112040000000001</v>
      </c>
      <c r="L2558">
        <v>246.37620000000001</v>
      </c>
      <c r="M2558">
        <v>0.13349810000000001</v>
      </c>
      <c r="N2558">
        <v>0</v>
      </c>
      <c r="O2558">
        <v>-0.99095759999999999</v>
      </c>
      <c r="P2558">
        <v>8.0338820000000005E-2</v>
      </c>
      <c r="Q2558">
        <v>-4.5933559999999998E-2</v>
      </c>
      <c r="R2558">
        <v>-0.99570899999999996</v>
      </c>
      <c r="S2558">
        <v>1.4933780000000001</v>
      </c>
      <c r="T2558">
        <v>-7.1225880000000005E-2</v>
      </c>
      <c r="U2558">
        <v>-2.8901520000000001</v>
      </c>
      <c r="V2558">
        <v>5.339795E-2</v>
      </c>
      <c r="W2558">
        <v>-3.2351959999999999E-2</v>
      </c>
      <c r="X2558">
        <v>0.99804910000000002</v>
      </c>
      <c r="Y2558">
        <v>-0.33621760000000001</v>
      </c>
      <c r="Z2558">
        <v>2.2199179999999999E-2</v>
      </c>
      <c r="AA2558">
        <v>0.94152270000000005</v>
      </c>
      <c r="AB2558">
        <v>19</v>
      </c>
      <c r="AC2558">
        <v>21.5991</v>
      </c>
      <c r="AD2558">
        <v>-1.0312039500000001</v>
      </c>
      <c r="AE2558">
        <v>-41.692399999999999</v>
      </c>
      <c r="AF2558">
        <v>-15.8317361850234</v>
      </c>
      <c r="AG2558">
        <v>-1.0312039500000001</v>
      </c>
      <c r="AH2558">
        <v>44.181537347720997</v>
      </c>
      <c r="AI2558">
        <v>91.258706199693194</v>
      </c>
      <c r="AJ2558">
        <v>109.71431593221</v>
      </c>
      <c r="AK2558">
        <v>46.943748195332098</v>
      </c>
      <c r="AL2558">
        <v>91.853954272942204</v>
      </c>
      <c r="AM2558">
        <v>86.937462372292202</v>
      </c>
      <c r="AN2558">
        <v>0.99999999819542695</v>
      </c>
    </row>
    <row r="2559" spans="1:40" x14ac:dyDescent="0.25">
      <c r="A2559" t="str">
        <f>"20190312161317256"</f>
        <v>20190312161317256</v>
      </c>
      <c r="B2559" t="str">
        <f>"1552378397247770"</f>
        <v>1552378397247770</v>
      </c>
      <c r="C2559" t="s">
        <v>40</v>
      </c>
      <c r="D2559">
        <v>5.2991609999999998</v>
      </c>
      <c r="E2559">
        <v>0.34148539999999999</v>
      </c>
      <c r="F2559" t="s">
        <v>41</v>
      </c>
      <c r="G2559">
        <v>-466.96260000000001</v>
      </c>
      <c r="H2559">
        <v>-0.05</v>
      </c>
      <c r="I2559">
        <v>197.13300000000001</v>
      </c>
      <c r="J2559">
        <v>-492.47809999999998</v>
      </c>
      <c r="K2559">
        <v>1.1112029999999999</v>
      </c>
      <c r="L2559">
        <v>246.2724</v>
      </c>
      <c r="M2559">
        <v>0.13458599999999901</v>
      </c>
      <c r="N2559">
        <v>0</v>
      </c>
      <c r="O2559">
        <v>-0.99081050000000004</v>
      </c>
      <c r="P2559">
        <v>8.1273780000000004E-2</v>
      </c>
      <c r="Q2559">
        <v>-4.5691000000000002E-2</v>
      </c>
      <c r="R2559">
        <v>-0.99564430000000004</v>
      </c>
      <c r="S2559">
        <v>1.497803</v>
      </c>
      <c r="T2559">
        <v>-6.8123939999999994E-2</v>
      </c>
      <c r="U2559">
        <v>-2.8889309999999999</v>
      </c>
      <c r="V2559">
        <v>5.3557189999999998E-2</v>
      </c>
      <c r="W2559">
        <v>-3.2110399999999997E-2</v>
      </c>
      <c r="X2559">
        <v>0.99804839999999995</v>
      </c>
      <c r="Y2559">
        <v>-0.33649289999999998</v>
      </c>
      <c r="Z2559">
        <v>2.1227909999999999E-2</v>
      </c>
      <c r="AA2559">
        <v>0.94144669999999997</v>
      </c>
      <c r="AB2559">
        <v>19</v>
      </c>
      <c r="AC2559">
        <v>25.5154999999999</v>
      </c>
      <c r="AD2559">
        <v>-1.161203</v>
      </c>
      <c r="AE2559">
        <v>-49.139400000000002</v>
      </c>
      <c r="AF2559">
        <v>-18.661033517528001</v>
      </c>
      <c r="AG2559">
        <v>-1.161203</v>
      </c>
      <c r="AH2559">
        <v>52.1036677595322</v>
      </c>
      <c r="AI2559">
        <v>91.201964658948299</v>
      </c>
      <c r="AJ2559">
        <v>109.705087288109</v>
      </c>
      <c r="AK2559">
        <v>55.356795051242202</v>
      </c>
      <c r="AL2559">
        <v>91.840106652007293</v>
      </c>
      <c r="AM2559">
        <v>86.928344778589405</v>
      </c>
      <c r="AN2559">
        <v>1.0000000295657001</v>
      </c>
    </row>
    <row r="2560" spans="1:40" x14ac:dyDescent="0.25">
      <c r="A2560" t="str">
        <f>"20190312161317269"</f>
        <v>20190312161317269</v>
      </c>
      <c r="B2560" t="str">
        <f>"1552378397258506"</f>
        <v>1552378397258506</v>
      </c>
      <c r="C2560" t="s">
        <v>40</v>
      </c>
      <c r="D2560">
        <v>5.2528839999999999</v>
      </c>
      <c r="E2560">
        <v>0.34135339999999997</v>
      </c>
      <c r="F2560" t="s">
        <v>41</v>
      </c>
      <c r="G2560">
        <v>-466.09440000000001</v>
      </c>
      <c r="H2560">
        <v>-0.05</v>
      </c>
      <c r="I2560">
        <v>195.5488</v>
      </c>
      <c r="J2560">
        <v>-492.46269999999998</v>
      </c>
      <c r="K2560">
        <v>1.1112029999999999</v>
      </c>
      <c r="L2560">
        <v>246.16800000000001</v>
      </c>
      <c r="M2560">
        <v>0.13568069999999999</v>
      </c>
      <c r="N2560">
        <v>0</v>
      </c>
      <c r="O2560">
        <v>-0.99066109999999996</v>
      </c>
      <c r="P2560">
        <v>8.2269610000000007E-2</v>
      </c>
      <c r="Q2560">
        <v>-4.5718780000000001E-2</v>
      </c>
      <c r="R2560">
        <v>-0.99556109999999998</v>
      </c>
      <c r="S2560">
        <v>1.5019229999999999</v>
      </c>
      <c r="T2560">
        <v>-6.6102739999999993E-2</v>
      </c>
      <c r="U2560">
        <v>-2.8874970000000002</v>
      </c>
      <c r="V2560">
        <v>5.3661380000000002E-2</v>
      </c>
      <c r="W2560">
        <v>-3.2139460000000002E-2</v>
      </c>
      <c r="X2560">
        <v>0.99804190000000004</v>
      </c>
      <c r="Y2560">
        <v>-0.33670749999999999</v>
      </c>
      <c r="Z2560">
        <v>2.0595530000000001E-2</v>
      </c>
      <c r="AA2560">
        <v>0.941384</v>
      </c>
      <c r="AB2560">
        <v>19</v>
      </c>
      <c r="AC2560">
        <v>26.368299999999898</v>
      </c>
      <c r="AD2560">
        <v>-1.161203</v>
      </c>
      <c r="AE2560">
        <v>-50.619199999999999</v>
      </c>
      <c r="AF2560">
        <v>-19.247779417276199</v>
      </c>
      <c r="AG2560">
        <v>-1.161203</v>
      </c>
      <c r="AH2560">
        <v>53.706782902056297</v>
      </c>
      <c r="AI2560">
        <v>91.166010049361901</v>
      </c>
      <c r="AJ2560">
        <v>109.71698788386399</v>
      </c>
      <c r="AK2560">
        <v>57.0635079064716</v>
      </c>
      <c r="AL2560">
        <v>91.841772468529498</v>
      </c>
      <c r="AM2560">
        <v>86.922360660635107</v>
      </c>
      <c r="AN2560">
        <v>1.0000000613741</v>
      </c>
    </row>
    <row r="2561" spans="1:40" x14ac:dyDescent="0.25">
      <c r="A2561" t="str">
        <f>"20190312161317280"</f>
        <v>20190312161317280</v>
      </c>
      <c r="B2561" t="str">
        <f>"1552378397278026"</f>
        <v>1552378397278026</v>
      </c>
      <c r="C2561" t="s">
        <v>40</v>
      </c>
      <c r="D2561">
        <v>5.2346890000000004</v>
      </c>
      <c r="E2561">
        <v>0.34109879999999998</v>
      </c>
      <c r="F2561" t="s">
        <v>41</v>
      </c>
      <c r="G2561">
        <v>-465.63900000000001</v>
      </c>
      <c r="H2561">
        <v>-0.05</v>
      </c>
      <c r="I2561">
        <v>194.7715</v>
      </c>
      <c r="J2561">
        <v>-492.44740000000002</v>
      </c>
      <c r="K2561">
        <v>1.111202</v>
      </c>
      <c r="L2561">
        <v>246.06610000000001</v>
      </c>
      <c r="M2561">
        <v>0.13674839999999999</v>
      </c>
      <c r="N2561">
        <v>0</v>
      </c>
      <c r="O2561">
        <v>-0.99051420000000001</v>
      </c>
      <c r="P2561">
        <v>8.3476510000000004E-2</v>
      </c>
      <c r="Q2561">
        <v>-4.538213E-2</v>
      </c>
      <c r="R2561">
        <v>-0.99547609999999997</v>
      </c>
      <c r="S2561">
        <v>1.506165</v>
      </c>
      <c r="T2561">
        <v>-6.5202239999999995E-2</v>
      </c>
      <c r="U2561">
        <v>-2.8859409999999999</v>
      </c>
      <c r="V2561">
        <v>5.3528430000000002E-2</v>
      </c>
      <c r="W2561">
        <v>-3.1804270000000003E-2</v>
      </c>
      <c r="X2561">
        <v>0.99805969999999999</v>
      </c>
      <c r="Y2561">
        <v>-0.33699119999999999</v>
      </c>
      <c r="Z2561">
        <v>2.0312650000000002E-2</v>
      </c>
      <c r="AA2561">
        <v>0.94128869999999998</v>
      </c>
      <c r="AB2561">
        <v>19</v>
      </c>
      <c r="AC2561">
        <v>26.808399999999999</v>
      </c>
      <c r="AD2561">
        <v>-1.1612020000000001</v>
      </c>
      <c r="AE2561">
        <v>-51.294600000000003</v>
      </c>
      <c r="AF2561">
        <v>-19.5335570607667</v>
      </c>
      <c r="AG2561">
        <v>-1.1612020000000001</v>
      </c>
      <c r="AH2561">
        <v>54.4570591890011</v>
      </c>
      <c r="AI2561">
        <v>91.149835557756504</v>
      </c>
      <c r="AJ2561">
        <v>109.732733032439</v>
      </c>
      <c r="AK2561">
        <v>57.866048223854001</v>
      </c>
      <c r="AL2561">
        <v>91.822557814087702</v>
      </c>
      <c r="AM2561">
        <v>86.9300257812761</v>
      </c>
      <c r="AN2561">
        <v>0.99999998458629302</v>
      </c>
    </row>
    <row r="2562" spans="1:40" x14ac:dyDescent="0.25">
      <c r="A2562" t="str">
        <f>"20190312161317292"</f>
        <v>20190312161317292</v>
      </c>
      <c r="B2562" t="str">
        <f>"1552378397287786"</f>
        <v>1552378397287786</v>
      </c>
      <c r="C2562" t="s">
        <v>40</v>
      </c>
      <c r="D2562">
        <v>5.25265</v>
      </c>
      <c r="E2562">
        <v>0.34096559999999998</v>
      </c>
      <c r="F2562" t="s">
        <v>41</v>
      </c>
      <c r="G2562">
        <v>-464.57440000000003</v>
      </c>
      <c r="H2562">
        <v>-0.05</v>
      </c>
      <c r="I2562">
        <v>192.8913</v>
      </c>
      <c r="J2562">
        <v>-492.43259999999998</v>
      </c>
      <c r="K2562">
        <v>1.1112010000000001</v>
      </c>
      <c r="L2562">
        <v>245.96719999999999</v>
      </c>
      <c r="M2562">
        <v>0.13778589999999999</v>
      </c>
      <c r="N2562">
        <v>0</v>
      </c>
      <c r="O2562">
        <v>-0.99037059999999999</v>
      </c>
      <c r="P2562">
        <v>8.4885139999999998E-2</v>
      </c>
      <c r="Q2562">
        <v>-4.5124780000000003E-2</v>
      </c>
      <c r="R2562">
        <v>-0.99536910000000001</v>
      </c>
      <c r="S2562">
        <v>1.511719</v>
      </c>
      <c r="T2562">
        <v>-6.2978859999999998E-2</v>
      </c>
      <c r="U2562">
        <v>-2.8839869999999999</v>
      </c>
      <c r="V2562">
        <v>5.3162540000000001E-2</v>
      </c>
      <c r="W2562">
        <v>-3.1548779999999998E-2</v>
      </c>
      <c r="X2562">
        <v>0.99808739999999996</v>
      </c>
      <c r="Y2562">
        <v>-0.337696</v>
      </c>
      <c r="Z2562">
        <v>1.96169E-2</v>
      </c>
      <c r="AA2562">
        <v>0.94105079999999997</v>
      </c>
      <c r="AB2562">
        <v>19</v>
      </c>
      <c r="AC2562">
        <v>27.858199999999901</v>
      </c>
      <c r="AD2562">
        <v>-1.1612009999999999</v>
      </c>
      <c r="AE2562">
        <v>-53.075899999999898</v>
      </c>
      <c r="AF2562">
        <v>-20.271061037197001</v>
      </c>
      <c r="AG2562">
        <v>-1.1612009999999999</v>
      </c>
      <c r="AH2562">
        <v>56.387226339070303</v>
      </c>
      <c r="AI2562">
        <v>91.110202315790701</v>
      </c>
      <c r="AJ2562">
        <v>109.773379099899</v>
      </c>
      <c r="AK2562">
        <v>59.931490867070202</v>
      </c>
      <c r="AL2562">
        <v>91.807911902092698</v>
      </c>
      <c r="AM2562">
        <v>86.951055113892807</v>
      </c>
      <c r="AN2562">
        <v>1.00000001960874</v>
      </c>
    </row>
    <row r="2563" spans="1:40" x14ac:dyDescent="0.25">
      <c r="A2563" t="str">
        <f>"20190312161317310"</f>
        <v>20190312161317310</v>
      </c>
      <c r="B2563" t="str">
        <f>"1552378397308283"</f>
        <v>1552378397308283</v>
      </c>
      <c r="C2563" t="s">
        <v>40</v>
      </c>
      <c r="D2563">
        <v>5.1680890000000002</v>
      </c>
      <c r="E2563">
        <v>0.34077170000000001</v>
      </c>
      <c r="F2563" t="s">
        <v>79</v>
      </c>
      <c r="G2563">
        <v>-466.83600000000001</v>
      </c>
      <c r="H2563">
        <v>7.0463659999999997E-2</v>
      </c>
      <c r="I2563">
        <v>197.345</v>
      </c>
      <c r="J2563">
        <v>-492.41039999999998</v>
      </c>
      <c r="K2563">
        <v>1.111197</v>
      </c>
      <c r="L2563">
        <v>245.8211</v>
      </c>
      <c r="M2563">
        <v>0.13931679999999999</v>
      </c>
      <c r="N2563">
        <v>0</v>
      </c>
      <c r="O2563">
        <v>-0.99015640000000005</v>
      </c>
      <c r="P2563">
        <v>8.6983309999999994E-2</v>
      </c>
      <c r="Q2563">
        <v>-4.5068740000000003E-2</v>
      </c>
      <c r="R2563">
        <v>-0.99519009999999997</v>
      </c>
      <c r="S2563">
        <v>1.51709</v>
      </c>
      <c r="T2563">
        <v>-6.1681390000000003E-2</v>
      </c>
      <c r="U2563">
        <v>-2.8817900000000001</v>
      </c>
      <c r="V2563">
        <v>5.2601729999999999E-2</v>
      </c>
      <c r="W2563">
        <v>-3.1495719999999998E-2</v>
      </c>
      <c r="X2563">
        <v>0.99811879999999997</v>
      </c>
      <c r="Y2563">
        <v>-0.33791389999999999</v>
      </c>
      <c r="Z2563">
        <v>1.9210939999999999E-2</v>
      </c>
      <c r="AA2563">
        <v>0.94098090000000001</v>
      </c>
      <c r="AB2563">
        <v>19</v>
      </c>
      <c r="AC2563">
        <v>25.574399999999901</v>
      </c>
      <c r="AD2563">
        <v>-1.0407333400000001</v>
      </c>
      <c r="AE2563">
        <v>-48.476100000000002</v>
      </c>
      <c r="AF2563">
        <v>-18.564109137012899</v>
      </c>
      <c r="AG2563">
        <v>-1.0407333400000001</v>
      </c>
      <c r="AH2563">
        <v>51.547948337374102</v>
      </c>
      <c r="AI2563">
        <v>91.088222642557497</v>
      </c>
      <c r="AJ2563">
        <v>109.80561410862001</v>
      </c>
      <c r="AK2563">
        <v>54.7987249096957</v>
      </c>
      <c r="AL2563">
        <v>91.804870256630196</v>
      </c>
      <c r="AM2563">
        <v>86.983253342249697</v>
      </c>
      <c r="AN2563">
        <v>1.00000003064537</v>
      </c>
    </row>
    <row r="2564" spans="1:40" x14ac:dyDescent="0.25">
      <c r="A2564" t="str">
        <f>"20190312161317321"</f>
        <v>20190312161317321</v>
      </c>
      <c r="B2564" t="str">
        <f>"1552378397318042"</f>
        <v>1552378397318042</v>
      </c>
      <c r="C2564" t="s">
        <v>40</v>
      </c>
      <c r="D2564">
        <v>5.2683619999999998</v>
      </c>
      <c r="E2564">
        <v>0.34106300000000001</v>
      </c>
      <c r="F2564" t="s">
        <v>79</v>
      </c>
      <c r="G2564">
        <v>-466.73809999999997</v>
      </c>
      <c r="H2564">
        <v>0.1017218</v>
      </c>
      <c r="I2564">
        <v>197.345</v>
      </c>
      <c r="J2564">
        <v>-492.39569999999998</v>
      </c>
      <c r="K2564">
        <v>1.111192</v>
      </c>
      <c r="L2564">
        <v>245.72499999999999</v>
      </c>
      <c r="M2564">
        <v>0.14032430000000001</v>
      </c>
      <c r="N2564">
        <v>0</v>
      </c>
      <c r="O2564">
        <v>-0.99001410000000001</v>
      </c>
      <c r="P2564">
        <v>8.8197540000000005E-2</v>
      </c>
      <c r="Q2564">
        <v>-4.51048E-2</v>
      </c>
      <c r="R2564">
        <v>-0.9950814</v>
      </c>
      <c r="S2564">
        <v>1.5244450000000001</v>
      </c>
      <c r="T2564">
        <v>-5.9941050000000003E-2</v>
      </c>
      <c r="U2564">
        <v>-2.8785400000000001</v>
      </c>
      <c r="V2564">
        <v>5.2399370000000001E-2</v>
      </c>
      <c r="W2564">
        <v>-3.1533449999999998E-2</v>
      </c>
      <c r="X2564">
        <v>0.99812820000000002</v>
      </c>
      <c r="Y2564">
        <v>-0.33927819999999997</v>
      </c>
      <c r="Z2564">
        <v>1.8668420000000002E-2</v>
      </c>
      <c r="AA2564">
        <v>0.94050089999999997</v>
      </c>
      <c r="AB2564">
        <v>19</v>
      </c>
      <c r="AC2564">
        <v>25.657599999999999</v>
      </c>
      <c r="AD2564">
        <v>-1.0094702</v>
      </c>
      <c r="AE2564">
        <v>-48.38</v>
      </c>
      <c r="AF2564">
        <v>-18.607859507765198</v>
      </c>
      <c r="AG2564">
        <v>-1.0094702</v>
      </c>
      <c r="AH2564">
        <v>51.484438235741699</v>
      </c>
      <c r="AI2564">
        <v>91.056405870492895</v>
      </c>
      <c r="AJ2564">
        <v>109.871217523327</v>
      </c>
      <c r="AK2564">
        <v>54.753254204616198</v>
      </c>
      <c r="AL2564">
        <v>91.807033195717395</v>
      </c>
      <c r="AM2564">
        <v>86.994865768197599</v>
      </c>
      <c r="AN2564">
        <v>0.99999997804026897</v>
      </c>
    </row>
    <row r="2565" spans="1:40" x14ac:dyDescent="0.25">
      <c r="A2565" t="str">
        <f>"20190312161317333"</f>
        <v>20190312161317333</v>
      </c>
      <c r="B2565" t="str">
        <f>"1552378397327803"</f>
        <v>1552378397327803</v>
      </c>
      <c r="C2565" t="s">
        <v>40</v>
      </c>
      <c r="D2565">
        <v>5.2417099999999897</v>
      </c>
      <c r="E2565">
        <v>0.34113670000000001</v>
      </c>
      <c r="F2565" t="s">
        <v>79</v>
      </c>
      <c r="G2565">
        <v>-466.74650000000003</v>
      </c>
      <c r="H2565">
        <v>7.8582760000000001E-2</v>
      </c>
      <c r="I2565">
        <v>197.345</v>
      </c>
      <c r="J2565">
        <v>-492.38080000000002</v>
      </c>
      <c r="K2565">
        <v>1.1111899999999999</v>
      </c>
      <c r="L2565">
        <v>245.6283</v>
      </c>
      <c r="M2565">
        <v>0.1413391</v>
      </c>
      <c r="N2565">
        <v>0</v>
      </c>
      <c r="O2565">
        <v>-0.98986969999999996</v>
      </c>
      <c r="P2565">
        <v>8.9469090000000001E-2</v>
      </c>
      <c r="Q2565">
        <v>-4.5286510000000002E-2</v>
      </c>
      <c r="R2565">
        <v>-0.99495979999999995</v>
      </c>
      <c r="S2565">
        <v>1.5252079999999999</v>
      </c>
      <c r="T2565">
        <v>-6.1400650000000001E-2</v>
      </c>
      <c r="U2565">
        <v>-2.876862</v>
      </c>
      <c r="V2565">
        <v>5.2146400000000002E-2</v>
      </c>
      <c r="W2565">
        <v>-3.1717019999999999E-2</v>
      </c>
      <c r="X2565">
        <v>0.99813560000000001</v>
      </c>
      <c r="Y2565">
        <v>-0.33873130000000001</v>
      </c>
      <c r="Z2565">
        <v>1.912929E-2</v>
      </c>
      <c r="AA2565">
        <v>0.94068870000000004</v>
      </c>
      <c r="AB2565">
        <v>19</v>
      </c>
      <c r="AC2565">
        <v>25.6343</v>
      </c>
      <c r="AD2565">
        <v>-1.0326072399999999</v>
      </c>
      <c r="AE2565">
        <v>-48.283299999999997</v>
      </c>
      <c r="AF2565">
        <v>-18.545362800799801</v>
      </c>
      <c r="AG2565">
        <v>-1.0326072399999999</v>
      </c>
      <c r="AH2565">
        <v>51.403623406947801</v>
      </c>
      <c r="AI2565">
        <v>91.082535359778007</v>
      </c>
      <c r="AJ2565">
        <v>109.838393868897</v>
      </c>
      <c r="AK2565">
        <v>54.656465843381298</v>
      </c>
      <c r="AL2565">
        <v>91.817556303779199</v>
      </c>
      <c r="AM2565">
        <v>87.009369475542698</v>
      </c>
      <c r="AN2565">
        <v>0.99999994618899801</v>
      </c>
    </row>
    <row r="2566" spans="1:40" x14ac:dyDescent="0.25">
      <c r="A2566" t="str">
        <f>"20190312161317346"</f>
        <v>20190312161317346</v>
      </c>
      <c r="B2566" t="str">
        <f>"1552378397338539"</f>
        <v>1552378397338539</v>
      </c>
      <c r="C2566" t="s">
        <v>40</v>
      </c>
      <c r="D2566">
        <v>5.226877</v>
      </c>
      <c r="E2566">
        <v>0.34118969999999998</v>
      </c>
      <c r="F2566" t="s">
        <v>79</v>
      </c>
      <c r="G2566">
        <v>-466.7158</v>
      </c>
      <c r="H2566">
        <v>7.8860280000000005E-2</v>
      </c>
      <c r="I2566">
        <v>197.345</v>
      </c>
      <c r="J2566">
        <v>-492.36399999999998</v>
      </c>
      <c r="K2566">
        <v>1.1111899999999999</v>
      </c>
      <c r="L2566">
        <v>245.51949999999999</v>
      </c>
      <c r="M2566">
        <v>0.14247939999999901</v>
      </c>
      <c r="N2566">
        <v>0</v>
      </c>
      <c r="O2566">
        <v>-0.98970599999999997</v>
      </c>
      <c r="P2566">
        <v>9.0769150000000007E-2</v>
      </c>
      <c r="Q2566">
        <v>-4.5289780000000002E-2</v>
      </c>
      <c r="R2566">
        <v>-0.99484159999999999</v>
      </c>
      <c r="S2566">
        <v>1.5281979999999999</v>
      </c>
      <c r="T2566">
        <v>-6.1466569999999998E-2</v>
      </c>
      <c r="U2566">
        <v>-2.8749690000000001</v>
      </c>
      <c r="V2566">
        <v>5.199194E-2</v>
      </c>
      <c r="W2566">
        <v>-3.1722069999999998E-2</v>
      </c>
      <c r="X2566">
        <v>0.99814360000000002</v>
      </c>
      <c r="Y2566">
        <v>-0.33866659999999998</v>
      </c>
      <c r="Z2566">
        <v>1.9151979999999999E-2</v>
      </c>
      <c r="AA2566">
        <v>0.94071150000000003</v>
      </c>
      <c r="AB2566">
        <v>19</v>
      </c>
      <c r="AC2566">
        <v>25.648199999999999</v>
      </c>
      <c r="AD2566">
        <v>-1.0323297199999999</v>
      </c>
      <c r="AE2566">
        <v>-48.174500000000002</v>
      </c>
      <c r="AF2566">
        <v>-18.515361418635099</v>
      </c>
      <c r="AG2566">
        <v>-1.0323297199999999</v>
      </c>
      <c r="AH2566">
        <v>51.319233617246901</v>
      </c>
      <c r="AI2566">
        <v>91.084020720309994</v>
      </c>
      <c r="AJ2566">
        <v>109.838833181827</v>
      </c>
      <c r="AK2566">
        <v>54.566913529858397</v>
      </c>
      <c r="AL2566">
        <v>91.817845606400795</v>
      </c>
      <c r="AM2566">
        <v>87.0182357046845</v>
      </c>
      <c r="AN2566">
        <v>1.0000000488855001</v>
      </c>
    </row>
    <row r="2567" spans="1:40" x14ac:dyDescent="0.25">
      <c r="A2567" t="str">
        <f>"20190312161317481"</f>
        <v>20190312161317481</v>
      </c>
      <c r="B2567" t="str">
        <f>"1552378397478106"</f>
        <v>1552378397478106</v>
      </c>
      <c r="C2567" t="s">
        <v>40</v>
      </c>
      <c r="D2567">
        <v>5.0870829999999998</v>
      </c>
      <c r="E2567">
        <v>0.34149040000000003</v>
      </c>
      <c r="F2567" t="s">
        <v>79</v>
      </c>
      <c r="G2567">
        <v>-466.678</v>
      </c>
      <c r="H2567">
        <v>7.6980590000000002E-2</v>
      </c>
      <c r="I2567">
        <v>197.345</v>
      </c>
      <c r="J2567">
        <v>-492.18239999999997</v>
      </c>
      <c r="K2567">
        <v>1.111162</v>
      </c>
      <c r="L2567">
        <v>244.39859999999999</v>
      </c>
      <c r="M2567">
        <v>0.15423889999999901</v>
      </c>
      <c r="N2567">
        <v>0</v>
      </c>
      <c r="O2567">
        <v>-0.98794199999999999</v>
      </c>
      <c r="P2567">
        <v>0.10188750000000001</v>
      </c>
      <c r="Q2567">
        <v>-4.557713E-2</v>
      </c>
      <c r="R2567">
        <v>-0.99375170000000002</v>
      </c>
      <c r="S2567">
        <v>1.53183</v>
      </c>
      <c r="T2567">
        <v>-6.1674710000000001E-2</v>
      </c>
      <c r="U2567">
        <v>-2.8729710000000002</v>
      </c>
      <c r="V2567">
        <v>5.2697819999999999E-2</v>
      </c>
      <c r="W2567">
        <v>-3.2023309999999999E-2</v>
      </c>
      <c r="X2567">
        <v>0.99809689999999995</v>
      </c>
      <c r="Y2567">
        <v>-0.3286557</v>
      </c>
      <c r="Z2567">
        <v>1.9206640000000001E-2</v>
      </c>
      <c r="AA2567">
        <v>0.9442545</v>
      </c>
      <c r="AB2567">
        <v>19</v>
      </c>
      <c r="AC2567">
        <v>25.504399999999901</v>
      </c>
      <c r="AD2567">
        <v>-1.03418141</v>
      </c>
      <c r="AE2567">
        <v>-47.053599999999904</v>
      </c>
      <c r="AF2567">
        <v>-17.934299698509999</v>
      </c>
      <c r="AG2567">
        <v>-1.03418141</v>
      </c>
      <c r="AH2567">
        <v>50.405740959445197</v>
      </c>
      <c r="AI2567">
        <v>91.107393058463202</v>
      </c>
      <c r="AJ2567">
        <v>109.58549513381</v>
      </c>
      <c r="AK2567">
        <v>53.511189096631597</v>
      </c>
      <c r="AL2567">
        <v>91.835114272992996</v>
      </c>
      <c r="AM2567">
        <v>86.977686529011393</v>
      </c>
      <c r="AN2567">
        <v>0.99999998720285899</v>
      </c>
    </row>
    <row r="2568" spans="1:40" x14ac:dyDescent="0.25">
      <c r="A2568" t="str">
        <f>"20190312161317493"</f>
        <v>20190312161317493</v>
      </c>
      <c r="B2568" t="str">
        <f>"1552378397487866"</f>
        <v>1552378397487866</v>
      </c>
      <c r="C2568" t="s">
        <v>40</v>
      </c>
      <c r="D2568">
        <v>5.1094099999999996</v>
      </c>
      <c r="E2568">
        <v>0.34149040000000003</v>
      </c>
      <c r="F2568" t="s">
        <v>41</v>
      </c>
      <c r="G2568">
        <v>-464.762</v>
      </c>
      <c r="H2568">
        <v>-0.05</v>
      </c>
      <c r="I2568">
        <v>194.25909999999999</v>
      </c>
      <c r="J2568">
        <v>-492.16640000000001</v>
      </c>
      <c r="K2568">
        <v>1.111165</v>
      </c>
      <c r="L2568">
        <v>244.30359999999999</v>
      </c>
      <c r="M2568">
        <v>0.1552356</v>
      </c>
      <c r="N2568">
        <v>0</v>
      </c>
      <c r="O2568">
        <v>-0.98778589999999999</v>
      </c>
      <c r="P2568">
        <v>0.10282620000000001</v>
      </c>
      <c r="Q2568">
        <v>-4.5694940000000003E-2</v>
      </c>
      <c r="R2568">
        <v>-0.99364909999999995</v>
      </c>
      <c r="S2568">
        <v>1.5617369999999999</v>
      </c>
      <c r="T2568">
        <v>-6.6134100000000001E-2</v>
      </c>
      <c r="U2568">
        <v>-2.8556979999999998</v>
      </c>
      <c r="V2568">
        <v>5.2761250000000003E-2</v>
      </c>
      <c r="W2568">
        <v>-3.2142339999999998E-2</v>
      </c>
      <c r="X2568">
        <v>0.99808969999999997</v>
      </c>
      <c r="Y2568">
        <v>-0.33768789999999999</v>
      </c>
      <c r="Z2568">
        <v>2.0616880000000001E-2</v>
      </c>
      <c r="AA2568">
        <v>0.94103239999999999</v>
      </c>
      <c r="AB2568">
        <v>19</v>
      </c>
      <c r="AC2568">
        <v>27.404399999999999</v>
      </c>
      <c r="AD2568">
        <v>-1.161165</v>
      </c>
      <c r="AE2568">
        <v>-50.044499999999999</v>
      </c>
      <c r="AF2568">
        <v>-19.294746914835802</v>
      </c>
      <c r="AG2568">
        <v>-1.161165</v>
      </c>
      <c r="AH2568">
        <v>53.670018885185897</v>
      </c>
      <c r="AI2568">
        <v>91.166354808429404</v>
      </c>
      <c r="AJ2568">
        <v>109.77386585601</v>
      </c>
      <c r="AK2568">
        <v>57.044776183284299</v>
      </c>
      <c r="AL2568">
        <v>91.841937744373098</v>
      </c>
      <c r="AM2568">
        <v>86.974033674584007</v>
      </c>
      <c r="AN2568">
        <v>0.99999996438416305</v>
      </c>
    </row>
    <row r="2569" spans="1:40" x14ac:dyDescent="0.25">
      <c r="A2569" t="str">
        <f>"20190312161317512"</f>
        <v>20190312161317512</v>
      </c>
      <c r="B2569" t="str">
        <f>"1552378397508362"</f>
        <v>1552378397508362</v>
      </c>
      <c r="C2569" t="s">
        <v>40</v>
      </c>
      <c r="D2569">
        <v>5.0974870000000001</v>
      </c>
      <c r="E2569">
        <v>0.34146310000000002</v>
      </c>
      <c r="F2569" t="s">
        <v>41</v>
      </c>
      <c r="G2569">
        <v>-464.7303</v>
      </c>
      <c r="H2569">
        <v>-0.05</v>
      </c>
      <c r="I2569">
        <v>194.2432</v>
      </c>
      <c r="J2569">
        <v>-492.13929999999999</v>
      </c>
      <c r="K2569">
        <v>1.1111610000000001</v>
      </c>
      <c r="L2569">
        <v>244.14359999999999</v>
      </c>
      <c r="M2569">
        <v>0.15691579999999999</v>
      </c>
      <c r="N2569">
        <v>0</v>
      </c>
      <c r="O2569">
        <v>-0.98752059999999997</v>
      </c>
      <c r="P2569">
        <v>0.1042106</v>
      </c>
      <c r="Q2569">
        <v>-4.6019419999999998E-2</v>
      </c>
      <c r="R2569">
        <v>-0.99349019999999999</v>
      </c>
      <c r="S2569">
        <v>1.5643009999999999</v>
      </c>
      <c r="T2569">
        <v>-6.6205020000000003E-2</v>
      </c>
      <c r="U2569">
        <v>-2.8542480000000001</v>
      </c>
      <c r="V2569">
        <v>5.3066559999999999E-2</v>
      </c>
      <c r="W2569">
        <v>-3.2468610000000002E-2</v>
      </c>
      <c r="X2569">
        <v>0.99806300000000003</v>
      </c>
      <c r="Y2569">
        <v>-0.33693779999999901</v>
      </c>
      <c r="Z2569">
        <v>2.0638480000000001E-2</v>
      </c>
      <c r="AA2569">
        <v>0.94130069999999999</v>
      </c>
      <c r="AB2569">
        <v>19</v>
      </c>
      <c r="AC2569">
        <v>27.408999999999899</v>
      </c>
      <c r="AD2569">
        <v>-1.1611610000000001</v>
      </c>
      <c r="AE2569">
        <v>-49.900399999999898</v>
      </c>
      <c r="AF2569">
        <v>-19.2305278769282</v>
      </c>
      <c r="AG2569">
        <v>-1.1611610000000001</v>
      </c>
      <c r="AH2569">
        <v>53.561134142484498</v>
      </c>
      <c r="AI2569">
        <v>91.168895276906596</v>
      </c>
      <c r="AJ2569">
        <v>109.750109677341</v>
      </c>
      <c r="AK2569">
        <v>56.920616545522897</v>
      </c>
      <c r="AL2569">
        <v>91.860641314496505</v>
      </c>
      <c r="AM2569">
        <v>86.956475076859803</v>
      </c>
      <c r="AN2569">
        <v>1.00000001119728</v>
      </c>
    </row>
    <row r="2570" spans="1:40" x14ac:dyDescent="0.25">
      <c r="A2570" t="str">
        <f>"20190312161317523"</f>
        <v>20190312161317523</v>
      </c>
      <c r="B2570" t="str">
        <f>"1552378397518123"</f>
        <v>1552378397518123</v>
      </c>
      <c r="C2570" t="s">
        <v>40</v>
      </c>
      <c r="D2570">
        <v>5.1104820000000002</v>
      </c>
      <c r="E2570">
        <v>0.34143109999999999</v>
      </c>
      <c r="F2570" t="s">
        <v>41</v>
      </c>
      <c r="G2570">
        <v>-464.80650000000003</v>
      </c>
      <c r="H2570">
        <v>-0.05</v>
      </c>
      <c r="I2570">
        <v>194.43790000000001</v>
      </c>
      <c r="J2570">
        <v>-492.12299999999999</v>
      </c>
      <c r="K2570">
        <v>1.1111629999999999</v>
      </c>
      <c r="L2570">
        <v>244.04900000000001</v>
      </c>
      <c r="M2570">
        <v>0.15790799999999999</v>
      </c>
      <c r="N2570">
        <v>0</v>
      </c>
      <c r="O2570">
        <v>-0.98736230000000003</v>
      </c>
      <c r="P2570">
        <v>0.1049219</v>
      </c>
      <c r="Q2570">
        <v>-4.6177089999999997E-2</v>
      </c>
      <c r="R2570">
        <v>-0.99340799999999996</v>
      </c>
      <c r="S2570">
        <v>1.5683290000000001</v>
      </c>
      <c r="T2570">
        <v>-6.6626309999999994E-2</v>
      </c>
      <c r="U2570">
        <v>-2.8520660000000002</v>
      </c>
      <c r="V2570">
        <v>5.3353820000000003E-2</v>
      </c>
      <c r="W2570">
        <v>-3.262719E-2</v>
      </c>
      <c r="X2570">
        <v>0.99804250000000005</v>
      </c>
      <c r="Y2570">
        <v>-0.33731519999999998</v>
      </c>
      <c r="Z2570">
        <v>2.0770540000000001E-2</v>
      </c>
      <c r="AA2570">
        <v>0.94116259999999996</v>
      </c>
      <c r="AB2570">
        <v>19</v>
      </c>
      <c r="AC2570">
        <v>27.316500000000001</v>
      </c>
      <c r="AD2570">
        <v>-1.1611629999999999</v>
      </c>
      <c r="AE2570">
        <v>-49.611099999999901</v>
      </c>
      <c r="AF2570">
        <v>-19.1309804890052</v>
      </c>
      <c r="AG2570">
        <v>-1.1611629999999999</v>
      </c>
      <c r="AH2570">
        <v>53.2800441191998</v>
      </c>
      <c r="AI2570">
        <v>91.175052686427705</v>
      </c>
      <c r="AJ2570">
        <v>109.751419314375</v>
      </c>
      <c r="AK2570">
        <v>56.622485068452697</v>
      </c>
      <c r="AL2570">
        <v>91.869732120832495</v>
      </c>
      <c r="AM2570">
        <v>86.939968355019801</v>
      </c>
      <c r="AN2570">
        <v>0.99999999772106896</v>
      </c>
    </row>
    <row r="2571" spans="1:40" x14ac:dyDescent="0.25">
      <c r="A2571" t="str">
        <f>"20190312161317536"</f>
        <v>20190312161317536</v>
      </c>
      <c r="B2571" t="str">
        <f>"1552378397527883"</f>
        <v>1552378397527883</v>
      </c>
      <c r="C2571" t="s">
        <v>40</v>
      </c>
      <c r="D2571">
        <v>5.1989159999999996</v>
      </c>
      <c r="E2571">
        <v>0.34150700000000001</v>
      </c>
      <c r="F2571" t="s">
        <v>41</v>
      </c>
      <c r="G2571">
        <v>-464.83839999999998</v>
      </c>
      <c r="H2571">
        <v>-0.05</v>
      </c>
      <c r="I2571">
        <v>194.54320000000001</v>
      </c>
      <c r="J2571">
        <v>-492.1053</v>
      </c>
      <c r="K2571">
        <v>1.1111610000000001</v>
      </c>
      <c r="L2571">
        <v>243.94579999999999</v>
      </c>
      <c r="M2571">
        <v>0.15899250000000001</v>
      </c>
      <c r="N2571">
        <v>0</v>
      </c>
      <c r="O2571">
        <v>-0.98718810000000001</v>
      </c>
      <c r="P2571">
        <v>0.1058275</v>
      </c>
      <c r="Q2571">
        <v>-4.5941080000000002E-2</v>
      </c>
      <c r="R2571">
        <v>-0.9933227</v>
      </c>
      <c r="S2571">
        <v>1.5711980000000001</v>
      </c>
      <c r="T2571">
        <v>-6.6866040000000002E-2</v>
      </c>
      <c r="U2571">
        <v>-2.8508149999999999</v>
      </c>
      <c r="V2571">
        <v>5.35413E-2</v>
      </c>
      <c r="W2571">
        <v>-3.2392160000000003E-2</v>
      </c>
      <c r="X2571">
        <v>0.99804009999999999</v>
      </c>
      <c r="Y2571">
        <v>-0.33718150000000002</v>
      </c>
      <c r="Z2571">
        <v>2.0843469999999999E-2</v>
      </c>
      <c r="AA2571">
        <v>0.94120890000000001</v>
      </c>
      <c r="AB2571">
        <v>19</v>
      </c>
      <c r="AC2571">
        <v>27.2669</v>
      </c>
      <c r="AD2571">
        <v>-1.1611610000000001</v>
      </c>
      <c r="AE2571">
        <v>-49.4025999999999</v>
      </c>
      <c r="AF2571">
        <v>-19.056572704051799</v>
      </c>
      <c r="AG2571">
        <v>-1.1611610000000001</v>
      </c>
      <c r="AH2571">
        <v>53.087219565854298</v>
      </c>
      <c r="AI2571">
        <v>91.179354029110101</v>
      </c>
      <c r="AJ2571">
        <v>109.746475295268</v>
      </c>
      <c r="AK2571">
        <v>56.415903248339099</v>
      </c>
      <c r="AL2571">
        <v>91.856258801132498</v>
      </c>
      <c r="AM2571">
        <v>86.929228881946003</v>
      </c>
      <c r="AN2571">
        <v>0.99999998202158202</v>
      </c>
    </row>
    <row r="2572" spans="1:40" x14ac:dyDescent="0.25">
      <c r="A2572" t="str">
        <f>"20190312161317550"</f>
        <v>20190312161317550</v>
      </c>
      <c r="B2572" t="str">
        <f>"1552378397538618"</f>
        <v>1552378397538618</v>
      </c>
      <c r="C2572" t="s">
        <v>40</v>
      </c>
      <c r="D2572">
        <v>5.2067050000000004</v>
      </c>
      <c r="E2572">
        <v>0.34158559999999999</v>
      </c>
      <c r="F2572" t="s">
        <v>41</v>
      </c>
      <c r="G2572">
        <v>-464.45620000000002</v>
      </c>
      <c r="H2572">
        <v>-0.05</v>
      </c>
      <c r="I2572">
        <v>193.86199999999999</v>
      </c>
      <c r="J2572">
        <v>-492.08609999999999</v>
      </c>
      <c r="K2572">
        <v>1.1111599999999999</v>
      </c>
      <c r="L2572">
        <v>243.83529999999999</v>
      </c>
      <c r="M2572">
        <v>0.16015170000000001</v>
      </c>
      <c r="N2572">
        <v>0</v>
      </c>
      <c r="O2572">
        <v>-0.98700109999999996</v>
      </c>
      <c r="P2572">
        <v>0.1072603</v>
      </c>
      <c r="Q2572">
        <v>-4.6119210000000001E-2</v>
      </c>
      <c r="R2572">
        <v>-0.99316099999999996</v>
      </c>
      <c r="S2572">
        <v>1.5730900000000001</v>
      </c>
      <c r="T2572">
        <v>-6.6063999999999998E-2</v>
      </c>
      <c r="U2572">
        <v>-2.8495029999999999</v>
      </c>
      <c r="V2572">
        <v>5.3272670000000001E-2</v>
      </c>
      <c r="W2572">
        <v>-3.2572320000000002E-2</v>
      </c>
      <c r="X2572">
        <v>0.99804859999999895</v>
      </c>
      <c r="Y2572">
        <v>-0.3367407</v>
      </c>
      <c r="Z2572">
        <v>2.0594540000000001E-2</v>
      </c>
      <c r="AA2572">
        <v>0.94137219999999999</v>
      </c>
      <c r="AB2572">
        <v>19</v>
      </c>
      <c r="AC2572">
        <v>27.6298999999999</v>
      </c>
      <c r="AD2572">
        <v>-1.16116</v>
      </c>
      <c r="AE2572">
        <v>-49.973300000000002</v>
      </c>
      <c r="AF2572">
        <v>-19.261205202318902</v>
      </c>
      <c r="AG2572">
        <v>-1.16116</v>
      </c>
      <c r="AH2572">
        <v>53.731305098313797</v>
      </c>
      <c r="AI2572">
        <v>91.165402960683906</v>
      </c>
      <c r="AJ2572">
        <v>109.72136991783201</v>
      </c>
      <c r="AK2572">
        <v>57.0911154730709</v>
      </c>
      <c r="AL2572">
        <v>91.866586680024099</v>
      </c>
      <c r="AM2572">
        <v>86.944632410268298</v>
      </c>
      <c r="AN2572">
        <v>0.99999997068053503</v>
      </c>
    </row>
    <row r="2573" spans="1:40" x14ac:dyDescent="0.25">
      <c r="A2573" t="str">
        <f>"20190312161317570"</f>
        <v>20190312161317570</v>
      </c>
      <c r="B2573" t="str">
        <f>"1552378397558138"</f>
        <v>1552378397558138</v>
      </c>
      <c r="C2573" t="s">
        <v>40</v>
      </c>
      <c r="D2573">
        <v>5.2724630000000001</v>
      </c>
      <c r="E2573">
        <v>0.34176230000000002</v>
      </c>
      <c r="F2573" t="s">
        <v>41</v>
      </c>
      <c r="G2573">
        <v>-464.82619999999997</v>
      </c>
      <c r="H2573">
        <v>-0.05</v>
      </c>
      <c r="I2573">
        <v>194.59460000000001</v>
      </c>
      <c r="J2573">
        <v>-492.0566</v>
      </c>
      <c r="K2573">
        <v>1.111162</v>
      </c>
      <c r="L2573">
        <v>243.6671</v>
      </c>
      <c r="M2573">
        <v>0.16191800000000001</v>
      </c>
      <c r="N2573">
        <v>0</v>
      </c>
      <c r="O2573">
        <v>-0.98671279999999995</v>
      </c>
      <c r="P2573">
        <v>0.109296</v>
      </c>
      <c r="Q2573">
        <v>-4.5774809999999999E-2</v>
      </c>
      <c r="R2573">
        <v>-0.99295520000000004</v>
      </c>
      <c r="S2573">
        <v>1.576263</v>
      </c>
      <c r="T2573">
        <v>-6.7142370000000007E-2</v>
      </c>
      <c r="U2573">
        <v>-2.8472749999999998</v>
      </c>
      <c r="V2573">
        <v>5.3014829999999999E-2</v>
      </c>
      <c r="W2573">
        <v>-3.2230420000000003E-2</v>
      </c>
      <c r="X2573">
        <v>0.99807349999999995</v>
      </c>
      <c r="Y2573">
        <v>-0.3361672</v>
      </c>
      <c r="Z2573">
        <v>2.0932559999999999E-2</v>
      </c>
      <c r="AA2573">
        <v>0.94156969999999995</v>
      </c>
      <c r="AB2573">
        <v>19</v>
      </c>
      <c r="AC2573">
        <v>27.230399999999999</v>
      </c>
      <c r="AD2573">
        <v>-1.161162</v>
      </c>
      <c r="AE2573">
        <v>-49.072499999999899</v>
      </c>
      <c r="AF2573">
        <v>-18.916472507576099</v>
      </c>
      <c r="AG2573">
        <v>-1.161162</v>
      </c>
      <c r="AH2573">
        <v>52.811714083784203</v>
      </c>
      <c r="AI2573">
        <v>91.185799512534203</v>
      </c>
      <c r="AJ2573">
        <v>109.706866905493</v>
      </c>
      <c r="AK2573">
        <v>56.1093430168943</v>
      </c>
      <c r="AL2573">
        <v>91.846986829886006</v>
      </c>
      <c r="AM2573">
        <v>86.959468303853896</v>
      </c>
      <c r="AN2573">
        <v>1.0000000417877699</v>
      </c>
    </row>
    <row r="2574" spans="1:40" x14ac:dyDescent="0.25">
      <c r="A2574" t="str">
        <f>"20190312161317591"</f>
        <v>20190312161317591</v>
      </c>
      <c r="B2574" t="str">
        <f>"1552378397588395"</f>
        <v>1552378397588395</v>
      </c>
      <c r="C2574" t="s">
        <v>40</v>
      </c>
      <c r="D2574">
        <v>5.2402829999999998</v>
      </c>
      <c r="E2574">
        <v>0.34205839999999998</v>
      </c>
      <c r="F2574" t="s">
        <v>41</v>
      </c>
      <c r="G2574">
        <v>-465.67720000000003</v>
      </c>
      <c r="H2574">
        <v>-0.05</v>
      </c>
      <c r="I2574">
        <v>196.19990000000001</v>
      </c>
      <c r="J2574">
        <v>-492.02690000000001</v>
      </c>
      <c r="K2574">
        <v>1.1111530000000001</v>
      </c>
      <c r="L2574">
        <v>243.499</v>
      </c>
      <c r="M2574">
        <v>0.163684</v>
      </c>
      <c r="N2574">
        <v>0</v>
      </c>
      <c r="O2574">
        <v>-0.9864212</v>
      </c>
      <c r="P2574">
        <v>0.11150160000000001</v>
      </c>
      <c r="Q2574">
        <v>-4.5858370000000002E-2</v>
      </c>
      <c r="R2574">
        <v>-0.99270550000000002</v>
      </c>
      <c r="S2574">
        <v>1.580597</v>
      </c>
      <c r="T2574">
        <v>-6.9574239999999996E-2</v>
      </c>
      <c r="U2574">
        <v>-2.844131</v>
      </c>
      <c r="V2574">
        <v>5.2583659999999997E-2</v>
      </c>
      <c r="W2574">
        <v>-3.2317060000000002E-2</v>
      </c>
      <c r="X2574">
        <v>0.99809349999999997</v>
      </c>
      <c r="Y2574">
        <v>-0.33601110000000001</v>
      </c>
      <c r="Z2574">
        <v>2.1694720000000001E-2</v>
      </c>
      <c r="AA2574">
        <v>0.94160809999999995</v>
      </c>
      <c r="AB2574">
        <v>19</v>
      </c>
      <c r="AC2574">
        <v>26.349699999999899</v>
      </c>
      <c r="AD2574">
        <v>-1.1611530000000001</v>
      </c>
      <c r="AE2574">
        <v>-47.299100000000003</v>
      </c>
      <c r="AF2574">
        <v>-18.2430560463083</v>
      </c>
      <c r="AG2574">
        <v>-1.1611530000000001</v>
      </c>
      <c r="AH2574">
        <v>50.951032998275402</v>
      </c>
      <c r="AI2574">
        <v>91.229134317099806</v>
      </c>
      <c r="AJ2574">
        <v>109.699945243027</v>
      </c>
      <c r="AK2574">
        <v>54.130999748660699</v>
      </c>
      <c r="AL2574">
        <v>91.851953537380098</v>
      </c>
      <c r="AM2574">
        <v>86.984211454203304</v>
      </c>
      <c r="AN2574">
        <v>1.00000003420414</v>
      </c>
    </row>
    <row r="2575" spans="1:40" x14ac:dyDescent="0.25">
      <c r="A2575" t="str">
        <f>"20190312161317612"</f>
        <v>20190312161317612</v>
      </c>
      <c r="B2575" t="str">
        <f>"1552378397607915"</f>
        <v>1552378397607915</v>
      </c>
      <c r="C2575" t="s">
        <v>40</v>
      </c>
      <c r="D2575">
        <v>5.2485089999999897</v>
      </c>
      <c r="E2575">
        <v>0.34227380000000002</v>
      </c>
      <c r="F2575" t="s">
        <v>41</v>
      </c>
      <c r="G2575">
        <v>-465.81709999999998</v>
      </c>
      <c r="H2575">
        <v>-0.05</v>
      </c>
      <c r="I2575">
        <v>196.5093</v>
      </c>
      <c r="J2575">
        <v>-491.9948</v>
      </c>
      <c r="K2575">
        <v>1.1111500000000001</v>
      </c>
      <c r="L2575">
        <v>243.3202</v>
      </c>
      <c r="M2575">
        <v>0.16556279999999901</v>
      </c>
      <c r="N2575">
        <v>0</v>
      </c>
      <c r="O2575">
        <v>-0.98610779999999998</v>
      </c>
      <c r="P2575">
        <v>0.11367869999999999</v>
      </c>
      <c r="Q2575">
        <v>-4.6660989999999999E-2</v>
      </c>
      <c r="R2575">
        <v>-0.9924212</v>
      </c>
      <c r="S2575">
        <v>1.5845340000000001</v>
      </c>
      <c r="T2575">
        <v>-7.0198540000000004E-2</v>
      </c>
      <c r="U2575">
        <v>-2.840805</v>
      </c>
      <c r="V2575">
        <v>5.229139E-2</v>
      </c>
      <c r="W2575">
        <v>-3.3122980000000003E-2</v>
      </c>
      <c r="X2575">
        <v>0.99808240000000004</v>
      </c>
      <c r="Y2575">
        <v>-0.33567849999999999</v>
      </c>
      <c r="Z2575">
        <v>2.189557E-2</v>
      </c>
      <c r="AA2575">
        <v>0.94172210000000001</v>
      </c>
      <c r="AB2575">
        <v>19</v>
      </c>
      <c r="AC2575">
        <v>26.177700000000002</v>
      </c>
      <c r="AD2575">
        <v>-1.1611499999999999</v>
      </c>
      <c r="AE2575">
        <v>-46.810899999999997</v>
      </c>
      <c r="AF2575">
        <v>-18.0570561734582</v>
      </c>
      <c r="AG2575">
        <v>-1.1611499999999999</v>
      </c>
      <c r="AH2575">
        <v>50.475542735816497</v>
      </c>
      <c r="AI2575">
        <v>91.240829007429795</v>
      </c>
      <c r="AJ2575">
        <v>109.684096853996</v>
      </c>
      <c r="AK2575">
        <v>53.620760545232599</v>
      </c>
      <c r="AL2575">
        <v>91.898154155859501</v>
      </c>
      <c r="AM2575">
        <v>87.000909803063095</v>
      </c>
      <c r="AN2575">
        <v>0.99999999923098604</v>
      </c>
    </row>
    <row r="2576" spans="1:40" x14ac:dyDescent="0.25">
      <c r="A2576" t="str">
        <f>"20190312161317622"</f>
        <v>20190312161317622</v>
      </c>
      <c r="B2576" t="str">
        <f>"1552378397617947"</f>
        <v>1552378397617947</v>
      </c>
      <c r="C2576" t="s">
        <v>40</v>
      </c>
      <c r="D2576">
        <v>5.264132</v>
      </c>
      <c r="E2576">
        <v>0.34237840000000003</v>
      </c>
      <c r="F2576" t="s">
        <v>41</v>
      </c>
      <c r="G2576">
        <v>-466.09820000000002</v>
      </c>
      <c r="H2576">
        <v>-0.05</v>
      </c>
      <c r="I2576">
        <v>197.08750000000001</v>
      </c>
      <c r="J2576">
        <v>-491.97930000000002</v>
      </c>
      <c r="K2576">
        <v>1.1111519999999999</v>
      </c>
      <c r="L2576">
        <v>243.23400000000001</v>
      </c>
      <c r="M2576">
        <v>0.166467899999999</v>
      </c>
      <c r="N2576">
        <v>0</v>
      </c>
      <c r="O2576">
        <v>-0.98595520000000003</v>
      </c>
      <c r="P2576">
        <v>0.11459999999999999</v>
      </c>
      <c r="Q2576">
        <v>-4.684721E-2</v>
      </c>
      <c r="R2576">
        <v>-0.99230640000000003</v>
      </c>
      <c r="S2576">
        <v>1.589386</v>
      </c>
      <c r="T2576">
        <v>-7.1264620000000001E-2</v>
      </c>
      <c r="U2576">
        <v>-2.837494</v>
      </c>
      <c r="V2576">
        <v>5.2279930000000002E-2</v>
      </c>
      <c r="W2576">
        <v>-3.3310439999999997E-2</v>
      </c>
      <c r="X2576">
        <v>0.99807670000000004</v>
      </c>
      <c r="Y2576">
        <v>-0.33650419999999998</v>
      </c>
      <c r="Z2576">
        <v>2.223325E-2</v>
      </c>
      <c r="AA2576">
        <v>0.94141949999999996</v>
      </c>
      <c r="AB2576">
        <v>19</v>
      </c>
      <c r="AC2576">
        <v>25.8811</v>
      </c>
      <c r="AD2576">
        <v>-1.161152</v>
      </c>
      <c r="AE2576">
        <v>-46.146500000000003</v>
      </c>
      <c r="AF2576">
        <v>-17.828719531260599</v>
      </c>
      <c r="AG2576">
        <v>-1.161152</v>
      </c>
      <c r="AH2576">
        <v>49.7872770726147</v>
      </c>
      <c r="AI2576">
        <v>91.2578357739133</v>
      </c>
      <c r="AJ2576">
        <v>109.702339426842</v>
      </c>
      <c r="AK2576">
        <v>52.895977847060998</v>
      </c>
      <c r="AL2576">
        <v>91.908900870306695</v>
      </c>
      <c r="AM2576">
        <v>87.001548781010797</v>
      </c>
      <c r="AN2576">
        <v>0.99999993778834195</v>
      </c>
    </row>
    <row r="2577" spans="1:40" x14ac:dyDescent="0.25">
      <c r="A2577" t="str">
        <f>"20190312161317635"</f>
        <v>20190312161317635</v>
      </c>
      <c r="B2577" t="str">
        <f>"1552378397628683"</f>
        <v>1552378397628683</v>
      </c>
      <c r="C2577" t="s">
        <v>40</v>
      </c>
      <c r="D2577">
        <v>5.2847330000000001</v>
      </c>
      <c r="E2577">
        <v>0.34251179999999998</v>
      </c>
      <c r="F2577" t="s">
        <v>41</v>
      </c>
      <c r="G2577">
        <v>-466.12490000000003</v>
      </c>
      <c r="H2577">
        <v>-0.05</v>
      </c>
      <c r="I2577">
        <v>197.15799999999999</v>
      </c>
      <c r="J2577">
        <v>-491.96140000000003</v>
      </c>
      <c r="K2577">
        <v>1.1111519999999999</v>
      </c>
      <c r="L2577">
        <v>243.13550000000001</v>
      </c>
      <c r="M2577">
        <v>0.16750300000000001</v>
      </c>
      <c r="N2577">
        <v>0</v>
      </c>
      <c r="O2577">
        <v>-0.98577990000000004</v>
      </c>
      <c r="P2577">
        <v>0.1156252</v>
      </c>
      <c r="Q2577">
        <v>-4.6602789999999998E-2</v>
      </c>
      <c r="R2577">
        <v>-0.99219889999999999</v>
      </c>
      <c r="S2577">
        <v>1.5913999999999999</v>
      </c>
      <c r="T2577">
        <v>-7.1471690000000004E-2</v>
      </c>
      <c r="U2577">
        <v>-2.83609</v>
      </c>
      <c r="V2577">
        <v>5.2297690000000001E-2</v>
      </c>
      <c r="W2577">
        <v>-3.3067180000000002E-2</v>
      </c>
      <c r="X2577">
        <v>0.99808390000000002</v>
      </c>
      <c r="Y2577">
        <v>-0.33622220000000003</v>
      </c>
      <c r="Z2577">
        <v>2.2298979999999999E-2</v>
      </c>
      <c r="AA2577">
        <v>0.94151870000000004</v>
      </c>
      <c r="AB2577">
        <v>19</v>
      </c>
      <c r="AC2577">
        <v>25.836500000000001</v>
      </c>
      <c r="AD2577">
        <v>-1.161152</v>
      </c>
      <c r="AE2577">
        <v>-45.977499999999999</v>
      </c>
      <c r="AF2577">
        <v>-17.7607297550847</v>
      </c>
      <c r="AG2577">
        <v>-1.161152</v>
      </c>
      <c r="AH2577">
        <v>49.631815688533699</v>
      </c>
      <c r="AI2577">
        <v>91.261873763500205</v>
      </c>
      <c r="AJ2577">
        <v>109.689733165039</v>
      </c>
      <c r="AK2577">
        <v>52.726738225883501</v>
      </c>
      <c r="AL2577">
        <v>91.894955337201196</v>
      </c>
      <c r="AM2577">
        <v>87.000553635837093</v>
      </c>
      <c r="AN2577">
        <v>0.99999997910584904</v>
      </c>
    </row>
    <row r="2578" spans="1:40" x14ac:dyDescent="0.25">
      <c r="A2578" t="str">
        <f>"20190312161317647"</f>
        <v>20190312161317647</v>
      </c>
      <c r="B2578" t="str">
        <f>"1552378397638444"</f>
        <v>1552378397638444</v>
      </c>
      <c r="C2578" t="s">
        <v>40</v>
      </c>
      <c r="D2578">
        <v>5.3078609999999999</v>
      </c>
      <c r="E2578">
        <v>0.34266269999999999</v>
      </c>
      <c r="F2578" t="s">
        <v>41</v>
      </c>
      <c r="G2578">
        <v>-466.1893</v>
      </c>
      <c r="H2578">
        <v>-0.05</v>
      </c>
      <c r="I2578">
        <v>197.27440000000001</v>
      </c>
      <c r="J2578">
        <v>-491.94299999999998</v>
      </c>
      <c r="K2578">
        <v>1.1111500000000001</v>
      </c>
      <c r="L2578">
        <v>243.0342</v>
      </c>
      <c r="M2578">
        <v>0.168567299999999</v>
      </c>
      <c r="N2578">
        <v>0</v>
      </c>
      <c r="O2578">
        <v>-0.9855988</v>
      </c>
      <c r="P2578">
        <v>0.1168723</v>
      </c>
      <c r="Q2578">
        <v>-4.6330830000000003E-2</v>
      </c>
      <c r="R2578">
        <v>-0.99206609999999995</v>
      </c>
      <c r="S2578">
        <v>1.5929260000000001</v>
      </c>
      <c r="T2578">
        <v>-7.1768760000000001E-2</v>
      </c>
      <c r="U2578">
        <v>-2.8345950000000002</v>
      </c>
      <c r="V2578">
        <v>5.212236E-2</v>
      </c>
      <c r="W2578">
        <v>-3.279671E-2</v>
      </c>
      <c r="X2578">
        <v>0.99810200000000004</v>
      </c>
      <c r="Y2578">
        <v>-0.33580140000000003</v>
      </c>
      <c r="Z2578">
        <v>2.2394669999999998E-2</v>
      </c>
      <c r="AA2578">
        <v>0.94166649999999996</v>
      </c>
      <c r="AB2578">
        <v>19</v>
      </c>
      <c r="AC2578">
        <v>25.753699999999998</v>
      </c>
      <c r="AD2578">
        <v>-1.1611499999999999</v>
      </c>
      <c r="AE2578">
        <v>-45.759799999999899</v>
      </c>
      <c r="AF2578">
        <v>-17.66216420025</v>
      </c>
      <c r="AG2578">
        <v>-1.1611499999999999</v>
      </c>
      <c r="AH2578">
        <v>49.422320397363599</v>
      </c>
      <c r="AI2578">
        <v>91.267410566891002</v>
      </c>
      <c r="AJ2578">
        <v>109.6654779751</v>
      </c>
      <c r="AK2578">
        <v>52.496343368074299</v>
      </c>
      <c r="AL2578">
        <v>91.879450129004198</v>
      </c>
      <c r="AM2578">
        <v>87.010645236947994</v>
      </c>
      <c r="AN2578">
        <v>0.99999998350139596</v>
      </c>
    </row>
    <row r="2579" spans="1:40" x14ac:dyDescent="0.25">
      <c r="A2579" t="str">
        <f>"20190312161317659"</f>
        <v>20190312161317659</v>
      </c>
      <c r="B2579" t="str">
        <f>"1552378397648203"</f>
        <v>1552378397648203</v>
      </c>
      <c r="C2579" t="s">
        <v>40</v>
      </c>
      <c r="D2579">
        <v>5.3104649999999998</v>
      </c>
      <c r="E2579">
        <v>0.34281990000000001</v>
      </c>
      <c r="F2579" t="s">
        <v>41</v>
      </c>
      <c r="G2579">
        <v>-466.51159999999999</v>
      </c>
      <c r="H2579">
        <v>-0.05</v>
      </c>
      <c r="I2579">
        <v>197.8939</v>
      </c>
      <c r="J2579">
        <v>-491.92500000000001</v>
      </c>
      <c r="K2579">
        <v>1.1111489999999999</v>
      </c>
      <c r="L2579">
        <v>242.93620000000001</v>
      </c>
      <c r="M2579">
        <v>0.1695972</v>
      </c>
      <c r="N2579">
        <v>0</v>
      </c>
      <c r="O2579">
        <v>-0.98542189999999996</v>
      </c>
      <c r="P2579">
        <v>0.117992899999999</v>
      </c>
      <c r="Q2579">
        <v>-4.6301740000000001E-2</v>
      </c>
      <c r="R2579">
        <v>-0.99193450000000005</v>
      </c>
      <c r="S2579">
        <v>1.595825</v>
      </c>
      <c r="T2579">
        <v>-7.2862510000000005E-2</v>
      </c>
      <c r="U2579">
        <v>-2.8325650000000002</v>
      </c>
      <c r="V2579">
        <v>5.2038040000000001E-2</v>
      </c>
      <c r="W2579">
        <v>-3.2769020000000003E-2</v>
      </c>
      <c r="X2579">
        <v>0.99810730000000003</v>
      </c>
      <c r="Y2579">
        <v>-0.3358333</v>
      </c>
      <c r="Z2579">
        <v>2.2738319999999999E-2</v>
      </c>
      <c r="AA2579">
        <v>0.94164689999999995</v>
      </c>
      <c r="AB2579">
        <v>19</v>
      </c>
      <c r="AC2579">
        <v>25.413399999999999</v>
      </c>
      <c r="AD2579">
        <v>-1.161149</v>
      </c>
      <c r="AE2579">
        <v>-45.042299999999997</v>
      </c>
      <c r="AF2579">
        <v>-17.396674084210499</v>
      </c>
      <c r="AG2579">
        <v>-1.161149</v>
      </c>
      <c r="AH2579">
        <v>48.675568031979097</v>
      </c>
      <c r="AI2579">
        <v>91.286835304018794</v>
      </c>
      <c r="AJ2579">
        <v>109.666916753113</v>
      </c>
      <c r="AK2579">
        <v>51.703998485883801</v>
      </c>
      <c r="AL2579">
        <v>91.877862772918505</v>
      </c>
      <c r="AM2579">
        <v>87.015488280478806</v>
      </c>
      <c r="AN2579">
        <v>0.99999997429604504</v>
      </c>
    </row>
    <row r="2580" spans="1:40" x14ac:dyDescent="0.25">
      <c r="A2580" t="str">
        <f>"20190312161317673"</f>
        <v>20190312161317673</v>
      </c>
      <c r="B2580" t="str">
        <f>"1552378397668699"</f>
        <v>1552378397668699</v>
      </c>
      <c r="C2580" t="s">
        <v>40</v>
      </c>
      <c r="D2580">
        <v>5.3262400000000003</v>
      </c>
      <c r="E2580">
        <v>0.34328649999999999</v>
      </c>
      <c r="F2580" t="s">
        <v>41</v>
      </c>
      <c r="G2580">
        <v>-466.9982</v>
      </c>
      <c r="H2580">
        <v>-0.05</v>
      </c>
      <c r="I2580">
        <v>198.7687</v>
      </c>
      <c r="J2580">
        <v>-491.90559999999999</v>
      </c>
      <c r="K2580">
        <v>1.111146</v>
      </c>
      <c r="L2580">
        <v>242.8312</v>
      </c>
      <c r="M2580">
        <v>0.17069960000000001</v>
      </c>
      <c r="N2580">
        <v>0</v>
      </c>
      <c r="O2580">
        <v>-0.98523159999999999</v>
      </c>
      <c r="P2580">
        <v>0.11910660000000001</v>
      </c>
      <c r="Q2580">
        <v>-4.625932E-2</v>
      </c>
      <c r="R2580">
        <v>-0.9918032</v>
      </c>
      <c r="S2580">
        <v>1.597656</v>
      </c>
      <c r="T2580">
        <v>-7.4422840000000004E-2</v>
      </c>
      <c r="U2580">
        <v>-2.8308719999999998</v>
      </c>
      <c r="V2580">
        <v>5.2034089999999998E-2</v>
      </c>
      <c r="W2580">
        <v>-3.2727939999999997E-2</v>
      </c>
      <c r="X2580">
        <v>0.99810889999999997</v>
      </c>
      <c r="Y2580">
        <v>-0.33547690000000002</v>
      </c>
      <c r="Z2580">
        <v>2.3228370000000002E-2</v>
      </c>
      <c r="AA2580">
        <v>0.94176199999999999</v>
      </c>
      <c r="AB2580">
        <v>19</v>
      </c>
      <c r="AC2580">
        <v>24.907399999999999</v>
      </c>
      <c r="AD2580">
        <v>-1.161146</v>
      </c>
      <c r="AE2580">
        <v>-44.0625</v>
      </c>
      <c r="AF2580">
        <v>-17.010688831261501</v>
      </c>
      <c r="AG2580">
        <v>-1.161146</v>
      </c>
      <c r="AH2580">
        <v>47.642675760411599</v>
      </c>
      <c r="AI2580">
        <v>91.314867862979199</v>
      </c>
      <c r="AJ2580">
        <v>109.648968328348</v>
      </c>
      <c r="AK2580">
        <v>50.601742540737</v>
      </c>
      <c r="AL2580">
        <v>91.8755077125507</v>
      </c>
      <c r="AM2580">
        <v>87.015719188592996</v>
      </c>
      <c r="AN2580">
        <v>1.0000000204189901</v>
      </c>
    </row>
    <row r="2581" spans="1:40" x14ac:dyDescent="0.25">
      <c r="A2581" t="str">
        <f>"20190312161317690"</f>
        <v>20190312161317690</v>
      </c>
      <c r="B2581" t="str">
        <f>"1552378397688219"</f>
        <v>1552378397688219</v>
      </c>
      <c r="C2581" t="s">
        <v>40</v>
      </c>
      <c r="D2581">
        <v>5.3499129999999999</v>
      </c>
      <c r="E2581">
        <v>0.34374060000000001</v>
      </c>
      <c r="F2581" t="s">
        <v>63</v>
      </c>
      <c r="G2581">
        <v>-470.5967</v>
      </c>
      <c r="H2581">
        <v>8.0000139999999997E-2</v>
      </c>
      <c r="I2581">
        <v>205.08330000000001</v>
      </c>
      <c r="J2581">
        <v>-491.8793</v>
      </c>
      <c r="K2581">
        <v>1.11114</v>
      </c>
      <c r="L2581">
        <v>242.68979999999999</v>
      </c>
      <c r="M2581">
        <v>0.17218610000000001</v>
      </c>
      <c r="N2581">
        <v>0</v>
      </c>
      <c r="O2581">
        <v>-0.98497310000000005</v>
      </c>
      <c r="P2581">
        <v>0.1204609</v>
      </c>
      <c r="Q2581">
        <v>-4.6791010000000001E-2</v>
      </c>
      <c r="R2581">
        <v>-0.99161520000000003</v>
      </c>
      <c r="S2581">
        <v>1.5971979999999999</v>
      </c>
      <c r="T2581">
        <v>-7.7288990000000002E-2</v>
      </c>
      <c r="U2581">
        <v>-2.8293759999999999</v>
      </c>
      <c r="V2581">
        <v>5.2173909999999997E-2</v>
      </c>
      <c r="W2581">
        <v>-3.3261489999999998E-2</v>
      </c>
      <c r="X2581">
        <v>0.99808390000000002</v>
      </c>
      <c r="Y2581">
        <v>-0.33414189999999999</v>
      </c>
      <c r="Z2581">
        <v>2.4130749999999999E-2</v>
      </c>
      <c r="AA2581">
        <v>0.94221379999999999</v>
      </c>
      <c r="AB2581">
        <v>19</v>
      </c>
      <c r="AC2581">
        <v>21.282599999999999</v>
      </c>
      <c r="AD2581">
        <v>-1.0311398599999999</v>
      </c>
      <c r="AE2581">
        <v>-37.606499999999897</v>
      </c>
      <c r="AF2581">
        <v>-14.480529804028601</v>
      </c>
      <c r="AG2581">
        <v>-1.0311398599999999</v>
      </c>
      <c r="AH2581">
        <v>40.686453246280401</v>
      </c>
      <c r="AI2581">
        <v>91.3677595529077</v>
      </c>
      <c r="AJ2581">
        <v>109.590920572323</v>
      </c>
      <c r="AK2581">
        <v>43.198801726182197</v>
      </c>
      <c r="AL2581">
        <v>91.906094649105398</v>
      </c>
      <c r="AM2581">
        <v>87.007639912846599</v>
      </c>
      <c r="AN2581">
        <v>0.999999957520458</v>
      </c>
    </row>
    <row r="2582" spans="1:40" x14ac:dyDescent="0.25">
      <c r="A2582" t="str">
        <f>"20190312161317713"</f>
        <v>20190312161317713</v>
      </c>
      <c r="B2582" t="str">
        <f>"1552378397708715"</f>
        <v>1552378397708715</v>
      </c>
      <c r="C2582" t="s">
        <v>40</v>
      </c>
      <c r="D2582">
        <v>5.0280339999999999</v>
      </c>
      <c r="E2582">
        <v>0.34383789999999997</v>
      </c>
      <c r="F2582" t="s">
        <v>63</v>
      </c>
      <c r="G2582">
        <v>-471.7253</v>
      </c>
      <c r="H2582">
        <v>8.0000070000000006E-2</v>
      </c>
      <c r="I2582">
        <v>207.017</v>
      </c>
      <c r="J2582">
        <v>-491.84379999999999</v>
      </c>
      <c r="K2582">
        <v>1.1111340000000001</v>
      </c>
      <c r="L2582">
        <v>242.50120000000001</v>
      </c>
      <c r="M2582">
        <v>0.1741685</v>
      </c>
      <c r="N2582">
        <v>0</v>
      </c>
      <c r="O2582">
        <v>-0.98462439999999996</v>
      </c>
      <c r="P2582">
        <v>0.1221143</v>
      </c>
      <c r="Q2582">
        <v>-4.7216429999999997E-2</v>
      </c>
      <c r="R2582">
        <v>-0.9913923</v>
      </c>
      <c r="S2582">
        <v>1.5974429999999999</v>
      </c>
      <c r="T2582">
        <v>-8.1730250000000004E-2</v>
      </c>
      <c r="U2582">
        <v>-2.827499</v>
      </c>
      <c r="V2582">
        <v>5.2515699999999901E-2</v>
      </c>
      <c r="W2582">
        <v>-3.3689139999999999E-2</v>
      </c>
      <c r="X2582">
        <v>0.99805169999999999</v>
      </c>
      <c r="Y2582">
        <v>-0.33255649999999998</v>
      </c>
      <c r="Z2582">
        <v>2.552447E-2</v>
      </c>
      <c r="AA2582">
        <v>0.94273790000000002</v>
      </c>
      <c r="AB2582">
        <v>19</v>
      </c>
      <c r="AC2582">
        <v>20.118499999999901</v>
      </c>
      <c r="AD2582">
        <v>-1.03113393</v>
      </c>
      <c r="AE2582">
        <v>-35.484200000000001</v>
      </c>
      <c r="AF2582">
        <v>-13.6214594766221</v>
      </c>
      <c r="AG2582">
        <v>-1.03113393</v>
      </c>
      <c r="AH2582">
        <v>38.4215290660741</v>
      </c>
      <c r="AI2582">
        <v>91.448976077250094</v>
      </c>
      <c r="AJ2582">
        <v>109.520777782198</v>
      </c>
      <c r="AK2582">
        <v>40.777705811264397</v>
      </c>
      <c r="AL2582">
        <v>91.930610797722196</v>
      </c>
      <c r="AM2582">
        <v>86.987976017788398</v>
      </c>
      <c r="AN2582">
        <v>1.00000002638665</v>
      </c>
    </row>
    <row r="2583" spans="1:40" x14ac:dyDescent="0.25">
      <c r="A2583" t="str">
        <f>"20190312161317726"</f>
        <v>20190312161317726</v>
      </c>
      <c r="B2583" t="str">
        <f>"1552378397718475"</f>
        <v>1552378397718475</v>
      </c>
      <c r="C2583" t="s">
        <v>40</v>
      </c>
      <c r="D2583">
        <v>5.300662</v>
      </c>
      <c r="E2583">
        <v>0.34379710000000002</v>
      </c>
      <c r="F2583" t="s">
        <v>63</v>
      </c>
      <c r="G2583">
        <v>-471.90550000000002</v>
      </c>
      <c r="H2583">
        <v>8.0000059999999998E-2</v>
      </c>
      <c r="I2583">
        <v>207.3348</v>
      </c>
      <c r="J2583">
        <v>-491.82310000000001</v>
      </c>
      <c r="K2583">
        <v>1.111132</v>
      </c>
      <c r="L2583">
        <v>242.39189999999999</v>
      </c>
      <c r="M2583">
        <v>0.17531669999999999</v>
      </c>
      <c r="N2583">
        <v>0</v>
      </c>
      <c r="O2583">
        <v>-0.98442070000000004</v>
      </c>
      <c r="P2583">
        <v>0.1232838</v>
      </c>
      <c r="Q2583">
        <v>-4.7220680000000001E-2</v>
      </c>
      <c r="R2583">
        <v>-0.99124760000000001</v>
      </c>
      <c r="S2583">
        <v>1.601593</v>
      </c>
      <c r="T2583">
        <v>-8.2828159999999998E-2</v>
      </c>
      <c r="U2583">
        <v>-2.8248139999999999</v>
      </c>
      <c r="V2583">
        <v>5.2502060000000003E-2</v>
      </c>
      <c r="W2583">
        <v>-3.3694830000000002E-2</v>
      </c>
      <c r="X2583">
        <v>0.99805219999999994</v>
      </c>
      <c r="Y2583">
        <v>-0.33288479999999998</v>
      </c>
      <c r="Z2583">
        <v>2.587008E-2</v>
      </c>
      <c r="AA2583">
        <v>0.94261260000000002</v>
      </c>
      <c r="AB2583">
        <v>19</v>
      </c>
      <c r="AC2583">
        <v>19.9176</v>
      </c>
      <c r="AD2583">
        <v>-1.0311319400000001</v>
      </c>
      <c r="AE2583">
        <v>-35.057099999999899</v>
      </c>
      <c r="AF2583">
        <v>-13.4536151057201</v>
      </c>
      <c r="AG2583">
        <v>-1.0311319400000001</v>
      </c>
      <c r="AH2583">
        <v>37.981402144771501</v>
      </c>
      <c r="AI2583">
        <v>91.465900047674694</v>
      </c>
      <c r="AJ2583">
        <v>109.504953006142</v>
      </c>
      <c r="AK2583">
        <v>40.306946068555</v>
      </c>
      <c r="AL2583">
        <v>91.930937045127394</v>
      </c>
      <c r="AM2583">
        <v>86.988758402162603</v>
      </c>
      <c r="AN2583">
        <v>1.0000000008989001</v>
      </c>
    </row>
    <row r="2584" spans="1:40" x14ac:dyDescent="0.25">
      <c r="A2584" t="str">
        <f>"20190312161317740"</f>
        <v>20190312161317740</v>
      </c>
      <c r="B2584" t="str">
        <f>"1552378397728235"</f>
        <v>1552378397728235</v>
      </c>
      <c r="C2584" t="s">
        <v>40</v>
      </c>
      <c r="D2584">
        <v>5.3004230000000003</v>
      </c>
      <c r="E2584">
        <v>0.34376089999999998</v>
      </c>
      <c r="F2584" t="s">
        <v>63</v>
      </c>
      <c r="G2584">
        <v>-471.6782</v>
      </c>
      <c r="H2584">
        <v>8.0000070000000006E-2</v>
      </c>
      <c r="I2584">
        <v>206.9615</v>
      </c>
      <c r="J2584">
        <v>-491.803</v>
      </c>
      <c r="K2584">
        <v>1.11113</v>
      </c>
      <c r="L2584">
        <v>242.28639999999999</v>
      </c>
      <c r="M2584">
        <v>0.1764259</v>
      </c>
      <c r="N2584">
        <v>0</v>
      </c>
      <c r="O2584">
        <v>-0.98422229999999999</v>
      </c>
      <c r="P2584">
        <v>0.12453690000000001</v>
      </c>
      <c r="Q2584">
        <v>-4.7162570000000001E-2</v>
      </c>
      <c r="R2584">
        <v>-0.99109360000000002</v>
      </c>
      <c r="S2584">
        <v>1.6050719999999901</v>
      </c>
      <c r="T2584">
        <v>-8.2156899999999894E-2</v>
      </c>
      <c r="U2584">
        <v>-2.8229679999999999</v>
      </c>
      <c r="V2584">
        <v>5.2365250000000002E-2</v>
      </c>
      <c r="W2584">
        <v>-3.3638260000000003E-2</v>
      </c>
      <c r="X2584">
        <v>0.99806130000000004</v>
      </c>
      <c r="Y2584">
        <v>-0.33296769999999998</v>
      </c>
      <c r="Z2584">
        <v>2.5659660000000001E-2</v>
      </c>
      <c r="AA2584">
        <v>0.94258900000000001</v>
      </c>
      <c r="AB2584">
        <v>19</v>
      </c>
      <c r="AC2584">
        <v>20.1248</v>
      </c>
      <c r="AD2584">
        <v>-1.0311299300000001</v>
      </c>
      <c r="AE2584">
        <v>-35.3248999999999</v>
      </c>
      <c r="AF2584">
        <v>-13.567546508237101</v>
      </c>
      <c r="AG2584">
        <v>-1.0311299300000001</v>
      </c>
      <c r="AH2584">
        <v>38.296911220041601</v>
      </c>
      <c r="AI2584">
        <v>91.4537996495025</v>
      </c>
      <c r="AJ2584">
        <v>109.507841650225</v>
      </c>
      <c r="AK2584">
        <v>40.642280400851902</v>
      </c>
      <c r="AL2584">
        <v>91.927693976068696</v>
      </c>
      <c r="AM2584">
        <v>86.996618052190996</v>
      </c>
      <c r="AN2584">
        <v>1.00000000525054</v>
      </c>
    </row>
    <row r="2585" spans="1:40" x14ac:dyDescent="0.25">
      <c r="A2585" t="str">
        <f>"20190312161317759"</f>
        <v>20190312161317759</v>
      </c>
      <c r="B2585" t="str">
        <f>"1552378397748262"</f>
        <v>1552378397748262</v>
      </c>
      <c r="C2585" t="s">
        <v>40</v>
      </c>
      <c r="D2585">
        <v>5.3153009999999998</v>
      </c>
      <c r="E2585">
        <v>0.3436787</v>
      </c>
      <c r="F2585" t="s">
        <v>63</v>
      </c>
      <c r="G2585">
        <v>-471.50790000000001</v>
      </c>
      <c r="H2585">
        <v>8.0000089999999996E-2</v>
      </c>
      <c r="I2585">
        <v>206.7</v>
      </c>
      <c r="J2585">
        <v>-491.77330000000001</v>
      </c>
      <c r="K2585">
        <v>1.1111279999999999</v>
      </c>
      <c r="L2585">
        <v>242.13200000000001</v>
      </c>
      <c r="M2585">
        <v>0.17805109999999999</v>
      </c>
      <c r="N2585">
        <v>0</v>
      </c>
      <c r="O2585">
        <v>-0.98392950000000001</v>
      </c>
      <c r="P2585">
        <v>0.12684089999999901</v>
      </c>
      <c r="Q2585">
        <v>-4.6641130000000003E-2</v>
      </c>
      <c r="R2585">
        <v>-0.99082610000000004</v>
      </c>
      <c r="S2585">
        <v>1.608795</v>
      </c>
      <c r="T2585">
        <v>-8.1737760000000007E-2</v>
      </c>
      <c r="U2585">
        <v>-2.8209379999999999</v>
      </c>
      <c r="V2585">
        <v>5.1696390000000002E-2</v>
      </c>
      <c r="W2585">
        <v>-3.3119450000000002E-2</v>
      </c>
      <c r="X2585">
        <v>0.99811349999999999</v>
      </c>
      <c r="Y2585">
        <v>-0.33264290000000002</v>
      </c>
      <c r="Z2585">
        <v>2.5527069999999999E-2</v>
      </c>
      <c r="AA2585">
        <v>0.94270739999999997</v>
      </c>
      <c r="AB2585">
        <v>18</v>
      </c>
      <c r="AC2585">
        <v>20.2654</v>
      </c>
      <c r="AD2585">
        <v>-1.0311279099999999</v>
      </c>
      <c r="AE2585">
        <v>-35.432000000000002</v>
      </c>
      <c r="AF2585">
        <v>-13.6235551570864</v>
      </c>
      <c r="AG2585">
        <v>-1.0311279099999999</v>
      </c>
      <c r="AH2585">
        <v>38.4498035139097</v>
      </c>
      <c r="AI2585">
        <v>91.447996532572702</v>
      </c>
      <c r="AJ2585">
        <v>109.510281826965</v>
      </c>
      <c r="AK2585">
        <v>40.805047116052002</v>
      </c>
      <c r="AL2585">
        <v>91.897951814340402</v>
      </c>
      <c r="AM2585">
        <v>87.035066069386104</v>
      </c>
      <c r="AN2585">
        <v>0.99999998679479196</v>
      </c>
    </row>
    <row r="2586" spans="1:40" x14ac:dyDescent="0.25">
      <c r="A2586" t="str">
        <f>"20190312161317773"</f>
        <v>20190312161317773</v>
      </c>
      <c r="B2586" t="str">
        <f>"1552378397768758"</f>
        <v>1552378397768758</v>
      </c>
      <c r="C2586" t="s">
        <v>40</v>
      </c>
      <c r="D2586">
        <v>5.3219830000000004</v>
      </c>
      <c r="E2586">
        <v>0.34358499999999997</v>
      </c>
      <c r="F2586" t="s">
        <v>63</v>
      </c>
      <c r="G2586">
        <v>-470.91320000000002</v>
      </c>
      <c r="H2586">
        <v>8.0000119999999994E-2</v>
      </c>
      <c r="I2586">
        <v>205.7713</v>
      </c>
      <c r="J2586">
        <v>-491.7518</v>
      </c>
      <c r="K2586">
        <v>1.1111279999999999</v>
      </c>
      <c r="L2586">
        <v>242.02080000000001</v>
      </c>
      <c r="M2586">
        <v>0.17922249999999901</v>
      </c>
      <c r="N2586">
        <v>0</v>
      </c>
      <c r="O2586">
        <v>-0.98371699999999995</v>
      </c>
      <c r="P2586">
        <v>0.12815679999999999</v>
      </c>
      <c r="Q2586">
        <v>-4.6534060000000002E-2</v>
      </c>
      <c r="R2586">
        <v>-0.99066200000000004</v>
      </c>
      <c r="S2586">
        <v>1.6161799999999999</v>
      </c>
      <c r="T2586">
        <v>-7.9888819999999999E-2</v>
      </c>
      <c r="U2586">
        <v>-2.817123</v>
      </c>
      <c r="V2586">
        <v>5.1559849999999997E-2</v>
      </c>
      <c r="W2586">
        <v>-3.3013819999999999E-2</v>
      </c>
      <c r="X2586">
        <v>0.99812409999999996</v>
      </c>
      <c r="Y2586">
        <v>-0.3339376</v>
      </c>
      <c r="Z2586">
        <v>2.4950070000000001E-2</v>
      </c>
      <c r="AA2586">
        <v>0.94226489999999996</v>
      </c>
      <c r="AB2586">
        <v>18</v>
      </c>
      <c r="AC2586">
        <v>20.8385999999999</v>
      </c>
      <c r="AD2586">
        <v>-1.0311278800000001</v>
      </c>
      <c r="AE2586">
        <v>-36.249499999999998</v>
      </c>
      <c r="AF2586">
        <v>-13.9953092344804</v>
      </c>
      <c r="AG2586">
        <v>-1.0311278800000001</v>
      </c>
      <c r="AH2586">
        <v>39.373599130409801</v>
      </c>
      <c r="AI2586">
        <v>91.413534425998094</v>
      </c>
      <c r="AJ2586">
        <v>109.56770927209899</v>
      </c>
      <c r="AK2586">
        <v>41.799667627337001</v>
      </c>
      <c r="AL2586">
        <v>91.891896277852197</v>
      </c>
      <c r="AM2586">
        <v>87.042914455158794</v>
      </c>
      <c r="AN2586">
        <v>1.0000000247219101</v>
      </c>
    </row>
    <row r="2587" spans="1:40" x14ac:dyDescent="0.25">
      <c r="A2587" t="str">
        <f>"20190312161317792"</f>
        <v>20190312161317792</v>
      </c>
      <c r="B2587" t="str">
        <f>"1552378397788278"</f>
        <v>1552378397788278</v>
      </c>
      <c r="C2587" t="s">
        <v>40</v>
      </c>
      <c r="D2587">
        <v>5.3044520000000004</v>
      </c>
      <c r="E2587">
        <v>0.34354030000000002</v>
      </c>
      <c r="F2587" t="s">
        <v>63</v>
      </c>
      <c r="G2587">
        <v>-470.45229999999998</v>
      </c>
      <c r="H2587">
        <v>8.0000169999999995E-2</v>
      </c>
      <c r="I2587">
        <v>205.02250000000001</v>
      </c>
      <c r="J2587">
        <v>-491.72199999999998</v>
      </c>
      <c r="K2587">
        <v>1.11113</v>
      </c>
      <c r="L2587">
        <v>241.86869999999999</v>
      </c>
      <c r="M2587">
        <v>0.18082780000000001</v>
      </c>
      <c r="N2587">
        <v>0</v>
      </c>
      <c r="O2587">
        <v>-0.98342320000000005</v>
      </c>
      <c r="P2587">
        <v>0.13019849999999999</v>
      </c>
      <c r="Q2587">
        <v>-4.6473260000000002E-2</v>
      </c>
      <c r="R2587">
        <v>-0.99039860000000002</v>
      </c>
      <c r="S2587">
        <v>1.620544</v>
      </c>
      <c r="T2587">
        <v>-7.8452110000000005E-2</v>
      </c>
      <c r="U2587">
        <v>-2.814972</v>
      </c>
      <c r="V2587">
        <v>5.1132089999999998E-2</v>
      </c>
      <c r="W2587">
        <v>-3.2955409999999997E-2</v>
      </c>
      <c r="X2587">
        <v>0.99814800000000004</v>
      </c>
      <c r="Y2587">
        <v>-0.33381359999999999</v>
      </c>
      <c r="Z2587">
        <v>2.4498570000000001E-2</v>
      </c>
      <c r="AA2587">
        <v>0.94232070000000001</v>
      </c>
      <c r="AB2587">
        <v>18</v>
      </c>
      <c r="AC2587">
        <v>21.2697</v>
      </c>
      <c r="AD2587">
        <v>-1.03112983</v>
      </c>
      <c r="AE2587">
        <v>-36.846199999999897</v>
      </c>
      <c r="AF2587">
        <v>-14.247214152989599</v>
      </c>
      <c r="AG2587">
        <v>-1.03112983</v>
      </c>
      <c r="AH2587">
        <v>40.061638709975597</v>
      </c>
      <c r="AI2587">
        <v>91.389189538839702</v>
      </c>
      <c r="AJ2587">
        <v>109.577031196078</v>
      </c>
      <c r="AK2587">
        <v>42.532120050334598</v>
      </c>
      <c r="AL2587">
        <v>91.888547875410495</v>
      </c>
      <c r="AM2587">
        <v>87.067474647665094</v>
      </c>
      <c r="AN2587">
        <v>0.99999998979001803</v>
      </c>
    </row>
    <row r="2588" spans="1:40" x14ac:dyDescent="0.25">
      <c r="A2588" t="str">
        <f>"20190312161317814"</f>
        <v>20190312161317814</v>
      </c>
      <c r="B2588" t="str">
        <f>"1552378397808774"</f>
        <v>1552378397808774</v>
      </c>
      <c r="C2588" t="s">
        <v>40</v>
      </c>
      <c r="D2588">
        <v>5.3465040000000004</v>
      </c>
      <c r="E2588">
        <v>0.3435124</v>
      </c>
      <c r="F2588" t="s">
        <v>41</v>
      </c>
      <c r="G2588">
        <v>-467.19380000000001</v>
      </c>
      <c r="H2588">
        <v>-0.05</v>
      </c>
      <c r="I2588">
        <v>199.4743</v>
      </c>
      <c r="J2588">
        <v>-491.68680000000001</v>
      </c>
      <c r="K2588">
        <v>1.1111310000000001</v>
      </c>
      <c r="L2588">
        <v>241.68969999999999</v>
      </c>
      <c r="M2588">
        <v>0.18271879999999999</v>
      </c>
      <c r="N2588">
        <v>0</v>
      </c>
      <c r="O2588">
        <v>-0.98307350000000004</v>
      </c>
      <c r="P2588">
        <v>0.13218009999999999</v>
      </c>
      <c r="Q2588">
        <v>-4.6312249999999999E-2</v>
      </c>
      <c r="R2588">
        <v>-0.99014329999999995</v>
      </c>
      <c r="S2588">
        <v>1.6267400000000001</v>
      </c>
      <c r="T2588">
        <v>-7.7007530000000005E-2</v>
      </c>
      <c r="U2588">
        <v>-2.8116460000000001</v>
      </c>
      <c r="V2588">
        <v>5.1055379999999997E-2</v>
      </c>
      <c r="W2588">
        <v>-3.279642E-2</v>
      </c>
      <c r="X2588">
        <v>0.99815719999999997</v>
      </c>
      <c r="Y2588">
        <v>-0.33404509999999998</v>
      </c>
      <c r="Z2588">
        <v>2.4046089999999999E-2</v>
      </c>
      <c r="AA2588">
        <v>0.94225029999999999</v>
      </c>
      <c r="AB2588">
        <v>18</v>
      </c>
      <c r="AC2588">
        <v>24.492999999999899</v>
      </c>
      <c r="AD2588">
        <v>-1.1611309999999999</v>
      </c>
      <c r="AE2588">
        <v>-42.215399999999903</v>
      </c>
      <c r="AF2588">
        <v>-16.357089754152899</v>
      </c>
      <c r="AG2588">
        <v>-1.1611309999999999</v>
      </c>
      <c r="AH2588">
        <v>45.954308808570403</v>
      </c>
      <c r="AI2588">
        <v>91.363617025825405</v>
      </c>
      <c r="AJ2588">
        <v>109.592803504092</v>
      </c>
      <c r="AK2588">
        <v>48.792428803022602</v>
      </c>
      <c r="AL2588">
        <v>91.8794334235332</v>
      </c>
      <c r="AM2588">
        <v>87.071893395741199</v>
      </c>
      <c r="AN2588">
        <v>1.0000000264517901</v>
      </c>
    </row>
    <row r="2589" spans="1:40" x14ac:dyDescent="0.25">
      <c r="A2589" t="str">
        <f>"20190312161317827"</f>
        <v>20190312161317827</v>
      </c>
      <c r="B2589" t="str">
        <f>"1552378397818534"</f>
        <v>1552378397818534</v>
      </c>
      <c r="C2589" t="s">
        <v>40</v>
      </c>
      <c r="D2589">
        <v>5.3586349999999996</v>
      </c>
      <c r="E2589">
        <v>0.34350340000000001</v>
      </c>
      <c r="F2589" t="s">
        <v>41</v>
      </c>
      <c r="G2589">
        <v>-466.75459999999998</v>
      </c>
      <c r="H2589">
        <v>-0.05</v>
      </c>
      <c r="I2589">
        <v>198.7962</v>
      </c>
      <c r="J2589">
        <v>-491.666</v>
      </c>
      <c r="K2589">
        <v>1.1111329999999999</v>
      </c>
      <c r="L2589">
        <v>241.58510000000001</v>
      </c>
      <c r="M2589">
        <v>0.18382560000000001</v>
      </c>
      <c r="N2589">
        <v>0</v>
      </c>
      <c r="O2589">
        <v>-0.98286739999999995</v>
      </c>
      <c r="P2589">
        <v>0.13346340000000001</v>
      </c>
      <c r="Q2589">
        <v>-4.610293E-2</v>
      </c>
      <c r="R2589">
        <v>-0.98998109999999995</v>
      </c>
      <c r="S2589">
        <v>1.632385</v>
      </c>
      <c r="T2589">
        <v>-7.6022859999999998E-2</v>
      </c>
      <c r="U2589">
        <v>-2.8083649999999998</v>
      </c>
      <c r="V2589">
        <v>5.0886849999999997E-2</v>
      </c>
      <c r="W2589">
        <v>-3.258834E-2</v>
      </c>
      <c r="X2589">
        <v>0.99817259999999997</v>
      </c>
      <c r="Y2589">
        <v>-0.3348816</v>
      </c>
      <c r="Z2589">
        <v>2.374041E-2</v>
      </c>
      <c r="AA2589">
        <v>0.9419611</v>
      </c>
      <c r="AB2589">
        <v>18</v>
      </c>
      <c r="AC2589">
        <v>24.9114</v>
      </c>
      <c r="AD2589">
        <v>-1.161133</v>
      </c>
      <c r="AE2589">
        <v>-42.788899999999998</v>
      </c>
      <c r="AF2589">
        <v>-16.611266491607601</v>
      </c>
      <c r="AG2589">
        <v>-1.161133</v>
      </c>
      <c r="AH2589">
        <v>46.613725466313198</v>
      </c>
      <c r="AI2589">
        <v>91.344158865119695</v>
      </c>
      <c r="AJ2589">
        <v>109.61403303553099</v>
      </c>
      <c r="AK2589">
        <v>49.498705095665997</v>
      </c>
      <c r="AL2589">
        <v>91.8675049811213</v>
      </c>
      <c r="AM2589">
        <v>87.081587068609196</v>
      </c>
      <c r="AN2589">
        <v>1.0000000053988101</v>
      </c>
    </row>
    <row r="2590" spans="1:40" x14ac:dyDescent="0.25">
      <c r="A2590" t="str">
        <f>"20190312161317839"</f>
        <v>20190312161317839</v>
      </c>
      <c r="B2590" t="str">
        <f>"1552378397828294"</f>
        <v>1552378397828294</v>
      </c>
      <c r="C2590" t="s">
        <v>40</v>
      </c>
      <c r="D2590">
        <v>5.3402969999999996</v>
      </c>
      <c r="E2590">
        <v>0.34346450000000001</v>
      </c>
      <c r="F2590" t="s">
        <v>41</v>
      </c>
      <c r="G2590">
        <v>-466.51159999999999</v>
      </c>
      <c r="H2590">
        <v>-0.05</v>
      </c>
      <c r="I2590">
        <v>198.4391</v>
      </c>
      <c r="J2590">
        <v>-491.64699999999999</v>
      </c>
      <c r="K2590">
        <v>1.1111359999999999</v>
      </c>
      <c r="L2590">
        <v>241.49</v>
      </c>
      <c r="M2590">
        <v>0.1848341</v>
      </c>
      <c r="N2590">
        <v>0</v>
      </c>
      <c r="O2590">
        <v>-0.98267819999999995</v>
      </c>
      <c r="P2590">
        <v>0.13468289999999999</v>
      </c>
      <c r="Q2590">
        <v>-4.5785260000000001E-2</v>
      </c>
      <c r="R2590">
        <v>-0.98983080000000001</v>
      </c>
      <c r="S2590">
        <v>1.6360779999999999</v>
      </c>
      <c r="T2590">
        <v>-7.5521829999999998E-2</v>
      </c>
      <c r="U2590">
        <v>-2.8062740000000002</v>
      </c>
      <c r="V2590">
        <v>5.0683619999999999E-2</v>
      </c>
      <c r="W2590">
        <v>-3.2271840000000003E-2</v>
      </c>
      <c r="X2590">
        <v>0.9981932</v>
      </c>
      <c r="Y2590">
        <v>-0.33514690000000003</v>
      </c>
      <c r="Z2590">
        <v>2.3583929999999999E-2</v>
      </c>
      <c r="AA2590">
        <v>0.9418706</v>
      </c>
      <c r="AB2590">
        <v>18</v>
      </c>
      <c r="AC2590">
        <v>25.135400000000001</v>
      </c>
      <c r="AD2590">
        <v>-1.1611359999999999</v>
      </c>
      <c r="AE2590">
        <v>-43.050899999999999</v>
      </c>
      <c r="AF2590">
        <v>-16.735162526780201</v>
      </c>
      <c r="AG2590">
        <v>-1.1611359999999999</v>
      </c>
      <c r="AH2590">
        <v>46.929823974464099</v>
      </c>
      <c r="AI2590">
        <v>91.335010744196097</v>
      </c>
      <c r="AJ2590">
        <v>109.626220621207</v>
      </c>
      <c r="AK2590">
        <v>49.837960229953502</v>
      </c>
      <c r="AL2590">
        <v>91.849361365360096</v>
      </c>
      <c r="AM2590">
        <v>87.093282373216098</v>
      </c>
      <c r="AN2590">
        <v>0.99999998275976398</v>
      </c>
    </row>
    <row r="2591" spans="1:40" x14ac:dyDescent="0.25">
      <c r="A2591" t="str">
        <f>"20190312161317859"</f>
        <v>20190312161317859</v>
      </c>
      <c r="B2591" t="str">
        <f>"1552378397848320"</f>
        <v>1552378397848320</v>
      </c>
      <c r="C2591" t="s">
        <v>40</v>
      </c>
      <c r="D2591">
        <v>5.386037</v>
      </c>
      <c r="E2591">
        <v>0.3434585</v>
      </c>
      <c r="F2591" t="s">
        <v>41</v>
      </c>
      <c r="G2591">
        <v>-466.03309999999999</v>
      </c>
      <c r="H2591">
        <v>-0.05</v>
      </c>
      <c r="I2591">
        <v>197.69290000000001</v>
      </c>
      <c r="J2591">
        <v>-491.61529999999999</v>
      </c>
      <c r="K2591">
        <v>1.1111420000000001</v>
      </c>
      <c r="L2591">
        <v>241.3321</v>
      </c>
      <c r="M2591">
        <v>0.1865115</v>
      </c>
      <c r="N2591">
        <v>0</v>
      </c>
      <c r="O2591">
        <v>-0.98236140000000005</v>
      </c>
      <c r="P2591">
        <v>0.13626579999999999</v>
      </c>
      <c r="Q2591">
        <v>-4.5457980000000002E-2</v>
      </c>
      <c r="R2591">
        <v>-0.98962899999999998</v>
      </c>
      <c r="S2591">
        <v>1.640015</v>
      </c>
      <c r="T2591">
        <v>-7.4345469999999997E-2</v>
      </c>
      <c r="U2591">
        <v>-2.8042449999999999</v>
      </c>
      <c r="V2591">
        <v>5.0793379999999999E-2</v>
      </c>
      <c r="W2591">
        <v>-3.1945809999999998E-2</v>
      </c>
      <c r="X2591">
        <v>0.99819820000000004</v>
      </c>
      <c r="Y2591">
        <v>-0.3348255</v>
      </c>
      <c r="Z2591">
        <v>2.3213729999999998E-2</v>
      </c>
      <c r="AA2591">
        <v>0.9419942</v>
      </c>
      <c r="AB2591">
        <v>18</v>
      </c>
      <c r="AC2591">
        <v>25.5822</v>
      </c>
      <c r="AD2591">
        <v>-1.1611419999999999</v>
      </c>
      <c r="AE2591">
        <v>-43.639199999999903</v>
      </c>
      <c r="AF2591">
        <v>-16.984329643655698</v>
      </c>
      <c r="AG2591">
        <v>-1.1611419999999999</v>
      </c>
      <c r="AH2591">
        <v>47.620026335955998</v>
      </c>
      <c r="AI2591">
        <v>91.315648235857296</v>
      </c>
      <c r="AJ2591">
        <v>109.629466811691</v>
      </c>
      <c r="AK2591">
        <v>50.571559323652203</v>
      </c>
      <c r="AL2591">
        <v>91.830671417372699</v>
      </c>
      <c r="AM2591">
        <v>87.087013007429505</v>
      </c>
      <c r="AN2591">
        <v>1.0000000743558</v>
      </c>
    </row>
    <row r="2592" spans="1:40" x14ac:dyDescent="0.25">
      <c r="A2592" t="str">
        <f>"20190312161317871"</f>
        <v>20190312161317871</v>
      </c>
      <c r="B2592" t="str">
        <f>"1552378397868816"</f>
        <v>1552378397868816</v>
      </c>
      <c r="C2592" t="s">
        <v>40</v>
      </c>
      <c r="D2592">
        <v>5.3379649999999996</v>
      </c>
      <c r="E2592">
        <v>0.34344669999999999</v>
      </c>
      <c r="F2592" t="s">
        <v>41</v>
      </c>
      <c r="G2592">
        <v>-465.06599999999997</v>
      </c>
      <c r="H2592">
        <v>-0.05</v>
      </c>
      <c r="I2592">
        <v>196.10159999999999</v>
      </c>
      <c r="J2592">
        <v>-491.59539999999998</v>
      </c>
      <c r="K2592">
        <v>1.1111470000000001</v>
      </c>
      <c r="L2592">
        <v>241.23410000000001</v>
      </c>
      <c r="M2592">
        <v>0.1875561</v>
      </c>
      <c r="N2592">
        <v>0</v>
      </c>
      <c r="O2592">
        <v>-0.98216239999999999</v>
      </c>
      <c r="P2592">
        <v>0.1374194</v>
      </c>
      <c r="Q2592">
        <v>-4.5489660000000001E-2</v>
      </c>
      <c r="R2592">
        <v>-0.98946809999999996</v>
      </c>
      <c r="S2592">
        <v>1.644531</v>
      </c>
      <c r="T2592">
        <v>-7.1924210000000002E-2</v>
      </c>
      <c r="U2592">
        <v>-2.8016969999999999</v>
      </c>
      <c r="V2592">
        <v>5.0691149999999997E-2</v>
      </c>
      <c r="W2592">
        <v>-3.1978640000000003E-2</v>
      </c>
      <c r="X2592">
        <v>0.99820229999999999</v>
      </c>
      <c r="Y2592">
        <v>-0.33533560000000001</v>
      </c>
      <c r="Z2592">
        <v>2.2458229999999999E-2</v>
      </c>
      <c r="AA2592">
        <v>0.94183099999999997</v>
      </c>
      <c r="AB2592">
        <v>18</v>
      </c>
      <c r="AC2592">
        <v>26.529399999999999</v>
      </c>
      <c r="AD2592">
        <v>-1.1611469999999999</v>
      </c>
      <c r="AE2592">
        <v>-45.1325</v>
      </c>
      <c r="AF2592">
        <v>-17.584234300781301</v>
      </c>
      <c r="AG2592">
        <v>-1.1611469999999999</v>
      </c>
      <c r="AH2592">
        <v>49.283382477345398</v>
      </c>
      <c r="AI2592">
        <v>91.271210052244797</v>
      </c>
      <c r="AJ2592">
        <v>109.636321138461</v>
      </c>
      <c r="AK2592">
        <v>52.3393288714013</v>
      </c>
      <c r="AL2592">
        <v>91.832553482522201</v>
      </c>
      <c r="AM2592">
        <v>87.092877723915905</v>
      </c>
      <c r="AN2592">
        <v>1.00000002891493</v>
      </c>
    </row>
    <row r="2593" spans="1:40" x14ac:dyDescent="0.25">
      <c r="A2593" t="str">
        <f>"20190312161317882"</f>
        <v>20190312161317882</v>
      </c>
      <c r="B2593" t="str">
        <f>"1552378397878576"</f>
        <v>1552378397878576</v>
      </c>
      <c r="C2593" t="s">
        <v>40</v>
      </c>
      <c r="D2593">
        <v>5.3781699999999999</v>
      </c>
      <c r="E2593">
        <v>0.34341070000000001</v>
      </c>
      <c r="F2593" t="s">
        <v>41</v>
      </c>
      <c r="G2593">
        <v>-464.62450000000001</v>
      </c>
      <c r="H2593">
        <v>-0.05</v>
      </c>
      <c r="I2593">
        <v>195.40780000000001</v>
      </c>
      <c r="J2593">
        <v>-491.57679999999999</v>
      </c>
      <c r="K2593">
        <v>1.1111489999999999</v>
      </c>
      <c r="L2593">
        <v>241.1429</v>
      </c>
      <c r="M2593">
        <v>0.18853130000000001</v>
      </c>
      <c r="N2593">
        <v>0</v>
      </c>
      <c r="O2593">
        <v>-0.98197559999999995</v>
      </c>
      <c r="P2593">
        <v>0.1383605</v>
      </c>
      <c r="Q2593">
        <v>-4.523075E-2</v>
      </c>
      <c r="R2593">
        <v>-0.98934860000000002</v>
      </c>
      <c r="S2593">
        <v>1.6478269999999999</v>
      </c>
      <c r="T2593">
        <v>-7.0941809999999994E-2</v>
      </c>
      <c r="U2593">
        <v>-2.79982</v>
      </c>
      <c r="V2593">
        <v>5.0734649999999999E-2</v>
      </c>
      <c r="W2593">
        <v>-3.1720360000000003E-2</v>
      </c>
      <c r="X2593">
        <v>0.99820830000000005</v>
      </c>
      <c r="Y2593">
        <v>-0.335503</v>
      </c>
      <c r="Z2593">
        <v>2.2151239999999999E-2</v>
      </c>
      <c r="AA2593">
        <v>0.94177869999999997</v>
      </c>
      <c r="AB2593">
        <v>18</v>
      </c>
      <c r="AC2593">
        <v>26.952299999999902</v>
      </c>
      <c r="AD2593">
        <v>-1.161149</v>
      </c>
      <c r="AE2593">
        <v>-45.735099999999903</v>
      </c>
      <c r="AF2593">
        <v>-17.837074386666099</v>
      </c>
      <c r="AG2593">
        <v>-1.161149</v>
      </c>
      <c r="AH2593">
        <v>49.9726927884793</v>
      </c>
      <c r="AI2593">
        <v>91.253628366124005</v>
      </c>
      <c r="AJ2593">
        <v>109.643333732147</v>
      </c>
      <c r="AK2593">
        <v>53.0733408992443</v>
      </c>
      <c r="AL2593">
        <v>91.817747673694598</v>
      </c>
      <c r="AM2593">
        <v>87.090404755836801</v>
      </c>
      <c r="AN2593">
        <v>0.99999999806902096</v>
      </c>
    </row>
    <row r="2594" spans="1:40" x14ac:dyDescent="0.25">
      <c r="A2594" t="str">
        <f>"20190312161317894"</f>
        <v>20190312161317894</v>
      </c>
      <c r="B2594" t="str">
        <f>"1552378397888337"</f>
        <v>1552378397888337</v>
      </c>
      <c r="C2594" t="s">
        <v>40</v>
      </c>
      <c r="D2594">
        <v>5.3217869999999996</v>
      </c>
      <c r="E2594">
        <v>0.34341579999999999</v>
      </c>
      <c r="F2594" t="s">
        <v>41</v>
      </c>
      <c r="G2594">
        <v>-464.09750000000003</v>
      </c>
      <c r="H2594">
        <v>-0.05</v>
      </c>
      <c r="I2594">
        <v>194.5453</v>
      </c>
      <c r="J2594">
        <v>-491.5582</v>
      </c>
      <c r="K2594">
        <v>1.1111470000000001</v>
      </c>
      <c r="L2594">
        <v>241.05179999999999</v>
      </c>
      <c r="M2594">
        <v>0.1895057</v>
      </c>
      <c r="N2594">
        <v>0</v>
      </c>
      <c r="O2594">
        <v>-0.98178810000000005</v>
      </c>
      <c r="P2594">
        <v>0.1397215</v>
      </c>
      <c r="Q2594">
        <v>-4.4936860000000002E-2</v>
      </c>
      <c r="R2594">
        <v>-0.98917100000000002</v>
      </c>
      <c r="S2594">
        <v>1.6502079999999999</v>
      </c>
      <c r="T2594">
        <v>-6.9730159999999999E-2</v>
      </c>
      <c r="U2594">
        <v>-2.7983090000000002</v>
      </c>
      <c r="V2594">
        <v>5.0354110000000001E-2</v>
      </c>
      <c r="W2594">
        <v>-3.1427740000000003E-2</v>
      </c>
      <c r="X2594">
        <v>0.99823680000000004</v>
      </c>
      <c r="Y2594">
        <v>-0.3353893</v>
      </c>
      <c r="Z2594">
        <v>2.177304E-2</v>
      </c>
      <c r="AA2594">
        <v>0.941828</v>
      </c>
      <c r="AB2594">
        <v>18</v>
      </c>
      <c r="AC2594">
        <v>27.4606999999999</v>
      </c>
      <c r="AD2594">
        <v>-1.1611469999999999</v>
      </c>
      <c r="AE2594">
        <v>-46.506499999999903</v>
      </c>
      <c r="AF2594">
        <v>-18.140587653498599</v>
      </c>
      <c r="AG2594">
        <v>-1.1611469999999999</v>
      </c>
      <c r="AH2594">
        <v>50.844557329508497</v>
      </c>
      <c r="AI2594">
        <v>91.232195102216096</v>
      </c>
      <c r="AJ2594">
        <v>109.63564997902201</v>
      </c>
      <c r="AK2594">
        <v>53.996279434823599</v>
      </c>
      <c r="AL2594">
        <v>91.800973462479107</v>
      </c>
      <c r="AM2594">
        <v>87.112273676040303</v>
      </c>
      <c r="AN2594">
        <v>0.999999974054819</v>
      </c>
    </row>
    <row r="2595" spans="1:40" x14ac:dyDescent="0.25">
      <c r="A2595" t="str">
        <f>"20190312161317905"</f>
        <v>20190312161317905</v>
      </c>
      <c r="B2595" t="str">
        <f>"1552378397898096"</f>
        <v>1552378397898096</v>
      </c>
      <c r="C2595" t="s">
        <v>40</v>
      </c>
      <c r="D2595">
        <v>5.340713</v>
      </c>
      <c r="E2595">
        <v>0.34342660000000003</v>
      </c>
      <c r="F2595" t="s">
        <v>41</v>
      </c>
      <c r="G2595">
        <v>-463.75110000000001</v>
      </c>
      <c r="H2595">
        <v>-0.05</v>
      </c>
      <c r="I2595">
        <v>194.0634</v>
      </c>
      <c r="J2595">
        <v>-491.53840000000002</v>
      </c>
      <c r="K2595">
        <v>1.1111489999999999</v>
      </c>
      <c r="L2595">
        <v>240.9555</v>
      </c>
      <c r="M2595">
        <v>0.19053980000000001</v>
      </c>
      <c r="N2595">
        <v>0</v>
      </c>
      <c r="O2595">
        <v>-0.98158780000000001</v>
      </c>
      <c r="P2595">
        <v>0.14100489999999999</v>
      </c>
      <c r="Q2595">
        <v>-4.4926489999999999E-2</v>
      </c>
      <c r="R2595">
        <v>-0.98898909999999995</v>
      </c>
      <c r="S2595">
        <v>1.654633</v>
      </c>
      <c r="T2595">
        <v>-6.9092990000000007E-2</v>
      </c>
      <c r="U2595">
        <v>-2.7960050000000001</v>
      </c>
      <c r="V2595">
        <v>5.0110540000000002E-2</v>
      </c>
      <c r="W2595">
        <v>-3.1418599999999998E-2</v>
      </c>
      <c r="X2595">
        <v>0.99824939999999995</v>
      </c>
      <c r="Y2595">
        <v>-0.33584340000000001</v>
      </c>
      <c r="Z2595">
        <v>2.157295E-2</v>
      </c>
      <c r="AA2595">
        <v>0.94167080000000003</v>
      </c>
      <c r="AB2595">
        <v>18</v>
      </c>
      <c r="AC2595">
        <v>27.787299999999998</v>
      </c>
      <c r="AD2595">
        <v>-1.161149</v>
      </c>
      <c r="AE2595">
        <v>-46.892099999999999</v>
      </c>
      <c r="AF2595">
        <v>-18.3341937789078</v>
      </c>
      <c r="AG2595">
        <v>-1.161149</v>
      </c>
      <c r="AH2595">
        <v>51.304636463314303</v>
      </c>
      <c r="AI2595">
        <v>91.220928786013005</v>
      </c>
      <c r="AJ2595">
        <v>109.664826467506</v>
      </c>
      <c r="AK2595">
        <v>54.494556160735797</v>
      </c>
      <c r="AL2595">
        <v>91.800449420222407</v>
      </c>
      <c r="AM2595">
        <v>87.126254759871003</v>
      </c>
      <c r="AN2595">
        <v>1.0000000296227001</v>
      </c>
    </row>
    <row r="2596" spans="1:40" x14ac:dyDescent="0.25">
      <c r="A2596" t="str">
        <f>"20190312161317926"</f>
        <v>20190312161317926</v>
      </c>
      <c r="B2596" t="str">
        <f>"1552378397918597"</f>
        <v>1552378397918597</v>
      </c>
      <c r="C2596" t="s">
        <v>40</v>
      </c>
      <c r="D2596">
        <v>5.34816</v>
      </c>
      <c r="E2596">
        <v>0.34346009999999999</v>
      </c>
      <c r="F2596" t="s">
        <v>41</v>
      </c>
      <c r="G2596">
        <v>-463.61649999999997</v>
      </c>
      <c r="H2596">
        <v>-0.05</v>
      </c>
      <c r="I2596">
        <v>193.91579999999999</v>
      </c>
      <c r="J2596">
        <v>-491.50450000000001</v>
      </c>
      <c r="K2596">
        <v>1.1111519999999999</v>
      </c>
      <c r="L2596">
        <v>240.792</v>
      </c>
      <c r="M2596">
        <v>0.19229830000000001</v>
      </c>
      <c r="N2596">
        <v>0</v>
      </c>
      <c r="O2596">
        <v>-0.98124469999999997</v>
      </c>
      <c r="P2596">
        <v>0.1427649</v>
      </c>
      <c r="Q2596">
        <v>-4.4973659999999999E-2</v>
      </c>
      <c r="R2596">
        <v>-0.98873409999999995</v>
      </c>
      <c r="S2596">
        <v>1.6583559999999999</v>
      </c>
      <c r="T2596">
        <v>-6.8963650000000001E-2</v>
      </c>
      <c r="U2596">
        <v>-2.7938079999999998</v>
      </c>
      <c r="V2596">
        <v>5.0122319999999998E-2</v>
      </c>
      <c r="W2596">
        <v>-3.1467269999999999E-2</v>
      </c>
      <c r="X2596">
        <v>0.99824729999999995</v>
      </c>
      <c r="Y2596">
        <v>-0.33540920000000002</v>
      </c>
      <c r="Z2596">
        <v>2.153074E-2</v>
      </c>
      <c r="AA2596">
        <v>0.94182650000000001</v>
      </c>
      <c r="AB2596">
        <v>18</v>
      </c>
      <c r="AC2596">
        <v>27.888000000000002</v>
      </c>
      <c r="AD2596">
        <v>-1.161152</v>
      </c>
      <c r="AE2596">
        <v>-46.876199999999997</v>
      </c>
      <c r="AF2596">
        <v>-18.344079042008399</v>
      </c>
      <c r="AG2596">
        <v>-1.161152</v>
      </c>
      <c r="AH2596">
        <v>51.3411990368838</v>
      </c>
      <c r="AI2596">
        <v>91.220086661062197</v>
      </c>
      <c r="AJ2596">
        <v>109.66167876081001</v>
      </c>
      <c r="AK2596">
        <v>54.532304448019403</v>
      </c>
      <c r="AL2596">
        <v>91.803239341257495</v>
      </c>
      <c r="AM2596">
        <v>87.125574295098104</v>
      </c>
      <c r="AN2596">
        <v>1.00000005400036</v>
      </c>
    </row>
    <row r="2597" spans="1:40" x14ac:dyDescent="0.25">
      <c r="A2597" t="str">
        <f>"20190312161317938"</f>
        <v>20190312161317938</v>
      </c>
      <c r="B2597" t="str">
        <f>"1552378397928352"</f>
        <v>1552378397928352</v>
      </c>
      <c r="C2597" t="s">
        <v>40</v>
      </c>
      <c r="D2597">
        <v>5.3441979999999996</v>
      </c>
      <c r="E2597">
        <v>0.34349279999999999</v>
      </c>
      <c r="F2597" t="s">
        <v>41</v>
      </c>
      <c r="G2597">
        <v>-463.3956</v>
      </c>
      <c r="H2597">
        <v>-0.05</v>
      </c>
      <c r="I2597">
        <v>193.6172</v>
      </c>
      <c r="J2597">
        <v>-491.48509999999999</v>
      </c>
      <c r="K2597">
        <v>1.1111519999999999</v>
      </c>
      <c r="L2597">
        <v>240.69919999999999</v>
      </c>
      <c r="M2597">
        <v>0.19329859999999999</v>
      </c>
      <c r="N2597">
        <v>0</v>
      </c>
      <c r="O2597">
        <v>-0.98104840000000004</v>
      </c>
      <c r="P2597">
        <v>0.14390159999999999</v>
      </c>
      <c r="Q2597">
        <v>-4.5338730000000001E-2</v>
      </c>
      <c r="R2597">
        <v>-0.98855320000000002</v>
      </c>
      <c r="S2597">
        <v>1.6629640000000001</v>
      </c>
      <c r="T2597">
        <v>-6.8695660000000006E-2</v>
      </c>
      <c r="U2597">
        <v>-2.7909389999999998</v>
      </c>
      <c r="V2597">
        <v>4.9990140000000002E-2</v>
      </c>
      <c r="W2597">
        <v>-3.1833670000000001E-2</v>
      </c>
      <c r="X2597">
        <v>0.99824230000000003</v>
      </c>
      <c r="Y2597">
        <v>-0.33602290000000001</v>
      </c>
      <c r="Z2597">
        <v>2.1448709999999999E-2</v>
      </c>
      <c r="AA2597">
        <v>0.94160960000000005</v>
      </c>
      <c r="AB2597">
        <v>18</v>
      </c>
      <c r="AC2597">
        <v>28.089499999999902</v>
      </c>
      <c r="AD2597">
        <v>-1.161152</v>
      </c>
      <c r="AE2597">
        <v>-47.082000000000001</v>
      </c>
      <c r="AF2597">
        <v>-18.4496568458678</v>
      </c>
      <c r="AG2597">
        <v>-1.161152</v>
      </c>
      <c r="AH2597">
        <v>51.6008736541866</v>
      </c>
      <c r="AI2597">
        <v>91.213853195999206</v>
      </c>
      <c r="AJ2597">
        <v>109.67427821211299</v>
      </c>
      <c r="AK2597">
        <v>54.812300385704603</v>
      </c>
      <c r="AL2597">
        <v>91.824243056675101</v>
      </c>
      <c r="AM2597">
        <v>87.133127584493096</v>
      </c>
      <c r="AN2597">
        <v>1.00000004307608</v>
      </c>
    </row>
    <row r="2598" spans="1:40" x14ac:dyDescent="0.25">
      <c r="A2598" t="str">
        <f>"20190312161317950"</f>
        <v>20190312161317950</v>
      </c>
      <c r="B2598" t="str">
        <f>"1552378397938618"</f>
        <v>1552378397938618</v>
      </c>
      <c r="C2598" t="s">
        <v>40</v>
      </c>
      <c r="D2598">
        <v>5.3103680000000004</v>
      </c>
      <c r="E2598">
        <v>0.34352169999999999</v>
      </c>
      <c r="F2598" t="s">
        <v>41</v>
      </c>
      <c r="G2598">
        <v>-463.48140000000001</v>
      </c>
      <c r="H2598">
        <v>-0.05</v>
      </c>
      <c r="I2598">
        <v>193.81100000000001</v>
      </c>
      <c r="J2598">
        <v>-491.46550000000002</v>
      </c>
      <c r="K2598">
        <v>1.111151</v>
      </c>
      <c r="L2598">
        <v>240.6061</v>
      </c>
      <c r="M2598">
        <v>0.1943039</v>
      </c>
      <c r="N2598">
        <v>0</v>
      </c>
      <c r="O2598">
        <v>-0.98085</v>
      </c>
      <c r="P2598">
        <v>0.14477880000000001</v>
      </c>
      <c r="Q2598">
        <v>-4.5627460000000002E-2</v>
      </c>
      <c r="R2598">
        <v>-0.98841190000000001</v>
      </c>
      <c r="S2598">
        <v>1.6657709999999999</v>
      </c>
      <c r="T2598">
        <v>-6.9070099999999995E-2</v>
      </c>
      <c r="U2598">
        <v>-2.7891080000000001</v>
      </c>
      <c r="V2598">
        <v>5.0125259999999998E-2</v>
      </c>
      <c r="W2598">
        <v>-3.2123260000000001E-2</v>
      </c>
      <c r="X2598">
        <v>0.99822619999999895</v>
      </c>
      <c r="Y2598">
        <v>-0.33602710000000002</v>
      </c>
      <c r="Z2598">
        <v>2.1565939999999999E-2</v>
      </c>
      <c r="AA2598">
        <v>0.94160540000000004</v>
      </c>
      <c r="AB2598">
        <v>18</v>
      </c>
      <c r="AC2598">
        <v>27.984100000000002</v>
      </c>
      <c r="AD2598">
        <v>-1.161151</v>
      </c>
      <c r="AE2598">
        <v>-46.795099999999998</v>
      </c>
      <c r="AF2598">
        <v>-18.3490579075923</v>
      </c>
      <c r="AG2598">
        <v>-1.161151</v>
      </c>
      <c r="AH2598">
        <v>51.317722092258101</v>
      </c>
      <c r="AI2598">
        <v>91.220542873509601</v>
      </c>
      <c r="AJ2598">
        <v>109.67491237442501</v>
      </c>
      <c r="AK2598">
        <v>54.511877590844499</v>
      </c>
      <c r="AL2598">
        <v>91.840843917929902</v>
      </c>
      <c r="AM2598">
        <v>87.125345314324093</v>
      </c>
      <c r="AN2598">
        <v>0.99999999594476696</v>
      </c>
    </row>
    <row r="2599" spans="1:40" x14ac:dyDescent="0.25">
      <c r="A2599" t="str">
        <f>"20190312161317963"</f>
        <v>20190312161317963</v>
      </c>
      <c r="B2599" t="str">
        <f>"1552378397958138"</f>
        <v>1552378397958138</v>
      </c>
      <c r="C2599" t="s">
        <v>40</v>
      </c>
      <c r="D2599">
        <v>5.3445669999999996</v>
      </c>
      <c r="E2599">
        <v>0.34356900000000001</v>
      </c>
      <c r="F2599" t="s">
        <v>41</v>
      </c>
      <c r="G2599">
        <v>-463.60410000000002</v>
      </c>
      <c r="H2599">
        <v>-0.05</v>
      </c>
      <c r="I2599">
        <v>194.03909999999999</v>
      </c>
      <c r="J2599">
        <v>-491.44400000000002</v>
      </c>
      <c r="K2599">
        <v>1.1111519999999999</v>
      </c>
      <c r="L2599">
        <v>240.5042</v>
      </c>
      <c r="M2599">
        <v>0.19540579999999999</v>
      </c>
      <c r="N2599">
        <v>0</v>
      </c>
      <c r="O2599">
        <v>-0.98063080000000002</v>
      </c>
      <c r="P2599">
        <v>0.14579790000000001</v>
      </c>
      <c r="Q2599">
        <v>-4.6007039999999999E-2</v>
      </c>
      <c r="R2599">
        <v>-0.98824400000000001</v>
      </c>
      <c r="S2599">
        <v>1.6678770000000001</v>
      </c>
      <c r="T2599">
        <v>-6.9510459999999996E-2</v>
      </c>
      <c r="U2599">
        <v>-2.7876590000000001</v>
      </c>
      <c r="V2599">
        <v>5.0214920000000003E-2</v>
      </c>
      <c r="W2599">
        <v>-3.2503980000000002E-2</v>
      </c>
      <c r="X2599">
        <v>0.99820940000000002</v>
      </c>
      <c r="Y2599">
        <v>-0.33570670000000002</v>
      </c>
      <c r="Z2599">
        <v>2.1703130000000001E-2</v>
      </c>
      <c r="AA2599">
        <v>0.94171649999999996</v>
      </c>
      <c r="AB2599">
        <v>18</v>
      </c>
      <c r="AC2599">
        <v>27.8399</v>
      </c>
      <c r="AD2599">
        <v>-1.161152</v>
      </c>
      <c r="AE2599">
        <v>-46.4651</v>
      </c>
      <c r="AF2599">
        <v>-18.214381789715201</v>
      </c>
      <c r="AG2599">
        <v>-1.161152</v>
      </c>
      <c r="AH2599">
        <v>50.9863428347184</v>
      </c>
      <c r="AI2599">
        <v>91.228597855720594</v>
      </c>
      <c r="AJ2599">
        <v>109.658780762362</v>
      </c>
      <c r="AK2599">
        <v>54.154585527063702</v>
      </c>
      <c r="AL2599">
        <v>91.862668907754497</v>
      </c>
      <c r="AM2599">
        <v>87.120163627324104</v>
      </c>
      <c r="AN2599">
        <v>1.0000000265774001</v>
      </c>
    </row>
    <row r="2600" spans="1:40" x14ac:dyDescent="0.25">
      <c r="A2600" t="str">
        <f>"20190312161317983"</f>
        <v>20190312161317983</v>
      </c>
      <c r="B2600" t="str">
        <f>"1552378397978634"</f>
        <v>1552378397978634</v>
      </c>
      <c r="C2600" t="s">
        <v>40</v>
      </c>
      <c r="D2600">
        <v>5.2531420000000004</v>
      </c>
      <c r="E2600">
        <v>0.3435127</v>
      </c>
      <c r="F2600" t="s">
        <v>41</v>
      </c>
      <c r="G2600">
        <v>-463.8485</v>
      </c>
      <c r="H2600">
        <v>-0.05</v>
      </c>
      <c r="I2600">
        <v>194.47980000000001</v>
      </c>
      <c r="J2600">
        <v>-491.41019999999997</v>
      </c>
      <c r="K2600">
        <v>1.1111489999999999</v>
      </c>
      <c r="L2600">
        <v>240.34520000000001</v>
      </c>
      <c r="M2600">
        <v>0.1971282</v>
      </c>
      <c r="N2600">
        <v>0</v>
      </c>
      <c r="O2600">
        <v>-0.98028610000000005</v>
      </c>
      <c r="P2600">
        <v>0.14717820000000001</v>
      </c>
      <c r="Q2600">
        <v>-4.5629339999999997E-2</v>
      </c>
      <c r="R2600">
        <v>-0.98805679999999996</v>
      </c>
      <c r="S2600">
        <v>1.6704410000000001</v>
      </c>
      <c r="T2600">
        <v>-7.0288059999999999E-2</v>
      </c>
      <c r="U2600">
        <v>-2.7859950000000002</v>
      </c>
      <c r="V2600">
        <v>5.0576400000000001E-2</v>
      </c>
      <c r="W2600">
        <v>-3.2127219999999998E-2</v>
      </c>
      <c r="X2600">
        <v>0.99820330000000002</v>
      </c>
      <c r="Y2600">
        <v>-0.33493440000000002</v>
      </c>
      <c r="Z2600">
        <v>2.194374E-2</v>
      </c>
      <c r="AA2600">
        <v>0.94198590000000004</v>
      </c>
      <c r="AB2600">
        <v>18</v>
      </c>
      <c r="AC2600">
        <v>27.561699999999899</v>
      </c>
      <c r="AD2600">
        <v>-1.161149</v>
      </c>
      <c r="AE2600">
        <v>-45.865400000000001</v>
      </c>
      <c r="AF2600">
        <v>-17.970140713804899</v>
      </c>
      <c r="AG2600">
        <v>-1.161149</v>
      </c>
      <c r="AH2600">
        <v>50.375208547489201</v>
      </c>
      <c r="AI2600">
        <v>91.243697445041406</v>
      </c>
      <c r="AJ2600">
        <v>109.63263295056601</v>
      </c>
      <c r="AK2600">
        <v>53.497064036049501</v>
      </c>
      <c r="AL2600">
        <v>91.841070957012406</v>
      </c>
      <c r="AM2600">
        <v>87.099450252231094</v>
      </c>
      <c r="AN2600">
        <v>0.99999997931638895</v>
      </c>
    </row>
    <row r="2601" spans="1:40" x14ac:dyDescent="0.25">
      <c r="A2601" t="str">
        <f>"20190312161318005"</f>
        <v>20190312161318005</v>
      </c>
      <c r="B2601" t="str">
        <f>"1552378397998154"</f>
        <v>1552378397998154</v>
      </c>
      <c r="C2601" t="s">
        <v>40</v>
      </c>
      <c r="D2601">
        <v>5.2804289999999998</v>
      </c>
      <c r="E2601">
        <v>0.33038579999999901</v>
      </c>
      <c r="F2601" t="s">
        <v>41</v>
      </c>
      <c r="G2601">
        <v>-463.32380000000001</v>
      </c>
      <c r="H2601">
        <v>-0.05</v>
      </c>
      <c r="I2601">
        <v>193.67140000000001</v>
      </c>
      <c r="J2601">
        <v>-491.3723</v>
      </c>
      <c r="K2601">
        <v>1.1111439999999999</v>
      </c>
      <c r="L2601">
        <v>240.1686</v>
      </c>
      <c r="M2601">
        <v>0.19904579999999999</v>
      </c>
      <c r="N2601">
        <v>0</v>
      </c>
      <c r="O2601">
        <v>-0.97989850000000001</v>
      </c>
      <c r="P2601">
        <v>0.1491759</v>
      </c>
      <c r="Q2601">
        <v>-4.5726509999999998E-2</v>
      </c>
      <c r="R2601">
        <v>-0.98775290000000004</v>
      </c>
      <c r="S2601">
        <v>1.6750179999999999</v>
      </c>
      <c r="T2601">
        <v>-6.9248680000000007E-2</v>
      </c>
      <c r="U2601">
        <v>-2.7835390000000002</v>
      </c>
      <c r="V2601">
        <v>5.051021E-2</v>
      </c>
      <c r="W2601">
        <v>-3.2226449999999997E-2</v>
      </c>
      <c r="X2601">
        <v>0.99820350000000002</v>
      </c>
      <c r="Y2601">
        <v>-0.33459929999999999</v>
      </c>
      <c r="Z2601">
        <v>2.161573E-2</v>
      </c>
      <c r="AA2601">
        <v>0.94211259999999997</v>
      </c>
      <c r="AB2601">
        <v>18</v>
      </c>
      <c r="AC2601">
        <v>28.048499999999901</v>
      </c>
      <c r="AD2601">
        <v>-1.161144</v>
      </c>
      <c r="AE2601">
        <v>-46.4971999999999</v>
      </c>
      <c r="AF2601">
        <v>-18.222916676247301</v>
      </c>
      <c r="AG2601">
        <v>-1.161144</v>
      </c>
      <c r="AH2601">
        <v>51.126691711950798</v>
      </c>
      <c r="AI2601">
        <v>91.225533322450104</v>
      </c>
      <c r="AJ2601">
        <v>109.61742341685201</v>
      </c>
      <c r="AK2601">
        <v>54.2896081491389</v>
      </c>
      <c r="AL2601">
        <v>91.846759275850104</v>
      </c>
      <c r="AM2601">
        <v>87.1032403496841</v>
      </c>
      <c r="AN2601">
        <v>1.00000002640304</v>
      </c>
    </row>
    <row r="2602" spans="1:40" x14ac:dyDescent="0.25">
      <c r="A2602" t="str">
        <f>"20190312161318028"</f>
        <v>20190312161318028</v>
      </c>
      <c r="B2602" t="str">
        <f>"1552378398018650"</f>
        <v>1552378398018650</v>
      </c>
      <c r="C2602" t="s">
        <v>40</v>
      </c>
      <c r="D2602">
        <v>5.2523249999999999</v>
      </c>
      <c r="E2602">
        <v>0.33048670000000002</v>
      </c>
      <c r="F2602" t="s">
        <v>79</v>
      </c>
      <c r="G2602">
        <v>-463.87920000000003</v>
      </c>
      <c r="H2602">
        <v>0.40223170000000003</v>
      </c>
      <c r="I2602">
        <v>197.51820000000001</v>
      </c>
      <c r="J2602">
        <v>-491.33370000000002</v>
      </c>
      <c r="K2602">
        <v>1.11114</v>
      </c>
      <c r="L2602">
        <v>239.9907</v>
      </c>
      <c r="M2602">
        <v>0.2009833</v>
      </c>
      <c r="N2602">
        <v>0</v>
      </c>
      <c r="O2602">
        <v>-0.97950300000000001</v>
      </c>
      <c r="P2602">
        <v>0.15144279999999999</v>
      </c>
      <c r="Q2602">
        <v>-4.586378E-2</v>
      </c>
      <c r="R2602">
        <v>-0.98740170000000005</v>
      </c>
      <c r="S2602">
        <v>1.7828980000000001</v>
      </c>
      <c r="T2602">
        <v>-4.5969719999999999E-2</v>
      </c>
      <c r="U2602">
        <v>-2.7658230000000001</v>
      </c>
      <c r="V2602">
        <v>5.0192069999999998E-2</v>
      </c>
      <c r="W2602">
        <v>-3.2366100000000002E-2</v>
      </c>
      <c r="X2602">
        <v>0.99821499999999996</v>
      </c>
      <c r="Y2602">
        <v>-0.36174859999999998</v>
      </c>
      <c r="Z2602">
        <v>1.420897E-2</v>
      </c>
      <c r="AA2602">
        <v>0.93216739999999998</v>
      </c>
      <c r="AB2602">
        <v>18</v>
      </c>
      <c r="AC2602">
        <v>27.454499999999999</v>
      </c>
      <c r="AD2602">
        <v>-0.70890830000000005</v>
      </c>
      <c r="AE2602">
        <v>-42.472499999999997</v>
      </c>
      <c r="AF2602">
        <v>-18.353544065090102</v>
      </c>
      <c r="AG2602">
        <v>-0.70890830000000005</v>
      </c>
      <c r="AH2602">
        <v>47.114811269428102</v>
      </c>
      <c r="AI2602">
        <v>90.803244794843806</v>
      </c>
      <c r="AJ2602">
        <v>111.283368610244</v>
      </c>
      <c r="AK2602">
        <v>50.568375212981202</v>
      </c>
      <c r="AL2602">
        <v>91.854764861474905</v>
      </c>
      <c r="AM2602">
        <v>87.121487996647303</v>
      </c>
      <c r="AN2602">
        <v>0.99999999727254696</v>
      </c>
    </row>
    <row r="2603" spans="1:40" x14ac:dyDescent="0.25">
      <c r="A2603" t="str">
        <f>"20190312161318049"</f>
        <v>20190312161318049</v>
      </c>
      <c r="B2603" t="str">
        <f>"1552378398038170"</f>
        <v>1552378398038170</v>
      </c>
      <c r="C2603" t="s">
        <v>40</v>
      </c>
      <c r="D2603">
        <v>5.2857940000000001</v>
      </c>
      <c r="E2603">
        <v>0.33268530000000002</v>
      </c>
      <c r="F2603" t="s">
        <v>79</v>
      </c>
      <c r="G2603">
        <v>-463.71019999999999</v>
      </c>
      <c r="H2603">
        <v>0.36528110000000003</v>
      </c>
      <c r="I2603">
        <v>197.345</v>
      </c>
      <c r="J2603">
        <v>-491.29649999999998</v>
      </c>
      <c r="K2603">
        <v>1.11114</v>
      </c>
      <c r="L2603">
        <v>239.82069999999999</v>
      </c>
      <c r="M2603">
        <v>0.20284060000000001</v>
      </c>
      <c r="N2603">
        <v>0</v>
      </c>
      <c r="O2603">
        <v>-0.97911999999999999</v>
      </c>
      <c r="P2603">
        <v>0.15336540000000001</v>
      </c>
      <c r="Q2603">
        <v>-4.6375489999999998E-2</v>
      </c>
      <c r="R2603">
        <v>-0.98708059999999997</v>
      </c>
      <c r="S2603">
        <v>1.7888489999999999</v>
      </c>
      <c r="T2603">
        <v>-4.8298000000000001E-2</v>
      </c>
      <c r="U2603">
        <v>-2.7616420000000002</v>
      </c>
      <c r="V2603">
        <v>5.0137639999999997E-2</v>
      </c>
      <c r="W2603">
        <v>-3.2879779999999997E-2</v>
      </c>
      <c r="X2603">
        <v>0.998201</v>
      </c>
      <c r="Y2603">
        <v>-0.36203350000000001</v>
      </c>
      <c r="Z2603">
        <v>1.4929710000000001E-2</v>
      </c>
      <c r="AA2603">
        <v>0.93204549999999997</v>
      </c>
      <c r="AB2603">
        <v>18</v>
      </c>
      <c r="AC2603">
        <v>27.586299999999898</v>
      </c>
      <c r="AD2603">
        <v>-0.74585889999999999</v>
      </c>
      <c r="AE2603">
        <v>-42.475699999999897</v>
      </c>
      <c r="AF2603">
        <v>-18.392166045451201</v>
      </c>
      <c r="AG2603">
        <v>-0.74585889999999999</v>
      </c>
      <c r="AH2603">
        <v>47.178438053498901</v>
      </c>
      <c r="AI2603">
        <v>90.843883294493295</v>
      </c>
      <c r="AJ2603">
        <v>111.29795659639301</v>
      </c>
      <c r="AK2603">
        <v>50.642206651270598</v>
      </c>
      <c r="AL2603">
        <v>91.884212133139698</v>
      </c>
      <c r="AM2603">
        <v>87.124564051867196</v>
      </c>
      <c r="AN2603">
        <v>1.0000000496393</v>
      </c>
    </row>
    <row r="2604" spans="1:40" x14ac:dyDescent="0.25">
      <c r="A2604" t="str">
        <f>"20190312161318062"</f>
        <v>20190312161318062</v>
      </c>
      <c r="B2604" t="str">
        <f>"1552378398058668"</f>
        <v>1552378398058668</v>
      </c>
      <c r="C2604" t="s">
        <v>40</v>
      </c>
      <c r="D2604">
        <v>5.2624529999999998</v>
      </c>
      <c r="E2604">
        <v>0.3314782</v>
      </c>
      <c r="F2604" t="s">
        <v>63</v>
      </c>
      <c r="G2604">
        <v>-470.16120000000001</v>
      </c>
      <c r="H2604">
        <v>8.0000299999999996E-2</v>
      </c>
      <c r="I2604">
        <v>207.02590000000001</v>
      </c>
      <c r="J2604">
        <v>-491.27300000000002</v>
      </c>
      <c r="K2604">
        <v>1.111146</v>
      </c>
      <c r="L2604">
        <v>239.71420000000001</v>
      </c>
      <c r="M2604">
        <v>0.20400950000000001</v>
      </c>
      <c r="N2604">
        <v>0</v>
      </c>
      <c r="O2604">
        <v>-0.978877</v>
      </c>
      <c r="P2604">
        <v>0.154369799999999</v>
      </c>
      <c r="Q2604">
        <v>-4.6344610000000001E-2</v>
      </c>
      <c r="R2604">
        <v>-0.98692559999999996</v>
      </c>
      <c r="S2604">
        <v>1.778046</v>
      </c>
      <c r="T2604">
        <v>-8.6746219999999999E-2</v>
      </c>
      <c r="U2604">
        <v>-2.7589109999999999</v>
      </c>
      <c r="V2604">
        <v>5.0314070000000002E-2</v>
      </c>
      <c r="W2604">
        <v>-3.2849339999999998E-2</v>
      </c>
      <c r="X2604">
        <v>0.99819310000000006</v>
      </c>
      <c r="Y2604">
        <v>-0.35862870000000002</v>
      </c>
      <c r="Z2604">
        <v>2.6864320000000001E-2</v>
      </c>
      <c r="AA2604">
        <v>0.93309370000000003</v>
      </c>
      <c r="AB2604">
        <v>18</v>
      </c>
      <c r="AC2604">
        <v>21.111799999999999</v>
      </c>
      <c r="AD2604">
        <v>-1.0311456999999999</v>
      </c>
      <c r="AE2604">
        <v>-32.688299999999998</v>
      </c>
      <c r="AF2604">
        <v>-13.988568752987</v>
      </c>
      <c r="AG2604">
        <v>-1.0311456999999999</v>
      </c>
      <c r="AH2604">
        <v>36.282622771315999</v>
      </c>
      <c r="AI2604">
        <v>91.5189706721237</v>
      </c>
      <c r="AJ2604">
        <v>111.08387513082</v>
      </c>
      <c r="AK2604">
        <v>38.899511981222801</v>
      </c>
      <c r="AL2604">
        <v>91.882467153773902</v>
      </c>
      <c r="AM2604">
        <v>87.114439914723107</v>
      </c>
      <c r="AN2604">
        <v>1.0000000248330001</v>
      </c>
    </row>
    <row r="2605" spans="1:40" x14ac:dyDescent="0.25">
      <c r="A2605" t="str">
        <f>"20190312161318083"</f>
        <v>20190312161318083</v>
      </c>
      <c r="B2605" t="str">
        <f>"1552378398078187"</f>
        <v>1552378398078187</v>
      </c>
      <c r="C2605" t="s">
        <v>40</v>
      </c>
      <c r="D2605">
        <v>5.2533789999999998</v>
      </c>
      <c r="E2605">
        <v>0.33084180000000002</v>
      </c>
      <c r="F2605" t="s">
        <v>41</v>
      </c>
      <c r="G2605">
        <v>-461.60140000000001</v>
      </c>
      <c r="H2605">
        <v>-0.05</v>
      </c>
      <c r="I2605">
        <v>194.01339999999999</v>
      </c>
      <c r="J2605">
        <v>-491.23849999999999</v>
      </c>
      <c r="K2605">
        <v>1.111151</v>
      </c>
      <c r="L2605">
        <v>239.55869999999999</v>
      </c>
      <c r="M2605">
        <v>0.20572289999999999</v>
      </c>
      <c r="N2605">
        <v>0</v>
      </c>
      <c r="O2605">
        <v>-0.97851869999999996</v>
      </c>
      <c r="P2605">
        <v>0.15583610000000001</v>
      </c>
      <c r="Q2605">
        <v>-4.579942E-2</v>
      </c>
      <c r="R2605">
        <v>-0.98672090000000001</v>
      </c>
      <c r="S2605">
        <v>1.7897029999999901</v>
      </c>
      <c r="T2605">
        <v>-7.0036769999999998E-2</v>
      </c>
      <c r="U2605">
        <v>-2.7565309999999998</v>
      </c>
      <c r="V2605">
        <v>5.0582420000000003E-2</v>
      </c>
      <c r="W2605">
        <v>-3.2304399999999997E-2</v>
      </c>
      <c r="X2605">
        <v>0.99819729999999995</v>
      </c>
      <c r="Y2605">
        <v>-0.36021170000000002</v>
      </c>
      <c r="Z2605">
        <v>2.1666500000000002E-2</v>
      </c>
      <c r="AA2605">
        <v>0.93261890000000003</v>
      </c>
      <c r="AB2605">
        <v>18</v>
      </c>
      <c r="AC2605">
        <v>29.637099999999901</v>
      </c>
      <c r="AD2605">
        <v>-1.161151</v>
      </c>
      <c r="AE2605">
        <v>-45.545299999999997</v>
      </c>
      <c r="AF2605">
        <v>-19.6235444610519</v>
      </c>
      <c r="AG2605">
        <v>-1.161151</v>
      </c>
      <c r="AH2605">
        <v>50.6453734689401</v>
      </c>
      <c r="AI2605">
        <v>91.224704817063298</v>
      </c>
      <c r="AJ2605">
        <v>111.17983691977599</v>
      </c>
      <c r="AK2605">
        <v>54.326656649089898</v>
      </c>
      <c r="AL2605">
        <v>91.851227852432402</v>
      </c>
      <c r="AM2605">
        <v>87.099088188691596</v>
      </c>
      <c r="AN2605">
        <v>1.0000000025998499</v>
      </c>
    </row>
    <row r="2606" spans="1:40" x14ac:dyDescent="0.25">
      <c r="A2606" t="str">
        <f>"20190312161318106"</f>
        <v>20190312161318106</v>
      </c>
      <c r="B2606" t="str">
        <f>"1552378398098682"</f>
        <v>1552378398098682</v>
      </c>
      <c r="C2606" t="s">
        <v>40</v>
      </c>
      <c r="D2606">
        <v>5.2902089999999999</v>
      </c>
      <c r="E2606">
        <v>0.33080969999999998</v>
      </c>
      <c r="F2606" t="s">
        <v>79</v>
      </c>
      <c r="G2606">
        <v>-463.65260000000001</v>
      </c>
      <c r="H2606">
        <v>0.1008859</v>
      </c>
      <c r="I2606">
        <v>197.345</v>
      </c>
      <c r="J2606">
        <v>-491.19869999999997</v>
      </c>
      <c r="K2606">
        <v>1.1111610000000001</v>
      </c>
      <c r="L2606">
        <v>239.38120000000001</v>
      </c>
      <c r="M2606">
        <v>0.2076916</v>
      </c>
      <c r="N2606">
        <v>0</v>
      </c>
      <c r="O2606">
        <v>-0.97810260000000004</v>
      </c>
      <c r="P2606">
        <v>0.15745729999999999</v>
      </c>
      <c r="Q2606">
        <v>-4.5289889999999999E-2</v>
      </c>
      <c r="R2606">
        <v>-0.98648690000000006</v>
      </c>
      <c r="S2606">
        <v>1.799164</v>
      </c>
      <c r="T2606">
        <v>-6.5887329999999994E-2</v>
      </c>
      <c r="U2606">
        <v>-2.7531889999999999</v>
      </c>
      <c r="V2606">
        <v>5.0954869999999999E-2</v>
      </c>
      <c r="W2606">
        <v>-3.1794700000000002E-2</v>
      </c>
      <c r="X2606">
        <v>0.99819469999999999</v>
      </c>
      <c r="Y2606">
        <v>-0.36111539999999998</v>
      </c>
      <c r="Z2606">
        <v>2.0369809999999999E-2</v>
      </c>
      <c r="AA2606">
        <v>0.93229859999999998</v>
      </c>
      <c r="AB2606">
        <v>18</v>
      </c>
      <c r="AC2606">
        <v>27.5460999999999</v>
      </c>
      <c r="AD2606">
        <v>-1.0102751000000001</v>
      </c>
      <c r="AE2606">
        <v>-42.036200000000001</v>
      </c>
      <c r="AF2606">
        <v>-18.206624134903802</v>
      </c>
      <c r="AG2606">
        <v>-1.0102751000000001</v>
      </c>
      <c r="AH2606">
        <v>46.822094125966402</v>
      </c>
      <c r="AI2606">
        <v>91.152065492465397</v>
      </c>
      <c r="AJ2606">
        <v>111.248413588457</v>
      </c>
      <c r="AK2606">
        <v>50.247490648869203</v>
      </c>
      <c r="AL2606">
        <v>91.822009223625997</v>
      </c>
      <c r="AM2606">
        <v>87.077757397009094</v>
      </c>
      <c r="AN2606">
        <v>0.999999980416448</v>
      </c>
    </row>
    <row r="2607" spans="1:40" x14ac:dyDescent="0.25">
      <c r="A2607" t="str">
        <f>"20190312161318127"</f>
        <v>20190312161318127</v>
      </c>
      <c r="B2607" t="str">
        <f>"1552378398118203"</f>
        <v>1552378398118203</v>
      </c>
      <c r="C2607" t="s">
        <v>40</v>
      </c>
      <c r="D2607">
        <v>5.283023</v>
      </c>
      <c r="E2607">
        <v>0.33066679999999998</v>
      </c>
      <c r="F2607" t="s">
        <v>79</v>
      </c>
      <c r="G2607">
        <v>-463.63380000000001</v>
      </c>
      <c r="H2607">
        <v>0.14658929999999901</v>
      </c>
      <c r="I2607">
        <v>197.345</v>
      </c>
      <c r="J2607">
        <v>-491.15980000000002</v>
      </c>
      <c r="K2607">
        <v>1.1111709999999999</v>
      </c>
      <c r="L2607">
        <v>239.20939999999999</v>
      </c>
      <c r="M2607">
        <v>0.20961850000000001</v>
      </c>
      <c r="N2607">
        <v>0</v>
      </c>
      <c r="O2607">
        <v>-0.97769150000000005</v>
      </c>
      <c r="P2607">
        <v>0.15934000000000001</v>
      </c>
      <c r="Q2607">
        <v>-4.5402999999999999E-2</v>
      </c>
      <c r="R2607">
        <v>-0.98617920000000003</v>
      </c>
      <c r="S2607">
        <v>1.803528</v>
      </c>
      <c r="T2607">
        <v>-6.3107849999999993E-2</v>
      </c>
      <c r="U2607">
        <v>-2.7503510000000002</v>
      </c>
      <c r="V2607">
        <v>5.1016319999999997E-2</v>
      </c>
      <c r="W2607">
        <v>-3.1907930000000001E-2</v>
      </c>
      <c r="X2607">
        <v>0.99818799999999996</v>
      </c>
      <c r="Y2607">
        <v>-0.3607631</v>
      </c>
      <c r="Z2607">
        <v>1.9508950000000001E-2</v>
      </c>
      <c r="AA2607">
        <v>0.93245339999999999</v>
      </c>
      <c r="AB2607">
        <v>18</v>
      </c>
      <c r="AC2607">
        <v>27.526</v>
      </c>
      <c r="AD2607">
        <v>-0.96458169999999999</v>
      </c>
      <c r="AE2607">
        <v>-41.864399999999897</v>
      </c>
      <c r="AF2607">
        <v>-18.131290528535999</v>
      </c>
      <c r="AG2607">
        <v>-0.96458169999999999</v>
      </c>
      <c r="AH2607">
        <v>46.687312681860199</v>
      </c>
      <c r="AI2607">
        <v>91.1033297743612</v>
      </c>
      <c r="AJ2607">
        <v>111.22397142164</v>
      </c>
      <c r="AK2607">
        <v>50.093704989149501</v>
      </c>
      <c r="AL2607">
        <v>91.828500023654399</v>
      </c>
      <c r="AM2607">
        <v>87.074219777955307</v>
      </c>
      <c r="AN2607">
        <v>1.00000003212361</v>
      </c>
    </row>
    <row r="2608" spans="1:40" x14ac:dyDescent="0.25">
      <c r="A2608" t="str">
        <f>"20190312161318140"</f>
        <v>20190312161318140</v>
      </c>
      <c r="B2608" t="str">
        <f>"1552378398127963"</f>
        <v>1552378398127963</v>
      </c>
      <c r="C2608" t="s">
        <v>40</v>
      </c>
      <c r="D2608">
        <v>5.2661280000000001</v>
      </c>
      <c r="E2608">
        <v>0.33062449999999999</v>
      </c>
      <c r="F2608" t="s">
        <v>79</v>
      </c>
      <c r="G2608">
        <v>-463.57740000000001</v>
      </c>
      <c r="H2608">
        <v>0.14702029999999999</v>
      </c>
      <c r="I2608">
        <v>197.345</v>
      </c>
      <c r="J2608">
        <v>-491.13760000000002</v>
      </c>
      <c r="K2608">
        <v>1.1111770000000001</v>
      </c>
      <c r="L2608">
        <v>239.1122</v>
      </c>
      <c r="M2608">
        <v>0.21072440000000001</v>
      </c>
      <c r="N2608">
        <v>0</v>
      </c>
      <c r="O2608">
        <v>-0.97745369999999998</v>
      </c>
      <c r="P2608">
        <v>0.1605306</v>
      </c>
      <c r="Q2608">
        <v>-4.5589209999999998E-2</v>
      </c>
      <c r="R2608">
        <v>-0.98597780000000002</v>
      </c>
      <c r="S2608">
        <v>1.8096920000000001</v>
      </c>
      <c r="T2608">
        <v>-6.325567E-2</v>
      </c>
      <c r="U2608">
        <v>-2.7467350000000001</v>
      </c>
      <c r="V2608">
        <v>5.0939669999999999E-2</v>
      </c>
      <c r="W2608">
        <v>-3.2094089999999999E-2</v>
      </c>
      <c r="X2608">
        <v>0.99818589999999996</v>
      </c>
      <c r="Y2608">
        <v>-0.36173080000000002</v>
      </c>
      <c r="Z2608">
        <v>1.955405E-2</v>
      </c>
      <c r="AA2608">
        <v>0.9320775</v>
      </c>
      <c r="AB2608">
        <v>18</v>
      </c>
      <c r="AC2608">
        <v>27.560199999999998</v>
      </c>
      <c r="AD2608">
        <v>-0.96415669999999998</v>
      </c>
      <c r="AE2608">
        <v>-41.767200000000003</v>
      </c>
      <c r="AF2608">
        <v>-18.132347905038699</v>
      </c>
      <c r="AG2608">
        <v>-0.96415669999999998</v>
      </c>
      <c r="AH2608">
        <v>46.619989466263597</v>
      </c>
      <c r="AI2608">
        <v>91.104218449747194</v>
      </c>
      <c r="AJ2608">
        <v>111.25301633436899</v>
      </c>
      <c r="AK2608">
        <v>50.0313407428388</v>
      </c>
      <c r="AL2608">
        <v>91.839171756540196</v>
      </c>
      <c r="AM2608">
        <v>87.078601890844794</v>
      </c>
      <c r="AN2608">
        <v>0.99999998577572302</v>
      </c>
    </row>
    <row r="2609" spans="1:40" x14ac:dyDescent="0.25">
      <c r="A2609" t="str">
        <f>"20190312161318153"</f>
        <v>20190312161318153</v>
      </c>
      <c r="B2609" t="str">
        <f>"1552378398147989"</f>
        <v>1552378398147989</v>
      </c>
      <c r="C2609" t="s">
        <v>40</v>
      </c>
      <c r="D2609">
        <v>5.3112440000000003</v>
      </c>
      <c r="E2609">
        <v>0.33067829999999998</v>
      </c>
      <c r="F2609" t="s">
        <v>79</v>
      </c>
      <c r="G2609">
        <v>-463.53710000000001</v>
      </c>
      <c r="H2609">
        <v>0.1430206</v>
      </c>
      <c r="I2609">
        <v>197.345</v>
      </c>
      <c r="J2609">
        <v>-491.11340000000001</v>
      </c>
      <c r="K2609">
        <v>1.1111850000000001</v>
      </c>
      <c r="L2609">
        <v>239.0069</v>
      </c>
      <c r="M2609">
        <v>0.21192949999999999</v>
      </c>
      <c r="N2609">
        <v>0</v>
      </c>
      <c r="O2609">
        <v>-0.97719299999999998</v>
      </c>
      <c r="P2609">
        <v>0.1617584</v>
      </c>
      <c r="Q2609">
        <v>-4.5729230000000003E-2</v>
      </c>
      <c r="R2609">
        <v>-0.98577040000000005</v>
      </c>
      <c r="S2609">
        <v>1.813599</v>
      </c>
      <c r="T2609">
        <v>-6.361377E-2</v>
      </c>
      <c r="U2609">
        <v>-2.7444609999999998</v>
      </c>
      <c r="V2609">
        <v>5.0927029999999998E-2</v>
      </c>
      <c r="W2609">
        <v>-3.2233820000000003E-2</v>
      </c>
      <c r="X2609">
        <v>0.99818209999999996</v>
      </c>
      <c r="Y2609">
        <v>-0.36185879999999998</v>
      </c>
      <c r="Z2609">
        <v>1.9662809999999999E-2</v>
      </c>
      <c r="AA2609">
        <v>0.93202560000000001</v>
      </c>
      <c r="AB2609">
        <v>18</v>
      </c>
      <c r="AC2609">
        <v>27.5763</v>
      </c>
      <c r="AD2609">
        <v>-0.96816440000000004</v>
      </c>
      <c r="AE2609">
        <v>-41.661900000000003</v>
      </c>
      <c r="AF2609">
        <v>-18.1128084707263</v>
      </c>
      <c r="AG2609">
        <v>-0.96816440000000004</v>
      </c>
      <c r="AH2609">
        <v>46.542655418610401</v>
      </c>
      <c r="AI2609">
        <v>91.110564148140696</v>
      </c>
      <c r="AJ2609">
        <v>111.264284457209</v>
      </c>
      <c r="AK2609">
        <v>49.952276689037397</v>
      </c>
      <c r="AL2609">
        <v>91.847181734285599</v>
      </c>
      <c r="AM2609">
        <v>87.079314442037301</v>
      </c>
      <c r="AN2609">
        <v>1.00000004314841</v>
      </c>
    </row>
    <row r="2610" spans="1:40" x14ac:dyDescent="0.25">
      <c r="A2610" t="str">
        <f>"20190312161318173"</f>
        <v>20190312161318173</v>
      </c>
      <c r="B2610" t="str">
        <f>"1552378398168485"</f>
        <v>1552378398168485</v>
      </c>
      <c r="C2610" t="s">
        <v>40</v>
      </c>
      <c r="D2610">
        <v>5.3097190000000003</v>
      </c>
      <c r="E2610">
        <v>0.33057760000000003</v>
      </c>
      <c r="F2610" t="s">
        <v>79</v>
      </c>
      <c r="G2610">
        <v>-463.51710000000003</v>
      </c>
      <c r="H2610">
        <v>9.2740059999999999E-2</v>
      </c>
      <c r="I2610">
        <v>197.345</v>
      </c>
      <c r="J2610">
        <v>-491.07920000000001</v>
      </c>
      <c r="K2610">
        <v>1.1111960000000001</v>
      </c>
      <c r="L2610">
        <v>238.85890000000001</v>
      </c>
      <c r="M2610">
        <v>0.21364379999999999</v>
      </c>
      <c r="N2610">
        <v>0</v>
      </c>
      <c r="O2610">
        <v>-0.97681989999999996</v>
      </c>
      <c r="P2610">
        <v>0.16384939999999901</v>
      </c>
      <c r="Q2610">
        <v>-4.5808889999999998E-2</v>
      </c>
      <c r="R2610">
        <v>-0.9854214</v>
      </c>
      <c r="S2610">
        <v>1.816376</v>
      </c>
      <c r="T2610">
        <v>-6.7030790000000007E-2</v>
      </c>
      <c r="U2610">
        <v>-2.7421570000000002</v>
      </c>
      <c r="V2610">
        <v>5.0561410000000001E-2</v>
      </c>
      <c r="W2610">
        <v>-3.2313380000000003E-2</v>
      </c>
      <c r="X2610">
        <v>0.99819809999999998</v>
      </c>
      <c r="Y2610">
        <v>-0.36122759999999998</v>
      </c>
      <c r="Z2610">
        <v>2.0718449999999999E-2</v>
      </c>
      <c r="AA2610">
        <v>0.93224750000000001</v>
      </c>
      <c r="AB2610">
        <v>18</v>
      </c>
      <c r="AC2610">
        <v>27.562099999999901</v>
      </c>
      <c r="AD2610">
        <v>-1.0184559399999999</v>
      </c>
      <c r="AE2610">
        <v>-41.5139</v>
      </c>
      <c r="AF2610">
        <v>-18.048099141903901</v>
      </c>
      <c r="AG2610">
        <v>-1.0184559399999999</v>
      </c>
      <c r="AH2610">
        <v>46.424844222994302</v>
      </c>
      <c r="AI2610">
        <v>91.171361592218801</v>
      </c>
      <c r="AJ2610">
        <v>111.244065579623</v>
      </c>
      <c r="AK2610">
        <v>49.820049139548303</v>
      </c>
      <c r="AL2610">
        <v>91.851742588795801</v>
      </c>
      <c r="AM2610">
        <v>87.100293379502602</v>
      </c>
      <c r="AN2610">
        <v>1.0000000287759101</v>
      </c>
    </row>
    <row r="2611" spans="1:40" x14ac:dyDescent="0.25">
      <c r="A2611" t="str">
        <f>"20190312161318187"</f>
        <v>20190312161318187</v>
      </c>
      <c r="B2611" t="str">
        <f>"1552378398178245"</f>
        <v>1552378398178245</v>
      </c>
      <c r="C2611" t="s">
        <v>40</v>
      </c>
      <c r="D2611">
        <v>5.3391840000000004</v>
      </c>
      <c r="E2611">
        <v>0.3304744</v>
      </c>
      <c r="F2611" t="s">
        <v>79</v>
      </c>
      <c r="G2611">
        <v>-463.43599999999998</v>
      </c>
      <c r="H2611">
        <v>8.9327809999999994E-2</v>
      </c>
      <c r="I2611">
        <v>197.345</v>
      </c>
      <c r="J2611">
        <v>-491.05189999999999</v>
      </c>
      <c r="K2611">
        <v>1.111208</v>
      </c>
      <c r="L2611">
        <v>238.74180000000001</v>
      </c>
      <c r="M2611">
        <v>0.21501480000000001</v>
      </c>
      <c r="N2611">
        <v>0</v>
      </c>
      <c r="O2611">
        <v>-0.97651889999999997</v>
      </c>
      <c r="P2611">
        <v>0.16548299999999999</v>
      </c>
      <c r="Q2611">
        <v>-4.6090859999999997E-2</v>
      </c>
      <c r="R2611">
        <v>-0.98513499999999998</v>
      </c>
      <c r="S2611">
        <v>1.823242</v>
      </c>
      <c r="T2611">
        <v>-6.739581E-2</v>
      </c>
      <c r="U2611">
        <v>-2.738083</v>
      </c>
      <c r="V2611">
        <v>5.0306539999999997E-2</v>
      </c>
      <c r="W2611">
        <v>-3.2595220000000001E-2</v>
      </c>
      <c r="X2611">
        <v>0.99820180000000003</v>
      </c>
      <c r="Y2611">
        <v>-0.36217709999999997</v>
      </c>
      <c r="Z2611">
        <v>2.0830080000000001E-2</v>
      </c>
      <c r="AA2611">
        <v>0.9318765</v>
      </c>
      <c r="AB2611">
        <v>18</v>
      </c>
      <c r="AC2611">
        <v>27.6159</v>
      </c>
      <c r="AD2611">
        <v>-1.0218801900000001</v>
      </c>
      <c r="AE2611">
        <v>-41.396799999999999</v>
      </c>
      <c r="AF2611">
        <v>-18.060529166531001</v>
      </c>
      <c r="AG2611">
        <v>-1.0218801900000001</v>
      </c>
      <c r="AH2611">
        <v>46.3472017635955</v>
      </c>
      <c r="AI2611">
        <v>91.176901465242807</v>
      </c>
      <c r="AJ2611">
        <v>111.289815817795</v>
      </c>
      <c r="AK2611">
        <v>49.752287024952501</v>
      </c>
      <c r="AL2611">
        <v>91.867899367804199</v>
      </c>
      <c r="AM2611">
        <v>87.114896141090995</v>
      </c>
      <c r="AN2611">
        <v>1.0000000149284201</v>
      </c>
    </row>
    <row r="2612" spans="1:40" x14ac:dyDescent="0.25">
      <c r="A2612" t="str">
        <f>"20190312161318207"</f>
        <v>20190312161318207</v>
      </c>
      <c r="B2612" t="str">
        <f>"1552378398198741"</f>
        <v>1552378398198741</v>
      </c>
      <c r="C2612" t="s">
        <v>40</v>
      </c>
      <c r="D2612">
        <v>5.3138709999999998</v>
      </c>
      <c r="E2612">
        <v>0.33028970000000002</v>
      </c>
      <c r="F2612" t="s">
        <v>79</v>
      </c>
      <c r="G2612">
        <v>-463.37740000000002</v>
      </c>
      <c r="H2612">
        <v>8.9292529999999995E-2</v>
      </c>
      <c r="I2612">
        <v>197.345</v>
      </c>
      <c r="J2612">
        <v>-491.01780000000002</v>
      </c>
      <c r="K2612">
        <v>1.111218</v>
      </c>
      <c r="L2612">
        <v>238.5966</v>
      </c>
      <c r="M2612">
        <v>0.21673809999999999</v>
      </c>
      <c r="N2612">
        <v>0</v>
      </c>
      <c r="O2612">
        <v>-0.97613780000000006</v>
      </c>
      <c r="P2612">
        <v>0.1673029</v>
      </c>
      <c r="Q2612">
        <v>-4.6105569999999998E-2</v>
      </c>
      <c r="R2612">
        <v>-0.98482700000000001</v>
      </c>
      <c r="S2612">
        <v>1.8284</v>
      </c>
      <c r="T2612">
        <v>-6.7513110000000001E-2</v>
      </c>
      <c r="U2612">
        <v>-2.734985</v>
      </c>
      <c r="V2612">
        <v>5.0225249999999999E-2</v>
      </c>
      <c r="W2612">
        <v>-3.2609249999999999E-2</v>
      </c>
      <c r="X2612">
        <v>0.99820540000000002</v>
      </c>
      <c r="Y2612">
        <v>-0.36223379999999999</v>
      </c>
      <c r="Z2612">
        <v>2.0863449999999999E-2</v>
      </c>
      <c r="AA2612">
        <v>0.93185379999999995</v>
      </c>
      <c r="AB2612">
        <v>18</v>
      </c>
      <c r="AC2612">
        <v>27.6404</v>
      </c>
      <c r="AD2612">
        <v>-1.02192547</v>
      </c>
      <c r="AE2612">
        <v>-41.251600000000003</v>
      </c>
      <c r="AF2612">
        <v>-18.034027736823301</v>
      </c>
      <c r="AG2612">
        <v>-1.02192547</v>
      </c>
      <c r="AH2612">
        <v>46.242542330560703</v>
      </c>
      <c r="AI2612">
        <v>91.179493363989295</v>
      </c>
      <c r="AJ2612">
        <v>111.305177305887</v>
      </c>
      <c r="AK2612">
        <v>49.645173071230701</v>
      </c>
      <c r="AL2612">
        <v>91.868703720883104</v>
      </c>
      <c r="AM2612">
        <v>87.119560674216103</v>
      </c>
      <c r="AN2612">
        <v>0.99999997975614197</v>
      </c>
    </row>
    <row r="2613" spans="1:40" x14ac:dyDescent="0.25">
      <c r="A2613" t="str">
        <f>"20190312161318228"</f>
        <v>20190312161318228</v>
      </c>
      <c r="B2613" t="str">
        <f>"1552378398218261"</f>
        <v>1552378398218261</v>
      </c>
      <c r="C2613" t="s">
        <v>40</v>
      </c>
      <c r="D2613">
        <v>5.3379450000000004</v>
      </c>
      <c r="E2613">
        <v>0.33019609999999999</v>
      </c>
      <c r="F2613" t="s">
        <v>79</v>
      </c>
      <c r="G2613">
        <v>-463.3116</v>
      </c>
      <c r="H2613">
        <v>0.12910269999999999</v>
      </c>
      <c r="I2613">
        <v>197.345</v>
      </c>
      <c r="J2613">
        <v>-490.97800000000001</v>
      </c>
      <c r="K2613">
        <v>1.1112379999999999</v>
      </c>
      <c r="L2613">
        <v>238.42859999999999</v>
      </c>
      <c r="M2613">
        <v>0.21876490000000001</v>
      </c>
      <c r="N2613">
        <v>0</v>
      </c>
      <c r="O2613">
        <v>-0.97568569999999999</v>
      </c>
      <c r="P2613">
        <v>0.1691299</v>
      </c>
      <c r="Q2613">
        <v>-4.6521569999999998E-2</v>
      </c>
      <c r="R2613">
        <v>-0.98449520000000001</v>
      </c>
      <c r="S2613">
        <v>1.834595</v>
      </c>
      <c r="T2613">
        <v>-6.5029139999999999E-2</v>
      </c>
      <c r="U2613">
        <v>-2.731506</v>
      </c>
      <c r="V2613">
        <v>5.0444139999999998E-2</v>
      </c>
      <c r="W2613">
        <v>-3.302397E-2</v>
      </c>
      <c r="X2613">
        <v>0.99818070000000003</v>
      </c>
      <c r="Y2613">
        <v>-0.3623131</v>
      </c>
      <c r="Z2613">
        <v>2.009149E-2</v>
      </c>
      <c r="AA2613">
        <v>0.93183990000000005</v>
      </c>
      <c r="AB2613">
        <v>18</v>
      </c>
      <c r="AC2613">
        <v>27.666399999999999</v>
      </c>
      <c r="AD2613">
        <v>-0.98213530000000004</v>
      </c>
      <c r="AE2613">
        <v>-41.083599999999898</v>
      </c>
      <c r="AF2613">
        <v>-18.0005984576778</v>
      </c>
      <c r="AG2613">
        <v>-0.98213530000000004</v>
      </c>
      <c r="AH2613">
        <v>46.123120999902902</v>
      </c>
      <c r="AI2613">
        <v>91.136404937115799</v>
      </c>
      <c r="AJ2613">
        <v>111.319347939007</v>
      </c>
      <c r="AK2613">
        <v>49.520989745296397</v>
      </c>
      <c r="AL2613">
        <v>91.892478285228904</v>
      </c>
      <c r="AM2613">
        <v>87.106957054181706</v>
      </c>
      <c r="AN2613">
        <v>0.99999995185369395</v>
      </c>
    </row>
    <row r="2614" spans="1:40" x14ac:dyDescent="0.25">
      <c r="A2614" t="str">
        <f>"20190312161318242"</f>
        <v>20190312161318242</v>
      </c>
      <c r="B2614" t="str">
        <f>"1552378398238289"</f>
        <v>1552378398238289</v>
      </c>
      <c r="C2614" t="s">
        <v>40</v>
      </c>
      <c r="D2614">
        <v>5.3187110000000004</v>
      </c>
      <c r="E2614">
        <v>0.33003890000000002</v>
      </c>
      <c r="F2614" t="s">
        <v>79</v>
      </c>
      <c r="G2614">
        <v>-463.2509</v>
      </c>
      <c r="H2614">
        <v>8.8173870000000001E-2</v>
      </c>
      <c r="I2614">
        <v>197.345</v>
      </c>
      <c r="J2614">
        <v>-490.9538</v>
      </c>
      <c r="K2614">
        <v>1.111248</v>
      </c>
      <c r="L2614">
        <v>238.32730000000001</v>
      </c>
      <c r="M2614">
        <v>0.22001209999999999</v>
      </c>
      <c r="N2614">
        <v>0</v>
      </c>
      <c r="O2614">
        <v>-0.97540530000000003</v>
      </c>
      <c r="P2614">
        <v>0.17016289999999901</v>
      </c>
      <c r="Q2614">
        <v>-4.6616890000000001E-2</v>
      </c>
      <c r="R2614">
        <v>-0.98431299999999999</v>
      </c>
      <c r="S2614">
        <v>1.840973</v>
      </c>
      <c r="T2614">
        <v>-6.7924860000000004E-2</v>
      </c>
      <c r="U2614">
        <v>-2.7277830000000001</v>
      </c>
      <c r="V2614">
        <v>5.0672920000000003E-2</v>
      </c>
      <c r="W2614">
        <v>-3.311795E-2</v>
      </c>
      <c r="X2614">
        <v>0.998166</v>
      </c>
      <c r="Y2614">
        <v>-0.36319810000000002</v>
      </c>
      <c r="Z2614">
        <v>2.0984050000000001E-2</v>
      </c>
      <c r="AA2614">
        <v>0.93147559999999996</v>
      </c>
      <c r="AB2614">
        <v>18</v>
      </c>
      <c r="AC2614">
        <v>27.7029</v>
      </c>
      <c r="AD2614">
        <v>-1.0230741299999999</v>
      </c>
      <c r="AE2614">
        <v>-40.982300000000002</v>
      </c>
      <c r="AF2614">
        <v>-17.998868005686202</v>
      </c>
      <c r="AG2614">
        <v>-1.0230741299999999</v>
      </c>
      <c r="AH2614">
        <v>46.053754605029603</v>
      </c>
      <c r="AI2614">
        <v>91.185322559648696</v>
      </c>
      <c r="AJ2614">
        <v>111.34670290659901</v>
      </c>
      <c r="AK2614">
        <v>49.456589483929001</v>
      </c>
      <c r="AL2614">
        <v>91.8978658867197</v>
      </c>
      <c r="AM2614">
        <v>87.093815913187399</v>
      </c>
      <c r="AN2614">
        <v>0.99999995349476301</v>
      </c>
    </row>
    <row r="2615" spans="1:40" x14ac:dyDescent="0.25">
      <c r="A2615" t="str">
        <f>"20190312161318255"</f>
        <v>20190312161318255</v>
      </c>
      <c r="B2615" t="str">
        <f>"1552378398248048"</f>
        <v>1552378398248048</v>
      </c>
      <c r="C2615" t="s">
        <v>40</v>
      </c>
      <c r="D2615">
        <v>5.293196</v>
      </c>
      <c r="E2615">
        <v>0.32989689999999999</v>
      </c>
      <c r="F2615" t="s">
        <v>79</v>
      </c>
      <c r="G2615">
        <v>-463.22109999999998</v>
      </c>
      <c r="H2615">
        <v>0.12650729999999999</v>
      </c>
      <c r="I2615">
        <v>197.345</v>
      </c>
      <c r="J2615">
        <v>-490.92779999999999</v>
      </c>
      <c r="K2615">
        <v>1.1112599999999999</v>
      </c>
      <c r="L2615">
        <v>238.2193</v>
      </c>
      <c r="M2615">
        <v>0.22135199999999999</v>
      </c>
      <c r="N2615">
        <v>0</v>
      </c>
      <c r="O2615">
        <v>-0.97510209999999997</v>
      </c>
      <c r="P2615">
        <v>0.17128979999999999</v>
      </c>
      <c r="Q2615">
        <v>-4.6565960000000003E-2</v>
      </c>
      <c r="R2615">
        <v>-0.98411979999999999</v>
      </c>
      <c r="S2615">
        <v>1.8445739999999999</v>
      </c>
      <c r="T2615">
        <v>-6.5495129999999999E-2</v>
      </c>
      <c r="U2615">
        <v>-2.7258300000000002</v>
      </c>
      <c r="V2615">
        <v>5.0902650000000001E-2</v>
      </c>
      <c r="W2615">
        <v>-3.3065400000000002E-2</v>
      </c>
      <c r="X2615">
        <v>0.99815609999999999</v>
      </c>
      <c r="Y2615">
        <v>-0.36308079999999998</v>
      </c>
      <c r="Z2615">
        <v>2.022997E-2</v>
      </c>
      <c r="AA2615">
        <v>0.93153799999999998</v>
      </c>
      <c r="AB2615">
        <v>18</v>
      </c>
      <c r="AC2615">
        <v>27.706700000000001</v>
      </c>
      <c r="AD2615">
        <v>-0.98475270000000004</v>
      </c>
      <c r="AE2615">
        <v>-40.874299999999998</v>
      </c>
      <c r="AF2615">
        <v>-17.963719283716301</v>
      </c>
      <c r="AG2615">
        <v>-0.98475270000000004</v>
      </c>
      <c r="AH2615">
        <v>45.975385756886503</v>
      </c>
      <c r="AI2615">
        <v>91.1429181204754</v>
      </c>
      <c r="AJ2615">
        <v>111.34181578144999</v>
      </c>
      <c r="AK2615">
        <v>49.370041967562102</v>
      </c>
      <c r="AL2615">
        <v>91.894853254905598</v>
      </c>
      <c r="AM2615">
        <v>87.080634315421605</v>
      </c>
      <c r="AN2615">
        <v>1.0000000002106899</v>
      </c>
    </row>
    <row r="2616" spans="1:40" x14ac:dyDescent="0.25">
      <c r="A2616" t="str">
        <f>"20190312161318272"</f>
        <v>20190312161318272</v>
      </c>
      <c r="B2616" t="str">
        <f>"1552378398268546"</f>
        <v>1552378398268546</v>
      </c>
      <c r="C2616" t="s">
        <v>40</v>
      </c>
      <c r="D2616">
        <v>5.3502150000000004</v>
      </c>
      <c r="E2616">
        <v>0.32983089999999998</v>
      </c>
      <c r="F2616" t="s">
        <v>79</v>
      </c>
      <c r="G2616">
        <v>-463.17880000000002</v>
      </c>
      <c r="H2616">
        <v>0.138485</v>
      </c>
      <c r="I2616">
        <v>197.345</v>
      </c>
      <c r="J2616">
        <v>-490.89690000000002</v>
      </c>
      <c r="K2616">
        <v>1.1112799999999901</v>
      </c>
      <c r="L2616">
        <v>238.09200000000001</v>
      </c>
      <c r="M2616">
        <v>0.2229537</v>
      </c>
      <c r="N2616">
        <v>0</v>
      </c>
      <c r="O2616">
        <v>-0.97473730000000003</v>
      </c>
      <c r="P2616">
        <v>0.1724937</v>
      </c>
      <c r="Q2616">
        <v>-4.6685270000000001E-2</v>
      </c>
      <c r="R2616">
        <v>-0.98390420000000001</v>
      </c>
      <c r="S2616">
        <v>1.8489690000000001</v>
      </c>
      <c r="T2616">
        <v>-6.4815040000000004E-2</v>
      </c>
      <c r="U2616">
        <v>-2.7235260000000001</v>
      </c>
      <c r="V2616">
        <v>5.132138E-2</v>
      </c>
      <c r="W2616">
        <v>-3.3182429999999999E-2</v>
      </c>
      <c r="X2616">
        <v>0.99813079999999998</v>
      </c>
      <c r="Y2616">
        <v>-0.36294789999999999</v>
      </c>
      <c r="Z2616">
        <v>2.001501E-2</v>
      </c>
      <c r="AA2616">
        <v>0.93159440000000004</v>
      </c>
      <c r="AB2616">
        <v>18</v>
      </c>
      <c r="AC2616">
        <v>27.7181</v>
      </c>
      <c r="AD2616">
        <v>-0.97279499999999997</v>
      </c>
      <c r="AE2616">
        <v>-40.747</v>
      </c>
      <c r="AF2616">
        <v>-17.927789649035301</v>
      </c>
      <c r="AG2616">
        <v>-0.97279499999999997</v>
      </c>
      <c r="AH2616">
        <v>45.883699505919303</v>
      </c>
      <c r="AI2616">
        <v>91.131299842999695</v>
      </c>
      <c r="AJ2616">
        <v>111.34170143497499</v>
      </c>
      <c r="AK2616">
        <v>49.271349201758099</v>
      </c>
      <c r="AL2616">
        <v>91.901562212843302</v>
      </c>
      <c r="AM2616">
        <v>87.056586919080104</v>
      </c>
      <c r="AN2616">
        <v>1.0000000258072199</v>
      </c>
    </row>
    <row r="2617" spans="1:40" x14ac:dyDescent="0.25">
      <c r="A2617" t="str">
        <f>"20190312161318284"</f>
        <v>20190312161318284</v>
      </c>
      <c r="B2617" t="str">
        <f>"1552378398278305"</f>
        <v>1552378398278305</v>
      </c>
      <c r="C2617" t="s">
        <v>40</v>
      </c>
      <c r="D2617">
        <v>5.3350160000000004</v>
      </c>
      <c r="E2617">
        <v>0.32973599999999997</v>
      </c>
      <c r="F2617" t="s">
        <v>79</v>
      </c>
      <c r="G2617">
        <v>-463.14830000000001</v>
      </c>
      <c r="H2617">
        <v>0.1202927</v>
      </c>
      <c r="I2617">
        <v>197.345</v>
      </c>
      <c r="J2617">
        <v>-490.8723</v>
      </c>
      <c r="K2617">
        <v>1.1112919999999999</v>
      </c>
      <c r="L2617">
        <v>237.99100000000001</v>
      </c>
      <c r="M2617">
        <v>0.22423899999999999</v>
      </c>
      <c r="N2617">
        <v>0</v>
      </c>
      <c r="O2617">
        <v>-0.97444209999999998</v>
      </c>
      <c r="P2617">
        <v>0.17357400000000001</v>
      </c>
      <c r="Q2617">
        <v>-4.6600900000000001E-2</v>
      </c>
      <c r="R2617">
        <v>-0.98371779999999998</v>
      </c>
      <c r="S2617">
        <v>1.8530580000000001</v>
      </c>
      <c r="T2617">
        <v>-6.6175940000000003E-2</v>
      </c>
      <c r="U2617">
        <v>-2.721085</v>
      </c>
      <c r="V2617">
        <v>5.1543310000000002E-2</v>
      </c>
      <c r="W2617">
        <v>-3.3096340000000002E-2</v>
      </c>
      <c r="X2617">
        <v>0.99812219999999996</v>
      </c>
      <c r="Y2617">
        <v>-0.36305959999999998</v>
      </c>
      <c r="Z2617">
        <v>2.0432559999999999E-2</v>
      </c>
      <c r="AA2617">
        <v>0.93154190000000003</v>
      </c>
      <c r="AB2617">
        <v>18</v>
      </c>
      <c r="AC2617">
        <v>27.723999999999901</v>
      </c>
      <c r="AD2617">
        <v>-0.99099930000000003</v>
      </c>
      <c r="AE2617">
        <v>-40.646000000000001</v>
      </c>
      <c r="AF2617">
        <v>-17.895360794660899</v>
      </c>
      <c r="AG2617">
        <v>-0.99099930000000003</v>
      </c>
      <c r="AH2617">
        <v>45.8095032655879</v>
      </c>
      <c r="AI2617">
        <v>91.154360119337198</v>
      </c>
      <c r="AJ2617">
        <v>111.33797003114501</v>
      </c>
      <c r="AK2617">
        <v>49.190818320328802</v>
      </c>
      <c r="AL2617">
        <v>91.896626951190896</v>
      </c>
      <c r="AM2617">
        <v>87.043855765192902</v>
      </c>
      <c r="AN2617">
        <v>1.0000000033299901</v>
      </c>
    </row>
    <row r="2618" spans="1:40" x14ac:dyDescent="0.25">
      <c r="A2618" t="str">
        <f>"20190312161318297"</f>
        <v>20190312161318297</v>
      </c>
      <c r="B2618" t="str">
        <f>"1552378398288065"</f>
        <v>1552378398288065</v>
      </c>
      <c r="C2618" t="s">
        <v>40</v>
      </c>
      <c r="D2618">
        <v>5.4965859999999997</v>
      </c>
      <c r="E2618">
        <v>0.32973599999999997</v>
      </c>
      <c r="F2618" t="s">
        <v>79</v>
      </c>
      <c r="G2618">
        <v>-463.11779999999999</v>
      </c>
      <c r="H2618">
        <v>0.13850019999999999</v>
      </c>
      <c r="I2618">
        <v>197.345</v>
      </c>
      <c r="J2618">
        <v>-490.8476</v>
      </c>
      <c r="K2618">
        <v>1.111305</v>
      </c>
      <c r="L2618">
        <v>237.89060000000001</v>
      </c>
      <c r="M2618">
        <v>0.22553239999999999</v>
      </c>
      <c r="N2618">
        <v>0</v>
      </c>
      <c r="O2618">
        <v>-0.97414339999999999</v>
      </c>
      <c r="P2618">
        <v>0.17480519999999999</v>
      </c>
      <c r="Q2618">
        <v>-4.6621019999999999E-2</v>
      </c>
      <c r="R2618">
        <v>-0.9834986</v>
      </c>
      <c r="S2618">
        <v>1.856598</v>
      </c>
      <c r="T2618">
        <v>-6.5070870000000003E-2</v>
      </c>
      <c r="U2618">
        <v>-2.7189480000000001</v>
      </c>
      <c r="V2618">
        <v>5.1619730000000003E-2</v>
      </c>
      <c r="W2618">
        <v>-3.3115119999999998E-2</v>
      </c>
      <c r="X2618">
        <v>0.99811760000000005</v>
      </c>
      <c r="Y2618">
        <v>-0.3629947</v>
      </c>
      <c r="Z2618">
        <v>2.0088829999999998E-2</v>
      </c>
      <c r="AA2618">
        <v>0.93157460000000003</v>
      </c>
      <c r="AB2618">
        <v>18</v>
      </c>
      <c r="AC2618">
        <v>27.729800000000001</v>
      </c>
      <c r="AD2618">
        <v>-0.97280480000000003</v>
      </c>
      <c r="AE2618">
        <v>-40.5456</v>
      </c>
      <c r="AF2618">
        <v>-17.863055524206299</v>
      </c>
      <c r="AG2618">
        <v>-0.97280480000000003</v>
      </c>
      <c r="AH2618">
        <v>45.737371473348297</v>
      </c>
      <c r="AI2618">
        <v>91.134993275852906</v>
      </c>
      <c r="AJ2618">
        <v>111.33348425893701</v>
      </c>
      <c r="AK2618">
        <v>49.111528698777398</v>
      </c>
      <c r="AL2618">
        <v>91.897703608773298</v>
      </c>
      <c r="AM2618">
        <v>87.039467048882798</v>
      </c>
      <c r="AN2618">
        <v>0.99999997556382303</v>
      </c>
    </row>
    <row r="2619" spans="1:40" x14ac:dyDescent="0.25">
      <c r="A2619" t="str">
        <f>"20190312161318310"</f>
        <v>20190312161318310</v>
      </c>
      <c r="B2619" t="str">
        <f>"1552378398298801"</f>
        <v>1552378398298801</v>
      </c>
      <c r="C2619" t="s">
        <v>40</v>
      </c>
      <c r="D2619">
        <v>5.5466709999999999</v>
      </c>
      <c r="E2619">
        <v>0.32890269999999999</v>
      </c>
      <c r="F2619" t="s">
        <v>79</v>
      </c>
      <c r="G2619">
        <v>-463.08479999999997</v>
      </c>
      <c r="H2619">
        <v>0.14570759999999999</v>
      </c>
      <c r="I2619">
        <v>197.345</v>
      </c>
      <c r="J2619">
        <v>-490.82479999999998</v>
      </c>
      <c r="K2619">
        <v>1.1113139999999999</v>
      </c>
      <c r="L2619">
        <v>237.79839999999999</v>
      </c>
      <c r="M2619">
        <v>0.2267266</v>
      </c>
      <c r="N2619">
        <v>0</v>
      </c>
      <c r="O2619">
        <v>-0.97386629999999996</v>
      </c>
      <c r="P2619">
        <v>0.17569899999999999</v>
      </c>
      <c r="Q2619">
        <v>-4.659899E-2</v>
      </c>
      <c r="R2619">
        <v>-0.98334049999999995</v>
      </c>
      <c r="S2619">
        <v>1.860168</v>
      </c>
      <c r="T2619">
        <v>-6.4694290000000002E-2</v>
      </c>
      <c r="U2619">
        <v>-2.7166290000000002</v>
      </c>
      <c r="V2619">
        <v>5.1937200000000003E-2</v>
      </c>
      <c r="W2619">
        <v>-3.3091379999999997E-2</v>
      </c>
      <c r="X2619">
        <v>0.99810189999999999</v>
      </c>
      <c r="Y2619">
        <v>-0.36305809999999999</v>
      </c>
      <c r="Z2619">
        <v>1.9971119999999998E-2</v>
      </c>
      <c r="AA2619">
        <v>0.93155250000000001</v>
      </c>
      <c r="AB2619">
        <v>18</v>
      </c>
      <c r="AC2619">
        <v>27.74</v>
      </c>
      <c r="AD2619">
        <v>-0.96560639999999998</v>
      </c>
      <c r="AE2619">
        <v>-40.453399999999903</v>
      </c>
      <c r="AF2619">
        <v>-17.837878027595199</v>
      </c>
      <c r="AG2619">
        <v>-0.96560639999999998</v>
      </c>
      <c r="AH2619">
        <v>45.671999858034098</v>
      </c>
      <c r="AI2619">
        <v>91.128206065024798</v>
      </c>
      <c r="AJ2619">
        <v>111.333869417488</v>
      </c>
      <c r="AK2619">
        <v>49.0413484651407</v>
      </c>
      <c r="AL2619">
        <v>91.896342695357404</v>
      </c>
      <c r="AM2619">
        <v>87.021245194334298</v>
      </c>
      <c r="AN2619">
        <v>0.99999995747887604</v>
      </c>
    </row>
    <row r="2620" spans="1:40" x14ac:dyDescent="0.25">
      <c r="A2620" t="str">
        <f>"20190312161318328"</f>
        <v>20190312161318328</v>
      </c>
      <c r="B2620" t="str">
        <f>"1552378398318320"</f>
        <v>1552378398318320</v>
      </c>
      <c r="C2620" t="s">
        <v>40</v>
      </c>
      <c r="D2620">
        <v>5.5000650000000002</v>
      </c>
      <c r="E2620">
        <v>0.3212969</v>
      </c>
      <c r="F2620" t="s">
        <v>63</v>
      </c>
      <c r="G2620">
        <v>-476.61520000000002</v>
      </c>
      <c r="H2620" s="1">
        <v>3.1387269999999998E-6</v>
      </c>
      <c r="I2620">
        <v>217.22120000000001</v>
      </c>
      <c r="J2620">
        <v>-490.78969999999998</v>
      </c>
      <c r="K2620">
        <v>1.1113230000000001</v>
      </c>
      <c r="L2620">
        <v>237.65700000000001</v>
      </c>
      <c r="M2620">
        <v>0.22858300000000001</v>
      </c>
      <c r="N2620">
        <v>0</v>
      </c>
      <c r="O2620">
        <v>-0.97343239999999998</v>
      </c>
      <c r="P2620">
        <v>0.17768599999999901</v>
      </c>
      <c r="Q2620">
        <v>-4.6628250000000003E-2</v>
      </c>
      <c r="R2620">
        <v>-0.98298229999999998</v>
      </c>
      <c r="S2620">
        <v>1.871094</v>
      </c>
      <c r="T2620">
        <v>-0.1463354</v>
      </c>
      <c r="U2620">
        <v>-2.7095639999999999</v>
      </c>
      <c r="V2620">
        <v>5.1824099999999998E-2</v>
      </c>
      <c r="W2620">
        <v>-3.3119509999999998E-2</v>
      </c>
      <c r="X2620">
        <v>0.99810690000000002</v>
      </c>
      <c r="Y2620">
        <v>-0.36448799999999998</v>
      </c>
      <c r="Z2620">
        <v>4.5138999999999999E-2</v>
      </c>
      <c r="AA2620">
        <v>0.93011339999999998</v>
      </c>
      <c r="AB2620">
        <v>18</v>
      </c>
      <c r="AC2620">
        <v>14.174499999999901</v>
      </c>
      <c r="AD2620">
        <v>-1.111319861273</v>
      </c>
      <c r="AE2620">
        <v>-20.4358</v>
      </c>
      <c r="AF2620">
        <v>-9.1092703988399908</v>
      </c>
      <c r="AG2620">
        <v>-1.111319861273</v>
      </c>
      <c r="AH2620">
        <v>23.088890820442799</v>
      </c>
      <c r="AI2620">
        <v>92.563626303438397</v>
      </c>
      <c r="AJ2620">
        <v>111.53074381168</v>
      </c>
      <c r="AK2620">
        <v>24.845738434419101</v>
      </c>
      <c r="AL2620">
        <v>91.897955206962195</v>
      </c>
      <c r="AM2620">
        <v>87.027735038825398</v>
      </c>
      <c r="AN2620">
        <v>1.0000000115555301</v>
      </c>
    </row>
    <row r="2621" spans="1:40" x14ac:dyDescent="0.25">
      <c r="A2621" t="str">
        <f>"20190312161318340"</f>
        <v>20190312161318340</v>
      </c>
      <c r="B2621" t="str">
        <f>"1552378398337841"</f>
        <v>1552378398337841</v>
      </c>
      <c r="C2621" t="s">
        <v>40</v>
      </c>
      <c r="D2621">
        <v>5.5460260000000003</v>
      </c>
      <c r="E2621">
        <v>0.31958510000000001</v>
      </c>
      <c r="F2621" t="s">
        <v>63</v>
      </c>
      <c r="G2621">
        <v>-471.36759999999998</v>
      </c>
      <c r="H2621" s="1">
        <v>5.1762980000000003E-6</v>
      </c>
      <c r="I2621">
        <v>210.59790000000001</v>
      </c>
      <c r="J2621">
        <v>-490.76609999999999</v>
      </c>
      <c r="K2621">
        <v>1.111334</v>
      </c>
      <c r="L2621">
        <v>237.5634</v>
      </c>
      <c r="M2621">
        <v>0.22983329999999999</v>
      </c>
      <c r="N2621">
        <v>0</v>
      </c>
      <c r="O2621">
        <v>-0.9731379</v>
      </c>
      <c r="P2621">
        <v>0.1788418</v>
      </c>
      <c r="Q2621">
        <v>-4.6667470000000003E-2</v>
      </c>
      <c r="R2621">
        <v>-0.98277060000000005</v>
      </c>
      <c r="S2621">
        <v>1.9356690000000001</v>
      </c>
      <c r="T2621">
        <v>-0.11075790000000001</v>
      </c>
      <c r="U2621">
        <v>-2.6968079999999999</v>
      </c>
      <c r="V2621">
        <v>5.1932939999999997E-2</v>
      </c>
      <c r="W2621">
        <v>-3.3157680000000002E-2</v>
      </c>
      <c r="X2621">
        <v>0.99809999999999999</v>
      </c>
      <c r="Y2621">
        <v>-0.38042140000000002</v>
      </c>
      <c r="Z2621">
        <v>3.3969600000000003E-2</v>
      </c>
      <c r="AA2621">
        <v>0.92418920000000004</v>
      </c>
      <c r="AB2621">
        <v>18</v>
      </c>
      <c r="AC2621">
        <v>19.398499999999999</v>
      </c>
      <c r="AD2621">
        <v>-1.111328823702</v>
      </c>
      <c r="AE2621">
        <v>-26.965499999999899</v>
      </c>
      <c r="AF2621">
        <v>-12.666804861567</v>
      </c>
      <c r="AG2621">
        <v>-1.111328823702</v>
      </c>
      <c r="AH2621">
        <v>30.667997725545</v>
      </c>
      <c r="AI2621">
        <v>91.918290419969594</v>
      </c>
      <c r="AJ2621">
        <v>112.442096473189</v>
      </c>
      <c r="AK2621">
        <v>33.199534358925</v>
      </c>
      <c r="AL2621">
        <v>91.900143342199996</v>
      </c>
      <c r="AM2621">
        <v>87.021483418469799</v>
      </c>
      <c r="AN2621">
        <v>1.0000000360000101</v>
      </c>
    </row>
    <row r="2622" spans="1:40" x14ac:dyDescent="0.25">
      <c r="A2622" t="str">
        <f>"20190312161318362"</f>
        <v>20190312161318362</v>
      </c>
      <c r="B2622" t="str">
        <f>"1552378398358336"</f>
        <v>1552378398358336</v>
      </c>
      <c r="C2622" t="s">
        <v>40</v>
      </c>
      <c r="D2622">
        <v>5.54331</v>
      </c>
      <c r="E2622">
        <v>0.3187374</v>
      </c>
      <c r="F2622" t="s">
        <v>63</v>
      </c>
      <c r="G2622">
        <v>-471.65640000000002</v>
      </c>
      <c r="H2622" s="1">
        <v>5.0752269999999998E-6</v>
      </c>
      <c r="I2622">
        <v>211.21539999999999</v>
      </c>
      <c r="J2622">
        <v>-490.72640000000001</v>
      </c>
      <c r="K2622">
        <v>1.111356</v>
      </c>
      <c r="L2622">
        <v>237.40620000000001</v>
      </c>
      <c r="M2622">
        <v>0.23195099999999999</v>
      </c>
      <c r="N2622">
        <v>0</v>
      </c>
      <c r="O2622">
        <v>-0.97263520000000003</v>
      </c>
      <c r="P2622">
        <v>0.18044160000000001</v>
      </c>
      <c r="Q2622">
        <v>-4.6298829999999999E-2</v>
      </c>
      <c r="R2622">
        <v>-0.98249549999999997</v>
      </c>
      <c r="S2622">
        <v>1.952393</v>
      </c>
      <c r="T2622">
        <v>-0.113542</v>
      </c>
      <c r="U2622">
        <v>-2.69191</v>
      </c>
      <c r="V2622">
        <v>5.24844E-2</v>
      </c>
      <c r="W2622">
        <v>-3.2786379999999997E-2</v>
      </c>
      <c r="X2622">
        <v>0.99808339999999995</v>
      </c>
      <c r="Y2622">
        <v>-0.38296029999999998</v>
      </c>
      <c r="Z2622">
        <v>3.4770170000000003E-2</v>
      </c>
      <c r="AA2622">
        <v>0.92311019999999999</v>
      </c>
      <c r="AB2622">
        <v>18</v>
      </c>
      <c r="AC2622">
        <v>19.07</v>
      </c>
      <c r="AD2622">
        <v>-1.111350924773</v>
      </c>
      <c r="AE2622">
        <v>-26.190799999999999</v>
      </c>
      <c r="AF2622">
        <v>-12.4596292794603</v>
      </c>
      <c r="AG2622">
        <v>-1.111350924773</v>
      </c>
      <c r="AH2622">
        <v>29.8649408895328</v>
      </c>
      <c r="AI2622">
        <v>91.966967915238499</v>
      </c>
      <c r="AJ2622">
        <v>112.645858073711</v>
      </c>
      <c r="AK2622">
        <v>32.378884430981699</v>
      </c>
      <c r="AL2622">
        <v>91.878857883747301</v>
      </c>
      <c r="AM2622">
        <v>86.989863350037893</v>
      </c>
      <c r="AN2622">
        <v>1.0000000161562099</v>
      </c>
    </row>
    <row r="2623" spans="1:40" x14ac:dyDescent="0.25">
      <c r="A2623" t="str">
        <f>"20190312161318375"</f>
        <v>20190312161318375</v>
      </c>
      <c r="B2623" t="str">
        <f>"1552378398368097"</f>
        <v>1552378398368097</v>
      </c>
      <c r="C2623" t="s">
        <v>40</v>
      </c>
      <c r="D2623">
        <v>5.5522710000000002</v>
      </c>
      <c r="E2623">
        <v>0.31842160000000003</v>
      </c>
      <c r="F2623" t="s">
        <v>63</v>
      </c>
      <c r="G2623">
        <v>-470.87040000000002</v>
      </c>
      <c r="H2623" s="1">
        <v>5.3804089999999998E-6</v>
      </c>
      <c r="I2623">
        <v>210.2226</v>
      </c>
      <c r="J2623">
        <v>-490.69810000000001</v>
      </c>
      <c r="K2623">
        <v>1.1113690000000001</v>
      </c>
      <c r="L2623">
        <v>237.2954</v>
      </c>
      <c r="M2623">
        <v>0.2334639</v>
      </c>
      <c r="N2623">
        <v>0</v>
      </c>
      <c r="O2623">
        <v>-0.97227339999999995</v>
      </c>
      <c r="P2623">
        <v>0.18199799999999999</v>
      </c>
      <c r="Q2623">
        <v>-4.5892090000000003E-2</v>
      </c>
      <c r="R2623">
        <v>-0.98222770000000004</v>
      </c>
      <c r="S2623">
        <v>1.9632259999999999</v>
      </c>
      <c r="T2623">
        <v>-0.1098828</v>
      </c>
      <c r="U2623">
        <v>-2.687729</v>
      </c>
      <c r="V2623">
        <v>5.2460029999999998E-2</v>
      </c>
      <c r="W2623">
        <v>-3.2378539999999997E-2</v>
      </c>
      <c r="X2623">
        <v>0.99809800000000004</v>
      </c>
      <c r="Y2623">
        <v>-0.38465929999999998</v>
      </c>
      <c r="Z2623">
        <v>3.3625919999999997E-2</v>
      </c>
      <c r="AA2623">
        <v>0.92244599999999999</v>
      </c>
      <c r="AB2623">
        <v>18</v>
      </c>
      <c r="AC2623">
        <v>19.8277</v>
      </c>
      <c r="AD2623">
        <v>-1.1113636195909999</v>
      </c>
      <c r="AE2623">
        <v>-27.072800000000001</v>
      </c>
      <c r="AF2623">
        <v>-12.9443859574563</v>
      </c>
      <c r="AG2623">
        <v>-1.1113636195909999</v>
      </c>
      <c r="AH2623">
        <v>30.920072112225199</v>
      </c>
      <c r="AI2623">
        <v>91.898944807568498</v>
      </c>
      <c r="AJ2623">
        <v>112.716146674315</v>
      </c>
      <c r="AK2623">
        <v>33.538680897372103</v>
      </c>
      <c r="AL2623">
        <v>91.855477950511499</v>
      </c>
      <c r="AM2623">
        <v>86.991302403934995</v>
      </c>
      <c r="AN2623">
        <v>1.0000000211020601</v>
      </c>
    </row>
    <row r="2624" spans="1:40" x14ac:dyDescent="0.25">
      <c r="A2624" t="str">
        <f>"20190312161318396"</f>
        <v>20190312161318396</v>
      </c>
      <c r="B2624" t="str">
        <f>"1552378398388592"</f>
        <v>1552378398388592</v>
      </c>
      <c r="C2624" t="s">
        <v>40</v>
      </c>
      <c r="D2624">
        <v>5.5737030000000001</v>
      </c>
      <c r="E2624">
        <v>0.31819160000000002</v>
      </c>
      <c r="F2624" t="s">
        <v>63</v>
      </c>
      <c r="G2624">
        <v>-470.49540000000002</v>
      </c>
      <c r="H2624" s="1">
        <v>5.5269649999999999E-6</v>
      </c>
      <c r="I2624">
        <v>209.77090000000001</v>
      </c>
      <c r="J2624">
        <v>-490.65870000000001</v>
      </c>
      <c r="K2624">
        <v>1.1113879999999901</v>
      </c>
      <c r="L2624">
        <v>237.14240000000001</v>
      </c>
      <c r="M2624">
        <v>0.23558219999999999</v>
      </c>
      <c r="N2624">
        <v>0</v>
      </c>
      <c r="O2624">
        <v>-0.97176249999999997</v>
      </c>
      <c r="P2624">
        <v>0.18404880000000001</v>
      </c>
      <c r="Q2624">
        <v>-4.5278720000000001E-2</v>
      </c>
      <c r="R2624">
        <v>-0.98187380000000002</v>
      </c>
      <c r="S2624">
        <v>1.970154</v>
      </c>
      <c r="T2624">
        <v>-0.1083795</v>
      </c>
      <c r="U2624">
        <v>-2.6841740000000001</v>
      </c>
      <c r="V2624">
        <v>5.2556810000000002E-2</v>
      </c>
      <c r="W2624">
        <v>-3.1763140000000002E-2</v>
      </c>
      <c r="X2624">
        <v>0.99811269999999996</v>
      </c>
      <c r="Y2624">
        <v>-0.38478830000000003</v>
      </c>
      <c r="Z2624">
        <v>3.3151890000000003E-2</v>
      </c>
      <c r="AA2624">
        <v>0.92240929999999999</v>
      </c>
      <c r="AB2624">
        <v>18</v>
      </c>
      <c r="AC2624">
        <v>20.1632999999999</v>
      </c>
      <c r="AD2624">
        <v>-1.1113824730349999</v>
      </c>
      <c r="AE2624">
        <v>-27.371500000000001</v>
      </c>
      <c r="AF2624">
        <v>-13.1328399505386</v>
      </c>
      <c r="AG2624">
        <v>-1.1113824730349999</v>
      </c>
      <c r="AH2624">
        <v>31.3180428261097</v>
      </c>
      <c r="AI2624">
        <v>91.874397510680595</v>
      </c>
      <c r="AJ2624">
        <v>112.750147296962</v>
      </c>
      <c r="AK2624">
        <v>33.978323422821703</v>
      </c>
      <c r="AL2624">
        <v>91.820199949039903</v>
      </c>
      <c r="AM2624">
        <v>86.985806396441205</v>
      </c>
      <c r="AN2624">
        <v>1.00000003862066</v>
      </c>
    </row>
    <row r="2625" spans="1:40" x14ac:dyDescent="0.25">
      <c r="A2625" t="str">
        <f>"20190312161318417"</f>
        <v>20190312161318417</v>
      </c>
      <c r="B2625" t="str">
        <f>"1552378398408112"</f>
        <v>1552378398408112</v>
      </c>
      <c r="C2625" t="s">
        <v>40</v>
      </c>
      <c r="D2625">
        <v>5.5740189999999998</v>
      </c>
      <c r="E2625">
        <v>0.31797789999999998</v>
      </c>
      <c r="F2625" t="s">
        <v>63</v>
      </c>
      <c r="G2625">
        <v>-470.34519999999998</v>
      </c>
      <c r="H2625">
        <v>1.8221859999999999E-2</v>
      </c>
      <c r="I2625">
        <v>209.6163</v>
      </c>
      <c r="J2625">
        <v>-490.61520000000002</v>
      </c>
      <c r="K2625">
        <v>1.11141</v>
      </c>
      <c r="L2625">
        <v>236.97550000000001</v>
      </c>
      <c r="M2625">
        <v>0.2379346</v>
      </c>
      <c r="N2625">
        <v>0</v>
      </c>
      <c r="O2625">
        <v>-0.97118899999999997</v>
      </c>
      <c r="P2625">
        <v>0.1864085</v>
      </c>
      <c r="Q2625">
        <v>-4.5181230000000003E-2</v>
      </c>
      <c r="R2625">
        <v>-0.98143309999999995</v>
      </c>
      <c r="S2625">
        <v>1.9776</v>
      </c>
      <c r="T2625">
        <v>-0.1064243</v>
      </c>
      <c r="U2625">
        <v>-2.6797789999999999</v>
      </c>
      <c r="V2625">
        <v>5.2576690000000002E-2</v>
      </c>
      <c r="W2625">
        <v>-3.166335E-2</v>
      </c>
      <c r="X2625">
        <v>0.99811479999999997</v>
      </c>
      <c r="Y2625">
        <v>-0.38494810000000002</v>
      </c>
      <c r="Z2625">
        <v>3.2543290000000002E-2</v>
      </c>
      <c r="AA2625">
        <v>0.92236430000000003</v>
      </c>
      <c r="AB2625">
        <v>18</v>
      </c>
      <c r="AC2625">
        <v>20.27</v>
      </c>
      <c r="AD2625">
        <v>-1.0931881400000001</v>
      </c>
      <c r="AE2625">
        <v>-27.359200000000001</v>
      </c>
      <c r="AF2625">
        <v>-13.163911687906801</v>
      </c>
      <c r="AG2625">
        <v>-1.0931881400000001</v>
      </c>
      <c r="AH2625">
        <v>31.364370286651901</v>
      </c>
      <c r="AI2625">
        <v>91.840768180037401</v>
      </c>
      <c r="AJ2625">
        <v>112.76823626573299</v>
      </c>
      <c r="AK2625">
        <v>34.032445617596501</v>
      </c>
      <c r="AL2625">
        <v>91.814479568931006</v>
      </c>
      <c r="AM2625">
        <v>86.984674691618395</v>
      </c>
      <c r="AN2625">
        <v>1.0000000150218</v>
      </c>
    </row>
    <row r="2626" spans="1:40" x14ac:dyDescent="0.25">
      <c r="A2626" t="str">
        <f>"20190312161318431"</f>
        <v>20190312161318431</v>
      </c>
      <c r="B2626" t="str">
        <f>"1552378398428609"</f>
        <v>1552378398428609</v>
      </c>
      <c r="C2626" t="s">
        <v>40</v>
      </c>
      <c r="D2626">
        <v>5.5720219999999996</v>
      </c>
      <c r="E2626">
        <v>0.31678460000000003</v>
      </c>
      <c r="F2626" t="s">
        <v>63</v>
      </c>
      <c r="G2626">
        <v>-470.29809999999998</v>
      </c>
      <c r="H2626">
        <v>5.7736570000000001E-2</v>
      </c>
      <c r="I2626">
        <v>209.6086</v>
      </c>
      <c r="J2626">
        <v>-490.58819999999997</v>
      </c>
      <c r="K2626">
        <v>1.1114219999999999</v>
      </c>
      <c r="L2626">
        <v>236.87219999999999</v>
      </c>
      <c r="M2626">
        <v>0.23941100000000001</v>
      </c>
      <c r="N2626">
        <v>0</v>
      </c>
      <c r="O2626">
        <v>-0.97082599999999997</v>
      </c>
      <c r="P2626">
        <v>0.18755330000000001</v>
      </c>
      <c r="Q2626">
        <v>-4.559295E-2</v>
      </c>
      <c r="R2626">
        <v>-0.98119540000000005</v>
      </c>
      <c r="S2626">
        <v>1.9858089999999999</v>
      </c>
      <c r="T2626">
        <v>-0.1029868</v>
      </c>
      <c r="U2626">
        <v>-2.6748660000000002</v>
      </c>
      <c r="V2626">
        <v>5.2927479999999999E-2</v>
      </c>
      <c r="W2626">
        <v>-3.2072910000000003E-2</v>
      </c>
      <c r="X2626">
        <v>0.99808319999999995</v>
      </c>
      <c r="Y2626">
        <v>-0.38620159999999998</v>
      </c>
      <c r="Z2626">
        <v>3.1487429999999997E-2</v>
      </c>
      <c r="AA2626">
        <v>0.92187680000000005</v>
      </c>
      <c r="AB2626">
        <v>18</v>
      </c>
      <c r="AC2626">
        <v>20.290099999999899</v>
      </c>
      <c r="AD2626">
        <v>-1.05368542999999</v>
      </c>
      <c r="AE2626">
        <v>-27.2636</v>
      </c>
      <c r="AF2626">
        <v>-13.1594817492808</v>
      </c>
      <c r="AG2626">
        <v>-1.05368542999999</v>
      </c>
      <c r="AH2626">
        <v>31.298606594089598</v>
      </c>
      <c r="AI2626">
        <v>91.777550777667898</v>
      </c>
      <c r="AJ2626">
        <v>112.8042921023</v>
      </c>
      <c r="AK2626">
        <v>33.9688826372997</v>
      </c>
      <c r="AL2626">
        <v>91.837957522039403</v>
      </c>
      <c r="AM2626">
        <v>86.964498111603802</v>
      </c>
      <c r="AN2626">
        <v>1.00000003190862</v>
      </c>
    </row>
    <row r="2627" spans="1:40" x14ac:dyDescent="0.25">
      <c r="A2627" t="str">
        <f>"20190312161318452"</f>
        <v>20190312161318452</v>
      </c>
      <c r="B2627" t="str">
        <f>"1552378398448128"</f>
        <v>1552378398448128</v>
      </c>
      <c r="C2627" t="s">
        <v>40</v>
      </c>
      <c r="D2627">
        <v>5.6915129999999996</v>
      </c>
      <c r="E2627">
        <v>0.3158707</v>
      </c>
      <c r="F2627" t="s">
        <v>69</v>
      </c>
      <c r="G2627">
        <v>-469.43290000000002</v>
      </c>
      <c r="H2627">
        <v>8.0000420000000003E-2</v>
      </c>
      <c r="I2627">
        <v>208.58519999999999</v>
      </c>
      <c r="J2627">
        <v>-490.548</v>
      </c>
      <c r="K2627">
        <v>1.111443</v>
      </c>
      <c r="L2627">
        <v>236.72059999999999</v>
      </c>
      <c r="M2627">
        <v>0.2416123</v>
      </c>
      <c r="N2627">
        <v>0</v>
      </c>
      <c r="O2627">
        <v>-0.97028080000000005</v>
      </c>
      <c r="P2627">
        <v>0.1894179</v>
      </c>
      <c r="Q2627">
        <v>-4.4997589999999997E-2</v>
      </c>
      <c r="R2627">
        <v>-0.98086549999999995</v>
      </c>
      <c r="S2627">
        <v>1.997681</v>
      </c>
      <c r="T2627">
        <v>-9.7396609999999995E-2</v>
      </c>
      <c r="U2627">
        <v>-2.6711269999999998</v>
      </c>
      <c r="V2627">
        <v>5.3300409999999999E-2</v>
      </c>
      <c r="W2627">
        <v>-3.1473849999999998E-2</v>
      </c>
      <c r="X2627">
        <v>0.99808240000000004</v>
      </c>
      <c r="Y2627">
        <v>-0.38739230000000002</v>
      </c>
      <c r="Z2627">
        <v>2.974489E-2</v>
      </c>
      <c r="AA2627">
        <v>0.921435</v>
      </c>
      <c r="AB2627">
        <v>18</v>
      </c>
      <c r="AC2627">
        <v>21.115099999999899</v>
      </c>
      <c r="AD2627">
        <v>-1.03144258</v>
      </c>
      <c r="AE2627">
        <v>-28.135400000000001</v>
      </c>
      <c r="AF2627">
        <v>-13.679180090804399</v>
      </c>
      <c r="AG2627">
        <v>-1.03144258</v>
      </c>
      <c r="AH2627">
        <v>32.375966493969898</v>
      </c>
      <c r="AI2627">
        <v>91.680942150419398</v>
      </c>
      <c r="AJ2627">
        <v>112.90455972310799</v>
      </c>
      <c r="AK2627">
        <v>35.162295831915799</v>
      </c>
      <c r="AL2627">
        <v>91.803616618979504</v>
      </c>
      <c r="AM2627">
        <v>86.943147771635495</v>
      </c>
      <c r="AN2627">
        <v>1.00000000706487</v>
      </c>
    </row>
    <row r="2628" spans="1:40" x14ac:dyDescent="0.25">
      <c r="A2628" t="str">
        <f>"20190312161318465"</f>
        <v>20190312161318465</v>
      </c>
      <c r="B2628" t="str">
        <f>"1552378398457889"</f>
        <v>1552378398457889</v>
      </c>
      <c r="C2628" t="s">
        <v>40</v>
      </c>
      <c r="D2628">
        <v>5.7667789999999997</v>
      </c>
      <c r="E2628">
        <v>0.3154884</v>
      </c>
      <c r="F2628" t="s">
        <v>69</v>
      </c>
      <c r="G2628">
        <v>-468.03730000000002</v>
      </c>
      <c r="H2628">
        <v>8.0000909999999995E-2</v>
      </c>
      <c r="I2628">
        <v>206.86109999999999</v>
      </c>
      <c r="J2628">
        <v>-490.5197</v>
      </c>
      <c r="K2628">
        <v>1.111459</v>
      </c>
      <c r="L2628">
        <v>236.6147</v>
      </c>
      <c r="M2628">
        <v>0.2431729</v>
      </c>
      <c r="N2628">
        <v>0</v>
      </c>
      <c r="O2628">
        <v>-0.96989060000000005</v>
      </c>
      <c r="P2628">
        <v>0.1910491</v>
      </c>
      <c r="Q2628">
        <v>-4.4622170000000003E-2</v>
      </c>
      <c r="R2628">
        <v>-0.98056600000000005</v>
      </c>
      <c r="S2628">
        <v>2.009979</v>
      </c>
      <c r="T2628">
        <v>-9.2097399999999996E-2</v>
      </c>
      <c r="U2628">
        <v>-2.666153</v>
      </c>
      <c r="V2628">
        <v>5.3250220000000001E-2</v>
      </c>
      <c r="W2628">
        <v>-3.1096470000000001E-2</v>
      </c>
      <c r="X2628">
        <v>0.99809689999999995</v>
      </c>
      <c r="Y2628">
        <v>-0.38947730000000003</v>
      </c>
      <c r="Z2628">
        <v>2.8104850000000001E-2</v>
      </c>
      <c r="AA2628">
        <v>0.92060710000000001</v>
      </c>
      <c r="AB2628">
        <v>18</v>
      </c>
      <c r="AC2628">
        <v>22.482399999999899</v>
      </c>
      <c r="AD2628">
        <v>-1.0314580900000001</v>
      </c>
      <c r="AE2628">
        <v>-29.753599999999999</v>
      </c>
      <c r="AF2628">
        <v>-14.560366024426299</v>
      </c>
      <c r="AG2628">
        <v>-1.0314580900000001</v>
      </c>
      <c r="AH2628">
        <v>34.301682051069399</v>
      </c>
      <c r="AI2628">
        <v>91.585525576913298</v>
      </c>
      <c r="AJ2628">
        <v>113.000234718988</v>
      </c>
      <c r="AK2628">
        <v>37.278325553723</v>
      </c>
      <c r="AL2628">
        <v>91.781983762659706</v>
      </c>
      <c r="AM2628">
        <v>86.946065069223593</v>
      </c>
      <c r="AN2628">
        <v>0.99999999908305903</v>
      </c>
    </row>
    <row r="2629" spans="1:40" x14ac:dyDescent="0.25">
      <c r="A2629" t="str">
        <f>"20190312161318484"</f>
        <v>20190312161318484</v>
      </c>
      <c r="B2629" t="str">
        <f>"1552378398478386"</f>
        <v>1552378398478386</v>
      </c>
      <c r="C2629" t="s">
        <v>40</v>
      </c>
      <c r="D2629">
        <v>5.6193739999999996</v>
      </c>
      <c r="E2629">
        <v>0.3148879</v>
      </c>
      <c r="F2629" t="s">
        <v>69</v>
      </c>
      <c r="G2629">
        <v>-467.46199999999999</v>
      </c>
      <c r="H2629">
        <v>8.0001100000000006E-2</v>
      </c>
      <c r="I2629">
        <v>206.1825</v>
      </c>
      <c r="J2629">
        <v>-490.4819</v>
      </c>
      <c r="K2629">
        <v>1.11148</v>
      </c>
      <c r="L2629">
        <v>236.47450000000001</v>
      </c>
      <c r="M2629">
        <v>0.24526729999999999</v>
      </c>
      <c r="N2629">
        <v>0</v>
      </c>
      <c r="O2629">
        <v>-0.96936330000000004</v>
      </c>
      <c r="P2629">
        <v>0.1934642</v>
      </c>
      <c r="Q2629">
        <v>-4.4035539999999998E-2</v>
      </c>
      <c r="R2629">
        <v>-0.98011890000000002</v>
      </c>
      <c r="S2629">
        <v>2.0171809999999999</v>
      </c>
      <c r="T2629">
        <v>-9.0235949999999995E-2</v>
      </c>
      <c r="U2629">
        <v>-2.6623230000000002</v>
      </c>
      <c r="V2629">
        <v>5.2953409999999999E-2</v>
      </c>
      <c r="W2629">
        <v>-3.0507969999999999E-2</v>
      </c>
      <c r="X2629">
        <v>0.99813090000000004</v>
      </c>
      <c r="Y2629">
        <v>-0.38971850000000002</v>
      </c>
      <c r="Z2629">
        <v>2.7524719999999999E-2</v>
      </c>
      <c r="AA2629">
        <v>0.92052259999999997</v>
      </c>
      <c r="AB2629">
        <v>18</v>
      </c>
      <c r="AC2629">
        <v>23.0199</v>
      </c>
      <c r="AD2629">
        <v>-1.0314789</v>
      </c>
      <c r="AE2629">
        <v>-30.291999999999899</v>
      </c>
      <c r="AF2629">
        <v>-14.8754060241115</v>
      </c>
      <c r="AG2629">
        <v>-1.0314789</v>
      </c>
      <c r="AH2629">
        <v>34.987394900751497</v>
      </c>
      <c r="AI2629">
        <v>91.554114827714599</v>
      </c>
      <c r="AJ2629">
        <v>113.033485496596</v>
      </c>
      <c r="AK2629">
        <v>38.032347482694902</v>
      </c>
      <c r="AL2629">
        <v>91.748249105538207</v>
      </c>
      <c r="AM2629">
        <v>86.963158618851395</v>
      </c>
      <c r="AN2629">
        <v>1.0000000466994701</v>
      </c>
    </row>
    <row r="2630" spans="1:40" x14ac:dyDescent="0.25">
      <c r="A2630" t="str">
        <f>"20190312161318497"</f>
        <v>20190312161318497</v>
      </c>
      <c r="B2630" t="str">
        <f>"1552378398488145"</f>
        <v>1552378398488145</v>
      </c>
      <c r="C2630" t="s">
        <v>40</v>
      </c>
      <c r="D2630">
        <v>5.625038</v>
      </c>
      <c r="E2630">
        <v>0.31463219999999997</v>
      </c>
      <c r="F2630" t="s">
        <v>69</v>
      </c>
      <c r="G2630">
        <v>-466.68680000000001</v>
      </c>
      <c r="H2630">
        <v>8.0001379999999997E-2</v>
      </c>
      <c r="I2630">
        <v>205.31530000000001</v>
      </c>
      <c r="J2630">
        <v>-490.45429999999999</v>
      </c>
      <c r="K2630">
        <v>1.111491</v>
      </c>
      <c r="L2630">
        <v>236.37280000000001</v>
      </c>
      <c r="M2630">
        <v>0.24681130000000001</v>
      </c>
      <c r="N2630">
        <v>0</v>
      </c>
      <c r="O2630">
        <v>-0.96897109999999997</v>
      </c>
      <c r="P2630">
        <v>0.19522100000000001</v>
      </c>
      <c r="Q2630">
        <v>-4.4036310000000002E-2</v>
      </c>
      <c r="R2630">
        <v>-0.97977020000000004</v>
      </c>
      <c r="S2630">
        <v>2.0286249999999999</v>
      </c>
      <c r="T2630">
        <v>-8.7937589999999996E-2</v>
      </c>
      <c r="U2630">
        <v>-2.6564480000000001</v>
      </c>
      <c r="V2630">
        <v>5.2755240000000002E-2</v>
      </c>
      <c r="W2630">
        <v>-3.0507639999999999E-2</v>
      </c>
      <c r="X2630">
        <v>0.99814130000000001</v>
      </c>
      <c r="Y2630">
        <v>-0.39175159999999998</v>
      </c>
      <c r="Z2630">
        <v>2.6811450000000001E-2</v>
      </c>
      <c r="AA2630">
        <v>0.91968030000000001</v>
      </c>
      <c r="AB2630">
        <v>18</v>
      </c>
      <c r="AC2630">
        <v>23.767499999999899</v>
      </c>
      <c r="AD2630">
        <v>-1.0314896200000001</v>
      </c>
      <c r="AE2630">
        <v>-31.057500000000001</v>
      </c>
      <c r="AF2630">
        <v>-15.355373480501701</v>
      </c>
      <c r="AG2630">
        <v>-1.0314896200000001</v>
      </c>
      <c r="AH2630">
        <v>35.938129396211799</v>
      </c>
      <c r="AI2630">
        <v>91.511886864687497</v>
      </c>
      <c r="AJ2630">
        <v>113.135685016398</v>
      </c>
      <c r="AK2630">
        <v>39.094764484016601</v>
      </c>
      <c r="AL2630">
        <v>91.748230370288695</v>
      </c>
      <c r="AM2630">
        <v>86.974533842227103</v>
      </c>
      <c r="AN2630">
        <v>0.99999994310575602</v>
      </c>
    </row>
    <row r="2631" spans="1:40" x14ac:dyDescent="0.25">
      <c r="A2631" t="str">
        <f>"20190312161318519"</f>
        <v>20190312161318519</v>
      </c>
      <c r="B2631" t="str">
        <f>"1552378398508641"</f>
        <v>1552378398508641</v>
      </c>
      <c r="C2631" t="s">
        <v>40</v>
      </c>
      <c r="D2631">
        <v>5.6125949999999998</v>
      </c>
      <c r="E2631">
        <v>0.31494090000000002</v>
      </c>
      <c r="F2631" t="s">
        <v>69</v>
      </c>
      <c r="G2631">
        <v>-466.44779999999997</v>
      </c>
      <c r="H2631">
        <v>8.0001459999999996E-2</v>
      </c>
      <c r="I2631">
        <v>205.08189999999999</v>
      </c>
      <c r="J2631">
        <v>-490.41030000000001</v>
      </c>
      <c r="K2631">
        <v>1.111507</v>
      </c>
      <c r="L2631">
        <v>236.21250000000001</v>
      </c>
      <c r="M2631">
        <v>0.24927820000000001</v>
      </c>
      <c r="N2631">
        <v>0</v>
      </c>
      <c r="O2631">
        <v>-0.96833930000000001</v>
      </c>
      <c r="P2631">
        <v>0.19802139999999999</v>
      </c>
      <c r="Q2631">
        <v>-4.3897680000000001E-2</v>
      </c>
      <c r="R2631">
        <v>-0.97921429999999998</v>
      </c>
      <c r="S2631">
        <v>2.035034</v>
      </c>
      <c r="T2631">
        <v>-8.7439420000000004E-2</v>
      </c>
      <c r="U2631">
        <v>-2.6525270000000001</v>
      </c>
      <c r="V2631">
        <v>5.2446149999999997E-2</v>
      </c>
      <c r="W2631">
        <v>-3.0367290000000002E-2</v>
      </c>
      <c r="X2631">
        <v>0.99816190000000005</v>
      </c>
      <c r="Y2631">
        <v>-0.39146720000000002</v>
      </c>
      <c r="Z2631">
        <v>2.6649030000000001E-2</v>
      </c>
      <c r="AA2631">
        <v>0.91980609999999996</v>
      </c>
      <c r="AB2631">
        <v>18</v>
      </c>
      <c r="AC2631">
        <v>23.962499999999999</v>
      </c>
      <c r="AD2631">
        <v>-1.0315055399999999</v>
      </c>
      <c r="AE2631">
        <v>-31.130600000000001</v>
      </c>
      <c r="AF2631">
        <v>-15.4343949730806</v>
      </c>
      <c r="AG2631">
        <v>-1.0315055399999999</v>
      </c>
      <c r="AH2631">
        <v>36.0966661300548</v>
      </c>
      <c r="AI2631">
        <v>91.505102974460698</v>
      </c>
      <c r="AJ2631">
        <v>113.15082800067999</v>
      </c>
      <c r="AK2631">
        <v>39.271540045798503</v>
      </c>
      <c r="AL2631">
        <v>91.740185124476696</v>
      </c>
      <c r="AM2631">
        <v>86.992289195701403</v>
      </c>
      <c r="AN2631">
        <v>0.99999997478168801</v>
      </c>
    </row>
    <row r="2632" spans="1:40" x14ac:dyDescent="0.25">
      <c r="A2632" t="str">
        <f>"20190312161318540"</f>
        <v>20190312161318540</v>
      </c>
      <c r="B2632" t="str">
        <f>"1552378398537921"</f>
        <v>1552378398537921</v>
      </c>
      <c r="C2632" t="s">
        <v>40</v>
      </c>
      <c r="D2632">
        <v>5.6158919999999997</v>
      </c>
      <c r="E2632">
        <v>0.31517849999999997</v>
      </c>
      <c r="F2632" t="s">
        <v>69</v>
      </c>
      <c r="G2632">
        <v>-466.89400000000001</v>
      </c>
      <c r="H2632">
        <v>8.0001290000000003E-2</v>
      </c>
      <c r="I2632">
        <v>205.70760000000001</v>
      </c>
      <c r="J2632">
        <v>-490.3664</v>
      </c>
      <c r="K2632">
        <v>1.111531</v>
      </c>
      <c r="L2632">
        <v>236.0539</v>
      </c>
      <c r="M2632">
        <v>0.25175969999999998</v>
      </c>
      <c r="N2632">
        <v>0</v>
      </c>
      <c r="O2632">
        <v>-0.96769720000000004</v>
      </c>
      <c r="P2632">
        <v>0.2006416</v>
      </c>
      <c r="Q2632">
        <v>-4.3991740000000001E-2</v>
      </c>
      <c r="R2632">
        <v>-0.97867689999999996</v>
      </c>
      <c r="S2632">
        <v>2.0405880000000001</v>
      </c>
      <c r="T2632">
        <v>-8.9507100000000006E-2</v>
      </c>
      <c r="U2632">
        <v>-2.6470030000000002</v>
      </c>
      <c r="V2632">
        <v>5.2333820000000003E-2</v>
      </c>
      <c r="W2632">
        <v>-3.0459469999999999E-2</v>
      </c>
      <c r="X2632">
        <v>0.99816499999999997</v>
      </c>
      <c r="Y2632">
        <v>-0.39123580000000002</v>
      </c>
      <c r="Z2632">
        <v>2.7282359999999999E-2</v>
      </c>
      <c r="AA2632">
        <v>0.91988599999999998</v>
      </c>
      <c r="AB2632">
        <v>18</v>
      </c>
      <c r="AC2632">
        <v>23.4724</v>
      </c>
      <c r="AD2632">
        <v>-1.03152971</v>
      </c>
      <c r="AE2632">
        <v>-30.3462999999999</v>
      </c>
      <c r="AF2632">
        <v>-15.064660295437101</v>
      </c>
      <c r="AG2632">
        <v>-1.03152971</v>
      </c>
      <c r="AH2632">
        <v>35.253108998375303</v>
      </c>
      <c r="AI2632">
        <v>91.541279696568296</v>
      </c>
      <c r="AJ2632">
        <v>113.138402317664</v>
      </c>
      <c r="AK2632">
        <v>38.350876618545001</v>
      </c>
      <c r="AL2632">
        <v>91.745469071471504</v>
      </c>
      <c r="AM2632">
        <v>86.998728672477696</v>
      </c>
      <c r="AN2632">
        <v>0.99999998762673603</v>
      </c>
    </row>
    <row r="2633" spans="1:40" x14ac:dyDescent="0.25">
      <c r="A2633" t="str">
        <f>"20190312161318554"</f>
        <v>20190312161318554</v>
      </c>
      <c r="B2633" t="str">
        <f>"1552378398548658"</f>
        <v>1552378398548658</v>
      </c>
      <c r="C2633" t="s">
        <v>40</v>
      </c>
      <c r="D2633">
        <v>5.6278649999999999</v>
      </c>
      <c r="E2633">
        <v>0.31527559999999999</v>
      </c>
      <c r="F2633" t="s">
        <v>69</v>
      </c>
      <c r="G2633">
        <v>-467.27409999999998</v>
      </c>
      <c r="H2633">
        <v>8.0001160000000002E-2</v>
      </c>
      <c r="I2633">
        <v>206.23070000000001</v>
      </c>
      <c r="J2633">
        <v>-490.33940000000001</v>
      </c>
      <c r="K2633">
        <v>1.1115409999999999</v>
      </c>
      <c r="L2633">
        <v>235.95760000000001</v>
      </c>
      <c r="M2633">
        <v>0.25328489999999998</v>
      </c>
      <c r="N2633">
        <v>0</v>
      </c>
      <c r="O2633">
        <v>-0.96729900000000002</v>
      </c>
      <c r="P2633">
        <v>0.2022111</v>
      </c>
      <c r="Q2633">
        <v>-4.3818030000000001E-2</v>
      </c>
      <c r="R2633">
        <v>-0.97836120000000004</v>
      </c>
      <c r="S2633">
        <v>2.0456240000000001</v>
      </c>
      <c r="T2633">
        <v>-9.1377739999999999E-2</v>
      </c>
      <c r="U2633">
        <v>-2.6418759999999999</v>
      </c>
      <c r="V2633">
        <v>5.2308529999999999E-2</v>
      </c>
      <c r="W2633">
        <v>-3.028457E-2</v>
      </c>
      <c r="X2633">
        <v>0.9981717</v>
      </c>
      <c r="Y2633">
        <v>-0.39173479999999999</v>
      </c>
      <c r="Z2633">
        <v>2.7859869999999998E-2</v>
      </c>
      <c r="AA2633">
        <v>0.91965629999999998</v>
      </c>
      <c r="AB2633">
        <v>17</v>
      </c>
      <c r="AC2633">
        <v>23.065300000000001</v>
      </c>
      <c r="AD2633">
        <v>-1.03153984</v>
      </c>
      <c r="AE2633">
        <v>-29.726900000000001</v>
      </c>
      <c r="AF2633">
        <v>-14.7718899177493</v>
      </c>
      <c r="AG2633">
        <v>-1.03153984</v>
      </c>
      <c r="AH2633">
        <v>34.574009950115702</v>
      </c>
      <c r="AI2633">
        <v>91.571595960187096</v>
      </c>
      <c r="AJ2633">
        <v>113.13479813132901</v>
      </c>
      <c r="AK2633">
        <v>37.611633442517601</v>
      </c>
      <c r="AL2633">
        <v>91.735443323231294</v>
      </c>
      <c r="AM2633">
        <v>87.000196467757306</v>
      </c>
      <c r="AN2633">
        <v>1.00000004008586</v>
      </c>
    </row>
    <row r="2634" spans="1:40" x14ac:dyDescent="0.25">
      <c r="A2634" t="str">
        <f>"20190312161318576"</f>
        <v>20190312161318576</v>
      </c>
      <c r="B2634" t="str">
        <f>"1552378398568178"</f>
        <v>1552378398568178</v>
      </c>
      <c r="C2634" t="s">
        <v>40</v>
      </c>
      <c r="D2634">
        <v>5.6087300000000004</v>
      </c>
      <c r="E2634">
        <v>0.31540069999999998</v>
      </c>
      <c r="F2634" t="s">
        <v>69</v>
      </c>
      <c r="G2634">
        <v>-467.25389999999999</v>
      </c>
      <c r="H2634">
        <v>8.0001160000000002E-2</v>
      </c>
      <c r="I2634">
        <v>206.23079999999999</v>
      </c>
      <c r="J2634">
        <v>-490.29250000000002</v>
      </c>
      <c r="K2634">
        <v>1.1115569999999999</v>
      </c>
      <c r="L2634">
        <v>235.79130000000001</v>
      </c>
      <c r="M2634">
        <v>0.25594699999999998</v>
      </c>
      <c r="N2634">
        <v>0</v>
      </c>
      <c r="O2634">
        <v>-0.96659819999999996</v>
      </c>
      <c r="P2634">
        <v>0.20509659999999999</v>
      </c>
      <c r="Q2634">
        <v>-4.3488520000000003E-2</v>
      </c>
      <c r="R2634">
        <v>-0.97777530000000001</v>
      </c>
      <c r="S2634">
        <v>2.0492249999999999</v>
      </c>
      <c r="T2634">
        <v>-9.1566209999999995E-2</v>
      </c>
      <c r="U2634">
        <v>-2.6387480000000001</v>
      </c>
      <c r="V2634">
        <v>5.2115460000000002E-2</v>
      </c>
      <c r="W2634">
        <v>-2.9953899999999999E-2</v>
      </c>
      <c r="X2634">
        <v>0.99819170000000002</v>
      </c>
      <c r="Y2634">
        <v>-0.39051150000000001</v>
      </c>
      <c r="Z2634">
        <v>2.7910339999999999E-2</v>
      </c>
      <c r="AA2634">
        <v>0.92017479999999996</v>
      </c>
      <c r="AB2634">
        <v>17</v>
      </c>
      <c r="AC2634">
        <v>23.038599999999999</v>
      </c>
      <c r="AD2634">
        <v>-1.03155584</v>
      </c>
      <c r="AE2634">
        <v>-29.560500000000001</v>
      </c>
      <c r="AF2634">
        <v>-14.693333010862601</v>
      </c>
      <c r="AG2634">
        <v>-1.03155584</v>
      </c>
      <c r="AH2634">
        <v>34.446776574338401</v>
      </c>
      <c r="AI2634">
        <v>91.577822311885797</v>
      </c>
      <c r="AJ2634">
        <v>113.100756668689</v>
      </c>
      <c r="AK2634">
        <v>37.463830006841697</v>
      </c>
      <c r="AL2634">
        <v>91.716488860326507</v>
      </c>
      <c r="AM2634">
        <v>87.0113083609276</v>
      </c>
      <c r="AN2634">
        <v>0.99999996362255505</v>
      </c>
    </row>
    <row r="2635" spans="1:40" x14ac:dyDescent="0.25">
      <c r="A2635" t="str">
        <f>"20190312161318599"</f>
        <v>20190312161318599</v>
      </c>
      <c r="B2635" t="str">
        <f>"1552378398588673"</f>
        <v>1552378398588673</v>
      </c>
      <c r="C2635" t="s">
        <v>40</v>
      </c>
      <c r="D2635">
        <v>5.6418679999999997</v>
      </c>
      <c r="E2635">
        <v>0.3154844</v>
      </c>
      <c r="F2635" t="s">
        <v>69</v>
      </c>
      <c r="G2635">
        <v>-467.3836</v>
      </c>
      <c r="H2635">
        <v>8.0001119999999995E-2</v>
      </c>
      <c r="I2635">
        <v>206.4607</v>
      </c>
      <c r="J2635">
        <v>-490.24340000000001</v>
      </c>
      <c r="K2635">
        <v>1.1115660000000001</v>
      </c>
      <c r="L2635">
        <v>235.61949999999999</v>
      </c>
      <c r="M2635">
        <v>0.25873180000000001</v>
      </c>
      <c r="N2635">
        <v>0</v>
      </c>
      <c r="O2635">
        <v>-0.96585639999999995</v>
      </c>
      <c r="P2635">
        <v>0.2081095</v>
      </c>
      <c r="Q2635">
        <v>-4.3289790000000002E-2</v>
      </c>
      <c r="R2635">
        <v>-0.97714749999999995</v>
      </c>
      <c r="S2635">
        <v>2.056305</v>
      </c>
      <c r="T2635">
        <v>-9.2592720000000003E-2</v>
      </c>
      <c r="U2635">
        <v>-2.6327210000000001</v>
      </c>
      <c r="V2635">
        <v>5.1917949999999997E-2</v>
      </c>
      <c r="W2635">
        <v>-2.9754739999999998E-2</v>
      </c>
      <c r="X2635">
        <v>0.99820799999999998</v>
      </c>
      <c r="Y2635">
        <v>-0.39041160000000003</v>
      </c>
      <c r="Z2635">
        <v>2.822117E-2</v>
      </c>
      <c r="AA2635">
        <v>0.92020780000000002</v>
      </c>
      <c r="AB2635">
        <v>17</v>
      </c>
      <c r="AC2635">
        <v>22.8598</v>
      </c>
      <c r="AD2635">
        <v>-1.0315648799999999</v>
      </c>
      <c r="AE2635">
        <v>-29.1587999999999</v>
      </c>
      <c r="AF2635">
        <v>-14.5250193215536</v>
      </c>
      <c r="AG2635">
        <v>-1.0315648799999999</v>
      </c>
      <c r="AH2635">
        <v>34.054428595876502</v>
      </c>
      <c r="AI2635">
        <v>91.596021530676694</v>
      </c>
      <c r="AJ2635">
        <v>113.099394426983</v>
      </c>
      <c r="AK2635">
        <v>37.0370681802004</v>
      </c>
      <c r="AL2635">
        <v>91.705072656756897</v>
      </c>
      <c r="AM2635">
        <v>87.022663179225404</v>
      </c>
      <c r="AN2635">
        <v>1.00000001467433</v>
      </c>
    </row>
    <row r="2636" spans="1:40" x14ac:dyDescent="0.25">
      <c r="A2636" t="str">
        <f>"20190312161318618"</f>
        <v>20190312161318618</v>
      </c>
      <c r="B2636" t="str">
        <f>"1552378398608192"</f>
        <v>1552378398608192</v>
      </c>
      <c r="C2636" t="s">
        <v>40</v>
      </c>
      <c r="D2636">
        <v>5.6343649999999998</v>
      </c>
      <c r="E2636">
        <v>0.31561240000000002</v>
      </c>
      <c r="F2636" t="s">
        <v>69</v>
      </c>
      <c r="G2636">
        <v>-467.39789999999999</v>
      </c>
      <c r="H2636">
        <v>8.000111E-2</v>
      </c>
      <c r="I2636">
        <v>206.53980000000001</v>
      </c>
      <c r="J2636">
        <v>-490.1995</v>
      </c>
      <c r="K2636">
        <v>1.1115710000000001</v>
      </c>
      <c r="L2636">
        <v>235.46719999999999</v>
      </c>
      <c r="M2636">
        <v>0.26122199999999901</v>
      </c>
      <c r="N2636">
        <v>0</v>
      </c>
      <c r="O2636">
        <v>-0.96518610000000005</v>
      </c>
      <c r="P2636">
        <v>0.21096039999999999</v>
      </c>
      <c r="Q2636">
        <v>-4.3139329999999997E-2</v>
      </c>
      <c r="R2636">
        <v>-0.97654249999999998</v>
      </c>
      <c r="S2636">
        <v>2.0634769999999998</v>
      </c>
      <c r="T2636">
        <v>-9.3173859999999997E-2</v>
      </c>
      <c r="U2636">
        <v>-2.6265559999999999</v>
      </c>
      <c r="V2636">
        <v>5.1580920000000002E-2</v>
      </c>
      <c r="W2636">
        <v>-2.9604999999999999E-2</v>
      </c>
      <c r="X2636">
        <v>0.9982299</v>
      </c>
      <c r="Y2636">
        <v>-0.3906366</v>
      </c>
      <c r="Z2636">
        <v>2.8398179999999999E-2</v>
      </c>
      <c r="AA2636">
        <v>0.92010689999999995</v>
      </c>
      <c r="AB2636">
        <v>17</v>
      </c>
      <c r="AC2636">
        <v>22.801600000000001</v>
      </c>
      <c r="AD2636">
        <v>-1.0315698900000001</v>
      </c>
      <c r="AE2636">
        <v>-28.927399999999899</v>
      </c>
      <c r="AF2636">
        <v>-14.4412795935581</v>
      </c>
      <c r="AG2636">
        <v>-1.0315698900000001</v>
      </c>
      <c r="AH2636">
        <v>33.853081181805102</v>
      </c>
      <c r="AI2636">
        <v>91.605480398588497</v>
      </c>
      <c r="AJ2636">
        <v>113.10245836386601</v>
      </c>
      <c r="AK2636">
        <v>36.819095565197699</v>
      </c>
      <c r="AL2636">
        <v>91.696489446921404</v>
      </c>
      <c r="AM2636">
        <v>87.042021169774699</v>
      </c>
      <c r="AN2636">
        <v>0.99999999029352804</v>
      </c>
    </row>
    <row r="2637" spans="1:40" x14ac:dyDescent="0.25">
      <c r="A2637" t="str">
        <f>"20190312161318632"</f>
        <v>20190312161318632</v>
      </c>
      <c r="B2637" t="str">
        <f>"1552378398628690"</f>
        <v>1552378398628690</v>
      </c>
      <c r="C2637" t="s">
        <v>40</v>
      </c>
      <c r="D2637">
        <v>5.6526880000000004</v>
      </c>
      <c r="E2637">
        <v>0.3158126</v>
      </c>
      <c r="F2637" t="s">
        <v>69</v>
      </c>
      <c r="G2637">
        <v>-467.49360000000001</v>
      </c>
      <c r="H2637">
        <v>8.0001059999999999E-2</v>
      </c>
      <c r="I2637">
        <v>206.72190000000001</v>
      </c>
      <c r="J2637">
        <v>-490.17160000000001</v>
      </c>
      <c r="K2637">
        <v>1.111578</v>
      </c>
      <c r="L2637">
        <v>235.37119999999999</v>
      </c>
      <c r="M2637">
        <v>0.26280049999999999</v>
      </c>
      <c r="N2637">
        <v>0</v>
      </c>
      <c r="O2637">
        <v>-0.96475759999999999</v>
      </c>
      <c r="P2637">
        <v>0.212673</v>
      </c>
      <c r="Q2637">
        <v>-4.3452240000000003E-2</v>
      </c>
      <c r="R2637">
        <v>-0.97615730000000001</v>
      </c>
      <c r="S2637">
        <v>2.0700989999999999</v>
      </c>
      <c r="T2637">
        <v>-9.4048380000000001E-2</v>
      </c>
      <c r="U2637">
        <v>-2.6207120000000002</v>
      </c>
      <c r="V2637">
        <v>5.1460369999999998E-2</v>
      </c>
      <c r="W2637">
        <v>-2.991854E-2</v>
      </c>
      <c r="X2637">
        <v>0.99822679999999997</v>
      </c>
      <c r="Y2637">
        <v>-0.3915553</v>
      </c>
      <c r="Z2637">
        <v>2.866958E-2</v>
      </c>
      <c r="AA2637">
        <v>0.91970779999999996</v>
      </c>
      <c r="AB2637">
        <v>17</v>
      </c>
      <c r="AC2637">
        <v>22.678000000000001</v>
      </c>
      <c r="AD2637">
        <v>-1.0315769400000001</v>
      </c>
      <c r="AE2637">
        <v>-28.649299999999901</v>
      </c>
      <c r="AF2637">
        <v>-14.339574913121</v>
      </c>
      <c r="AG2637">
        <v>-1.0315769400000001</v>
      </c>
      <c r="AH2637">
        <v>33.575659423902501</v>
      </c>
      <c r="AI2637">
        <v>91.618460373862504</v>
      </c>
      <c r="AJ2637">
        <v>113.126477622408</v>
      </c>
      <c r="AK2637">
        <v>36.5241353822653</v>
      </c>
      <c r="AL2637">
        <v>91.714461882415904</v>
      </c>
      <c r="AM2637">
        <v>87.048912892831893</v>
      </c>
      <c r="AN2637">
        <v>1.00000001647725</v>
      </c>
    </row>
    <row r="2638" spans="1:40" x14ac:dyDescent="0.25">
      <c r="A2638" t="str">
        <f>"20190312161318652"</f>
        <v>20190312161318652</v>
      </c>
      <c r="B2638" t="str">
        <f>"1552378398648209"</f>
        <v>1552378398648209</v>
      </c>
      <c r="C2638" t="s">
        <v>40</v>
      </c>
      <c r="D2638">
        <v>5.6926670000000001</v>
      </c>
      <c r="E2638">
        <v>0.31599549999999998</v>
      </c>
      <c r="F2638" t="s">
        <v>69</v>
      </c>
      <c r="G2638">
        <v>-468.48669999999998</v>
      </c>
      <c r="H2638">
        <v>8.0000730000000006E-2</v>
      </c>
      <c r="I2638">
        <v>207.99539999999999</v>
      </c>
      <c r="J2638">
        <v>-490.12959999999998</v>
      </c>
      <c r="K2638">
        <v>1.1115759999999999</v>
      </c>
      <c r="L2638">
        <v>235.22839999999999</v>
      </c>
      <c r="M2638">
        <v>0.26516089999999998</v>
      </c>
      <c r="N2638">
        <v>0</v>
      </c>
      <c r="O2638">
        <v>-0.9641113</v>
      </c>
      <c r="P2638">
        <v>0.21554970000000001</v>
      </c>
      <c r="Q2638">
        <v>-4.2677510000000002E-2</v>
      </c>
      <c r="R2638">
        <v>-0.97556019999999999</v>
      </c>
      <c r="S2638">
        <v>2.0731199999999999</v>
      </c>
      <c r="T2638">
        <v>-9.8621009999999995E-2</v>
      </c>
      <c r="U2638">
        <v>-2.6171880000000001</v>
      </c>
      <c r="V2638">
        <v>5.0967659999999998E-2</v>
      </c>
      <c r="W2638">
        <v>-2.9145379999999999E-2</v>
      </c>
      <c r="X2638">
        <v>0.99827489999999997</v>
      </c>
      <c r="Y2638">
        <v>-0.39053199999999999</v>
      </c>
      <c r="Z2638">
        <v>3.0061009999999999E-2</v>
      </c>
      <c r="AA2638">
        <v>0.92009839999999998</v>
      </c>
      <c r="AB2638">
        <v>17</v>
      </c>
      <c r="AC2638">
        <v>21.642900000000001</v>
      </c>
      <c r="AD2638">
        <v>-1.03157527</v>
      </c>
      <c r="AE2638">
        <v>-27.233000000000001</v>
      </c>
      <c r="AF2638">
        <v>-13.6342694351797</v>
      </c>
      <c r="AG2638">
        <v>-1.03157527</v>
      </c>
      <c r="AH2638">
        <v>31.9692448381874</v>
      </c>
      <c r="AI2638">
        <v>91.700105685279695</v>
      </c>
      <c r="AJ2638">
        <v>113.097317455705</v>
      </c>
      <c r="AK2638">
        <v>34.770534452215799</v>
      </c>
      <c r="AL2638">
        <v>91.670143831936599</v>
      </c>
      <c r="AM2638">
        <v>87.077259587676295</v>
      </c>
      <c r="AN2638">
        <v>0.99999996575561401</v>
      </c>
    </row>
    <row r="2639" spans="1:40" x14ac:dyDescent="0.25">
      <c r="A2639" t="str">
        <f>"20190312161318665"</f>
        <v>20190312161318665</v>
      </c>
      <c r="B2639" t="str">
        <f>"1552378398657969"</f>
        <v>1552378398657969</v>
      </c>
      <c r="C2639" t="s">
        <v>40</v>
      </c>
      <c r="D2639">
        <v>5.6723429999999997</v>
      </c>
      <c r="E2639">
        <v>0.31604939999999998</v>
      </c>
      <c r="F2639" t="s">
        <v>69</v>
      </c>
      <c r="G2639">
        <v>-468.28030000000001</v>
      </c>
      <c r="H2639">
        <v>8.0000799999999997E-2</v>
      </c>
      <c r="I2639">
        <v>207.7921</v>
      </c>
      <c r="J2639">
        <v>-490.0992</v>
      </c>
      <c r="K2639">
        <v>1.111577</v>
      </c>
      <c r="L2639">
        <v>235.12540000000001</v>
      </c>
      <c r="M2639">
        <v>0.26686979999999999</v>
      </c>
      <c r="N2639">
        <v>0</v>
      </c>
      <c r="O2639">
        <v>-0.96363949999999998</v>
      </c>
      <c r="P2639">
        <v>0.21740950000000001</v>
      </c>
      <c r="Q2639">
        <v>-4.2569290000000003E-2</v>
      </c>
      <c r="R2639">
        <v>-0.97515200000000002</v>
      </c>
      <c r="S2639">
        <v>2.07959</v>
      </c>
      <c r="T2639">
        <v>-9.818375E-2</v>
      </c>
      <c r="U2639">
        <v>-2.6113430000000002</v>
      </c>
      <c r="V2639">
        <v>5.0834959999999998E-2</v>
      </c>
      <c r="W2639">
        <v>-2.9038149999999999E-2</v>
      </c>
      <c r="X2639">
        <v>0.99828479999999997</v>
      </c>
      <c r="Y2639">
        <v>-0.39130009999999998</v>
      </c>
      <c r="Z2639">
        <v>2.9932549999999999E-2</v>
      </c>
      <c r="AA2639">
        <v>0.91977620000000004</v>
      </c>
      <c r="AB2639">
        <v>17</v>
      </c>
      <c r="AC2639">
        <v>21.8188999999999</v>
      </c>
      <c r="AD2639">
        <v>-1.0315761999999999</v>
      </c>
      <c r="AE2639">
        <v>-27.333300000000001</v>
      </c>
      <c r="AF2639">
        <v>-13.7204169615379</v>
      </c>
      <c r="AG2639">
        <v>-1.0315761999999999</v>
      </c>
      <c r="AH2639">
        <v>32.137179710891701</v>
      </c>
      <c r="AI2639">
        <v>91.690952598848995</v>
      </c>
      <c r="AJ2639">
        <v>113.11922684306499</v>
      </c>
      <c r="AK2639">
        <v>34.958722957582602</v>
      </c>
      <c r="AL2639">
        <v>91.663997389038002</v>
      </c>
      <c r="AM2639">
        <v>87.084884985827003</v>
      </c>
      <c r="AN2639">
        <v>0.99999997461233103</v>
      </c>
    </row>
    <row r="2640" spans="1:40" x14ac:dyDescent="0.25">
      <c r="A2640" t="str">
        <f>"20190312161318678"</f>
        <v>20190312161318678</v>
      </c>
      <c r="B2640" t="str">
        <f>"1552378398668705"</f>
        <v>1552378398668705</v>
      </c>
      <c r="C2640" t="s">
        <v>40</v>
      </c>
      <c r="D2640">
        <v>5.7010699999999996</v>
      </c>
      <c r="E2640">
        <v>0.31613439999999998</v>
      </c>
      <c r="F2640" t="s">
        <v>69</v>
      </c>
      <c r="G2640">
        <v>-468.23200000000003</v>
      </c>
      <c r="H2640">
        <v>8.0000810000000006E-2</v>
      </c>
      <c r="I2640">
        <v>207.76929999999999</v>
      </c>
      <c r="J2640">
        <v>-490.07190000000003</v>
      </c>
      <c r="K2640">
        <v>1.1115740000000001</v>
      </c>
      <c r="L2640">
        <v>235.03380000000001</v>
      </c>
      <c r="M2640">
        <v>0.26839200000000002</v>
      </c>
      <c r="N2640">
        <v>0</v>
      </c>
      <c r="O2640">
        <v>-0.96321670000000004</v>
      </c>
      <c r="P2640">
        <v>0.2188676</v>
      </c>
      <c r="Q2640">
        <v>-4.2187309999999999E-2</v>
      </c>
      <c r="R2640">
        <v>-0.97484210000000004</v>
      </c>
      <c r="S2640">
        <v>2.0842589999999999</v>
      </c>
      <c r="T2640">
        <v>-9.8324300000000003E-2</v>
      </c>
      <c r="U2640">
        <v>-2.607437</v>
      </c>
      <c r="V2640">
        <v>5.0922340000000003E-2</v>
      </c>
      <c r="W2640">
        <v>-2.8656540000000001E-2</v>
      </c>
      <c r="X2640">
        <v>0.99829140000000005</v>
      </c>
      <c r="Y2640">
        <v>-0.3915225</v>
      </c>
      <c r="Z2640">
        <v>2.9974319999999999E-2</v>
      </c>
      <c r="AA2640">
        <v>0.91968019999999995</v>
      </c>
      <c r="AB2640">
        <v>17</v>
      </c>
      <c r="AC2640">
        <v>21.8399</v>
      </c>
      <c r="AD2640">
        <v>-1.03157319</v>
      </c>
      <c r="AE2640">
        <v>-27.264500000000002</v>
      </c>
      <c r="AF2640">
        <v>-13.7082592186384</v>
      </c>
      <c r="AG2640">
        <v>-1.03157319</v>
      </c>
      <c r="AH2640">
        <v>32.098166856667497</v>
      </c>
      <c r="AI2640">
        <v>91.692916057207299</v>
      </c>
      <c r="AJ2640">
        <v>113.12601785810899</v>
      </c>
      <c r="AK2640">
        <v>34.918087427723997</v>
      </c>
      <c r="AL2640">
        <v>91.642123599927999</v>
      </c>
      <c r="AM2640">
        <v>87.079902144241004</v>
      </c>
      <c r="AN2640">
        <v>1.0000000006548999</v>
      </c>
    </row>
    <row r="2641" spans="1:40" x14ac:dyDescent="0.25">
      <c r="A2641" t="str">
        <f>"20190312161318697"</f>
        <v>20190312161318697</v>
      </c>
      <c r="B2641" t="str">
        <f>"1552378398688224"</f>
        <v>1552378398688224</v>
      </c>
      <c r="C2641" t="s">
        <v>40</v>
      </c>
      <c r="D2641">
        <v>5.6656750000000002</v>
      </c>
      <c r="E2641">
        <v>0.31629699999999999</v>
      </c>
      <c r="F2641" t="s">
        <v>69</v>
      </c>
      <c r="G2641">
        <v>-467.9753</v>
      </c>
      <c r="H2641">
        <v>8.0000899999999903E-2</v>
      </c>
      <c r="I2641">
        <v>207.4633</v>
      </c>
      <c r="J2641">
        <v>-490.0283</v>
      </c>
      <c r="K2641">
        <v>1.1115740000000001</v>
      </c>
      <c r="L2641">
        <v>234.88849999999999</v>
      </c>
      <c r="M2641">
        <v>0.27081529999999998</v>
      </c>
      <c r="N2641">
        <v>0</v>
      </c>
      <c r="O2641">
        <v>-0.96253829999999996</v>
      </c>
      <c r="P2641">
        <v>0.2205686</v>
      </c>
      <c r="Q2641">
        <v>-4.1693969999999997E-2</v>
      </c>
      <c r="R2641">
        <v>-0.97448020000000002</v>
      </c>
      <c r="S2641">
        <v>2.0874329999999999</v>
      </c>
      <c r="T2641">
        <v>-9.7450969999999998E-2</v>
      </c>
      <c r="U2641">
        <v>-2.6045379999999998</v>
      </c>
      <c r="V2641">
        <v>5.1695940000000003E-2</v>
      </c>
      <c r="W2641">
        <v>-2.8162420000000001E-2</v>
      </c>
      <c r="X2641">
        <v>0.99826570000000003</v>
      </c>
      <c r="Y2641">
        <v>-0.39039360000000001</v>
      </c>
      <c r="Z2641">
        <v>2.970037E-2</v>
      </c>
      <c r="AA2641">
        <v>0.92016889999999996</v>
      </c>
      <c r="AB2641">
        <v>17</v>
      </c>
      <c r="AC2641">
        <v>22.053000000000001</v>
      </c>
      <c r="AD2641">
        <v>-1.0315730999999999</v>
      </c>
      <c r="AE2641">
        <v>-27.425199999999901</v>
      </c>
      <c r="AF2641">
        <v>-13.789081183750699</v>
      </c>
      <c r="AG2641">
        <v>-1.0315730999999999</v>
      </c>
      <c r="AH2641">
        <v>32.345202085260802</v>
      </c>
      <c r="AI2641">
        <v>91.680456284998399</v>
      </c>
      <c r="AJ2641">
        <v>113.08903349641901</v>
      </c>
      <c r="AK2641">
        <v>35.1769100531737</v>
      </c>
      <c r="AL2641">
        <v>91.613801178414704</v>
      </c>
      <c r="AM2641">
        <v>87.0355430687394</v>
      </c>
      <c r="AN2641">
        <v>0.99999999995461497</v>
      </c>
    </row>
    <row r="2642" spans="1:40" x14ac:dyDescent="0.25">
      <c r="A2642" t="str">
        <f>"20190312161318719"</f>
        <v>20190312161318719</v>
      </c>
      <c r="B2642" t="str">
        <f>"1552378398708724"</f>
        <v>1552378398708724</v>
      </c>
      <c r="C2642" t="s">
        <v>40</v>
      </c>
      <c r="D2642">
        <v>5.7550970000000001</v>
      </c>
      <c r="E2642">
        <v>0.31645519999999999</v>
      </c>
      <c r="F2642" t="s">
        <v>69</v>
      </c>
      <c r="G2642">
        <v>-467.93689999999998</v>
      </c>
      <c r="H2642">
        <v>8.0000909999999995E-2</v>
      </c>
      <c r="I2642">
        <v>207.4051</v>
      </c>
      <c r="J2642">
        <v>-489.98070000000001</v>
      </c>
      <c r="K2642">
        <v>1.1115729999999999</v>
      </c>
      <c r="L2642">
        <v>234.73099999999999</v>
      </c>
      <c r="M2642">
        <v>0.27344540000000001</v>
      </c>
      <c r="N2642">
        <v>0</v>
      </c>
      <c r="O2642">
        <v>-0.9617945</v>
      </c>
      <c r="P2642">
        <v>0.22229650000000001</v>
      </c>
      <c r="Q2642">
        <v>-4.1525479999999997E-2</v>
      </c>
      <c r="R2642">
        <v>-0.97409449999999997</v>
      </c>
      <c r="S2642">
        <v>2.0908509999999998</v>
      </c>
      <c r="T2642">
        <v>-9.7633360000000002E-2</v>
      </c>
      <c r="U2642">
        <v>-2.6011660000000001</v>
      </c>
      <c r="V2642">
        <v>5.2654880000000001E-2</v>
      </c>
      <c r="W2642">
        <v>-2.7993199999999999E-2</v>
      </c>
      <c r="X2642">
        <v>0.99822029999999995</v>
      </c>
      <c r="Y2642">
        <v>-0.3891927</v>
      </c>
      <c r="Z2642">
        <v>2.9748739999999999E-2</v>
      </c>
      <c r="AA2642">
        <v>0.92067589999999999</v>
      </c>
      <c r="AB2642">
        <v>17</v>
      </c>
      <c r="AC2642">
        <v>22.043800000000001</v>
      </c>
      <c r="AD2642">
        <v>-1.0315720899999901</v>
      </c>
      <c r="AE2642">
        <v>-27.325899999999901</v>
      </c>
      <c r="AF2642">
        <v>-13.7188489998886</v>
      </c>
      <c r="AG2642">
        <v>-1.0315720899999901</v>
      </c>
      <c r="AH2642">
        <v>32.284695790501701</v>
      </c>
      <c r="AI2642">
        <v>91.684437025449697</v>
      </c>
      <c r="AJ2642">
        <v>113.02226501606999</v>
      </c>
      <c r="AK2642">
        <v>35.093767839088599</v>
      </c>
      <c r="AL2642">
        <v>91.604101824235698</v>
      </c>
      <c r="AM2642">
        <v>86.980517277714895</v>
      </c>
      <c r="AN2642">
        <v>0.99999996148307102</v>
      </c>
    </row>
    <row r="2643" spans="1:40" x14ac:dyDescent="0.25">
      <c r="A2643" t="str">
        <f>"20190312161318732"</f>
        <v>20190312161318732</v>
      </c>
      <c r="B2643" t="str">
        <f>"1552378398728242"</f>
        <v>1552378398728242</v>
      </c>
      <c r="C2643" t="s">
        <v>40</v>
      </c>
      <c r="D2643">
        <v>5.7168060000000001</v>
      </c>
      <c r="E2643">
        <v>0.31663289999999999</v>
      </c>
      <c r="F2643" t="s">
        <v>69</v>
      </c>
      <c r="G2643">
        <v>-467.95049999999998</v>
      </c>
      <c r="H2643">
        <v>8.0000909999999995E-2</v>
      </c>
      <c r="I2643">
        <v>207.40129999999999</v>
      </c>
      <c r="J2643">
        <v>-489.95150000000001</v>
      </c>
      <c r="K2643">
        <v>1.1115699999999999</v>
      </c>
      <c r="L2643">
        <v>234.6354</v>
      </c>
      <c r="M2643">
        <v>0.27504430000000002</v>
      </c>
      <c r="N2643">
        <v>0</v>
      </c>
      <c r="O2643">
        <v>-0.96133840000000004</v>
      </c>
      <c r="P2643">
        <v>0.22317419999999999</v>
      </c>
      <c r="Q2643">
        <v>-4.192514E-2</v>
      </c>
      <c r="R2643">
        <v>-0.97387650000000003</v>
      </c>
      <c r="S2643">
        <v>2.0939939999999999</v>
      </c>
      <c r="T2643">
        <v>-9.8052500000000001E-2</v>
      </c>
      <c r="U2643">
        <v>-2.5977329999999998</v>
      </c>
      <c r="V2643">
        <v>5.3411180000000003E-2</v>
      </c>
      <c r="W2643">
        <v>-2.8392290000000001E-2</v>
      </c>
      <c r="X2643">
        <v>0.99816890000000003</v>
      </c>
      <c r="Y2643">
        <v>-0.3889282</v>
      </c>
      <c r="Z2643">
        <v>2.9877569999999999E-2</v>
      </c>
      <c r="AA2643">
        <v>0.92078349999999998</v>
      </c>
      <c r="AB2643">
        <v>17</v>
      </c>
      <c r="AC2643">
        <v>22.001000000000001</v>
      </c>
      <c r="AD2643">
        <v>-1.0315690900000001</v>
      </c>
      <c r="AE2643">
        <v>-27.234100000000002</v>
      </c>
      <c r="AF2643">
        <v>-13.649196019541799</v>
      </c>
      <c r="AG2643">
        <v>-1.0315690900000001</v>
      </c>
      <c r="AH2643">
        <v>32.207361744768498</v>
      </c>
      <c r="AI2643">
        <v>91.6891676677551</v>
      </c>
      <c r="AJ2643">
        <v>112.9668026793</v>
      </c>
      <c r="AK2643">
        <v>34.995411661040599</v>
      </c>
      <c r="AL2643">
        <v>91.626977004256901</v>
      </c>
      <c r="AM2643">
        <v>86.937071991680696</v>
      </c>
      <c r="AN2643">
        <v>1.0000000146038199</v>
      </c>
    </row>
    <row r="2644" spans="1:40" x14ac:dyDescent="0.25">
      <c r="A2644" t="str">
        <f>"20190312161318753"</f>
        <v>20190312161318753</v>
      </c>
      <c r="B2644" t="str">
        <f>"1552378398748738"</f>
        <v>1552378398748738</v>
      </c>
      <c r="C2644" t="s">
        <v>40</v>
      </c>
      <c r="D2644">
        <v>5.6997460000000002</v>
      </c>
      <c r="E2644">
        <v>0.31676259999999901</v>
      </c>
      <c r="F2644" t="s">
        <v>69</v>
      </c>
      <c r="G2644">
        <v>-468.58269999999999</v>
      </c>
      <c r="H2644">
        <v>8.0000689999999999E-2</v>
      </c>
      <c r="I2644">
        <v>208.1609</v>
      </c>
      <c r="J2644">
        <v>-489.90480000000002</v>
      </c>
      <c r="K2644">
        <v>1.1115630000000001</v>
      </c>
      <c r="L2644">
        <v>234.4838</v>
      </c>
      <c r="M2644">
        <v>0.27758759999999999</v>
      </c>
      <c r="N2644">
        <v>0</v>
      </c>
      <c r="O2644">
        <v>-0.96060710000000005</v>
      </c>
      <c r="P2644">
        <v>0.22473960000000001</v>
      </c>
      <c r="Q2644">
        <v>-4.2322400000000003E-2</v>
      </c>
      <c r="R2644">
        <v>-0.97349940000000001</v>
      </c>
      <c r="S2644">
        <v>2.0953369999999998</v>
      </c>
      <c r="T2644">
        <v>-0.1011513</v>
      </c>
      <c r="U2644">
        <v>-2.5959780000000001</v>
      </c>
      <c r="V2644">
        <v>5.4443909999999998E-2</v>
      </c>
      <c r="W2644">
        <v>-2.8789060000000002E-2</v>
      </c>
      <c r="X2644">
        <v>0.99810169999999998</v>
      </c>
      <c r="Y2644">
        <v>-0.3870635</v>
      </c>
      <c r="Z2644">
        <v>3.0810440000000001E-2</v>
      </c>
      <c r="AA2644">
        <v>0.92153810000000003</v>
      </c>
      <c r="AB2644">
        <v>17</v>
      </c>
      <c r="AC2644">
        <v>21.322099999999999</v>
      </c>
      <c r="AD2644">
        <v>-1.03156230999999</v>
      </c>
      <c r="AE2644">
        <v>-26.322900000000001</v>
      </c>
      <c r="AF2644">
        <v>-13.1642227678091</v>
      </c>
      <c r="AG2644">
        <v>-1.03156230999999</v>
      </c>
      <c r="AH2644">
        <v>31.1785978968779</v>
      </c>
      <c r="AI2644">
        <v>91.745841222112205</v>
      </c>
      <c r="AJ2644">
        <v>112.89043605353</v>
      </c>
      <c r="AK2644">
        <v>33.859501601398598</v>
      </c>
      <c r="AL2644">
        <v>91.649719610590907</v>
      </c>
      <c r="AM2644">
        <v>86.877755120994905</v>
      </c>
      <c r="AN2644">
        <v>0.99999997642732996</v>
      </c>
    </row>
    <row r="2645" spans="1:40" x14ac:dyDescent="0.25">
      <c r="A2645" t="str">
        <f>"20190312161318765"</f>
        <v>20190312161318765</v>
      </c>
      <c r="B2645" t="str">
        <f>"1552378398758498"</f>
        <v>1552378398758498</v>
      </c>
      <c r="C2645" t="s">
        <v>40</v>
      </c>
      <c r="D2645">
        <v>5.7262060000000004</v>
      </c>
      <c r="E2645">
        <v>0.31676520000000002</v>
      </c>
      <c r="F2645" t="s">
        <v>69</v>
      </c>
      <c r="G2645">
        <v>-469.16019999999997</v>
      </c>
      <c r="H2645">
        <v>8.0000489999999994E-2</v>
      </c>
      <c r="I2645">
        <v>208.85339999999999</v>
      </c>
      <c r="J2645">
        <v>-489.87639999999999</v>
      </c>
      <c r="K2645">
        <v>1.1115630000000001</v>
      </c>
      <c r="L2645">
        <v>234.3922</v>
      </c>
      <c r="M2645">
        <v>0.27912619999999999</v>
      </c>
      <c r="N2645">
        <v>0</v>
      </c>
      <c r="O2645">
        <v>-0.9601615</v>
      </c>
      <c r="P2645">
        <v>0.2256551</v>
      </c>
      <c r="Q2645">
        <v>-4.2510520000000003E-2</v>
      </c>
      <c r="R2645">
        <v>-0.97327980000000003</v>
      </c>
      <c r="S2645">
        <v>2.0984799999999999</v>
      </c>
      <c r="T2645">
        <v>-0.1043507</v>
      </c>
      <c r="U2645">
        <v>-2.5927120000000001</v>
      </c>
      <c r="V2645">
        <v>5.5102079999999998E-2</v>
      </c>
      <c r="W2645">
        <v>-2.8976720000000001E-2</v>
      </c>
      <c r="X2645">
        <v>0.99806019999999895</v>
      </c>
      <c r="Y2645">
        <v>-0.38680930000000002</v>
      </c>
      <c r="Z2645">
        <v>3.1783949999999998E-2</v>
      </c>
      <c r="AA2645">
        <v>0.92161179999999998</v>
      </c>
      <c r="AB2645">
        <v>17</v>
      </c>
      <c r="AC2645">
        <v>20.716200000000001</v>
      </c>
      <c r="AD2645">
        <v>-1.0315625100000001</v>
      </c>
      <c r="AE2645">
        <v>-25.538799999999998</v>
      </c>
      <c r="AF2645">
        <v>-12.750941090363099</v>
      </c>
      <c r="AG2645">
        <v>-1.0315625100000001</v>
      </c>
      <c r="AH2645">
        <v>30.276717854325099</v>
      </c>
      <c r="AI2645">
        <v>91.798503277499805</v>
      </c>
      <c r="AJ2645">
        <v>112.838234174509</v>
      </c>
      <c r="AK2645">
        <v>32.868377871935699</v>
      </c>
      <c r="AL2645">
        <v>91.660476141853493</v>
      </c>
      <c r="AM2645">
        <v>86.839955351666504</v>
      </c>
      <c r="AN2645">
        <v>1.0000000261731601</v>
      </c>
    </row>
    <row r="2646" spans="1:40" x14ac:dyDescent="0.25">
      <c r="A2646" t="str">
        <f>"20190312161318779"</f>
        <v>20190312161318779</v>
      </c>
      <c r="B2646" t="str">
        <f>"1552378398768257"</f>
        <v>1552378398768257</v>
      </c>
      <c r="C2646" t="s">
        <v>40</v>
      </c>
      <c r="D2646">
        <v>5.7370199999999896</v>
      </c>
      <c r="E2646">
        <v>0.31679249999999998</v>
      </c>
      <c r="F2646" t="s">
        <v>69</v>
      </c>
      <c r="G2646">
        <v>-469.3143</v>
      </c>
      <c r="H2646">
        <v>8.0000450000000001E-2</v>
      </c>
      <c r="I2646">
        <v>209.03899999999999</v>
      </c>
      <c r="J2646">
        <v>-489.84429999999998</v>
      </c>
      <c r="K2646">
        <v>1.1115619999999999</v>
      </c>
      <c r="L2646">
        <v>234.2894</v>
      </c>
      <c r="M2646">
        <v>0.28085870000000002</v>
      </c>
      <c r="N2646">
        <v>0</v>
      </c>
      <c r="O2646">
        <v>-0.95965590000000001</v>
      </c>
      <c r="P2646">
        <v>0.2268684</v>
      </c>
      <c r="Q2646">
        <v>-4.2716999999999998E-2</v>
      </c>
      <c r="R2646">
        <v>-0.97298839999999998</v>
      </c>
      <c r="S2646">
        <v>2.1010740000000001</v>
      </c>
      <c r="T2646">
        <v>-0.1054066</v>
      </c>
      <c r="U2646">
        <v>-2.5906220000000002</v>
      </c>
      <c r="V2646">
        <v>5.5656789999999998E-2</v>
      </c>
      <c r="W2646">
        <v>-2.918306E-2</v>
      </c>
      <c r="X2646">
        <v>0.9980234</v>
      </c>
      <c r="Y2646">
        <v>-0.38605889999999998</v>
      </c>
      <c r="Z2646">
        <v>3.2096510000000002E-2</v>
      </c>
      <c r="AA2646">
        <v>0.92191559999999995</v>
      </c>
      <c r="AB2646">
        <v>17</v>
      </c>
      <c r="AC2646">
        <v>20.529999999999902</v>
      </c>
      <c r="AD2646">
        <v>-1.0315615499999999</v>
      </c>
      <c r="AE2646">
        <v>-25.2503999999999</v>
      </c>
      <c r="AF2646">
        <v>-12.5984109463239</v>
      </c>
      <c r="AG2646">
        <v>-1.0315615499999999</v>
      </c>
      <c r="AH2646">
        <v>29.970295404447299</v>
      </c>
      <c r="AI2646">
        <v>91.817386180910304</v>
      </c>
      <c r="AJ2646">
        <v>112.80009555618</v>
      </c>
      <c r="AK2646">
        <v>32.526953196291302</v>
      </c>
      <c r="AL2646">
        <v>91.672303568128797</v>
      </c>
      <c r="AM2646">
        <v>86.808091333637407</v>
      </c>
      <c r="AN2646">
        <v>1.00000001810581</v>
      </c>
    </row>
    <row r="2647" spans="1:40" x14ac:dyDescent="0.25">
      <c r="A2647" t="str">
        <f>"20190312161318799"</f>
        <v>20190312161318799</v>
      </c>
      <c r="B2647" t="str">
        <f>"1552378398788752"</f>
        <v>1552378398788752</v>
      </c>
      <c r="C2647" t="s">
        <v>40</v>
      </c>
      <c r="D2647">
        <v>5.731446</v>
      </c>
      <c r="E2647">
        <v>0.31679449999999998</v>
      </c>
      <c r="F2647" t="s">
        <v>69</v>
      </c>
      <c r="G2647">
        <v>-469.40219999999999</v>
      </c>
      <c r="H2647">
        <v>8.0000409999999994E-2</v>
      </c>
      <c r="I2647">
        <v>209.14250000000001</v>
      </c>
      <c r="J2647">
        <v>-489.80020000000002</v>
      </c>
      <c r="K2647">
        <v>1.111561</v>
      </c>
      <c r="L2647">
        <v>234.1491</v>
      </c>
      <c r="M2647">
        <v>0.28323100000000001</v>
      </c>
      <c r="N2647">
        <v>0</v>
      </c>
      <c r="O2647">
        <v>-0.95895839999999999</v>
      </c>
      <c r="P2647">
        <v>0.22862389999999999</v>
      </c>
      <c r="Q2647">
        <v>-4.2574010000000002E-2</v>
      </c>
      <c r="R2647">
        <v>-0.97258350000000005</v>
      </c>
      <c r="S2647">
        <v>2.103882</v>
      </c>
      <c r="T2647">
        <v>-0.10616730000000001</v>
      </c>
      <c r="U2647">
        <v>-2.5880890000000001</v>
      </c>
      <c r="V2647">
        <v>5.632471E-2</v>
      </c>
      <c r="W2647">
        <v>-2.9039490000000001E-2</v>
      </c>
      <c r="X2647">
        <v>0.99799009999999999</v>
      </c>
      <c r="Y2647">
        <v>-0.38481660000000001</v>
      </c>
      <c r="Z2647">
        <v>3.2316490000000003E-2</v>
      </c>
      <c r="AA2647">
        <v>0.92242710000000006</v>
      </c>
      <c r="AB2647">
        <v>17</v>
      </c>
      <c r="AC2647">
        <v>20.398</v>
      </c>
      <c r="AD2647">
        <v>-1.03156059</v>
      </c>
      <c r="AE2647">
        <v>-25.006599999999899</v>
      </c>
      <c r="AF2647">
        <v>-12.4665675780067</v>
      </c>
      <c r="AG2647">
        <v>-1.03156059</v>
      </c>
      <c r="AH2647">
        <v>29.729920339727901</v>
      </c>
      <c r="AI2647">
        <v>91.832745686343998</v>
      </c>
      <c r="AJ2647">
        <v>112.749635035517</v>
      </c>
      <c r="AK2647">
        <v>32.254419663581302</v>
      </c>
      <c r="AL2647">
        <v>91.664074151660301</v>
      </c>
      <c r="AM2647">
        <v>86.769759301363393</v>
      </c>
      <c r="AN2647">
        <v>1.0000000023170199</v>
      </c>
    </row>
    <row r="2648" spans="1:40" x14ac:dyDescent="0.25">
      <c r="A2648" t="str">
        <f>"20190312161318820"</f>
        <v>20190312161318820</v>
      </c>
      <c r="B2648" t="str">
        <f>"1552378398818033"</f>
        <v>1552378398818033</v>
      </c>
      <c r="C2648" t="s">
        <v>40</v>
      </c>
      <c r="D2648">
        <v>5.7909360000000003</v>
      </c>
      <c r="E2648">
        <v>0.31678020000000001</v>
      </c>
      <c r="F2648" t="s">
        <v>69</v>
      </c>
      <c r="G2648">
        <v>-469.18520000000001</v>
      </c>
      <c r="H2648">
        <v>8.0000479999999999E-2</v>
      </c>
      <c r="I2648">
        <v>208.88839999999999</v>
      </c>
      <c r="J2648">
        <v>-489.7491</v>
      </c>
      <c r="K2648">
        <v>1.111567</v>
      </c>
      <c r="L2648">
        <v>233.9881</v>
      </c>
      <c r="M2648">
        <v>0.28597299999999998</v>
      </c>
      <c r="N2648">
        <v>0</v>
      </c>
      <c r="O2648">
        <v>-0.9581442</v>
      </c>
      <c r="P2648">
        <v>0.23157449999999999</v>
      </c>
      <c r="Q2648">
        <v>-4.2776340000000003E-2</v>
      </c>
      <c r="R2648">
        <v>-0.97187610000000002</v>
      </c>
      <c r="S2648">
        <v>2.1089479999999998</v>
      </c>
      <c r="T2648">
        <v>-0.105530399999999</v>
      </c>
      <c r="U2648">
        <v>-2.5842130000000001</v>
      </c>
      <c r="V2648">
        <v>5.6149280000000003E-2</v>
      </c>
      <c r="W2648">
        <v>-2.9242919999999999E-2</v>
      </c>
      <c r="X2648">
        <v>0.9979941</v>
      </c>
      <c r="Y2648">
        <v>-0.3839438</v>
      </c>
      <c r="Z2648">
        <v>3.2108099999999903E-2</v>
      </c>
      <c r="AA2648">
        <v>0.92279800000000001</v>
      </c>
      <c r="AB2648">
        <v>17</v>
      </c>
      <c r="AC2648">
        <v>20.563899999999901</v>
      </c>
      <c r="AD2648">
        <v>-1.0315665199999999</v>
      </c>
      <c r="AE2648">
        <v>-25.099699999999999</v>
      </c>
      <c r="AF2648">
        <v>-12.5138193664078</v>
      </c>
      <c r="AG2648">
        <v>-1.0315665199999999</v>
      </c>
      <c r="AH2648">
        <v>29.902311137827098</v>
      </c>
      <c r="AI2648">
        <v>91.822740696524605</v>
      </c>
      <c r="AJ2648">
        <v>112.70882447775899</v>
      </c>
      <c r="AK2648">
        <v>32.431589785326402</v>
      </c>
      <c r="AL2648">
        <v>91.675734692926795</v>
      </c>
      <c r="AM2648">
        <v>86.779811942693001</v>
      </c>
      <c r="AN2648">
        <v>1.00000005682472</v>
      </c>
    </row>
    <row r="2649" spans="1:40" x14ac:dyDescent="0.25">
      <c r="A2649" t="str">
        <f>"20190312161318841"</f>
        <v>20190312161318841</v>
      </c>
      <c r="B2649" t="str">
        <f>"1552378398838530"</f>
        <v>1552378398838530</v>
      </c>
      <c r="C2649" t="s">
        <v>40</v>
      </c>
      <c r="D2649">
        <v>5.7678190000000003</v>
      </c>
      <c r="E2649">
        <v>0.31670290000000001</v>
      </c>
      <c r="F2649" t="s">
        <v>69</v>
      </c>
      <c r="G2649">
        <v>-469.37619999999998</v>
      </c>
      <c r="H2649">
        <v>8.0000420000000003E-2</v>
      </c>
      <c r="I2649">
        <v>209.18029999999999</v>
      </c>
      <c r="J2649">
        <v>-489.70179999999999</v>
      </c>
      <c r="K2649">
        <v>1.111575</v>
      </c>
      <c r="L2649">
        <v>233.84059999999999</v>
      </c>
      <c r="M2649">
        <v>0.28850579999999998</v>
      </c>
      <c r="N2649">
        <v>0</v>
      </c>
      <c r="O2649">
        <v>-0.95738480000000004</v>
      </c>
      <c r="P2649">
        <v>0.234432</v>
      </c>
      <c r="Q2649">
        <v>-4.2269189999999998E-2</v>
      </c>
      <c r="R2649">
        <v>-0.97121329999999995</v>
      </c>
      <c r="S2649">
        <v>2.1168819999999999</v>
      </c>
      <c r="T2649">
        <v>-0.1071863</v>
      </c>
      <c r="U2649">
        <v>-2.5776819999999998</v>
      </c>
      <c r="V2649">
        <v>5.5858680000000001E-2</v>
      </c>
      <c r="W2649">
        <v>-2.8736049999999999E-2</v>
      </c>
      <c r="X2649">
        <v>0.9980251</v>
      </c>
      <c r="Y2649">
        <v>-0.38433460000000003</v>
      </c>
      <c r="Z2649">
        <v>3.260561E-2</v>
      </c>
      <c r="AA2649">
        <v>0.92261789999999999</v>
      </c>
      <c r="AB2649">
        <v>17</v>
      </c>
      <c r="AC2649">
        <v>20.325600000000001</v>
      </c>
      <c r="AD2649">
        <v>-1.03157458</v>
      </c>
      <c r="AE2649">
        <v>-24.660299999999999</v>
      </c>
      <c r="AF2649">
        <v>-12.333033428644301</v>
      </c>
      <c r="AG2649">
        <v>-1.03157458</v>
      </c>
      <c r="AH2649">
        <v>29.4454024858262</v>
      </c>
      <c r="AI2649">
        <v>91.850786068214802</v>
      </c>
      <c r="AJ2649">
        <v>112.72608570409299</v>
      </c>
      <c r="AK2649">
        <v>31.9405633516139</v>
      </c>
      <c r="AL2649">
        <v>91.646681021712595</v>
      </c>
      <c r="AM2649">
        <v>86.7965424884041</v>
      </c>
      <c r="AN2649">
        <v>1.00000002646547</v>
      </c>
    </row>
    <row r="2650" spans="1:40" x14ac:dyDescent="0.25">
      <c r="A2650" t="str">
        <f>"20190312161318864"</f>
        <v>20190312161318864</v>
      </c>
      <c r="B2650" t="str">
        <f>"1552378398858049"</f>
        <v>1552378398858049</v>
      </c>
      <c r="C2650" t="s">
        <v>40</v>
      </c>
      <c r="D2650">
        <v>5.8028089999999999</v>
      </c>
      <c r="E2650">
        <v>0.3166505</v>
      </c>
      <c r="F2650" t="s">
        <v>69</v>
      </c>
      <c r="G2650">
        <v>-469.17899999999997</v>
      </c>
      <c r="H2650">
        <v>8.0000479999999999E-2</v>
      </c>
      <c r="I2650">
        <v>209.00470000000001</v>
      </c>
      <c r="J2650">
        <v>-489.6481</v>
      </c>
      <c r="K2650">
        <v>1.1115900000000001</v>
      </c>
      <c r="L2650">
        <v>233.6746</v>
      </c>
      <c r="M2650">
        <v>0.29138709999999901</v>
      </c>
      <c r="N2650">
        <v>0</v>
      </c>
      <c r="O2650">
        <v>-0.95651169999999996</v>
      </c>
      <c r="P2650">
        <v>0.23793149999999999</v>
      </c>
      <c r="Q2650">
        <v>-4.240646E-2</v>
      </c>
      <c r="R2650">
        <v>-0.97035590000000005</v>
      </c>
      <c r="S2650">
        <v>2.1248170000000002</v>
      </c>
      <c r="T2650">
        <v>-0.1068033</v>
      </c>
      <c r="U2650">
        <v>-2.5713650000000001</v>
      </c>
      <c r="V2650">
        <v>5.5265809999999999E-2</v>
      </c>
      <c r="W2650">
        <v>-2.8873759999999998E-2</v>
      </c>
      <c r="X2650">
        <v>0.99805410000000006</v>
      </c>
      <c r="Y2650">
        <v>-0.3843628</v>
      </c>
      <c r="Z2650">
        <v>3.2478220000000002E-2</v>
      </c>
      <c r="AA2650">
        <v>0.92261059999999995</v>
      </c>
      <c r="AB2650">
        <v>17</v>
      </c>
      <c r="AC2650">
        <v>20.469099999999901</v>
      </c>
      <c r="AD2650">
        <v>-1.03158951999999</v>
      </c>
      <c r="AE2650">
        <v>-24.669899999999899</v>
      </c>
      <c r="AF2650">
        <v>-12.3787321566661</v>
      </c>
      <c r="AG2650">
        <v>-1.03158951999999</v>
      </c>
      <c r="AH2650">
        <v>29.533539557334102</v>
      </c>
      <c r="AI2650">
        <v>91.845097839824902</v>
      </c>
      <c r="AJ2650">
        <v>112.740580389211</v>
      </c>
      <c r="AK2650">
        <v>32.039462316475799</v>
      </c>
      <c r="AL2650">
        <v>91.654574550513701</v>
      </c>
      <c r="AM2650">
        <v>86.830565396457004</v>
      </c>
      <c r="AN2650">
        <v>0.99999999514915106</v>
      </c>
    </row>
    <row r="2651" spans="1:40" x14ac:dyDescent="0.25">
      <c r="A2651" t="str">
        <f>"20190312161318877"</f>
        <v>20190312161318877</v>
      </c>
      <c r="B2651" t="str">
        <f>"1552378398868786"</f>
        <v>1552378398868786</v>
      </c>
      <c r="C2651" t="s">
        <v>40</v>
      </c>
      <c r="D2651">
        <v>5.8004540000000002</v>
      </c>
      <c r="E2651">
        <v>0.3166387</v>
      </c>
      <c r="F2651" t="s">
        <v>69</v>
      </c>
      <c r="G2651">
        <v>-469.1773</v>
      </c>
      <c r="H2651">
        <v>8.0000479999999999E-2</v>
      </c>
      <c r="I2651">
        <v>209.09020000000001</v>
      </c>
      <c r="J2651">
        <v>-489.61880000000002</v>
      </c>
      <c r="K2651">
        <v>1.1116010000000001</v>
      </c>
      <c r="L2651">
        <v>233.58510000000001</v>
      </c>
      <c r="M2651">
        <v>0.2929583</v>
      </c>
      <c r="N2651">
        <v>0</v>
      </c>
      <c r="O2651">
        <v>-0.95603170000000004</v>
      </c>
      <c r="P2651">
        <v>0.23987030000000001</v>
      </c>
      <c r="Q2651">
        <v>-4.2303500000000001E-2</v>
      </c>
      <c r="R2651">
        <v>-0.96988300000000005</v>
      </c>
      <c r="S2651">
        <v>2.1346129999999999</v>
      </c>
      <c r="T2651">
        <v>-0.1075702</v>
      </c>
      <c r="U2651">
        <v>-2.5635680000000001</v>
      </c>
      <c r="V2651">
        <v>5.4912919999999997E-2</v>
      </c>
      <c r="W2651">
        <v>-2.877074E-2</v>
      </c>
      <c r="X2651">
        <v>0.99807659999999998</v>
      </c>
      <c r="Y2651">
        <v>-0.38630239999999999</v>
      </c>
      <c r="Z2651">
        <v>3.271371E-2</v>
      </c>
      <c r="AA2651">
        <v>0.9217919</v>
      </c>
      <c r="AB2651">
        <v>17</v>
      </c>
      <c r="AC2651">
        <v>20.441500000000001</v>
      </c>
      <c r="AD2651">
        <v>-1.03160052</v>
      </c>
      <c r="AE2651">
        <v>-24.494900000000001</v>
      </c>
      <c r="AF2651">
        <v>-12.354926144227999</v>
      </c>
      <c r="AG2651">
        <v>-1.03160052</v>
      </c>
      <c r="AH2651">
        <v>29.378321638256299</v>
      </c>
      <c r="AI2651">
        <v>91.853930480171996</v>
      </c>
      <c r="AJ2651">
        <v>112.808977357001</v>
      </c>
      <c r="AK2651">
        <v>31.8872103192335</v>
      </c>
      <c r="AL2651">
        <v>91.648669408992802</v>
      </c>
      <c r="AM2651">
        <v>86.850833242598796</v>
      </c>
      <c r="AN2651">
        <v>1.0000000418653101</v>
      </c>
    </row>
    <row r="2652" spans="1:40" x14ac:dyDescent="0.25">
      <c r="A2652" t="str">
        <f>"20190312161318899"</f>
        <v>20190312161318899</v>
      </c>
      <c r="B2652" t="str">
        <f>"1552378398888305"</f>
        <v>1552378398888305</v>
      </c>
      <c r="C2652" t="s">
        <v>40</v>
      </c>
      <c r="D2652">
        <v>5.824605</v>
      </c>
      <c r="E2652">
        <v>0.31662790000000002</v>
      </c>
      <c r="F2652" t="s">
        <v>69</v>
      </c>
      <c r="G2652">
        <v>-469.22410000000002</v>
      </c>
      <c r="H2652">
        <v>8.0000459999999995E-2</v>
      </c>
      <c r="I2652">
        <v>209.196</v>
      </c>
      <c r="J2652">
        <v>-489.56599999999997</v>
      </c>
      <c r="K2652">
        <v>1.1116170000000001</v>
      </c>
      <c r="L2652">
        <v>233.42490000000001</v>
      </c>
      <c r="M2652">
        <v>0.29580060000000002</v>
      </c>
      <c r="N2652">
        <v>0</v>
      </c>
      <c r="O2652">
        <v>-0.95515609999999995</v>
      </c>
      <c r="P2652">
        <v>0.2433536</v>
      </c>
      <c r="Q2652">
        <v>-4.2332769999999999E-2</v>
      </c>
      <c r="R2652">
        <v>-0.96901360000000003</v>
      </c>
      <c r="S2652">
        <v>2.1400450000000002</v>
      </c>
      <c r="T2652">
        <v>-0.108247</v>
      </c>
      <c r="U2652">
        <v>-2.5591740000000001</v>
      </c>
      <c r="V2652">
        <v>5.4296780000000003E-2</v>
      </c>
      <c r="W2652">
        <v>-2.8799600000000002E-2</v>
      </c>
      <c r="X2652">
        <v>0.99810949999999998</v>
      </c>
      <c r="Y2652">
        <v>-0.38548529999999998</v>
      </c>
      <c r="Z2652">
        <v>3.2904030000000001E-2</v>
      </c>
      <c r="AA2652">
        <v>0.92212709999999998</v>
      </c>
      <c r="AB2652">
        <v>17</v>
      </c>
      <c r="AC2652">
        <v>20.3418999999999</v>
      </c>
      <c r="AD2652">
        <v>-1.0316165399999999</v>
      </c>
      <c r="AE2652">
        <v>-24.228899999999999</v>
      </c>
      <c r="AF2652">
        <v>-12.250836437818601</v>
      </c>
      <c r="AG2652">
        <v>-1.0316165399999999</v>
      </c>
      <c r="AH2652">
        <v>29.131158956742802</v>
      </c>
      <c r="AI2652">
        <v>91.869681367442396</v>
      </c>
      <c r="AJ2652">
        <v>112.808732503317</v>
      </c>
      <c r="AK2652">
        <v>31.619165837744699</v>
      </c>
      <c r="AL2652">
        <v>91.650323611365593</v>
      </c>
      <c r="AM2652">
        <v>86.8862003796241</v>
      </c>
      <c r="AN2652">
        <v>1.0000000656343799</v>
      </c>
    </row>
    <row r="2653" spans="1:40" x14ac:dyDescent="0.25">
      <c r="A2653" t="str">
        <f>"20190312161318912"</f>
        <v>20190312161318912</v>
      </c>
      <c r="B2653" t="str">
        <f>"1552378398907825"</f>
        <v>1552378398907825</v>
      </c>
      <c r="C2653" t="s">
        <v>40</v>
      </c>
      <c r="D2653">
        <v>5.7921750000000003</v>
      </c>
      <c r="E2653">
        <v>0.3166274</v>
      </c>
      <c r="F2653" t="s">
        <v>69</v>
      </c>
      <c r="G2653">
        <v>-469.25470000000001</v>
      </c>
      <c r="H2653">
        <v>8.0000450000000001E-2</v>
      </c>
      <c r="I2653">
        <v>209.31049999999999</v>
      </c>
      <c r="J2653">
        <v>-489.53429999999997</v>
      </c>
      <c r="K2653">
        <v>1.1116269999999999</v>
      </c>
      <c r="L2653">
        <v>233.32939999999999</v>
      </c>
      <c r="M2653">
        <v>0.29751460000000002</v>
      </c>
      <c r="N2653">
        <v>0</v>
      </c>
      <c r="O2653">
        <v>-0.95462369999999996</v>
      </c>
      <c r="P2653">
        <v>0.2453893</v>
      </c>
      <c r="Q2653">
        <v>-4.2129760000000002E-2</v>
      </c>
      <c r="R2653">
        <v>-0.96850899999999995</v>
      </c>
      <c r="S2653">
        <v>2.1490779999999998</v>
      </c>
      <c r="T2653">
        <v>-0.1091521</v>
      </c>
      <c r="U2653">
        <v>-2.5514679999999998</v>
      </c>
      <c r="V2653">
        <v>5.3993800000000002E-2</v>
      </c>
      <c r="W2653">
        <v>-2.8595849999999999E-2</v>
      </c>
      <c r="X2653">
        <v>0.99813180000000001</v>
      </c>
      <c r="Y2653">
        <v>-0.38710450000000002</v>
      </c>
      <c r="Z2653">
        <v>3.3182540000000003E-2</v>
      </c>
      <c r="AA2653">
        <v>0.9214386</v>
      </c>
      <c r="AB2653">
        <v>17</v>
      </c>
      <c r="AC2653">
        <v>20.279599999999899</v>
      </c>
      <c r="AD2653">
        <v>-1.0316265499999999</v>
      </c>
      <c r="AE2653">
        <v>-24.018899999999999</v>
      </c>
      <c r="AF2653">
        <v>-12.201363694259699</v>
      </c>
      <c r="AG2653">
        <v>-1.0316265499999999</v>
      </c>
      <c r="AH2653">
        <v>28.933914086186199</v>
      </c>
      <c r="AI2653">
        <v>91.881657935380801</v>
      </c>
      <c r="AJ2653">
        <v>112.86503870345101</v>
      </c>
      <c r="AK2653">
        <v>31.418289477389902</v>
      </c>
      <c r="AL2653">
        <v>91.638644777126302</v>
      </c>
      <c r="AM2653">
        <v>86.903610748117202</v>
      </c>
      <c r="AN2653">
        <v>1.0000000716234401</v>
      </c>
    </row>
    <row r="2654" spans="1:40" x14ac:dyDescent="0.25">
      <c r="A2654" t="str">
        <f>"20190312161318932"</f>
        <v>20190312161318932</v>
      </c>
      <c r="B2654" t="str">
        <f>"1552378398928322"</f>
        <v>1552378398928322</v>
      </c>
      <c r="C2654" t="s">
        <v>40</v>
      </c>
      <c r="D2654">
        <v>5.8324809999999996</v>
      </c>
      <c r="E2654">
        <v>0.31661470000000003</v>
      </c>
      <c r="F2654" t="s">
        <v>69</v>
      </c>
      <c r="G2654">
        <v>-469.34269999999998</v>
      </c>
      <c r="H2654">
        <v>8.0000420000000003E-2</v>
      </c>
      <c r="I2654">
        <v>209.46369999999999</v>
      </c>
      <c r="J2654">
        <v>-489.48849999999999</v>
      </c>
      <c r="K2654">
        <v>1.1116469999999901</v>
      </c>
      <c r="L2654">
        <v>233.1926</v>
      </c>
      <c r="M2654">
        <v>0.29999880000000001</v>
      </c>
      <c r="N2654">
        <v>0</v>
      </c>
      <c r="O2654">
        <v>-0.95384599999999997</v>
      </c>
      <c r="P2654">
        <v>0.24806120000000001</v>
      </c>
      <c r="Q2654">
        <v>-4.2272669999999998E-2</v>
      </c>
      <c r="R2654">
        <v>-0.96782179999999995</v>
      </c>
      <c r="S2654">
        <v>2.1547550000000002</v>
      </c>
      <c r="T2654">
        <v>-0.11009099999999999</v>
      </c>
      <c r="U2654">
        <v>-2.5468440000000001</v>
      </c>
      <c r="V2654">
        <v>5.3837639999999999E-2</v>
      </c>
      <c r="W2654">
        <v>-2.8737019999999999E-2</v>
      </c>
      <c r="X2654">
        <v>0.99813609999999997</v>
      </c>
      <c r="Y2654">
        <v>-0.38671990000000001</v>
      </c>
      <c r="Z2654">
        <v>3.3455110000000003E-2</v>
      </c>
      <c r="AA2654">
        <v>0.92159020000000003</v>
      </c>
      <c r="AB2654">
        <v>17</v>
      </c>
      <c r="AC2654">
        <v>20.145800000000001</v>
      </c>
      <c r="AD2654">
        <v>-1.0316465800000001</v>
      </c>
      <c r="AE2654">
        <v>-23.728899999999999</v>
      </c>
      <c r="AF2654">
        <v>-12.0851543983099</v>
      </c>
      <c r="AG2654">
        <v>-1.0316465800000001</v>
      </c>
      <c r="AH2654">
        <v>28.648523674905501</v>
      </c>
      <c r="AI2654">
        <v>91.900327556308298</v>
      </c>
      <c r="AJ2654">
        <v>112.872066660133</v>
      </c>
      <c r="AK2654">
        <v>31.110338478528899</v>
      </c>
      <c r="AL2654">
        <v>91.646736680061096</v>
      </c>
      <c r="AM2654">
        <v>86.912561999577406</v>
      </c>
      <c r="AN2654">
        <v>0.99999999096122905</v>
      </c>
    </row>
    <row r="2655" spans="1:40" x14ac:dyDescent="0.25">
      <c r="A2655" t="str">
        <f>"20190312161318943"</f>
        <v>20190312161318943</v>
      </c>
      <c r="B2655" t="str">
        <f>"1552378398938081"</f>
        <v>1552378398938081</v>
      </c>
      <c r="C2655" t="s">
        <v>40</v>
      </c>
      <c r="D2655">
        <v>5.8451529999999998</v>
      </c>
      <c r="E2655">
        <v>0.3165867</v>
      </c>
      <c r="F2655" t="s">
        <v>69</v>
      </c>
      <c r="G2655">
        <v>-469.40780000000001</v>
      </c>
      <c r="H2655">
        <v>7.5201500000000004E-2</v>
      </c>
      <c r="I2655">
        <v>209.59110000000001</v>
      </c>
      <c r="J2655">
        <v>-489.45859999999999</v>
      </c>
      <c r="K2655">
        <v>1.111656</v>
      </c>
      <c r="L2655">
        <v>233.10409999999999</v>
      </c>
      <c r="M2655">
        <v>0.30162299999999997</v>
      </c>
      <c r="N2655">
        <v>0</v>
      </c>
      <c r="O2655">
        <v>-0.9533336</v>
      </c>
      <c r="P2655">
        <v>0.24969179999999999</v>
      </c>
      <c r="Q2655">
        <v>-4.2367269999999999E-2</v>
      </c>
      <c r="R2655">
        <v>-0.96739839999999999</v>
      </c>
      <c r="S2655">
        <v>2.161743</v>
      </c>
      <c r="T2655">
        <v>-0.1115767</v>
      </c>
      <c r="U2655">
        <v>-2.5407709999999999</v>
      </c>
      <c r="V2655">
        <v>5.3855630000000002E-2</v>
      </c>
      <c r="W2655">
        <v>-2.8830120000000001E-2</v>
      </c>
      <c r="X2655">
        <v>0.99813249999999998</v>
      </c>
      <c r="Y2655">
        <v>-0.3876964</v>
      </c>
      <c r="Z2655">
        <v>3.3906619999999998E-2</v>
      </c>
      <c r="AA2655">
        <v>0.92116330000000002</v>
      </c>
      <c r="AB2655">
        <v>17</v>
      </c>
      <c r="AC2655">
        <v>20.050799999999899</v>
      </c>
      <c r="AD2655">
        <v>-1.0364545000000001</v>
      </c>
      <c r="AE2655">
        <v>-23.512999999999899</v>
      </c>
      <c r="AF2655">
        <v>-12.010601948926499</v>
      </c>
      <c r="AG2655">
        <v>-1.0364545000000001</v>
      </c>
      <c r="AH2655">
        <v>28.434069962969399</v>
      </c>
      <c r="AI2655">
        <v>91.923180501039894</v>
      </c>
      <c r="AJ2655">
        <v>112.899282759823</v>
      </c>
      <c r="AK2655">
        <v>30.884059509157201</v>
      </c>
      <c r="AL2655">
        <v>91.652073037082801</v>
      </c>
      <c r="AM2655">
        <v>86.911521202652906</v>
      </c>
      <c r="AN2655">
        <v>1.0000000461290699</v>
      </c>
    </row>
    <row r="2656" spans="1:40" x14ac:dyDescent="0.25">
      <c r="A2656" t="str">
        <f>"20190312161318956"</f>
        <v>20190312161318956</v>
      </c>
      <c r="B2656" t="str">
        <f>"1552378398948818"</f>
        <v>1552378398948818</v>
      </c>
      <c r="C2656" t="s">
        <v>40</v>
      </c>
      <c r="D2656">
        <v>5.834168</v>
      </c>
      <c r="E2656">
        <v>0.31656069999999997</v>
      </c>
      <c r="F2656" t="s">
        <v>69</v>
      </c>
      <c r="G2656">
        <v>-469.38440000000003</v>
      </c>
      <c r="H2656">
        <v>7.5972620000000005E-2</v>
      </c>
      <c r="I2656">
        <v>209.59030000000001</v>
      </c>
      <c r="J2656">
        <v>-489.42959999999999</v>
      </c>
      <c r="K2656">
        <v>1.1116680000000001</v>
      </c>
      <c r="L2656">
        <v>233.0188</v>
      </c>
      <c r="M2656">
        <v>0.30320399999999997</v>
      </c>
      <c r="N2656">
        <v>0</v>
      </c>
      <c r="O2656">
        <v>-0.95283169999999995</v>
      </c>
      <c r="P2656">
        <v>0.25132690000000002</v>
      </c>
      <c r="Q2656">
        <v>-4.2502140000000001E-2</v>
      </c>
      <c r="R2656">
        <v>-0.96696850000000001</v>
      </c>
      <c r="S2656">
        <v>2.1660159999999999</v>
      </c>
      <c r="T2656">
        <v>-0.11175110000000001</v>
      </c>
      <c r="U2656">
        <v>-2.5371549999999998</v>
      </c>
      <c r="V2656">
        <v>5.3823389999999999E-2</v>
      </c>
      <c r="W2656">
        <v>-2.8963719999999998E-2</v>
      </c>
      <c r="X2656">
        <v>0.99813030000000003</v>
      </c>
      <c r="Y2656">
        <v>-0.3877121</v>
      </c>
      <c r="Z2656">
        <v>3.3953360000000002E-2</v>
      </c>
      <c r="AA2656">
        <v>0.92115499999999995</v>
      </c>
      <c r="AB2656">
        <v>17</v>
      </c>
      <c r="AC2656">
        <v>20.045199999999902</v>
      </c>
      <c r="AD2656">
        <v>-1.0356953799999999</v>
      </c>
      <c r="AE2656">
        <v>-23.4284999999999</v>
      </c>
      <c r="AF2656">
        <v>-11.9836404372823</v>
      </c>
      <c r="AG2656">
        <v>-1.0356953799999999</v>
      </c>
      <c r="AH2656">
        <v>28.371734396709499</v>
      </c>
      <c r="AI2656">
        <v>91.926007473398201</v>
      </c>
      <c r="AJ2656">
        <v>112.89820164980701</v>
      </c>
      <c r="AK2656">
        <v>30.816158354468101</v>
      </c>
      <c r="AL2656">
        <v>91.659731068798095</v>
      </c>
      <c r="AM2656">
        <v>86.913359715554606</v>
      </c>
      <c r="AN2656">
        <v>0.99999997508270999</v>
      </c>
    </row>
    <row r="2657" spans="1:40" x14ac:dyDescent="0.25">
      <c r="A2657" t="str">
        <f>"20190312161318977"</f>
        <v>20190312161318977</v>
      </c>
      <c r="B2657" t="str">
        <f>"1552378398968337"</f>
        <v>1552378398968337</v>
      </c>
      <c r="C2657" t="s">
        <v>40</v>
      </c>
      <c r="D2657">
        <v>5.9026480000000001</v>
      </c>
      <c r="E2657">
        <v>0.33051439999999999</v>
      </c>
      <c r="F2657" t="s">
        <v>69</v>
      </c>
      <c r="G2657">
        <v>-469.36099999999999</v>
      </c>
      <c r="H2657">
        <v>6.9063280000000005E-2</v>
      </c>
      <c r="I2657">
        <v>209.59729999999999</v>
      </c>
      <c r="J2657">
        <v>-489.37880000000001</v>
      </c>
      <c r="K2657">
        <v>1.111683</v>
      </c>
      <c r="L2657">
        <v>232.8707</v>
      </c>
      <c r="M2657">
        <v>0.30597809999999998</v>
      </c>
      <c r="N2657">
        <v>0</v>
      </c>
      <c r="O2657">
        <v>-0.95194449999999997</v>
      </c>
      <c r="P2657">
        <v>0.25379689999999999</v>
      </c>
      <c r="Q2657">
        <v>-4.2637269999999998E-2</v>
      </c>
      <c r="R2657">
        <v>-0.96631730000000005</v>
      </c>
      <c r="S2657">
        <v>2.1706850000000002</v>
      </c>
      <c r="T2657">
        <v>-0.1127716</v>
      </c>
      <c r="U2657">
        <v>-2.5333559999999999</v>
      </c>
      <c r="V2657">
        <v>5.4179959999999999E-2</v>
      </c>
      <c r="W2657">
        <v>-2.9095320000000001E-2</v>
      </c>
      <c r="X2657">
        <v>0.99810719999999997</v>
      </c>
      <c r="Y2657">
        <v>-0.38668200000000003</v>
      </c>
      <c r="Z2657">
        <v>3.4244539999999997E-2</v>
      </c>
      <c r="AA2657">
        <v>0.92157710000000004</v>
      </c>
      <c r="AB2657">
        <v>17</v>
      </c>
      <c r="AC2657">
        <v>20.017800000000001</v>
      </c>
      <c r="AD2657">
        <v>-1.04261972</v>
      </c>
      <c r="AE2657">
        <v>-23.273399999999999</v>
      </c>
      <c r="AF2657">
        <v>-11.9220000940158</v>
      </c>
      <c r="AG2657">
        <v>-1.04261972</v>
      </c>
      <c r="AH2657">
        <v>28.249938451500199</v>
      </c>
      <c r="AI2657">
        <v>91.947478812332804</v>
      </c>
      <c r="AJ2657">
        <v>112.880650466869</v>
      </c>
      <c r="AK2657">
        <v>30.6802895135589</v>
      </c>
      <c r="AL2657">
        <v>91.667274340780097</v>
      </c>
      <c r="AM2657">
        <v>86.892879460204497</v>
      </c>
      <c r="AN2657">
        <v>0.99999999420167196</v>
      </c>
    </row>
    <row r="2658" spans="1:40" x14ac:dyDescent="0.25">
      <c r="A2658" t="str">
        <f>"20190312161318991"</f>
        <v>20190312161318991</v>
      </c>
      <c r="B2658" t="str">
        <f>"1552378398988833"</f>
        <v>1552378398988833</v>
      </c>
      <c r="C2658" t="s">
        <v>40</v>
      </c>
      <c r="D2658">
        <v>5.3460039999999998</v>
      </c>
      <c r="E2658">
        <v>0.33097769999999999</v>
      </c>
      <c r="F2658" t="s">
        <v>63</v>
      </c>
      <c r="G2658">
        <v>-479.14789999999999</v>
      </c>
      <c r="H2658" s="1">
        <v>2.208397E-6</v>
      </c>
      <c r="I2658">
        <v>220.2818</v>
      </c>
      <c r="J2658">
        <v>-489.34190000000001</v>
      </c>
      <c r="K2658">
        <v>1.1116919999999999</v>
      </c>
      <c r="L2658">
        <v>232.76400000000001</v>
      </c>
      <c r="M2658">
        <v>0.30800070000000002</v>
      </c>
      <c r="N2658">
        <v>0</v>
      </c>
      <c r="O2658">
        <v>-0.95129200000000003</v>
      </c>
      <c r="P2658">
        <v>0.25593749999999998</v>
      </c>
      <c r="Q2658">
        <v>-4.2854749999999997E-2</v>
      </c>
      <c r="R2658">
        <v>-0.96574269999999995</v>
      </c>
      <c r="S2658">
        <v>2.0726010000000001</v>
      </c>
      <c r="T2658">
        <v>-0.22520760000000001</v>
      </c>
      <c r="U2658">
        <v>-2.5502929999999999</v>
      </c>
      <c r="V2658">
        <v>5.4088600000000001E-2</v>
      </c>
      <c r="W2658">
        <v>-2.9311230000000001E-2</v>
      </c>
      <c r="X2658">
        <v>0.99810580000000004</v>
      </c>
      <c r="Y2658">
        <v>-0.35941980000000001</v>
      </c>
      <c r="Z2658">
        <v>6.8973709999999994E-2</v>
      </c>
      <c r="AA2658">
        <v>0.93062350000000005</v>
      </c>
      <c r="AB2658">
        <v>17</v>
      </c>
      <c r="AC2658">
        <v>10.194000000000001</v>
      </c>
      <c r="AD2658">
        <v>-1.111689791603</v>
      </c>
      <c r="AE2658">
        <v>-12.482200000000001</v>
      </c>
      <c r="AF2658">
        <v>-5.8257475317104896</v>
      </c>
      <c r="AG2658">
        <v>-1.111689791603</v>
      </c>
      <c r="AH2658">
        <v>14.9442109455855</v>
      </c>
      <c r="AI2658">
        <v>93.964776772206505</v>
      </c>
      <c r="AJ2658">
        <v>111.297481119702</v>
      </c>
      <c r="AK2658">
        <v>16.0780791539954</v>
      </c>
      <c r="AL2658">
        <v>91.679650414552398</v>
      </c>
      <c r="AM2658">
        <v>86.898104204834496</v>
      </c>
      <c r="AN2658">
        <v>0.99999995642385497</v>
      </c>
    </row>
    <row r="2659" spans="1:40" x14ac:dyDescent="0.25">
      <c r="A2659" t="str">
        <f>"20190312161319011"</f>
        <v>20190312161319011</v>
      </c>
      <c r="B2659" t="str">
        <f>"1552378399008354"</f>
        <v>1552378399008354</v>
      </c>
      <c r="C2659" t="s">
        <v>40</v>
      </c>
      <c r="D2659">
        <v>6.0610540000000004</v>
      </c>
      <c r="E2659">
        <v>0.33005469999999998</v>
      </c>
      <c r="F2659" t="s">
        <v>63</v>
      </c>
      <c r="G2659">
        <v>-477.7466</v>
      </c>
      <c r="H2659" s="1">
        <v>2.6937539999999999E-6</v>
      </c>
      <c r="I2659">
        <v>218.51900000000001</v>
      </c>
      <c r="J2659">
        <v>-489.2955</v>
      </c>
      <c r="K2659">
        <v>1.1117079999999999</v>
      </c>
      <c r="L2659">
        <v>232.63069999999999</v>
      </c>
      <c r="M2659">
        <v>0.31055670000000002</v>
      </c>
      <c r="N2659">
        <v>0</v>
      </c>
      <c r="O2659">
        <v>-0.95046079999999999</v>
      </c>
      <c r="P2659">
        <v>0.25865280000000002</v>
      </c>
      <c r="Q2659">
        <v>-4.2898409999999998E-2</v>
      </c>
      <c r="R2659">
        <v>-0.96501729999999997</v>
      </c>
      <c r="S2659">
        <v>2.0740050000000001</v>
      </c>
      <c r="T2659">
        <v>-0.19884250000000001</v>
      </c>
      <c r="U2659">
        <v>-2.5479280000000002</v>
      </c>
      <c r="V2659">
        <v>5.3965029999999997E-2</v>
      </c>
      <c r="W2659">
        <v>-2.935287E-2</v>
      </c>
      <c r="X2659">
        <v>0.99811130000000003</v>
      </c>
      <c r="Y2659">
        <v>-0.35798530000000001</v>
      </c>
      <c r="Z2659">
        <v>6.0908959999999998E-2</v>
      </c>
      <c r="AA2659">
        <v>0.93173850000000003</v>
      </c>
      <c r="AB2659">
        <v>17</v>
      </c>
      <c r="AC2659">
        <v>11.5489</v>
      </c>
      <c r="AD2659">
        <v>-1.1117053062459901</v>
      </c>
      <c r="AE2659">
        <v>-14.1116999999999</v>
      </c>
      <c r="AF2659">
        <v>-6.5704624957943896</v>
      </c>
      <c r="AG2659">
        <v>-1.1117053062459901</v>
      </c>
      <c r="AH2659">
        <v>16.937772163674701</v>
      </c>
      <c r="AI2659">
        <v>93.501670412935695</v>
      </c>
      <c r="AJ2659">
        <v>111.20215714045101</v>
      </c>
      <c r="AK2659">
        <v>18.201510705574101</v>
      </c>
      <c r="AL2659">
        <v>91.682037179207796</v>
      </c>
      <c r="AM2659">
        <v>86.905193978279001</v>
      </c>
      <c r="AN2659">
        <v>0.99999999131391304</v>
      </c>
    </row>
    <row r="2660" spans="1:40" x14ac:dyDescent="0.25">
      <c r="A2660" t="str">
        <f>"20190312161319033"</f>
        <v>20190312161319033</v>
      </c>
      <c r="B2660" t="str">
        <f>"1552378399027874"</f>
        <v>1552378399027874</v>
      </c>
      <c r="C2660" t="s">
        <v>40</v>
      </c>
      <c r="D2660">
        <v>5.9903250000000003</v>
      </c>
      <c r="E2660">
        <v>0.32967920000000001</v>
      </c>
      <c r="F2660" t="s">
        <v>63</v>
      </c>
      <c r="G2660">
        <v>-476.6601</v>
      </c>
      <c r="H2660" s="1">
        <v>3.12033E-6</v>
      </c>
      <c r="I2660">
        <v>217.2552</v>
      </c>
      <c r="J2660">
        <v>-489.23860000000002</v>
      </c>
      <c r="K2660">
        <v>1.1117300000000001</v>
      </c>
      <c r="L2660">
        <v>232.46969999999999</v>
      </c>
      <c r="M2660">
        <v>0.31368639999999998</v>
      </c>
      <c r="N2660">
        <v>0</v>
      </c>
      <c r="O2660">
        <v>-0.94943259999999996</v>
      </c>
      <c r="P2660">
        <v>0.26203799999999999</v>
      </c>
      <c r="Q2660">
        <v>-4.2704789999999999E-2</v>
      </c>
      <c r="R2660">
        <v>-0.96411279999999999</v>
      </c>
      <c r="S2660">
        <v>2.0880740000000002</v>
      </c>
      <c r="T2660">
        <v>-0.18371560000000001</v>
      </c>
      <c r="U2660">
        <v>-2.5408940000000002</v>
      </c>
      <c r="V2660">
        <v>5.3753879999999997E-2</v>
      </c>
      <c r="W2660">
        <v>-2.915703E-2</v>
      </c>
      <c r="X2660">
        <v>0.99812840000000003</v>
      </c>
      <c r="Y2660">
        <v>-0.35943950000000002</v>
      </c>
      <c r="Z2660">
        <v>5.6219199999999997E-2</v>
      </c>
      <c r="AA2660">
        <v>0.93147340000000001</v>
      </c>
      <c r="AB2660">
        <v>17</v>
      </c>
      <c r="AC2660">
        <v>12.5785</v>
      </c>
      <c r="AD2660">
        <v>-1.1117268796699999</v>
      </c>
      <c r="AE2660">
        <v>-15.2144999999999</v>
      </c>
      <c r="AF2660">
        <v>-7.1478271007047303</v>
      </c>
      <c r="AG2660">
        <v>-1.1117268796699999</v>
      </c>
      <c r="AH2660">
        <v>18.334341459594601</v>
      </c>
      <c r="AI2660">
        <v>93.233474989152</v>
      </c>
      <c r="AJ2660">
        <v>111.29882286894301</v>
      </c>
      <c r="AK2660">
        <v>19.709780457264301</v>
      </c>
      <c r="AL2660">
        <v>91.670811625469298</v>
      </c>
      <c r="AM2660">
        <v>86.9173323948025</v>
      </c>
      <c r="AN2660">
        <v>0.99999995745001602</v>
      </c>
    </row>
    <row r="2661" spans="1:40" x14ac:dyDescent="0.25">
      <c r="A2661" t="str">
        <f>"20190312161319056"</f>
        <v>20190312161319056</v>
      </c>
      <c r="B2661" t="str">
        <f>"1552378399048370"</f>
        <v>1552378399048370</v>
      </c>
      <c r="C2661" t="s">
        <v>40</v>
      </c>
      <c r="D2661">
        <v>5.8146909999999998</v>
      </c>
      <c r="E2661">
        <v>0.33144600000000002</v>
      </c>
      <c r="F2661" t="s">
        <v>63</v>
      </c>
      <c r="G2661">
        <v>-476.01639999999998</v>
      </c>
      <c r="H2661" s="1">
        <v>3.3734429999999999E-6</v>
      </c>
      <c r="I2661">
        <v>216.51580000000001</v>
      </c>
      <c r="J2661">
        <v>-489.18380000000002</v>
      </c>
      <c r="K2661">
        <v>1.111747</v>
      </c>
      <c r="L2661">
        <v>232.31569999999999</v>
      </c>
      <c r="M2661">
        <v>0.31671260000000001</v>
      </c>
      <c r="N2661">
        <v>0</v>
      </c>
      <c r="O2661">
        <v>-0.94842709999999997</v>
      </c>
      <c r="P2661">
        <v>0.26569520000000002</v>
      </c>
      <c r="Q2661">
        <v>-4.247563E-2</v>
      </c>
      <c r="R2661">
        <v>-0.96312089999999995</v>
      </c>
      <c r="S2661">
        <v>2.0995180000000002</v>
      </c>
      <c r="T2661">
        <v>-0.17652760000000001</v>
      </c>
      <c r="U2661">
        <v>-2.533264</v>
      </c>
      <c r="V2661">
        <v>5.3152350000000001E-2</v>
      </c>
      <c r="W2661">
        <v>-2.8927640000000001E-2</v>
      </c>
      <c r="X2661">
        <v>0.99816729999999998</v>
      </c>
      <c r="Y2661">
        <v>-0.36041980000000001</v>
      </c>
      <c r="Z2661">
        <v>5.3988189999999998E-2</v>
      </c>
      <c r="AA2661">
        <v>0.93122649999999996</v>
      </c>
      <c r="AB2661">
        <v>17</v>
      </c>
      <c r="AC2661">
        <v>13.167400000000001</v>
      </c>
      <c r="AD2661">
        <v>-1.111743626557</v>
      </c>
      <c r="AE2661">
        <v>-15.7998999999999</v>
      </c>
      <c r="AF2661">
        <v>-7.46315625324966</v>
      </c>
      <c r="AG2661">
        <v>-1.111743626557</v>
      </c>
      <c r="AH2661">
        <v>19.101240941326001</v>
      </c>
      <c r="AI2661">
        <v>93.103061621086397</v>
      </c>
      <c r="AJ2661">
        <v>111.341371876529</v>
      </c>
      <c r="AK2661">
        <v>20.537577282878299</v>
      </c>
      <c r="AL2661">
        <v>91.657662979338497</v>
      </c>
      <c r="AM2661">
        <v>86.951881973230698</v>
      </c>
      <c r="AN2661">
        <v>0.99999996972788996</v>
      </c>
    </row>
    <row r="2662" spans="1:40" x14ac:dyDescent="0.25">
      <c r="A2662" t="str">
        <f>"20190312161319078"</f>
        <v>20190312161319078</v>
      </c>
      <c r="B2662" t="str">
        <f>"1552378399067889"</f>
        <v>1552378399067889</v>
      </c>
      <c r="C2662" t="s">
        <v>40</v>
      </c>
      <c r="D2662">
        <v>5.838444</v>
      </c>
      <c r="E2662">
        <v>0.33232919999999999</v>
      </c>
      <c r="F2662" t="s">
        <v>63</v>
      </c>
      <c r="G2662">
        <v>-476.68680000000001</v>
      </c>
      <c r="H2662" s="1">
        <v>3.1078199999999998E-6</v>
      </c>
      <c r="I2662">
        <v>217.24019999999999</v>
      </c>
      <c r="J2662">
        <v>-489.1259</v>
      </c>
      <c r="K2662">
        <v>1.1117570000000001</v>
      </c>
      <c r="L2662">
        <v>232.1549</v>
      </c>
      <c r="M2662">
        <v>0.31990570000000002</v>
      </c>
      <c r="N2662">
        <v>0</v>
      </c>
      <c r="O2662">
        <v>-0.9473549</v>
      </c>
      <c r="P2662">
        <v>0.26963999999999999</v>
      </c>
      <c r="Q2662">
        <v>-4.227421E-2</v>
      </c>
      <c r="R2662">
        <v>-0.96203280000000002</v>
      </c>
      <c r="S2662">
        <v>2.0959469999999998</v>
      </c>
      <c r="T2662">
        <v>-0.1864575</v>
      </c>
      <c r="U2662">
        <v>-2.5284119999999999</v>
      </c>
      <c r="V2662">
        <v>5.2427229999999998E-2</v>
      </c>
      <c r="W2662">
        <v>-2.8727039999999999E-2</v>
      </c>
      <c r="X2662">
        <v>0.99821139999999997</v>
      </c>
      <c r="Y2662">
        <v>-0.35726089999999999</v>
      </c>
      <c r="Z2662">
        <v>5.7061870000000001E-2</v>
      </c>
      <c r="AA2662">
        <v>0.93225990000000003</v>
      </c>
      <c r="AB2662">
        <v>17</v>
      </c>
      <c r="AC2662">
        <v>12.4390999999999</v>
      </c>
      <c r="AD2662">
        <v>-1.1117538921800001</v>
      </c>
      <c r="AE2662">
        <v>-14.9147</v>
      </c>
      <c r="AF2662">
        <v>-6.9906646349527</v>
      </c>
      <c r="AG2662">
        <v>-1.1117538921800001</v>
      </c>
      <c r="AH2662">
        <v>18.0513212102864</v>
      </c>
      <c r="AI2662">
        <v>93.287011871810407</v>
      </c>
      <c r="AJ2662">
        <v>111.16969634313401</v>
      </c>
      <c r="AK2662">
        <v>19.389574162216402</v>
      </c>
      <c r="AL2662">
        <v>91.646164735380907</v>
      </c>
      <c r="AM2662">
        <v>86.993521060374306</v>
      </c>
      <c r="AN2662">
        <v>0.99999992818129402</v>
      </c>
    </row>
    <row r="2663" spans="1:40" x14ac:dyDescent="0.25">
      <c r="A2663" t="str">
        <f>"20190312161319101"</f>
        <v>20190312161319101</v>
      </c>
      <c r="B2663" t="str">
        <f>"1552378399098146"</f>
        <v>1552378399098146</v>
      </c>
      <c r="C2663" t="s">
        <v>40</v>
      </c>
      <c r="D2663">
        <v>5.8526829999999999</v>
      </c>
      <c r="E2663">
        <v>0.33316849999999998</v>
      </c>
      <c r="F2663" t="s">
        <v>63</v>
      </c>
      <c r="G2663">
        <v>-476.91160000000002</v>
      </c>
      <c r="H2663" s="1">
        <v>3.018967E-6</v>
      </c>
      <c r="I2663">
        <v>217.48820000000001</v>
      </c>
      <c r="J2663">
        <v>-489.06799999999998</v>
      </c>
      <c r="K2663">
        <v>1.1117669999999999</v>
      </c>
      <c r="L2663">
        <v>231.99619999999999</v>
      </c>
      <c r="M2663">
        <v>0.32309110000000002</v>
      </c>
      <c r="N2663">
        <v>0</v>
      </c>
      <c r="O2663">
        <v>-0.94627329999999998</v>
      </c>
      <c r="P2663">
        <v>0.27332859999999998</v>
      </c>
      <c r="Q2663">
        <v>-4.200533E-2</v>
      </c>
      <c r="R2663">
        <v>-0.96100339999999995</v>
      </c>
      <c r="S2663">
        <v>2.0998230000000002</v>
      </c>
      <c r="T2663">
        <v>-0.19112750000000001</v>
      </c>
      <c r="U2663">
        <v>-2.521439</v>
      </c>
      <c r="V2663">
        <v>5.1959829999999999E-2</v>
      </c>
      <c r="W2663">
        <v>-2.8458509999999999E-2</v>
      </c>
      <c r="X2663">
        <v>0.99824360000000001</v>
      </c>
      <c r="Y2663">
        <v>-0.35617549999999998</v>
      </c>
      <c r="Z2663">
        <v>5.8498139999999997E-2</v>
      </c>
      <c r="AA2663">
        <v>0.93258620000000003</v>
      </c>
      <c r="AB2663">
        <v>17</v>
      </c>
      <c r="AC2663">
        <v>12.1564</v>
      </c>
      <c r="AD2663">
        <v>-1.111763981033</v>
      </c>
      <c r="AE2663">
        <v>-14.5079999999999</v>
      </c>
      <c r="AF2663">
        <v>-6.7930446930840898</v>
      </c>
      <c r="AG2663">
        <v>-1.111763981033</v>
      </c>
      <c r="AH2663">
        <v>17.597027160446899</v>
      </c>
      <c r="AI2663">
        <v>93.373103093261605</v>
      </c>
      <c r="AJ2663">
        <v>111.10826645445999</v>
      </c>
      <c r="AK2663">
        <v>18.895418498600801</v>
      </c>
      <c r="AL2663">
        <v>91.630772691841301</v>
      </c>
      <c r="AM2663">
        <v>87.020371888447798</v>
      </c>
      <c r="AN2663">
        <v>0.99999999783300397</v>
      </c>
    </row>
    <row r="2664" spans="1:40" x14ac:dyDescent="0.25">
      <c r="A2664" t="str">
        <f>"20190312161319122"</f>
        <v>20190312161319122</v>
      </c>
      <c r="B2664" t="str">
        <f>"1552378399118642"</f>
        <v>1552378399118642</v>
      </c>
      <c r="C2664" t="s">
        <v>40</v>
      </c>
      <c r="D2664">
        <v>6.0203100000000003</v>
      </c>
      <c r="E2664">
        <v>0.33366879999999999</v>
      </c>
      <c r="F2664" t="s">
        <v>63</v>
      </c>
      <c r="G2664">
        <v>-477.0351</v>
      </c>
      <c r="H2664" s="1">
        <v>2.9692260000000002E-6</v>
      </c>
      <c r="I2664">
        <v>217.60339999999999</v>
      </c>
      <c r="J2664">
        <v>-489.01389999999998</v>
      </c>
      <c r="K2664">
        <v>1.1117779999999999</v>
      </c>
      <c r="L2664">
        <v>231.8493</v>
      </c>
      <c r="M2664">
        <v>0.32606970000000002</v>
      </c>
      <c r="N2664">
        <v>0</v>
      </c>
      <c r="O2664">
        <v>-0.94525099999999995</v>
      </c>
      <c r="P2664">
        <v>0.27640439999999999</v>
      </c>
      <c r="Q2664">
        <v>-4.1777910000000001E-2</v>
      </c>
      <c r="R2664">
        <v>-0.96013289999999996</v>
      </c>
      <c r="S2664">
        <v>2.1027529999999999</v>
      </c>
      <c r="T2664">
        <v>-0.1942816</v>
      </c>
      <c r="U2664">
        <v>-2.5151520000000001</v>
      </c>
      <c r="V2664">
        <v>5.1910159999999997E-2</v>
      </c>
      <c r="W2664">
        <v>-2.8230060000000001E-2</v>
      </c>
      <c r="X2664">
        <v>0.99825269999999999</v>
      </c>
      <c r="Y2664">
        <v>-0.35497889999999999</v>
      </c>
      <c r="Z2664">
        <v>5.9473089999999999E-2</v>
      </c>
      <c r="AA2664">
        <v>0.9329807</v>
      </c>
      <c r="AB2664">
        <v>17</v>
      </c>
      <c r="AC2664">
        <v>11.9787999999999</v>
      </c>
      <c r="AD2664">
        <v>-1.111775030774</v>
      </c>
      <c r="AE2664">
        <v>-14.245900000000001</v>
      </c>
      <c r="AF2664">
        <v>-6.6546714004619201</v>
      </c>
      <c r="AG2664">
        <v>-1.111775030774</v>
      </c>
      <c r="AH2664">
        <v>17.311664993283902</v>
      </c>
      <c r="AI2664">
        <v>93.4304775263751</v>
      </c>
      <c r="AJ2664">
        <v>111.026954194146</v>
      </c>
      <c r="AK2664">
        <v>18.5799472552231</v>
      </c>
      <c r="AL2664">
        <v>91.617678162613402</v>
      </c>
      <c r="AM2664">
        <v>87.023242168674898</v>
      </c>
      <c r="AN2664">
        <v>1.00000002702805</v>
      </c>
    </row>
    <row r="2665" spans="1:40" x14ac:dyDescent="0.25">
      <c r="A2665" t="str">
        <f>"20190312161319136"</f>
        <v>20190312161319136</v>
      </c>
      <c r="B2665" t="str">
        <f>"1552378399128402"</f>
        <v>1552378399128402</v>
      </c>
      <c r="C2665" t="s">
        <v>40</v>
      </c>
      <c r="D2665">
        <v>5.8322089999999998</v>
      </c>
      <c r="E2665">
        <v>0.3338507</v>
      </c>
      <c r="F2665" t="s">
        <v>63</v>
      </c>
      <c r="G2665">
        <v>-477.2038</v>
      </c>
      <c r="H2665" s="1">
        <v>2.9024099999999998E-6</v>
      </c>
      <c r="I2665">
        <v>217.7859</v>
      </c>
      <c r="J2665">
        <v>-488.97649999999999</v>
      </c>
      <c r="K2665">
        <v>1.111785</v>
      </c>
      <c r="L2665">
        <v>231.74860000000001</v>
      </c>
      <c r="M2665">
        <v>0.32813100000000001</v>
      </c>
      <c r="N2665">
        <v>0</v>
      </c>
      <c r="O2665">
        <v>-0.94453750000000003</v>
      </c>
      <c r="P2665">
        <v>0.27854580000000001</v>
      </c>
      <c r="Q2665">
        <v>-4.1697369999999997E-2</v>
      </c>
      <c r="R2665">
        <v>-0.95951739999999996</v>
      </c>
      <c r="S2665">
        <v>2.1072389999999999</v>
      </c>
      <c r="T2665">
        <v>-0.19836989999999999</v>
      </c>
      <c r="U2665">
        <v>-2.509293</v>
      </c>
      <c r="V2665">
        <v>5.1862270000000002E-2</v>
      </c>
      <c r="W2665">
        <v>-2.8148639999999999E-2</v>
      </c>
      <c r="X2665">
        <v>0.99825750000000002</v>
      </c>
      <c r="Y2665">
        <v>-0.354939</v>
      </c>
      <c r="Z2665">
        <v>6.0729600000000002E-2</v>
      </c>
      <c r="AA2665">
        <v>0.93291489999999999</v>
      </c>
      <c r="AB2665">
        <v>17</v>
      </c>
      <c r="AC2665">
        <v>11.772699999999899</v>
      </c>
      <c r="AD2665">
        <v>-1.1117820975899999</v>
      </c>
      <c r="AE2665">
        <v>-13.9627</v>
      </c>
      <c r="AF2665">
        <v>-6.5146056420290597</v>
      </c>
      <c r="AG2665">
        <v>-1.1117820975899999</v>
      </c>
      <c r="AH2665">
        <v>16.989847703033</v>
      </c>
      <c r="AI2665">
        <v>93.496442734071493</v>
      </c>
      <c r="AJ2665">
        <v>110.97887599201501</v>
      </c>
      <c r="AK2665">
        <v>18.229949837449801</v>
      </c>
      <c r="AL2665">
        <v>91.613011267016702</v>
      </c>
      <c r="AM2665">
        <v>87.025997734973402</v>
      </c>
      <c r="AN2665">
        <v>1.00000003864482</v>
      </c>
    </row>
    <row r="2666" spans="1:40" x14ac:dyDescent="0.25">
      <c r="A2666" t="str">
        <f>"20190312161319154"</f>
        <v>20190312161319154</v>
      </c>
      <c r="B2666" t="str">
        <f>"1552378399147921"</f>
        <v>1552378399147921</v>
      </c>
      <c r="C2666" t="s">
        <v>40</v>
      </c>
      <c r="D2666">
        <v>5.8353529999999996</v>
      </c>
      <c r="E2666">
        <v>0.33417920000000001</v>
      </c>
      <c r="F2666" t="s">
        <v>63</v>
      </c>
      <c r="G2666">
        <v>-477.18819999999999</v>
      </c>
      <c r="H2666" s="1">
        <v>2.908349E-6</v>
      </c>
      <c r="I2666">
        <v>217.76410000000001</v>
      </c>
      <c r="J2666">
        <v>-488.92750000000001</v>
      </c>
      <c r="K2666">
        <v>1.1117950000000001</v>
      </c>
      <c r="L2666">
        <v>231.61789999999999</v>
      </c>
      <c r="M2666">
        <v>0.3308296</v>
      </c>
      <c r="N2666">
        <v>0</v>
      </c>
      <c r="O2666">
        <v>-0.94359579999999998</v>
      </c>
      <c r="P2666">
        <v>0.28113900000000003</v>
      </c>
      <c r="Q2666">
        <v>-4.1747659999999999E-2</v>
      </c>
      <c r="R2666">
        <v>-0.95875889999999997</v>
      </c>
      <c r="S2666">
        <v>2.111542</v>
      </c>
      <c r="T2666">
        <v>-0.19914519999999999</v>
      </c>
      <c r="U2666">
        <v>-2.5049440000000001</v>
      </c>
      <c r="V2666">
        <v>5.201687E-2</v>
      </c>
      <c r="W2666">
        <v>-2.8196889999999999E-2</v>
      </c>
      <c r="X2666">
        <v>0.99824800000000002</v>
      </c>
      <c r="Y2666">
        <v>-0.353993</v>
      </c>
      <c r="Z2666">
        <v>6.0939020000000003E-2</v>
      </c>
      <c r="AA2666">
        <v>0.9332606</v>
      </c>
      <c r="AB2666">
        <v>17</v>
      </c>
      <c r="AC2666">
        <v>11.7393</v>
      </c>
      <c r="AD2666">
        <v>-1.111792091651</v>
      </c>
      <c r="AE2666">
        <v>-13.8537999999999</v>
      </c>
      <c r="AF2666">
        <v>-6.4702327557280999</v>
      </c>
      <c r="AG2666">
        <v>-1.111792091651</v>
      </c>
      <c r="AH2666">
        <v>16.894279964769702</v>
      </c>
      <c r="AI2666">
        <v>93.516739649809395</v>
      </c>
      <c r="AJ2666">
        <v>110.95602216003201</v>
      </c>
      <c r="AK2666">
        <v>18.125029354358901</v>
      </c>
      <c r="AL2666">
        <v>91.615777038290801</v>
      </c>
      <c r="AM2666">
        <v>87.017119966734896</v>
      </c>
      <c r="AN2666">
        <v>0.99999994443713203</v>
      </c>
    </row>
    <row r="2667" spans="1:40" x14ac:dyDescent="0.25">
      <c r="A2667" t="str">
        <f>"20190312161319168"</f>
        <v>20190312161319168</v>
      </c>
      <c r="B2667" t="str">
        <f>"1552378399158658"</f>
        <v>1552378399158658</v>
      </c>
      <c r="C2667" t="s">
        <v>40</v>
      </c>
      <c r="D2667">
        <v>5.32735</v>
      </c>
      <c r="E2667">
        <v>0.33394649999999998</v>
      </c>
      <c r="F2667" t="s">
        <v>63</v>
      </c>
      <c r="G2667">
        <v>-477.2321</v>
      </c>
      <c r="H2667" s="1">
        <v>2.8904680000000001E-6</v>
      </c>
      <c r="I2667">
        <v>217.79939999999999</v>
      </c>
      <c r="J2667">
        <v>-488.89269999999999</v>
      </c>
      <c r="K2667">
        <v>1.1118030000000001</v>
      </c>
      <c r="L2667">
        <v>231.52549999999999</v>
      </c>
      <c r="M2667">
        <v>0.33275120000000002</v>
      </c>
      <c r="N2667">
        <v>0</v>
      </c>
      <c r="O2667">
        <v>-0.94291999999999998</v>
      </c>
      <c r="P2667">
        <v>0.28314600000000001</v>
      </c>
      <c r="Q2667">
        <v>-4.1692769999999997E-2</v>
      </c>
      <c r="R2667">
        <v>-0.95817039999999998</v>
      </c>
      <c r="S2667">
        <v>2.1157840000000001</v>
      </c>
      <c r="T2667">
        <v>-0.20113049999999999</v>
      </c>
      <c r="U2667">
        <v>-2.4998629999999999</v>
      </c>
      <c r="V2667">
        <v>5.196141E-2</v>
      </c>
      <c r="W2667">
        <v>-2.814082E-2</v>
      </c>
      <c r="X2667">
        <v>0.99825249999999999</v>
      </c>
      <c r="Y2667">
        <v>-0.35392030000000002</v>
      </c>
      <c r="Z2667">
        <v>6.1545290000000002E-2</v>
      </c>
      <c r="AA2667">
        <v>0.93324850000000004</v>
      </c>
      <c r="AB2667">
        <v>17</v>
      </c>
      <c r="AC2667">
        <v>11.660599999999899</v>
      </c>
      <c r="AD2667">
        <v>-1.111800109532</v>
      </c>
      <c r="AE2667">
        <v>-13.726100000000001</v>
      </c>
      <c r="AF2667">
        <v>-6.4038074588019303</v>
      </c>
      <c r="AG2667">
        <v>-1.111800109532</v>
      </c>
      <c r="AH2667">
        <v>16.760325904074701</v>
      </c>
      <c r="AI2667">
        <v>93.545865498835198</v>
      </c>
      <c r="AJ2667">
        <v>110.91092279309601</v>
      </c>
      <c r="AK2667">
        <v>17.976467224228401</v>
      </c>
      <c r="AL2667">
        <v>91.612563141040695</v>
      </c>
      <c r="AM2667">
        <v>87.020307964923205</v>
      </c>
      <c r="AN2667">
        <v>0.99999997381785499</v>
      </c>
    </row>
    <row r="2668" spans="1:40" x14ac:dyDescent="0.25">
      <c r="A2668" t="str">
        <f>"20190312161319190"</f>
        <v>20190312161319190</v>
      </c>
      <c r="B2668" t="str">
        <f>"1552378399178177"</f>
        <v>1552378399178177</v>
      </c>
      <c r="C2668" t="s">
        <v>40</v>
      </c>
      <c r="D2668">
        <v>5.81684</v>
      </c>
      <c r="E2668">
        <v>0.3334877</v>
      </c>
      <c r="F2668" t="s">
        <v>63</v>
      </c>
      <c r="G2668">
        <v>-477.14089999999999</v>
      </c>
      <c r="H2668" s="1">
        <v>2.9271610000000001E-6</v>
      </c>
      <c r="I2668">
        <v>217.7139</v>
      </c>
      <c r="J2668">
        <v>-488.83569999999997</v>
      </c>
      <c r="K2668">
        <v>1.1118220000000001</v>
      </c>
      <c r="L2668">
        <v>231.37620000000001</v>
      </c>
      <c r="M2668">
        <v>0.33589150000000001</v>
      </c>
      <c r="N2668">
        <v>0</v>
      </c>
      <c r="O2668">
        <v>-0.94180580000000003</v>
      </c>
      <c r="P2668">
        <v>0.28717579999999998</v>
      </c>
      <c r="Q2668">
        <v>-4.1914319999999998E-2</v>
      </c>
      <c r="R2668">
        <v>-0.9569607</v>
      </c>
      <c r="S2668">
        <v>2.122833</v>
      </c>
      <c r="T2668">
        <v>-0.2008345</v>
      </c>
      <c r="U2668">
        <v>-2.494904</v>
      </c>
      <c r="V2668">
        <v>5.1086189999999997E-2</v>
      </c>
      <c r="W2668">
        <v>-2.8362780000000001E-2</v>
      </c>
      <c r="X2668">
        <v>0.99829140000000005</v>
      </c>
      <c r="Y2668">
        <v>-0.3532555</v>
      </c>
      <c r="Z2668">
        <v>6.1400000000000003E-2</v>
      </c>
      <c r="AA2668">
        <v>0.93350979999999995</v>
      </c>
      <c r="AB2668">
        <v>17</v>
      </c>
      <c r="AC2668">
        <v>11.694799999999899</v>
      </c>
      <c r="AD2668">
        <v>-1.1118190728389901</v>
      </c>
      <c r="AE2668">
        <v>-13.6623</v>
      </c>
      <c r="AF2668">
        <v>-6.4012884966393697</v>
      </c>
      <c r="AG2668">
        <v>-1.1118190728389901</v>
      </c>
      <c r="AH2668">
        <v>16.732964841205401</v>
      </c>
      <c r="AI2668">
        <v>93.551148807645305</v>
      </c>
      <c r="AJ2668">
        <v>110.934628829828</v>
      </c>
      <c r="AK2668">
        <v>17.9500626306694</v>
      </c>
      <c r="AL2668">
        <v>91.625285576486803</v>
      </c>
      <c r="AM2668">
        <v>87.070522646893906</v>
      </c>
      <c r="AN2668">
        <v>0.99999998270600199</v>
      </c>
    </row>
    <row r="2669" spans="1:40" x14ac:dyDescent="0.25">
      <c r="A2669" t="str">
        <f>"20190312161319213"</f>
        <v>20190312161319213</v>
      </c>
      <c r="B2669" t="str">
        <f>"1552378399208434"</f>
        <v>1552378399208434</v>
      </c>
      <c r="C2669" t="s">
        <v>40</v>
      </c>
      <c r="D2669">
        <v>5.8328870000000004</v>
      </c>
      <c r="E2669">
        <v>0.33301130000000001</v>
      </c>
      <c r="F2669" t="s">
        <v>63</v>
      </c>
      <c r="G2669">
        <v>-476.93849999999998</v>
      </c>
      <c r="H2669" s="1">
        <v>3.0091729999999998E-6</v>
      </c>
      <c r="I2669">
        <v>217.53739999999999</v>
      </c>
      <c r="J2669">
        <v>-488.7758</v>
      </c>
      <c r="K2669">
        <v>1.111836</v>
      </c>
      <c r="L2669">
        <v>231.2208</v>
      </c>
      <c r="M2669">
        <v>0.33920129999999998</v>
      </c>
      <c r="N2669">
        <v>0</v>
      </c>
      <c r="O2669">
        <v>-0.94061879999999998</v>
      </c>
      <c r="P2669">
        <v>0.29145120000000002</v>
      </c>
      <c r="Q2669">
        <v>-4.1802539999999999E-2</v>
      </c>
      <c r="R2669">
        <v>-0.95567199999999997</v>
      </c>
      <c r="S2669">
        <v>2.1364139999999998</v>
      </c>
      <c r="T2669">
        <v>-0.19965269999999999</v>
      </c>
      <c r="U2669">
        <v>-2.485077</v>
      </c>
      <c r="V2669">
        <v>5.0136350000000003E-2</v>
      </c>
      <c r="W2669">
        <v>-2.8251510000000001E-2</v>
      </c>
      <c r="X2669">
        <v>0.99834279999999997</v>
      </c>
      <c r="Y2669">
        <v>-0.35474270000000002</v>
      </c>
      <c r="Z2669">
        <v>6.0996359999999999E-2</v>
      </c>
      <c r="AA2669">
        <v>0.93297220000000003</v>
      </c>
      <c r="AB2669">
        <v>17</v>
      </c>
      <c r="AC2669">
        <v>11.837300000000001</v>
      </c>
      <c r="AD2669">
        <v>-1.1118329908269999</v>
      </c>
      <c r="AE2669">
        <v>-13.683400000000001</v>
      </c>
      <c r="AF2669">
        <v>-6.4691114517777697</v>
      </c>
      <c r="AG2669">
        <v>-1.1118329908269999</v>
      </c>
      <c r="AH2669">
        <v>16.824068850223298</v>
      </c>
      <c r="AI2669">
        <v>93.529704191455295</v>
      </c>
      <c r="AJ2669">
        <v>111.032514130332</v>
      </c>
      <c r="AK2669">
        <v>18.059204529880802</v>
      </c>
      <c r="AL2669">
        <v>91.618907571594306</v>
      </c>
      <c r="AM2669">
        <v>87.125045628235696</v>
      </c>
      <c r="AN2669">
        <v>1.0000000738602099</v>
      </c>
    </row>
    <row r="2670" spans="1:40" x14ac:dyDescent="0.25">
      <c r="A2670" t="str">
        <f>"20190312161319234"</f>
        <v>20190312161319234</v>
      </c>
      <c r="B2670" t="str">
        <f>"1552378399227954"</f>
        <v>1552378399227954</v>
      </c>
      <c r="C2670" t="s">
        <v>40</v>
      </c>
      <c r="D2670">
        <v>5.9942760000000002</v>
      </c>
      <c r="E2670">
        <v>0.33299859999999998</v>
      </c>
      <c r="F2670" t="s">
        <v>63</v>
      </c>
      <c r="G2670">
        <v>-476.55290000000002</v>
      </c>
      <c r="H2670" s="1">
        <v>3.1636659999999998E-6</v>
      </c>
      <c r="I2670">
        <v>217.1593</v>
      </c>
      <c r="J2670">
        <v>-488.71749999999997</v>
      </c>
      <c r="K2670">
        <v>1.1118509999999999</v>
      </c>
      <c r="L2670">
        <v>231.07130000000001</v>
      </c>
      <c r="M2670">
        <v>0.34242309999999998</v>
      </c>
      <c r="N2670">
        <v>0</v>
      </c>
      <c r="O2670">
        <v>-0.93945080000000003</v>
      </c>
      <c r="P2670">
        <v>0.29559619999999998</v>
      </c>
      <c r="Q2670">
        <v>-4.2297679999999997E-2</v>
      </c>
      <c r="R2670">
        <v>-0.95437640000000001</v>
      </c>
      <c r="S2670">
        <v>2.151062</v>
      </c>
      <c r="T2670">
        <v>-0.19566629999999999</v>
      </c>
      <c r="U2670">
        <v>-2.4746090000000001</v>
      </c>
      <c r="V2670">
        <v>4.9221000000000001E-2</v>
      </c>
      <c r="W2670">
        <v>-2.874784E-2</v>
      </c>
      <c r="X2670">
        <v>0.99837410000000004</v>
      </c>
      <c r="Y2670">
        <v>-0.35669279999999998</v>
      </c>
      <c r="Z2670">
        <v>5.9740050000000003E-2</v>
      </c>
      <c r="AA2670">
        <v>0.93230970000000002</v>
      </c>
      <c r="AB2670">
        <v>17</v>
      </c>
      <c r="AC2670">
        <v>12.164599999999901</v>
      </c>
      <c r="AD2670">
        <v>-1.1118478363340001</v>
      </c>
      <c r="AE2670">
        <v>-13.912000000000001</v>
      </c>
      <c r="AF2670">
        <v>-6.64081051693669</v>
      </c>
      <c r="AG2670">
        <v>-1.1118478363340001</v>
      </c>
      <c r="AH2670">
        <v>17.1744525738855</v>
      </c>
      <c r="AI2670">
        <v>93.455423918048396</v>
      </c>
      <c r="AJ2670">
        <v>111.139889203594</v>
      </c>
      <c r="AK2670">
        <v>18.4471784060777</v>
      </c>
      <c r="AL2670">
        <v>91.647356871053503</v>
      </c>
      <c r="AM2670">
        <v>87.177536961539602</v>
      </c>
      <c r="AN2670">
        <v>0.99999999434823705</v>
      </c>
    </row>
    <row r="2671" spans="1:40" x14ac:dyDescent="0.25">
      <c r="A2671" t="str">
        <f>"20190312161319256"</f>
        <v>20190312161319256</v>
      </c>
      <c r="B2671" t="str">
        <f>"1552378399248449"</f>
        <v>1552378399248449</v>
      </c>
      <c r="C2671" t="s">
        <v>40</v>
      </c>
      <c r="D2671">
        <v>5.8069559999999996</v>
      </c>
      <c r="E2671">
        <v>0.33299269999999997</v>
      </c>
      <c r="F2671" t="s">
        <v>63</v>
      </c>
      <c r="G2671">
        <v>-476.43400000000003</v>
      </c>
      <c r="H2671" s="1">
        <v>3.21245E-6</v>
      </c>
      <c r="I2671">
        <v>217.06880000000001</v>
      </c>
      <c r="J2671">
        <v>-488.65780000000001</v>
      </c>
      <c r="K2671">
        <v>1.1118669999999999</v>
      </c>
      <c r="L2671">
        <v>230.9195</v>
      </c>
      <c r="M2671">
        <v>0.34573199999999998</v>
      </c>
      <c r="N2671">
        <v>0</v>
      </c>
      <c r="O2671">
        <v>-0.93823809999999996</v>
      </c>
      <c r="P2671">
        <v>0.2993807</v>
      </c>
      <c r="Q2671">
        <v>-4.2125419999999997E-2</v>
      </c>
      <c r="R2671">
        <v>-0.95320349999999998</v>
      </c>
      <c r="S2671">
        <v>2.1623839999999999</v>
      </c>
      <c r="T2671">
        <v>-0.19572829999999999</v>
      </c>
      <c r="U2671">
        <v>-2.4649809999999999</v>
      </c>
      <c r="V2671">
        <v>4.8781169999999999E-2</v>
      </c>
      <c r="W2671">
        <v>-2.8575300000000001E-2</v>
      </c>
      <c r="X2671">
        <v>0.99840059999999997</v>
      </c>
      <c r="Y2671">
        <v>-0.35762630000000001</v>
      </c>
      <c r="Z2671">
        <v>5.9730279999999997E-2</v>
      </c>
      <c r="AA2671">
        <v>0.93195269999999997</v>
      </c>
      <c r="AB2671">
        <v>17</v>
      </c>
      <c r="AC2671">
        <v>12.223799999999899</v>
      </c>
      <c r="AD2671">
        <v>-1.1118637875499999</v>
      </c>
      <c r="AE2671">
        <v>-13.8506999999999</v>
      </c>
      <c r="AF2671">
        <v>-6.6566873231410799</v>
      </c>
      <c r="AG2671">
        <v>-1.1118637875499999</v>
      </c>
      <c r="AH2671">
        <v>17.160786085254099</v>
      </c>
      <c r="AI2671">
        <v>93.456786219014504</v>
      </c>
      <c r="AJ2671">
        <v>111.201326474353</v>
      </c>
      <c r="AK2671">
        <v>18.440181839233102</v>
      </c>
      <c r="AL2671">
        <v>91.637467059919501</v>
      </c>
      <c r="AM2671">
        <v>87.202791873882006</v>
      </c>
      <c r="AN2671">
        <v>0.99999995419850796</v>
      </c>
    </row>
    <row r="2672" spans="1:40" x14ac:dyDescent="0.25">
      <c r="A2672" t="str">
        <f>"20190312161319269"</f>
        <v>20190312161319269</v>
      </c>
      <c r="B2672" t="str">
        <f>"1552378399258210"</f>
        <v>1552378399258210</v>
      </c>
      <c r="C2672" t="s">
        <v>40</v>
      </c>
      <c r="D2672">
        <v>5.8534759999999997</v>
      </c>
      <c r="E2672">
        <v>0.33289780000000002</v>
      </c>
      <c r="F2672" t="s">
        <v>63</v>
      </c>
      <c r="G2672">
        <v>-476.29309999999998</v>
      </c>
      <c r="H2672" s="1">
        <v>3.2691000000000002E-6</v>
      </c>
      <c r="I2672">
        <v>216.93549999999999</v>
      </c>
      <c r="J2672">
        <v>-488.62130000000002</v>
      </c>
      <c r="K2672">
        <v>1.1118729999999999</v>
      </c>
      <c r="L2672">
        <v>230.82749999999999</v>
      </c>
      <c r="M2672">
        <v>0.34775319999999998</v>
      </c>
      <c r="N2672">
        <v>0</v>
      </c>
      <c r="O2672">
        <v>-0.93749059999999995</v>
      </c>
      <c r="P2672">
        <v>0.30149930000000003</v>
      </c>
      <c r="Q2672">
        <v>-4.1883120000000003E-2</v>
      </c>
      <c r="R2672">
        <v>-0.952546</v>
      </c>
      <c r="S2672">
        <v>2.1720280000000001</v>
      </c>
      <c r="T2672">
        <v>-0.19531390000000001</v>
      </c>
      <c r="U2672">
        <v>-2.4564819999999998</v>
      </c>
      <c r="V2672">
        <v>4.8716200000000001E-2</v>
      </c>
      <c r="W2672">
        <v>-2.8332199999999998E-2</v>
      </c>
      <c r="X2672">
        <v>0.99841080000000004</v>
      </c>
      <c r="Y2672">
        <v>-0.35927219999999999</v>
      </c>
      <c r="Z2672">
        <v>5.9601090000000002E-2</v>
      </c>
      <c r="AA2672">
        <v>0.93132760000000003</v>
      </c>
      <c r="AB2672">
        <v>17</v>
      </c>
      <c r="AC2672">
        <v>12.328200000000001</v>
      </c>
      <c r="AD2672">
        <v>-1.1118697309000001</v>
      </c>
      <c r="AE2672">
        <v>-13.8919999999999</v>
      </c>
      <c r="AF2672">
        <v>-6.7031648679196598</v>
      </c>
      <c r="AG2672">
        <v>-1.1118697309000001</v>
      </c>
      <c r="AH2672">
        <v>17.2505211232987</v>
      </c>
      <c r="AI2672">
        <v>93.438083187517606</v>
      </c>
      <c r="AJ2672">
        <v>111.23500779896101</v>
      </c>
      <c r="AK2672">
        <v>18.540473364247699</v>
      </c>
      <c r="AL2672">
        <v>91.623532651941005</v>
      </c>
      <c r="AM2672">
        <v>87.206539969989194</v>
      </c>
      <c r="AN2672">
        <v>1.0000000536279501</v>
      </c>
    </row>
    <row r="2673" spans="1:40" x14ac:dyDescent="0.25">
      <c r="A2673" t="str">
        <f>"20190312161319290"</f>
        <v>20190312161319290</v>
      </c>
      <c r="B2673" t="str">
        <f>"1552378399278709"</f>
        <v>1552378399278709</v>
      </c>
      <c r="C2673" t="s">
        <v>40</v>
      </c>
      <c r="D2673">
        <v>5.7934530000000004</v>
      </c>
      <c r="E2673">
        <v>0.33291029999999999</v>
      </c>
      <c r="F2673" t="s">
        <v>63</v>
      </c>
      <c r="G2673">
        <v>-476.17860000000002</v>
      </c>
      <c r="H2673" s="1">
        <v>3.3148340000000001E-6</v>
      </c>
      <c r="I2673">
        <v>216.82079999999999</v>
      </c>
      <c r="J2673">
        <v>-488.56729999999999</v>
      </c>
      <c r="K2673">
        <v>1.1118779999999999</v>
      </c>
      <c r="L2673">
        <v>230.69290000000001</v>
      </c>
      <c r="M2673">
        <v>0.35074280000000002</v>
      </c>
      <c r="N2673">
        <v>0</v>
      </c>
      <c r="O2673">
        <v>-0.9363766</v>
      </c>
      <c r="P2673">
        <v>0.30402709999999999</v>
      </c>
      <c r="Q2673">
        <v>-4.2212930000000003E-2</v>
      </c>
      <c r="R2673">
        <v>-0.95172809999999997</v>
      </c>
      <c r="S2673">
        <v>2.1778559999999998</v>
      </c>
      <c r="T2673">
        <v>-0.19461239999999999</v>
      </c>
      <c r="U2673">
        <v>-2.4516300000000002</v>
      </c>
      <c r="V2673">
        <v>4.9247869999999999E-2</v>
      </c>
      <c r="W2673">
        <v>-2.8659029999999999E-2</v>
      </c>
      <c r="X2673">
        <v>0.99837540000000002</v>
      </c>
      <c r="Y2673">
        <v>-0.35845850000000001</v>
      </c>
      <c r="Z2673">
        <v>5.9341100000000001E-2</v>
      </c>
      <c r="AA2673">
        <v>0.93165770000000003</v>
      </c>
      <c r="AB2673">
        <v>17</v>
      </c>
      <c r="AC2673">
        <v>12.388699999999901</v>
      </c>
      <c r="AD2673">
        <v>-1.111874685166</v>
      </c>
      <c r="AE2673">
        <v>-13.8721</v>
      </c>
      <c r="AF2673">
        <v>-6.7115638132922104</v>
      </c>
      <c r="AG2673">
        <v>-1.111874685166</v>
      </c>
      <c r="AH2673">
        <v>17.2745656567342</v>
      </c>
      <c r="AI2673">
        <v>93.433387624778007</v>
      </c>
      <c r="AJ2673">
        <v>111.23228682605399</v>
      </c>
      <c r="AK2673">
        <v>18.565881954925501</v>
      </c>
      <c r="AL2673">
        <v>91.642266217674603</v>
      </c>
      <c r="AM2673">
        <v>87.176002329005797</v>
      </c>
      <c r="AN2673">
        <v>1.00000006601261</v>
      </c>
    </row>
    <row r="2674" spans="1:40" x14ac:dyDescent="0.25">
      <c r="A2674" t="str">
        <f>"20190312161319302"</f>
        <v>20190312161319302</v>
      </c>
      <c r="B2674" t="str">
        <f>"1552378399298226"</f>
        <v>1552378399298226</v>
      </c>
      <c r="C2674" t="s">
        <v>40</v>
      </c>
      <c r="D2674">
        <v>5.8071599999999997</v>
      </c>
      <c r="E2674">
        <v>0.33284619999999998</v>
      </c>
      <c r="F2674" t="s">
        <v>63</v>
      </c>
      <c r="G2674">
        <v>-476.21069999999997</v>
      </c>
      <c r="H2674" s="1">
        <v>3.302317E-6</v>
      </c>
      <c r="I2674">
        <v>216.86</v>
      </c>
      <c r="J2674">
        <v>-488.5317</v>
      </c>
      <c r="K2674">
        <v>1.1118840000000001</v>
      </c>
      <c r="L2674">
        <v>230.60489999999999</v>
      </c>
      <c r="M2674">
        <v>0.35271669999999999</v>
      </c>
      <c r="N2674">
        <v>0</v>
      </c>
      <c r="O2674">
        <v>-0.93563470000000004</v>
      </c>
      <c r="P2674">
        <v>0.30586459999999999</v>
      </c>
      <c r="Q2674">
        <v>-4.2242710000000003E-2</v>
      </c>
      <c r="R2674">
        <v>-0.95113780000000003</v>
      </c>
      <c r="S2674">
        <v>2.1845400000000001</v>
      </c>
      <c r="T2674">
        <v>-0.19657040000000001</v>
      </c>
      <c r="U2674">
        <v>-2.445541</v>
      </c>
      <c r="V2674">
        <v>4.9425330000000003E-2</v>
      </c>
      <c r="W2674">
        <v>-2.8687009999999999E-2</v>
      </c>
      <c r="X2674">
        <v>0.99836579999999997</v>
      </c>
      <c r="Y2674">
        <v>-0.35903400000000002</v>
      </c>
      <c r="Z2674">
        <v>5.9922410000000002E-2</v>
      </c>
      <c r="AA2674">
        <v>0.93139890000000003</v>
      </c>
      <c r="AB2674">
        <v>17</v>
      </c>
      <c r="AC2674">
        <v>12.321</v>
      </c>
      <c r="AD2674">
        <v>-1.111880697683</v>
      </c>
      <c r="AE2674">
        <v>-13.7448999999999</v>
      </c>
      <c r="AF2674">
        <v>-6.6563446691548203</v>
      </c>
      <c r="AG2674">
        <v>-1.111880697683</v>
      </c>
      <c r="AH2674">
        <v>17.145355854005398</v>
      </c>
      <c r="AI2674">
        <v>93.459559043888305</v>
      </c>
      <c r="AJ2674">
        <v>111.217715171248</v>
      </c>
      <c r="AK2674">
        <v>18.425700268943501</v>
      </c>
      <c r="AL2674">
        <v>91.643870056978997</v>
      </c>
      <c r="AM2674">
        <v>87.165815676300895</v>
      </c>
      <c r="AN2674">
        <v>1.0000000391989901</v>
      </c>
    </row>
    <row r="2675" spans="1:40" x14ac:dyDescent="0.25">
      <c r="A2675" t="str">
        <f>"20190312161319321"</f>
        <v>20190312161319321</v>
      </c>
      <c r="B2675" t="str">
        <f>"1552378399318722"</f>
        <v>1552378399318722</v>
      </c>
      <c r="C2675" t="s">
        <v>40</v>
      </c>
      <c r="D2675">
        <v>5.8098839999999896</v>
      </c>
      <c r="E2675">
        <v>0.33275359999999998</v>
      </c>
      <c r="F2675" t="s">
        <v>63</v>
      </c>
      <c r="G2675">
        <v>-476.15170000000001</v>
      </c>
      <c r="H2675" s="1">
        <v>3.3259650000000001E-6</v>
      </c>
      <c r="I2675">
        <v>216.80179999999999</v>
      </c>
      <c r="J2675">
        <v>-488.4787</v>
      </c>
      <c r="K2675">
        <v>1.111899</v>
      </c>
      <c r="L2675">
        <v>230.47479999999999</v>
      </c>
      <c r="M2675">
        <v>0.3556551</v>
      </c>
      <c r="N2675">
        <v>0</v>
      </c>
      <c r="O2675">
        <v>-0.93452159999999995</v>
      </c>
      <c r="P2675">
        <v>0.30877919999999998</v>
      </c>
      <c r="Q2675">
        <v>-4.2209669999999998E-2</v>
      </c>
      <c r="R2675">
        <v>-0.95019679999999995</v>
      </c>
      <c r="S2675">
        <v>2.1896059999999999</v>
      </c>
      <c r="T2675">
        <v>-0.1966542</v>
      </c>
      <c r="U2675">
        <v>-2.4412989999999999</v>
      </c>
      <c r="V2675">
        <v>4.9502919999999999E-2</v>
      </c>
      <c r="W2675">
        <v>-2.8651860000000001E-2</v>
      </c>
      <c r="X2675">
        <v>0.99836290000000005</v>
      </c>
      <c r="Y2675">
        <v>-0.35797760000000001</v>
      </c>
      <c r="Z2675">
        <v>5.9897590000000001E-2</v>
      </c>
      <c r="AA2675">
        <v>0.93180700000000005</v>
      </c>
      <c r="AB2675">
        <v>17</v>
      </c>
      <c r="AC2675">
        <v>12.3269999999999</v>
      </c>
      <c r="AD2675">
        <v>-1.1118956740349999</v>
      </c>
      <c r="AE2675">
        <v>-13.673</v>
      </c>
      <c r="AF2675">
        <v>-6.6333726718260104</v>
      </c>
      <c r="AG2675">
        <v>-1.1118956740349999</v>
      </c>
      <c r="AH2675">
        <v>17.1010252769657</v>
      </c>
      <c r="AI2675">
        <v>93.468945107528498</v>
      </c>
      <c r="AJ2675">
        <v>111.20093806958999</v>
      </c>
      <c r="AK2675">
        <v>18.376153311198902</v>
      </c>
      <c r="AL2675">
        <v>91.641855389087297</v>
      </c>
      <c r="AM2675">
        <v>87.161365491616706</v>
      </c>
      <c r="AN2675">
        <v>0.99999997413319697</v>
      </c>
    </row>
    <row r="2676" spans="1:40" x14ac:dyDescent="0.25">
      <c r="A2676" t="str">
        <f>"20190312161319336"</f>
        <v>20190312161319336</v>
      </c>
      <c r="B2676" t="str">
        <f>"1552378399328482"</f>
        <v>1552378399328482</v>
      </c>
      <c r="C2676" t="s">
        <v>40</v>
      </c>
      <c r="D2676">
        <v>5.3243900000000002</v>
      </c>
      <c r="E2676">
        <v>0.33264680000000002</v>
      </c>
      <c r="F2676" t="s">
        <v>63</v>
      </c>
      <c r="G2676">
        <v>-476.03440000000001</v>
      </c>
      <c r="H2676" s="1">
        <v>3.3730889999999999E-6</v>
      </c>
      <c r="I2676">
        <v>216.6902</v>
      </c>
      <c r="J2676">
        <v>-488.44080000000002</v>
      </c>
      <c r="K2676">
        <v>1.111909</v>
      </c>
      <c r="L2676">
        <v>230.38249999999999</v>
      </c>
      <c r="M2676">
        <v>0.35775559999999901</v>
      </c>
      <c r="N2676">
        <v>0</v>
      </c>
      <c r="O2676">
        <v>-0.93371930000000003</v>
      </c>
      <c r="P2676">
        <v>0.31087589999999998</v>
      </c>
      <c r="Q2676">
        <v>-4.2394559999999998E-2</v>
      </c>
      <c r="R2676">
        <v>-0.94950469999999998</v>
      </c>
      <c r="S2676">
        <v>2.1976619999999998</v>
      </c>
      <c r="T2676">
        <v>-0.1963607</v>
      </c>
      <c r="U2676">
        <v>-2.4343569999999999</v>
      </c>
      <c r="V2676">
        <v>4.9542509999999998E-2</v>
      </c>
      <c r="W2676">
        <v>-2.8835309999999999E-2</v>
      </c>
      <c r="X2676">
        <v>0.99835569999999896</v>
      </c>
      <c r="Y2676">
        <v>-0.3589038</v>
      </c>
      <c r="Z2676">
        <v>5.979073E-2</v>
      </c>
      <c r="AA2676">
        <v>0.93145750000000005</v>
      </c>
      <c r="AB2676">
        <v>17</v>
      </c>
      <c r="AC2676">
        <v>12.4064</v>
      </c>
      <c r="AD2676">
        <v>-1.1119056269109999</v>
      </c>
      <c r="AE2676">
        <v>-13.6922999999999</v>
      </c>
      <c r="AF2676">
        <v>-6.6620712834153197</v>
      </c>
      <c r="AG2676">
        <v>-1.1119056269109999</v>
      </c>
      <c r="AH2676">
        <v>17.1626147597872</v>
      </c>
      <c r="AI2676">
        <v>93.456231810504804</v>
      </c>
      <c r="AJ2676">
        <v>111.21488994783</v>
      </c>
      <c r="AK2676">
        <v>18.443830223175699</v>
      </c>
      <c r="AL2676">
        <v>91.652370569757593</v>
      </c>
      <c r="AM2676">
        <v>87.159078554297096</v>
      </c>
      <c r="AN2676">
        <v>1.00000001956119</v>
      </c>
    </row>
    <row r="2677" spans="1:40" x14ac:dyDescent="0.25">
      <c r="A2677" t="str">
        <f>"20190312161319356"</f>
        <v>20190312161319356</v>
      </c>
      <c r="B2677" t="str">
        <f>"1552378399348002"</f>
        <v>1552378399348002</v>
      </c>
      <c r="C2677" t="s">
        <v>40</v>
      </c>
      <c r="D2677">
        <v>5.7753069999999997</v>
      </c>
      <c r="E2677">
        <v>0.33257910000000002</v>
      </c>
      <c r="F2677" t="s">
        <v>63</v>
      </c>
      <c r="G2677">
        <v>-475.97149999999999</v>
      </c>
      <c r="H2677" s="1">
        <v>3.3987729999999999E-6</v>
      </c>
      <c r="I2677">
        <v>216.6396</v>
      </c>
      <c r="J2677">
        <v>-488.38170000000002</v>
      </c>
      <c r="K2677">
        <v>1.1119300000000001</v>
      </c>
      <c r="L2677">
        <v>230.24</v>
      </c>
      <c r="M2677">
        <v>0.36103150000000001</v>
      </c>
      <c r="N2677">
        <v>0</v>
      </c>
      <c r="O2677">
        <v>-0.93245750000000005</v>
      </c>
      <c r="P2677">
        <v>0.31471519999999997</v>
      </c>
      <c r="Q2677">
        <v>-4.2349310000000001E-2</v>
      </c>
      <c r="R2677">
        <v>-0.948241</v>
      </c>
      <c r="S2677">
        <v>2.2040099999999998</v>
      </c>
      <c r="T2677">
        <v>-0.19653480000000001</v>
      </c>
      <c r="U2677">
        <v>-2.4291230000000001</v>
      </c>
      <c r="V2677">
        <v>4.900993E-2</v>
      </c>
      <c r="W2677">
        <v>-2.8789579999999999E-2</v>
      </c>
      <c r="X2677">
        <v>0.99838329999999997</v>
      </c>
      <c r="Y2677">
        <v>-0.35796099999999997</v>
      </c>
      <c r="Z2677">
        <v>5.9786430000000002E-2</v>
      </c>
      <c r="AA2677">
        <v>0.93182050000000005</v>
      </c>
      <c r="AB2677">
        <v>17</v>
      </c>
      <c r="AC2677">
        <v>12.4102</v>
      </c>
      <c r="AD2677">
        <v>-1.1119266012269999</v>
      </c>
      <c r="AE2677">
        <v>-13.6004</v>
      </c>
      <c r="AF2677">
        <v>-6.6381968686151298</v>
      </c>
      <c r="AG2677">
        <v>-1.1119266012269999</v>
      </c>
      <c r="AH2677">
        <v>17.101432335177801</v>
      </c>
      <c r="AI2677">
        <v>93.4686405618273</v>
      </c>
      <c r="AJ2677">
        <v>111.21452592828599</v>
      </c>
      <c r="AK2677">
        <v>18.3782759351271</v>
      </c>
      <c r="AL2677">
        <v>91.649749355677997</v>
      </c>
      <c r="AM2677">
        <v>87.1896466869389</v>
      </c>
      <c r="AN2677">
        <v>1.0000000134370299</v>
      </c>
    </row>
    <row r="2678" spans="1:40" x14ac:dyDescent="0.25">
      <c r="A2678" t="str">
        <f>"20190312161319370"</f>
        <v>20190312161319370</v>
      </c>
      <c r="B2678" t="str">
        <f>"1552378399358738"</f>
        <v>1552378399358738</v>
      </c>
      <c r="C2678" t="s">
        <v>40</v>
      </c>
      <c r="D2678">
        <v>5.7961390000000002</v>
      </c>
      <c r="E2678">
        <v>0.332518599999999</v>
      </c>
      <c r="F2678" t="s">
        <v>63</v>
      </c>
      <c r="G2678">
        <v>-475.82299999999998</v>
      </c>
      <c r="H2678" s="1">
        <v>3.4591270000000002E-6</v>
      </c>
      <c r="I2678">
        <v>216.5136</v>
      </c>
      <c r="J2678">
        <v>-488.34449999999998</v>
      </c>
      <c r="K2678">
        <v>1.1119399999999999</v>
      </c>
      <c r="L2678">
        <v>230.15090000000001</v>
      </c>
      <c r="M2678">
        <v>0.36309449999999999</v>
      </c>
      <c r="N2678">
        <v>0</v>
      </c>
      <c r="O2678">
        <v>-0.93165640000000005</v>
      </c>
      <c r="P2678">
        <v>0.3172372</v>
      </c>
      <c r="Q2678">
        <v>-4.1950439999999999E-2</v>
      </c>
      <c r="R2678">
        <v>-0.94741799999999998</v>
      </c>
      <c r="S2678">
        <v>2.2142330000000001</v>
      </c>
      <c r="T2678">
        <v>-0.19604379999999999</v>
      </c>
      <c r="U2678">
        <v>-2.420105</v>
      </c>
      <c r="V2678">
        <v>4.8568849999999997E-2</v>
      </c>
      <c r="W2678">
        <v>-2.839061E-2</v>
      </c>
      <c r="X2678">
        <v>0.99841619999999998</v>
      </c>
      <c r="Y2678">
        <v>-0.35977290000000001</v>
      </c>
      <c r="Z2678">
        <v>5.9630460000000003E-2</v>
      </c>
      <c r="AA2678">
        <v>0.93113250000000003</v>
      </c>
      <c r="AB2678">
        <v>17</v>
      </c>
      <c r="AC2678">
        <v>12.5214999999999</v>
      </c>
      <c r="AD2678">
        <v>-1.111936540873</v>
      </c>
      <c r="AE2678">
        <v>-13.6373</v>
      </c>
      <c r="AF2678">
        <v>-6.6905731554914896</v>
      </c>
      <c r="AG2678">
        <v>-1.111936540873</v>
      </c>
      <c r="AH2678">
        <v>17.1912958872093</v>
      </c>
      <c r="AI2678">
        <v>93.449401124290006</v>
      </c>
      <c r="AJ2678">
        <v>111.265179432305</v>
      </c>
      <c r="AK2678">
        <v>18.4808232041078</v>
      </c>
      <c r="AL2678">
        <v>91.626880839414298</v>
      </c>
      <c r="AM2678">
        <v>87.214990956738404</v>
      </c>
      <c r="AN2678">
        <v>0.99999993417446498</v>
      </c>
    </row>
    <row r="2679" spans="1:40" x14ac:dyDescent="0.25">
      <c r="A2679" t="str">
        <f>"20190312161319771"</f>
        <v>20190312161319771</v>
      </c>
      <c r="B2679" t="str">
        <f>"1552378399768065"</f>
        <v>1552378399768065</v>
      </c>
      <c r="C2679" t="s">
        <v>40</v>
      </c>
      <c r="D2679">
        <v>5.6215679999999999</v>
      </c>
      <c r="E2679">
        <v>0.37703979999999998</v>
      </c>
      <c r="F2679" t="s">
        <v>63</v>
      </c>
      <c r="G2679">
        <v>-475.65589999999997</v>
      </c>
      <c r="H2679" s="1">
        <v>3.5264989999999998E-6</v>
      </c>
      <c r="I2679">
        <v>216.36</v>
      </c>
      <c r="J2679">
        <v>-487.13130000000001</v>
      </c>
      <c r="K2679">
        <v>1.1120570000000001</v>
      </c>
      <c r="L2679">
        <v>227.5335</v>
      </c>
      <c r="M2679">
        <v>0.4284326</v>
      </c>
      <c r="N2679">
        <v>0</v>
      </c>
      <c r="O2679">
        <v>-0.90347489999999997</v>
      </c>
      <c r="P2679">
        <v>0.38549410000000001</v>
      </c>
      <c r="Q2679">
        <v>-4.0723750000000003E-2</v>
      </c>
      <c r="R2679">
        <v>-0.92181159999999995</v>
      </c>
      <c r="S2679">
        <v>2.2211609999999999</v>
      </c>
      <c r="T2679">
        <v>-0.19464680000000001</v>
      </c>
      <c r="U2679">
        <v>-2.4141240000000002</v>
      </c>
      <c r="V2679">
        <v>4.6773439999999999E-2</v>
      </c>
      <c r="W2679">
        <v>-2.716265E-2</v>
      </c>
      <c r="X2679">
        <v>0.99853619999999998</v>
      </c>
      <c r="Y2679">
        <v>-0.29525319999999999</v>
      </c>
      <c r="Z2679">
        <v>5.7363259999999999E-2</v>
      </c>
      <c r="AA2679">
        <v>0.95369539999999997</v>
      </c>
      <c r="AB2679">
        <v>16</v>
      </c>
      <c r="AC2679">
        <v>11.4754</v>
      </c>
      <c r="AD2679">
        <v>-1.1120534735009999</v>
      </c>
      <c r="AE2679">
        <v>-11.173499999999899</v>
      </c>
      <c r="AF2679">
        <v>-5.5543667378116099</v>
      </c>
      <c r="AG2679">
        <v>-1.1120534735009999</v>
      </c>
      <c r="AH2679">
        <v>14.9407283010389</v>
      </c>
      <c r="AI2679">
        <v>93.990828364361306</v>
      </c>
      <c r="AJ2679">
        <v>110.393126040326</v>
      </c>
      <c r="AK2679">
        <v>15.9785172951529</v>
      </c>
      <c r="AL2679">
        <v>91.556496561842394</v>
      </c>
      <c r="AM2679">
        <v>87.318111039693704</v>
      </c>
      <c r="AN2679">
        <v>1.00000005347744</v>
      </c>
    </row>
    <row r="2680" spans="1:40" x14ac:dyDescent="0.25">
      <c r="A2680" t="str">
        <f>"20190312161319791"</f>
        <v>20190312161319791</v>
      </c>
      <c r="B2680" t="str">
        <f>"1552378399788561"</f>
        <v>1552378399788561</v>
      </c>
      <c r="C2680" t="s">
        <v>40</v>
      </c>
      <c r="D2680">
        <v>5.7392719999999997</v>
      </c>
      <c r="E2680">
        <v>0.37687619999999999</v>
      </c>
      <c r="F2680" t="s">
        <v>63</v>
      </c>
      <c r="G2680">
        <v>-480.42399999999998</v>
      </c>
      <c r="H2680" s="1">
        <v>1.8901609999999999E-6</v>
      </c>
      <c r="I2680">
        <v>219.82579999999999</v>
      </c>
      <c r="J2680">
        <v>-487.06650000000002</v>
      </c>
      <c r="K2680">
        <v>1.112058</v>
      </c>
      <c r="L2680">
        <v>227.40700000000001</v>
      </c>
      <c r="M2680">
        <v>0.43178569999999999</v>
      </c>
      <c r="N2680">
        <v>0</v>
      </c>
      <c r="O2680">
        <v>-0.90187700000000004</v>
      </c>
      <c r="P2680">
        <v>0.3892468</v>
      </c>
      <c r="Q2680">
        <v>-4.0687429999999997E-2</v>
      </c>
      <c r="R2680">
        <v>-0.92023449999999996</v>
      </c>
      <c r="S2680">
        <v>2.0667420000000001</v>
      </c>
      <c r="T2680">
        <v>-0.34266079999999999</v>
      </c>
      <c r="U2680">
        <v>-2.3750149999999999</v>
      </c>
      <c r="V2680">
        <v>4.6414789999999997E-2</v>
      </c>
      <c r="W2680">
        <v>-2.7128119999999999E-2</v>
      </c>
      <c r="X2680">
        <v>0.99855380000000005</v>
      </c>
      <c r="Y2680">
        <v>-0.2624455</v>
      </c>
      <c r="Z2680">
        <v>0.1039086</v>
      </c>
      <c r="AA2680">
        <v>0.95933590000000002</v>
      </c>
      <c r="AB2680">
        <v>16</v>
      </c>
      <c r="AC2680">
        <v>6.6424999999999796</v>
      </c>
      <c r="AD2680">
        <v>-1.1120561098390001</v>
      </c>
      <c r="AE2680">
        <v>-7.5812000000000204</v>
      </c>
      <c r="AF2680">
        <v>-2.6848270507143801</v>
      </c>
      <c r="AG2680">
        <v>-1.1120561098390001</v>
      </c>
      <c r="AH2680">
        <v>9.5895882606005607</v>
      </c>
      <c r="AI2680">
        <v>96.371869484541193</v>
      </c>
      <c r="AJ2680">
        <v>105.640818889803</v>
      </c>
      <c r="AK2680">
        <v>10.020237925894</v>
      </c>
      <c r="AL2680">
        <v>91.554517524290503</v>
      </c>
      <c r="AM2680">
        <v>87.3386924234144</v>
      </c>
      <c r="AN2680">
        <v>0.99999997955995901</v>
      </c>
    </row>
    <row r="2681" spans="1:40" x14ac:dyDescent="0.25">
      <c r="A2681" t="str">
        <f>"20190312161319808"</f>
        <v>20190312161319808</v>
      </c>
      <c r="B2681" t="str">
        <f>"1552378399798321"</f>
        <v>1552378399798321</v>
      </c>
      <c r="C2681" t="s">
        <v>40</v>
      </c>
      <c r="D2681">
        <v>5.7812130000000002</v>
      </c>
      <c r="E2681">
        <v>0.3769882</v>
      </c>
      <c r="F2681" t="s">
        <v>63</v>
      </c>
      <c r="G2681">
        <v>-480.01249999999999</v>
      </c>
      <c r="H2681" s="1">
        <v>1.7600939999999999E-6</v>
      </c>
      <c r="I2681">
        <v>219.3699</v>
      </c>
      <c r="J2681">
        <v>-487.01319999999998</v>
      </c>
      <c r="K2681">
        <v>1.1120570000000001</v>
      </c>
      <c r="L2681">
        <v>227.304</v>
      </c>
      <c r="M2681">
        <v>0.43452259999999998</v>
      </c>
      <c r="N2681">
        <v>0</v>
      </c>
      <c r="O2681">
        <v>-0.90056179999999997</v>
      </c>
      <c r="P2681">
        <v>0.39215420000000001</v>
      </c>
      <c r="Q2681">
        <v>-4.0575449999999999E-2</v>
      </c>
      <c r="R2681">
        <v>-0.91900440000000005</v>
      </c>
      <c r="S2681">
        <v>2.0773619999999999</v>
      </c>
      <c r="T2681">
        <v>-0.32749810000000001</v>
      </c>
      <c r="U2681">
        <v>-2.3668819999999999</v>
      </c>
      <c r="V2681">
        <v>4.6292100000000003E-2</v>
      </c>
      <c r="W2681">
        <v>-2.701715E-2</v>
      </c>
      <c r="X2681">
        <v>0.99856250000000002</v>
      </c>
      <c r="Y2681">
        <v>-0.26392339999999997</v>
      </c>
      <c r="Z2681">
        <v>9.9265229999999996E-2</v>
      </c>
      <c r="AA2681">
        <v>0.9594222</v>
      </c>
      <c r="AB2681">
        <v>16</v>
      </c>
      <c r="AC2681">
        <v>7.0006999999999904</v>
      </c>
      <c r="AD2681">
        <v>-1.112055239906</v>
      </c>
      <c r="AE2681">
        <v>-7.9340999999999999</v>
      </c>
      <c r="AF2681">
        <v>-2.8260567321769998</v>
      </c>
      <c r="AG2681">
        <v>-1.112055239906</v>
      </c>
      <c r="AH2681">
        <v>10.0767155838947</v>
      </c>
      <c r="AI2681">
        <v>96.065438579916702</v>
      </c>
      <c r="AJ2681">
        <v>105.666372912768</v>
      </c>
      <c r="AK2681">
        <v>10.524422096665999</v>
      </c>
      <c r="AL2681">
        <v>91.548157086242</v>
      </c>
      <c r="AM2681">
        <v>87.345740178749594</v>
      </c>
      <c r="AN2681">
        <v>0.99999997566139098</v>
      </c>
    </row>
    <row r="2682" spans="1:40" x14ac:dyDescent="0.25">
      <c r="A2682" t="str">
        <f>"20190312161319828"</f>
        <v>20190312161319828</v>
      </c>
      <c r="B2682" t="str">
        <f>"1552378399818350"</f>
        <v>1552378399818350</v>
      </c>
      <c r="C2682" t="s">
        <v>40</v>
      </c>
      <c r="D2682">
        <v>5.8433789999999997</v>
      </c>
      <c r="E2682">
        <v>0.37743310000000002</v>
      </c>
      <c r="F2682" t="s">
        <v>63</v>
      </c>
      <c r="G2682">
        <v>-479.85629999999998</v>
      </c>
      <c r="H2682" s="1">
        <v>1.78772E-6</v>
      </c>
      <c r="I2682">
        <v>219.1952</v>
      </c>
      <c r="J2682">
        <v>-486.94869999999997</v>
      </c>
      <c r="K2682">
        <v>1.11206</v>
      </c>
      <c r="L2682">
        <v>227.18029999999999</v>
      </c>
      <c r="M2682">
        <v>0.4378243</v>
      </c>
      <c r="N2682">
        <v>0</v>
      </c>
      <c r="O2682">
        <v>-0.89896109999999896</v>
      </c>
      <c r="P2682">
        <v>0.39548689999999997</v>
      </c>
      <c r="Q2682">
        <v>-4.0160559999999998E-2</v>
      </c>
      <c r="R2682">
        <v>-0.91759369999999996</v>
      </c>
      <c r="S2682">
        <v>2.0838009999999998</v>
      </c>
      <c r="T2682">
        <v>-0.3237852</v>
      </c>
      <c r="U2682">
        <v>-2.3609309999999999</v>
      </c>
      <c r="V2682">
        <v>4.6338450000000003E-2</v>
      </c>
      <c r="W2682">
        <v>-2.660266E-2</v>
      </c>
      <c r="X2682">
        <v>0.99857149999999995</v>
      </c>
      <c r="Y2682">
        <v>-0.26314149999999997</v>
      </c>
      <c r="Z2682">
        <v>9.8020640000000006E-2</v>
      </c>
      <c r="AA2682">
        <v>0.95976479999999997</v>
      </c>
      <c r="AB2682">
        <v>16</v>
      </c>
      <c r="AC2682">
        <v>7.0923999999999898</v>
      </c>
      <c r="AD2682">
        <v>-1.11205821227999</v>
      </c>
      <c r="AE2682">
        <v>-7.9850999999999797</v>
      </c>
      <c r="AF2682">
        <v>-2.8490887813009</v>
      </c>
      <c r="AG2682">
        <v>-1.11205821227999</v>
      </c>
      <c r="AH2682">
        <v>10.174131709420401</v>
      </c>
      <c r="AI2682">
        <v>96.008458684051007</v>
      </c>
      <c r="AJ2682">
        <v>105.643979672277</v>
      </c>
      <c r="AK2682">
        <v>10.6238851834848</v>
      </c>
      <c r="AL2682">
        <v>91.5243999857652</v>
      </c>
      <c r="AM2682">
        <v>87.343110317503204</v>
      </c>
      <c r="AN2682">
        <v>0.99999999703986298</v>
      </c>
    </row>
    <row r="2683" spans="1:40" x14ac:dyDescent="0.25">
      <c r="A2683" t="str">
        <f>"20190312161319849"</f>
        <v>20190312161319849</v>
      </c>
      <c r="B2683" t="str">
        <f>"1552378399837870"</f>
        <v>1552378399837870</v>
      </c>
      <c r="C2683" t="s">
        <v>40</v>
      </c>
      <c r="D2683">
        <v>5.8081559999999897</v>
      </c>
      <c r="E2683">
        <v>0.3786909</v>
      </c>
      <c r="F2683" t="s">
        <v>63</v>
      </c>
      <c r="G2683">
        <v>-479.62360000000001</v>
      </c>
      <c r="H2683" s="1">
        <v>1.879024E-6</v>
      </c>
      <c r="I2683">
        <v>218.92320000000001</v>
      </c>
      <c r="J2683">
        <v>-486.8793</v>
      </c>
      <c r="K2683">
        <v>1.1120639999999999</v>
      </c>
      <c r="L2683">
        <v>227.04830000000001</v>
      </c>
      <c r="M2683">
        <v>0.44136510000000001</v>
      </c>
      <c r="N2683">
        <v>0</v>
      </c>
      <c r="O2683">
        <v>-0.89722769999999996</v>
      </c>
      <c r="P2683">
        <v>0.39903690000000003</v>
      </c>
      <c r="Q2683">
        <v>-4.027265E-2</v>
      </c>
      <c r="R2683">
        <v>-0.91605020000000004</v>
      </c>
      <c r="S2683">
        <v>2.0892330000000001</v>
      </c>
      <c r="T2683">
        <v>-0.31717620000000002</v>
      </c>
      <c r="U2683">
        <v>-2.355057</v>
      </c>
      <c r="V2683">
        <v>4.6407150000000001E-2</v>
      </c>
      <c r="W2683">
        <v>-2.6715019999999999E-2</v>
      </c>
      <c r="X2683">
        <v>0.99856529999999999</v>
      </c>
      <c r="Y2683">
        <v>-0.26191179999999997</v>
      </c>
      <c r="Z2683">
        <v>9.5907510000000001E-2</v>
      </c>
      <c r="AA2683">
        <v>0.96031449999999996</v>
      </c>
      <c r="AB2683">
        <v>16</v>
      </c>
      <c r="AC2683">
        <v>7.2556999999999903</v>
      </c>
      <c r="AD2683">
        <v>-1.112062120976</v>
      </c>
      <c r="AE2683">
        <v>-8.1250999999999998</v>
      </c>
      <c r="AF2683">
        <v>-2.8939809762991899</v>
      </c>
      <c r="AG2683">
        <v>-1.112062120976</v>
      </c>
      <c r="AH2683">
        <v>10.3851854803781</v>
      </c>
      <c r="AI2683">
        <v>95.889311340520393</v>
      </c>
      <c r="AJ2683">
        <v>105.57125838651299</v>
      </c>
      <c r="AK2683">
        <v>10.8380757292956</v>
      </c>
      <c r="AL2683">
        <v>91.530840043627407</v>
      </c>
      <c r="AM2683">
        <v>87.339160452133001</v>
      </c>
      <c r="AN2683">
        <v>0.99999998711440596</v>
      </c>
    </row>
    <row r="2684" spans="1:40" x14ac:dyDescent="0.25">
      <c r="A2684" t="str">
        <f>"20190312161319872"</f>
        <v>20190312161319872</v>
      </c>
      <c r="B2684" t="str">
        <f>"1552378399868125"</f>
        <v>1552378399868125</v>
      </c>
      <c r="C2684" t="s">
        <v>40</v>
      </c>
      <c r="D2684">
        <v>5.7808570000000001</v>
      </c>
      <c r="E2684">
        <v>0.37785160000000001</v>
      </c>
      <c r="F2684" t="s">
        <v>63</v>
      </c>
      <c r="G2684">
        <v>-479.62799999999999</v>
      </c>
      <c r="H2684" s="1">
        <v>1.8756009999999999E-6</v>
      </c>
      <c r="I2684">
        <v>218.8896</v>
      </c>
      <c r="J2684">
        <v>-486.80579999999998</v>
      </c>
      <c r="K2684">
        <v>1.1120719999999999</v>
      </c>
      <c r="L2684">
        <v>226.91040000000001</v>
      </c>
      <c r="M2684">
        <v>0.44508599999999998</v>
      </c>
      <c r="N2684">
        <v>0</v>
      </c>
      <c r="O2684">
        <v>-0.89538790000000001</v>
      </c>
      <c r="P2684">
        <v>0.40246490000000001</v>
      </c>
      <c r="Q2684">
        <v>-4.0295520000000001E-2</v>
      </c>
      <c r="R2684">
        <v>-0.91454820000000003</v>
      </c>
      <c r="S2684">
        <v>2.089264</v>
      </c>
      <c r="T2684">
        <v>-0.320413</v>
      </c>
      <c r="U2684">
        <v>-2.3507229999999999</v>
      </c>
      <c r="V2684">
        <v>4.6812430000000002E-2</v>
      </c>
      <c r="W2684">
        <v>-2.6736220000000002E-2</v>
      </c>
      <c r="X2684">
        <v>0.99854580000000004</v>
      </c>
      <c r="Y2684">
        <v>-0.25872479999999998</v>
      </c>
      <c r="Z2684">
        <v>9.6764420000000004E-2</v>
      </c>
      <c r="AA2684">
        <v>0.96109219999999895</v>
      </c>
      <c r="AB2684">
        <v>16</v>
      </c>
      <c r="AC2684">
        <v>7.1777999999999302</v>
      </c>
      <c r="AD2684">
        <v>-1.1120701243990001</v>
      </c>
      <c r="AE2684">
        <v>-8.0207999999999995</v>
      </c>
      <c r="AF2684">
        <v>-2.82704745010119</v>
      </c>
      <c r="AG2684">
        <v>-1.1120701243990001</v>
      </c>
      <c r="AH2684">
        <v>10.2677892456246</v>
      </c>
      <c r="AI2684">
        <v>95.961279727048407</v>
      </c>
      <c r="AJ2684">
        <v>105.393916387714</v>
      </c>
      <c r="AK2684">
        <v>10.7077725619883</v>
      </c>
      <c r="AL2684">
        <v>91.532055171541302</v>
      </c>
      <c r="AM2684">
        <v>87.315904471950006</v>
      </c>
      <c r="AN2684">
        <v>0.99999997188001599</v>
      </c>
    </row>
    <row r="2685" spans="1:40" x14ac:dyDescent="0.25">
      <c r="A2685" t="str">
        <f>"20190312161319894"</f>
        <v>20190312161319894</v>
      </c>
      <c r="B2685" t="str">
        <f>"1552378399888622"</f>
        <v>1552378399888622</v>
      </c>
      <c r="C2685" t="s">
        <v>40</v>
      </c>
      <c r="D2685">
        <v>5.7870049999999997</v>
      </c>
      <c r="E2685">
        <v>0.37773889999999999</v>
      </c>
      <c r="F2685" t="s">
        <v>63</v>
      </c>
      <c r="G2685">
        <v>-479.19740000000002</v>
      </c>
      <c r="H2685" s="1">
        <v>2.0471229999999998E-6</v>
      </c>
      <c r="I2685">
        <v>218.4442</v>
      </c>
      <c r="J2685">
        <v>-486.73020000000002</v>
      </c>
      <c r="K2685">
        <v>1.112079</v>
      </c>
      <c r="L2685">
        <v>226.7697</v>
      </c>
      <c r="M2685">
        <v>0.44890190000000002</v>
      </c>
      <c r="N2685">
        <v>0</v>
      </c>
      <c r="O2685">
        <v>-0.89348090000000002</v>
      </c>
      <c r="P2685">
        <v>0.40640039999999999</v>
      </c>
      <c r="Q2685">
        <v>-4.0386329999999998E-2</v>
      </c>
      <c r="R2685">
        <v>-0.91280220000000001</v>
      </c>
      <c r="S2685">
        <v>2.1037599999999999</v>
      </c>
      <c r="T2685">
        <v>-0.30748880000000001</v>
      </c>
      <c r="U2685">
        <v>-2.3409119999999999</v>
      </c>
      <c r="V2685">
        <v>4.6770329999999999E-2</v>
      </c>
      <c r="W2685">
        <v>-2.6826860000000001E-2</v>
      </c>
      <c r="X2685">
        <v>0.99854529999999997</v>
      </c>
      <c r="Y2685">
        <v>-0.26018439999999998</v>
      </c>
      <c r="Z2685">
        <v>9.2723299999999995E-2</v>
      </c>
      <c r="AA2685">
        <v>0.96109650000000002</v>
      </c>
      <c r="AB2685">
        <v>16</v>
      </c>
      <c r="AC2685">
        <v>7.5327999999999999</v>
      </c>
      <c r="AD2685">
        <v>-1.112076952877</v>
      </c>
      <c r="AE2685">
        <v>-8.3254999999999999</v>
      </c>
      <c r="AF2685">
        <v>-2.9642663165622301</v>
      </c>
      <c r="AG2685">
        <v>-1.112076952877</v>
      </c>
      <c r="AH2685">
        <v>10.715999718706801</v>
      </c>
      <c r="AI2685">
        <v>95.711785912873907</v>
      </c>
      <c r="AJ2685">
        <v>105.462540850793</v>
      </c>
      <c r="AK2685">
        <v>11.173908891518201</v>
      </c>
      <c r="AL2685">
        <v>91.537250388728296</v>
      </c>
      <c r="AM2685">
        <v>87.318313503559907</v>
      </c>
      <c r="AN2685">
        <v>0.99999993016892597</v>
      </c>
    </row>
    <row r="2686" spans="1:40" x14ac:dyDescent="0.25">
      <c r="A2686" t="str">
        <f>"20190312161319916"</f>
        <v>20190312161319916</v>
      </c>
      <c r="B2686" t="str">
        <f>"1552378399908142"</f>
        <v>1552378399908142</v>
      </c>
      <c r="C2686" t="s">
        <v>40</v>
      </c>
      <c r="D2686">
        <v>5.5435379999999999</v>
      </c>
      <c r="E2686">
        <v>0.37744470000000002</v>
      </c>
      <c r="F2686" t="s">
        <v>63</v>
      </c>
      <c r="G2686">
        <v>-478.97059999999999</v>
      </c>
      <c r="H2686" s="1">
        <v>2.1375439999999998E-6</v>
      </c>
      <c r="I2686">
        <v>218.2123</v>
      </c>
      <c r="J2686">
        <v>-486.65370000000001</v>
      </c>
      <c r="K2686">
        <v>1.1120810000000001</v>
      </c>
      <c r="L2686">
        <v>226.62880000000001</v>
      </c>
      <c r="M2686">
        <v>0.45274130000000001</v>
      </c>
      <c r="N2686">
        <v>0</v>
      </c>
      <c r="O2686">
        <v>-0.89154179999999905</v>
      </c>
      <c r="P2686">
        <v>0.4101592</v>
      </c>
      <c r="Q2686">
        <v>-4.0636360000000003E-2</v>
      </c>
      <c r="R2686">
        <v>-0.91110860000000005</v>
      </c>
      <c r="S2686">
        <v>2.1144099999999999</v>
      </c>
      <c r="T2686">
        <v>-0.30302810000000002</v>
      </c>
      <c r="U2686">
        <v>-2.3317869999999998</v>
      </c>
      <c r="V2686">
        <v>4.694657E-2</v>
      </c>
      <c r="W2686">
        <v>-2.707619E-2</v>
      </c>
      <c r="X2686">
        <v>0.99853040000000004</v>
      </c>
      <c r="Y2686">
        <v>-0.2604108</v>
      </c>
      <c r="Z2686">
        <v>9.1247309999999998E-2</v>
      </c>
      <c r="AA2686">
        <v>0.96117640000000004</v>
      </c>
      <c r="AB2686">
        <v>16</v>
      </c>
      <c r="AC2686">
        <v>7.68310000000002</v>
      </c>
      <c r="AD2686">
        <v>-1.1120788624560001</v>
      </c>
      <c r="AE2686">
        <v>-8.4165000000000099</v>
      </c>
      <c r="AF2686">
        <v>-3.0109063411405099</v>
      </c>
      <c r="AG2686">
        <v>-1.1120788624560001</v>
      </c>
      <c r="AH2686">
        <v>10.8794940288477</v>
      </c>
      <c r="AI2686">
        <v>95.626328398278702</v>
      </c>
      <c r="AJ2686">
        <v>105.46945863477499</v>
      </c>
      <c r="AK2686">
        <v>11.3430889406358</v>
      </c>
      <c r="AL2686">
        <v>91.551540982599803</v>
      </c>
      <c r="AM2686">
        <v>87.308183097311797</v>
      </c>
      <c r="AN2686">
        <v>1.0000000301119201</v>
      </c>
    </row>
    <row r="2687" spans="1:40" x14ac:dyDescent="0.25">
      <c r="A2687" t="str">
        <f>"20190312161319938"</f>
        <v>20190312161319938</v>
      </c>
      <c r="B2687" t="str">
        <f>"1552378399928637"</f>
        <v>1552378399928637</v>
      </c>
      <c r="C2687" t="s">
        <v>40</v>
      </c>
      <c r="D2687">
        <v>5.8072049999999997</v>
      </c>
      <c r="E2687">
        <v>0.36775590000000002</v>
      </c>
      <c r="F2687" t="s">
        <v>63</v>
      </c>
      <c r="G2687">
        <v>-478.79640000000001</v>
      </c>
      <c r="H2687" s="1">
        <v>2.207569E-6</v>
      </c>
      <c r="I2687">
        <v>218.04759999999999</v>
      </c>
      <c r="J2687">
        <v>-486.58019999999999</v>
      </c>
      <c r="K2687">
        <v>1.112085</v>
      </c>
      <c r="L2687">
        <v>226.495</v>
      </c>
      <c r="M2687">
        <v>0.4564127</v>
      </c>
      <c r="N2687">
        <v>0</v>
      </c>
      <c r="O2687">
        <v>-0.88966780000000001</v>
      </c>
      <c r="P2687">
        <v>0.41371790000000003</v>
      </c>
      <c r="Q2687">
        <v>-4.1036940000000001E-2</v>
      </c>
      <c r="R2687">
        <v>-0.90948010000000001</v>
      </c>
      <c r="S2687">
        <v>2.1261899999999998</v>
      </c>
      <c r="T2687">
        <v>-0.30093180000000003</v>
      </c>
      <c r="U2687">
        <v>-2.322098</v>
      </c>
      <c r="V2687">
        <v>4.7153260000000002E-2</v>
      </c>
      <c r="W2687">
        <v>-2.7475929999999999E-2</v>
      </c>
      <c r="X2687">
        <v>0.99850969999999994</v>
      </c>
      <c r="Y2687">
        <v>-0.26113150000000002</v>
      </c>
      <c r="Z2687">
        <v>9.0484209999999995E-2</v>
      </c>
      <c r="AA2687">
        <v>0.96105309999999999</v>
      </c>
      <c r="AB2687">
        <v>16</v>
      </c>
      <c r="AC2687">
        <v>7.7837999999999798</v>
      </c>
      <c r="AD2687">
        <v>-1.1120827924309999</v>
      </c>
      <c r="AE2687">
        <v>-8.4474000000000107</v>
      </c>
      <c r="AF2687">
        <v>-3.04126409844041</v>
      </c>
      <c r="AG2687">
        <v>-1.1120827924309999</v>
      </c>
      <c r="AH2687">
        <v>10.9662077094052</v>
      </c>
      <c r="AI2687">
        <v>95.581313124642506</v>
      </c>
      <c r="AJ2687">
        <v>105.50031800101701</v>
      </c>
      <c r="AK2687">
        <v>11.434322322704601</v>
      </c>
      <c r="AL2687">
        <v>91.574452986621694</v>
      </c>
      <c r="AM2687">
        <v>87.296293510644105</v>
      </c>
      <c r="AN2687">
        <v>0.99999998882604102</v>
      </c>
    </row>
    <row r="2688" spans="1:40" x14ac:dyDescent="0.25">
      <c r="A2688" t="str">
        <f>"20190312161320161"</f>
        <v>20190312161320161</v>
      </c>
      <c r="B2688" t="str">
        <f>"1552378400158541"</f>
        <v>1552378400158541</v>
      </c>
      <c r="C2688" t="s">
        <v>40</v>
      </c>
      <c r="D2688">
        <v>4.9422769999999998</v>
      </c>
      <c r="E2688">
        <v>0.37720559999999997</v>
      </c>
      <c r="F2688" t="s">
        <v>63</v>
      </c>
      <c r="G2688">
        <v>-475.35410000000002</v>
      </c>
      <c r="H2688" s="1">
        <v>3.5944939999999999E-6</v>
      </c>
      <c r="I2688">
        <v>214.85380000000001</v>
      </c>
      <c r="J2688">
        <v>-485.79939999999999</v>
      </c>
      <c r="K2688">
        <v>1.11216</v>
      </c>
      <c r="L2688">
        <v>225.15260000000001</v>
      </c>
      <c r="M2688">
        <v>0.4950214</v>
      </c>
      <c r="N2688">
        <v>0</v>
      </c>
      <c r="O2688">
        <v>-0.86879219999999902</v>
      </c>
      <c r="P2688">
        <v>0.45129599999999997</v>
      </c>
      <c r="Q2688">
        <v>-4.1504220000000001E-2</v>
      </c>
      <c r="R2688">
        <v>-0.89140889999999995</v>
      </c>
      <c r="S2688">
        <v>2.2044069999999998</v>
      </c>
      <c r="T2688">
        <v>-0.2183737</v>
      </c>
      <c r="U2688">
        <v>-2.2859189999999998</v>
      </c>
      <c r="V2688">
        <v>4.9332069999999999E-2</v>
      </c>
      <c r="W2688">
        <v>-2.8861580000000001E-2</v>
      </c>
      <c r="X2688">
        <v>0.99836530000000001</v>
      </c>
      <c r="Y2688">
        <v>-0.2451576</v>
      </c>
      <c r="Z2688">
        <v>6.3857250000000004E-2</v>
      </c>
      <c r="AA2688">
        <v>0.96737790000000001</v>
      </c>
      <c r="AB2688">
        <v>16</v>
      </c>
      <c r="AC2688">
        <v>10.4452999999999</v>
      </c>
      <c r="AD2688">
        <v>-1.112156405506</v>
      </c>
      <c r="AE2688">
        <v>-10.2988</v>
      </c>
      <c r="AF2688">
        <v>-3.9542440849765099</v>
      </c>
      <c r="AG2688">
        <v>-1.112156405506</v>
      </c>
      <c r="AH2688">
        <v>14.038550915983899</v>
      </c>
      <c r="AI2688">
        <v>94.360615437764096</v>
      </c>
      <c r="AJ2688">
        <v>105.730956232728</v>
      </c>
      <c r="AK2688">
        <v>14.6271613778803</v>
      </c>
      <c r="AL2688">
        <v>91.653876458267405</v>
      </c>
      <c r="AM2688">
        <v>87.171153352020596</v>
      </c>
      <c r="AN2688">
        <v>0.999999958087334</v>
      </c>
    </row>
    <row r="2689" spans="1:40" x14ac:dyDescent="0.25">
      <c r="A2689" t="str">
        <f>"20190312161320185"</f>
        <v>20190312161320185</v>
      </c>
      <c r="B2689" t="str">
        <f>"1552378400178061"</f>
        <v>1552378400178061</v>
      </c>
      <c r="C2689" t="s">
        <v>40</v>
      </c>
      <c r="D2689">
        <v>5.4709440000000003</v>
      </c>
      <c r="E2689">
        <v>0.37920710000000002</v>
      </c>
      <c r="F2689" t="s">
        <v>63</v>
      </c>
      <c r="G2689">
        <v>-479.78309999999999</v>
      </c>
      <c r="H2689" s="1">
        <v>1.819888E-6</v>
      </c>
      <c r="I2689">
        <v>219.18879999999999</v>
      </c>
      <c r="J2689">
        <v>-485.70890000000003</v>
      </c>
      <c r="K2689">
        <v>1.1121840000000001</v>
      </c>
      <c r="L2689">
        <v>225.0059</v>
      </c>
      <c r="M2689">
        <v>0.49935560000000001</v>
      </c>
      <c r="N2689">
        <v>0</v>
      </c>
      <c r="O2689">
        <v>-0.86630859999999998</v>
      </c>
      <c r="P2689">
        <v>0.45605630000000003</v>
      </c>
      <c r="Q2689">
        <v>-4.1486549999999997E-2</v>
      </c>
      <c r="R2689">
        <v>-0.88898369999999904</v>
      </c>
      <c r="S2689">
        <v>2.234467</v>
      </c>
      <c r="T2689">
        <v>-0.4130588</v>
      </c>
      <c r="U2689">
        <v>-2.2150120000000002</v>
      </c>
      <c r="V2689">
        <v>4.8982879999999999E-2</v>
      </c>
      <c r="W2689">
        <v>-2.886244E-2</v>
      </c>
      <c r="X2689">
        <v>0.99838249999999995</v>
      </c>
      <c r="Y2689">
        <v>-0.25772420000000001</v>
      </c>
      <c r="Z2689">
        <v>0.12146179999999999</v>
      </c>
      <c r="AA2689">
        <v>0.95855369999999995</v>
      </c>
      <c r="AB2689">
        <v>16</v>
      </c>
      <c r="AC2689">
        <v>5.9258000000000299</v>
      </c>
      <c r="AD2689">
        <v>-1.112182180112</v>
      </c>
      <c r="AE2689">
        <v>-5.8171000000000097</v>
      </c>
      <c r="AF2689">
        <v>-2.1896610607917499</v>
      </c>
      <c r="AG2689">
        <v>-1.112182180112</v>
      </c>
      <c r="AH2689">
        <v>7.8581330520039403</v>
      </c>
      <c r="AI2689">
        <v>97.763754362502596</v>
      </c>
      <c r="AJ2689">
        <v>105.57044316607799</v>
      </c>
      <c r="AK2689">
        <v>8.2329715064430502</v>
      </c>
      <c r="AL2689">
        <v>91.6539257009739</v>
      </c>
      <c r="AM2689">
        <v>87.191193070628898</v>
      </c>
      <c r="AN2689">
        <v>0.99999998964104897</v>
      </c>
    </row>
    <row r="2690" spans="1:40" x14ac:dyDescent="0.25">
      <c r="A2690" t="str">
        <f>"20190312161320231"</f>
        <v>20190312161320231</v>
      </c>
      <c r="B2690" t="str">
        <f>"1552378400228814"</f>
        <v>1552378400228814</v>
      </c>
      <c r="C2690" t="s">
        <v>40</v>
      </c>
      <c r="D2690">
        <v>5.4112619999999998</v>
      </c>
      <c r="E2690">
        <v>0.38244010000000001</v>
      </c>
      <c r="F2690" t="s">
        <v>63</v>
      </c>
      <c r="G2690">
        <v>-478.27730000000003</v>
      </c>
      <c r="H2690" s="1">
        <v>2.4194270000000002E-6</v>
      </c>
      <c r="I2690">
        <v>217.62710000000001</v>
      </c>
      <c r="J2690">
        <v>-485.5428</v>
      </c>
      <c r="K2690">
        <v>1.112217</v>
      </c>
      <c r="L2690">
        <v>224.74119999999999</v>
      </c>
      <c r="M2690">
        <v>0.50732239999999995</v>
      </c>
      <c r="N2690">
        <v>0</v>
      </c>
      <c r="O2690">
        <v>-0.86166790000000004</v>
      </c>
      <c r="P2690">
        <v>0.46557130000000002</v>
      </c>
      <c r="Q2690">
        <v>-4.0842820000000002E-2</v>
      </c>
      <c r="R2690">
        <v>-0.88406770000000001</v>
      </c>
      <c r="S2690">
        <v>2.230591</v>
      </c>
      <c r="T2690">
        <v>-0.33382060000000002</v>
      </c>
      <c r="U2690">
        <v>-2.214737</v>
      </c>
      <c r="V2690">
        <v>4.7487370000000001E-2</v>
      </c>
      <c r="W2690">
        <v>-2.826948E-2</v>
      </c>
      <c r="X2690">
        <v>0.99847169999999996</v>
      </c>
      <c r="Y2690">
        <v>-0.25012420000000002</v>
      </c>
      <c r="Z2690">
        <v>9.7902970000000006E-2</v>
      </c>
      <c r="AA2690">
        <v>0.96325119999999997</v>
      </c>
      <c r="AB2690">
        <v>16</v>
      </c>
      <c r="AC2690">
        <v>7.2654999999999701</v>
      </c>
      <c r="AD2690">
        <v>-1.1122145805729999</v>
      </c>
      <c r="AE2690">
        <v>-7.1140999999999703</v>
      </c>
      <c r="AF2690">
        <v>-2.6201610969427001</v>
      </c>
      <c r="AG2690">
        <v>-1.1122145805729999</v>
      </c>
      <c r="AH2690">
        <v>9.7006351650230709</v>
      </c>
      <c r="AI2690">
        <v>96.316201939429604</v>
      </c>
      <c r="AJ2690">
        <v>105.11502281752099</v>
      </c>
      <c r="AK2690">
        <v>10.109628482394999</v>
      </c>
      <c r="AL2690">
        <v>91.619937748659595</v>
      </c>
      <c r="AM2690">
        <v>87.277061337424101</v>
      </c>
      <c r="AN2690">
        <v>0.99999997475493796</v>
      </c>
    </row>
    <row r="2691" spans="1:40" x14ac:dyDescent="0.25">
      <c r="A2691" t="str">
        <f>"20190312161320254"</f>
        <v>20190312161320254</v>
      </c>
      <c r="B2691" t="str">
        <f>"1552378400248841"</f>
        <v>1552378400248841</v>
      </c>
      <c r="C2691" t="s">
        <v>40</v>
      </c>
      <c r="D2691">
        <v>5.4516049999999998</v>
      </c>
      <c r="E2691">
        <v>0.38337909999999997</v>
      </c>
      <c r="F2691" t="s">
        <v>63</v>
      </c>
      <c r="G2691">
        <v>-476.76319999999998</v>
      </c>
      <c r="H2691" s="1">
        <v>3.02229E-6</v>
      </c>
      <c r="I2691">
        <v>216.0582</v>
      </c>
      <c r="J2691">
        <v>-485.4554</v>
      </c>
      <c r="K2691">
        <v>1.112231</v>
      </c>
      <c r="L2691">
        <v>224.60409999999999</v>
      </c>
      <c r="M2691">
        <v>0.51150509999999905</v>
      </c>
      <c r="N2691">
        <v>0</v>
      </c>
      <c r="O2691">
        <v>-0.85919179999999995</v>
      </c>
      <c r="P2691">
        <v>0.47015010000000002</v>
      </c>
      <c r="Q2691">
        <v>-4.038945E-2</v>
      </c>
      <c r="R2691">
        <v>-0.88166199999999995</v>
      </c>
      <c r="S2691">
        <v>2.2303470000000001</v>
      </c>
      <c r="T2691">
        <v>-0.28254099999999999</v>
      </c>
      <c r="U2691">
        <v>-2.2057950000000002</v>
      </c>
      <c r="V2691">
        <v>4.7171879999999999E-2</v>
      </c>
      <c r="W2691">
        <v>-2.783936E-2</v>
      </c>
      <c r="X2691">
        <v>0.99849869999999996</v>
      </c>
      <c r="Y2691">
        <v>-0.2484171</v>
      </c>
      <c r="Z2691">
        <v>8.2928370000000001E-2</v>
      </c>
      <c r="AA2691">
        <v>0.96509679999999998</v>
      </c>
      <c r="AB2691">
        <v>16</v>
      </c>
      <c r="AC2691">
        <v>8.6922000000000104</v>
      </c>
      <c r="AD2691">
        <v>-1.1122279777099999</v>
      </c>
      <c r="AE2691">
        <v>-8.5458999999999801</v>
      </c>
      <c r="AF2691">
        <v>-3.0716579774693198</v>
      </c>
      <c r="AG2691">
        <v>-1.1122279777099999</v>
      </c>
      <c r="AH2691">
        <v>11.6922247813842</v>
      </c>
      <c r="AI2691">
        <v>95.256615664605903</v>
      </c>
      <c r="AJ2691">
        <v>104.719530477704</v>
      </c>
      <c r="AK2691">
        <v>12.1400269416244</v>
      </c>
      <c r="AL2691">
        <v>91.595284046706993</v>
      </c>
      <c r="AM2691">
        <v>87.295197696283793</v>
      </c>
      <c r="AN2691">
        <v>0.99999993506481399</v>
      </c>
    </row>
    <row r="2692" spans="1:40" x14ac:dyDescent="0.25">
      <c r="A2692" t="str">
        <f>"20190312161320275"</f>
        <v>20190312161320275</v>
      </c>
      <c r="B2692" t="str">
        <f>"1552378400268361"</f>
        <v>1552378400268361</v>
      </c>
      <c r="C2692" t="s">
        <v>40</v>
      </c>
      <c r="D2692">
        <v>5.453379</v>
      </c>
      <c r="E2692">
        <v>0.3842467</v>
      </c>
      <c r="F2692" t="s">
        <v>63</v>
      </c>
      <c r="G2692">
        <v>-475.82339999999999</v>
      </c>
      <c r="H2692" s="1">
        <v>3.3983000000000001E-6</v>
      </c>
      <c r="I2692">
        <v>215.12629999999999</v>
      </c>
      <c r="J2692">
        <v>-485.37529999999998</v>
      </c>
      <c r="K2692">
        <v>1.1122479999999999</v>
      </c>
      <c r="L2692">
        <v>224.47989999999999</v>
      </c>
      <c r="M2692">
        <v>0.51531549999999904</v>
      </c>
      <c r="N2692">
        <v>0</v>
      </c>
      <c r="O2692">
        <v>-0.85691219999999901</v>
      </c>
      <c r="P2692">
        <v>0.47449819999999998</v>
      </c>
      <c r="Q2692">
        <v>-3.9398229999999999E-2</v>
      </c>
      <c r="R2692">
        <v>-0.87937480000000001</v>
      </c>
      <c r="S2692">
        <v>2.2348629999999998</v>
      </c>
      <c r="T2692">
        <v>-0.25806309999999999</v>
      </c>
      <c r="U2692">
        <v>-2.1990810000000001</v>
      </c>
      <c r="V2692">
        <v>4.6693970000000001E-2</v>
      </c>
      <c r="W2692">
        <v>-2.6862830000000001E-2</v>
      </c>
      <c r="X2692">
        <v>0.99854799999999999</v>
      </c>
      <c r="Y2692">
        <v>-0.24703369999999999</v>
      </c>
      <c r="Z2692">
        <v>7.5644199999999995E-2</v>
      </c>
      <c r="AA2692">
        <v>0.96604979999999996</v>
      </c>
      <c r="AB2692">
        <v>16</v>
      </c>
      <c r="AC2692">
        <v>9.5518999999999892</v>
      </c>
      <c r="AD2692">
        <v>-1.1122446016999901</v>
      </c>
      <c r="AE2692">
        <v>-9.3536000000000001</v>
      </c>
      <c r="AF2692">
        <v>-3.3422059640811801</v>
      </c>
      <c r="AG2692">
        <v>-1.1122446016999901</v>
      </c>
      <c r="AH2692">
        <v>12.8494965896473</v>
      </c>
      <c r="AI2692">
        <v>94.788601422595207</v>
      </c>
      <c r="AJ2692">
        <v>104.579799612668</v>
      </c>
      <c r="AK2692">
        <v>13.323550253881599</v>
      </c>
      <c r="AL2692">
        <v>91.539311917536907</v>
      </c>
      <c r="AM2692">
        <v>87.322692636134207</v>
      </c>
      <c r="AN2692">
        <v>1.0000000233869799</v>
      </c>
    </row>
    <row r="2693" spans="1:40" x14ac:dyDescent="0.25">
      <c r="A2693" t="str">
        <f>"20190312161320296"</f>
        <v>20190312161320296</v>
      </c>
      <c r="B2693" t="str">
        <f>"1552378400288857"</f>
        <v>1552378400288857</v>
      </c>
      <c r="C2693" t="s">
        <v>40</v>
      </c>
      <c r="D2693">
        <v>5.2203520000000001</v>
      </c>
      <c r="E2693">
        <v>0.3848704</v>
      </c>
      <c r="F2693" t="s">
        <v>63</v>
      </c>
      <c r="G2693">
        <v>-474.9633</v>
      </c>
      <c r="H2693" s="1">
        <v>3.7430349999999999E-6</v>
      </c>
      <c r="I2693">
        <v>214.2868</v>
      </c>
      <c r="J2693">
        <v>-485.29349999999999</v>
      </c>
      <c r="K2693">
        <v>1.1122559999999999</v>
      </c>
      <c r="L2693">
        <v>224.35409999999999</v>
      </c>
      <c r="M2693">
        <v>0.51919700000000002</v>
      </c>
      <c r="N2693">
        <v>0</v>
      </c>
      <c r="O2693">
        <v>-0.85456620000000005</v>
      </c>
      <c r="P2693">
        <v>0.47870679999999999</v>
      </c>
      <c r="Q2693">
        <v>-3.9123860000000003E-2</v>
      </c>
      <c r="R2693">
        <v>-0.87710299999999997</v>
      </c>
      <c r="S2693">
        <v>2.2395019999999999</v>
      </c>
      <c r="T2693">
        <v>-0.23923</v>
      </c>
      <c r="U2693">
        <v>-2.1924130000000002</v>
      </c>
      <c r="V2693">
        <v>4.6443209999999999E-2</v>
      </c>
      <c r="W2693">
        <v>-2.6598710000000001E-2</v>
      </c>
      <c r="X2693">
        <v>0.99856670000000003</v>
      </c>
      <c r="Y2693">
        <v>-0.2454422</v>
      </c>
      <c r="Z2693">
        <v>7.0007559999999996E-2</v>
      </c>
      <c r="AA2693">
        <v>0.96688010000000002</v>
      </c>
      <c r="AB2693">
        <v>16</v>
      </c>
      <c r="AC2693">
        <v>10.3301999999999</v>
      </c>
      <c r="AD2693">
        <v>-1.112252256965</v>
      </c>
      <c r="AE2693">
        <v>-10.0672999999999</v>
      </c>
      <c r="AF2693">
        <v>-3.5799143870299099</v>
      </c>
      <c r="AG2693">
        <v>-1.112252256965</v>
      </c>
      <c r="AH2693">
        <v>13.8850803832245</v>
      </c>
      <c r="AI2693">
        <v>94.435409790454699</v>
      </c>
      <c r="AJ2693">
        <v>104.457401952531</v>
      </c>
      <c r="AK2693">
        <v>14.3822233799296</v>
      </c>
      <c r="AL2693">
        <v>91.524173645713105</v>
      </c>
      <c r="AM2693">
        <v>87.337099588499498</v>
      </c>
      <c r="AN2693">
        <v>0.99999995873882797</v>
      </c>
    </row>
    <row r="2694" spans="1:40" x14ac:dyDescent="0.25">
      <c r="A2694" t="str">
        <f>"20190312161320319"</f>
        <v>20190312161320319</v>
      </c>
      <c r="B2694" t="str">
        <f>"1552378400308376"</f>
        <v>1552378400308376</v>
      </c>
      <c r="C2694" t="s">
        <v>40</v>
      </c>
      <c r="D2694">
        <v>5.4213829999999996</v>
      </c>
      <c r="E2694">
        <v>0.38550139999999999</v>
      </c>
      <c r="F2694" t="s">
        <v>63</v>
      </c>
      <c r="G2694">
        <v>-474.2937</v>
      </c>
      <c r="H2694" s="1">
        <v>4.0121890000000002E-6</v>
      </c>
      <c r="I2694">
        <v>213.6516</v>
      </c>
      <c r="J2694">
        <v>-485.21089999999998</v>
      </c>
      <c r="K2694">
        <v>1.1122810000000001</v>
      </c>
      <c r="L2694">
        <v>224.2285</v>
      </c>
      <c r="M2694">
        <v>0.52291889999999996</v>
      </c>
      <c r="N2694">
        <v>0</v>
      </c>
      <c r="O2694">
        <v>-0.85228630000000005</v>
      </c>
      <c r="P2694">
        <v>0.4822457</v>
      </c>
      <c r="Q2694">
        <v>-3.9271199999999999E-2</v>
      </c>
      <c r="R2694">
        <v>-0.87515560000000003</v>
      </c>
      <c r="S2694">
        <v>2.245422</v>
      </c>
      <c r="T2694">
        <v>-0.22704840000000001</v>
      </c>
      <c r="U2694">
        <v>-2.1847530000000002</v>
      </c>
      <c r="V2694">
        <v>4.6755829999999998E-2</v>
      </c>
      <c r="W2694">
        <v>-2.625775E-2</v>
      </c>
      <c r="X2694">
        <v>0.99856120000000004</v>
      </c>
      <c r="Y2694">
        <v>-0.2443835</v>
      </c>
      <c r="Z2694">
        <v>6.633058E-2</v>
      </c>
      <c r="AA2694">
        <v>0.96740729999999997</v>
      </c>
      <c r="AB2694">
        <v>16</v>
      </c>
      <c r="AC2694">
        <v>10.9171999999999</v>
      </c>
      <c r="AD2694">
        <v>-1.1122769878109999</v>
      </c>
      <c r="AE2694">
        <v>-10.576899999999901</v>
      </c>
      <c r="AF2694">
        <v>-3.7539284220374198</v>
      </c>
      <c r="AG2694">
        <v>-1.1122769878109999</v>
      </c>
      <c r="AH2694">
        <v>14.646142917907801</v>
      </c>
      <c r="AI2694">
        <v>94.207406256103894</v>
      </c>
      <c r="AJ2694">
        <v>104.375914734728</v>
      </c>
      <c r="AK2694">
        <v>15.160430108251401</v>
      </c>
      <c r="AL2694">
        <v>91.504631152301201</v>
      </c>
      <c r="AM2694">
        <v>87.319186306716105</v>
      </c>
      <c r="AN2694">
        <v>1.0000000236097399</v>
      </c>
    </row>
    <row r="2695" spans="1:40" x14ac:dyDescent="0.25">
      <c r="A2695" t="str">
        <f>"20190312161320344"</f>
        <v>20190312161320344</v>
      </c>
      <c r="B2695" t="str">
        <f>"1552378400338633"</f>
        <v>1552378400338633</v>
      </c>
      <c r="C2695" t="s">
        <v>40</v>
      </c>
      <c r="D2695">
        <v>5.392525</v>
      </c>
      <c r="E2695">
        <v>0.38667859999999998</v>
      </c>
      <c r="F2695" t="s">
        <v>63</v>
      </c>
      <c r="G2695">
        <v>-473.65350000000001</v>
      </c>
      <c r="H2695" s="1">
        <v>4.2692149999999999E-6</v>
      </c>
      <c r="I2695">
        <v>213.03649999999999</v>
      </c>
      <c r="J2695">
        <v>-485.1223</v>
      </c>
      <c r="K2695">
        <v>1.11232999999999</v>
      </c>
      <c r="L2695">
        <v>224.09460000000001</v>
      </c>
      <c r="M2695">
        <v>0.52653749999999999</v>
      </c>
      <c r="N2695">
        <v>0</v>
      </c>
      <c r="O2695">
        <v>-0.85003200000000001</v>
      </c>
      <c r="P2695">
        <v>0.4851008</v>
      </c>
      <c r="Q2695">
        <v>-4.0554159999999999E-2</v>
      </c>
      <c r="R2695">
        <v>-0.87351749999999995</v>
      </c>
      <c r="S2695">
        <v>2.249695</v>
      </c>
      <c r="T2695">
        <v>-0.21650929999999999</v>
      </c>
      <c r="U2695">
        <v>-2.1785739999999998</v>
      </c>
      <c r="V2695">
        <v>4.7699569999999997E-2</v>
      </c>
      <c r="W2695">
        <v>-2.609305E-2</v>
      </c>
      <c r="X2695">
        <v>0.99852090000000004</v>
      </c>
      <c r="Y2695">
        <v>-0.24270749999999999</v>
      </c>
      <c r="Z2695">
        <v>6.3134079999999995E-2</v>
      </c>
      <c r="AA2695">
        <v>0.96804299999999999</v>
      </c>
      <c r="AB2695">
        <v>16</v>
      </c>
      <c r="AC2695">
        <v>11.4687999999999</v>
      </c>
      <c r="AD2695">
        <v>-1.1123257307850001</v>
      </c>
      <c r="AE2695">
        <v>-11.0581</v>
      </c>
      <c r="AF2695">
        <v>-3.9076941588587299</v>
      </c>
      <c r="AG2695">
        <v>-1.1123257307850001</v>
      </c>
      <c r="AH2695">
        <v>15.3651656466724</v>
      </c>
      <c r="AI2695">
        <v>94.013255959492795</v>
      </c>
      <c r="AJ2695">
        <v>104.26905190389</v>
      </c>
      <c r="AK2695">
        <v>15.893258241160799</v>
      </c>
      <c r="AL2695">
        <v>91.495191275726597</v>
      </c>
      <c r="AM2695">
        <v>87.265046728184103</v>
      </c>
      <c r="AN2695">
        <v>1.0000000419866399</v>
      </c>
    </row>
    <row r="2696" spans="1:40" x14ac:dyDescent="0.25">
      <c r="A2696" t="str">
        <f>"20190312161320364"</f>
        <v>20190312161320364</v>
      </c>
      <c r="B2696" t="str">
        <f>"1552378400358659"</f>
        <v>1552378400358659</v>
      </c>
      <c r="C2696" t="s">
        <v>40</v>
      </c>
      <c r="D2696">
        <v>5.5016679999999996</v>
      </c>
      <c r="E2696">
        <v>0.3859686</v>
      </c>
      <c r="F2696" t="s">
        <v>63</v>
      </c>
      <c r="G2696">
        <v>-473.23149999999998</v>
      </c>
      <c r="H2696" s="1">
        <v>4.4366349999999999E-6</v>
      </c>
      <c r="I2696">
        <v>212.58519999999999</v>
      </c>
      <c r="J2696">
        <v>-485.04790000000003</v>
      </c>
      <c r="K2696">
        <v>1.112366</v>
      </c>
      <c r="L2696">
        <v>223.98249999999999</v>
      </c>
      <c r="M2696">
        <v>0.52932780000000001</v>
      </c>
      <c r="N2696">
        <v>0</v>
      </c>
      <c r="O2696">
        <v>-0.84826889999999999</v>
      </c>
      <c r="P2696">
        <v>0.48748130000000001</v>
      </c>
      <c r="Q2696">
        <v>-4.2086940000000003E-2</v>
      </c>
      <c r="R2696">
        <v>-0.87211870000000002</v>
      </c>
      <c r="S2696">
        <v>2.2481990000000001</v>
      </c>
      <c r="T2696">
        <v>-0.2103072</v>
      </c>
      <c r="U2696">
        <v>-2.1760860000000002</v>
      </c>
      <c r="V2696">
        <v>4.8213369999999998E-2</v>
      </c>
      <c r="W2696">
        <v>-2.6075359999999999E-2</v>
      </c>
      <c r="X2696">
        <v>0.99849670000000001</v>
      </c>
      <c r="Y2696">
        <v>-0.2398313</v>
      </c>
      <c r="Z2696">
        <v>6.1240099999999999E-2</v>
      </c>
      <c r="AA2696">
        <v>0.96888110000000005</v>
      </c>
      <c r="AB2696">
        <v>15</v>
      </c>
      <c r="AC2696">
        <v>11.8164</v>
      </c>
      <c r="AD2696">
        <v>-1.1123615633649999</v>
      </c>
      <c r="AE2696">
        <v>-11.3973</v>
      </c>
      <c r="AF2696">
        <v>-3.9728410524773401</v>
      </c>
      <c r="AG2696">
        <v>-1.1123615633649999</v>
      </c>
      <c r="AH2696">
        <v>15.851956705532301</v>
      </c>
      <c r="AI2696">
        <v>93.893931581950696</v>
      </c>
      <c r="AJ2696">
        <v>104.069752833382</v>
      </c>
      <c r="AK2696">
        <v>16.380028866579298</v>
      </c>
      <c r="AL2696">
        <v>91.494177346489806</v>
      </c>
      <c r="AM2696">
        <v>87.235565504049106</v>
      </c>
      <c r="AN2696">
        <v>1.00000005667838</v>
      </c>
    </row>
    <row r="2697" spans="1:40" x14ac:dyDescent="0.25">
      <c r="A2697" t="str">
        <f>"20190312161320385"</f>
        <v>20190312161320385</v>
      </c>
      <c r="B2697" t="str">
        <f>"1552378400378179"</f>
        <v>1552378400378179</v>
      </c>
      <c r="C2697" t="s">
        <v>40</v>
      </c>
      <c r="D2697">
        <v>5.3692900000000003</v>
      </c>
      <c r="E2697">
        <v>0.33234449999999999</v>
      </c>
      <c r="F2697" t="s">
        <v>63</v>
      </c>
      <c r="G2697">
        <v>-473.12060000000002</v>
      </c>
      <c r="H2697" s="1">
        <v>4.4837419999999998E-6</v>
      </c>
      <c r="I2697">
        <v>212.53800000000001</v>
      </c>
      <c r="J2697">
        <v>-484.96800000000002</v>
      </c>
      <c r="K2697">
        <v>1.112452</v>
      </c>
      <c r="L2697">
        <v>223.86259999999999</v>
      </c>
      <c r="M2697">
        <v>0.53202329999999998</v>
      </c>
      <c r="N2697">
        <v>0</v>
      </c>
      <c r="O2697">
        <v>-0.84654479999999999</v>
      </c>
      <c r="P2697">
        <v>0.4892707</v>
      </c>
      <c r="Q2697">
        <v>-4.4504090000000003E-2</v>
      </c>
      <c r="R2697">
        <v>-0.87099599999999899</v>
      </c>
      <c r="S2697">
        <v>2.258667</v>
      </c>
      <c r="T2697">
        <v>-0.21064820000000001</v>
      </c>
      <c r="U2697">
        <v>-2.167252</v>
      </c>
      <c r="V2697">
        <v>4.9279249999999997E-2</v>
      </c>
      <c r="W2697">
        <v>-2.6698900000000001E-2</v>
      </c>
      <c r="X2697">
        <v>0.99842810000000004</v>
      </c>
      <c r="Y2697">
        <v>-0.2409413</v>
      </c>
      <c r="Z2697">
        <v>6.1240620000000003E-2</v>
      </c>
      <c r="AA2697">
        <v>0.96860559999999996</v>
      </c>
      <c r="AB2697">
        <v>15</v>
      </c>
      <c r="AC2697">
        <v>11.847399999999899</v>
      </c>
      <c r="AD2697">
        <v>-1.1124475162580001</v>
      </c>
      <c r="AE2697">
        <v>-11.3246</v>
      </c>
      <c r="AF2697">
        <v>-3.9866633348321101</v>
      </c>
      <c r="AG2697">
        <v>-1.1124475162580001</v>
      </c>
      <c r="AH2697">
        <v>15.819478148125301</v>
      </c>
      <c r="AI2697">
        <v>93.900925579336402</v>
      </c>
      <c r="AJ2697">
        <v>104.144570814556</v>
      </c>
      <c r="AK2697">
        <v>16.351969694832999</v>
      </c>
      <c r="AL2697">
        <v>91.529916127217504</v>
      </c>
      <c r="AM2697">
        <v>87.174354747938807</v>
      </c>
      <c r="AN2697">
        <v>0.99999997330569002</v>
      </c>
    </row>
    <row r="2698" spans="1:40" x14ac:dyDescent="0.25">
      <c r="A2698" t="str">
        <f>"20190312161320407"</f>
        <v>20190312161320407</v>
      </c>
      <c r="B2698" t="str">
        <f>"1552378400398675"</f>
        <v>1552378400398675</v>
      </c>
      <c r="C2698" t="s">
        <v>40</v>
      </c>
      <c r="D2698">
        <v>5.3973699999999996</v>
      </c>
      <c r="E2698">
        <v>0.33136529999999997</v>
      </c>
      <c r="F2698" t="s">
        <v>41</v>
      </c>
      <c r="G2698">
        <v>-454.41590000000002</v>
      </c>
      <c r="H2698">
        <v>-0.05</v>
      </c>
      <c r="I2698">
        <v>201.13470000000001</v>
      </c>
      <c r="J2698">
        <v>-484.89260000000002</v>
      </c>
      <c r="K2698">
        <v>1.112552</v>
      </c>
      <c r="L2698">
        <v>223.75</v>
      </c>
      <c r="M2698">
        <v>0.53439250000000005</v>
      </c>
      <c r="N2698">
        <v>0</v>
      </c>
      <c r="O2698">
        <v>-0.8450124</v>
      </c>
      <c r="P2698">
        <v>0.4909887</v>
      </c>
      <c r="Q2698">
        <v>-4.6450369999999998E-2</v>
      </c>
      <c r="R2698">
        <v>-0.86992689999999995</v>
      </c>
      <c r="S2698">
        <v>2.634125</v>
      </c>
      <c r="T2698">
        <v>-0.1002239</v>
      </c>
      <c r="U2698">
        <v>-1.959549</v>
      </c>
      <c r="V2698">
        <v>5.0060210000000001E-2</v>
      </c>
      <c r="W2698">
        <v>-2.6905410000000001E-2</v>
      </c>
      <c r="X2698">
        <v>0.99838380000000004</v>
      </c>
      <c r="Y2698">
        <v>-0.35870849999999999</v>
      </c>
      <c r="Z2698">
        <v>2.881767E-2</v>
      </c>
      <c r="AA2698">
        <v>0.93300470000000002</v>
      </c>
      <c r="AB2698">
        <v>15</v>
      </c>
      <c r="AC2698">
        <v>30.476699999999902</v>
      </c>
      <c r="AD2698">
        <v>-1.162552</v>
      </c>
      <c r="AE2698">
        <v>-22.615299999999898</v>
      </c>
      <c r="AF2698">
        <v>-13.657515523062401</v>
      </c>
      <c r="AG2698">
        <v>-1.162552</v>
      </c>
      <c r="AH2698">
        <v>35.370242469972702</v>
      </c>
      <c r="AI2698">
        <v>91.756235275242901</v>
      </c>
      <c r="AJ2698">
        <v>111.113075932974</v>
      </c>
      <c r="AK2698">
        <v>37.933274440786903</v>
      </c>
      <c r="AL2698">
        <v>91.541752383688802</v>
      </c>
      <c r="AM2698">
        <v>87.129522082062607</v>
      </c>
      <c r="AN2698">
        <v>1.00000006890747</v>
      </c>
    </row>
    <row r="2699" spans="1:40" x14ac:dyDescent="0.25">
      <c r="A2699" t="str">
        <f>"20190312161320432"</f>
        <v>20190312161320432</v>
      </c>
      <c r="B2699" t="str">
        <f>"1552378400428930"</f>
        <v>1552378400428930</v>
      </c>
      <c r="C2699" t="s">
        <v>40</v>
      </c>
      <c r="D2699">
        <v>5.35792</v>
      </c>
      <c r="E2699">
        <v>0.33334910000000001</v>
      </c>
      <c r="F2699" t="s">
        <v>69</v>
      </c>
      <c r="G2699">
        <v>-461.69479999999999</v>
      </c>
      <c r="H2699">
        <v>8.0001310000000006E-2</v>
      </c>
      <c r="I2699">
        <v>206.6514</v>
      </c>
      <c r="J2699">
        <v>-484.81150000000002</v>
      </c>
      <c r="K2699">
        <v>1.1127180000000001</v>
      </c>
      <c r="L2699">
        <v>223.62950000000001</v>
      </c>
      <c r="M2699">
        <v>0.53713449999999996</v>
      </c>
      <c r="N2699">
        <v>0</v>
      </c>
      <c r="O2699">
        <v>-0.84322849999999905</v>
      </c>
      <c r="P2699">
        <v>0.49347970000000002</v>
      </c>
      <c r="Q2699">
        <v>-4.814123E-2</v>
      </c>
      <c r="R2699">
        <v>-0.86842419999999998</v>
      </c>
      <c r="S2699">
        <v>2.6448670000000001</v>
      </c>
      <c r="T2699">
        <v>-0.11772440000000001</v>
      </c>
      <c r="U2699">
        <v>-1.9494629999999999</v>
      </c>
      <c r="V2699">
        <v>5.0412409999999998E-2</v>
      </c>
      <c r="W2699">
        <v>-2.6808470000000001E-2</v>
      </c>
      <c r="X2699">
        <v>0.99836860000000005</v>
      </c>
      <c r="Y2699">
        <v>-0.359628</v>
      </c>
      <c r="Z2699">
        <v>3.3783229999999997E-2</v>
      </c>
      <c r="AA2699">
        <v>0.93248399999999998</v>
      </c>
      <c r="AB2699">
        <v>14</v>
      </c>
      <c r="AC2699">
        <v>23.116700000000002</v>
      </c>
      <c r="AD2699">
        <v>-1.03271669</v>
      </c>
      <c r="AE2699">
        <v>-16.978100000000001</v>
      </c>
      <c r="AF2699">
        <v>-10.3620494893205</v>
      </c>
      <c r="AG2699">
        <v>-1.03271669</v>
      </c>
      <c r="AH2699">
        <v>26.704620614906698</v>
      </c>
      <c r="AI2699">
        <v>92.064781677222001</v>
      </c>
      <c r="AJ2699">
        <v>111.20747771659801</v>
      </c>
      <c r="AK2699">
        <v>28.6631354803873</v>
      </c>
      <c r="AL2699">
        <v>91.536196258523901</v>
      </c>
      <c r="AM2699">
        <v>87.109316952241102</v>
      </c>
      <c r="AN2699">
        <v>0.99999998330585405</v>
      </c>
    </row>
    <row r="2700" spans="1:40" x14ac:dyDescent="0.25">
      <c r="A2700" t="str">
        <f>"20190312161320455"</f>
        <v>20190312161320455</v>
      </c>
      <c r="B2700" t="str">
        <f>"1552378400448959"</f>
        <v>1552378400448959</v>
      </c>
      <c r="C2700" t="s">
        <v>40</v>
      </c>
      <c r="D2700">
        <v>5.2942030000000004</v>
      </c>
      <c r="E2700">
        <v>0.33253739999999998</v>
      </c>
      <c r="F2700" t="s">
        <v>69</v>
      </c>
      <c r="G2700">
        <v>-465.35140000000001</v>
      </c>
      <c r="H2700">
        <v>8.0001589999999997E-2</v>
      </c>
      <c r="I2700">
        <v>209.25139999999999</v>
      </c>
      <c r="J2700">
        <v>-484.73540000000003</v>
      </c>
      <c r="K2700">
        <v>1.1129549999999999</v>
      </c>
      <c r="L2700">
        <v>223.51759999999999</v>
      </c>
      <c r="M2700">
        <v>0.54042900000000005</v>
      </c>
      <c r="N2700">
        <v>0</v>
      </c>
      <c r="O2700">
        <v>-0.84109529999999999</v>
      </c>
      <c r="P2700">
        <v>0.4970599</v>
      </c>
      <c r="Q2700">
        <v>-4.9365359999999997E-2</v>
      </c>
      <c r="R2700">
        <v>-0.86631100000000005</v>
      </c>
      <c r="S2700">
        <v>2.6369630000000002</v>
      </c>
      <c r="T2700">
        <v>-0.13993929999999999</v>
      </c>
      <c r="U2700">
        <v>-1.948318</v>
      </c>
      <c r="V2700">
        <v>5.018968E-2</v>
      </c>
      <c r="W2700">
        <v>-2.701593E-2</v>
      </c>
      <c r="X2700">
        <v>0.99837419999999999</v>
      </c>
      <c r="Y2700">
        <v>-0.35466959999999997</v>
      </c>
      <c r="Z2700">
        <v>4.0108610000000003E-2</v>
      </c>
      <c r="AA2700">
        <v>0.93413100000000004</v>
      </c>
      <c r="AB2700">
        <v>13</v>
      </c>
      <c r="AC2700">
        <v>19.384</v>
      </c>
      <c r="AD2700">
        <v>-1.03295341</v>
      </c>
      <c r="AE2700">
        <v>-14.2661999999999</v>
      </c>
      <c r="AF2700">
        <v>-8.5802470617922193</v>
      </c>
      <c r="AG2700">
        <v>-1.03295341</v>
      </c>
      <c r="AH2700">
        <v>22.439143811554501</v>
      </c>
      <c r="AI2700">
        <v>92.462050350166507</v>
      </c>
      <c r="AJ2700">
        <v>110.925781391884</v>
      </c>
      <c r="AK2700">
        <v>24.0458480279705</v>
      </c>
      <c r="AL2700">
        <v>91.548087193656499</v>
      </c>
      <c r="AM2700">
        <v>87.122083044360096</v>
      </c>
      <c r="AN2700">
        <v>0.99999995383895202</v>
      </c>
    </row>
    <row r="2701" spans="1:40" x14ac:dyDescent="0.25">
      <c r="A2701" t="str">
        <f>"20190312161320475"</f>
        <v>20190312161320475</v>
      </c>
      <c r="B2701" t="str">
        <f>"1552378400468478"</f>
        <v>1552378400468478</v>
      </c>
      <c r="C2701" t="s">
        <v>40</v>
      </c>
      <c r="D2701">
        <v>5.3240270000000001</v>
      </c>
      <c r="E2701">
        <v>0.33244390000000001</v>
      </c>
      <c r="F2701" t="s">
        <v>69</v>
      </c>
      <c r="G2701">
        <v>-464.60079999999999</v>
      </c>
      <c r="H2701">
        <v>8.0000360000000006E-2</v>
      </c>
      <c r="I2701">
        <v>208.8252</v>
      </c>
      <c r="J2701">
        <v>-484.66860000000003</v>
      </c>
      <c r="K2701">
        <v>1.113127</v>
      </c>
      <c r="L2701">
        <v>223.4211</v>
      </c>
      <c r="M2701">
        <v>0.5438364</v>
      </c>
      <c r="N2701">
        <v>0</v>
      </c>
      <c r="O2701">
        <v>-0.83890209999999998</v>
      </c>
      <c r="P2701">
        <v>0.50082769999999999</v>
      </c>
      <c r="Q2701">
        <v>-4.9795319999999997E-2</v>
      </c>
      <c r="R2701">
        <v>-0.86411349999999998</v>
      </c>
      <c r="S2701">
        <v>2.650757</v>
      </c>
      <c r="T2701">
        <v>-0.1359901</v>
      </c>
      <c r="U2701">
        <v>-1.93428</v>
      </c>
      <c r="V2701">
        <v>4.9906989999999998E-2</v>
      </c>
      <c r="W2701">
        <v>-2.7620840000000001E-2</v>
      </c>
      <c r="X2701">
        <v>0.99837180000000003</v>
      </c>
      <c r="Y2701">
        <v>-0.35647109999999999</v>
      </c>
      <c r="Z2701">
        <v>3.8902310000000002E-2</v>
      </c>
      <c r="AA2701">
        <v>0.93349610000000005</v>
      </c>
      <c r="AB2701">
        <v>13</v>
      </c>
      <c r="AC2701">
        <v>20.067799999999998</v>
      </c>
      <c r="AD2701">
        <v>-1.0331266400000001</v>
      </c>
      <c r="AE2701">
        <v>-14.5959</v>
      </c>
      <c r="AF2701">
        <v>-8.8838979313615596</v>
      </c>
      <c r="AG2701">
        <v>-1.0331266400000001</v>
      </c>
      <c r="AH2701">
        <v>23.123669421415201</v>
      </c>
      <c r="AI2701">
        <v>92.388207666789</v>
      </c>
      <c r="AJ2701">
        <v>111.01630927335501</v>
      </c>
      <c r="AK2701">
        <v>24.7930450050013</v>
      </c>
      <c r="AL2701">
        <v>91.582758956073306</v>
      </c>
      <c r="AM2701">
        <v>87.138258829095406</v>
      </c>
      <c r="AN2701">
        <v>0.99999993474420001</v>
      </c>
    </row>
    <row r="2702" spans="1:40" x14ac:dyDescent="0.25">
      <c r="A2702" t="str">
        <f>"20190312161320497"</f>
        <v>20190312161320497</v>
      </c>
      <c r="B2702" t="str">
        <f>"1552378400487997"</f>
        <v>1552378400487997</v>
      </c>
      <c r="C2702" t="s">
        <v>40</v>
      </c>
      <c r="D2702">
        <v>5.2888590000000004</v>
      </c>
      <c r="E2702">
        <v>0.33250809999999997</v>
      </c>
      <c r="F2702" t="s">
        <v>69</v>
      </c>
      <c r="G2702">
        <v>-464.21809999999999</v>
      </c>
      <c r="H2702">
        <v>8.0000479999999999E-2</v>
      </c>
      <c r="I2702">
        <v>208.63849999999999</v>
      </c>
      <c r="J2702">
        <v>-484.58949999999999</v>
      </c>
      <c r="K2702">
        <v>1.11321</v>
      </c>
      <c r="L2702">
        <v>223.30930000000001</v>
      </c>
      <c r="M2702">
        <v>0.54784049999999995</v>
      </c>
      <c r="N2702">
        <v>0</v>
      </c>
      <c r="O2702">
        <v>-0.83632019999999996</v>
      </c>
      <c r="P2702">
        <v>0.50552799999999998</v>
      </c>
      <c r="Q2702">
        <v>-4.9023770000000001E-2</v>
      </c>
      <c r="R2702">
        <v>-0.86141639999999997</v>
      </c>
      <c r="S2702">
        <v>2.6596679999999999</v>
      </c>
      <c r="T2702">
        <v>-0.13436199999999901</v>
      </c>
      <c r="U2702">
        <v>-1.922531</v>
      </c>
      <c r="V2702">
        <v>4.928747E-2</v>
      </c>
      <c r="W2702">
        <v>-2.7849530000000001E-2</v>
      </c>
      <c r="X2702">
        <v>0.99839630000000001</v>
      </c>
      <c r="Y2702">
        <v>-0.3562321</v>
      </c>
      <c r="Z2702">
        <v>3.8354369999999999E-2</v>
      </c>
      <c r="AA2702">
        <v>0.93361000000000005</v>
      </c>
      <c r="AB2702">
        <v>13</v>
      </c>
      <c r="AC2702">
        <v>20.371399999999898</v>
      </c>
      <c r="AD2702">
        <v>-1.03320952</v>
      </c>
      <c r="AE2702">
        <v>-14.6708</v>
      </c>
      <c r="AF2702">
        <v>-8.9865104188344596</v>
      </c>
      <c r="AG2702">
        <v>-1.03320952</v>
      </c>
      <c r="AH2702">
        <v>23.395283921643699</v>
      </c>
      <c r="AI2702">
        <v>92.360760443338506</v>
      </c>
      <c r="AJ2702">
        <v>111.01259751111</v>
      </c>
      <c r="AK2702">
        <v>25.083145759540599</v>
      </c>
      <c r="AL2702">
        <v>91.595866848929305</v>
      </c>
      <c r="AM2702">
        <v>87.173794312779805</v>
      </c>
      <c r="AN2702">
        <v>1.0000000114369501</v>
      </c>
    </row>
    <row r="2703" spans="1:40" x14ac:dyDescent="0.25">
      <c r="A2703" t="str">
        <f>"20190312161320520"</f>
        <v>20190312161320520</v>
      </c>
      <c r="B2703" t="str">
        <f>"1552378400508494"</f>
        <v>1552378400508494</v>
      </c>
      <c r="C2703" t="s">
        <v>40</v>
      </c>
      <c r="D2703">
        <v>5.2430519999999996</v>
      </c>
      <c r="E2703">
        <v>0.33257540000000002</v>
      </c>
      <c r="F2703" t="s">
        <v>69</v>
      </c>
      <c r="G2703">
        <v>-462.87180000000001</v>
      </c>
      <c r="H2703">
        <v>8.0000909999999995E-2</v>
      </c>
      <c r="I2703">
        <v>207.78360000000001</v>
      </c>
      <c r="J2703">
        <v>-484.5129</v>
      </c>
      <c r="K2703">
        <v>1.1131450000000001</v>
      </c>
      <c r="L2703">
        <v>223.203</v>
      </c>
      <c r="M2703">
        <v>0.55151859999999997</v>
      </c>
      <c r="N2703">
        <v>0</v>
      </c>
      <c r="O2703">
        <v>-0.83392259999999996</v>
      </c>
      <c r="P2703">
        <v>0.51017959999999996</v>
      </c>
      <c r="Q2703">
        <v>-4.8322570000000002E-2</v>
      </c>
      <c r="R2703">
        <v>-0.85870949999999902</v>
      </c>
      <c r="S2703">
        <v>2.6698</v>
      </c>
      <c r="T2703">
        <v>-0.12701399999999999</v>
      </c>
      <c r="U2703">
        <v>-1.9086000000000001</v>
      </c>
      <c r="V2703">
        <v>4.8312769999999998E-2</v>
      </c>
      <c r="W2703">
        <v>-2.8072610000000001E-2</v>
      </c>
      <c r="X2703">
        <v>0.99843769999999998</v>
      </c>
      <c r="Y2703">
        <v>-0.3571049</v>
      </c>
      <c r="Z2703">
        <v>3.6201469999999999E-2</v>
      </c>
      <c r="AA2703">
        <v>0.93336249999999998</v>
      </c>
      <c r="AB2703">
        <v>14</v>
      </c>
      <c r="AC2703">
        <v>21.641099999999899</v>
      </c>
      <c r="AD2703">
        <v>-1.03314409</v>
      </c>
      <c r="AE2703">
        <v>-15.4193999999999</v>
      </c>
      <c r="AF2703">
        <v>-9.5304203112699302</v>
      </c>
      <c r="AG2703">
        <v>-1.03314409</v>
      </c>
      <c r="AH2703">
        <v>24.761588231131601</v>
      </c>
      <c r="AI2703">
        <v>92.229916436620002</v>
      </c>
      <c r="AJ2703">
        <v>111.051080650278</v>
      </c>
      <c r="AK2703">
        <v>26.552449034849602</v>
      </c>
      <c r="AL2703">
        <v>91.608653380149804</v>
      </c>
      <c r="AM2703">
        <v>87.229711585880594</v>
      </c>
      <c r="AN2703">
        <v>1.0000000179792801</v>
      </c>
    </row>
    <row r="2704" spans="1:40" x14ac:dyDescent="0.25">
      <c r="A2704" t="str">
        <f>"20190312161320541"</f>
        <v>20190312161320541</v>
      </c>
      <c r="B2704" t="str">
        <f>"1552378400538750"</f>
        <v>1552378400538750</v>
      </c>
      <c r="C2704" t="s">
        <v>40</v>
      </c>
      <c r="D2704">
        <v>5.2226900000000001</v>
      </c>
      <c r="E2704">
        <v>0.333049599999999</v>
      </c>
      <c r="F2704" t="s">
        <v>69</v>
      </c>
      <c r="G2704">
        <v>-461.80579999999998</v>
      </c>
      <c r="H2704">
        <v>8.0001260000000005E-2</v>
      </c>
      <c r="I2704">
        <v>207.14490000000001</v>
      </c>
      <c r="J2704">
        <v>-484.43729999999999</v>
      </c>
      <c r="K2704">
        <v>1.112927</v>
      </c>
      <c r="L2704">
        <v>223.09950000000001</v>
      </c>
      <c r="M2704">
        <v>0.55508190000000002</v>
      </c>
      <c r="N2704">
        <v>0</v>
      </c>
      <c r="O2704">
        <v>-0.83156989999999997</v>
      </c>
      <c r="P2704">
        <v>0.51406169999999995</v>
      </c>
      <c r="Q2704">
        <v>-4.789293E-2</v>
      </c>
      <c r="R2704">
        <v>-0.85641509999999998</v>
      </c>
      <c r="S2704">
        <v>2.6793819999999999</v>
      </c>
      <c r="T2704">
        <v>-0.1219084</v>
      </c>
      <c r="U2704">
        <v>-1.8948210000000001</v>
      </c>
      <c r="V2704">
        <v>4.8067409999999998E-2</v>
      </c>
      <c r="W2704">
        <v>-2.828427E-2</v>
      </c>
      <c r="X2704">
        <v>0.99844350000000004</v>
      </c>
      <c r="Y2704">
        <v>-0.35793909999999901</v>
      </c>
      <c r="Z2704">
        <v>3.4695940000000002E-2</v>
      </c>
      <c r="AA2704">
        <v>0.93310009999999999</v>
      </c>
      <c r="AB2704">
        <v>14</v>
      </c>
      <c r="AC2704">
        <v>22.631499999999999</v>
      </c>
      <c r="AD2704">
        <v>-1.03292574</v>
      </c>
      <c r="AE2704">
        <v>-15.954599999999999</v>
      </c>
      <c r="AF2704">
        <v>-9.9515881622054003</v>
      </c>
      <c r="AG2704">
        <v>-1.03292574</v>
      </c>
      <c r="AH2704">
        <v>25.7986534739543</v>
      </c>
      <c r="AI2704">
        <v>92.1392985026134</v>
      </c>
      <c r="AJ2704">
        <v>111.093652110796</v>
      </c>
      <c r="AK2704">
        <v>27.670770925358699</v>
      </c>
      <c r="AL2704">
        <v>91.620785533575997</v>
      </c>
      <c r="AM2704">
        <v>87.243774937872701</v>
      </c>
      <c r="AN2704">
        <v>0.99999994926289404</v>
      </c>
    </row>
    <row r="2705" spans="1:40" x14ac:dyDescent="0.25">
      <c r="A2705" t="str">
        <f>"20190312161320564"</f>
        <v>20190312161320564</v>
      </c>
      <c r="B2705" t="str">
        <f>"1552378400558776"</f>
        <v>1552378400558776</v>
      </c>
      <c r="C2705" t="s">
        <v>40</v>
      </c>
      <c r="D2705">
        <v>5.20383</v>
      </c>
      <c r="E2705">
        <v>0.33353129999999998</v>
      </c>
      <c r="F2705" t="s">
        <v>69</v>
      </c>
      <c r="G2705">
        <v>-461.5172</v>
      </c>
      <c r="H2705">
        <v>8.0001349999999999E-2</v>
      </c>
      <c r="I2705">
        <v>207.01140000000001</v>
      </c>
      <c r="J2705">
        <v>-484.35860000000002</v>
      </c>
      <c r="K2705">
        <v>1.1125480000000001</v>
      </c>
      <c r="L2705">
        <v>222.99250000000001</v>
      </c>
      <c r="M2705">
        <v>0.55896069999999998</v>
      </c>
      <c r="N2705">
        <v>0</v>
      </c>
      <c r="O2705">
        <v>-0.82897999999999905</v>
      </c>
      <c r="P2705">
        <v>0.51746610000000004</v>
      </c>
      <c r="Q2705">
        <v>-4.7594810000000001E-2</v>
      </c>
      <c r="R2705">
        <v>-0.85437909999999995</v>
      </c>
      <c r="S2705">
        <v>2.6849059999999998</v>
      </c>
      <c r="T2705">
        <v>-0.1209992</v>
      </c>
      <c r="U2705">
        <v>-1.884598</v>
      </c>
      <c r="V2705">
        <v>4.8741100000000002E-2</v>
      </c>
      <c r="W2705">
        <v>-2.8550209999999999E-2</v>
      </c>
      <c r="X2705">
        <v>0.99840329999999999</v>
      </c>
      <c r="Y2705">
        <v>-0.35687479999999999</v>
      </c>
      <c r="Z2705">
        <v>3.4370369999999997E-2</v>
      </c>
      <c r="AA2705">
        <v>0.93351969999999995</v>
      </c>
      <c r="AB2705">
        <v>14</v>
      </c>
      <c r="AC2705">
        <v>22.8414</v>
      </c>
      <c r="AD2705">
        <v>-1.03254664999999</v>
      </c>
      <c r="AE2705">
        <v>-15.9810999999999</v>
      </c>
      <c r="AF2705">
        <v>-9.9903273619458606</v>
      </c>
      <c r="AG2705">
        <v>-1.03254664999999</v>
      </c>
      <c r="AH2705">
        <v>25.9844288991277</v>
      </c>
      <c r="AI2705">
        <v>92.124140401273806</v>
      </c>
      <c r="AJ2705">
        <v>111.030434736237</v>
      </c>
      <c r="AK2705">
        <v>27.857913392734499</v>
      </c>
      <c r="AL2705">
        <v>91.636028880769203</v>
      </c>
      <c r="AM2705">
        <v>87.205093468042193</v>
      </c>
      <c r="AN2705">
        <v>0.99999997938557095</v>
      </c>
    </row>
    <row r="2706" spans="1:40" x14ac:dyDescent="0.25">
      <c r="A2706" t="str">
        <f>"20190312161320587"</f>
        <v>20190312161320587</v>
      </c>
      <c r="B2706" t="str">
        <f>"1552378400578296"</f>
        <v>1552378400578296</v>
      </c>
      <c r="C2706" t="s">
        <v>40</v>
      </c>
      <c r="D2706">
        <v>5.1660519999999996</v>
      </c>
      <c r="E2706">
        <v>0.33381529999999998</v>
      </c>
      <c r="F2706" t="s">
        <v>69</v>
      </c>
      <c r="G2706">
        <v>-461.54160000000002</v>
      </c>
      <c r="H2706">
        <v>8.0001340000000004E-2</v>
      </c>
      <c r="I2706">
        <v>207.07390000000001</v>
      </c>
      <c r="J2706">
        <v>-484.2792</v>
      </c>
      <c r="K2706">
        <v>1.1121129999999999</v>
      </c>
      <c r="L2706">
        <v>222.88480000000001</v>
      </c>
      <c r="M2706">
        <v>0.56306309999999904</v>
      </c>
      <c r="N2706">
        <v>0</v>
      </c>
      <c r="O2706">
        <v>-0.82621219999999995</v>
      </c>
      <c r="P2706">
        <v>0.52144860000000004</v>
      </c>
      <c r="Q2706">
        <v>-4.7043389999999997E-2</v>
      </c>
      <c r="R2706">
        <v>-0.85198490000000004</v>
      </c>
      <c r="S2706">
        <v>2.6888730000000001</v>
      </c>
      <c r="T2706">
        <v>-0.12168089999999999</v>
      </c>
      <c r="U2706">
        <v>-1.875931</v>
      </c>
      <c r="V2706">
        <v>4.9015250000000003E-2</v>
      </c>
      <c r="W2706">
        <v>-2.8627929999999999E-2</v>
      </c>
      <c r="X2706">
        <v>0.99838769999999999</v>
      </c>
      <c r="Y2706">
        <v>-0.35491460000000002</v>
      </c>
      <c r="Z2706">
        <v>3.4484309999999997E-2</v>
      </c>
      <c r="AA2706">
        <v>0.9342625</v>
      </c>
      <c r="AB2706">
        <v>13</v>
      </c>
      <c r="AC2706">
        <v>22.737599999999901</v>
      </c>
      <c r="AD2706">
        <v>-1.03211166</v>
      </c>
      <c r="AE2706">
        <v>-15.8109</v>
      </c>
      <c r="AF2706">
        <v>-9.8714854831636796</v>
      </c>
      <c r="AG2706">
        <v>-1.03211166</v>
      </c>
      <c r="AH2706">
        <v>25.834293261564401</v>
      </c>
      <c r="AI2706">
        <v>92.137261748481194</v>
      </c>
      <c r="AJ2706">
        <v>110.912247666081</v>
      </c>
      <c r="AK2706">
        <v>27.67529924766</v>
      </c>
      <c r="AL2706">
        <v>91.6404836527702</v>
      </c>
      <c r="AM2706">
        <v>87.189354480833003</v>
      </c>
      <c r="AN2706">
        <v>1.00000002630996</v>
      </c>
    </row>
    <row r="2707" spans="1:40" x14ac:dyDescent="0.25">
      <c r="A2707" t="str">
        <f>"20190312161320609"</f>
        <v>20190312161320609</v>
      </c>
      <c r="B2707" t="str">
        <f>"1552378400598796"</f>
        <v>1552378400598796</v>
      </c>
      <c r="C2707" t="s">
        <v>40</v>
      </c>
      <c r="D2707">
        <v>5.1166660000000004</v>
      </c>
      <c r="E2707">
        <v>0.33422669999999999</v>
      </c>
      <c r="F2707" t="s">
        <v>69</v>
      </c>
      <c r="G2707">
        <v>-461.37990000000002</v>
      </c>
      <c r="H2707">
        <v>8.0001379999999997E-2</v>
      </c>
      <c r="I2707">
        <v>207.0472</v>
      </c>
      <c r="J2707">
        <v>-484.19979999999998</v>
      </c>
      <c r="K2707">
        <v>1.111807</v>
      </c>
      <c r="L2707">
        <v>222.77760000000001</v>
      </c>
      <c r="M2707">
        <v>0.56710380000000005</v>
      </c>
      <c r="N2707">
        <v>0</v>
      </c>
      <c r="O2707">
        <v>-0.82345769999999996</v>
      </c>
      <c r="P2707">
        <v>0.52538609999999997</v>
      </c>
      <c r="Q2707">
        <v>-4.6807429999999997E-2</v>
      </c>
      <c r="R2707">
        <v>-0.84957559999999999</v>
      </c>
      <c r="S2707">
        <v>2.6958920000000002</v>
      </c>
      <c r="T2707">
        <v>-0.12150850000000001</v>
      </c>
      <c r="U2707">
        <v>-1.8645320000000001</v>
      </c>
      <c r="V2707">
        <v>4.9270710000000002E-2</v>
      </c>
      <c r="W2707">
        <v>-2.9037090000000002E-2</v>
      </c>
      <c r="X2707">
        <v>0.99836329999999995</v>
      </c>
      <c r="Y2707">
        <v>-0.35415449999999998</v>
      </c>
      <c r="Z2707">
        <v>3.4359489999999999E-2</v>
      </c>
      <c r="AA2707">
        <v>0.93455549999999998</v>
      </c>
      <c r="AB2707">
        <v>13</v>
      </c>
      <c r="AC2707">
        <v>22.819899999999901</v>
      </c>
      <c r="AD2707">
        <v>-1.0318056200000001</v>
      </c>
      <c r="AE2707">
        <v>-15.730399999999999</v>
      </c>
      <c r="AF2707">
        <v>-9.8583240245838599</v>
      </c>
      <c r="AG2707">
        <v>-1.0318056200000001</v>
      </c>
      <c r="AH2707">
        <v>25.8627519817802</v>
      </c>
      <c r="AI2707">
        <v>92.134939926015093</v>
      </c>
      <c r="AJ2707">
        <v>110.865769050268</v>
      </c>
      <c r="AK2707">
        <v>27.6971680047298</v>
      </c>
      <c r="AL2707">
        <v>91.663936559133802</v>
      </c>
      <c r="AM2707">
        <v>87.174660560329798</v>
      </c>
      <c r="AN2707">
        <v>1.0000000171232299</v>
      </c>
    </row>
    <row r="2708" spans="1:40" x14ac:dyDescent="0.25">
      <c r="A2708" t="str">
        <f>"20190312161320633"</f>
        <v>20190312161320633</v>
      </c>
      <c r="B2708" t="str">
        <f>"1552378400628074"</f>
        <v>1552378400628074</v>
      </c>
      <c r="C2708" t="s">
        <v>40</v>
      </c>
      <c r="D2708">
        <v>5.114547</v>
      </c>
      <c r="E2708">
        <v>0.33479520000000002</v>
      </c>
      <c r="F2708" t="s">
        <v>69</v>
      </c>
      <c r="G2708">
        <v>-461.20119999999997</v>
      </c>
      <c r="H2708">
        <v>8.0001439999999993E-2</v>
      </c>
      <c r="I2708">
        <v>206.99610000000001</v>
      </c>
      <c r="J2708">
        <v>-484.11610000000002</v>
      </c>
      <c r="K2708">
        <v>1.1117269999999999</v>
      </c>
      <c r="L2708">
        <v>222.66550000000001</v>
      </c>
      <c r="M2708">
        <v>0.57107319999999995</v>
      </c>
      <c r="N2708">
        <v>0</v>
      </c>
      <c r="O2708">
        <v>-0.82072140000000005</v>
      </c>
      <c r="P2708">
        <v>0.52920619999999996</v>
      </c>
      <c r="Q2708">
        <v>-4.6500689999999997E-2</v>
      </c>
      <c r="R2708">
        <v>-0.84721800000000003</v>
      </c>
      <c r="S2708">
        <v>2.7015690000000001</v>
      </c>
      <c r="T2708">
        <v>-0.12120259999999999</v>
      </c>
      <c r="U2708">
        <v>-1.8538060000000001</v>
      </c>
      <c r="V2708">
        <v>4.9596540000000001E-2</v>
      </c>
      <c r="W2708">
        <v>-2.9290070000000001E-2</v>
      </c>
      <c r="X2708">
        <v>0.9983398</v>
      </c>
      <c r="Y2708">
        <v>-0.35308689999999998</v>
      </c>
      <c r="Z2708">
        <v>3.4200790000000002E-2</v>
      </c>
      <c r="AA2708">
        <v>0.93496520000000005</v>
      </c>
      <c r="AB2708">
        <v>13</v>
      </c>
      <c r="AC2708">
        <v>22.914899999999999</v>
      </c>
      <c r="AD2708">
        <v>-1.0317255599999999</v>
      </c>
      <c r="AE2708">
        <v>-15.6693999999999</v>
      </c>
      <c r="AF2708">
        <v>-9.8462124528833996</v>
      </c>
      <c r="AG2708">
        <v>-1.0317255599999999</v>
      </c>
      <c r="AH2708">
        <v>25.9142880728328</v>
      </c>
      <c r="AI2708">
        <v>92.131400150567501</v>
      </c>
      <c r="AJ2708">
        <v>110.804439712242</v>
      </c>
      <c r="AK2708">
        <v>27.740992837680501</v>
      </c>
      <c r="AL2708">
        <v>91.678437373676701</v>
      </c>
      <c r="AM2708">
        <v>87.155940169424198</v>
      </c>
      <c r="AN2708">
        <v>1.0000000406223</v>
      </c>
    </row>
    <row r="2709" spans="1:40" x14ac:dyDescent="0.25">
      <c r="A2709" t="str">
        <f>"20190312161320655"</f>
        <v>20190312161320655</v>
      </c>
      <c r="B2709" t="str">
        <f>"1552378400648102"</f>
        <v>1552378400648102</v>
      </c>
      <c r="C2709" t="s">
        <v>40</v>
      </c>
      <c r="D2709">
        <v>5.1285530000000001</v>
      </c>
      <c r="E2709">
        <v>0.3352251</v>
      </c>
      <c r="F2709" t="s">
        <v>69</v>
      </c>
      <c r="G2709">
        <v>-460.65820000000002</v>
      </c>
      <c r="H2709">
        <v>8.0001610000000001E-2</v>
      </c>
      <c r="I2709">
        <v>206.67789999999999</v>
      </c>
      <c r="J2709">
        <v>-484.03789999999998</v>
      </c>
      <c r="K2709">
        <v>1.1117950000000001</v>
      </c>
      <c r="L2709">
        <v>222.5616</v>
      </c>
      <c r="M2709">
        <v>0.57455269999999903</v>
      </c>
      <c r="N2709">
        <v>0</v>
      </c>
      <c r="O2709">
        <v>-0.81829790000000002</v>
      </c>
      <c r="P2709">
        <v>0.53273470000000001</v>
      </c>
      <c r="Q2709">
        <v>-4.6270039999999998E-2</v>
      </c>
      <c r="R2709">
        <v>-0.84501700000000002</v>
      </c>
      <c r="S2709">
        <v>2.705902</v>
      </c>
      <c r="T2709">
        <v>-0.1190109</v>
      </c>
      <c r="U2709">
        <v>-1.844193</v>
      </c>
      <c r="V2709">
        <v>4.9680179999999997E-2</v>
      </c>
      <c r="W2709">
        <v>-2.94594E-2</v>
      </c>
      <c r="X2709">
        <v>0.99833059999999996</v>
      </c>
      <c r="Y2709">
        <v>-0.35210409999999998</v>
      </c>
      <c r="Z2709">
        <v>3.3525430000000002E-2</v>
      </c>
      <c r="AA2709">
        <v>0.93536030000000003</v>
      </c>
      <c r="AB2709">
        <v>13</v>
      </c>
      <c r="AC2709">
        <v>23.3796999999999</v>
      </c>
      <c r="AD2709">
        <v>-1.03179339</v>
      </c>
      <c r="AE2709">
        <v>-15.883699999999999</v>
      </c>
      <c r="AF2709">
        <v>-9.9936092204831102</v>
      </c>
      <c r="AG2709">
        <v>-1.03179339</v>
      </c>
      <c r="AH2709">
        <v>26.398960694497099</v>
      </c>
      <c r="AI2709">
        <v>92.093406512325799</v>
      </c>
      <c r="AJ2709">
        <v>110.73469663100801</v>
      </c>
      <c r="AK2709">
        <v>28.2460961656823</v>
      </c>
      <c r="AL2709">
        <v>91.688143555584006</v>
      </c>
      <c r="AM2709">
        <v>87.151125608784497</v>
      </c>
      <c r="AN2709">
        <v>0.999999981714776</v>
      </c>
    </row>
    <row r="2710" spans="1:40" x14ac:dyDescent="0.25">
      <c r="A2710" t="str">
        <f>"20190312161320679"</f>
        <v>20190312161320679</v>
      </c>
      <c r="B2710" t="str">
        <f>"1552378400668598"</f>
        <v>1552378400668598</v>
      </c>
      <c r="C2710" t="s">
        <v>40</v>
      </c>
      <c r="D2710">
        <v>4.7304240000000002</v>
      </c>
      <c r="E2710">
        <v>0.33550239999999998</v>
      </c>
      <c r="F2710" t="s">
        <v>69</v>
      </c>
      <c r="G2710">
        <v>-459.97239999999999</v>
      </c>
      <c r="H2710">
        <v>8.0001840000000005E-2</v>
      </c>
      <c r="I2710">
        <v>206.2715</v>
      </c>
      <c r="J2710">
        <v>-483.95339999999999</v>
      </c>
      <c r="K2710">
        <v>1.1119209999999999</v>
      </c>
      <c r="L2710">
        <v>222.45079999999999</v>
      </c>
      <c r="M2710">
        <v>0.57821210000000001</v>
      </c>
      <c r="N2710">
        <v>0</v>
      </c>
      <c r="O2710">
        <v>-0.8157238</v>
      </c>
      <c r="P2710">
        <v>0.53686160000000005</v>
      </c>
      <c r="Q2710">
        <v>-4.5720379999999998E-2</v>
      </c>
      <c r="R2710">
        <v>-0.84243069999999898</v>
      </c>
      <c r="S2710">
        <v>2.7107540000000001</v>
      </c>
      <c r="T2710">
        <v>-0.1162219</v>
      </c>
      <c r="U2710">
        <v>-1.8349299999999999</v>
      </c>
      <c r="V2710">
        <v>4.9289350000000003E-2</v>
      </c>
      <c r="W2710">
        <v>-2.9270319999999999E-2</v>
      </c>
      <c r="X2710">
        <v>0.99835560000000001</v>
      </c>
      <c r="Y2710">
        <v>-0.35091080000000002</v>
      </c>
      <c r="Z2710">
        <v>3.2671020000000002E-2</v>
      </c>
      <c r="AA2710">
        <v>0.93583879999999997</v>
      </c>
      <c r="AB2710">
        <v>13</v>
      </c>
      <c r="AC2710">
        <v>23.980999999999899</v>
      </c>
      <c r="AD2710">
        <v>-1.0319191599999999</v>
      </c>
      <c r="AE2710">
        <v>-16.179299999999898</v>
      </c>
      <c r="AF2710">
        <v>-10.195187553388299</v>
      </c>
      <c r="AG2710">
        <v>-1.0319191599999999</v>
      </c>
      <c r="AH2710">
        <v>27.033138995893601</v>
      </c>
      <c r="AI2710">
        <v>92.045549939787705</v>
      </c>
      <c r="AJ2710">
        <v>110.663297913861</v>
      </c>
      <c r="AK2710">
        <v>28.910159293453301</v>
      </c>
      <c r="AL2710">
        <v>91.677305284558699</v>
      </c>
      <c r="AM2710">
        <v>87.173571652406594</v>
      </c>
      <c r="AN2710">
        <v>1.00000004785384</v>
      </c>
    </row>
    <row r="2711" spans="1:40" x14ac:dyDescent="0.25">
      <c r="A2711" t="str">
        <f>"20190312161320700"</f>
        <v>20190312161320700</v>
      </c>
      <c r="B2711" t="str">
        <f>"1552378400688118"</f>
        <v>1552378400688118</v>
      </c>
      <c r="C2711" t="s">
        <v>40</v>
      </c>
      <c r="D2711">
        <v>5.0566719999999998</v>
      </c>
      <c r="E2711">
        <v>0.33578269999999999</v>
      </c>
      <c r="F2711" t="s">
        <v>69</v>
      </c>
      <c r="G2711">
        <v>-459.1234</v>
      </c>
      <c r="H2711">
        <v>8.0000639999999998E-2</v>
      </c>
      <c r="I2711">
        <v>205.79669999999999</v>
      </c>
      <c r="J2711">
        <v>-483.8784</v>
      </c>
      <c r="K2711">
        <v>1.1120049999999999</v>
      </c>
      <c r="L2711">
        <v>222.3535</v>
      </c>
      <c r="M2711">
        <v>0.5814956</v>
      </c>
      <c r="N2711">
        <v>0</v>
      </c>
      <c r="O2711">
        <v>-0.81339280000000003</v>
      </c>
      <c r="P2711">
        <v>0.5408058</v>
      </c>
      <c r="Q2711">
        <v>-4.5399479999999999E-2</v>
      </c>
      <c r="R2711">
        <v>-0.83992149999999999</v>
      </c>
      <c r="S2711">
        <v>2.7178339999999999</v>
      </c>
      <c r="T2711">
        <v>-0.1129518</v>
      </c>
      <c r="U2711">
        <v>-1.8229219999999999</v>
      </c>
      <c r="V2711">
        <v>4.8645229999999998E-2</v>
      </c>
      <c r="W2711">
        <v>-2.9252210000000001E-2</v>
      </c>
      <c r="X2711">
        <v>0.99838769999999999</v>
      </c>
      <c r="Y2711">
        <v>-0.35114869999999998</v>
      </c>
      <c r="Z2711">
        <v>3.1703349999999998E-2</v>
      </c>
      <c r="AA2711">
        <v>0.93578280000000003</v>
      </c>
      <c r="AB2711">
        <v>13</v>
      </c>
      <c r="AC2711">
        <v>24.7549999999999</v>
      </c>
      <c r="AD2711">
        <v>-1.03200436</v>
      </c>
      <c r="AE2711">
        <v>-16.556799999999999</v>
      </c>
      <c r="AF2711">
        <v>-10.4965682657499</v>
      </c>
      <c r="AG2711">
        <v>-1.03200436</v>
      </c>
      <c r="AH2711">
        <v>27.832237970012802</v>
      </c>
      <c r="AI2711">
        <v>91.987031013716901</v>
      </c>
      <c r="AJ2711">
        <v>110.66331809942599</v>
      </c>
      <c r="AK2711">
        <v>29.763676667643502</v>
      </c>
      <c r="AL2711">
        <v>91.676267252105902</v>
      </c>
      <c r="AM2711">
        <v>87.210538627240595</v>
      </c>
      <c r="AN2711">
        <v>1.00000002485146</v>
      </c>
    </row>
    <row r="2712" spans="1:40" x14ac:dyDescent="0.25">
      <c r="A2712" t="str">
        <f>"20190312161320722"</f>
        <v>20190312161320722</v>
      </c>
      <c r="B2712" t="str">
        <f>"1552378400718374"</f>
        <v>1552378400718374</v>
      </c>
      <c r="C2712" t="s">
        <v>40</v>
      </c>
      <c r="D2712">
        <v>5.0311370000000002</v>
      </c>
      <c r="E2712">
        <v>0.34319559999999999</v>
      </c>
      <c r="F2712" t="s">
        <v>69</v>
      </c>
      <c r="G2712">
        <v>-458.65379999999999</v>
      </c>
      <c r="H2712">
        <v>8.0000779999999994E-2</v>
      </c>
      <c r="I2712">
        <v>205.58070000000001</v>
      </c>
      <c r="J2712">
        <v>-483.803</v>
      </c>
      <c r="K2712">
        <v>1.112055</v>
      </c>
      <c r="L2712">
        <v>222.2567</v>
      </c>
      <c r="M2712">
        <v>0.58486969999999905</v>
      </c>
      <c r="N2712">
        <v>0</v>
      </c>
      <c r="O2712">
        <v>-0.81097540000000001</v>
      </c>
      <c r="P2712">
        <v>0.54501679999999997</v>
      </c>
      <c r="Q2712">
        <v>-4.5205960000000003E-2</v>
      </c>
      <c r="R2712">
        <v>-0.83720539999999999</v>
      </c>
      <c r="S2712">
        <v>2.724396</v>
      </c>
      <c r="T2712">
        <v>-0.1114619</v>
      </c>
      <c r="U2712">
        <v>-1.8115540000000001</v>
      </c>
      <c r="V2712">
        <v>4.7786729999999999E-2</v>
      </c>
      <c r="W2712">
        <v>-2.9348229999999999E-2</v>
      </c>
      <c r="X2712">
        <v>0.99842629999999999</v>
      </c>
      <c r="Y2712">
        <v>-0.35102179999999999</v>
      </c>
      <c r="Z2712">
        <v>3.1230750000000002E-2</v>
      </c>
      <c r="AA2712">
        <v>0.93584630000000002</v>
      </c>
      <c r="AB2712">
        <v>13</v>
      </c>
      <c r="AC2712">
        <v>25.1492</v>
      </c>
      <c r="AD2712">
        <v>-1.03205422</v>
      </c>
      <c r="AE2712">
        <v>-16.675999999999899</v>
      </c>
      <c r="AF2712">
        <v>-10.6309708906773</v>
      </c>
      <c r="AG2712">
        <v>-1.03205422</v>
      </c>
      <c r="AH2712">
        <v>28.203318150985702</v>
      </c>
      <c r="AI2712">
        <v>91.961129403981602</v>
      </c>
      <c r="AJ2712">
        <v>110.65345453531999</v>
      </c>
      <c r="AK2712">
        <v>30.158080720051998</v>
      </c>
      <c r="AL2712">
        <v>91.681771225602006</v>
      </c>
      <c r="AM2712">
        <v>87.259797626840495</v>
      </c>
      <c r="AN2712">
        <v>0.99999998334995699</v>
      </c>
    </row>
    <row r="2713" spans="1:40" x14ac:dyDescent="0.25">
      <c r="A2713" t="str">
        <f>"20190312161320743"</f>
        <v>20190312161320743</v>
      </c>
      <c r="B2713" t="str">
        <f>"1552378400738869"</f>
        <v>1552378400738869</v>
      </c>
      <c r="C2713" t="s">
        <v>40</v>
      </c>
      <c r="D2713">
        <v>5.0451769999999998</v>
      </c>
      <c r="E2713">
        <v>0.34409959999999901</v>
      </c>
      <c r="F2713" t="s">
        <v>69</v>
      </c>
      <c r="G2713">
        <v>-458.4708</v>
      </c>
      <c r="H2713">
        <v>8.0000870000000002E-2</v>
      </c>
      <c r="I2713">
        <v>204.98249999999999</v>
      </c>
      <c r="J2713">
        <v>-483.72640000000001</v>
      </c>
      <c r="K2713">
        <v>1.112077</v>
      </c>
      <c r="L2713">
        <v>222.1593</v>
      </c>
      <c r="M2713">
        <v>0.58834949999999997</v>
      </c>
      <c r="N2713">
        <v>0</v>
      </c>
      <c r="O2713">
        <v>-0.80845959999999994</v>
      </c>
      <c r="P2713">
        <v>0.54923580000000005</v>
      </c>
      <c r="Q2713">
        <v>-4.4928019999999999E-2</v>
      </c>
      <c r="R2713">
        <v>-0.83445919999999896</v>
      </c>
      <c r="S2713">
        <v>2.6839599999999999</v>
      </c>
      <c r="T2713">
        <v>-0.1093465</v>
      </c>
      <c r="U2713">
        <v>-1.8302</v>
      </c>
      <c r="V2713">
        <v>4.7045289999999997E-2</v>
      </c>
      <c r="W2713">
        <v>-2.9331050000000001E-2</v>
      </c>
      <c r="X2713">
        <v>0.99846199999999996</v>
      </c>
      <c r="Y2713">
        <v>-0.33605020000000002</v>
      </c>
      <c r="Z2713">
        <v>3.063012E-2</v>
      </c>
      <c r="AA2713">
        <v>0.94134589999999996</v>
      </c>
      <c r="AB2713">
        <v>13</v>
      </c>
      <c r="AC2713">
        <v>25.255600000000001</v>
      </c>
      <c r="AD2713">
        <v>-1.0320761300000001</v>
      </c>
      <c r="AE2713">
        <v>-17.1768</v>
      </c>
      <c r="AF2713">
        <v>-10.3016351294501</v>
      </c>
      <c r="AG2713">
        <v>-1.0320761300000001</v>
      </c>
      <c r="AH2713">
        <v>28.716500207054601</v>
      </c>
      <c r="AI2713">
        <v>91.937535512702695</v>
      </c>
      <c r="AJ2713">
        <v>109.734724818372</v>
      </c>
      <c r="AK2713">
        <v>30.5258292536043</v>
      </c>
      <c r="AL2713">
        <v>91.680786486590605</v>
      </c>
      <c r="AM2713">
        <v>87.302346535176099</v>
      </c>
      <c r="AN2713">
        <v>0.99999996762464205</v>
      </c>
    </row>
    <row r="2714" spans="1:40" x14ac:dyDescent="0.25">
      <c r="A2714" t="str">
        <f>"20190312161320766"</f>
        <v>20190312161320766</v>
      </c>
      <c r="B2714" t="str">
        <f>"1552378400758898"</f>
        <v>1552378400758898</v>
      </c>
      <c r="C2714" t="s">
        <v>40</v>
      </c>
      <c r="D2714">
        <v>5.0553790000000003</v>
      </c>
      <c r="E2714">
        <v>0.34504980000000002</v>
      </c>
      <c r="F2714" t="s">
        <v>41</v>
      </c>
      <c r="G2714">
        <v>-454.52319999999997</v>
      </c>
      <c r="H2714">
        <v>-0.05</v>
      </c>
      <c r="I2714">
        <v>202.3683</v>
      </c>
      <c r="J2714">
        <v>-483.64100000000002</v>
      </c>
      <c r="K2714">
        <v>1.112087</v>
      </c>
      <c r="L2714">
        <v>222.05179999999999</v>
      </c>
      <c r="M2714">
        <v>0.59225249999999996</v>
      </c>
      <c r="N2714">
        <v>0</v>
      </c>
      <c r="O2714">
        <v>-0.80560949999999998</v>
      </c>
      <c r="P2714">
        <v>0.55393590000000004</v>
      </c>
      <c r="Q2714">
        <v>-4.5039969999999999E-2</v>
      </c>
      <c r="R2714">
        <v>-0.83134039999999998</v>
      </c>
      <c r="S2714">
        <v>2.6869200000000002</v>
      </c>
      <c r="T2714">
        <v>-0.10692020000000001</v>
      </c>
      <c r="U2714">
        <v>-1.8209230000000001</v>
      </c>
      <c r="V2714">
        <v>4.6235369999999998E-2</v>
      </c>
      <c r="W2714">
        <v>-2.9687069999999999E-2</v>
      </c>
      <c r="X2714">
        <v>0.99848930000000002</v>
      </c>
      <c r="Y2714">
        <v>-0.33422560000000001</v>
      </c>
      <c r="Z2714">
        <v>2.9885419999999999E-2</v>
      </c>
      <c r="AA2714">
        <v>0.94201919999999995</v>
      </c>
      <c r="AB2714">
        <v>13</v>
      </c>
      <c r="AC2714">
        <v>29.1177999999999</v>
      </c>
      <c r="AD2714">
        <v>-1.1620870000000001</v>
      </c>
      <c r="AE2714">
        <v>-19.683499999999899</v>
      </c>
      <c r="AF2714">
        <v>-11.788445849374501</v>
      </c>
      <c r="AG2714">
        <v>-1.1620870000000001</v>
      </c>
      <c r="AH2714">
        <v>33.069964072150299</v>
      </c>
      <c r="AI2714">
        <v>91.895803965760805</v>
      </c>
      <c r="AJ2714">
        <v>109.619619447915</v>
      </c>
      <c r="AK2714">
        <v>35.1274881748257</v>
      </c>
      <c r="AL2714">
        <v>91.701193836180394</v>
      </c>
      <c r="AM2714">
        <v>87.348794205069098</v>
      </c>
      <c r="AN2714">
        <v>0.99999995688935495</v>
      </c>
    </row>
    <row r="2715" spans="1:40" x14ac:dyDescent="0.25">
      <c r="A2715" t="str">
        <f>"20190312161320789"</f>
        <v>20190312161320789</v>
      </c>
      <c r="B2715" t="str">
        <f>"1552378400779394"</f>
        <v>1552378400779394</v>
      </c>
      <c r="C2715" t="s">
        <v>40</v>
      </c>
      <c r="D2715">
        <v>5.0424930000000003</v>
      </c>
      <c r="E2715">
        <v>0.3459354</v>
      </c>
      <c r="F2715" t="s">
        <v>69</v>
      </c>
      <c r="G2715">
        <v>-458.27289999999999</v>
      </c>
      <c r="H2715">
        <v>8.0000909999999995E-2</v>
      </c>
      <c r="I2715">
        <v>204.99170000000001</v>
      </c>
      <c r="J2715">
        <v>-483.56259999999997</v>
      </c>
      <c r="K2715">
        <v>1.11209</v>
      </c>
      <c r="L2715">
        <v>221.95410000000001</v>
      </c>
      <c r="M2715">
        <v>0.59584749999999997</v>
      </c>
      <c r="N2715">
        <v>0</v>
      </c>
      <c r="O2715">
        <v>-0.80295740000000004</v>
      </c>
      <c r="P2715">
        <v>0.55764990000000003</v>
      </c>
      <c r="Q2715">
        <v>-4.5057800000000002E-2</v>
      </c>
      <c r="R2715">
        <v>-0.82885229999999999</v>
      </c>
      <c r="S2715">
        <v>2.6909179999999999</v>
      </c>
      <c r="T2715">
        <v>-0.1094784</v>
      </c>
      <c r="U2715">
        <v>-1.809647</v>
      </c>
      <c r="V2715">
        <v>4.6228770000000002E-2</v>
      </c>
      <c r="W2715">
        <v>-2.988905E-2</v>
      </c>
      <c r="X2715">
        <v>0.99848360000000003</v>
      </c>
      <c r="Y2715">
        <v>-0.33335679999999901</v>
      </c>
      <c r="Z2715">
        <v>3.054987E-2</v>
      </c>
      <c r="AA2715">
        <v>0.94230570000000002</v>
      </c>
      <c r="AB2715">
        <v>13</v>
      </c>
      <c r="AC2715">
        <v>25.2896999999999</v>
      </c>
      <c r="AD2715">
        <v>-1.0320890899999999</v>
      </c>
      <c r="AE2715">
        <v>-16.962399999999999</v>
      </c>
      <c r="AF2715">
        <v>-10.1889922384931</v>
      </c>
      <c r="AG2715">
        <v>-1.0320890899999999</v>
      </c>
      <c r="AH2715">
        <v>28.659197939374302</v>
      </c>
      <c r="AI2715">
        <v>91.943406196201906</v>
      </c>
      <c r="AJ2715">
        <v>109.57144893572401</v>
      </c>
      <c r="AK2715">
        <v>30.434033535731199</v>
      </c>
      <c r="AL2715">
        <v>91.712771541598599</v>
      </c>
      <c r="AM2715">
        <v>87.349157008070705</v>
      </c>
      <c r="AN2715">
        <v>0.99999997697728704</v>
      </c>
    </row>
    <row r="2716" spans="1:40" x14ac:dyDescent="0.25">
      <c r="A2716" t="str">
        <f>"20190312161320810"</f>
        <v>20190312161320810</v>
      </c>
      <c r="B2716" t="str">
        <f>"1552378400808674"</f>
        <v>1552378400808674</v>
      </c>
      <c r="C2716" t="s">
        <v>40</v>
      </c>
      <c r="D2716">
        <v>5.0670129999999904</v>
      </c>
      <c r="E2716">
        <v>0.3468502</v>
      </c>
      <c r="F2716" t="s">
        <v>69</v>
      </c>
      <c r="G2716">
        <v>-458.52940000000001</v>
      </c>
      <c r="H2716">
        <v>8.0000829999999995E-2</v>
      </c>
      <c r="I2716">
        <v>205.2099</v>
      </c>
      <c r="J2716">
        <v>-483.48219999999998</v>
      </c>
      <c r="K2716">
        <v>1.1120969999999999</v>
      </c>
      <c r="L2716">
        <v>221.85509999999999</v>
      </c>
      <c r="M2716">
        <v>0.59953959999999995</v>
      </c>
      <c r="N2716">
        <v>0</v>
      </c>
      <c r="O2716">
        <v>-0.80020760000000002</v>
      </c>
      <c r="P2716">
        <v>0.56161190000000005</v>
      </c>
      <c r="Q2716">
        <v>-4.5249749999999998E-2</v>
      </c>
      <c r="R2716">
        <v>-0.82616259999999997</v>
      </c>
      <c r="S2716">
        <v>2.6932070000000001</v>
      </c>
      <c r="T2716">
        <v>-0.1110381</v>
      </c>
      <c r="U2716">
        <v>-1.801437</v>
      </c>
      <c r="V2716">
        <v>4.6040539999999998E-2</v>
      </c>
      <c r="W2716">
        <v>-3.02446E-2</v>
      </c>
      <c r="X2716">
        <v>0.99848159999999997</v>
      </c>
      <c r="Y2716">
        <v>-0.33135550000000003</v>
      </c>
      <c r="Z2716">
        <v>3.0915270000000002E-2</v>
      </c>
      <c r="AA2716">
        <v>0.94299940000000004</v>
      </c>
      <c r="AB2716">
        <v>13</v>
      </c>
      <c r="AC2716">
        <v>24.9527999999999</v>
      </c>
      <c r="AD2716">
        <v>-1.03209617</v>
      </c>
      <c r="AE2716">
        <v>-16.6451999999999</v>
      </c>
      <c r="AF2716">
        <v>-9.9772500806964306</v>
      </c>
      <c r="AG2716">
        <v>-1.03209617</v>
      </c>
      <c r="AH2716">
        <v>28.249472991641099</v>
      </c>
      <c r="AI2716">
        <v>91.973035618309495</v>
      </c>
      <c r="AJ2716">
        <v>109.45238428489201</v>
      </c>
      <c r="AK2716">
        <v>29.977382573906301</v>
      </c>
      <c r="AL2716">
        <v>91.733152254654797</v>
      </c>
      <c r="AM2716">
        <v>87.359929880801303</v>
      </c>
      <c r="AN2716">
        <v>0.99999998634560505</v>
      </c>
    </row>
    <row r="2717" spans="1:40" x14ac:dyDescent="0.25">
      <c r="A2717" t="str">
        <f>"20190312161320834"</f>
        <v>20190312161320834</v>
      </c>
      <c r="B2717" t="str">
        <f>"1552378400828194"</f>
        <v>1552378400828194</v>
      </c>
      <c r="C2717" t="s">
        <v>40</v>
      </c>
      <c r="D2717">
        <v>5.1857870000000004</v>
      </c>
      <c r="E2717">
        <v>0.3455394</v>
      </c>
      <c r="F2717" t="s">
        <v>69</v>
      </c>
      <c r="G2717">
        <v>-459.2826</v>
      </c>
      <c r="H2717">
        <v>8.0000589999999996E-2</v>
      </c>
      <c r="I2717">
        <v>205.7681</v>
      </c>
      <c r="J2717">
        <v>-483.39789999999999</v>
      </c>
      <c r="K2717">
        <v>1.112104</v>
      </c>
      <c r="L2717">
        <v>221.75229999999999</v>
      </c>
      <c r="M2717">
        <v>0.60342259999999903</v>
      </c>
      <c r="N2717">
        <v>0</v>
      </c>
      <c r="O2717">
        <v>-0.7972863</v>
      </c>
      <c r="P2717">
        <v>0.56637950000000004</v>
      </c>
      <c r="Q2717">
        <v>-4.4790330000000003E-2</v>
      </c>
      <c r="R2717">
        <v>-0.82292659999999995</v>
      </c>
      <c r="S2717">
        <v>2.6960449999999998</v>
      </c>
      <c r="T2717">
        <v>-0.1149844</v>
      </c>
      <c r="U2717">
        <v>-1.7922359999999999</v>
      </c>
      <c r="V2717">
        <v>4.5133949999999999E-2</v>
      </c>
      <c r="W2717">
        <v>-2.9938929999999999E-2</v>
      </c>
      <c r="X2717">
        <v>0.99853219999999998</v>
      </c>
      <c r="Y2717">
        <v>-0.32942349999999998</v>
      </c>
      <c r="Z2717">
        <v>3.1937279999999998E-2</v>
      </c>
      <c r="AA2717">
        <v>0.94364199999999998</v>
      </c>
      <c r="AB2717">
        <v>13</v>
      </c>
      <c r="AC2717">
        <v>24.115299999999898</v>
      </c>
      <c r="AD2717">
        <v>-1.0321034099999999</v>
      </c>
      <c r="AE2717">
        <v>-15.9841999999999</v>
      </c>
      <c r="AF2717">
        <v>-9.5704249095430001</v>
      </c>
      <c r="AG2717">
        <v>-1.0321034099999999</v>
      </c>
      <c r="AH2717">
        <v>27.263948648771098</v>
      </c>
      <c r="AI2717">
        <v>92.045690244272095</v>
      </c>
      <c r="AJ2717">
        <v>109.342530686871</v>
      </c>
      <c r="AK2717">
        <v>28.913338899562699</v>
      </c>
      <c r="AL2717">
        <v>91.715630723158199</v>
      </c>
      <c r="AM2717">
        <v>87.411975407198995</v>
      </c>
      <c r="AN2717">
        <v>0.99999998370449295</v>
      </c>
    </row>
    <row r="2718" spans="1:40" x14ac:dyDescent="0.25">
      <c r="A2718" t="str">
        <f>"20190312161320857"</f>
        <v>20190312161320857</v>
      </c>
      <c r="B2718" t="str">
        <f>"1552378400848690"</f>
        <v>1552378400848690</v>
      </c>
      <c r="C2718" t="s">
        <v>40</v>
      </c>
      <c r="D2718">
        <v>5.1544619999999997</v>
      </c>
      <c r="E2718">
        <v>0.34426269999999998</v>
      </c>
      <c r="F2718" t="s">
        <v>69</v>
      </c>
      <c r="G2718">
        <v>-461.28359999999998</v>
      </c>
      <c r="H2718">
        <v>8.0001409999999995E-2</v>
      </c>
      <c r="I2718">
        <v>207.33459999999999</v>
      </c>
      <c r="J2718">
        <v>-483.31119999999999</v>
      </c>
      <c r="K2718">
        <v>1.1121110000000001</v>
      </c>
      <c r="L2718">
        <v>221.64760000000001</v>
      </c>
      <c r="M2718">
        <v>0.60741409999999996</v>
      </c>
      <c r="N2718">
        <v>0</v>
      </c>
      <c r="O2718">
        <v>-0.79425219999999996</v>
      </c>
      <c r="P2718">
        <v>0.57135909999999901</v>
      </c>
      <c r="Q2718">
        <v>-4.4479200000000003E-2</v>
      </c>
      <c r="R2718">
        <v>-0.81949399999999994</v>
      </c>
      <c r="S2718">
        <v>2.714966</v>
      </c>
      <c r="T2718">
        <v>-0.1267104</v>
      </c>
      <c r="U2718">
        <v>-1.7700499999999999</v>
      </c>
      <c r="V2718">
        <v>4.409652E-2</v>
      </c>
      <c r="W2718">
        <v>-2.9765509999999998E-2</v>
      </c>
      <c r="X2718">
        <v>0.99858369999999996</v>
      </c>
      <c r="Y2718">
        <v>-0.33300590000000002</v>
      </c>
      <c r="Z2718">
        <v>3.5105789999999998E-2</v>
      </c>
      <c r="AA2718">
        <v>0.94227099999999997</v>
      </c>
      <c r="AB2718">
        <v>13</v>
      </c>
      <c r="AC2718">
        <v>22.0276</v>
      </c>
      <c r="AD2718">
        <v>-1.0321095899999999</v>
      </c>
      <c r="AE2718">
        <v>-14.313000000000001</v>
      </c>
      <c r="AF2718">
        <v>-8.7889157257534496</v>
      </c>
      <c r="AG2718">
        <v>-1.0321095899999999</v>
      </c>
      <c r="AH2718">
        <v>24.712476884339601</v>
      </c>
      <c r="AI2718">
        <v>92.253437456769205</v>
      </c>
      <c r="AJ2718">
        <v>109.577771824176</v>
      </c>
      <c r="AK2718">
        <v>26.249129577934301</v>
      </c>
      <c r="AL2718">
        <v>91.705690120717605</v>
      </c>
      <c r="AM2718">
        <v>87.471514773467405</v>
      </c>
      <c r="AN2718">
        <v>0.99999994728367803</v>
      </c>
    </row>
    <row r="2719" spans="1:40" x14ac:dyDescent="0.25">
      <c r="A2719" t="str">
        <f>"20190312161320877"</f>
        <v>20190312161320877</v>
      </c>
      <c r="B2719" t="str">
        <f>"1552378400868210"</f>
        <v>1552378400868210</v>
      </c>
      <c r="C2719" t="s">
        <v>40</v>
      </c>
      <c r="D2719">
        <v>5.130795</v>
      </c>
      <c r="E2719">
        <v>0.3250093</v>
      </c>
      <c r="F2719" t="s">
        <v>69</v>
      </c>
      <c r="G2719">
        <v>-461.94959999999998</v>
      </c>
      <c r="H2719">
        <v>8.0001180000000005E-2</v>
      </c>
      <c r="I2719">
        <v>207.9956</v>
      </c>
      <c r="J2719">
        <v>-483.23559999999998</v>
      </c>
      <c r="K2719">
        <v>1.1121190000000001</v>
      </c>
      <c r="L2719">
        <v>221.55719999999999</v>
      </c>
      <c r="M2719">
        <v>0.61088690000000001</v>
      </c>
      <c r="N2719">
        <v>0</v>
      </c>
      <c r="O2719">
        <v>-0.79158619999999902</v>
      </c>
      <c r="P2719">
        <v>0.57528279999999998</v>
      </c>
      <c r="Q2719">
        <v>-4.48203E-2</v>
      </c>
      <c r="R2719">
        <v>-0.81672639999999996</v>
      </c>
      <c r="S2719">
        <v>2.7341310000000001</v>
      </c>
      <c r="T2719">
        <v>-0.13210229999999901</v>
      </c>
      <c r="U2719">
        <v>-1.74735999999999</v>
      </c>
      <c r="V2719">
        <v>4.3671069999999999E-2</v>
      </c>
      <c r="W2719">
        <v>-3.0208889999999999E-2</v>
      </c>
      <c r="X2719">
        <v>0.99858919999999995</v>
      </c>
      <c r="Y2719">
        <v>-0.33737919999999999</v>
      </c>
      <c r="Z2719">
        <v>3.6530239999999999E-2</v>
      </c>
      <c r="AA2719">
        <v>0.94065980000000005</v>
      </c>
      <c r="AB2719">
        <v>13</v>
      </c>
      <c r="AC2719">
        <v>21.285999999999898</v>
      </c>
      <c r="AD2719">
        <v>-1.0321178200000001</v>
      </c>
      <c r="AE2719">
        <v>-13.5616</v>
      </c>
      <c r="AF2719">
        <v>-8.5516921354169302</v>
      </c>
      <c r="AG2719">
        <v>-1.0321178200000001</v>
      </c>
      <c r="AH2719">
        <v>23.701353341317802</v>
      </c>
      <c r="AI2719">
        <v>92.345640499537495</v>
      </c>
      <c r="AJ2719">
        <v>109.839965336313</v>
      </c>
      <c r="AK2719">
        <v>25.218066059539801</v>
      </c>
      <c r="AL2719">
        <v>91.731105151033304</v>
      </c>
      <c r="AM2719">
        <v>87.495892557359994</v>
      </c>
      <c r="AN2719">
        <v>1.0000000648733001</v>
      </c>
    </row>
    <row r="2720" spans="1:40" x14ac:dyDescent="0.25">
      <c r="A2720" t="str">
        <f>"20190312161320900"</f>
        <v>20190312161320900</v>
      </c>
      <c r="B2720" t="str">
        <f>"1552378400888706"</f>
        <v>1552378400888706</v>
      </c>
      <c r="C2720" t="s">
        <v>40</v>
      </c>
      <c r="D2720">
        <v>4.7173999999999996</v>
      </c>
      <c r="E2720">
        <v>0.3233375</v>
      </c>
      <c r="F2720" t="s">
        <v>69</v>
      </c>
      <c r="G2720">
        <v>-469.64580000000001</v>
      </c>
      <c r="H2720" s="1">
        <v>3.6320620000000001E-6</v>
      </c>
      <c r="I2720">
        <v>213.7971</v>
      </c>
      <c r="J2720">
        <v>-483.15339999999998</v>
      </c>
      <c r="K2720">
        <v>1.1121299999999901</v>
      </c>
      <c r="L2720">
        <v>221.4599</v>
      </c>
      <c r="M2720">
        <v>0.61464510000000006</v>
      </c>
      <c r="N2720">
        <v>0</v>
      </c>
      <c r="O2720">
        <v>-0.78867330000000002</v>
      </c>
      <c r="P2720">
        <v>0.57993729999999999</v>
      </c>
      <c r="Q2720">
        <v>-4.466142E-2</v>
      </c>
      <c r="R2720">
        <v>-0.8134363</v>
      </c>
      <c r="S2720">
        <v>2.8699650000000001</v>
      </c>
      <c r="T2720">
        <v>-0.23486380000000001</v>
      </c>
      <c r="U2720">
        <v>-1.6388240000000001</v>
      </c>
      <c r="V2720">
        <v>4.2723009999999999E-2</v>
      </c>
      <c r="W2720">
        <v>-3.0147739999999999E-2</v>
      </c>
      <c r="X2720">
        <v>0.99863199999999996</v>
      </c>
      <c r="Y2720">
        <v>-0.3779073</v>
      </c>
      <c r="Z2720">
        <v>6.4505580000000007E-2</v>
      </c>
      <c r="AA2720">
        <v>0.92359360000000001</v>
      </c>
      <c r="AB2720">
        <v>13</v>
      </c>
      <c r="AC2720">
        <v>13.507599999999901</v>
      </c>
      <c r="AD2720">
        <v>-1.11212636793799</v>
      </c>
      <c r="AE2720">
        <v>-7.6627999999999998</v>
      </c>
      <c r="AF2720">
        <v>-5.9134663581540901</v>
      </c>
      <c r="AG2720">
        <v>-1.11212636793799</v>
      </c>
      <c r="AH2720">
        <v>14.274099847947801</v>
      </c>
      <c r="AI2720">
        <v>94.117038287391196</v>
      </c>
      <c r="AJ2720">
        <v>112.503222584265</v>
      </c>
      <c r="AK2720">
        <v>15.4905079289372</v>
      </c>
      <c r="AL2720">
        <v>91.727600018491302</v>
      </c>
      <c r="AM2720">
        <v>87.550292400384507</v>
      </c>
      <c r="AN2720">
        <v>1.0000000066172801</v>
      </c>
    </row>
    <row r="2721" spans="1:40" x14ac:dyDescent="0.25">
      <c r="A2721" t="str">
        <f>"20190312161320920"</f>
        <v>20190312161320920</v>
      </c>
      <c r="B2721" t="str">
        <f>"1552378400917987"</f>
        <v>1552378400917987</v>
      </c>
      <c r="C2721" t="s">
        <v>40</v>
      </c>
      <c r="D2721">
        <v>5.255325</v>
      </c>
      <c r="E2721">
        <v>0.32240639999999998</v>
      </c>
      <c r="F2721" t="s">
        <v>69</v>
      </c>
      <c r="G2721">
        <v>-468.86590000000001</v>
      </c>
      <c r="H2721" s="1">
        <v>3.2311790000000001E-6</v>
      </c>
      <c r="I2721">
        <v>213.4734</v>
      </c>
      <c r="J2721">
        <v>-483.07709999999997</v>
      </c>
      <c r="K2721">
        <v>1.112133</v>
      </c>
      <c r="L2721">
        <v>221.37049999999999</v>
      </c>
      <c r="M2721">
        <v>0.61811329999999998</v>
      </c>
      <c r="N2721">
        <v>0</v>
      </c>
      <c r="O2721">
        <v>-0.78595939999999997</v>
      </c>
      <c r="P2721">
        <v>0.58386649999999995</v>
      </c>
      <c r="Q2721">
        <v>-4.4831280000000001E-2</v>
      </c>
      <c r="R2721">
        <v>-0.81061110000000003</v>
      </c>
      <c r="S2721">
        <v>2.8898619999999999</v>
      </c>
      <c r="T2721">
        <v>-0.22494520000000001</v>
      </c>
      <c r="U2721">
        <v>-1.6153869999999999</v>
      </c>
      <c r="V2721">
        <v>4.2284700000000001E-2</v>
      </c>
      <c r="W2721">
        <v>-3.0395930000000002E-2</v>
      </c>
      <c r="X2721">
        <v>0.99864310000000001</v>
      </c>
      <c r="Y2721">
        <v>-0.38244879999999998</v>
      </c>
      <c r="Z2721">
        <v>6.1652609999999997E-2</v>
      </c>
      <c r="AA2721">
        <v>0.92191749999999995</v>
      </c>
      <c r="AB2721">
        <v>13</v>
      </c>
      <c r="AC2721">
        <v>14.2111999999999</v>
      </c>
      <c r="AD2721">
        <v>-1.1121297688209999</v>
      </c>
      <c r="AE2721">
        <v>-7.8970999999999902</v>
      </c>
      <c r="AF2721">
        <v>-6.2594747509494404</v>
      </c>
      <c r="AG2721">
        <v>-1.1121297688209999</v>
      </c>
      <c r="AH2721">
        <v>14.9226324463522</v>
      </c>
      <c r="AI2721">
        <v>93.931481207879003</v>
      </c>
      <c r="AJ2721">
        <v>112.75618960273501</v>
      </c>
      <c r="AK2721">
        <v>16.2204443807621</v>
      </c>
      <c r="AL2721">
        <v>91.741826833476495</v>
      </c>
      <c r="AM2721">
        <v>87.575421559223699</v>
      </c>
      <c r="AN2721">
        <v>0.99999997479613201</v>
      </c>
    </row>
    <row r="2722" spans="1:40" x14ac:dyDescent="0.25">
      <c r="A2722" t="str">
        <f>"20190312161320944"</f>
        <v>20190312161320944</v>
      </c>
      <c r="B2722" t="str">
        <f>"1552378400938483"</f>
        <v>1552378400938483</v>
      </c>
      <c r="C2722" t="s">
        <v>40</v>
      </c>
      <c r="D2722">
        <v>5.2483529999999998</v>
      </c>
      <c r="E2722">
        <v>0.32346510000000001</v>
      </c>
      <c r="F2722" t="s">
        <v>69</v>
      </c>
      <c r="G2722">
        <v>-468.11930000000001</v>
      </c>
      <c r="H2722" s="1">
        <v>2.8484300000000001E-6</v>
      </c>
      <c r="I2722">
        <v>213.13980000000001</v>
      </c>
      <c r="J2722">
        <v>-482.9939</v>
      </c>
      <c r="K2722">
        <v>1.1121289999999999</v>
      </c>
      <c r="L2722">
        <v>221.274</v>
      </c>
      <c r="M2722">
        <v>0.62187609999999904</v>
      </c>
      <c r="N2722">
        <v>0</v>
      </c>
      <c r="O2722">
        <v>-0.78298690000000004</v>
      </c>
      <c r="P2722">
        <v>0.58787529999999999</v>
      </c>
      <c r="Q2722">
        <v>-4.4561450000000002E-2</v>
      </c>
      <c r="R2722">
        <v>-0.80772379999999999</v>
      </c>
      <c r="S2722">
        <v>2.903473</v>
      </c>
      <c r="T2722">
        <v>-0.2158766</v>
      </c>
      <c r="U2722">
        <v>-1.597672</v>
      </c>
      <c r="V2722">
        <v>4.2134909999999998E-2</v>
      </c>
      <c r="W2722">
        <v>-3.0200649999999999E-2</v>
      </c>
      <c r="X2722">
        <v>0.99865539999999997</v>
      </c>
      <c r="Y2722">
        <v>-0.38433679999999998</v>
      </c>
      <c r="Z2722">
        <v>5.9014669999999998E-2</v>
      </c>
      <c r="AA2722">
        <v>0.92130480000000003</v>
      </c>
      <c r="AB2722">
        <v>13</v>
      </c>
      <c r="AC2722">
        <v>14.8745999999999</v>
      </c>
      <c r="AD2722">
        <v>-1.1121261515700001</v>
      </c>
      <c r="AE2722">
        <v>-8.1341999999999892</v>
      </c>
      <c r="AF2722">
        <v>-6.5605850697261996</v>
      </c>
      <c r="AG2722">
        <v>-1.1121261515700001</v>
      </c>
      <c r="AH2722">
        <v>15.5537739800198</v>
      </c>
      <c r="AI2722">
        <v>93.769265257795595</v>
      </c>
      <c r="AJ2722">
        <v>112.870027185319</v>
      </c>
      <c r="AK2722">
        <v>16.917387093037199</v>
      </c>
      <c r="AL2722">
        <v>91.730632897873903</v>
      </c>
      <c r="AM2722">
        <v>87.584029950860398</v>
      </c>
      <c r="AN2722">
        <v>1.0000000189251399</v>
      </c>
    </row>
    <row r="2723" spans="1:40" x14ac:dyDescent="0.25">
      <c r="A2723" t="str">
        <f>"20190312161320966"</f>
        <v>20190312161320966</v>
      </c>
      <c r="B2723" t="str">
        <f>"1552378400958002"</f>
        <v>1552378400958002</v>
      </c>
      <c r="C2723" t="s">
        <v>40</v>
      </c>
      <c r="D2723">
        <v>5.2709910000000004</v>
      </c>
      <c r="E2723">
        <v>0.32330130000000001</v>
      </c>
      <c r="F2723" t="s">
        <v>69</v>
      </c>
      <c r="G2723">
        <v>-468.33629999999999</v>
      </c>
      <c r="H2723" s="1">
        <v>2.9586719999999998E-6</v>
      </c>
      <c r="I2723">
        <v>213.26009999999999</v>
      </c>
      <c r="J2723">
        <v>-482.90690000000001</v>
      </c>
      <c r="K2723">
        <v>1.112112</v>
      </c>
      <c r="L2723">
        <v>221.17400000000001</v>
      </c>
      <c r="M2723">
        <v>0.62578409999999995</v>
      </c>
      <c r="N2723">
        <v>0</v>
      </c>
      <c r="O2723">
        <v>-0.77986829999999996</v>
      </c>
      <c r="P2723">
        <v>0.59258009999999905</v>
      </c>
      <c r="Q2723">
        <v>-4.4265409999999998E-2</v>
      </c>
      <c r="R2723">
        <v>-0.80429479999999998</v>
      </c>
      <c r="S2723">
        <v>2.9045100000000001</v>
      </c>
      <c r="T2723">
        <v>-0.2203765</v>
      </c>
      <c r="U2723">
        <v>-1.5879970000000001</v>
      </c>
      <c r="V2723">
        <v>4.1308209999999998E-2</v>
      </c>
      <c r="W2723">
        <v>-2.9975640000000001E-2</v>
      </c>
      <c r="X2723">
        <v>0.99869669999999999</v>
      </c>
      <c r="Y2723">
        <v>-0.38214350000000002</v>
      </c>
      <c r="Z2723">
        <v>6.0102290000000003E-2</v>
      </c>
      <c r="AA2723">
        <v>0.92214640000000003</v>
      </c>
      <c r="AB2723">
        <v>13</v>
      </c>
      <c r="AC2723">
        <v>14.570600000000001</v>
      </c>
      <c r="AD2723">
        <v>-1.1121090413279999</v>
      </c>
      <c r="AE2723">
        <v>-7.9139000000000097</v>
      </c>
      <c r="AF2723">
        <v>-6.3826838594767104</v>
      </c>
      <c r="AG2723">
        <v>-1.1121090413279999</v>
      </c>
      <c r="AH2723">
        <v>15.2228960067907</v>
      </c>
      <c r="AI2723">
        <v>93.854345936539502</v>
      </c>
      <c r="AJ2723">
        <v>112.747419296435</v>
      </c>
      <c r="AK2723">
        <v>16.544243790617699</v>
      </c>
      <c r="AL2723">
        <v>91.717734962717799</v>
      </c>
      <c r="AM2723">
        <v>87.631475344524006</v>
      </c>
      <c r="AN2723">
        <v>1.00000000289885</v>
      </c>
    </row>
    <row r="2724" spans="1:40" x14ac:dyDescent="0.25">
      <c r="A2724" t="str">
        <f>"20190312161320999"</f>
        <v>20190312161320999</v>
      </c>
      <c r="B2724" t="str">
        <f>"1552378400988258"</f>
        <v>1552378400988258</v>
      </c>
      <c r="C2724" t="s">
        <v>40</v>
      </c>
      <c r="D2724">
        <v>5.3164669999999896</v>
      </c>
      <c r="E2724">
        <v>0.32564749999999998</v>
      </c>
      <c r="F2724" t="s">
        <v>69</v>
      </c>
      <c r="G2724">
        <v>-468.36669999999998</v>
      </c>
      <c r="H2724" s="1">
        <v>2.9713010000000001E-6</v>
      </c>
      <c r="I2724">
        <v>213.3407</v>
      </c>
      <c r="J2724">
        <v>-482.78379999999999</v>
      </c>
      <c r="K2724">
        <v>1.1120829999999999</v>
      </c>
      <c r="L2724">
        <v>221.03460000000001</v>
      </c>
      <c r="M2724">
        <v>0.63125769999999903</v>
      </c>
      <c r="N2724">
        <v>0</v>
      </c>
      <c r="O2724">
        <v>-0.77544569999999902</v>
      </c>
      <c r="P2724">
        <v>0.59964410000000001</v>
      </c>
      <c r="Q2724">
        <v>-4.5234150000000001E-2</v>
      </c>
      <c r="R2724">
        <v>-0.79898729999999996</v>
      </c>
      <c r="S2724">
        <v>2.9147639999999999</v>
      </c>
      <c r="T2724">
        <v>-0.22293540000000001</v>
      </c>
      <c r="U2724">
        <v>-1.5702969999999901</v>
      </c>
      <c r="V2724">
        <v>3.9505930000000002E-2</v>
      </c>
      <c r="W2724">
        <v>-3.1032130000000002E-2</v>
      </c>
      <c r="X2724">
        <v>0.99873730000000005</v>
      </c>
      <c r="Y2724">
        <v>-0.38130150000000002</v>
      </c>
      <c r="Z2724">
        <v>6.0543600000000003E-2</v>
      </c>
      <c r="AA2724">
        <v>0.92246600000000001</v>
      </c>
      <c r="AB2724">
        <v>13</v>
      </c>
      <c r="AC2724">
        <v>14.4171</v>
      </c>
      <c r="AD2724">
        <v>-1.112080028699</v>
      </c>
      <c r="AE2724">
        <v>-7.69390000000001</v>
      </c>
      <c r="AF2724">
        <v>-6.2943201971068499</v>
      </c>
      <c r="AG2724">
        <v>-1.112080028699</v>
      </c>
      <c r="AH2724">
        <v>14.999134490019999</v>
      </c>
      <c r="AI2724">
        <v>93.911061399279802</v>
      </c>
      <c r="AJ2724">
        <v>112.765140796512</v>
      </c>
      <c r="AK2724">
        <v>16.304270121156801</v>
      </c>
      <c r="AL2724">
        <v>91.778295654205294</v>
      </c>
      <c r="AM2724">
        <v>87.734796118846802</v>
      </c>
      <c r="AN2724">
        <v>0.99999995300439404</v>
      </c>
    </row>
    <row r="2725" spans="1:40" x14ac:dyDescent="0.25">
      <c r="A2725" t="str">
        <f>"20190312161321023"</f>
        <v>20190312161321023</v>
      </c>
      <c r="B2725" t="str">
        <f>"1552378401018514"</f>
        <v>1552378401018514</v>
      </c>
      <c r="C2725" t="s">
        <v>40</v>
      </c>
      <c r="D2725">
        <v>3.7558009999999999</v>
      </c>
      <c r="E2725">
        <v>0.32710109999999998</v>
      </c>
      <c r="F2725" t="s">
        <v>69</v>
      </c>
      <c r="G2725">
        <v>-469.12380000000002</v>
      </c>
      <c r="H2725" s="1">
        <v>3.356539E-6</v>
      </c>
      <c r="I2725">
        <v>213.74440000000001</v>
      </c>
      <c r="J2725">
        <v>-482.69569999999999</v>
      </c>
      <c r="K2725">
        <v>1.1120570000000001</v>
      </c>
      <c r="L2725">
        <v>220.9358</v>
      </c>
      <c r="M2725">
        <v>0.63513520000000001</v>
      </c>
      <c r="N2725">
        <v>0</v>
      </c>
      <c r="O2725">
        <v>-0.77227369999999995</v>
      </c>
      <c r="P2725">
        <v>0.60428899999999997</v>
      </c>
      <c r="Q2725">
        <v>-4.555874E-2</v>
      </c>
      <c r="R2725">
        <v>-0.79546190000000006</v>
      </c>
      <c r="S2725">
        <v>2.9133610000000001</v>
      </c>
      <c r="T2725">
        <v>-0.2371799</v>
      </c>
      <c r="U2725">
        <v>-1.5548249999999999</v>
      </c>
      <c r="V2725">
        <v>3.8679600000000001E-2</v>
      </c>
      <c r="W2725">
        <v>-3.1409659999999999E-2</v>
      </c>
      <c r="X2725">
        <v>0.99875789999999998</v>
      </c>
      <c r="Y2725">
        <v>-0.380021</v>
      </c>
      <c r="Z2725">
        <v>6.435958E-2</v>
      </c>
      <c r="AA2725">
        <v>0.922736</v>
      </c>
      <c r="AB2725">
        <v>13</v>
      </c>
      <c r="AC2725">
        <v>13.5718999999999</v>
      </c>
      <c r="AD2725">
        <v>-1.112053643461</v>
      </c>
      <c r="AE2725">
        <v>-7.1913999999999803</v>
      </c>
      <c r="AF2725">
        <v>-5.8834503159331497</v>
      </c>
      <c r="AG2725">
        <v>-1.112053643461</v>
      </c>
      <c r="AH2725">
        <v>14.101195062888401</v>
      </c>
      <c r="AI2725">
        <v>94.162730190635301</v>
      </c>
      <c r="AJ2725">
        <v>112.64739152867401</v>
      </c>
      <c r="AK2725">
        <v>15.319770008966101</v>
      </c>
      <c r="AL2725">
        <v>91.799936977460007</v>
      </c>
      <c r="AM2725">
        <v>87.782174376595904</v>
      </c>
      <c r="AN2725">
        <v>1.00000001050494</v>
      </c>
    </row>
    <row r="2726" spans="1:40" x14ac:dyDescent="0.25">
      <c r="A2726" t="str">
        <f>"20190312161321045"</f>
        <v>20190312161321045</v>
      </c>
      <c r="B2726" t="str">
        <f>"1552378401038034"</f>
        <v>1552378401038034</v>
      </c>
      <c r="C2726" t="s">
        <v>40</v>
      </c>
      <c r="D2726">
        <v>5.3999839999999999</v>
      </c>
      <c r="E2726">
        <v>0.32829770000000003</v>
      </c>
      <c r="F2726" t="s">
        <v>69</v>
      </c>
      <c r="G2726">
        <v>-469.5523</v>
      </c>
      <c r="H2726" s="1">
        <v>3.5747930000000001E-6</v>
      </c>
      <c r="I2726">
        <v>213.9684</v>
      </c>
      <c r="J2726">
        <v>-482.61470000000003</v>
      </c>
      <c r="K2726">
        <v>1.1120319999999999</v>
      </c>
      <c r="L2726">
        <v>220.8459</v>
      </c>
      <c r="M2726">
        <v>0.63866630000000002</v>
      </c>
      <c r="N2726">
        <v>0</v>
      </c>
      <c r="O2726">
        <v>-0.76935710000000002</v>
      </c>
      <c r="P2726">
        <v>0.60837799999999997</v>
      </c>
      <c r="Q2726">
        <v>-4.6380360000000002E-2</v>
      </c>
      <c r="R2726">
        <v>-0.79229130000000003</v>
      </c>
      <c r="S2726">
        <v>2.913116</v>
      </c>
      <c r="T2726">
        <v>-0.2464759</v>
      </c>
      <c r="U2726">
        <v>-1.5442659999999999</v>
      </c>
      <c r="V2726">
        <v>3.8082089999999999E-2</v>
      </c>
      <c r="W2726">
        <v>-3.2274610000000002E-2</v>
      </c>
      <c r="X2726">
        <v>0.99875320000000001</v>
      </c>
      <c r="Y2726">
        <v>-0.37817909999999999</v>
      </c>
      <c r="Z2726">
        <v>6.6762219999999997E-2</v>
      </c>
      <c r="AA2726">
        <v>0.92332190000000003</v>
      </c>
      <c r="AB2726">
        <v>13</v>
      </c>
      <c r="AC2726">
        <v>13.0624</v>
      </c>
      <c r="AD2726">
        <v>-1.1120284252069901</v>
      </c>
      <c r="AE2726">
        <v>-6.8774999999999897</v>
      </c>
      <c r="AF2726">
        <v>-5.6258509037806101</v>
      </c>
      <c r="AG2726">
        <v>-1.1120284252069901</v>
      </c>
      <c r="AH2726">
        <v>13.5581628604589</v>
      </c>
      <c r="AI2726">
        <v>94.332238503670894</v>
      </c>
      <c r="AJ2726">
        <v>112.535613953078</v>
      </c>
      <c r="AK2726">
        <v>14.7210932257344</v>
      </c>
      <c r="AL2726">
        <v>91.849520263755096</v>
      </c>
      <c r="AM2726">
        <v>87.816390942286105</v>
      </c>
      <c r="AN2726">
        <v>0.99999992526982695</v>
      </c>
    </row>
    <row r="2727" spans="1:40" x14ac:dyDescent="0.25">
      <c r="A2727" t="str">
        <f>"20190312161321070"</f>
        <v>20190312161321070</v>
      </c>
      <c r="B2727" t="str">
        <f>"1552378401058531"</f>
        <v>1552378401058531</v>
      </c>
      <c r="C2727" t="s">
        <v>40</v>
      </c>
      <c r="D2727">
        <v>5.4289230000000002</v>
      </c>
      <c r="E2727">
        <v>0.32946170000000002</v>
      </c>
      <c r="F2727" t="s">
        <v>63</v>
      </c>
      <c r="G2727">
        <v>-470.00330000000002</v>
      </c>
      <c r="H2727" s="1">
        <v>5.9390170000000001E-6</v>
      </c>
      <c r="I2727">
        <v>214.20529999999999</v>
      </c>
      <c r="J2727">
        <v>-482.52390000000003</v>
      </c>
      <c r="K2727">
        <v>1.1120049999999999</v>
      </c>
      <c r="L2727">
        <v>220.74600000000001</v>
      </c>
      <c r="M2727">
        <v>0.64258499999999996</v>
      </c>
      <c r="N2727">
        <v>0</v>
      </c>
      <c r="O2727">
        <v>-0.76608779999999999</v>
      </c>
      <c r="P2727">
        <v>0.61253199999999997</v>
      </c>
      <c r="Q2727">
        <v>-4.6536050000000002E-2</v>
      </c>
      <c r="R2727">
        <v>-0.78907479999999997</v>
      </c>
      <c r="S2727">
        <v>2.9135740000000001</v>
      </c>
      <c r="T2727">
        <v>-0.25690809999999997</v>
      </c>
      <c r="U2727">
        <v>-1.534149</v>
      </c>
      <c r="V2727">
        <v>3.7925739999999999E-2</v>
      </c>
      <c r="W2727">
        <v>-3.2471399999999997E-2</v>
      </c>
      <c r="X2727">
        <v>0.9987528</v>
      </c>
      <c r="Y2727">
        <v>-0.37581249999999999</v>
      </c>
      <c r="Z2727">
        <v>6.9406289999999995E-2</v>
      </c>
      <c r="AA2727">
        <v>0.92409289999999999</v>
      </c>
      <c r="AB2727">
        <v>13</v>
      </c>
      <c r="AC2727">
        <v>12.5206</v>
      </c>
      <c r="AD2727">
        <v>-1.1119990609829999</v>
      </c>
      <c r="AE2727">
        <v>-6.5406999999999798</v>
      </c>
      <c r="AF2727">
        <v>-5.35625452138272</v>
      </c>
      <c r="AG2727">
        <v>-1.1119990609829999</v>
      </c>
      <c r="AH2727">
        <v>12.977150448244499</v>
      </c>
      <c r="AI2727">
        <v>94.528793252961293</v>
      </c>
      <c r="AJ2727">
        <v>112.42814478644399</v>
      </c>
      <c r="AK2727">
        <v>14.0830550011647</v>
      </c>
      <c r="AL2727">
        <v>91.860801359518803</v>
      </c>
      <c r="AM2727">
        <v>87.825346482266298</v>
      </c>
      <c r="AN2727">
        <v>0.99999995454017199</v>
      </c>
    </row>
    <row r="2728" spans="1:40" x14ac:dyDescent="0.25">
      <c r="A2728" t="str">
        <f>"20190312161321090"</f>
        <v>20190312161321090</v>
      </c>
      <c r="B2728" t="str">
        <f>"1552378401088787"</f>
        <v>1552378401088787</v>
      </c>
      <c r="C2728" t="s">
        <v>40</v>
      </c>
      <c r="D2728">
        <v>5.4399889999999997</v>
      </c>
      <c r="E2728">
        <v>0.33072449999999998</v>
      </c>
      <c r="F2728" t="s">
        <v>63</v>
      </c>
      <c r="G2728">
        <v>-470.32679999999999</v>
      </c>
      <c r="H2728" s="1">
        <v>5.8026810000000001E-6</v>
      </c>
      <c r="I2728">
        <v>214.36789999999999</v>
      </c>
      <c r="J2728">
        <v>-482.44209999999998</v>
      </c>
      <c r="K2728">
        <v>1.1119840000000001</v>
      </c>
      <c r="L2728">
        <v>220.65700000000001</v>
      </c>
      <c r="M2728">
        <v>0.64607510000000001</v>
      </c>
      <c r="N2728">
        <v>0</v>
      </c>
      <c r="O2728">
        <v>-0.76314740000000003</v>
      </c>
      <c r="P2728">
        <v>0.61589839999999996</v>
      </c>
      <c r="Q2728">
        <v>-4.736435E-2</v>
      </c>
      <c r="R2728">
        <v>-0.78640089999999996</v>
      </c>
      <c r="S2728">
        <v>2.914307</v>
      </c>
      <c r="T2728">
        <v>-0.2656945</v>
      </c>
      <c r="U2728">
        <v>-1.523941</v>
      </c>
      <c r="V2728">
        <v>3.8186299999999999E-2</v>
      </c>
      <c r="W2728">
        <v>-3.3331270000000003E-2</v>
      </c>
      <c r="X2728">
        <v>0.99871460000000001</v>
      </c>
      <c r="Y2728">
        <v>-0.37403510000000001</v>
      </c>
      <c r="Z2728">
        <v>7.1624649999999998E-2</v>
      </c>
      <c r="AA2728">
        <v>0.92464460000000004</v>
      </c>
      <c r="AB2728">
        <v>13</v>
      </c>
      <c r="AC2728">
        <v>12.1152999999999</v>
      </c>
      <c r="AD2728">
        <v>-1.1119781973189999</v>
      </c>
      <c r="AE2728">
        <v>-6.2891000000000101</v>
      </c>
      <c r="AF2728">
        <v>-5.1488614880170802</v>
      </c>
      <c r="AG2728">
        <v>-1.1119781973189999</v>
      </c>
      <c r="AH2728">
        <v>12.5448757331223</v>
      </c>
      <c r="AI2728">
        <v>94.687869475683001</v>
      </c>
      <c r="AJ2728">
        <v>112.3149840001</v>
      </c>
      <c r="AK2728">
        <v>13.6059243454305</v>
      </c>
      <c r="AL2728">
        <v>91.910094867230498</v>
      </c>
      <c r="AM2728">
        <v>87.810336853990293</v>
      </c>
      <c r="AN2728">
        <v>1.0000000096603301</v>
      </c>
    </row>
    <row r="2729" spans="1:40" x14ac:dyDescent="0.25">
      <c r="A2729" t="str">
        <f>"20190312161321113"</f>
        <v>20190312161321113</v>
      </c>
      <c r="B2729" t="str">
        <f>"1552378401108307"</f>
        <v>1552378401108307</v>
      </c>
      <c r="C2729" t="s">
        <v>40</v>
      </c>
      <c r="D2729">
        <v>5.5689279999999997</v>
      </c>
      <c r="E2729">
        <v>0.33161269999999998</v>
      </c>
      <c r="F2729" t="s">
        <v>63</v>
      </c>
      <c r="G2729">
        <v>-470.71499999999997</v>
      </c>
      <c r="H2729" s="1">
        <v>5.6383919999999999E-6</v>
      </c>
      <c r="I2729">
        <v>214.54820000000001</v>
      </c>
      <c r="J2729">
        <v>-482.3578</v>
      </c>
      <c r="K2729">
        <v>1.111964</v>
      </c>
      <c r="L2729">
        <v>220.56620000000001</v>
      </c>
      <c r="M2729">
        <v>0.64963139999999997</v>
      </c>
      <c r="N2729">
        <v>0</v>
      </c>
      <c r="O2729">
        <v>-0.76012270000000004</v>
      </c>
      <c r="P2729">
        <v>0.61880449999999998</v>
      </c>
      <c r="Q2729">
        <v>-4.7527590000000002E-2</v>
      </c>
      <c r="R2729">
        <v>-0.78410630000000003</v>
      </c>
      <c r="S2729">
        <v>2.912506</v>
      </c>
      <c r="T2729">
        <v>-0.27616780000000002</v>
      </c>
      <c r="U2729">
        <v>-1.517166</v>
      </c>
      <c r="V2729">
        <v>3.9145800000000001E-2</v>
      </c>
      <c r="W2729">
        <v>-3.3520429999999997E-2</v>
      </c>
      <c r="X2729">
        <v>0.99867110000000003</v>
      </c>
      <c r="Y2729">
        <v>-0.37093510000000002</v>
      </c>
      <c r="Z2729">
        <v>7.4250969999999999E-2</v>
      </c>
      <c r="AA2729">
        <v>0.92568569999999994</v>
      </c>
      <c r="AB2729">
        <v>13</v>
      </c>
      <c r="AC2729">
        <v>11.642799999999999</v>
      </c>
      <c r="AD2729">
        <v>-1.111958361608</v>
      </c>
      <c r="AE2729">
        <v>-6.0179999999999998</v>
      </c>
      <c r="AF2729">
        <v>-4.9056384467897596</v>
      </c>
      <c r="AG2729">
        <v>-1.111958361608</v>
      </c>
      <c r="AH2729">
        <v>12.052359576102299</v>
      </c>
      <c r="AI2729">
        <v>94.884243106009293</v>
      </c>
      <c r="AJ2729">
        <v>112.147661238956</v>
      </c>
      <c r="AK2729">
        <v>13.0599047209479</v>
      </c>
      <c r="AL2729">
        <v>91.920939035367994</v>
      </c>
      <c r="AM2729">
        <v>87.755275516196306</v>
      </c>
      <c r="AN2729">
        <v>0.99999998943011703</v>
      </c>
    </row>
    <row r="2730" spans="1:40" x14ac:dyDescent="0.25">
      <c r="A2730" t="str">
        <f>"20190312161321134"</f>
        <v>20190312161321134</v>
      </c>
      <c r="B2730" t="str">
        <f>"1552378401128803"</f>
        <v>1552378401128803</v>
      </c>
      <c r="C2730" t="s">
        <v>40</v>
      </c>
      <c r="D2730">
        <v>5.4395319999999998</v>
      </c>
      <c r="E2730">
        <v>0.33722200000000002</v>
      </c>
      <c r="F2730" t="s">
        <v>63</v>
      </c>
      <c r="G2730">
        <v>-470.72019999999998</v>
      </c>
      <c r="H2730" s="1">
        <v>5.6353359999999901E-6</v>
      </c>
      <c r="I2730">
        <v>214.53120000000001</v>
      </c>
      <c r="J2730">
        <v>-482.27690000000001</v>
      </c>
      <c r="K2730">
        <v>1.1119410000000001</v>
      </c>
      <c r="L2730">
        <v>220.4796</v>
      </c>
      <c r="M2730">
        <v>0.65302069999999901</v>
      </c>
      <c r="N2730">
        <v>0</v>
      </c>
      <c r="O2730">
        <v>-0.75721340000000004</v>
      </c>
      <c r="P2730">
        <v>0.62142209999999998</v>
      </c>
      <c r="Q2730">
        <v>-4.7724599999999999E-2</v>
      </c>
      <c r="R2730">
        <v>-0.78202119999999997</v>
      </c>
      <c r="S2730">
        <v>2.9126889999999999</v>
      </c>
      <c r="T2730">
        <v>-0.27830310000000003</v>
      </c>
      <c r="U2730">
        <v>-1.5104519999999999</v>
      </c>
      <c r="V2730">
        <v>4.0259990000000002E-2</v>
      </c>
      <c r="W2730">
        <v>-3.3738599999999903E-2</v>
      </c>
      <c r="X2730">
        <v>0.99861949999999999</v>
      </c>
      <c r="Y2730">
        <v>-0.36845139999999998</v>
      </c>
      <c r="Z2730">
        <v>7.462162E-2</v>
      </c>
      <c r="AA2730">
        <v>0.92664729999999995</v>
      </c>
      <c r="AB2730">
        <v>13</v>
      </c>
      <c r="AC2730">
        <v>11.556699999999999</v>
      </c>
      <c r="AD2730">
        <v>-1.111935364664</v>
      </c>
      <c r="AE2730">
        <v>-5.9483999999999897</v>
      </c>
      <c r="AF2730">
        <v>-4.8315665817470101</v>
      </c>
      <c r="AG2730">
        <v>-1.111935364664</v>
      </c>
      <c r="AH2730">
        <v>11.9645653811424</v>
      </c>
      <c r="AI2730">
        <v>94.925271455504202</v>
      </c>
      <c r="AJ2730">
        <v>111.989988883216</v>
      </c>
      <c r="AK2730">
        <v>12.951110402149901</v>
      </c>
      <c r="AL2730">
        <v>91.933446246282401</v>
      </c>
      <c r="AM2730">
        <v>87.691333906377906</v>
      </c>
      <c r="AN2730">
        <v>1.0000000328525001</v>
      </c>
    </row>
    <row r="2731" spans="1:40" x14ac:dyDescent="0.25">
      <c r="A2731" t="str">
        <f>"20190312161321156"</f>
        <v>20190312161321156</v>
      </c>
      <c r="B2731" t="str">
        <f>"1552378401148322"</f>
        <v>1552378401148322</v>
      </c>
      <c r="C2731" t="s">
        <v>40</v>
      </c>
      <c r="D2731">
        <v>5.4556909999999998</v>
      </c>
      <c r="E2731">
        <v>0.34132220000000002</v>
      </c>
      <c r="F2731" t="s">
        <v>69</v>
      </c>
      <c r="G2731">
        <v>-458.08960000000002</v>
      </c>
      <c r="H2731">
        <v>8.0000859999999993E-2</v>
      </c>
      <c r="I2731">
        <v>207.56299999999999</v>
      </c>
      <c r="J2731">
        <v>-482.19290000000001</v>
      </c>
      <c r="K2731">
        <v>1.111928</v>
      </c>
      <c r="L2731">
        <v>220.39060000000001</v>
      </c>
      <c r="M2731">
        <v>0.65650520000000001</v>
      </c>
      <c r="N2731">
        <v>0</v>
      </c>
      <c r="O2731">
        <v>-0.75419459999999905</v>
      </c>
      <c r="P2731">
        <v>0.62457099999999999</v>
      </c>
      <c r="Q2731">
        <v>-4.754154E-2</v>
      </c>
      <c r="R2731">
        <v>-0.77951969999999904</v>
      </c>
      <c r="S2731">
        <v>2.881653</v>
      </c>
      <c r="T2731">
        <v>-0.1229447</v>
      </c>
      <c r="U2731">
        <v>-1.5388790000000001</v>
      </c>
      <c r="V2731">
        <v>4.084231E-2</v>
      </c>
      <c r="W2731">
        <v>-3.3576109999999999E-2</v>
      </c>
      <c r="X2731">
        <v>0.99860130000000003</v>
      </c>
      <c r="Y2731">
        <v>-0.35543819999999998</v>
      </c>
      <c r="Z2731">
        <v>3.2909420000000002E-2</v>
      </c>
      <c r="AA2731">
        <v>0.93412030000000001</v>
      </c>
      <c r="AB2731">
        <v>13</v>
      </c>
      <c r="AC2731">
        <v>24.103299999999901</v>
      </c>
      <c r="AD2731">
        <v>-1.0319271400000001</v>
      </c>
      <c r="AE2731">
        <v>-12.8276</v>
      </c>
      <c r="AF2731">
        <v>-9.7442082915830799</v>
      </c>
      <c r="AG2731">
        <v>-1.0319271400000001</v>
      </c>
      <c r="AH2731">
        <v>25.464516579016301</v>
      </c>
      <c r="AI2731">
        <v>92.167483094918296</v>
      </c>
      <c r="AJ2731">
        <v>110.939763772207</v>
      </c>
      <c r="AK2731">
        <v>27.284722345206699</v>
      </c>
      <c r="AL2731">
        <v>91.924131035264395</v>
      </c>
      <c r="AM2731">
        <v>87.657935670249699</v>
      </c>
      <c r="AN2731">
        <v>1.00000000290527</v>
      </c>
    </row>
    <row r="2732" spans="1:40" x14ac:dyDescent="0.25">
      <c r="A2732" t="str">
        <f>"20190312161321180"</f>
        <v>20190312161321180</v>
      </c>
      <c r="B2732" t="str">
        <f>"1552378401178578"</f>
        <v>1552378401178578</v>
      </c>
      <c r="C2732" t="s">
        <v>40</v>
      </c>
      <c r="D2732">
        <v>5.5110449999999904</v>
      </c>
      <c r="E2732">
        <v>0.34146799999999999</v>
      </c>
      <c r="F2732" t="s">
        <v>69</v>
      </c>
      <c r="G2732">
        <v>-458.37189999999998</v>
      </c>
      <c r="H2732">
        <v>8.0000779999999994E-2</v>
      </c>
      <c r="I2732">
        <v>207.511</v>
      </c>
      <c r="J2732">
        <v>-482.10129999999998</v>
      </c>
      <c r="K2732">
        <v>1.111915</v>
      </c>
      <c r="L2732">
        <v>220.2945</v>
      </c>
      <c r="M2732">
        <v>0.66026439999999997</v>
      </c>
      <c r="N2732">
        <v>0</v>
      </c>
      <c r="O2732">
        <v>-0.75090619999999997</v>
      </c>
      <c r="P2732">
        <v>0.62820559999999903</v>
      </c>
      <c r="Q2732">
        <v>-4.7594400000000002E-2</v>
      </c>
      <c r="R2732">
        <v>-0.77659069999999997</v>
      </c>
      <c r="S2732">
        <v>2.8623349999999999</v>
      </c>
      <c r="T2732">
        <v>-0.12399689999999999</v>
      </c>
      <c r="U2732">
        <v>-1.547623</v>
      </c>
      <c r="V2732">
        <v>4.1162789999999998E-2</v>
      </c>
      <c r="W2732">
        <v>-3.3649779999999997E-2</v>
      </c>
      <c r="X2732">
        <v>0.99858559999999996</v>
      </c>
      <c r="Y2732">
        <v>-0.34591559999999999</v>
      </c>
      <c r="Z2732">
        <v>3.3090960000000003E-2</v>
      </c>
      <c r="AA2732">
        <v>0.93768189999999996</v>
      </c>
      <c r="AB2732">
        <v>13</v>
      </c>
      <c r="AC2732">
        <v>23.729399999999998</v>
      </c>
      <c r="AD2732">
        <v>-1.03191422</v>
      </c>
      <c r="AE2732">
        <v>-12.7835</v>
      </c>
      <c r="AF2732">
        <v>-9.3652316427045008</v>
      </c>
      <c r="AG2732">
        <v>-1.03191422</v>
      </c>
      <c r="AH2732">
        <v>25.232314838981502</v>
      </c>
      <c r="AI2732">
        <v>92.195690634066494</v>
      </c>
      <c r="AJ2732">
        <v>110.36292287727299</v>
      </c>
      <c r="AK2732">
        <v>26.934032798904099</v>
      </c>
      <c r="AL2732">
        <v>91.928354519818996</v>
      </c>
      <c r="AM2732">
        <v>87.639541679085298</v>
      </c>
      <c r="AN2732">
        <v>0.99999994175099405</v>
      </c>
    </row>
    <row r="2733" spans="1:40" x14ac:dyDescent="0.25">
      <c r="A2733" t="str">
        <f>"20190312161321202"</f>
        <v>20190312161321202</v>
      </c>
      <c r="B2733" t="str">
        <f>"1552378401198099"</f>
        <v>1552378401198099</v>
      </c>
      <c r="C2733" t="s">
        <v>40</v>
      </c>
      <c r="D2733">
        <v>5.545642</v>
      </c>
      <c r="E2733">
        <v>0.3421052</v>
      </c>
      <c r="F2733" t="s">
        <v>69</v>
      </c>
      <c r="G2733">
        <v>-456.47309999999999</v>
      </c>
      <c r="H2733">
        <v>8.0001379999999997E-2</v>
      </c>
      <c r="I2733">
        <v>206.57579999999999</v>
      </c>
      <c r="J2733">
        <v>-482.01990000000001</v>
      </c>
      <c r="K2733">
        <v>1.1119079999999999</v>
      </c>
      <c r="L2733">
        <v>220.2099</v>
      </c>
      <c r="M2733">
        <v>0.66358149999999905</v>
      </c>
      <c r="N2733">
        <v>0</v>
      </c>
      <c r="O2733">
        <v>-0.747977</v>
      </c>
      <c r="P2733">
        <v>0.63108929999999996</v>
      </c>
      <c r="Q2733">
        <v>-4.7907749999999999E-2</v>
      </c>
      <c r="R2733">
        <v>-0.77422969999999902</v>
      </c>
      <c r="S2733">
        <v>2.8685909999999999</v>
      </c>
      <c r="T2733">
        <v>-0.1155031</v>
      </c>
      <c r="U2733">
        <v>-1.5355529999999999</v>
      </c>
      <c r="V2733">
        <v>4.1855980000000001E-2</v>
      </c>
      <c r="W2733">
        <v>-3.397824E-2</v>
      </c>
      <c r="X2733">
        <v>0.99854569999999998</v>
      </c>
      <c r="Y2733">
        <v>-0.34576479999999998</v>
      </c>
      <c r="Z2733">
        <v>3.074346E-2</v>
      </c>
      <c r="AA2733">
        <v>0.93781749999999997</v>
      </c>
      <c r="AB2733">
        <v>13</v>
      </c>
      <c r="AC2733">
        <v>25.546800000000001</v>
      </c>
      <c r="AD2733">
        <v>-1.03190662</v>
      </c>
      <c r="AE2733">
        <v>-13.6341</v>
      </c>
      <c r="AF2733">
        <v>-10.0492768384899</v>
      </c>
      <c r="AG2733">
        <v>-1.03190662</v>
      </c>
      <c r="AH2733">
        <v>27.118519415730699</v>
      </c>
      <c r="AI2733">
        <v>92.043484200194996</v>
      </c>
      <c r="AJ2733">
        <v>110.33313326346</v>
      </c>
      <c r="AK2733">
        <v>28.939020224437002</v>
      </c>
      <c r="AL2733">
        <v>91.947184587510705</v>
      </c>
      <c r="AM2733">
        <v>87.599741376323195</v>
      </c>
      <c r="AN2733">
        <v>0.99999997942187302</v>
      </c>
    </row>
    <row r="2734" spans="1:40" x14ac:dyDescent="0.25">
      <c r="A2734" t="str">
        <f>"20190312161321224"</f>
        <v>20190312161321224</v>
      </c>
      <c r="B2734" t="str">
        <f>"1552378401218594"</f>
        <v>1552378401218594</v>
      </c>
      <c r="C2734" t="s">
        <v>40</v>
      </c>
      <c r="D2734">
        <v>5.5271860000000004</v>
      </c>
      <c r="E2734">
        <v>0.34292149999999999</v>
      </c>
      <c r="F2734" t="s">
        <v>69</v>
      </c>
      <c r="G2734">
        <v>-456.27010000000001</v>
      </c>
      <c r="H2734">
        <v>8.0001439999999993E-2</v>
      </c>
      <c r="I2734">
        <v>206.50059999999999</v>
      </c>
      <c r="J2734">
        <v>-481.93849999999998</v>
      </c>
      <c r="K2734">
        <v>1.111899</v>
      </c>
      <c r="L2734">
        <v>220.126</v>
      </c>
      <c r="M2734">
        <v>0.66686809999999996</v>
      </c>
      <c r="N2734">
        <v>0</v>
      </c>
      <c r="O2734">
        <v>-0.7450485</v>
      </c>
      <c r="P2734">
        <v>0.63388809999999995</v>
      </c>
      <c r="Q2734">
        <v>-4.7922989999999999E-2</v>
      </c>
      <c r="R2734">
        <v>-0.77193900000000004</v>
      </c>
      <c r="S2734">
        <v>2.8702700000000001</v>
      </c>
      <c r="T2734">
        <v>-0.1150241</v>
      </c>
      <c r="U2734">
        <v>-1.5281370000000001</v>
      </c>
      <c r="V2734">
        <v>4.2635569999999998E-2</v>
      </c>
      <c r="W2734">
        <v>-3.4006330000000001E-2</v>
      </c>
      <c r="X2734">
        <v>0.99851179999999995</v>
      </c>
      <c r="Y2734">
        <v>-0.34375359999999899</v>
      </c>
      <c r="Z2734">
        <v>3.0526149999999998E-2</v>
      </c>
      <c r="AA2734">
        <v>0.93856360000000005</v>
      </c>
      <c r="AB2734">
        <v>13</v>
      </c>
      <c r="AC2734">
        <v>25.668399999999899</v>
      </c>
      <c r="AD2734">
        <v>-1.03189756</v>
      </c>
      <c r="AE2734">
        <v>-13.6253999999999</v>
      </c>
      <c r="AF2734">
        <v>-10.0261688674823</v>
      </c>
      <c r="AG2734">
        <v>-1.03189756</v>
      </c>
      <c r="AH2734">
        <v>27.2372652328533</v>
      </c>
      <c r="AI2734">
        <v>92.036193461051894</v>
      </c>
      <c r="AJ2734">
        <v>110.208904882913</v>
      </c>
      <c r="AK2734">
        <v>29.042339645738</v>
      </c>
      <c r="AL2734">
        <v>91.948794880398296</v>
      </c>
      <c r="AM2734">
        <v>87.555006125985201</v>
      </c>
      <c r="AN2734">
        <v>1.0000000185242599</v>
      </c>
    </row>
    <row r="2735" spans="1:40" x14ac:dyDescent="0.25">
      <c r="A2735" t="str">
        <f>"20190312161321247"</f>
        <v>20190312161321247</v>
      </c>
      <c r="B2735" t="str">
        <f>"1552378401238114"</f>
        <v>1552378401238114</v>
      </c>
      <c r="C2735" t="s">
        <v>40</v>
      </c>
      <c r="D2735">
        <v>5.5731039999999998</v>
      </c>
      <c r="E2735">
        <v>0.34433999999999998</v>
      </c>
      <c r="F2735" t="s">
        <v>69</v>
      </c>
      <c r="G2735">
        <v>-456.37950000000001</v>
      </c>
      <c r="H2735">
        <v>8.0001409999999995E-2</v>
      </c>
      <c r="I2735">
        <v>206.5772</v>
      </c>
      <c r="J2735">
        <v>-481.84429999999998</v>
      </c>
      <c r="K2735">
        <v>1.11189</v>
      </c>
      <c r="L2735">
        <v>220.02969999999999</v>
      </c>
      <c r="M2735">
        <v>0.67064789999999996</v>
      </c>
      <c r="N2735">
        <v>0</v>
      </c>
      <c r="O2735">
        <v>-0.74164809999999903</v>
      </c>
      <c r="P2735">
        <v>0.63753199999999999</v>
      </c>
      <c r="Q2735">
        <v>-4.7789529999999997E-2</v>
      </c>
      <c r="R2735">
        <v>-0.76894039999999997</v>
      </c>
      <c r="S2735">
        <v>2.8707579999999999</v>
      </c>
      <c r="T2735">
        <v>-0.11590159999999999</v>
      </c>
      <c r="U2735">
        <v>-1.52179</v>
      </c>
      <c r="V2735">
        <v>4.2994320000000003E-2</v>
      </c>
      <c r="W2735">
        <v>-3.3887300000000002E-2</v>
      </c>
      <c r="X2735">
        <v>0.99850050000000001</v>
      </c>
      <c r="Y2735">
        <v>-0.34065600000000001</v>
      </c>
      <c r="Z2735">
        <v>3.0644930000000001E-2</v>
      </c>
      <c r="AA2735">
        <v>0.93968839999999998</v>
      </c>
      <c r="AB2735">
        <v>12</v>
      </c>
      <c r="AC2735">
        <v>25.464799999999901</v>
      </c>
      <c r="AD2735">
        <v>-1.0318885900000001</v>
      </c>
      <c r="AE2735">
        <v>-13.452499999999899</v>
      </c>
      <c r="AF2735">
        <v>-9.8523162293632094</v>
      </c>
      <c r="AG2735">
        <v>-1.0318885900000001</v>
      </c>
      <c r="AH2735">
        <v>27.022808254033102</v>
      </c>
      <c r="AI2735">
        <v>92.054648960695999</v>
      </c>
      <c r="AJ2735">
        <v>110.03148190503499</v>
      </c>
      <c r="AK2735">
        <v>28.781332406262599</v>
      </c>
      <c r="AL2735">
        <v>91.941970960856807</v>
      </c>
      <c r="AM2735">
        <v>87.534430540724898</v>
      </c>
      <c r="AN2735">
        <v>1.0000000545768899</v>
      </c>
    </row>
    <row r="2736" spans="1:40" x14ac:dyDescent="0.25">
      <c r="A2736" t="str">
        <f>"20190312161321270"</f>
        <v>20190312161321270</v>
      </c>
      <c r="B2736" t="str">
        <f>"1552378401258610"</f>
        <v>1552378401258610</v>
      </c>
      <c r="C2736" t="s">
        <v>40</v>
      </c>
      <c r="D2736">
        <v>5.6093890000000002</v>
      </c>
      <c r="E2736">
        <v>0.34549439999999998</v>
      </c>
      <c r="F2736" t="s">
        <v>69</v>
      </c>
      <c r="G2736">
        <v>-458.0992</v>
      </c>
      <c r="H2736">
        <v>8.0000859999999993E-2</v>
      </c>
      <c r="I2736">
        <v>207.49369999999999</v>
      </c>
      <c r="J2736">
        <v>-481.75979999999998</v>
      </c>
      <c r="K2736">
        <v>1.1118859999999999</v>
      </c>
      <c r="L2736">
        <v>219.9443</v>
      </c>
      <c r="M2736">
        <v>0.67401529999999998</v>
      </c>
      <c r="N2736">
        <v>0</v>
      </c>
      <c r="O2736">
        <v>-0.73858919999999995</v>
      </c>
      <c r="P2736">
        <v>0.64040949999999996</v>
      </c>
      <c r="Q2736">
        <v>-4.8004169999999999E-2</v>
      </c>
      <c r="R2736">
        <v>-0.7665324</v>
      </c>
      <c r="S2736">
        <v>2.8692630000000001</v>
      </c>
      <c r="T2736">
        <v>-0.1246892</v>
      </c>
      <c r="U2736">
        <v>-1.5148010000000001</v>
      </c>
      <c r="V2736">
        <v>4.3786329999999998E-2</v>
      </c>
      <c r="W2736">
        <v>-3.4111320000000001E-2</v>
      </c>
      <c r="X2736">
        <v>0.99845839999999997</v>
      </c>
      <c r="Y2736">
        <v>-0.33787850000000003</v>
      </c>
      <c r="Z2736">
        <v>3.2878539999999998E-2</v>
      </c>
      <c r="AA2736">
        <v>0.94061530000000004</v>
      </c>
      <c r="AB2736">
        <v>12</v>
      </c>
      <c r="AC2736">
        <v>23.660599999999899</v>
      </c>
      <c r="AD2736">
        <v>-1.03188514</v>
      </c>
      <c r="AE2736">
        <v>-12.4506</v>
      </c>
      <c r="AF2736">
        <v>-9.0709174065884195</v>
      </c>
      <c r="AG2736">
        <v>-1.03188514</v>
      </c>
      <c r="AH2736">
        <v>25.1084660014006</v>
      </c>
      <c r="AI2736">
        <v>92.213499432381596</v>
      </c>
      <c r="AJ2736">
        <v>109.863230893451</v>
      </c>
      <c r="AK2736">
        <v>26.716687565691799</v>
      </c>
      <c r="AL2736">
        <v>91.954813891088904</v>
      </c>
      <c r="AM2736">
        <v>87.488963486493304</v>
      </c>
      <c r="AN2736">
        <v>1.0000000006887799</v>
      </c>
    </row>
    <row r="2737" spans="1:40" x14ac:dyDescent="0.25">
      <c r="A2737" t="str">
        <f>"20190312161321290"</f>
        <v>20190312161321290</v>
      </c>
      <c r="B2737" t="str">
        <f>"1552378401288867"</f>
        <v>1552378401288867</v>
      </c>
      <c r="C2737" t="s">
        <v>40</v>
      </c>
      <c r="D2737">
        <v>5.6452799999999996</v>
      </c>
      <c r="E2737">
        <v>0.34625270000000002</v>
      </c>
      <c r="F2737" t="s">
        <v>69</v>
      </c>
      <c r="G2737">
        <v>-459.02859999999998</v>
      </c>
      <c r="H2737">
        <v>8.0000569999999993E-2</v>
      </c>
      <c r="I2737">
        <v>207.9802</v>
      </c>
      <c r="J2737">
        <v>-481.67950000000002</v>
      </c>
      <c r="K2737">
        <v>1.1118859999999999</v>
      </c>
      <c r="L2737">
        <v>219.864</v>
      </c>
      <c r="M2737">
        <v>0.6771954</v>
      </c>
      <c r="N2737">
        <v>0</v>
      </c>
      <c r="O2737">
        <v>-0.73567490000000002</v>
      </c>
      <c r="P2737">
        <v>0.64303330000000003</v>
      </c>
      <c r="Q2737">
        <v>-4.8348170000000003E-2</v>
      </c>
      <c r="R2737">
        <v>-0.76431059999999995</v>
      </c>
      <c r="S2737">
        <v>2.8678889999999999</v>
      </c>
      <c r="T2737">
        <v>-0.13018830000000001</v>
      </c>
      <c r="U2737">
        <v>-1.50946</v>
      </c>
      <c r="V2737">
        <v>4.4657259999999997E-2</v>
      </c>
      <c r="W2737">
        <v>-3.4461949999999998E-2</v>
      </c>
      <c r="X2737">
        <v>0.99840779999999996</v>
      </c>
      <c r="Y2737">
        <v>-0.33494689999999999</v>
      </c>
      <c r="Z2737">
        <v>3.4227809999999997E-2</v>
      </c>
      <c r="AA2737">
        <v>0.94161510000000004</v>
      </c>
      <c r="AB2737">
        <v>12</v>
      </c>
      <c r="AC2737">
        <v>22.6509</v>
      </c>
      <c r="AD2737">
        <v>-1.03188543</v>
      </c>
      <c r="AE2737">
        <v>-11.883800000000001</v>
      </c>
      <c r="AF2737">
        <v>-8.6028572238005196</v>
      </c>
      <c r="AG2737">
        <v>-1.03188543</v>
      </c>
      <c r="AH2737">
        <v>24.044842128837999</v>
      </c>
      <c r="AI2737">
        <v>92.313873698059098</v>
      </c>
      <c r="AJ2737">
        <v>109.68639126735999</v>
      </c>
      <c r="AK2737">
        <v>25.558332749897499</v>
      </c>
      <c r="AL2737">
        <v>91.974915298960894</v>
      </c>
      <c r="AM2737">
        <v>87.438954059370403</v>
      </c>
      <c r="AN2737">
        <v>1.00000001598467</v>
      </c>
    </row>
    <row r="2738" spans="1:40" x14ac:dyDescent="0.25">
      <c r="A2738" t="str">
        <f>"20190312161321312"</f>
        <v>20190312161321312</v>
      </c>
      <c r="B2738" t="str">
        <f>"1552378401308387"</f>
        <v>1552378401308387</v>
      </c>
      <c r="C2738" t="s">
        <v>40</v>
      </c>
      <c r="D2738">
        <v>5.6121259999999999</v>
      </c>
      <c r="E2738">
        <v>0.34694629999999999</v>
      </c>
      <c r="F2738" t="s">
        <v>69</v>
      </c>
      <c r="G2738">
        <v>-458.89089999999999</v>
      </c>
      <c r="H2738">
        <v>8.0000619999999995E-2</v>
      </c>
      <c r="I2738">
        <v>207.91810000000001</v>
      </c>
      <c r="J2738">
        <v>-481.59539999999998</v>
      </c>
      <c r="K2738">
        <v>1.11189</v>
      </c>
      <c r="L2738">
        <v>219.78059999999999</v>
      </c>
      <c r="M2738">
        <v>0.68051450000000002</v>
      </c>
      <c r="N2738">
        <v>0</v>
      </c>
      <c r="O2738">
        <v>-0.73260590000000003</v>
      </c>
      <c r="P2738">
        <v>0.64591709999999902</v>
      </c>
      <c r="Q2738">
        <v>-4.7841500000000002E-2</v>
      </c>
      <c r="R2738">
        <v>-0.76190719999999901</v>
      </c>
      <c r="S2738">
        <v>2.868347</v>
      </c>
      <c r="T2738">
        <v>-0.12988089999999999</v>
      </c>
      <c r="U2738">
        <v>-1.503601</v>
      </c>
      <c r="V2738">
        <v>4.541779E-2</v>
      </c>
      <c r="W2738">
        <v>-3.3960419999999998E-2</v>
      </c>
      <c r="X2738">
        <v>0.99839069999999996</v>
      </c>
      <c r="Y2738">
        <v>-0.33226129999999998</v>
      </c>
      <c r="Z2738">
        <v>3.4031470000000001E-2</v>
      </c>
      <c r="AA2738">
        <v>0.9425732</v>
      </c>
      <c r="AB2738">
        <v>12</v>
      </c>
      <c r="AC2738">
        <v>22.704499999999999</v>
      </c>
      <c r="AD2738">
        <v>-1.03188938</v>
      </c>
      <c r="AE2738">
        <v>-11.862499999999899</v>
      </c>
      <c r="AF2738">
        <v>-8.54778489785026</v>
      </c>
      <c r="AG2738">
        <v>-1.03188938</v>
      </c>
      <c r="AH2738">
        <v>24.104443171193498</v>
      </c>
      <c r="AI2738">
        <v>92.3104784322786</v>
      </c>
      <c r="AJ2738">
        <v>109.525244112661</v>
      </c>
      <c r="AK2738">
        <v>25.595968490091799</v>
      </c>
      <c r="AL2738">
        <v>91.946162873430296</v>
      </c>
      <c r="AM2738">
        <v>87.395353492310306</v>
      </c>
      <c r="AN2738">
        <v>1.0000000378107701</v>
      </c>
    </row>
    <row r="2739" spans="1:40" x14ac:dyDescent="0.25">
      <c r="A2739" t="str">
        <f>"20190312161321335"</f>
        <v>20190312161321335</v>
      </c>
      <c r="B2739" t="str">
        <f>"1552378401328882"</f>
        <v>1552378401328882</v>
      </c>
      <c r="C2739" t="s">
        <v>40</v>
      </c>
      <c r="D2739">
        <v>5.6534740000000001</v>
      </c>
      <c r="E2739">
        <v>0.34725260000000002</v>
      </c>
      <c r="F2739" t="s">
        <v>69</v>
      </c>
      <c r="G2739">
        <v>-458.90350000000001</v>
      </c>
      <c r="H2739">
        <v>8.000061E-2</v>
      </c>
      <c r="I2739">
        <v>207.94820000000001</v>
      </c>
      <c r="J2739">
        <v>-481.50799999999998</v>
      </c>
      <c r="K2739">
        <v>1.1118939999999999</v>
      </c>
      <c r="L2739">
        <v>219.69470000000001</v>
      </c>
      <c r="M2739">
        <v>0.68395069999999902</v>
      </c>
      <c r="N2739">
        <v>0</v>
      </c>
      <c r="O2739">
        <v>-0.72939919999999903</v>
      </c>
      <c r="P2739">
        <v>0.64936719999999903</v>
      </c>
      <c r="Q2739">
        <v>-4.7182109999999999E-2</v>
      </c>
      <c r="R2739">
        <v>-0.75901030000000003</v>
      </c>
      <c r="S2739">
        <v>2.8697509999999999</v>
      </c>
      <c r="T2739">
        <v>-0.1304989</v>
      </c>
      <c r="U2739">
        <v>-1.496399</v>
      </c>
      <c r="V2739">
        <v>4.5607429999999997E-2</v>
      </c>
      <c r="W2739">
        <v>-3.3306740000000001E-2</v>
      </c>
      <c r="X2739">
        <v>0.99840399999999996</v>
      </c>
      <c r="Y2739">
        <v>-0.32987080000000002</v>
      </c>
      <c r="Z2739">
        <v>3.4073859999999997E-2</v>
      </c>
      <c r="AA2739">
        <v>0.94341090000000005</v>
      </c>
      <c r="AB2739">
        <v>12</v>
      </c>
      <c r="AC2739">
        <v>22.604500000000002</v>
      </c>
      <c r="AD2739">
        <v>-1.03189339</v>
      </c>
      <c r="AE2739">
        <v>-11.7464999999999</v>
      </c>
      <c r="AF2739">
        <v>-8.44062352248792</v>
      </c>
      <c r="AG2739">
        <v>-1.03189339</v>
      </c>
      <c r="AH2739">
        <v>23.9911479330794</v>
      </c>
      <c r="AI2739">
        <v>92.323420581162495</v>
      </c>
      <c r="AJ2739">
        <v>109.38301468358701</v>
      </c>
      <c r="AK2739">
        <v>25.453567698136201</v>
      </c>
      <c r="AL2739">
        <v>91.908688712156902</v>
      </c>
      <c r="AM2739">
        <v>87.384527769065798</v>
      </c>
      <c r="AN2739">
        <v>0.99999996190831497</v>
      </c>
    </row>
    <row r="2740" spans="1:40" x14ac:dyDescent="0.25">
      <c r="A2740" t="str">
        <f>"20190312161321358"</f>
        <v>20190312161321358</v>
      </c>
      <c r="B2740" t="str">
        <f>"1552378401348403"</f>
        <v>1552378401348403</v>
      </c>
      <c r="C2740" t="s">
        <v>40</v>
      </c>
      <c r="D2740">
        <v>5.6332329999999997</v>
      </c>
      <c r="E2740">
        <v>0.35705940000000003</v>
      </c>
      <c r="F2740" t="s">
        <v>69</v>
      </c>
      <c r="G2740">
        <v>-458.72699999999998</v>
      </c>
      <c r="H2740">
        <v>8.0000660000000001E-2</v>
      </c>
      <c r="I2740">
        <v>207.92789999999999</v>
      </c>
      <c r="J2740">
        <v>-481.41820000000001</v>
      </c>
      <c r="K2740">
        <v>1.111901</v>
      </c>
      <c r="L2740">
        <v>219.60740000000001</v>
      </c>
      <c r="M2740">
        <v>0.68747119999999995</v>
      </c>
      <c r="N2740">
        <v>0</v>
      </c>
      <c r="O2740">
        <v>-0.72608200000000001</v>
      </c>
      <c r="P2740">
        <v>0.65334650000000005</v>
      </c>
      <c r="Q2740">
        <v>-4.6791399999999997E-2</v>
      </c>
      <c r="R2740">
        <v>-0.75561179999999994</v>
      </c>
      <c r="S2740">
        <v>2.8747859999999998</v>
      </c>
      <c r="T2740">
        <v>-0.130217</v>
      </c>
      <c r="U2740">
        <v>-1.4848790000000001</v>
      </c>
      <c r="V2740">
        <v>4.5207289999999997E-2</v>
      </c>
      <c r="W2740">
        <v>-3.2922550000000002E-2</v>
      </c>
      <c r="X2740">
        <v>0.99843499999999996</v>
      </c>
      <c r="Y2740">
        <v>-0.32896690000000001</v>
      </c>
      <c r="Z2740">
        <v>3.3886149999999997E-2</v>
      </c>
      <c r="AA2740">
        <v>0.9437333</v>
      </c>
      <c r="AB2740">
        <v>12</v>
      </c>
      <c r="AC2740">
        <v>22.691199999999998</v>
      </c>
      <c r="AD2740">
        <v>-1.03190034</v>
      </c>
      <c r="AE2740">
        <v>-11.679500000000001</v>
      </c>
      <c r="AF2740">
        <v>-8.4333594681348298</v>
      </c>
      <c r="AG2740">
        <v>-1.03190034</v>
      </c>
      <c r="AH2740">
        <v>24.042780630147799</v>
      </c>
      <c r="AI2740">
        <v>92.319218100336101</v>
      </c>
      <c r="AJ2740">
        <v>109.329071054783</v>
      </c>
      <c r="AK2740">
        <v>25.499836679082499</v>
      </c>
      <c r="AL2740">
        <v>91.886664054417295</v>
      </c>
      <c r="AM2740">
        <v>87.407523737128699</v>
      </c>
      <c r="AN2740">
        <v>1.00000002129632</v>
      </c>
    </row>
    <row r="2741" spans="1:40" x14ac:dyDescent="0.25">
      <c r="A2741" t="str">
        <f>"20190312161321380"</f>
        <v>20190312161321380</v>
      </c>
      <c r="B2741" t="str">
        <f>"1552378401367922"</f>
        <v>1552378401367922</v>
      </c>
      <c r="C2741" t="s">
        <v>40</v>
      </c>
      <c r="D2741">
        <v>5.6742629999999998</v>
      </c>
      <c r="E2741">
        <v>0.35780129999999999</v>
      </c>
      <c r="F2741" t="s">
        <v>69</v>
      </c>
      <c r="G2741">
        <v>-465.56979999999999</v>
      </c>
      <c r="H2741" s="1">
        <v>1.580971E-6</v>
      </c>
      <c r="I2741">
        <v>211.0984</v>
      </c>
      <c r="J2741">
        <v>-481.33330000000001</v>
      </c>
      <c r="K2741">
        <v>1.111912</v>
      </c>
      <c r="L2741">
        <v>219.5256</v>
      </c>
      <c r="M2741">
        <v>0.69079939999999995</v>
      </c>
      <c r="N2741">
        <v>0</v>
      </c>
      <c r="O2741">
        <v>-0.72291629999999996</v>
      </c>
      <c r="P2741">
        <v>0.65718549999999998</v>
      </c>
      <c r="Q2741">
        <v>-4.6106359999999999E-2</v>
      </c>
      <c r="R2741">
        <v>-0.75231759999999903</v>
      </c>
      <c r="S2741">
        <v>2.824036</v>
      </c>
      <c r="T2741">
        <v>-0.1981299</v>
      </c>
      <c r="U2741">
        <v>-1.5162199999999999</v>
      </c>
      <c r="V2741">
        <v>4.4737730000000003E-2</v>
      </c>
      <c r="W2741">
        <v>-3.2242430000000002E-2</v>
      </c>
      <c r="X2741">
        <v>0.99847830000000004</v>
      </c>
      <c r="Y2741">
        <v>-0.30861480000000002</v>
      </c>
      <c r="Z2741">
        <v>5.1375450000000003E-2</v>
      </c>
      <c r="AA2741">
        <v>0.94979860000000005</v>
      </c>
      <c r="AB2741">
        <v>12</v>
      </c>
      <c r="AC2741">
        <v>15.763500000000001</v>
      </c>
      <c r="AD2741">
        <v>-1.1119104190289999</v>
      </c>
      <c r="AE2741">
        <v>-8.4271999999999991</v>
      </c>
      <c r="AF2741">
        <v>-5.5532225273990301</v>
      </c>
      <c r="AG2741">
        <v>-1.1119104190289999</v>
      </c>
      <c r="AH2741">
        <v>16.917710859116099</v>
      </c>
      <c r="AI2741">
        <v>93.5732786879462</v>
      </c>
      <c r="AJ2741">
        <v>108.172373005906</v>
      </c>
      <c r="AK2741">
        <v>17.840503522361999</v>
      </c>
      <c r="AL2741">
        <v>91.847675429418004</v>
      </c>
      <c r="AM2741">
        <v>87.434526264549604</v>
      </c>
      <c r="AN2741">
        <v>0.99999997717437294</v>
      </c>
    </row>
    <row r="2742" spans="1:40" x14ac:dyDescent="0.25">
      <c r="A2742" t="str">
        <f>"20190312161321402"</f>
        <v>20190312161321402</v>
      </c>
      <c r="B2742" t="str">
        <f>"1552378401398181"</f>
        <v>1552378401398181</v>
      </c>
      <c r="C2742" t="s">
        <v>40</v>
      </c>
      <c r="D2742">
        <v>5.6855260000000003</v>
      </c>
      <c r="E2742">
        <v>0.35819620000000002</v>
      </c>
      <c r="F2742" t="s">
        <v>69</v>
      </c>
      <c r="G2742">
        <v>-464.73899999999998</v>
      </c>
      <c r="H2742" s="1">
        <v>1.1569399999999999E-6</v>
      </c>
      <c r="I2742">
        <v>210.68379999999999</v>
      </c>
      <c r="J2742">
        <v>-481.24970000000002</v>
      </c>
      <c r="K2742">
        <v>1.111928</v>
      </c>
      <c r="L2742">
        <v>219.44579999999999</v>
      </c>
      <c r="M2742">
        <v>0.69407419999999997</v>
      </c>
      <c r="N2742">
        <v>0</v>
      </c>
      <c r="O2742">
        <v>-0.71977309999999906</v>
      </c>
      <c r="P2742">
        <v>0.66135529999999998</v>
      </c>
      <c r="Q2742">
        <v>-4.597714E-2</v>
      </c>
      <c r="R2742">
        <v>-0.74866279999999996</v>
      </c>
      <c r="S2742">
        <v>2.8272089999999999</v>
      </c>
      <c r="T2742">
        <v>-0.1894381</v>
      </c>
      <c r="U2742">
        <v>-1.5063930000000001</v>
      </c>
      <c r="V2742">
        <v>4.3729459999999998E-2</v>
      </c>
      <c r="W2742">
        <v>-3.2118899999999999E-2</v>
      </c>
      <c r="X2742">
        <v>0.99852700000000005</v>
      </c>
      <c r="Y2742">
        <v>-0.3074481</v>
      </c>
      <c r="Z2742">
        <v>4.8974690000000001E-2</v>
      </c>
      <c r="AA2742">
        <v>0.95030369999999997</v>
      </c>
      <c r="AB2742">
        <v>12</v>
      </c>
      <c r="AC2742">
        <v>16.5106999999999</v>
      </c>
      <c r="AD2742">
        <v>-1.11192684306</v>
      </c>
      <c r="AE2742">
        <v>-8.7620000000000005</v>
      </c>
      <c r="AF2742">
        <v>-5.7825606988390499</v>
      </c>
      <c r="AG2742">
        <v>-1.11192684306</v>
      </c>
      <c r="AH2742">
        <v>17.705314230730099</v>
      </c>
      <c r="AI2742">
        <v>93.416421501702402</v>
      </c>
      <c r="AJ2742">
        <v>108.08705271508499</v>
      </c>
      <c r="AK2742">
        <v>18.658846200903501</v>
      </c>
      <c r="AL2742">
        <v>91.840593917448203</v>
      </c>
      <c r="AM2742">
        <v>87.492392739925293</v>
      </c>
      <c r="AN2742">
        <v>1.0000000295690501</v>
      </c>
    </row>
    <row r="2743" spans="1:40" x14ac:dyDescent="0.25">
      <c r="A2743" t="str">
        <f>"20190312161321424"</f>
        <v>20190312161321424</v>
      </c>
      <c r="B2743" t="str">
        <f>"1552378401418675"</f>
        <v>1552378401418675</v>
      </c>
      <c r="C2743" t="s">
        <v>40</v>
      </c>
      <c r="D2743">
        <v>5.6369769999999999</v>
      </c>
      <c r="E2743">
        <v>0.35873189999999999</v>
      </c>
      <c r="F2743" t="s">
        <v>69</v>
      </c>
      <c r="G2743">
        <v>-464.55369999999999</v>
      </c>
      <c r="H2743" s="1">
        <v>1.0598110000000001E-6</v>
      </c>
      <c r="I2743">
        <v>210.6506</v>
      </c>
      <c r="J2743">
        <v>-481.16070000000002</v>
      </c>
      <c r="K2743">
        <v>1.1119349999999999</v>
      </c>
      <c r="L2743">
        <v>219.36189999999999</v>
      </c>
      <c r="M2743">
        <v>0.69755549999999999</v>
      </c>
      <c r="N2743">
        <v>0</v>
      </c>
      <c r="O2743">
        <v>-0.71639980000000003</v>
      </c>
      <c r="P2743">
        <v>0.6653057</v>
      </c>
      <c r="Q2743">
        <v>-4.6138270000000002E-2</v>
      </c>
      <c r="R2743">
        <v>-0.74514449999999999</v>
      </c>
      <c r="S2743">
        <v>2.8333740000000001</v>
      </c>
      <c r="T2743">
        <v>-0.18869859999999999</v>
      </c>
      <c r="U2743">
        <v>-1.4925839999999999</v>
      </c>
      <c r="V2743">
        <v>4.3284219999999998E-2</v>
      </c>
      <c r="W2743">
        <v>-3.2283230000000003E-2</v>
      </c>
      <c r="X2743">
        <v>0.99854109999999996</v>
      </c>
      <c r="Y2743">
        <v>-0.30732789999999999</v>
      </c>
      <c r="Z2743">
        <v>4.8630739999999999E-2</v>
      </c>
      <c r="AA2743">
        <v>0.95036030000000005</v>
      </c>
      <c r="AB2743">
        <v>12</v>
      </c>
      <c r="AC2743">
        <v>16.606999999999999</v>
      </c>
      <c r="AD2743">
        <v>-1.111933940189</v>
      </c>
      <c r="AE2743">
        <v>-8.7112999999999907</v>
      </c>
      <c r="AF2743">
        <v>-5.8007886438903897</v>
      </c>
      <c r="AG2743">
        <v>-1.111933940189</v>
      </c>
      <c r="AH2743">
        <v>17.764296584777899</v>
      </c>
      <c r="AI2743">
        <v>93.405184908149295</v>
      </c>
      <c r="AJ2743">
        <v>108.084034136756</v>
      </c>
      <c r="AK2743">
        <v>18.720464180419899</v>
      </c>
      <c r="AL2743">
        <v>91.850014217989994</v>
      </c>
      <c r="AM2743">
        <v>87.517927340311601</v>
      </c>
      <c r="AN2743">
        <v>1.00000002951472</v>
      </c>
    </row>
    <row r="2744" spans="1:40" x14ac:dyDescent="0.25">
      <c r="A2744" t="str">
        <f>"20190312161321448"</f>
        <v>20190312161321448</v>
      </c>
      <c r="B2744" t="str">
        <f>"1552378401438194"</f>
        <v>1552378401438194</v>
      </c>
      <c r="C2744" t="s">
        <v>40</v>
      </c>
      <c r="D2744">
        <v>5.6605689999999997</v>
      </c>
      <c r="E2744">
        <v>0.35930889999999999</v>
      </c>
      <c r="F2744" t="s">
        <v>69</v>
      </c>
      <c r="G2744">
        <v>-464.27</v>
      </c>
      <c r="H2744" s="1">
        <v>9.1324160000000002E-7</v>
      </c>
      <c r="I2744">
        <v>210.54929999999999</v>
      </c>
      <c r="J2744">
        <v>-481.06580000000002</v>
      </c>
      <c r="K2744">
        <v>1.1119509999999999</v>
      </c>
      <c r="L2744">
        <v>219.27330000000001</v>
      </c>
      <c r="M2744">
        <v>0.70127039999999996</v>
      </c>
      <c r="N2744">
        <v>0</v>
      </c>
      <c r="O2744">
        <v>-0.71276379999999995</v>
      </c>
      <c r="P2744">
        <v>0.66873400000000005</v>
      </c>
      <c r="Q2744">
        <v>-4.57172E-2</v>
      </c>
      <c r="R2744">
        <v>-0.74209510000000001</v>
      </c>
      <c r="S2744">
        <v>2.8379210000000001</v>
      </c>
      <c r="T2744">
        <v>-0.18682299999999999</v>
      </c>
      <c r="U2744">
        <v>-1.4806520000000001</v>
      </c>
      <c r="V2744">
        <v>4.3889169999999998E-2</v>
      </c>
      <c r="W2744">
        <v>-3.186079E-2</v>
      </c>
      <c r="X2744">
        <v>0.99852819999999998</v>
      </c>
      <c r="Y2744">
        <v>-0.30617840000000002</v>
      </c>
      <c r="Z2744">
        <v>4.7968230000000001E-2</v>
      </c>
      <c r="AA2744">
        <v>0.95076490000000002</v>
      </c>
      <c r="AB2744">
        <v>12</v>
      </c>
      <c r="AC2744">
        <v>16.7958</v>
      </c>
      <c r="AD2744">
        <v>-1.1119500867584</v>
      </c>
      <c r="AE2744">
        <v>-8.7240000000000109</v>
      </c>
      <c r="AF2744">
        <v>-5.8339671169951197</v>
      </c>
      <c r="AG2744">
        <v>-1.1119500867584</v>
      </c>
      <c r="AH2744">
        <v>17.936325714642301</v>
      </c>
      <c r="AI2744">
        <v>93.373921263146698</v>
      </c>
      <c r="AJ2744">
        <v>108.017628003129</v>
      </c>
      <c r="AK2744">
        <v>18.8940039552065</v>
      </c>
      <c r="AL2744">
        <v>91.825797844435598</v>
      </c>
      <c r="AM2744">
        <v>87.483249159288405</v>
      </c>
      <c r="AN2744">
        <v>0.99999996768897603</v>
      </c>
    </row>
    <row r="2745" spans="1:40" x14ac:dyDescent="0.25">
      <c r="A2745" t="str">
        <f>"20190312161321472"</f>
        <v>20190312161321472</v>
      </c>
      <c r="B2745" t="str">
        <f>"1552378401468452"</f>
        <v>1552378401468452</v>
      </c>
      <c r="C2745" t="s">
        <v>40</v>
      </c>
      <c r="D2745">
        <v>5.6217189999999997</v>
      </c>
      <c r="E2745">
        <v>0.35918299999999997</v>
      </c>
      <c r="F2745" t="s">
        <v>69</v>
      </c>
      <c r="G2745">
        <v>-464.02409999999998</v>
      </c>
      <c r="H2745" s="1">
        <v>7.8673009999999899E-7</v>
      </c>
      <c r="I2745">
        <v>210.45079999999999</v>
      </c>
      <c r="J2745">
        <v>-480.97629999999998</v>
      </c>
      <c r="K2745">
        <v>1.111966</v>
      </c>
      <c r="L2745">
        <v>219.19069999999999</v>
      </c>
      <c r="M2745">
        <v>0.70477409999999996</v>
      </c>
      <c r="N2745">
        <v>0</v>
      </c>
      <c r="O2745">
        <v>-0.70929940000000002</v>
      </c>
      <c r="P2745">
        <v>0.67202530000000005</v>
      </c>
      <c r="Q2745">
        <v>-4.5132489999999997E-2</v>
      </c>
      <c r="R2745">
        <v>-0.73915180000000003</v>
      </c>
      <c r="S2745">
        <v>2.8411870000000001</v>
      </c>
      <c r="T2745">
        <v>-0.18538399999999999</v>
      </c>
      <c r="U2745">
        <v>-1.47087099999999</v>
      </c>
      <c r="V2745">
        <v>4.4395740000000003E-2</v>
      </c>
      <c r="W2745">
        <v>-3.1274540000000003E-2</v>
      </c>
      <c r="X2745">
        <v>0.99852439999999998</v>
      </c>
      <c r="Y2745">
        <v>-0.30454019999999998</v>
      </c>
      <c r="Z2745">
        <v>4.7419089999999997E-2</v>
      </c>
      <c r="AA2745">
        <v>0.95131840000000001</v>
      </c>
      <c r="AB2745">
        <v>12</v>
      </c>
      <c r="AC2745">
        <v>16.952200000000001</v>
      </c>
      <c r="AD2745">
        <v>-1.1119652132698901</v>
      </c>
      <c r="AE2745">
        <v>-8.7399000000000004</v>
      </c>
      <c r="AF2745">
        <v>-5.84521251204003</v>
      </c>
      <c r="AG2745">
        <v>-1.1119652132698901</v>
      </c>
      <c r="AH2745">
        <v>18.086902609001299</v>
      </c>
      <c r="AI2745">
        <v>93.347985966944606</v>
      </c>
      <c r="AJ2745">
        <v>107.909471859691</v>
      </c>
      <c r="AK2745">
        <v>19.040457503272599</v>
      </c>
      <c r="AL2745">
        <v>91.792191335165896</v>
      </c>
      <c r="AM2745">
        <v>87.454229075651199</v>
      </c>
      <c r="AN2745">
        <v>1.0000000279888499</v>
      </c>
    </row>
    <row r="2746" spans="1:40" x14ac:dyDescent="0.25">
      <c r="A2746" t="str">
        <f>"20190312161321494"</f>
        <v>20190312161321494</v>
      </c>
      <c r="B2746" t="str">
        <f>"1552378401488947"</f>
        <v>1552378401488947</v>
      </c>
      <c r="C2746" t="s">
        <v>40</v>
      </c>
      <c r="D2746">
        <v>5.6612519999999904</v>
      </c>
      <c r="E2746">
        <v>0.35942180000000001</v>
      </c>
      <c r="F2746" t="s">
        <v>69</v>
      </c>
      <c r="G2746">
        <v>-463.1463</v>
      </c>
      <c r="H2746" s="1">
        <v>3.3650690000000002E-7</v>
      </c>
      <c r="I2746">
        <v>210.06450000000001</v>
      </c>
      <c r="J2746">
        <v>-480.88920000000002</v>
      </c>
      <c r="K2746">
        <v>1.111977</v>
      </c>
      <c r="L2746">
        <v>219.1112</v>
      </c>
      <c r="M2746">
        <v>0.70818219999999898</v>
      </c>
      <c r="N2746">
        <v>0</v>
      </c>
      <c r="O2746">
        <v>-0.70589669999999904</v>
      </c>
      <c r="P2746">
        <v>0.67551369999999999</v>
      </c>
      <c r="Q2746">
        <v>-4.4720059999999999E-2</v>
      </c>
      <c r="R2746">
        <v>-0.73598989999999997</v>
      </c>
      <c r="S2746">
        <v>2.8485109999999998</v>
      </c>
      <c r="T2746">
        <v>-0.177647</v>
      </c>
      <c r="U2746">
        <v>-1.458008</v>
      </c>
      <c r="V2746">
        <v>4.449898E-2</v>
      </c>
      <c r="W2746">
        <v>-3.0862460000000001E-2</v>
      </c>
      <c r="X2746">
        <v>0.99853259999999999</v>
      </c>
      <c r="Y2746">
        <v>-0.3044676</v>
      </c>
      <c r="Z2746">
        <v>4.5274889999999998E-2</v>
      </c>
      <c r="AA2746">
        <v>0.95144609999999996</v>
      </c>
      <c r="AB2746">
        <v>12</v>
      </c>
      <c r="AC2746">
        <v>17.742899999999999</v>
      </c>
      <c r="AD2746">
        <v>-1.1119766634931001</v>
      </c>
      <c r="AE2746">
        <v>-9.04669999999998</v>
      </c>
      <c r="AF2746">
        <v>-6.0995032126758097</v>
      </c>
      <c r="AG2746">
        <v>-1.1119766634931001</v>
      </c>
      <c r="AH2746">
        <v>18.894122720500299</v>
      </c>
      <c r="AI2746">
        <v>93.20561252585</v>
      </c>
      <c r="AJ2746">
        <v>107.89139872904499</v>
      </c>
      <c r="AK2746">
        <v>19.885379174632899</v>
      </c>
      <c r="AL2746">
        <v>91.768569533618901</v>
      </c>
      <c r="AM2746">
        <v>87.448337759425897</v>
      </c>
      <c r="AN2746">
        <v>1.00000000196052</v>
      </c>
    </row>
    <row r="2747" spans="1:40" x14ac:dyDescent="0.25">
      <c r="A2747" t="str">
        <f>"20190312161321514"</f>
        <v>20190312161321514</v>
      </c>
      <c r="B2747" t="str">
        <f>"1552378401508467"</f>
        <v>1552378401508467</v>
      </c>
      <c r="C2747" t="s">
        <v>40</v>
      </c>
      <c r="D2747">
        <v>5.6568809999999896</v>
      </c>
      <c r="E2747">
        <v>0.35970809999999998</v>
      </c>
      <c r="F2747" t="s">
        <v>69</v>
      </c>
      <c r="G2747">
        <v>-462.66680000000002</v>
      </c>
      <c r="H2747" s="1">
        <v>8.9335910000000004E-8</v>
      </c>
      <c r="I2747">
        <v>209.88059999999999</v>
      </c>
      <c r="J2747">
        <v>-480.81040000000002</v>
      </c>
      <c r="K2747">
        <v>1.1119790000000001</v>
      </c>
      <c r="L2747">
        <v>219.04</v>
      </c>
      <c r="M2747">
        <v>0.71125579999999999</v>
      </c>
      <c r="N2747">
        <v>0</v>
      </c>
      <c r="O2747">
        <v>-0.70279959999999997</v>
      </c>
      <c r="P2747">
        <v>0.67854829999999999</v>
      </c>
      <c r="Q2747">
        <v>-4.4579670000000002E-2</v>
      </c>
      <c r="R2747">
        <v>-0.73320180000000001</v>
      </c>
      <c r="S2747">
        <v>2.8542480000000001</v>
      </c>
      <c r="T2747">
        <v>-0.17417349999999901</v>
      </c>
      <c r="U2747">
        <v>-1.445816</v>
      </c>
      <c r="V2747">
        <v>4.4737279999999997E-2</v>
      </c>
      <c r="W2747">
        <v>-3.0722449999999998E-2</v>
      </c>
      <c r="X2747">
        <v>0.99852629999999998</v>
      </c>
      <c r="Y2747">
        <v>-0.30436879999999999</v>
      </c>
      <c r="Z2747">
        <v>4.4252979999999997E-2</v>
      </c>
      <c r="AA2747">
        <v>0.95152579999999998</v>
      </c>
      <c r="AB2747">
        <v>12</v>
      </c>
      <c r="AC2747">
        <v>18.1435999999999</v>
      </c>
      <c r="AD2747">
        <v>-1.11197891066409</v>
      </c>
      <c r="AE2747">
        <v>-9.1593999999999998</v>
      </c>
      <c r="AF2747">
        <v>-6.2186101709706296</v>
      </c>
      <c r="AG2747">
        <v>-1.11197891066409</v>
      </c>
      <c r="AH2747">
        <v>19.286051493962098</v>
      </c>
      <c r="AI2747">
        <v>93.140958834269597</v>
      </c>
      <c r="AJ2747">
        <v>107.871439752189</v>
      </c>
      <c r="AK2747">
        <v>20.294319199816002</v>
      </c>
      <c r="AL2747">
        <v>91.760543691972401</v>
      </c>
      <c r="AM2747">
        <v>87.434675193700699</v>
      </c>
      <c r="AN2747">
        <v>1.0000000324737399</v>
      </c>
    </row>
    <row r="2748" spans="1:40" x14ac:dyDescent="0.25">
      <c r="A2748" t="str">
        <f>"20190312161321536"</f>
        <v>20190312161321536</v>
      </c>
      <c r="B2748" t="str">
        <f>"1552378401528962"</f>
        <v>1552378401528962</v>
      </c>
      <c r="C2748" t="s">
        <v>40</v>
      </c>
      <c r="D2748">
        <v>5.6356109999999999</v>
      </c>
      <c r="E2748">
        <v>0.35981780000000002</v>
      </c>
      <c r="F2748" t="s">
        <v>69</v>
      </c>
      <c r="G2748">
        <v>-462.36399999999998</v>
      </c>
      <c r="H2748" s="1">
        <v>-6.704327E-8</v>
      </c>
      <c r="I2748">
        <v>209.7724</v>
      </c>
      <c r="J2748">
        <v>-480.71910000000003</v>
      </c>
      <c r="K2748">
        <v>1.11198</v>
      </c>
      <c r="L2748">
        <v>218.95820000000001</v>
      </c>
      <c r="M2748">
        <v>0.71481709999999998</v>
      </c>
      <c r="N2748">
        <v>0</v>
      </c>
      <c r="O2748">
        <v>-0.69917739999999995</v>
      </c>
      <c r="P2748">
        <v>0.68218259999999997</v>
      </c>
      <c r="Q2748">
        <v>-4.4599020000000003E-2</v>
      </c>
      <c r="R2748">
        <v>-0.72982100000000005</v>
      </c>
      <c r="S2748">
        <v>2.8582459999999998</v>
      </c>
      <c r="T2748">
        <v>-0.1722996</v>
      </c>
      <c r="U2748">
        <v>-1.435989</v>
      </c>
      <c r="V2748">
        <v>4.484863E-2</v>
      </c>
      <c r="W2748">
        <v>-3.0743199999999998E-2</v>
      </c>
      <c r="X2748">
        <v>0.99852059999999998</v>
      </c>
      <c r="Y2748">
        <v>-0.30270629999999998</v>
      </c>
      <c r="Z2748">
        <v>4.3590240000000002E-2</v>
      </c>
      <c r="AA2748">
        <v>0.95208660000000001</v>
      </c>
      <c r="AB2748">
        <v>12</v>
      </c>
      <c r="AC2748">
        <v>18.3551</v>
      </c>
      <c r="AD2748">
        <v>-1.11198006704327</v>
      </c>
      <c r="AE2748">
        <v>-9.1858000000000004</v>
      </c>
      <c r="AF2748">
        <v>-6.2495490602537798</v>
      </c>
      <c r="AG2748">
        <v>-1.11198006704327</v>
      </c>
      <c r="AH2748">
        <v>19.487678156656902</v>
      </c>
      <c r="AI2748">
        <v>93.110109892081098</v>
      </c>
      <c r="AJ2748">
        <v>107.78064771392</v>
      </c>
      <c r="AK2748">
        <v>20.495437615807599</v>
      </c>
      <c r="AL2748">
        <v>91.761733257844497</v>
      </c>
      <c r="AM2748">
        <v>87.4282840636358</v>
      </c>
      <c r="AN2748">
        <v>0.99999996629173704</v>
      </c>
    </row>
    <row r="2749" spans="1:40" x14ac:dyDescent="0.25">
      <c r="A2749" t="str">
        <f>"20190312161321559"</f>
        <v>20190312161321559</v>
      </c>
      <c r="B2749" t="str">
        <f>"1552378401548482"</f>
        <v>1552378401548482</v>
      </c>
      <c r="C2749" t="s">
        <v>40</v>
      </c>
      <c r="D2749">
        <v>5.6485589999999997</v>
      </c>
      <c r="E2749">
        <v>0.3697936</v>
      </c>
      <c r="F2749" t="s">
        <v>69</v>
      </c>
      <c r="G2749">
        <v>-462.089</v>
      </c>
      <c r="H2749" s="1">
        <v>-2.1058649999999999E-7</v>
      </c>
      <c r="I2749">
        <v>209.70849999999999</v>
      </c>
      <c r="J2749">
        <v>-480.63170000000002</v>
      </c>
      <c r="K2749">
        <v>1.1119829999999999</v>
      </c>
      <c r="L2749">
        <v>218.8809</v>
      </c>
      <c r="M2749">
        <v>0.71821279999999998</v>
      </c>
      <c r="N2749">
        <v>0</v>
      </c>
      <c r="O2749">
        <v>-0.6956888</v>
      </c>
      <c r="P2749">
        <v>0.68568549999999995</v>
      </c>
      <c r="Q2749">
        <v>-4.4380360000000001E-2</v>
      </c>
      <c r="R2749">
        <v>-0.72654399999999997</v>
      </c>
      <c r="S2749">
        <v>2.8648380000000002</v>
      </c>
      <c r="T2749">
        <v>-0.17099500000000001</v>
      </c>
      <c r="U2749">
        <v>-1.4223790000000001</v>
      </c>
      <c r="V2749">
        <v>4.4915530000000002E-2</v>
      </c>
      <c r="W2749">
        <v>-3.052591E-2</v>
      </c>
      <c r="X2749">
        <v>0.99852430000000003</v>
      </c>
      <c r="Y2749">
        <v>-0.30258990000000002</v>
      </c>
      <c r="Z2749">
        <v>4.3102849999999998E-2</v>
      </c>
      <c r="AA2749">
        <v>0.95214580000000004</v>
      </c>
      <c r="AB2749">
        <v>12</v>
      </c>
      <c r="AC2749">
        <v>18.5427</v>
      </c>
      <c r="AD2749">
        <v>-1.1119832105865</v>
      </c>
      <c r="AE2749">
        <v>-9.1724000000000103</v>
      </c>
      <c r="AF2749">
        <v>-6.2946185048013996</v>
      </c>
      <c r="AG2749">
        <v>-1.1119832105865</v>
      </c>
      <c r="AH2749">
        <v>19.643830743596698</v>
      </c>
      <c r="AI2749">
        <v>93.085671899108206</v>
      </c>
      <c r="AJ2749">
        <v>107.767403227667</v>
      </c>
      <c r="AK2749">
        <v>20.657657540599502</v>
      </c>
      <c r="AL2749">
        <v>91.749277540459303</v>
      </c>
      <c r="AM2749">
        <v>87.424462567781305</v>
      </c>
      <c r="AN2749">
        <v>1.00000000685349</v>
      </c>
    </row>
    <row r="2750" spans="1:40" x14ac:dyDescent="0.25">
      <c r="A2750" t="str">
        <f>"20190312161321582"</f>
        <v>20190312161321582</v>
      </c>
      <c r="B2750" t="str">
        <f>"1552378401578739"</f>
        <v>1552378401578739</v>
      </c>
      <c r="C2750" t="s">
        <v>40</v>
      </c>
      <c r="D2750">
        <v>5.6677350000000004</v>
      </c>
      <c r="E2750">
        <v>0.37096620000000002</v>
      </c>
      <c r="F2750" t="s">
        <v>69</v>
      </c>
      <c r="G2750">
        <v>-464.46170000000001</v>
      </c>
      <c r="H2750" s="1">
        <v>1.0182240000000001E-6</v>
      </c>
      <c r="I2750">
        <v>210.48230000000001</v>
      </c>
      <c r="J2750">
        <v>-480.53969999999998</v>
      </c>
      <c r="K2750">
        <v>1.111985</v>
      </c>
      <c r="L2750">
        <v>218.80019999999999</v>
      </c>
      <c r="M2750">
        <v>0.72178100000000001</v>
      </c>
      <c r="N2750">
        <v>0</v>
      </c>
      <c r="O2750">
        <v>-0.69198609999999905</v>
      </c>
      <c r="P2750">
        <v>0.68927819999999995</v>
      </c>
      <c r="Q2750">
        <v>-4.4377659999999999E-2</v>
      </c>
      <c r="R2750">
        <v>-0.72313669999999997</v>
      </c>
      <c r="S2750">
        <v>2.8140559999999999</v>
      </c>
      <c r="T2750">
        <v>-0.19351779999999999</v>
      </c>
      <c r="U2750">
        <v>-1.4616089999999999</v>
      </c>
      <c r="V2750">
        <v>4.5101549999999997E-2</v>
      </c>
      <c r="W2750">
        <v>-3.0524030000000001E-2</v>
      </c>
      <c r="X2750">
        <v>0.99851599999999996</v>
      </c>
      <c r="Y2750">
        <v>-0.27995959999999998</v>
      </c>
      <c r="Z2750">
        <v>4.8464640000000003E-2</v>
      </c>
      <c r="AA2750">
        <v>0.95878770000000002</v>
      </c>
      <c r="AB2750">
        <v>12</v>
      </c>
      <c r="AC2750">
        <v>16.0779999999999</v>
      </c>
      <c r="AD2750">
        <v>-1.111983981776</v>
      </c>
      <c r="AE2750">
        <v>-8.3178999999999803</v>
      </c>
      <c r="AF2750">
        <v>-5.1032736395174298</v>
      </c>
      <c r="AG2750">
        <v>-1.111983981776</v>
      </c>
      <c r="AH2750">
        <v>17.2970244059292</v>
      </c>
      <c r="AI2750">
        <v>93.528385892012494</v>
      </c>
      <c r="AJ2750">
        <v>106.438044320708</v>
      </c>
      <c r="AK2750">
        <v>18.068396816398199</v>
      </c>
      <c r="AL2750">
        <v>91.749169726261101</v>
      </c>
      <c r="AM2750">
        <v>87.413788830188693</v>
      </c>
      <c r="AN2750">
        <v>1.0000000342379201</v>
      </c>
    </row>
    <row r="2751" spans="1:40" x14ac:dyDescent="0.25">
      <c r="A2751" t="str">
        <f>"20190312161321603"</f>
        <v>20190312161321603</v>
      </c>
      <c r="B2751" t="str">
        <f>"1552378401598259"</f>
        <v>1552378401598259</v>
      </c>
      <c r="C2751" t="s">
        <v>40</v>
      </c>
      <c r="D2751">
        <v>5.620838</v>
      </c>
      <c r="E2751">
        <v>0.37191180000000001</v>
      </c>
      <c r="F2751" t="s">
        <v>69</v>
      </c>
      <c r="G2751">
        <v>-464.69589999999999</v>
      </c>
      <c r="H2751" s="1">
        <v>1.1369920000000001E-6</v>
      </c>
      <c r="I2751">
        <v>210.6164</v>
      </c>
      <c r="J2751">
        <v>-480.45940000000002</v>
      </c>
      <c r="K2751">
        <v>1.1119889999999999</v>
      </c>
      <c r="L2751">
        <v>218.73070000000001</v>
      </c>
      <c r="M2751">
        <v>0.72488490000000005</v>
      </c>
      <c r="N2751">
        <v>0</v>
      </c>
      <c r="O2751">
        <v>-0.68873390000000001</v>
      </c>
      <c r="P2751">
        <v>0.69202719999999995</v>
      </c>
      <c r="Q2751">
        <v>-4.4236829999999998E-2</v>
      </c>
      <c r="R2751">
        <v>-0.72051500000000002</v>
      </c>
      <c r="S2751">
        <v>2.8144529999999999</v>
      </c>
      <c r="T2751">
        <v>-0.19753000000000001</v>
      </c>
      <c r="U2751">
        <v>-1.453751</v>
      </c>
      <c r="V2751">
        <v>4.5793699999999903E-2</v>
      </c>
      <c r="W2751">
        <v>-3.0381999999999999E-2</v>
      </c>
      <c r="X2751">
        <v>0.99848879999999995</v>
      </c>
      <c r="Y2751">
        <v>-0.27775280000000002</v>
      </c>
      <c r="Z2751">
        <v>4.9289939999999997E-2</v>
      </c>
      <c r="AA2751">
        <v>0.9593872</v>
      </c>
      <c r="AB2751">
        <v>12</v>
      </c>
      <c r="AC2751">
        <v>15.763500000000001</v>
      </c>
      <c r="AD2751">
        <v>-1.11198786300799</v>
      </c>
      <c r="AE2751">
        <v>-8.1143000000000107</v>
      </c>
      <c r="AF2751">
        <v>-4.9558941469935203</v>
      </c>
      <c r="AG2751">
        <v>-1.11198786300799</v>
      </c>
      <c r="AH2751">
        <v>16.950232814663099</v>
      </c>
      <c r="AI2751">
        <v>93.602981268354398</v>
      </c>
      <c r="AJ2751">
        <v>106.29781771394001</v>
      </c>
      <c r="AK2751">
        <v>17.69485225355</v>
      </c>
      <c r="AL2751">
        <v>91.741028279586004</v>
      </c>
      <c r="AM2751">
        <v>87.374083295370994</v>
      </c>
      <c r="AN2751">
        <v>1.00000000630456</v>
      </c>
    </row>
    <row r="2752" spans="1:40" x14ac:dyDescent="0.25">
      <c r="A2752" t="str">
        <f>"20190312161321625"</f>
        <v>20190312161321625</v>
      </c>
      <c r="B2752" t="str">
        <f>"1552378401618755"</f>
        <v>1552378401618755</v>
      </c>
      <c r="C2752" t="s">
        <v>40</v>
      </c>
      <c r="D2752">
        <v>5.6158549999999998</v>
      </c>
      <c r="E2752">
        <v>0.37171090000000001</v>
      </c>
      <c r="F2752" t="s">
        <v>69</v>
      </c>
      <c r="G2752">
        <v>-465.05399999999997</v>
      </c>
      <c r="H2752" s="1">
        <v>1.3193480000000001E-6</v>
      </c>
      <c r="I2752">
        <v>210.80449999999999</v>
      </c>
      <c r="J2752">
        <v>-480.36900000000003</v>
      </c>
      <c r="K2752">
        <v>1.1119859999999999</v>
      </c>
      <c r="L2752">
        <v>218.65299999999999</v>
      </c>
      <c r="M2752">
        <v>0.72837259999999904</v>
      </c>
      <c r="N2752">
        <v>0</v>
      </c>
      <c r="O2752">
        <v>-0.6850446</v>
      </c>
      <c r="P2752">
        <v>0.69539510000000004</v>
      </c>
      <c r="Q2752">
        <v>-4.4507169999999999E-2</v>
      </c>
      <c r="R2752">
        <v>-0.71724809999999894</v>
      </c>
      <c r="S2752">
        <v>2.8144529999999999</v>
      </c>
      <c r="T2752">
        <v>-0.2031522</v>
      </c>
      <c r="U2752">
        <v>-1.448059</v>
      </c>
      <c r="V2752">
        <v>4.6174529999999998E-2</v>
      </c>
      <c r="W2752">
        <v>-3.0652470000000001E-2</v>
      </c>
      <c r="X2752">
        <v>0.99846299999999999</v>
      </c>
      <c r="Y2752">
        <v>-0.27432719999999999</v>
      </c>
      <c r="Z2752">
        <v>5.0441119999999999E-2</v>
      </c>
      <c r="AA2752">
        <v>0.96031259999999996</v>
      </c>
      <c r="AB2752">
        <v>12</v>
      </c>
      <c r="AC2752">
        <v>15.3149999999999</v>
      </c>
      <c r="AD2752">
        <v>-1.111984680652</v>
      </c>
      <c r="AE2752">
        <v>-7.8484999999999996</v>
      </c>
      <c r="AF2752">
        <v>-4.7554174736736101</v>
      </c>
      <c r="AG2752">
        <v>-1.111984680652</v>
      </c>
      <c r="AH2752">
        <v>16.464402955889899</v>
      </c>
      <c r="AI2752">
        <v>93.712513625652903</v>
      </c>
      <c r="AJ2752">
        <v>106.110316744339</v>
      </c>
      <c r="AK2752">
        <v>17.173440830912199</v>
      </c>
      <c r="AL2752">
        <v>91.756532280583301</v>
      </c>
      <c r="AM2752">
        <v>87.352208251497203</v>
      </c>
      <c r="AN2752">
        <v>1.00000001175341</v>
      </c>
    </row>
    <row r="2753" spans="1:40" x14ac:dyDescent="0.25">
      <c r="A2753" t="str">
        <f>"20190312161321651"</f>
        <v>20190312161321651</v>
      </c>
      <c r="B2753" t="str">
        <f>"1552378401649010"</f>
        <v>1552378401649010</v>
      </c>
      <c r="C2753" t="s">
        <v>40</v>
      </c>
      <c r="D2753">
        <v>5.6311710000000001</v>
      </c>
      <c r="E2753">
        <v>0.37207200000000001</v>
      </c>
      <c r="F2753" t="s">
        <v>69</v>
      </c>
      <c r="G2753">
        <v>-464.5976</v>
      </c>
      <c r="H2753" s="1">
        <v>1.083626E-6</v>
      </c>
      <c r="I2753">
        <v>210.6397</v>
      </c>
      <c r="J2753">
        <v>-480.2679</v>
      </c>
      <c r="K2753">
        <v>1.111988</v>
      </c>
      <c r="L2753">
        <v>218.56729999999999</v>
      </c>
      <c r="M2753">
        <v>0.73226199999999997</v>
      </c>
      <c r="N2753">
        <v>0</v>
      </c>
      <c r="O2753">
        <v>-0.68088570000000004</v>
      </c>
      <c r="P2753">
        <v>0.69914790000000004</v>
      </c>
      <c r="Q2753">
        <v>-4.5110709999999998E-2</v>
      </c>
      <c r="R2753">
        <v>-0.71355299999999999</v>
      </c>
      <c r="S2753">
        <v>2.822327</v>
      </c>
      <c r="T2753">
        <v>-0.19899130000000001</v>
      </c>
      <c r="U2753">
        <v>-1.4339900000000001</v>
      </c>
      <c r="V2753">
        <v>4.6598029999999999E-2</v>
      </c>
      <c r="W2753">
        <v>-3.1256020000000002E-2</v>
      </c>
      <c r="X2753">
        <v>0.9984246</v>
      </c>
      <c r="Y2753">
        <v>-0.27381319999999998</v>
      </c>
      <c r="Z2753">
        <v>4.916218E-2</v>
      </c>
      <c r="AA2753">
        <v>0.96052559999999998</v>
      </c>
      <c r="AB2753">
        <v>12</v>
      </c>
      <c r="AC2753">
        <v>15.6702999999999</v>
      </c>
      <c r="AD2753">
        <v>-1.1119869163739999</v>
      </c>
      <c r="AE2753">
        <v>-7.9275999999999804</v>
      </c>
      <c r="AF2753">
        <v>-4.84562992803688</v>
      </c>
      <c r="AG2753">
        <v>-1.1119869163739999</v>
      </c>
      <c r="AH2753">
        <v>16.806748005673501</v>
      </c>
      <c r="AI2753">
        <v>93.637602304281003</v>
      </c>
      <c r="AJ2753">
        <v>106.08304098412501</v>
      </c>
      <c r="AK2753">
        <v>17.5266489332069</v>
      </c>
      <c r="AL2753">
        <v>91.791129751119499</v>
      </c>
      <c r="AM2753">
        <v>87.327855856231395</v>
      </c>
      <c r="AN2753">
        <v>0.99999999853564003</v>
      </c>
    </row>
    <row r="2754" spans="1:40" x14ac:dyDescent="0.25">
      <c r="A2754" t="str">
        <f>"20190312161321673"</f>
        <v>20190312161321673</v>
      </c>
      <c r="B2754" t="str">
        <f>"1552378401668530"</f>
        <v>1552378401668530</v>
      </c>
      <c r="C2754" t="s">
        <v>40</v>
      </c>
      <c r="D2754">
        <v>5.6222669999999999</v>
      </c>
      <c r="E2754">
        <v>0.37247950000000002</v>
      </c>
      <c r="F2754" t="s">
        <v>69</v>
      </c>
      <c r="G2754">
        <v>-464.47539999999998</v>
      </c>
      <c r="H2754" s="1">
        <v>1.0189610000000001E-6</v>
      </c>
      <c r="I2754">
        <v>210.63159999999999</v>
      </c>
      <c r="J2754">
        <v>-480.18220000000002</v>
      </c>
      <c r="K2754">
        <v>1.1119939999999999</v>
      </c>
      <c r="L2754">
        <v>218.49549999999999</v>
      </c>
      <c r="M2754">
        <v>0.73555019999999904</v>
      </c>
      <c r="N2754">
        <v>0</v>
      </c>
      <c r="O2754">
        <v>-0.67733189999999999</v>
      </c>
      <c r="P2754">
        <v>0.70243999999999995</v>
      </c>
      <c r="Q2754">
        <v>-4.5352839999999998E-2</v>
      </c>
      <c r="R2754">
        <v>-0.71029679999999995</v>
      </c>
      <c r="S2754">
        <v>2.8278500000000002</v>
      </c>
      <c r="T2754">
        <v>-0.1991155</v>
      </c>
      <c r="U2754">
        <v>-1.42099</v>
      </c>
      <c r="V2754">
        <v>4.6805340000000001E-2</v>
      </c>
      <c r="W2754">
        <v>-3.1498369999999998E-2</v>
      </c>
      <c r="X2754">
        <v>0.9984073</v>
      </c>
      <c r="Y2754">
        <v>-0.273437599999999</v>
      </c>
      <c r="Z2754">
        <v>4.9003819999999997E-2</v>
      </c>
      <c r="AA2754">
        <v>0.96064070000000001</v>
      </c>
      <c r="AB2754">
        <v>12</v>
      </c>
      <c r="AC2754">
        <v>15.706799999999999</v>
      </c>
      <c r="AD2754">
        <v>-1.1119929810389999</v>
      </c>
      <c r="AE2754">
        <v>-7.8639000000000001</v>
      </c>
      <c r="AF2754">
        <v>-4.8354995596911898</v>
      </c>
      <c r="AG2754">
        <v>-1.1119929810389999</v>
      </c>
      <c r="AH2754">
        <v>16.8138087367069</v>
      </c>
      <c r="AI2754">
        <v>93.636796403160503</v>
      </c>
      <c r="AJ2754">
        <v>106.044757443975</v>
      </c>
      <c r="AK2754">
        <v>17.5306231667963</v>
      </c>
      <c r="AL2754">
        <v>91.805022199606</v>
      </c>
      <c r="AM2754">
        <v>87.315938659048996</v>
      </c>
      <c r="AN2754">
        <v>1.00000001192923</v>
      </c>
    </row>
    <row r="2755" spans="1:40" x14ac:dyDescent="0.25">
      <c r="A2755" t="str">
        <f>"20190312161321694"</f>
        <v>20190312161321694</v>
      </c>
      <c r="B2755" t="str">
        <f>"1552378401688051"</f>
        <v>1552378401688051</v>
      </c>
      <c r="C2755" t="s">
        <v>40</v>
      </c>
      <c r="D2755">
        <v>5.6699330000000003</v>
      </c>
      <c r="E2755">
        <v>0.37274960000000001</v>
      </c>
      <c r="F2755" t="s">
        <v>69</v>
      </c>
      <c r="G2755">
        <v>-464.29270000000002</v>
      </c>
      <c r="H2755" s="1">
        <v>9.2387650000000005E-7</v>
      </c>
      <c r="I2755">
        <v>210.58250000000001</v>
      </c>
      <c r="J2755">
        <v>-480.09589999999997</v>
      </c>
      <c r="K2755">
        <v>1.111999</v>
      </c>
      <c r="L2755">
        <v>218.4239</v>
      </c>
      <c r="M2755">
        <v>0.73885140000000005</v>
      </c>
      <c r="N2755">
        <v>0</v>
      </c>
      <c r="O2755">
        <v>-0.67372940000000003</v>
      </c>
      <c r="P2755">
        <v>0.7058411</v>
      </c>
      <c r="Q2755">
        <v>-4.5205130000000003E-2</v>
      </c>
      <c r="R2755">
        <v>-0.70692679999999997</v>
      </c>
      <c r="S2755">
        <v>2.8319700000000001</v>
      </c>
      <c r="T2755">
        <v>-0.19818939999999999</v>
      </c>
      <c r="U2755">
        <v>-1.4103239999999999</v>
      </c>
      <c r="V2755">
        <v>4.689894E-2</v>
      </c>
      <c r="W2755">
        <v>-3.135114E-2</v>
      </c>
      <c r="X2755">
        <v>0.9984075</v>
      </c>
      <c r="Y2755">
        <v>-0.27221410000000001</v>
      </c>
      <c r="Z2755">
        <v>4.8566850000000002E-2</v>
      </c>
      <c r="AA2755">
        <v>0.96101029999999998</v>
      </c>
      <c r="AB2755">
        <v>12</v>
      </c>
      <c r="AC2755">
        <v>15.803199999999901</v>
      </c>
      <c r="AD2755">
        <v>-1.1119980761235</v>
      </c>
      <c r="AE2755">
        <v>-7.8413999999999904</v>
      </c>
      <c r="AF2755">
        <v>-4.8346969974971801</v>
      </c>
      <c r="AG2755">
        <v>-1.1119980761235</v>
      </c>
      <c r="AH2755">
        <v>16.8936665842837</v>
      </c>
      <c r="AI2755">
        <v>93.621013908218899</v>
      </c>
      <c r="AJ2755">
        <v>105.970274064002</v>
      </c>
      <c r="AK2755">
        <v>17.6070101221035</v>
      </c>
      <c r="AL2755">
        <v>91.7965824486309</v>
      </c>
      <c r="AM2755">
        <v>87.310579559578599</v>
      </c>
      <c r="AN2755">
        <v>0.99999997030433596</v>
      </c>
    </row>
    <row r="2756" spans="1:40" x14ac:dyDescent="0.25">
      <c r="A2756" t="str">
        <f>"20190312161321716"</f>
        <v>20190312161321716</v>
      </c>
      <c r="B2756" t="str">
        <f>"1552378401708547"</f>
        <v>1552378401708547</v>
      </c>
      <c r="C2756" t="s">
        <v>40</v>
      </c>
      <c r="D2756">
        <v>5.6723850000000002</v>
      </c>
      <c r="E2756">
        <v>0.3728998</v>
      </c>
      <c r="F2756" t="s">
        <v>69</v>
      </c>
      <c r="G2756">
        <v>-463.964</v>
      </c>
      <c r="H2756" s="1">
        <v>7.5376239999999997E-7</v>
      </c>
      <c r="I2756">
        <v>210.4727</v>
      </c>
      <c r="J2756">
        <v>-480.00709999999998</v>
      </c>
      <c r="K2756">
        <v>1.111998</v>
      </c>
      <c r="L2756">
        <v>218.3511</v>
      </c>
      <c r="M2756">
        <v>0.74223329999999998</v>
      </c>
      <c r="N2756">
        <v>0</v>
      </c>
      <c r="O2756">
        <v>-0.67000190000000004</v>
      </c>
      <c r="P2756">
        <v>0.7094646</v>
      </c>
      <c r="Q2756">
        <v>-4.5417430000000002E-2</v>
      </c>
      <c r="R2756">
        <v>-0.70327620000000002</v>
      </c>
      <c r="S2756">
        <v>2.837189</v>
      </c>
      <c r="T2756">
        <v>-0.19557179999999999</v>
      </c>
      <c r="U2756">
        <v>-1.398407</v>
      </c>
      <c r="V2756">
        <v>4.6784260000000001E-2</v>
      </c>
      <c r="W2756">
        <v>-3.1565290000000003E-2</v>
      </c>
      <c r="X2756">
        <v>0.99840620000000002</v>
      </c>
      <c r="Y2756">
        <v>-0.271366</v>
      </c>
      <c r="Z2756">
        <v>4.771475E-2</v>
      </c>
      <c r="AA2756">
        <v>0.96129279999999995</v>
      </c>
      <c r="AB2756">
        <v>12</v>
      </c>
      <c r="AC2756">
        <v>16.0430999999999</v>
      </c>
      <c r="AD2756">
        <v>-1.1119972462376</v>
      </c>
      <c r="AE2756">
        <v>-7.8783999999999903</v>
      </c>
      <c r="AF2756">
        <v>-4.8828547287768602</v>
      </c>
      <c r="AG2756">
        <v>-1.1119972462376</v>
      </c>
      <c r="AH2756">
        <v>17.121599915034899</v>
      </c>
      <c r="AI2756">
        <v>93.573870509438805</v>
      </c>
      <c r="AJ2756">
        <v>105.917451618885</v>
      </c>
      <c r="AK2756">
        <v>17.8389459281792</v>
      </c>
      <c r="AL2756">
        <v>91.808858294642505</v>
      </c>
      <c r="AM2756">
        <v>87.317142777647206</v>
      </c>
      <c r="AN2756">
        <v>1.00000003735748</v>
      </c>
    </row>
    <row r="2757" spans="1:40" x14ac:dyDescent="0.25">
      <c r="A2757" t="str">
        <f>"20190312161321737"</f>
        <v>20190312161321737</v>
      </c>
      <c r="B2757" t="str">
        <f>"1552378401728067"</f>
        <v>1552378401728067</v>
      </c>
      <c r="C2757" t="s">
        <v>40</v>
      </c>
      <c r="D2757">
        <v>5.3943750000000001</v>
      </c>
      <c r="E2757">
        <v>0.3734788</v>
      </c>
      <c r="F2757" t="s">
        <v>69</v>
      </c>
      <c r="G2757">
        <v>-463.72879999999998</v>
      </c>
      <c r="H2757" s="1">
        <v>6.3075890000000005E-7</v>
      </c>
      <c r="I2757">
        <v>210.42359999999999</v>
      </c>
      <c r="J2757">
        <v>-479.91969999999998</v>
      </c>
      <c r="K2757">
        <v>1.111993</v>
      </c>
      <c r="L2757">
        <v>218.2801</v>
      </c>
      <c r="M2757">
        <v>0.74555459999999996</v>
      </c>
      <c r="N2757">
        <v>0</v>
      </c>
      <c r="O2757">
        <v>-0.66630409999999995</v>
      </c>
      <c r="P2757">
        <v>0.71319480000000002</v>
      </c>
      <c r="Q2757">
        <v>-4.5937499999999999E-2</v>
      </c>
      <c r="R2757">
        <v>-0.699459099999999</v>
      </c>
      <c r="S2757">
        <v>2.843445</v>
      </c>
      <c r="T2757">
        <v>-0.19423989999999999</v>
      </c>
      <c r="U2757">
        <v>-1.3847499999999999</v>
      </c>
      <c r="V2757">
        <v>4.6414230000000001E-2</v>
      </c>
      <c r="W2757">
        <v>-3.208838E-2</v>
      </c>
      <c r="X2757">
        <v>0.99840680000000004</v>
      </c>
      <c r="Y2757">
        <v>-0.27117239999999998</v>
      </c>
      <c r="Z2757">
        <v>4.7193310000000002E-2</v>
      </c>
      <c r="AA2757">
        <v>0.96137320000000004</v>
      </c>
      <c r="AB2757">
        <v>12</v>
      </c>
      <c r="AC2757">
        <v>16.190899999999999</v>
      </c>
      <c r="AD2757">
        <v>-1.1119923692411</v>
      </c>
      <c r="AE2757">
        <v>-7.8565000000000103</v>
      </c>
      <c r="AF2757">
        <v>-4.9123197549093804</v>
      </c>
      <c r="AG2757">
        <v>-1.1119923692411</v>
      </c>
      <c r="AH2757">
        <v>17.241809271633802</v>
      </c>
      <c r="AI2757">
        <v>93.549262715680399</v>
      </c>
      <c r="AJ2757">
        <v>105.90264695791601</v>
      </c>
      <c r="AK2757">
        <v>17.962388464876302</v>
      </c>
      <c r="AL2757">
        <v>91.838844326388298</v>
      </c>
      <c r="AM2757">
        <v>87.3383332179246</v>
      </c>
      <c r="AN2757">
        <v>1.0000000415818699</v>
      </c>
    </row>
    <row r="2758" spans="1:40" x14ac:dyDescent="0.25">
      <c r="A2758" t="str">
        <f>"20190312161321760"</f>
        <v>20190312161321760</v>
      </c>
      <c r="B2758" t="str">
        <f>"1552378401748563"</f>
        <v>1552378401748563</v>
      </c>
      <c r="C2758" t="s">
        <v>40</v>
      </c>
      <c r="D2758">
        <v>5.6367320000000003</v>
      </c>
      <c r="E2758">
        <v>0.37406109999999998</v>
      </c>
      <c r="F2758" t="s">
        <v>69</v>
      </c>
      <c r="G2758">
        <v>-463.90460000000002</v>
      </c>
      <c r="H2758" s="1">
        <v>7.183381E-7</v>
      </c>
      <c r="I2758">
        <v>210.56030000000001</v>
      </c>
      <c r="J2758">
        <v>-479.83</v>
      </c>
      <c r="K2758">
        <v>1.1119870000000001</v>
      </c>
      <c r="L2758">
        <v>218.20820000000001</v>
      </c>
      <c r="M2758">
        <v>0.74894930000000004</v>
      </c>
      <c r="N2758">
        <v>0</v>
      </c>
      <c r="O2758">
        <v>-0.66248600000000002</v>
      </c>
      <c r="P2758">
        <v>0.71736119999999903</v>
      </c>
      <c r="Q2758">
        <v>-4.617189E-2</v>
      </c>
      <c r="R2758">
        <v>-0.69516999999999995</v>
      </c>
      <c r="S2758">
        <v>2.847534</v>
      </c>
      <c r="T2758">
        <v>-0.1977159</v>
      </c>
      <c r="U2758">
        <v>-1.37262</v>
      </c>
      <c r="V2758">
        <v>4.5540270000000001E-2</v>
      </c>
      <c r="W2758">
        <v>-3.2327290000000002E-2</v>
      </c>
      <c r="X2758">
        <v>0.99843930000000003</v>
      </c>
      <c r="Y2758">
        <v>-0.27006980000000003</v>
      </c>
      <c r="Z2758">
        <v>4.7823789999999998E-2</v>
      </c>
      <c r="AA2758">
        <v>0.96165230000000002</v>
      </c>
      <c r="AB2758">
        <v>12</v>
      </c>
      <c r="AC2758">
        <v>15.9253999999999</v>
      </c>
      <c r="AD2758">
        <v>-1.1119862816618999</v>
      </c>
      <c r="AE2758">
        <v>-7.6478999999999902</v>
      </c>
      <c r="AF2758">
        <v>-4.80388470247002</v>
      </c>
      <c r="AG2758">
        <v>-1.1119862816618999</v>
      </c>
      <c r="AH2758">
        <v>16.9284678448597</v>
      </c>
      <c r="AI2758">
        <v>93.615839974016595</v>
      </c>
      <c r="AJ2758">
        <v>105.842643728377</v>
      </c>
      <c r="AK2758">
        <v>17.631983589479599</v>
      </c>
      <c r="AL2758">
        <v>91.852540037746095</v>
      </c>
      <c r="AM2758">
        <v>87.388466097629404</v>
      </c>
      <c r="AN2758">
        <v>1.0000000028274501</v>
      </c>
    </row>
    <row r="2759" spans="1:40" x14ac:dyDescent="0.25">
      <c r="A2759" t="str">
        <f>"20190312161321783"</f>
        <v>20190312161321783</v>
      </c>
      <c r="B2759" t="str">
        <f>"1552378401778820"</f>
        <v>1552378401778820</v>
      </c>
      <c r="C2759" t="s">
        <v>40</v>
      </c>
      <c r="D2759">
        <v>5.4817140000000002</v>
      </c>
      <c r="E2759">
        <v>0.37436950000000002</v>
      </c>
      <c r="F2759" t="s">
        <v>69</v>
      </c>
      <c r="G2759">
        <v>-463.89490000000001</v>
      </c>
      <c r="H2759" s="1">
        <v>7.106828E-7</v>
      </c>
      <c r="I2759">
        <v>210.61699999999999</v>
      </c>
      <c r="J2759">
        <v>-479.73970000000003</v>
      </c>
      <c r="K2759">
        <v>1.1119889999999999</v>
      </c>
      <c r="L2759">
        <v>218.13650000000001</v>
      </c>
      <c r="M2759">
        <v>0.75235839999999998</v>
      </c>
      <c r="N2759">
        <v>0</v>
      </c>
      <c r="O2759">
        <v>-0.65861179999999997</v>
      </c>
      <c r="P2759">
        <v>0.72169179999999999</v>
      </c>
      <c r="Q2759">
        <v>-4.6230750000000001E-2</v>
      </c>
      <c r="R2759">
        <v>-0.69066890000000003</v>
      </c>
      <c r="S2759">
        <v>2.8523559999999999</v>
      </c>
      <c r="T2759">
        <v>-0.199043</v>
      </c>
      <c r="U2759">
        <v>-1.3588100000000001</v>
      </c>
      <c r="V2759">
        <v>4.4450919999999998E-2</v>
      </c>
      <c r="W2759">
        <v>-3.2390990000000001E-2</v>
      </c>
      <c r="X2759">
        <v>0.99848630000000005</v>
      </c>
      <c r="Y2759">
        <v>-0.26951019999999998</v>
      </c>
      <c r="Z2759">
        <v>4.7940530000000002E-2</v>
      </c>
      <c r="AA2759">
        <v>0.96180350000000003</v>
      </c>
      <c r="AB2759">
        <v>12</v>
      </c>
      <c r="AC2759">
        <v>15.844799999999999</v>
      </c>
      <c r="AD2759">
        <v>-1.1119882893172</v>
      </c>
      <c r="AE2759">
        <v>-7.5194999999999901</v>
      </c>
      <c r="AF2759">
        <v>-4.7595281445828403</v>
      </c>
      <c r="AG2759">
        <v>-1.1119882893172</v>
      </c>
      <c r="AH2759">
        <v>16.807416686157602</v>
      </c>
      <c r="AI2759">
        <v>93.642386225162298</v>
      </c>
      <c r="AJ2759">
        <v>105.81107339437099</v>
      </c>
      <c r="AK2759">
        <v>17.5036819491438</v>
      </c>
      <c r="AL2759">
        <v>91.856191741231797</v>
      </c>
      <c r="AM2759">
        <v>87.450971943694597</v>
      </c>
      <c r="AN2759">
        <v>0.99999997590485801</v>
      </c>
    </row>
    <row r="2760" spans="1:40" x14ac:dyDescent="0.25">
      <c r="A2760" t="str">
        <f>"20190312161321805"</f>
        <v>20190312161321805</v>
      </c>
      <c r="B2760" t="str">
        <f>"1552378401798339"</f>
        <v>1552378401798339</v>
      </c>
      <c r="C2760" t="s">
        <v>40</v>
      </c>
      <c r="D2760">
        <v>5.6690690000000004</v>
      </c>
      <c r="E2760">
        <v>0.35158289999999998</v>
      </c>
      <c r="F2760" t="s">
        <v>69</v>
      </c>
      <c r="G2760">
        <v>-463.80799999999999</v>
      </c>
      <c r="H2760" s="1">
        <v>6.628769E-7</v>
      </c>
      <c r="I2760">
        <v>210.65309999999999</v>
      </c>
      <c r="J2760">
        <v>-479.65109999999999</v>
      </c>
      <c r="K2760">
        <v>1.111998</v>
      </c>
      <c r="L2760">
        <v>218.0669</v>
      </c>
      <c r="M2760">
        <v>0.75569370000000002</v>
      </c>
      <c r="N2760">
        <v>0</v>
      </c>
      <c r="O2760">
        <v>-0.65478239999999999</v>
      </c>
      <c r="P2760">
        <v>0.72573540000000003</v>
      </c>
      <c r="Q2760">
        <v>-4.6214489999999997E-2</v>
      </c>
      <c r="R2760">
        <v>-0.68642069999999999</v>
      </c>
      <c r="S2760">
        <v>2.8589479999999998</v>
      </c>
      <c r="T2760">
        <v>-0.199546</v>
      </c>
      <c r="U2760">
        <v>-1.3428960000000001</v>
      </c>
      <c r="V2760">
        <v>4.3659919999999998E-2</v>
      </c>
      <c r="W2760">
        <v>-3.2378190000000001E-2</v>
      </c>
      <c r="X2760">
        <v>0.99852160000000001</v>
      </c>
      <c r="Y2760">
        <v>-0.26985619999999999</v>
      </c>
      <c r="Z2760">
        <v>4.7870450000000002E-2</v>
      </c>
      <c r="AA2760">
        <v>0.96170999999999995</v>
      </c>
      <c r="AB2760">
        <v>12</v>
      </c>
      <c r="AC2760">
        <v>15.8430999999999</v>
      </c>
      <c r="AD2760">
        <v>-1.1119973371231</v>
      </c>
      <c r="AE2760">
        <v>-7.4138000000000002</v>
      </c>
      <c r="AF2760">
        <v>-4.75246079262309</v>
      </c>
      <c r="AG2760">
        <v>-1.1119973371231</v>
      </c>
      <c r="AH2760">
        <v>16.760793535542099</v>
      </c>
      <c r="AI2760">
        <v>93.6521706848674</v>
      </c>
      <c r="AJ2760">
        <v>105.830488012814</v>
      </c>
      <c r="AK2760">
        <v>17.456993486974199</v>
      </c>
      <c r="AL2760">
        <v>91.855457998518105</v>
      </c>
      <c r="AM2760">
        <v>87.496361817539196</v>
      </c>
      <c r="AN2760">
        <v>0.99999996073431996</v>
      </c>
    </row>
    <row r="2761" spans="1:40" x14ac:dyDescent="0.25">
      <c r="A2761" t="str">
        <f>"20190312161321826"</f>
        <v>20190312161321826</v>
      </c>
      <c r="B2761" t="str">
        <f>"1552378401818835"</f>
        <v>1552378401818835</v>
      </c>
      <c r="C2761" t="s">
        <v>40</v>
      </c>
      <c r="D2761">
        <v>5.6815239999999996</v>
      </c>
      <c r="E2761">
        <v>0.33561069999999998</v>
      </c>
      <c r="F2761" t="s">
        <v>69</v>
      </c>
      <c r="G2761">
        <v>-467.06049999999999</v>
      </c>
      <c r="H2761" s="1">
        <v>2.2883659999999999E-6</v>
      </c>
      <c r="I2761">
        <v>213.06229999999999</v>
      </c>
      <c r="J2761">
        <v>-479.56200000000001</v>
      </c>
      <c r="K2761">
        <v>1.111999</v>
      </c>
      <c r="L2761">
        <v>217.99780000000001</v>
      </c>
      <c r="M2761">
        <v>0.7590346</v>
      </c>
      <c r="N2761">
        <v>0</v>
      </c>
      <c r="O2761">
        <v>-0.65090669999999995</v>
      </c>
      <c r="P2761">
        <v>0.72974459999999997</v>
      </c>
      <c r="Q2761">
        <v>-4.6562140000000002E-2</v>
      </c>
      <c r="R2761">
        <v>-0.68213299999999999</v>
      </c>
      <c r="S2761">
        <v>2.992035</v>
      </c>
      <c r="T2761">
        <v>-0.26425520000000002</v>
      </c>
      <c r="U2761">
        <v>-1.1892849999999999</v>
      </c>
      <c r="V2761">
        <v>4.2903629999999998E-2</v>
      </c>
      <c r="W2761">
        <v>-3.2729279999999999E-2</v>
      </c>
      <c r="X2761">
        <v>0.99854299999999996</v>
      </c>
      <c r="Y2761">
        <v>-0.32174829999999999</v>
      </c>
      <c r="Z2761">
        <v>6.358656E-2</v>
      </c>
      <c r="AA2761">
        <v>0.94468770000000002</v>
      </c>
      <c r="AB2761">
        <v>12</v>
      </c>
      <c r="AC2761">
        <v>12.501499999999901</v>
      </c>
      <c r="AD2761">
        <v>-1.1119967116339999</v>
      </c>
      <c r="AE2761">
        <v>-4.93550000000001</v>
      </c>
      <c r="AF2761">
        <v>-4.36164960370989</v>
      </c>
      <c r="AG2761">
        <v>-1.1119967116339999</v>
      </c>
      <c r="AH2761">
        <v>12.6164481756604</v>
      </c>
      <c r="AI2761">
        <v>94.761812366095199</v>
      </c>
      <c r="AJ2761">
        <v>109.070849670418</v>
      </c>
      <c r="AK2761">
        <v>13.3953457783423</v>
      </c>
      <c r="AL2761">
        <v>91.875584521371394</v>
      </c>
      <c r="AM2761">
        <v>87.5397294777718</v>
      </c>
      <c r="AN2761">
        <v>1.0000000250427401</v>
      </c>
    </row>
    <row r="2762" spans="1:40" x14ac:dyDescent="0.25">
      <c r="A2762" t="str">
        <f>"20190312161321852"</f>
        <v>20190312161321852</v>
      </c>
      <c r="B2762" t="str">
        <f>"1552378401848115"</f>
        <v>1552378401848115</v>
      </c>
      <c r="C2762" t="s">
        <v>40</v>
      </c>
      <c r="D2762">
        <v>5.6041509999999999</v>
      </c>
      <c r="E2762">
        <v>0.33596029999999999</v>
      </c>
      <c r="F2762" t="s">
        <v>69</v>
      </c>
      <c r="G2762">
        <v>-464.42700000000002</v>
      </c>
      <c r="H2762" s="1">
        <v>9.0295159999999995E-7</v>
      </c>
      <c r="I2762">
        <v>212.69630000000001</v>
      </c>
      <c r="J2762">
        <v>-479.46589999999998</v>
      </c>
      <c r="K2762">
        <v>1.1120030000000001</v>
      </c>
      <c r="L2762">
        <v>217.92410000000001</v>
      </c>
      <c r="M2762">
        <v>0.76262369999999902</v>
      </c>
      <c r="N2762">
        <v>0</v>
      </c>
      <c r="O2762">
        <v>-0.646698</v>
      </c>
      <c r="P2762">
        <v>0.73370360000000001</v>
      </c>
      <c r="Q2762">
        <v>-4.6863259999999997E-2</v>
      </c>
      <c r="R2762">
        <v>-0.67785209999999996</v>
      </c>
      <c r="S2762">
        <v>3.0861209999999999</v>
      </c>
      <c r="T2762">
        <v>-0.22674269999999999</v>
      </c>
      <c r="U2762">
        <v>-1.080994</v>
      </c>
      <c r="V2762">
        <v>4.2599629999999999E-2</v>
      </c>
      <c r="W2762">
        <v>-3.3032319999999997E-2</v>
      </c>
      <c r="X2762">
        <v>0.99854600000000004</v>
      </c>
      <c r="Y2762">
        <v>-0.356182</v>
      </c>
      <c r="Z2762">
        <v>5.4502589999999997E-2</v>
      </c>
      <c r="AA2762">
        <v>0.93282569999999998</v>
      </c>
      <c r="AB2762">
        <v>12</v>
      </c>
      <c r="AC2762">
        <v>15.0389</v>
      </c>
      <c r="AD2762">
        <v>-1.1120020970483999</v>
      </c>
      <c r="AE2762">
        <v>-5.2278000000000002</v>
      </c>
      <c r="AF2762">
        <v>-5.7114582986754003</v>
      </c>
      <c r="AG2762">
        <v>-1.1120020970483999</v>
      </c>
      <c r="AH2762">
        <v>14.779124847502599</v>
      </c>
      <c r="AI2762">
        <v>94.014601017119901</v>
      </c>
      <c r="AJ2762">
        <v>111.12924551323501</v>
      </c>
      <c r="AK2762">
        <v>15.883319420682099</v>
      </c>
      <c r="AL2762">
        <v>91.892956897003899</v>
      </c>
      <c r="AM2762">
        <v>87.55714822409</v>
      </c>
      <c r="AN2762">
        <v>0.99999998837835902</v>
      </c>
    </row>
    <row r="2763" spans="1:40" x14ac:dyDescent="0.25">
      <c r="A2763" t="str">
        <f>"20190312161321875"</f>
        <v>20190312161321875</v>
      </c>
      <c r="B2763" t="str">
        <f>"1552378401868611"</f>
        <v>1552378401868611</v>
      </c>
      <c r="C2763" t="s">
        <v>40</v>
      </c>
      <c r="D2763">
        <v>5.5991759999999999</v>
      </c>
      <c r="E2763">
        <v>0.33659509999999998</v>
      </c>
      <c r="F2763" t="s">
        <v>69</v>
      </c>
      <c r="G2763">
        <v>-464.44</v>
      </c>
      <c r="H2763" s="1">
        <v>9.0767029999999995E-7</v>
      </c>
      <c r="I2763">
        <v>212.7474</v>
      </c>
      <c r="J2763">
        <v>-479.3682</v>
      </c>
      <c r="K2763">
        <v>1.1120080000000001</v>
      </c>
      <c r="L2763">
        <v>217.8501</v>
      </c>
      <c r="M2763">
        <v>0.76626430000000001</v>
      </c>
      <c r="N2763">
        <v>0</v>
      </c>
      <c r="O2763">
        <v>-0.64237979999999995</v>
      </c>
      <c r="P2763">
        <v>0.7375621</v>
      </c>
      <c r="Q2763">
        <v>-4.6959109999999998E-2</v>
      </c>
      <c r="R2763">
        <v>-0.67364449999999998</v>
      </c>
      <c r="S2763">
        <v>3.090576</v>
      </c>
      <c r="T2763">
        <v>-0.22872020000000001</v>
      </c>
      <c r="U2763">
        <v>-1.0647580000000001</v>
      </c>
      <c r="V2763">
        <v>4.2533479999999999E-2</v>
      </c>
      <c r="W2763">
        <v>-3.3129499999999999E-2</v>
      </c>
      <c r="X2763">
        <v>0.99854560000000003</v>
      </c>
      <c r="Y2763">
        <v>-0.35567120000000002</v>
      </c>
      <c r="Z2763">
        <v>5.4725620000000003E-2</v>
      </c>
      <c r="AA2763">
        <v>0.93300749999999999</v>
      </c>
      <c r="AB2763">
        <v>12</v>
      </c>
      <c r="AC2763">
        <v>14.9282</v>
      </c>
      <c r="AD2763">
        <v>-1.1120070923297001</v>
      </c>
      <c r="AE2763">
        <v>-5.1026999999999898</v>
      </c>
      <c r="AF2763">
        <v>-5.6520080024935302</v>
      </c>
      <c r="AG2763">
        <v>-1.1120070923297001</v>
      </c>
      <c r="AH2763">
        <v>14.645432669341799</v>
      </c>
      <c r="AI2763">
        <v>94.051866636881599</v>
      </c>
      <c r="AJ2763">
        <v>111.102744051334</v>
      </c>
      <c r="AK2763">
        <v>15.7375491200462</v>
      </c>
      <c r="AL2763">
        <v>91.898527950836495</v>
      </c>
      <c r="AM2763">
        <v>87.5609359980036</v>
      </c>
      <c r="AN2763">
        <v>0.99999998798526002</v>
      </c>
    </row>
    <row r="2764" spans="1:40" x14ac:dyDescent="0.25">
      <c r="A2764" t="str">
        <f>"20190312161321897"</f>
        <v>20190312161321897</v>
      </c>
      <c r="B2764" t="str">
        <f>"1552378401888131"</f>
        <v>1552378401888131</v>
      </c>
      <c r="C2764" t="s">
        <v>40</v>
      </c>
      <c r="D2764">
        <v>5.5874489999999897</v>
      </c>
      <c r="E2764">
        <v>0.33772429999999998</v>
      </c>
      <c r="F2764" t="s">
        <v>69</v>
      </c>
      <c r="G2764">
        <v>-464.31420000000003</v>
      </c>
      <c r="H2764" s="1">
        <v>8.4128150000000001E-7</v>
      </c>
      <c r="I2764">
        <v>212.7347</v>
      </c>
      <c r="J2764">
        <v>-479.279</v>
      </c>
      <c r="K2764">
        <v>1.112006</v>
      </c>
      <c r="L2764">
        <v>217.7833</v>
      </c>
      <c r="M2764">
        <v>0.76956530000000001</v>
      </c>
      <c r="N2764">
        <v>0</v>
      </c>
      <c r="O2764">
        <v>-0.63842180000000004</v>
      </c>
      <c r="P2764">
        <v>0.74101260000000002</v>
      </c>
      <c r="Q2764">
        <v>-4.678595E-2</v>
      </c>
      <c r="R2764">
        <v>-0.6698596</v>
      </c>
      <c r="S2764">
        <v>3.0929570000000002</v>
      </c>
      <c r="T2764">
        <v>-0.22847120000000001</v>
      </c>
      <c r="U2764">
        <v>-1.0509949999999999</v>
      </c>
      <c r="V2764">
        <v>4.2560069999999998E-2</v>
      </c>
      <c r="W2764">
        <v>-3.2957779999999999E-2</v>
      </c>
      <c r="X2764">
        <v>0.99855020000000005</v>
      </c>
      <c r="Y2764">
        <v>-0.35480590000000001</v>
      </c>
      <c r="Z2764">
        <v>5.4443520000000002E-2</v>
      </c>
      <c r="AA2764">
        <v>0.93335349999999995</v>
      </c>
      <c r="AB2764">
        <v>12</v>
      </c>
      <c r="AC2764">
        <v>14.964799999999901</v>
      </c>
      <c r="AD2764">
        <v>-1.1120051587185</v>
      </c>
      <c r="AE2764">
        <v>-5.0485999999999898</v>
      </c>
      <c r="AF2764">
        <v>-5.6411909155020901</v>
      </c>
      <c r="AG2764">
        <v>-1.1120051587185</v>
      </c>
      <c r="AH2764">
        <v>14.668187508901401</v>
      </c>
      <c r="AI2764">
        <v>94.047402553005</v>
      </c>
      <c r="AJ2764">
        <v>111.036082993528</v>
      </c>
      <c r="AK2764">
        <v>15.754850529740001</v>
      </c>
      <c r="AL2764">
        <v>91.888683648426905</v>
      </c>
      <c r="AM2764">
        <v>87.559424278555099</v>
      </c>
      <c r="AN2764">
        <v>1.0000000383704799</v>
      </c>
    </row>
    <row r="2765" spans="1:40" x14ac:dyDescent="0.25">
      <c r="A2765" t="str">
        <f>"20190312161321917"</f>
        <v>20190312161321917</v>
      </c>
      <c r="B2765" t="str">
        <f>"1552378401908628"</f>
        <v>1552378401908628</v>
      </c>
      <c r="C2765" t="s">
        <v>40</v>
      </c>
      <c r="D2765">
        <v>5.5889519999999999</v>
      </c>
      <c r="E2765">
        <v>0.33840239999999999</v>
      </c>
      <c r="F2765" t="s">
        <v>69</v>
      </c>
      <c r="G2765">
        <v>-464.60480000000001</v>
      </c>
      <c r="H2765" s="1">
        <v>9.9130880000000009E-7</v>
      </c>
      <c r="I2765">
        <v>212.84010000000001</v>
      </c>
      <c r="J2765">
        <v>-479.19650000000001</v>
      </c>
      <c r="K2765">
        <v>1.112001</v>
      </c>
      <c r="L2765">
        <v>217.72219999999999</v>
      </c>
      <c r="M2765">
        <v>0.7726056</v>
      </c>
      <c r="N2765">
        <v>0</v>
      </c>
      <c r="O2765">
        <v>-0.63473889999999999</v>
      </c>
      <c r="P2765">
        <v>0.74404380000000003</v>
      </c>
      <c r="Q2765">
        <v>-4.6562770000000003E-2</v>
      </c>
      <c r="R2765">
        <v>-0.66650640000000005</v>
      </c>
      <c r="S2765">
        <v>3.0921020000000001</v>
      </c>
      <c r="T2765">
        <v>-0.23431869999999999</v>
      </c>
      <c r="U2765">
        <v>-1.0416259999999999</v>
      </c>
      <c r="V2765">
        <v>4.2809840000000002E-2</v>
      </c>
      <c r="W2765">
        <v>-3.2735649999999998E-2</v>
      </c>
      <c r="X2765">
        <v>0.99854679999999996</v>
      </c>
      <c r="Y2765">
        <v>-0.35269840000000002</v>
      </c>
      <c r="Z2765">
        <v>5.5609239999999997E-2</v>
      </c>
      <c r="AA2765">
        <v>0.9340832</v>
      </c>
      <c r="AB2765">
        <v>12</v>
      </c>
      <c r="AC2765">
        <v>14.591699999999999</v>
      </c>
      <c r="AD2765">
        <v>-1.1120000086912001</v>
      </c>
      <c r="AE2765">
        <v>-4.8820999999999799</v>
      </c>
      <c r="AF2765">
        <v>-5.4619679942590302</v>
      </c>
      <c r="AG2765">
        <v>-1.1120000086912001</v>
      </c>
      <c r="AH2765">
        <v>14.299149205975599</v>
      </c>
      <c r="AI2765">
        <v>94.155087282545097</v>
      </c>
      <c r="AJ2765">
        <v>110.90578339344501</v>
      </c>
      <c r="AK2765">
        <v>15.347159554927099</v>
      </c>
      <c r="AL2765">
        <v>91.875949722224902</v>
      </c>
      <c r="AM2765">
        <v>87.545110525655105</v>
      </c>
      <c r="AN2765">
        <v>1.0000000084859899</v>
      </c>
    </row>
    <row r="2766" spans="1:40" x14ac:dyDescent="0.25">
      <c r="A2766" t="str">
        <f>"20190312161321938"</f>
        <v>20190312161321938</v>
      </c>
      <c r="B2766" t="str">
        <f>"1552378401928147"</f>
        <v>1552378401928147</v>
      </c>
      <c r="C2766" t="s">
        <v>40</v>
      </c>
      <c r="D2766">
        <v>5.5928630000000004</v>
      </c>
      <c r="E2766">
        <v>0.33942230000000001</v>
      </c>
      <c r="F2766" t="s">
        <v>69</v>
      </c>
      <c r="G2766">
        <v>-464.36829999999998</v>
      </c>
      <c r="H2766" s="1">
        <v>8.6812240000000004E-7</v>
      </c>
      <c r="I2766">
        <v>212.7782</v>
      </c>
      <c r="J2766">
        <v>-479.10700000000003</v>
      </c>
      <c r="K2766">
        <v>1.1120000000000001</v>
      </c>
      <c r="L2766">
        <v>217.6567</v>
      </c>
      <c r="M2766">
        <v>0.77588519999999905</v>
      </c>
      <c r="N2766">
        <v>0</v>
      </c>
      <c r="O2766">
        <v>-0.63072600000000001</v>
      </c>
      <c r="P2766">
        <v>0.74688639999999995</v>
      </c>
      <c r="Q2766">
        <v>-4.6504339999999998E-2</v>
      </c>
      <c r="R2766">
        <v>-0.66332360000000001</v>
      </c>
      <c r="S2766">
        <v>3.0935359999999998</v>
      </c>
      <c r="T2766">
        <v>-0.23199030000000001</v>
      </c>
      <c r="U2766">
        <v>-1.0314479999999999</v>
      </c>
      <c r="V2766">
        <v>4.3718449999999999E-2</v>
      </c>
      <c r="W2766">
        <v>-3.2676499999999997E-2</v>
      </c>
      <c r="X2766">
        <v>0.99850930000000004</v>
      </c>
      <c r="Y2766">
        <v>-0.35079769999999999</v>
      </c>
      <c r="Z2766">
        <v>5.4789789999999998E-2</v>
      </c>
      <c r="AA2766">
        <v>0.93484710000000004</v>
      </c>
      <c r="AB2766">
        <v>11</v>
      </c>
      <c r="AC2766">
        <v>14.7386999999999</v>
      </c>
      <c r="AD2766">
        <v>-1.1119991318775999</v>
      </c>
      <c r="AE2766">
        <v>-4.8784999999999998</v>
      </c>
      <c r="AF2766">
        <v>-5.4833095184810396</v>
      </c>
      <c r="AG2766">
        <v>-1.1119991318775999</v>
      </c>
      <c r="AH2766">
        <v>14.439812136176799</v>
      </c>
      <c r="AI2766">
        <v>94.117808088520505</v>
      </c>
      <c r="AJ2766">
        <v>110.79354815724</v>
      </c>
      <c r="AK2766">
        <v>15.485845145578599</v>
      </c>
      <c r="AL2766">
        <v>91.872558992328905</v>
      </c>
      <c r="AM2766">
        <v>87.492978904970499</v>
      </c>
      <c r="AN2766">
        <v>0.99999993935456899</v>
      </c>
    </row>
    <row r="2767" spans="1:40" x14ac:dyDescent="0.25">
      <c r="A2767" t="str">
        <f>"20190312161321962"</f>
        <v>20190312161321962</v>
      </c>
      <c r="B2767" t="str">
        <f>"1552378401958403"</f>
        <v>1552378401958403</v>
      </c>
      <c r="C2767" t="s">
        <v>40</v>
      </c>
      <c r="D2767">
        <v>5.5549650000000002</v>
      </c>
      <c r="E2767">
        <v>0.34052969999999999</v>
      </c>
      <c r="F2767" t="s">
        <v>69</v>
      </c>
      <c r="G2767">
        <v>-464.5147</v>
      </c>
      <c r="H2767" s="1">
        <v>9.4399829999999996E-7</v>
      </c>
      <c r="I2767">
        <v>212.82509999999999</v>
      </c>
      <c r="J2767">
        <v>-479.01679999999999</v>
      </c>
      <c r="K2767">
        <v>1.111988</v>
      </c>
      <c r="L2767">
        <v>217.59139999999999</v>
      </c>
      <c r="M2767">
        <v>0.77917799999999904</v>
      </c>
      <c r="N2767">
        <v>0</v>
      </c>
      <c r="O2767">
        <v>-0.62665349999999997</v>
      </c>
      <c r="P2767">
        <v>0.74973599999999996</v>
      </c>
      <c r="Q2767">
        <v>-4.6729239999999998E-2</v>
      </c>
      <c r="R2767">
        <v>-0.66008509999999998</v>
      </c>
      <c r="S2767">
        <v>3.09259</v>
      </c>
      <c r="T2767">
        <v>-0.23566880000000001</v>
      </c>
      <c r="U2767">
        <v>-1.0239720000000001</v>
      </c>
      <c r="V2767">
        <v>4.4636170000000003E-2</v>
      </c>
      <c r="W2767">
        <v>-3.2900550000000001E-2</v>
      </c>
      <c r="X2767">
        <v>0.99846140000000005</v>
      </c>
      <c r="Y2767">
        <v>-0.347784599999999</v>
      </c>
      <c r="Z2767">
        <v>5.536692E-2</v>
      </c>
      <c r="AA2767">
        <v>0.93593820000000005</v>
      </c>
      <c r="AB2767">
        <v>11</v>
      </c>
      <c r="AC2767">
        <v>14.502099999999899</v>
      </c>
      <c r="AD2767">
        <v>-1.1119870560017</v>
      </c>
      <c r="AE2767">
        <v>-4.7663000000000002</v>
      </c>
      <c r="AF2767">
        <v>-5.3461301765271303</v>
      </c>
      <c r="AG2767">
        <v>-1.1119870560017</v>
      </c>
      <c r="AH2767">
        <v>14.212456767272901</v>
      </c>
      <c r="AI2767">
        <v>94.188337630210398</v>
      </c>
      <c r="AJ2767">
        <v>110.614194672496</v>
      </c>
      <c r="AK2767">
        <v>15.2253587950725</v>
      </c>
      <c r="AL2767">
        <v>91.885402903147707</v>
      </c>
      <c r="AM2767">
        <v>87.440299174978406</v>
      </c>
      <c r="AN2767">
        <v>1.0000000005762599</v>
      </c>
    </row>
    <row r="2768" spans="1:40" x14ac:dyDescent="0.25">
      <c r="A2768" t="str">
        <f>"20190312161321984"</f>
        <v>20190312161321984</v>
      </c>
      <c r="B2768" t="str">
        <f>"1552378401978898"</f>
        <v>1552378401978898</v>
      </c>
      <c r="C2768" t="s">
        <v>40</v>
      </c>
      <c r="D2768">
        <v>5.5598470000000004</v>
      </c>
      <c r="E2768">
        <v>0.3409585</v>
      </c>
      <c r="F2768" t="s">
        <v>69</v>
      </c>
      <c r="G2768">
        <v>-464.56229999999999</v>
      </c>
      <c r="H2768" s="1">
        <v>9.6894709999999991E-7</v>
      </c>
      <c r="I2768">
        <v>212.8347</v>
      </c>
      <c r="J2768">
        <v>-478.92649999999998</v>
      </c>
      <c r="K2768">
        <v>1.111985</v>
      </c>
      <c r="L2768">
        <v>217.52670000000001</v>
      </c>
      <c r="M2768">
        <v>0.78246210000000005</v>
      </c>
      <c r="N2768">
        <v>0</v>
      </c>
      <c r="O2768">
        <v>-0.62254830000000005</v>
      </c>
      <c r="P2768">
        <v>0.75235129999999995</v>
      </c>
      <c r="Q2768">
        <v>-4.7442970000000001E-2</v>
      </c>
      <c r="R2768">
        <v>-0.65705159999999996</v>
      </c>
      <c r="S2768">
        <v>3.0910639999999998</v>
      </c>
      <c r="T2768">
        <v>-0.23779629999999999</v>
      </c>
      <c r="U2768">
        <v>-1.0171969999999999</v>
      </c>
      <c r="V2768">
        <v>4.5883159999999999E-2</v>
      </c>
      <c r="W2768">
        <v>-3.361186E-2</v>
      </c>
      <c r="X2768">
        <v>0.99838119999999997</v>
      </c>
      <c r="Y2768">
        <v>-0.34453810000000001</v>
      </c>
      <c r="Z2768">
        <v>5.5568010000000001E-2</v>
      </c>
      <c r="AA2768">
        <v>0.93712629999999997</v>
      </c>
      <c r="AB2768">
        <v>11</v>
      </c>
      <c r="AC2768">
        <v>14.364199999999901</v>
      </c>
      <c r="AD2768">
        <v>-1.1119840310528999</v>
      </c>
      <c r="AE2768">
        <v>-4.6920000000000002</v>
      </c>
      <c r="AF2768">
        <v>-5.2431958221293096</v>
      </c>
      <c r="AG2768">
        <v>-1.1119840310528999</v>
      </c>
      <c r="AH2768">
        <v>14.0854864872744</v>
      </c>
      <c r="AI2768">
        <v>94.231361919184195</v>
      </c>
      <c r="AJ2768">
        <v>110.417330690044</v>
      </c>
      <c r="AK2768">
        <v>15.070784335849901</v>
      </c>
      <c r="AL2768">
        <v>91.926180481295503</v>
      </c>
      <c r="AM2768">
        <v>87.368677493051507</v>
      </c>
      <c r="AN2768">
        <v>1.00000002100884</v>
      </c>
    </row>
    <row r="2769" spans="1:40" x14ac:dyDescent="0.25">
      <c r="A2769" t="str">
        <f>"20190312161322006"</f>
        <v>20190312161322006</v>
      </c>
      <c r="B2769" t="str">
        <f>"1552378401998419"</f>
        <v>1552378401998419</v>
      </c>
      <c r="C2769" t="s">
        <v>40</v>
      </c>
      <c r="D2769">
        <v>5.5362090000000004</v>
      </c>
      <c r="E2769">
        <v>0.34152840000000001</v>
      </c>
      <c r="F2769" t="s">
        <v>69</v>
      </c>
      <c r="G2769">
        <v>-464.52350000000001</v>
      </c>
      <c r="H2769" s="1">
        <v>9.4822419999999999E-7</v>
      </c>
      <c r="I2769">
        <v>212.83600000000001</v>
      </c>
      <c r="J2769">
        <v>-478.83659999999998</v>
      </c>
      <c r="K2769">
        <v>1.1119870000000001</v>
      </c>
      <c r="L2769">
        <v>217.4631</v>
      </c>
      <c r="M2769">
        <v>0.78571669999999905</v>
      </c>
      <c r="N2769">
        <v>0</v>
      </c>
      <c r="O2769">
        <v>-0.61843549999999903</v>
      </c>
      <c r="P2769">
        <v>0.75501619999999903</v>
      </c>
      <c r="Q2769">
        <v>-4.7294709999999997E-2</v>
      </c>
      <c r="R2769">
        <v>-0.65399839999999998</v>
      </c>
      <c r="S2769">
        <v>3.0928040000000001</v>
      </c>
      <c r="T2769">
        <v>-0.23878060000000001</v>
      </c>
      <c r="U2769">
        <v>-1.007263</v>
      </c>
      <c r="V2769">
        <v>4.7068730000000003E-2</v>
      </c>
      <c r="W2769">
        <v>-3.345981E-2</v>
      </c>
      <c r="X2769">
        <v>0.99833110000000003</v>
      </c>
      <c r="Y2769">
        <v>-0.34248400000000001</v>
      </c>
      <c r="Z2769">
        <v>5.5498140000000001E-2</v>
      </c>
      <c r="AA2769">
        <v>0.93788309999999997</v>
      </c>
      <c r="AB2769">
        <v>11</v>
      </c>
      <c r="AC2769">
        <v>14.313099999999899</v>
      </c>
      <c r="AD2769">
        <v>-1.1119860517758</v>
      </c>
      <c r="AE2769">
        <v>-4.6271000000000102</v>
      </c>
      <c r="AF2769">
        <v>-5.1882745644903698</v>
      </c>
      <c r="AG2769">
        <v>-1.1119860517758</v>
      </c>
      <c r="AH2769">
        <v>14.032241151607201</v>
      </c>
      <c r="AI2769">
        <v>94.250820342896503</v>
      </c>
      <c r="AJ2769">
        <v>110.291346957295</v>
      </c>
      <c r="AK2769">
        <v>15.001949795701201</v>
      </c>
      <c r="AL2769">
        <v>91.917463786403005</v>
      </c>
      <c r="AM2769">
        <v>87.300651068695899</v>
      </c>
      <c r="AN2769">
        <v>1.0000000047281199</v>
      </c>
    </row>
    <row r="2770" spans="1:40" x14ac:dyDescent="0.25">
      <c r="A2770" t="str">
        <f>"20190312161322040"</f>
        <v>20190312161322040</v>
      </c>
      <c r="B2770" t="str">
        <f>"1552378402028679"</f>
        <v>1552378402028679</v>
      </c>
      <c r="C2770" t="s">
        <v>40</v>
      </c>
      <c r="D2770">
        <v>5.5457429999999999</v>
      </c>
      <c r="E2770">
        <v>0.31554769999999999</v>
      </c>
      <c r="F2770" t="s">
        <v>69</v>
      </c>
      <c r="G2770">
        <v>-464.46350000000001</v>
      </c>
      <c r="H2770" s="1">
        <v>9.1667729999999997E-7</v>
      </c>
      <c r="I2770">
        <v>212.82660000000001</v>
      </c>
      <c r="J2770">
        <v>-478.6979</v>
      </c>
      <c r="K2770">
        <v>1.1120129999999999</v>
      </c>
      <c r="L2770">
        <v>217.36660000000001</v>
      </c>
      <c r="M2770">
        <v>0.79072559999999903</v>
      </c>
      <c r="N2770">
        <v>0</v>
      </c>
      <c r="O2770">
        <v>-0.61201819999999996</v>
      </c>
      <c r="P2770">
        <v>0.76049699999999998</v>
      </c>
      <c r="Q2770">
        <v>-4.6955129999999998E-2</v>
      </c>
      <c r="R2770">
        <v>-0.64764169999999999</v>
      </c>
      <c r="S2770">
        <v>3.0939030000000001</v>
      </c>
      <c r="T2770">
        <v>-0.2393614</v>
      </c>
      <c r="U2770">
        <v>-0.99804689999999996</v>
      </c>
      <c r="V2770">
        <v>4.6808889999999999E-2</v>
      </c>
      <c r="W2770">
        <v>-3.311944E-2</v>
      </c>
      <c r="X2770">
        <v>0.99835469999999904</v>
      </c>
      <c r="Y2770">
        <v>-0.337472099999999</v>
      </c>
      <c r="Z2770">
        <v>5.5097260000000002E-2</v>
      </c>
      <c r="AA2770">
        <v>0.93972169999999999</v>
      </c>
      <c r="AB2770">
        <v>11</v>
      </c>
      <c r="AC2770">
        <v>14.2343999999999</v>
      </c>
      <c r="AD2770">
        <v>-1.1120120833227001</v>
      </c>
      <c r="AE2770">
        <v>-4.5399999999999903</v>
      </c>
      <c r="AF2770">
        <v>-5.0940775468740203</v>
      </c>
      <c r="AG2770">
        <v>-1.1120120833227001</v>
      </c>
      <c r="AH2770">
        <v>13.9580576946143</v>
      </c>
      <c r="AI2770">
        <v>94.280025519269799</v>
      </c>
      <c r="AJ2770">
        <v>110.04985980629</v>
      </c>
      <c r="AK2770">
        <v>14.900119849625501</v>
      </c>
      <c r="AL2770">
        <v>91.897951143371898</v>
      </c>
      <c r="AM2770">
        <v>87.315594163202107</v>
      </c>
      <c r="AN2770">
        <v>1.0000000382505101</v>
      </c>
    </row>
    <row r="2771" spans="1:40" x14ac:dyDescent="0.25">
      <c r="A2771" t="str">
        <f>"20190312161322066"</f>
        <v>20190312161322066</v>
      </c>
      <c r="B2771" t="str">
        <f>"1552378402058932"</f>
        <v>1552378402058932</v>
      </c>
      <c r="C2771" t="s">
        <v>40</v>
      </c>
      <c r="D2771">
        <v>5.5648569999999999</v>
      </c>
      <c r="E2771">
        <v>0.30291699999999999</v>
      </c>
      <c r="F2771" t="s">
        <v>69</v>
      </c>
      <c r="G2771">
        <v>-444.55509999999998</v>
      </c>
      <c r="H2771">
        <v>8.0000379999999996E-2</v>
      </c>
      <c r="I2771">
        <v>208.66980000000001</v>
      </c>
      <c r="J2771">
        <v>-478.59219999999999</v>
      </c>
      <c r="K2771">
        <v>1.11202</v>
      </c>
      <c r="L2771">
        <v>217.29419999999999</v>
      </c>
      <c r="M2771">
        <v>0.79452630000000002</v>
      </c>
      <c r="N2771">
        <v>0</v>
      </c>
      <c r="O2771">
        <v>-0.6070759</v>
      </c>
      <c r="P2771">
        <v>0.76550410000000002</v>
      </c>
      <c r="Q2771">
        <v>-4.7539430000000001E-2</v>
      </c>
      <c r="R2771">
        <v>-0.64167220000000003</v>
      </c>
      <c r="S2771">
        <v>3.2366329999999999</v>
      </c>
      <c r="T2771">
        <v>-9.7831609999999999E-2</v>
      </c>
      <c r="U2771">
        <v>-0.82443239999999995</v>
      </c>
      <c r="V2771">
        <v>4.5249879999999999E-2</v>
      </c>
      <c r="W2771">
        <v>-3.3707910000000001E-2</v>
      </c>
      <c r="X2771">
        <v>0.99840680000000004</v>
      </c>
      <c r="Y2771">
        <v>-0.39182539999999999</v>
      </c>
      <c r="Z2771">
        <v>2.252759E-2</v>
      </c>
      <c r="AA2771">
        <v>0.91976369999999996</v>
      </c>
      <c r="AB2771">
        <v>11</v>
      </c>
      <c r="AC2771">
        <v>34.037100000000002</v>
      </c>
      <c r="AD2771">
        <v>-1.03201962</v>
      </c>
      <c r="AE2771">
        <v>-8.6243999999999801</v>
      </c>
      <c r="AF2771">
        <v>-13.800159182321501</v>
      </c>
      <c r="AG2771">
        <v>-1.03201962</v>
      </c>
      <c r="AH2771">
        <v>32.254188663866401</v>
      </c>
      <c r="AI2771">
        <v>91.684983527818304</v>
      </c>
      <c r="AJ2771">
        <v>113.16396775840499</v>
      </c>
      <c r="AK2771">
        <v>35.097608811965699</v>
      </c>
      <c r="AL2771">
        <v>91.931686985558301</v>
      </c>
      <c r="AM2771">
        <v>87.405011496772005</v>
      </c>
      <c r="AN2771">
        <v>0.99999995656141005</v>
      </c>
    </row>
    <row r="2772" spans="1:40" x14ac:dyDescent="0.25">
      <c r="A2772" t="str">
        <f>"20190312161322087"</f>
        <v>20190312161322087</v>
      </c>
      <c r="B2772" t="str">
        <f>"1552378402078451"</f>
        <v>1552378402078451</v>
      </c>
      <c r="C2772" t="s">
        <v>40</v>
      </c>
      <c r="D2772">
        <v>5.525074</v>
      </c>
      <c r="E2772">
        <v>0.30122890000000002</v>
      </c>
      <c r="F2772" t="s">
        <v>80</v>
      </c>
      <c r="G2772">
        <v>-389.2355</v>
      </c>
      <c r="H2772">
        <v>0.1330065</v>
      </c>
      <c r="I2772">
        <v>197.67179999999999</v>
      </c>
      <c r="J2772">
        <v>-478.50490000000002</v>
      </c>
      <c r="K2772">
        <v>1.1120219999999901</v>
      </c>
      <c r="L2772">
        <v>217.2353</v>
      </c>
      <c r="M2772">
        <v>0.79764979999999996</v>
      </c>
      <c r="N2772">
        <v>0</v>
      </c>
      <c r="O2772">
        <v>-0.6029658</v>
      </c>
      <c r="P2772">
        <v>0.76952030000000005</v>
      </c>
      <c r="Q2772">
        <v>-4.778806E-2</v>
      </c>
      <c r="R2772">
        <v>-0.63683199999999995</v>
      </c>
      <c r="S2772">
        <v>3.3077999999999999</v>
      </c>
      <c r="T2772">
        <v>-3.6241049999999997E-2</v>
      </c>
      <c r="U2772">
        <v>-0.72637940000000001</v>
      </c>
      <c r="V2772">
        <v>4.4119230000000002E-2</v>
      </c>
      <c r="W2772">
        <v>-3.3959839999999998E-2</v>
      </c>
      <c r="X2772">
        <v>0.99844889999999997</v>
      </c>
      <c r="Y2772">
        <v>-0.41783530000000002</v>
      </c>
      <c r="Z2772">
        <v>8.3217640000000006E-3</v>
      </c>
      <c r="AA2772">
        <v>0.90848470000000003</v>
      </c>
      <c r="AB2772">
        <v>11</v>
      </c>
      <c r="AC2772">
        <v>89.269400000000005</v>
      </c>
      <c r="AD2772">
        <v>-0.97901549999999904</v>
      </c>
      <c r="AE2772">
        <v>-19.563500000000001</v>
      </c>
      <c r="AF2772">
        <v>-38.220761995005802</v>
      </c>
      <c r="AG2772">
        <v>-0.97901549999999904</v>
      </c>
      <c r="AH2772">
        <v>83.000078604618594</v>
      </c>
      <c r="AI2772">
        <v>90.613841879039796</v>
      </c>
      <c r="AJ2772">
        <v>114.72562947860099</v>
      </c>
      <c r="AK2772">
        <v>91.382701684733405</v>
      </c>
      <c r="AL2772">
        <v>91.946129712764304</v>
      </c>
      <c r="AM2772">
        <v>87.469873177055902</v>
      </c>
      <c r="AN2772">
        <v>0.99999999154991404</v>
      </c>
    </row>
    <row r="2773" spans="1:40" x14ac:dyDescent="0.25">
      <c r="A2773" t="str">
        <f>"20190312161322110"</f>
        <v>20190312161322110</v>
      </c>
      <c r="B2773" t="str">
        <f>"1552378402098948"</f>
        <v>1552378402098948</v>
      </c>
      <c r="C2773" t="s">
        <v>40</v>
      </c>
      <c r="D2773">
        <v>5.5623019999999999</v>
      </c>
      <c r="E2773">
        <v>0.30110979999999998</v>
      </c>
      <c r="F2773" t="s">
        <v>80</v>
      </c>
      <c r="G2773">
        <v>-389.2355</v>
      </c>
      <c r="H2773">
        <v>0.44259799999999999</v>
      </c>
      <c r="I2773">
        <v>198.52760000000001</v>
      </c>
      <c r="J2773">
        <v>-478.41320000000002</v>
      </c>
      <c r="K2773">
        <v>1.112031</v>
      </c>
      <c r="L2773">
        <v>217.17410000000001</v>
      </c>
      <c r="M2773">
        <v>0.80092890000000005</v>
      </c>
      <c r="N2773">
        <v>0</v>
      </c>
      <c r="O2773">
        <v>-0.59860369999999996</v>
      </c>
      <c r="P2773">
        <v>0.7736326</v>
      </c>
      <c r="Q2773">
        <v>-4.817805E-2</v>
      </c>
      <c r="R2773">
        <v>-0.63180040000000004</v>
      </c>
      <c r="S2773">
        <v>3.3209529999999998</v>
      </c>
      <c r="T2773">
        <v>-2.4903539999999998E-2</v>
      </c>
      <c r="U2773">
        <v>-0.69595340000000006</v>
      </c>
      <c r="V2773">
        <v>4.3074620000000001E-2</v>
      </c>
      <c r="W2773">
        <v>-3.4353219999999997E-2</v>
      </c>
      <c r="X2773">
        <v>0.99848099999999995</v>
      </c>
      <c r="Y2773">
        <v>-0.42161369999999998</v>
      </c>
      <c r="Z2773">
        <v>5.6936759999999999E-3</v>
      </c>
      <c r="AA2773">
        <v>0.9067577</v>
      </c>
      <c r="AB2773">
        <v>11</v>
      </c>
      <c r="AC2773">
        <v>89.177700000000002</v>
      </c>
      <c r="AD2773">
        <v>-0.66943299999999994</v>
      </c>
      <c r="AE2773">
        <v>-18.6465</v>
      </c>
      <c r="AF2773">
        <v>-38.449090439252799</v>
      </c>
      <c r="AG2773">
        <v>-0.66943299999999994</v>
      </c>
      <c r="AH2773">
        <v>82.590104585428307</v>
      </c>
      <c r="AI2773">
        <v>90.421014515220193</v>
      </c>
      <c r="AJ2773">
        <v>114.963914656372</v>
      </c>
      <c r="AK2773">
        <v>91.103820290805203</v>
      </c>
      <c r="AL2773">
        <v>91.968681993600498</v>
      </c>
      <c r="AM2773">
        <v>87.529783141678607</v>
      </c>
      <c r="AN2773">
        <v>0.99999993698675405</v>
      </c>
    </row>
    <row r="2774" spans="1:40" x14ac:dyDescent="0.25">
      <c r="A2774" t="str">
        <f>"20190312161322132"</f>
        <v>20190312161322132</v>
      </c>
      <c r="B2774" t="str">
        <f>"1552378402128227"</f>
        <v>1552378402128227</v>
      </c>
      <c r="C2774" t="s">
        <v>40</v>
      </c>
      <c r="D2774">
        <v>5.5024110000000004</v>
      </c>
      <c r="E2774">
        <v>0.30137570000000002</v>
      </c>
      <c r="F2774" t="s">
        <v>80</v>
      </c>
      <c r="G2774">
        <v>-389.2355</v>
      </c>
      <c r="H2774">
        <v>0.39804729999999999</v>
      </c>
      <c r="I2774">
        <v>199.10759999999999</v>
      </c>
      <c r="J2774">
        <v>-478.32229999999998</v>
      </c>
      <c r="K2774">
        <v>1.1120319999999999</v>
      </c>
      <c r="L2774">
        <v>217.11420000000001</v>
      </c>
      <c r="M2774">
        <v>0.80416989999999999</v>
      </c>
      <c r="N2774">
        <v>0</v>
      </c>
      <c r="O2774">
        <v>-0.59424239999999995</v>
      </c>
      <c r="P2774">
        <v>0.77734349999999997</v>
      </c>
      <c r="Q2774">
        <v>-4.8340750000000002E-2</v>
      </c>
      <c r="R2774">
        <v>-0.62721649999999995</v>
      </c>
      <c r="S2774">
        <v>3.3259280000000002</v>
      </c>
      <c r="T2774">
        <v>-2.662838E-2</v>
      </c>
      <c r="U2774">
        <v>-0.6737976</v>
      </c>
      <c r="V2774">
        <v>4.2605520000000001E-2</v>
      </c>
      <c r="W2774">
        <v>-3.4517800000000001E-2</v>
      </c>
      <c r="X2774">
        <v>0.99849549999999998</v>
      </c>
      <c r="Y2774">
        <v>-0.42274929999999999</v>
      </c>
      <c r="Z2774">
        <v>6.0628409999999898E-3</v>
      </c>
      <c r="AA2774">
        <v>0.90622639999999999</v>
      </c>
      <c r="AB2774">
        <v>11</v>
      </c>
      <c r="AC2774">
        <v>89.086799999999897</v>
      </c>
      <c r="AD2774">
        <v>-0.71398469999999903</v>
      </c>
      <c r="AE2774">
        <v>-18.006599999999999</v>
      </c>
      <c r="AF2774">
        <v>-38.460006159202997</v>
      </c>
      <c r="AG2774">
        <v>-0.71398469999999903</v>
      </c>
      <c r="AH2774">
        <v>82.343816101139893</v>
      </c>
      <c r="AI2774">
        <v>90.450112521165806</v>
      </c>
      <c r="AJ2774">
        <v>115.035684357649</v>
      </c>
      <c r="AK2774">
        <v>90.8855648495189</v>
      </c>
      <c r="AL2774">
        <v>91.978117232128795</v>
      </c>
      <c r="AM2774">
        <v>87.556687457405104</v>
      </c>
      <c r="AN2774">
        <v>0.99999998618578001</v>
      </c>
    </row>
    <row r="2775" spans="1:40" x14ac:dyDescent="0.25">
      <c r="A2775" t="str">
        <f>"20190312161322153"</f>
        <v>20190312161322153</v>
      </c>
      <c r="B2775" t="str">
        <f>"1552378402148723"</f>
        <v>1552378402148723</v>
      </c>
      <c r="C2775" t="s">
        <v>40</v>
      </c>
      <c r="D2775">
        <v>5.5383120000000003</v>
      </c>
      <c r="E2775">
        <v>0.3018439</v>
      </c>
      <c r="F2775" t="s">
        <v>80</v>
      </c>
      <c r="G2775">
        <v>-389.2355</v>
      </c>
      <c r="H2775">
        <v>0.45293670000000003</v>
      </c>
      <c r="I2775">
        <v>199.56039999999999</v>
      </c>
      <c r="J2775">
        <v>-478.23489999999998</v>
      </c>
      <c r="K2775">
        <v>1.112025</v>
      </c>
      <c r="L2775">
        <v>217.0574</v>
      </c>
      <c r="M2775">
        <v>0.80726359999999997</v>
      </c>
      <c r="N2775">
        <v>0</v>
      </c>
      <c r="O2775">
        <v>-0.59003309999999998</v>
      </c>
      <c r="P2775">
        <v>0.78045949999999997</v>
      </c>
      <c r="Q2775">
        <v>-4.8354269999999998E-2</v>
      </c>
      <c r="R2775">
        <v>-0.623334099999999</v>
      </c>
      <c r="S2775">
        <v>3.3285830000000001</v>
      </c>
      <c r="T2775">
        <v>-2.4626019999999998E-2</v>
      </c>
      <c r="U2775">
        <v>-0.65586849999999997</v>
      </c>
      <c r="V2775">
        <v>4.2845210000000002E-2</v>
      </c>
      <c r="W2775">
        <v>-3.4531430000000002E-2</v>
      </c>
      <c r="X2775">
        <v>0.99848479999999995</v>
      </c>
      <c r="Y2775">
        <v>-0.4228536</v>
      </c>
      <c r="Z2775">
        <v>5.5832299999999998E-3</v>
      </c>
      <c r="AA2775">
        <v>0.90618080000000001</v>
      </c>
      <c r="AB2775">
        <v>11</v>
      </c>
      <c r="AC2775">
        <v>88.999399999999895</v>
      </c>
      <c r="AD2775">
        <v>-0.65908829999999996</v>
      </c>
      <c r="AE2775">
        <v>-17.497</v>
      </c>
      <c r="AF2775">
        <v>-38.389452318418201</v>
      </c>
      <c r="AG2775">
        <v>-0.65908829999999996</v>
      </c>
      <c r="AH2775">
        <v>82.173106513522697</v>
      </c>
      <c r="AI2775">
        <v>90.416351145359897</v>
      </c>
      <c r="AJ2775">
        <v>115.040937997228</v>
      </c>
      <c r="AK2775">
        <v>90.700627786019496</v>
      </c>
      <c r="AL2775">
        <v>91.978898584874898</v>
      </c>
      <c r="AM2775">
        <v>87.542932378217998</v>
      </c>
      <c r="AN2775">
        <v>1.0000000137544101</v>
      </c>
    </row>
    <row r="2776" spans="1:40" x14ac:dyDescent="0.25">
      <c r="A2776" t="str">
        <f>"20190312161322175"</f>
        <v>20190312161322175</v>
      </c>
      <c r="B2776" t="str">
        <f>"1552378402168244"</f>
        <v>1552378402168244</v>
      </c>
      <c r="C2776" t="s">
        <v>40</v>
      </c>
      <c r="D2776">
        <v>5.5485819999999997</v>
      </c>
      <c r="E2776">
        <v>0.30236950000000001</v>
      </c>
      <c r="F2776" t="s">
        <v>80</v>
      </c>
      <c r="G2776">
        <v>-387.61739999999998</v>
      </c>
      <c r="H2776">
        <v>0.45051570000000002</v>
      </c>
      <c r="I2776">
        <v>199.57599999999999</v>
      </c>
      <c r="J2776">
        <v>-478.1463</v>
      </c>
      <c r="K2776">
        <v>1.1120099999999999</v>
      </c>
      <c r="L2776">
        <v>217.00040000000001</v>
      </c>
      <c r="M2776">
        <v>0.81038209999999999</v>
      </c>
      <c r="N2776">
        <v>0</v>
      </c>
      <c r="O2776">
        <v>-0.5857424</v>
      </c>
      <c r="P2776">
        <v>0.78375459999999997</v>
      </c>
      <c r="Q2776">
        <v>-4.9071429999999999E-2</v>
      </c>
      <c r="R2776">
        <v>-0.61912929999999999</v>
      </c>
      <c r="S2776">
        <v>3.3294069999999998</v>
      </c>
      <c r="T2776">
        <v>-2.430475E-2</v>
      </c>
      <c r="U2776">
        <v>-0.64228819999999998</v>
      </c>
      <c r="V2776">
        <v>4.2802600000000003E-2</v>
      </c>
      <c r="W2776">
        <v>-3.5251110000000002E-2</v>
      </c>
      <c r="X2776">
        <v>0.9984615</v>
      </c>
      <c r="Y2776">
        <v>-0.42165029999999998</v>
      </c>
      <c r="Z2776">
        <v>5.4834619999999997E-3</v>
      </c>
      <c r="AA2776">
        <v>0.90674189999999999</v>
      </c>
      <c r="AB2776">
        <v>11</v>
      </c>
      <c r="AC2776">
        <v>90.528899999999993</v>
      </c>
      <c r="AD2776">
        <v>-0.66149429999999998</v>
      </c>
      <c r="AE2776">
        <v>-17.424399999999999</v>
      </c>
      <c r="AF2776">
        <v>-38.907822390019199</v>
      </c>
      <c r="AG2776">
        <v>-0.66149429999999998</v>
      </c>
      <c r="AH2776">
        <v>83.572709215387107</v>
      </c>
      <c r="AI2776">
        <v>90.411128319237207</v>
      </c>
      <c r="AJ2776">
        <v>114.964641001125</v>
      </c>
      <c r="AK2776">
        <v>92.188144267263993</v>
      </c>
      <c r="AL2776">
        <v>92.020158291028196</v>
      </c>
      <c r="AM2776">
        <v>87.545315755935505</v>
      </c>
      <c r="AN2776">
        <v>1.0000000351526199</v>
      </c>
    </row>
    <row r="2777" spans="1:40" x14ac:dyDescent="0.25">
      <c r="A2777" t="str">
        <f>"20190312161322196"</f>
        <v>20190312161322196</v>
      </c>
      <c r="B2777" t="str">
        <f>"1552378402188739"</f>
        <v>1552378402188739</v>
      </c>
      <c r="C2777" t="s">
        <v>40</v>
      </c>
      <c r="D2777">
        <v>5.5028100000000002</v>
      </c>
      <c r="E2777">
        <v>0.30282130000000002</v>
      </c>
      <c r="F2777" t="s">
        <v>80</v>
      </c>
      <c r="G2777">
        <v>-385.68419999999998</v>
      </c>
      <c r="H2777">
        <v>0.33478619999999998</v>
      </c>
      <c r="I2777">
        <v>199.57599999999999</v>
      </c>
      <c r="J2777">
        <v>-478.05700000000002</v>
      </c>
      <c r="K2777">
        <v>1.111996</v>
      </c>
      <c r="L2777">
        <v>216.94370000000001</v>
      </c>
      <c r="M2777">
        <v>0.81350169999999999</v>
      </c>
      <c r="N2777">
        <v>0</v>
      </c>
      <c r="O2777">
        <v>-0.58140209999999903</v>
      </c>
      <c r="P2777">
        <v>0.78679180000000004</v>
      </c>
      <c r="Q2777">
        <v>-5.0064659999999997E-2</v>
      </c>
      <c r="R2777">
        <v>-0.61518539999999999</v>
      </c>
      <c r="S2777">
        <v>3.3302309999999999</v>
      </c>
      <c r="T2777">
        <v>-2.7993440000000001E-2</v>
      </c>
      <c r="U2777">
        <v>-0.62757869999999905</v>
      </c>
      <c r="V2777">
        <v>4.3164569999999999E-2</v>
      </c>
      <c r="W2777">
        <v>-3.6246710000000001E-2</v>
      </c>
      <c r="X2777">
        <v>0.99841020000000003</v>
      </c>
      <c r="Y2777">
        <v>-0.42070160000000001</v>
      </c>
      <c r="Z2777">
        <v>6.2854319999999997E-3</v>
      </c>
      <c r="AA2777">
        <v>0.90717729999999996</v>
      </c>
      <c r="AB2777">
        <v>11</v>
      </c>
      <c r="AC2777">
        <v>92.372799999999899</v>
      </c>
      <c r="AD2777">
        <v>-0.77720979999999995</v>
      </c>
      <c r="AE2777">
        <v>-17.367699999999999</v>
      </c>
      <c r="AF2777">
        <v>-39.578072961836</v>
      </c>
      <c r="AG2777">
        <v>-0.77720979999999995</v>
      </c>
      <c r="AH2777">
        <v>85.245171930776607</v>
      </c>
      <c r="AI2777">
        <v>90.473797618979503</v>
      </c>
      <c r="AJ2777">
        <v>114.90474526542199</v>
      </c>
      <c r="AK2777">
        <v>93.988122930258001</v>
      </c>
      <c r="AL2777">
        <v>92.077238599090407</v>
      </c>
      <c r="AM2777">
        <v>87.524455837295406</v>
      </c>
      <c r="AN2777">
        <v>0.99999996577657302</v>
      </c>
    </row>
    <row r="2778" spans="1:40" x14ac:dyDescent="0.25">
      <c r="A2778" t="str">
        <f>"20190312161322218"</f>
        <v>20190312161322218</v>
      </c>
      <c r="B2778" t="str">
        <f>"1552378402209235"</f>
        <v>1552378402209235</v>
      </c>
      <c r="C2778" t="s">
        <v>40</v>
      </c>
      <c r="D2778">
        <v>5.5873900000000001</v>
      </c>
      <c r="E2778">
        <v>0.30344490000000002</v>
      </c>
      <c r="F2778" t="s">
        <v>80</v>
      </c>
      <c r="G2778">
        <v>-383.803</v>
      </c>
      <c r="H2778">
        <v>0.22271479999999999</v>
      </c>
      <c r="I2778">
        <v>199.57599999999999</v>
      </c>
      <c r="J2778">
        <v>-477.96409999999997</v>
      </c>
      <c r="K2778">
        <v>1.1119790000000001</v>
      </c>
      <c r="L2778">
        <v>216.88550000000001</v>
      </c>
      <c r="M2778">
        <v>0.81671640000000001</v>
      </c>
      <c r="N2778">
        <v>0</v>
      </c>
      <c r="O2778">
        <v>-0.57687759999999999</v>
      </c>
      <c r="P2778">
        <v>0.79015639999999998</v>
      </c>
      <c r="Q2778">
        <v>-5.0671430000000003E-2</v>
      </c>
      <c r="R2778">
        <v>-0.610807199999999</v>
      </c>
      <c r="S2778">
        <v>3.330994</v>
      </c>
      <c r="T2778">
        <v>-3.1427740000000003E-2</v>
      </c>
      <c r="U2778">
        <v>-0.61378480000000002</v>
      </c>
      <c r="V2778">
        <v>4.3186889999999999E-2</v>
      </c>
      <c r="W2778">
        <v>-3.6858219999999997E-2</v>
      </c>
      <c r="X2778">
        <v>0.99838689999999997</v>
      </c>
      <c r="Y2778">
        <v>-0.41932589999999997</v>
      </c>
      <c r="Z2778">
        <v>7.0187820000000003E-3</v>
      </c>
      <c r="AA2778">
        <v>0.90780859999999997</v>
      </c>
      <c r="AB2778">
        <v>11</v>
      </c>
      <c r="AC2778">
        <v>94.161099999999905</v>
      </c>
      <c r="AD2778">
        <v>-0.88926419999999995</v>
      </c>
      <c r="AE2778">
        <v>-17.3095</v>
      </c>
      <c r="AF2778">
        <v>-40.182758765154297</v>
      </c>
      <c r="AG2778">
        <v>-0.88926419999999995</v>
      </c>
      <c r="AH2778">
        <v>86.888987015038296</v>
      </c>
      <c r="AI2778">
        <v>90.532218678695003</v>
      </c>
      <c r="AJ2778">
        <v>114.81869560622999</v>
      </c>
      <c r="AK2778">
        <v>95.7347426867357</v>
      </c>
      <c r="AL2778">
        <v>92.112298860165296</v>
      </c>
      <c r="AM2778">
        <v>87.523119618814107</v>
      </c>
      <c r="AN2778">
        <v>1.00000001897052</v>
      </c>
    </row>
    <row r="2779" spans="1:40" x14ac:dyDescent="0.25">
      <c r="A2779" t="str">
        <f>"20190312161322241"</f>
        <v>20190312161322241</v>
      </c>
      <c r="B2779" t="str">
        <f>"1552378402238515"</f>
        <v>1552378402238515</v>
      </c>
      <c r="C2779" t="s">
        <v>40</v>
      </c>
      <c r="D2779">
        <v>5.5376830000000004</v>
      </c>
      <c r="E2779">
        <v>0.30447689999999999</v>
      </c>
      <c r="F2779" t="s">
        <v>80</v>
      </c>
      <c r="G2779">
        <v>-381.71550000000002</v>
      </c>
      <c r="H2779">
        <v>0.12923599999999999</v>
      </c>
      <c r="I2779">
        <v>199.57599999999999</v>
      </c>
      <c r="J2779">
        <v>-477.87189999999998</v>
      </c>
      <c r="K2779">
        <v>1.1119619999999999</v>
      </c>
      <c r="L2779">
        <v>216.82839999999999</v>
      </c>
      <c r="M2779">
        <v>0.81987579999999904</v>
      </c>
      <c r="N2779">
        <v>0</v>
      </c>
      <c r="O2779">
        <v>-0.57237830000000001</v>
      </c>
      <c r="P2779">
        <v>0.79371429999999998</v>
      </c>
      <c r="Q2779">
        <v>-5.053353E-2</v>
      </c>
      <c r="R2779">
        <v>-0.60618799999999995</v>
      </c>
      <c r="S2779">
        <v>3.3313899999999999</v>
      </c>
      <c r="T2779">
        <v>-3.401506E-2</v>
      </c>
      <c r="U2779">
        <v>-0.59912109999999996</v>
      </c>
      <c r="V2779">
        <v>4.2846160000000001E-2</v>
      </c>
      <c r="W2779">
        <v>-3.6726780000000001E-2</v>
      </c>
      <c r="X2779">
        <v>0.99840640000000003</v>
      </c>
      <c r="Y2779">
        <v>-0.41821459999999999</v>
      </c>
      <c r="Z2779">
        <v>7.5580769999999999E-3</v>
      </c>
      <c r="AA2779">
        <v>0.90831680000000004</v>
      </c>
      <c r="AB2779">
        <v>11</v>
      </c>
      <c r="AC2779">
        <v>96.156399999999906</v>
      </c>
      <c r="AD2779">
        <v>-0.98272599999999999</v>
      </c>
      <c r="AE2779">
        <v>-17.252399999999898</v>
      </c>
      <c r="AF2779">
        <v>-40.892692488856099</v>
      </c>
      <c r="AG2779">
        <v>-0.98272599999999999</v>
      </c>
      <c r="AH2779">
        <v>88.710512680798502</v>
      </c>
      <c r="AI2779">
        <v>90.576402711944397</v>
      </c>
      <c r="AJ2779">
        <v>114.748181439625</v>
      </c>
      <c r="AK2779">
        <v>97.686913706337094</v>
      </c>
      <c r="AL2779">
        <v>92.104762851731493</v>
      </c>
      <c r="AM2779">
        <v>87.542685255482098</v>
      </c>
      <c r="AN2779">
        <v>0.99999999467843703</v>
      </c>
    </row>
    <row r="2780" spans="1:40" x14ac:dyDescent="0.25">
      <c r="A2780" t="str">
        <f>"20190312161322264"</f>
        <v>20190312161322264</v>
      </c>
      <c r="B2780" t="str">
        <f>"1552378402259011"</f>
        <v>1552378402259011</v>
      </c>
      <c r="C2780" t="s">
        <v>40</v>
      </c>
      <c r="D2780">
        <v>5.5819210000000004</v>
      </c>
      <c r="E2780">
        <v>0.30517119999999998</v>
      </c>
      <c r="F2780" t="s">
        <v>41</v>
      </c>
      <c r="G2780">
        <v>-373.18459999999999</v>
      </c>
      <c r="H2780">
        <v>-0.05</v>
      </c>
      <c r="I2780">
        <v>198.404</v>
      </c>
      <c r="J2780">
        <v>-477.77600000000001</v>
      </c>
      <c r="K2780">
        <v>1.111944</v>
      </c>
      <c r="L2780">
        <v>216.7697</v>
      </c>
      <c r="M2780">
        <v>0.82312879999999999</v>
      </c>
      <c r="N2780">
        <v>0</v>
      </c>
      <c r="O2780">
        <v>-0.56769069999999899</v>
      </c>
      <c r="P2780">
        <v>0.79688689999999995</v>
      </c>
      <c r="Q2780">
        <v>-5.1197039999999999E-2</v>
      </c>
      <c r="R2780">
        <v>-0.60195569999999998</v>
      </c>
      <c r="S2780">
        <v>3.329742</v>
      </c>
      <c r="T2780">
        <v>-3.6957980000000001E-2</v>
      </c>
      <c r="U2780">
        <v>-0.58601380000000003</v>
      </c>
      <c r="V2780">
        <v>4.3254849999999997E-2</v>
      </c>
      <c r="W2780">
        <v>-3.739584E-2</v>
      </c>
      <c r="X2780">
        <v>0.99836400000000003</v>
      </c>
      <c r="Y2780">
        <v>-0.4164099</v>
      </c>
      <c r="Z2780">
        <v>8.1686480000000006E-3</v>
      </c>
      <c r="AA2780">
        <v>0.90914030000000001</v>
      </c>
      <c r="AB2780">
        <v>11</v>
      </c>
      <c r="AC2780">
        <v>104.59139999999999</v>
      </c>
      <c r="AD2780">
        <v>-1.1619440000000001</v>
      </c>
      <c r="AE2780">
        <v>-18.365699999999901</v>
      </c>
      <c r="AF2780">
        <v>-44.257051813872799</v>
      </c>
      <c r="AG2780">
        <v>-1.1619440000000001</v>
      </c>
      <c r="AH2780">
        <v>96.515664595604903</v>
      </c>
      <c r="AI2780">
        <v>90.626977920416294</v>
      </c>
      <c r="AJ2780">
        <v>114.63372179475201</v>
      </c>
      <c r="AK2780">
        <v>106.185263862017</v>
      </c>
      <c r="AL2780">
        <v>92.143123394375706</v>
      </c>
      <c r="AM2780">
        <v>87.519169970131202</v>
      </c>
      <c r="AN2780">
        <v>1.00000005369691</v>
      </c>
    </row>
    <row r="2781" spans="1:40" x14ac:dyDescent="0.25">
      <c r="A2781" t="str">
        <f>"20190312161322287"</f>
        <v>20190312161322287</v>
      </c>
      <c r="B2781" t="str">
        <f>"1552378402278532"</f>
        <v>1552378402278532</v>
      </c>
      <c r="C2781" t="s">
        <v>40</v>
      </c>
      <c r="D2781">
        <v>5.5821899999999998</v>
      </c>
      <c r="E2781">
        <v>0.3054038</v>
      </c>
      <c r="F2781" t="s">
        <v>41</v>
      </c>
      <c r="G2781">
        <v>-381.74950000000001</v>
      </c>
      <c r="H2781">
        <v>-0.05</v>
      </c>
      <c r="I2781">
        <v>200.2552</v>
      </c>
      <c r="J2781">
        <v>-477.68290000000002</v>
      </c>
      <c r="K2781">
        <v>1.1119209999999999</v>
      </c>
      <c r="L2781">
        <v>216.71340000000001</v>
      </c>
      <c r="M2781">
        <v>0.8262448</v>
      </c>
      <c r="N2781">
        <v>0</v>
      </c>
      <c r="O2781">
        <v>-0.56314580000000003</v>
      </c>
      <c r="P2781">
        <v>0.799616199999999</v>
      </c>
      <c r="Q2781">
        <v>-5.1480810000000002E-2</v>
      </c>
      <c r="R2781">
        <v>-0.59830119999999998</v>
      </c>
      <c r="S2781">
        <v>3.3294980000000001</v>
      </c>
      <c r="T2781">
        <v>-4.0287730000000001E-2</v>
      </c>
      <c r="U2781">
        <v>-0.57260129999999998</v>
      </c>
      <c r="V2781">
        <v>4.419522E-2</v>
      </c>
      <c r="W2781">
        <v>-3.7683620000000001E-2</v>
      </c>
      <c r="X2781">
        <v>0.99831190000000003</v>
      </c>
      <c r="Y2781">
        <v>-0.41493239999999998</v>
      </c>
      <c r="Z2781">
        <v>8.8567690000000004E-3</v>
      </c>
      <c r="AA2781">
        <v>0.90980910000000004</v>
      </c>
      <c r="AB2781">
        <v>11</v>
      </c>
      <c r="AC2781">
        <v>95.933400000000006</v>
      </c>
      <c r="AD2781">
        <v>-1.161921</v>
      </c>
      <c r="AE2781">
        <v>-16.458200000000001</v>
      </c>
      <c r="AF2781">
        <v>-40.423995675525802</v>
      </c>
      <c r="AG2781">
        <v>-1.161921</v>
      </c>
      <c r="AH2781">
        <v>88.528473457113805</v>
      </c>
      <c r="AI2781">
        <v>90.684024628667203</v>
      </c>
      <c r="AJ2781">
        <v>114.54245372914799</v>
      </c>
      <c r="AK2781">
        <v>97.328002647912498</v>
      </c>
      <c r="AL2781">
        <v>92.159623803266101</v>
      </c>
      <c r="AM2781">
        <v>87.465173662296493</v>
      </c>
      <c r="AN2781">
        <v>0.99999996118437995</v>
      </c>
    </row>
    <row r="2782" spans="1:40" x14ac:dyDescent="0.25">
      <c r="A2782" t="str">
        <f>"20190312161322309"</f>
        <v>20190312161322309</v>
      </c>
      <c r="B2782" t="str">
        <f>"1552378402298054"</f>
        <v>1552378402298054</v>
      </c>
      <c r="C2782" t="s">
        <v>40</v>
      </c>
      <c r="D2782">
        <v>5.5550509999999997</v>
      </c>
      <c r="E2782">
        <v>0.30563109999999999</v>
      </c>
      <c r="F2782" t="s">
        <v>41</v>
      </c>
      <c r="G2782">
        <v>-379.4667</v>
      </c>
      <c r="H2782">
        <v>-0.05</v>
      </c>
      <c r="I2782">
        <v>200.22540000000001</v>
      </c>
      <c r="J2782">
        <v>-477.59309999999999</v>
      </c>
      <c r="K2782">
        <v>1.1119019999999999</v>
      </c>
      <c r="L2782">
        <v>216.65979999999999</v>
      </c>
      <c r="M2782">
        <v>0.82921829999999996</v>
      </c>
      <c r="N2782">
        <v>0</v>
      </c>
      <c r="O2782">
        <v>-0.55875839999999999</v>
      </c>
      <c r="P2782">
        <v>0.80245100000000003</v>
      </c>
      <c r="Q2782">
        <v>-5.1903730000000002E-2</v>
      </c>
      <c r="R2782">
        <v>-0.5944566</v>
      </c>
      <c r="S2782">
        <v>3.330902</v>
      </c>
      <c r="T2782">
        <v>-3.9405349999999999E-2</v>
      </c>
      <c r="U2782">
        <v>-0.55917359999999905</v>
      </c>
      <c r="V2782">
        <v>4.4710720000000002E-2</v>
      </c>
      <c r="W2782">
        <v>-3.811225E-2</v>
      </c>
      <c r="X2782">
        <v>0.99827270000000001</v>
      </c>
      <c r="Y2782">
        <v>-0.41374139999999998</v>
      </c>
      <c r="Z2782">
        <v>8.6147389999999997E-3</v>
      </c>
      <c r="AA2782">
        <v>0.91035370000000004</v>
      </c>
      <c r="AB2782">
        <v>11</v>
      </c>
      <c r="AC2782">
        <v>98.126400000000004</v>
      </c>
      <c r="AD2782">
        <v>-1.161902</v>
      </c>
      <c r="AE2782">
        <v>-16.434399999999901</v>
      </c>
      <c r="AF2782">
        <v>-41.1994597358077</v>
      </c>
      <c r="AG2782">
        <v>-1.161902</v>
      </c>
      <c r="AH2782">
        <v>90.547141962242193</v>
      </c>
      <c r="AI2782">
        <v>90.669173266485998</v>
      </c>
      <c r="AJ2782">
        <v>114.465802548356</v>
      </c>
      <c r="AK2782">
        <v>99.486332811650499</v>
      </c>
      <c r="AL2782">
        <v>92.1842000914409</v>
      </c>
      <c r="AM2782">
        <v>87.435545727994494</v>
      </c>
      <c r="AN2782">
        <v>0.99999998782413502</v>
      </c>
    </row>
    <row r="2783" spans="1:40" x14ac:dyDescent="0.25">
      <c r="A2783" t="str">
        <f>"20190312161322331"</f>
        <v>20190312161322331</v>
      </c>
      <c r="B2783" t="str">
        <f>"1552378402328308"</f>
        <v>1552378402328308</v>
      </c>
      <c r="C2783" t="s">
        <v>40</v>
      </c>
      <c r="D2783">
        <v>5.5893169999999897</v>
      </c>
      <c r="E2783">
        <v>0.306525299999999</v>
      </c>
      <c r="F2783" t="s">
        <v>54</v>
      </c>
      <c r="G2783">
        <v>-408.82940000000002</v>
      </c>
      <c r="H2783">
        <v>0.269750299999999</v>
      </c>
      <c r="I2783">
        <v>205.4188</v>
      </c>
      <c r="J2783">
        <v>-477.5027</v>
      </c>
      <c r="K2783">
        <v>1.111888</v>
      </c>
      <c r="L2783">
        <v>216.60650000000001</v>
      </c>
      <c r="M2783">
        <v>0.83217379999999996</v>
      </c>
      <c r="N2783">
        <v>0</v>
      </c>
      <c r="O2783">
        <v>-0.55434749999999999</v>
      </c>
      <c r="P2783">
        <v>0.80524280000000004</v>
      </c>
      <c r="Q2783">
        <v>-5.2177210000000002E-2</v>
      </c>
      <c r="R2783">
        <v>-0.59064539999999999</v>
      </c>
      <c r="S2783">
        <v>3.3323670000000001</v>
      </c>
      <c r="T2783">
        <v>-4.081166E-2</v>
      </c>
      <c r="U2783">
        <v>-0.54475399999999996</v>
      </c>
      <c r="V2783">
        <v>4.5287529999999999E-2</v>
      </c>
      <c r="W2783">
        <v>-3.839153E-2</v>
      </c>
      <c r="X2783">
        <v>0.99823600000000001</v>
      </c>
      <c r="Y2783">
        <v>-0.41280220000000001</v>
      </c>
      <c r="Z2783">
        <v>8.8735600000000008E-3</v>
      </c>
      <c r="AA2783">
        <v>0.91077739999999996</v>
      </c>
      <c r="AB2783">
        <v>11</v>
      </c>
      <c r="AC2783">
        <v>68.673299999999898</v>
      </c>
      <c r="AD2783">
        <v>-0.84213769999999999</v>
      </c>
      <c r="AE2783">
        <v>-11.1877</v>
      </c>
      <c r="AF2783">
        <v>-28.757218054906801</v>
      </c>
      <c r="AG2783">
        <v>-0.84213769999999999</v>
      </c>
      <c r="AH2783">
        <v>63.346594965515401</v>
      </c>
      <c r="AI2783">
        <v>90.693541139932606</v>
      </c>
      <c r="AJ2783">
        <v>114.41644675032001</v>
      </c>
      <c r="AK2783">
        <v>69.573542959147105</v>
      </c>
      <c r="AL2783">
        <v>92.200213370055096</v>
      </c>
      <c r="AM2783">
        <v>87.402411533486003</v>
      </c>
      <c r="AN2783">
        <v>0.99999999082262003</v>
      </c>
    </row>
    <row r="2784" spans="1:40" x14ac:dyDescent="0.25">
      <c r="A2784" t="str">
        <f>"20190312161322352"</f>
        <v>20190312161322352</v>
      </c>
      <c r="B2784" t="str">
        <f>"1552378402348803"</f>
        <v>1552378402348803</v>
      </c>
      <c r="C2784" t="s">
        <v>40</v>
      </c>
      <c r="D2784">
        <v>5.6224589999999903</v>
      </c>
      <c r="E2784">
        <v>0.3075058</v>
      </c>
      <c r="F2784" t="s">
        <v>54</v>
      </c>
      <c r="G2784">
        <v>-409.05759999999998</v>
      </c>
      <c r="H2784">
        <v>0.19734090000000001</v>
      </c>
      <c r="I2784">
        <v>205.6241</v>
      </c>
      <c r="J2784">
        <v>-477.41379999999998</v>
      </c>
      <c r="K2784">
        <v>1.111872</v>
      </c>
      <c r="L2784">
        <v>216.5548</v>
      </c>
      <c r="M2784">
        <v>0.83504290000000003</v>
      </c>
      <c r="N2784">
        <v>0</v>
      </c>
      <c r="O2784">
        <v>-0.5500159</v>
      </c>
      <c r="P2784">
        <v>0.80808719999999901</v>
      </c>
      <c r="Q2784">
        <v>-5.2193910000000003E-2</v>
      </c>
      <c r="R2784">
        <v>-0.58674599999999999</v>
      </c>
      <c r="S2784">
        <v>3.3306580000000001</v>
      </c>
      <c r="T2784">
        <v>-4.450345E-2</v>
      </c>
      <c r="U2784">
        <v>-0.5344238</v>
      </c>
      <c r="V2784">
        <v>4.5648179999999997E-2</v>
      </c>
      <c r="W2784">
        <v>-3.8414280000000002E-2</v>
      </c>
      <c r="X2784">
        <v>0.99821870000000001</v>
      </c>
      <c r="Y2784">
        <v>-0.41073460000000001</v>
      </c>
      <c r="Z2784">
        <v>9.6237100000000006E-3</v>
      </c>
      <c r="AA2784">
        <v>0.91170419999999996</v>
      </c>
      <c r="AB2784">
        <v>11</v>
      </c>
      <c r="AC2784">
        <v>68.356200000000001</v>
      </c>
      <c r="AD2784">
        <v>-0.91453109999999904</v>
      </c>
      <c r="AE2784">
        <v>-10.9307</v>
      </c>
      <c r="AF2784">
        <v>-28.467071115122</v>
      </c>
      <c r="AG2784">
        <v>-0.91453109999999904</v>
      </c>
      <c r="AH2784">
        <v>63.087271668760302</v>
      </c>
      <c r="AI2784">
        <v>90.7570262637919</v>
      </c>
      <c r="AJ2784">
        <v>114.28647647152501</v>
      </c>
      <c r="AK2784">
        <v>69.218598307205397</v>
      </c>
      <c r="AL2784">
        <v>92.201517806191205</v>
      </c>
      <c r="AM2784">
        <v>87.381708838873806</v>
      </c>
      <c r="AN2784">
        <v>0.99999999313746002</v>
      </c>
    </row>
    <row r="2785" spans="1:40" x14ac:dyDescent="0.25">
      <c r="A2785" t="str">
        <f>"20190312161322374"</f>
        <v>20190312161322374</v>
      </c>
      <c r="B2785" t="str">
        <f>"1552378402368323"</f>
        <v>1552378402368323</v>
      </c>
      <c r="C2785" t="s">
        <v>40</v>
      </c>
      <c r="D2785">
        <v>5.6162299999999998</v>
      </c>
      <c r="E2785">
        <v>0.3238432</v>
      </c>
      <c r="F2785" t="s">
        <v>54</v>
      </c>
      <c r="G2785">
        <v>-409.05759999999998</v>
      </c>
      <c r="H2785">
        <v>0.11547399999999999</v>
      </c>
      <c r="I2785">
        <v>205.78970000000001</v>
      </c>
      <c r="J2785">
        <v>-477.32400000000001</v>
      </c>
      <c r="K2785">
        <v>1.111858</v>
      </c>
      <c r="L2785">
        <v>216.50309999999999</v>
      </c>
      <c r="M2785">
        <v>0.83791209999999905</v>
      </c>
      <c r="N2785">
        <v>0</v>
      </c>
      <c r="O2785">
        <v>-0.54563519999999999</v>
      </c>
      <c r="P2785">
        <v>0.81122369999999899</v>
      </c>
      <c r="Q2785">
        <v>-5.2291480000000001E-2</v>
      </c>
      <c r="R2785">
        <v>-0.58239350000000001</v>
      </c>
      <c r="S2785">
        <v>3.3287659999999999</v>
      </c>
      <c r="T2785">
        <v>-4.8521880000000003E-2</v>
      </c>
      <c r="U2785">
        <v>-0.524231</v>
      </c>
      <c r="V2785">
        <v>4.5512329999999997E-2</v>
      </c>
      <c r="W2785">
        <v>-3.8519329999999997E-2</v>
      </c>
      <c r="X2785">
        <v>0.99822089999999997</v>
      </c>
      <c r="Y2785">
        <v>-0.40858610000000001</v>
      </c>
      <c r="Z2785">
        <v>1.043432E-2</v>
      </c>
      <c r="AA2785">
        <v>0.91266020000000003</v>
      </c>
      <c r="AB2785">
        <v>11</v>
      </c>
      <c r="AC2785">
        <v>68.266400000000004</v>
      </c>
      <c r="AD2785">
        <v>-0.99638400000000005</v>
      </c>
      <c r="AE2785">
        <v>-10.713399999999901</v>
      </c>
      <c r="AF2785">
        <v>-28.268409216601501</v>
      </c>
      <c r="AG2785">
        <v>-0.99638400000000005</v>
      </c>
      <c r="AH2785">
        <v>63.039593953198697</v>
      </c>
      <c r="AI2785">
        <v>90.826264901398901</v>
      </c>
      <c r="AJ2785">
        <v>114.152565398112</v>
      </c>
      <c r="AK2785">
        <v>69.094762077141993</v>
      </c>
      <c r="AL2785">
        <v>92.2075410866412</v>
      </c>
      <c r="AM2785">
        <v>87.389495881774806</v>
      </c>
      <c r="AN2785">
        <v>1.0000000380812399</v>
      </c>
    </row>
    <row r="2786" spans="1:40" x14ac:dyDescent="0.25">
      <c r="A2786" t="str">
        <f>"20190312161322397"</f>
        <v>20190312161322397</v>
      </c>
      <c r="B2786" t="str">
        <f>"1552378402388819"</f>
        <v>1552378402388819</v>
      </c>
      <c r="C2786" t="s">
        <v>40</v>
      </c>
      <c r="D2786">
        <v>5.6353720000000003</v>
      </c>
      <c r="E2786">
        <v>0.32346730000000001</v>
      </c>
      <c r="F2786" t="s">
        <v>69</v>
      </c>
      <c r="G2786">
        <v>-440.52010000000001</v>
      </c>
      <c r="H2786">
        <v>4.8032600000000002E-2</v>
      </c>
      <c r="I2786">
        <v>209.6163</v>
      </c>
      <c r="J2786">
        <v>-477.22719999999998</v>
      </c>
      <c r="K2786">
        <v>1.1118440000000001</v>
      </c>
      <c r="L2786">
        <v>216.44810000000001</v>
      </c>
      <c r="M2786">
        <v>0.84096550000000003</v>
      </c>
      <c r="N2786">
        <v>0</v>
      </c>
      <c r="O2786">
        <v>-0.54091750000000005</v>
      </c>
      <c r="P2786">
        <v>0.814469</v>
      </c>
      <c r="Q2786">
        <v>-5.2174270000000002E-2</v>
      </c>
      <c r="R2786">
        <v>-0.57785710000000001</v>
      </c>
      <c r="S2786">
        <v>3.254791</v>
      </c>
      <c r="T2786">
        <v>-9.4080449999999996E-2</v>
      </c>
      <c r="U2786">
        <v>-0.60903929999999995</v>
      </c>
      <c r="V2786">
        <v>4.5545740000000001E-2</v>
      </c>
      <c r="W2786">
        <v>-3.8409069999999997E-2</v>
      </c>
      <c r="X2786">
        <v>0.99822359999999999</v>
      </c>
      <c r="Y2786">
        <v>-0.37670399999999998</v>
      </c>
      <c r="Z2786">
        <v>2.0038480000000001E-2</v>
      </c>
      <c r="AA2786">
        <v>0.92611690000000002</v>
      </c>
      <c r="AB2786">
        <v>11</v>
      </c>
      <c r="AC2786">
        <v>36.707099999999897</v>
      </c>
      <c r="AD2786">
        <v>-1.0638113999999901</v>
      </c>
      <c r="AE2786">
        <v>-6.8318000000000101</v>
      </c>
      <c r="AF2786">
        <v>-14.100065856440199</v>
      </c>
      <c r="AG2786">
        <v>-1.0638113999999901</v>
      </c>
      <c r="AH2786">
        <v>34.540008514721798</v>
      </c>
      <c r="AI2786">
        <v>91.633343158371304</v>
      </c>
      <c r="AJ2786">
        <v>112.206469074846</v>
      </c>
      <c r="AK2786">
        <v>37.322322275654003</v>
      </c>
      <c r="AL2786">
        <v>92.201219030213593</v>
      </c>
      <c r="AM2786">
        <v>87.387589255369207</v>
      </c>
      <c r="AN2786">
        <v>1.0000000133436799</v>
      </c>
    </row>
    <row r="2787" spans="1:40" x14ac:dyDescent="0.25">
      <c r="A2787" t="str">
        <f>"20190312161322420"</f>
        <v>20190312161322420</v>
      </c>
      <c r="B2787" t="str">
        <f>"1552378402408339"</f>
        <v>1552378402408339</v>
      </c>
      <c r="C2787" t="s">
        <v>40</v>
      </c>
      <c r="D2787">
        <v>5.5962059999999996</v>
      </c>
      <c r="E2787">
        <v>0.32367319999999999</v>
      </c>
      <c r="F2787" t="s">
        <v>74</v>
      </c>
      <c r="G2787">
        <v>-439.29430000000002</v>
      </c>
      <c r="H2787">
        <v>6.8031549999999996E-2</v>
      </c>
      <c r="I2787">
        <v>209.59829999999999</v>
      </c>
      <c r="J2787">
        <v>-477.13529999999997</v>
      </c>
      <c r="K2787">
        <v>1.111834</v>
      </c>
      <c r="L2787">
        <v>216.3965</v>
      </c>
      <c r="M2787">
        <v>0.84383240000000004</v>
      </c>
      <c r="N2787">
        <v>0</v>
      </c>
      <c r="O2787">
        <v>-0.53643439999999998</v>
      </c>
      <c r="P2787">
        <v>0.81775010000000004</v>
      </c>
      <c r="Q2787">
        <v>-5.183712E-2</v>
      </c>
      <c r="R2787">
        <v>-0.57323449999999998</v>
      </c>
      <c r="S2787">
        <v>3.2600099999999999</v>
      </c>
      <c r="T2787">
        <v>-8.9706899999999895E-2</v>
      </c>
      <c r="U2787">
        <v>-0.58868409999999904</v>
      </c>
      <c r="V2787">
        <v>4.5190889999999997E-2</v>
      </c>
      <c r="W2787">
        <v>-3.8079229999999999E-2</v>
      </c>
      <c r="X2787">
        <v>0.99825229999999998</v>
      </c>
      <c r="Y2787">
        <v>-0.37766889999999997</v>
      </c>
      <c r="Z2787">
        <v>1.9005129999999999E-2</v>
      </c>
      <c r="AA2787">
        <v>0.9257457</v>
      </c>
      <c r="AB2787">
        <v>11</v>
      </c>
      <c r="AC2787">
        <v>37.840999999999902</v>
      </c>
      <c r="AD2787">
        <v>-1.04380245</v>
      </c>
      <c r="AE2787">
        <v>-6.7981999999999996</v>
      </c>
      <c r="AF2787">
        <v>-14.553293075577701</v>
      </c>
      <c r="AG2787">
        <v>-1.04380245</v>
      </c>
      <c r="AH2787">
        <v>35.555334685921302</v>
      </c>
      <c r="AI2787">
        <v>91.556301933523599</v>
      </c>
      <c r="AJ2787">
        <v>112.259968083454</v>
      </c>
      <c r="AK2787">
        <v>38.432664330308498</v>
      </c>
      <c r="AL2787">
        <v>92.182306894380503</v>
      </c>
      <c r="AM2787">
        <v>87.407989280055105</v>
      </c>
      <c r="AN2787">
        <v>0.99999994937583603</v>
      </c>
    </row>
    <row r="2788" spans="1:40" x14ac:dyDescent="0.25">
      <c r="A2788" t="str">
        <f>"20190312161322443"</f>
        <v>20190312161322443</v>
      </c>
      <c r="B2788" t="str">
        <f>"1552378402438596"</f>
        <v>1552378402438596</v>
      </c>
      <c r="C2788" t="s">
        <v>40</v>
      </c>
      <c r="D2788">
        <v>5.6001699999999897</v>
      </c>
      <c r="E2788">
        <v>0.32435809999999998</v>
      </c>
      <c r="F2788" t="s">
        <v>74</v>
      </c>
      <c r="G2788">
        <v>-437.04</v>
      </c>
      <c r="H2788">
        <v>8.0001119999999995E-2</v>
      </c>
      <c r="I2788">
        <v>209.36940000000001</v>
      </c>
      <c r="J2788">
        <v>-477.04070000000002</v>
      </c>
      <c r="K2788">
        <v>1.11182</v>
      </c>
      <c r="L2788">
        <v>216.3441</v>
      </c>
      <c r="M2788">
        <v>0.84674749999999999</v>
      </c>
      <c r="N2788">
        <v>0</v>
      </c>
      <c r="O2788">
        <v>-0.53182079999999998</v>
      </c>
      <c r="P2788">
        <v>0.82088660000000002</v>
      </c>
      <c r="Q2788">
        <v>-5.1349249999999999E-2</v>
      </c>
      <c r="R2788">
        <v>-0.56877789999999995</v>
      </c>
      <c r="S2788">
        <v>3.262451</v>
      </c>
      <c r="T2788">
        <v>-8.3957669999999998E-2</v>
      </c>
      <c r="U2788">
        <v>-0.57177730000000004</v>
      </c>
      <c r="V2788">
        <v>4.519024E-2</v>
      </c>
      <c r="W2788">
        <v>-3.7597390000000001E-2</v>
      </c>
      <c r="X2788">
        <v>0.99827060000000001</v>
      </c>
      <c r="Y2788">
        <v>-0.37742710000000002</v>
      </c>
      <c r="Z2788">
        <v>1.768521E-2</v>
      </c>
      <c r="AA2788">
        <v>0.92587039999999998</v>
      </c>
      <c r="AB2788">
        <v>11</v>
      </c>
      <c r="AC2788">
        <v>40.000700000000002</v>
      </c>
      <c r="AD2788">
        <v>-1.0318188800000001</v>
      </c>
      <c r="AE2788">
        <v>-6.9746999999999799</v>
      </c>
      <c r="AF2788">
        <v>-15.3589005186675</v>
      </c>
      <c r="AG2788">
        <v>-1.0318188800000001</v>
      </c>
      <c r="AH2788">
        <v>37.559011911335098</v>
      </c>
      <c r="AI2788">
        <v>91.456604814359906</v>
      </c>
      <c r="AJ2788">
        <v>112.240986695267</v>
      </c>
      <c r="AK2788">
        <v>40.591130202290003</v>
      </c>
      <c r="AL2788">
        <v>92.154679695129303</v>
      </c>
      <c r="AM2788">
        <v>87.408073961703394</v>
      </c>
      <c r="AN2788">
        <v>0.99999995617521298</v>
      </c>
    </row>
    <row r="2789" spans="1:40" x14ac:dyDescent="0.25">
      <c r="A2789" t="str">
        <f>"20190312161322519"</f>
        <v>20190312161322519</v>
      </c>
      <c r="B2789" t="str">
        <f>"1552378402508398"</f>
        <v>1552378402508398</v>
      </c>
      <c r="C2789" t="s">
        <v>40</v>
      </c>
      <c r="D2789">
        <v>5.6033879999999998</v>
      </c>
      <c r="E2789">
        <v>0.33232289999999998</v>
      </c>
      <c r="F2789" t="s">
        <v>74</v>
      </c>
      <c r="G2789">
        <v>-435.892</v>
      </c>
      <c r="H2789">
        <v>8.0001310000000006E-2</v>
      </c>
      <c r="I2789">
        <v>209.29820000000001</v>
      </c>
      <c r="J2789">
        <v>-476.7303</v>
      </c>
      <c r="K2789">
        <v>1.1117980000000001</v>
      </c>
      <c r="L2789">
        <v>216.17670000000001</v>
      </c>
      <c r="M2789">
        <v>0.85608669999999998</v>
      </c>
      <c r="N2789">
        <v>0</v>
      </c>
      <c r="O2789">
        <v>-0.51665369999999999</v>
      </c>
      <c r="P2789">
        <v>0.8310208</v>
      </c>
      <c r="Q2789">
        <v>-5.1457210000000003E-2</v>
      </c>
      <c r="R2789">
        <v>-0.55385660000000003</v>
      </c>
      <c r="S2789">
        <v>3.2624209999999998</v>
      </c>
      <c r="T2789">
        <v>-8.1806420000000005E-2</v>
      </c>
      <c r="U2789">
        <v>-0.55862429999999996</v>
      </c>
      <c r="V2789">
        <v>4.494074E-2</v>
      </c>
      <c r="W2789">
        <v>-3.7725439999999999E-2</v>
      </c>
      <c r="X2789">
        <v>0.99827710000000003</v>
      </c>
      <c r="Y2789">
        <v>-0.36453980000000002</v>
      </c>
      <c r="Z2789">
        <v>1.6762220000000001E-2</v>
      </c>
      <c r="AA2789">
        <v>0.93103689999999995</v>
      </c>
      <c r="AB2789">
        <v>11</v>
      </c>
      <c r="AC2789">
        <v>40.838299999999997</v>
      </c>
      <c r="AD2789">
        <v>-1.03179669</v>
      </c>
      <c r="AE2789">
        <v>-6.8784999999999998</v>
      </c>
      <c r="AF2789">
        <v>-15.202633180864799</v>
      </c>
      <c r="AG2789">
        <v>-1.03179669</v>
      </c>
      <c r="AH2789">
        <v>38.494586964271498</v>
      </c>
      <c r="AI2789">
        <v>91.428084995478798</v>
      </c>
      <c r="AJ2789">
        <v>111.550506603939</v>
      </c>
      <c r="AK2789">
        <v>41.400699095441396</v>
      </c>
      <c r="AL2789">
        <v>92.1620214827323</v>
      </c>
      <c r="AM2789">
        <v>87.422381660551295</v>
      </c>
      <c r="AN2789">
        <v>1.00000002365967</v>
      </c>
    </row>
    <row r="2790" spans="1:40" x14ac:dyDescent="0.25">
      <c r="A2790" t="str">
        <f>"20190312161322553"</f>
        <v>20190312161322553</v>
      </c>
      <c r="B2790" t="str">
        <f>"1552378402548414"</f>
        <v>1552378402548414</v>
      </c>
      <c r="C2790" t="s">
        <v>40</v>
      </c>
      <c r="D2790">
        <v>5.6878349999999998</v>
      </c>
      <c r="E2790">
        <v>0.3344473</v>
      </c>
      <c r="F2790" t="s">
        <v>69</v>
      </c>
      <c r="G2790">
        <v>-445.31920000000002</v>
      </c>
      <c r="H2790" s="1">
        <v>1.458957E-6</v>
      </c>
      <c r="I2790">
        <v>210.83920000000001</v>
      </c>
      <c r="J2790">
        <v>-476.5831</v>
      </c>
      <c r="K2790">
        <v>1.111788</v>
      </c>
      <c r="L2790">
        <v>216.09979999999999</v>
      </c>
      <c r="M2790">
        <v>0.86039270000000001</v>
      </c>
      <c r="N2790">
        <v>0</v>
      </c>
      <c r="O2790">
        <v>-0.50945039999999997</v>
      </c>
      <c r="P2790">
        <v>0.83712799999999998</v>
      </c>
      <c r="Q2790">
        <v>-4.7063979999999998E-2</v>
      </c>
      <c r="R2790">
        <v>-0.54497890000000004</v>
      </c>
      <c r="S2790">
        <v>3.2363590000000002</v>
      </c>
      <c r="T2790">
        <v>-0.11455129999999999</v>
      </c>
      <c r="U2790">
        <v>-0.54994200000000004</v>
      </c>
      <c r="V2790">
        <v>4.2544859999999997E-2</v>
      </c>
      <c r="W2790">
        <v>-3.3345550000000002E-2</v>
      </c>
      <c r="X2790">
        <v>0.99853800000000004</v>
      </c>
      <c r="Y2790">
        <v>-0.3576531</v>
      </c>
      <c r="Z2790">
        <v>2.3324250000000001E-2</v>
      </c>
      <c r="AA2790">
        <v>0.93356320000000004</v>
      </c>
      <c r="AB2790">
        <v>11</v>
      </c>
      <c r="AC2790">
        <v>31.2638999999999</v>
      </c>
      <c r="AD2790">
        <v>-1.1117865410429999</v>
      </c>
      <c r="AE2790">
        <v>-5.2605999999999797</v>
      </c>
      <c r="AF2790">
        <v>-11.3882723322549</v>
      </c>
      <c r="AG2790">
        <v>-1.1117865410429999</v>
      </c>
      <c r="AH2790">
        <v>29.545643047402301</v>
      </c>
      <c r="AI2790">
        <v>92.010914663814901</v>
      </c>
      <c r="AJ2790">
        <v>111.07899523387201</v>
      </c>
      <c r="AK2790">
        <v>31.683968171789299</v>
      </c>
      <c r="AL2790">
        <v>91.910913401891804</v>
      </c>
      <c r="AM2790">
        <v>87.560265658704793</v>
      </c>
      <c r="AN2790">
        <v>1.0000000641305999</v>
      </c>
    </row>
    <row r="2791" spans="1:40" x14ac:dyDescent="0.25">
      <c r="A2791" t="str">
        <f>"20190312161322575"</f>
        <v>20190312161322575</v>
      </c>
      <c r="B2791" t="str">
        <f>"1552378402568441"</f>
        <v>1552378402568441</v>
      </c>
      <c r="C2791" t="s">
        <v>40</v>
      </c>
      <c r="D2791">
        <v>5.6763849999999998</v>
      </c>
      <c r="E2791">
        <v>0.3354335</v>
      </c>
      <c r="F2791" t="s">
        <v>69</v>
      </c>
      <c r="G2791">
        <v>-441.81349999999998</v>
      </c>
      <c r="H2791" s="1">
        <v>-3.8776719999999999E-7</v>
      </c>
      <c r="I2791">
        <v>210.40799999999999</v>
      </c>
      <c r="J2791">
        <v>-476.49220000000003</v>
      </c>
      <c r="K2791">
        <v>1.1117840000000001</v>
      </c>
      <c r="L2791">
        <v>216.0531</v>
      </c>
      <c r="M2791">
        <v>0.86301410000000001</v>
      </c>
      <c r="N2791">
        <v>0</v>
      </c>
      <c r="O2791">
        <v>-0.50499759999999905</v>
      </c>
      <c r="P2791">
        <v>0.83944540000000001</v>
      </c>
      <c r="Q2791">
        <v>-4.6535420000000001E-2</v>
      </c>
      <c r="R2791">
        <v>-0.54144820000000005</v>
      </c>
      <c r="S2791">
        <v>3.2333069999999999</v>
      </c>
      <c r="T2791">
        <v>-0.10338799999999999</v>
      </c>
      <c r="U2791">
        <v>-0.52929689999999996</v>
      </c>
      <c r="V2791">
        <v>4.3481499999999999E-2</v>
      </c>
      <c r="W2791">
        <v>-3.281916E-2</v>
      </c>
      <c r="X2791">
        <v>0.99851500000000004</v>
      </c>
      <c r="Y2791">
        <v>-0.35857339999999999</v>
      </c>
      <c r="Z2791">
        <v>2.098239E-2</v>
      </c>
      <c r="AA2791">
        <v>0.93326569999999998</v>
      </c>
      <c r="AB2791">
        <v>11</v>
      </c>
      <c r="AC2791">
        <v>34.678699999999999</v>
      </c>
      <c r="AD2791">
        <v>-1.1117843877672</v>
      </c>
      <c r="AE2791">
        <v>-5.64510000000001</v>
      </c>
      <c r="AF2791">
        <v>-12.6293774518061</v>
      </c>
      <c r="AG2791">
        <v>-1.1117843877672</v>
      </c>
      <c r="AH2791">
        <v>32.749195285294697</v>
      </c>
      <c r="AI2791">
        <v>91.814223293460699</v>
      </c>
      <c r="AJ2791">
        <v>111.08860053584399</v>
      </c>
      <c r="AK2791">
        <v>35.117617105655697</v>
      </c>
      <c r="AL2791">
        <v>91.880737134359805</v>
      </c>
      <c r="AM2791">
        <v>87.506563749733303</v>
      </c>
      <c r="AN2791">
        <v>0.99999997166517696</v>
      </c>
    </row>
    <row r="2792" spans="1:40" x14ac:dyDescent="0.25">
      <c r="A2792" t="str">
        <f>"20190312161322598"</f>
        <v>20190312161322598</v>
      </c>
      <c r="B2792" t="str">
        <f>"1552378402588938"</f>
        <v>1552378402588938</v>
      </c>
      <c r="C2792" t="s">
        <v>40</v>
      </c>
      <c r="D2792">
        <v>5.6761059999999999</v>
      </c>
      <c r="E2792">
        <v>0.33638050000000003</v>
      </c>
      <c r="F2792" t="s">
        <v>69</v>
      </c>
      <c r="G2792">
        <v>-442.45010000000002</v>
      </c>
      <c r="H2792" s="1">
        <v>-5.5363869999999997E-8</v>
      </c>
      <c r="I2792">
        <v>210.55269999999999</v>
      </c>
      <c r="J2792">
        <v>-476.39659999999998</v>
      </c>
      <c r="K2792">
        <v>1.11178</v>
      </c>
      <c r="L2792">
        <v>216.00470000000001</v>
      </c>
      <c r="M2792">
        <v>0.86573609999999901</v>
      </c>
      <c r="N2792">
        <v>0</v>
      </c>
      <c r="O2792">
        <v>-0.5003166</v>
      </c>
      <c r="P2792">
        <v>0.84156529999999996</v>
      </c>
      <c r="Q2792">
        <v>-4.6774209999999997E-2</v>
      </c>
      <c r="R2792">
        <v>-0.53812669999999996</v>
      </c>
      <c r="S2792">
        <v>3.2311709999999998</v>
      </c>
      <c r="T2792">
        <v>-0.1055272</v>
      </c>
      <c r="U2792">
        <v>-0.52207950000000003</v>
      </c>
      <c r="V2792">
        <v>4.4948870000000002E-2</v>
      </c>
      <c r="W2792">
        <v>-3.305926E-2</v>
      </c>
      <c r="X2792">
        <v>0.9984421</v>
      </c>
      <c r="Y2792">
        <v>-0.355435099999999</v>
      </c>
      <c r="Z2792">
        <v>2.1254579999999999E-2</v>
      </c>
      <c r="AA2792">
        <v>0.93445929999999999</v>
      </c>
      <c r="AB2792">
        <v>11</v>
      </c>
      <c r="AC2792">
        <v>33.946499999999901</v>
      </c>
      <c r="AD2792">
        <v>-1.1117800553638699</v>
      </c>
      <c r="AE2792">
        <v>-5.4520000000000204</v>
      </c>
      <c r="AF2792">
        <v>-12.2523228829172</v>
      </c>
      <c r="AG2792">
        <v>-1.1117800553638699</v>
      </c>
      <c r="AH2792">
        <v>32.085845983762702</v>
      </c>
      <c r="AI2792">
        <v>91.854038102032703</v>
      </c>
      <c r="AJ2792">
        <v>110.89989049072101</v>
      </c>
      <c r="AK2792">
        <v>34.363599686477897</v>
      </c>
      <c r="AL2792">
        <v>91.894501321139302</v>
      </c>
      <c r="AM2792">
        <v>87.422341458769495</v>
      </c>
      <c r="AN2792">
        <v>0.99999997131921603</v>
      </c>
    </row>
    <row r="2793" spans="1:40" x14ac:dyDescent="0.25">
      <c r="A2793" t="str">
        <f>"20190312161322621"</f>
        <v>20190312161322621</v>
      </c>
      <c r="B2793" t="str">
        <f>"1552378402618218"</f>
        <v>1552378402618218</v>
      </c>
      <c r="C2793" t="s">
        <v>40</v>
      </c>
      <c r="D2793">
        <v>5.6134149999999998</v>
      </c>
      <c r="E2793">
        <v>0.34302329999999998</v>
      </c>
      <c r="F2793" t="s">
        <v>69</v>
      </c>
      <c r="G2793">
        <v>-443.37119999999999</v>
      </c>
      <c r="H2793" s="1">
        <v>4.2693319999999999E-7</v>
      </c>
      <c r="I2793">
        <v>210.7338</v>
      </c>
      <c r="J2793">
        <v>-476.30329999999998</v>
      </c>
      <c r="K2793">
        <v>1.1117709999999901</v>
      </c>
      <c r="L2793">
        <v>215.958</v>
      </c>
      <c r="M2793">
        <v>0.86836199999999997</v>
      </c>
      <c r="N2793">
        <v>0</v>
      </c>
      <c r="O2793">
        <v>-0.4957452</v>
      </c>
      <c r="P2793">
        <v>0.84378240000000004</v>
      </c>
      <c r="Q2793">
        <v>-4.6754860000000002E-2</v>
      </c>
      <c r="R2793">
        <v>-0.53464540000000005</v>
      </c>
      <c r="S2793">
        <v>3.229187</v>
      </c>
      <c r="T2793">
        <v>-0.10870870000000001</v>
      </c>
      <c r="U2793">
        <v>-0.51538090000000003</v>
      </c>
      <c r="V2793">
        <v>4.608611E-2</v>
      </c>
      <c r="W2793">
        <v>-3.304211E-2</v>
      </c>
      <c r="X2793">
        <v>0.99839089999999997</v>
      </c>
      <c r="Y2793">
        <v>-0.3522824</v>
      </c>
      <c r="Z2793">
        <v>2.172907E-2</v>
      </c>
      <c r="AA2793">
        <v>0.93564150000000001</v>
      </c>
      <c r="AB2793">
        <v>11</v>
      </c>
      <c r="AC2793">
        <v>32.932099999999899</v>
      </c>
      <c r="AD2793">
        <v>-1.1117705730667999</v>
      </c>
      <c r="AE2793">
        <v>-5.22419999999999</v>
      </c>
      <c r="AF2793">
        <v>-11.777426039194999</v>
      </c>
      <c r="AG2793">
        <v>-1.1117705730667999</v>
      </c>
      <c r="AH2793">
        <v>31.155092049557702</v>
      </c>
      <c r="AI2793">
        <v>91.911801415407396</v>
      </c>
      <c r="AJ2793">
        <v>110.707881433461</v>
      </c>
      <c r="AK2793">
        <v>33.325419105125398</v>
      </c>
      <c r="AL2793">
        <v>91.893518012548697</v>
      </c>
      <c r="AM2793">
        <v>87.357080758181695</v>
      </c>
      <c r="AN2793">
        <v>1.00000004988549</v>
      </c>
    </row>
    <row r="2794" spans="1:40" x14ac:dyDescent="0.25">
      <c r="A2794" t="str">
        <f>"20190312161322643"</f>
        <v>20190312161322643</v>
      </c>
      <c r="B2794" t="str">
        <f>"1552378402638715"</f>
        <v>1552378402638715</v>
      </c>
      <c r="C2794" t="s">
        <v>40</v>
      </c>
      <c r="D2794">
        <v>7.5450649999999904</v>
      </c>
      <c r="E2794">
        <v>0.3414624</v>
      </c>
      <c r="F2794" t="s">
        <v>69</v>
      </c>
      <c r="G2794">
        <v>-451.67630000000003</v>
      </c>
      <c r="H2794" s="1">
        <v>-5.2042149999999999E-7</v>
      </c>
      <c r="I2794">
        <v>211.77269999999999</v>
      </c>
      <c r="J2794">
        <v>-476.21269999999998</v>
      </c>
      <c r="K2794">
        <v>1.1117589999999999</v>
      </c>
      <c r="L2794">
        <v>215.91329999999999</v>
      </c>
      <c r="M2794">
        <v>0.87088349999999903</v>
      </c>
      <c r="N2794">
        <v>0</v>
      </c>
      <c r="O2794">
        <v>-0.49130249999999998</v>
      </c>
      <c r="P2794">
        <v>0.84627849999999905</v>
      </c>
      <c r="Q2794">
        <v>-4.7286349999999998E-2</v>
      </c>
      <c r="R2794">
        <v>-0.53063850000000001</v>
      </c>
      <c r="S2794">
        <v>3.2025760000000001</v>
      </c>
      <c r="T2794">
        <v>-0.14457829999999999</v>
      </c>
      <c r="U2794">
        <v>-0.54428100000000001</v>
      </c>
      <c r="V2794">
        <v>4.6468379999999997E-2</v>
      </c>
      <c r="W2794">
        <v>-3.3578120000000003E-2</v>
      </c>
      <c r="X2794">
        <v>0.99835529999999995</v>
      </c>
      <c r="Y2794">
        <v>-0.33770240000000001</v>
      </c>
      <c r="Z2794">
        <v>2.859594E-2</v>
      </c>
      <c r="AA2794">
        <v>0.94081840000000005</v>
      </c>
      <c r="AB2794">
        <v>11</v>
      </c>
      <c r="AC2794">
        <v>24.536399999999901</v>
      </c>
      <c r="AD2794">
        <v>-1.1117595204214901</v>
      </c>
      <c r="AE2794">
        <v>-4.1406000000000001</v>
      </c>
      <c r="AF2794">
        <v>-8.4327574089074293</v>
      </c>
      <c r="AG2794">
        <v>-1.1117595204214901</v>
      </c>
      <c r="AH2794">
        <v>23.358156170200999</v>
      </c>
      <c r="AI2794">
        <v>92.563311586210204</v>
      </c>
      <c r="AJ2794">
        <v>109.85058718992499</v>
      </c>
      <c r="AK2794">
        <v>24.858617548452401</v>
      </c>
      <c r="AL2794">
        <v>91.924246168785899</v>
      </c>
      <c r="AM2794">
        <v>87.335095146279102</v>
      </c>
      <c r="AN2794">
        <v>1.0000000527603199</v>
      </c>
    </row>
    <row r="2795" spans="1:40" x14ac:dyDescent="0.25">
      <c r="A2795" t="str">
        <f>"20190312161322664"</f>
        <v>20190312161322664</v>
      </c>
      <c r="B2795" t="str">
        <f>"1552378402658741"</f>
        <v>1552378402658741</v>
      </c>
      <c r="C2795" t="s">
        <v>40</v>
      </c>
      <c r="D2795">
        <v>5.650506</v>
      </c>
      <c r="E2795">
        <v>0.33959630000000002</v>
      </c>
      <c r="F2795" t="s">
        <v>69</v>
      </c>
      <c r="G2795">
        <v>-448.73360000000002</v>
      </c>
      <c r="H2795" s="1">
        <v>3.2484550000000001E-6</v>
      </c>
      <c r="I2795">
        <v>211.46639999999999</v>
      </c>
      <c r="J2795">
        <v>-476.12380000000002</v>
      </c>
      <c r="K2795">
        <v>1.1117520000000001</v>
      </c>
      <c r="L2795">
        <v>215.8699</v>
      </c>
      <c r="M2795">
        <v>0.87332960000000004</v>
      </c>
      <c r="N2795">
        <v>0</v>
      </c>
      <c r="O2795">
        <v>-0.48694100000000001</v>
      </c>
      <c r="P2795">
        <v>0.84869950000000005</v>
      </c>
      <c r="Q2795">
        <v>-4.7739770000000001E-2</v>
      </c>
      <c r="R2795">
        <v>-0.52671659999999998</v>
      </c>
      <c r="S2795">
        <v>3.211792</v>
      </c>
      <c r="T2795">
        <v>-0.12994310000000001</v>
      </c>
      <c r="U2795">
        <v>-0.51976009999999995</v>
      </c>
      <c r="V2795">
        <v>4.6854340000000001E-2</v>
      </c>
      <c r="W2795">
        <v>-3.4035860000000001E-2</v>
      </c>
      <c r="X2795">
        <v>0.99832169999999998</v>
      </c>
      <c r="Y2795">
        <v>-0.34058300000000002</v>
      </c>
      <c r="Z2795">
        <v>2.5561770000000001E-2</v>
      </c>
      <c r="AA2795">
        <v>0.93986689999999995</v>
      </c>
      <c r="AB2795">
        <v>11</v>
      </c>
      <c r="AC2795">
        <v>27.3902</v>
      </c>
      <c r="AD2795">
        <v>-1.111748751545</v>
      </c>
      <c r="AE2795">
        <v>-4.4035000000000002</v>
      </c>
      <c r="AF2795">
        <v>-9.47735678027178</v>
      </c>
      <c r="AG2795">
        <v>-1.111748751545</v>
      </c>
      <c r="AH2795">
        <v>26.025517254368001</v>
      </c>
      <c r="AI2795">
        <v>92.298564395981103</v>
      </c>
      <c r="AJ2795">
        <v>110.009414526421</v>
      </c>
      <c r="AK2795">
        <v>27.719737105256399</v>
      </c>
      <c r="AL2795">
        <v>91.950487854906001</v>
      </c>
      <c r="AM2795">
        <v>87.312902815260003</v>
      </c>
      <c r="AN2795">
        <v>0.99999999281683205</v>
      </c>
    </row>
    <row r="2796" spans="1:40" x14ac:dyDescent="0.25">
      <c r="A2796" t="str">
        <f>"20190312161322689"</f>
        <v>20190312161322689</v>
      </c>
      <c r="B2796" t="str">
        <f>"1552378402678261"</f>
        <v>1552378402678261</v>
      </c>
      <c r="C2796" t="s">
        <v>40</v>
      </c>
      <c r="D2796">
        <v>5.6965789999999998</v>
      </c>
      <c r="E2796">
        <v>0.34014460000000002</v>
      </c>
      <c r="F2796" t="s">
        <v>69</v>
      </c>
      <c r="G2796">
        <v>-445.48329999999999</v>
      </c>
      <c r="H2796" s="1">
        <v>1.531435E-6</v>
      </c>
      <c r="I2796">
        <v>211.17850000000001</v>
      </c>
      <c r="J2796">
        <v>-476.02140000000003</v>
      </c>
      <c r="K2796">
        <v>1.1117360000000001</v>
      </c>
      <c r="L2796">
        <v>215.82060000000001</v>
      </c>
      <c r="M2796">
        <v>0.87611229999999995</v>
      </c>
      <c r="N2796">
        <v>0</v>
      </c>
      <c r="O2796">
        <v>-0.48191640000000002</v>
      </c>
      <c r="P2796">
        <v>0.85145499999999996</v>
      </c>
      <c r="Q2796">
        <v>-4.7603689999999997E-2</v>
      </c>
      <c r="R2796">
        <v>-0.52226309999999998</v>
      </c>
      <c r="S2796">
        <v>3.2220460000000002</v>
      </c>
      <c r="T2796">
        <v>-0.1169077</v>
      </c>
      <c r="U2796">
        <v>-0.49333189999999999</v>
      </c>
      <c r="V2796">
        <v>4.7353480000000003E-2</v>
      </c>
      <c r="W2796">
        <v>-3.3903990000000002E-2</v>
      </c>
      <c r="X2796">
        <v>0.99830260000000004</v>
      </c>
      <c r="Y2796">
        <v>-0.343298299999999</v>
      </c>
      <c r="Z2796">
        <v>2.2841150000000001E-2</v>
      </c>
      <c r="AA2796">
        <v>0.93894860000000002</v>
      </c>
      <c r="AB2796">
        <v>11</v>
      </c>
      <c r="AC2796">
        <v>30.5381</v>
      </c>
      <c r="AD2796">
        <v>-1.1117344685649999</v>
      </c>
      <c r="AE2796">
        <v>-4.6420999999999903</v>
      </c>
      <c r="AF2796">
        <v>-10.637010307068</v>
      </c>
      <c r="AG2796">
        <v>-1.1117344685649999</v>
      </c>
      <c r="AH2796">
        <v>28.9570637926996</v>
      </c>
      <c r="AI2796">
        <v>92.063932324777696</v>
      </c>
      <c r="AJ2796">
        <v>110.170167993725</v>
      </c>
      <c r="AK2796">
        <v>30.868972857802401</v>
      </c>
      <c r="AL2796">
        <v>91.942927967051205</v>
      </c>
      <c r="AM2796">
        <v>87.284267875701303</v>
      </c>
      <c r="AN2796">
        <v>0.99999995688639398</v>
      </c>
    </row>
    <row r="2797" spans="1:40" x14ac:dyDescent="0.25">
      <c r="A2797" t="str">
        <f>"20190312161322712"</f>
        <v>20190312161322712</v>
      </c>
      <c r="B2797" t="str">
        <f>"1552378402708516"</f>
        <v>1552378402708516</v>
      </c>
      <c r="C2797" t="s">
        <v>40</v>
      </c>
      <c r="D2797">
        <v>5.6743119999999996</v>
      </c>
      <c r="E2797">
        <v>0.34083029999999997</v>
      </c>
      <c r="F2797" t="s">
        <v>69</v>
      </c>
      <c r="G2797">
        <v>-446.67250000000001</v>
      </c>
      <c r="H2797" s="1">
        <v>2.1523199999999998E-6</v>
      </c>
      <c r="I2797">
        <v>211.45160000000001</v>
      </c>
      <c r="J2797">
        <v>-475.92910000000001</v>
      </c>
      <c r="K2797">
        <v>1.1117319999999999</v>
      </c>
      <c r="L2797">
        <v>215.77690000000001</v>
      </c>
      <c r="M2797">
        <v>0.87858740000000002</v>
      </c>
      <c r="N2797">
        <v>0</v>
      </c>
      <c r="O2797">
        <v>-0.47738950000000002</v>
      </c>
      <c r="P2797">
        <v>0.85405959999999903</v>
      </c>
      <c r="Q2797">
        <v>-4.7957029999999998E-2</v>
      </c>
      <c r="R2797">
        <v>-0.51796009999999904</v>
      </c>
      <c r="S2797">
        <v>3.2223510000000002</v>
      </c>
      <c r="T2797">
        <v>-0.1220623</v>
      </c>
      <c r="U2797">
        <v>-0.47969060000000002</v>
      </c>
      <c r="V2797">
        <v>4.747726E-2</v>
      </c>
      <c r="W2797">
        <v>-3.4262420000000002E-2</v>
      </c>
      <c r="X2797">
        <v>0.99828450000000002</v>
      </c>
      <c r="Y2797">
        <v>-0.34231</v>
      </c>
      <c r="Z2797">
        <v>2.368922E-2</v>
      </c>
      <c r="AA2797">
        <v>0.93928840000000002</v>
      </c>
      <c r="AB2797">
        <v>10</v>
      </c>
      <c r="AC2797">
        <v>29.256599999999899</v>
      </c>
      <c r="AD2797">
        <v>-1.1117298476799999</v>
      </c>
      <c r="AE2797">
        <v>-4.3252999999999897</v>
      </c>
      <c r="AF2797">
        <v>-10.153225083213901</v>
      </c>
      <c r="AG2797">
        <v>-1.1117298476799999</v>
      </c>
      <c r="AH2797">
        <v>27.7326923879688</v>
      </c>
      <c r="AI2797">
        <v>92.155813965732804</v>
      </c>
      <c r="AJ2797">
        <v>110.108200125281</v>
      </c>
      <c r="AK2797">
        <v>29.5537840204994</v>
      </c>
      <c r="AL2797">
        <v>91.9634764007602</v>
      </c>
      <c r="AM2797">
        <v>87.277130442045703</v>
      </c>
      <c r="AN2797">
        <v>0.99999997329080603</v>
      </c>
    </row>
    <row r="2798" spans="1:40" x14ac:dyDescent="0.25">
      <c r="A2798" t="str">
        <f>"20190312161322732"</f>
        <v>20190312161322732</v>
      </c>
      <c r="B2798" t="str">
        <f>"1552378402729012"</f>
        <v>1552378402729012</v>
      </c>
      <c r="C2798" t="s">
        <v>40</v>
      </c>
      <c r="D2798">
        <v>5.6583230000000002</v>
      </c>
      <c r="E2798">
        <v>0.34208260000000001</v>
      </c>
      <c r="F2798" t="s">
        <v>69</v>
      </c>
      <c r="G2798">
        <v>-446.90750000000003</v>
      </c>
      <c r="H2798" s="1">
        <v>2.2725779999999999E-6</v>
      </c>
      <c r="I2798">
        <v>211.56110000000001</v>
      </c>
      <c r="J2798">
        <v>-475.84059999999999</v>
      </c>
      <c r="K2798">
        <v>1.111723</v>
      </c>
      <c r="L2798">
        <v>215.7355</v>
      </c>
      <c r="M2798">
        <v>0.88093539999999904</v>
      </c>
      <c r="N2798">
        <v>0</v>
      </c>
      <c r="O2798">
        <v>-0.47304239999999997</v>
      </c>
      <c r="P2798">
        <v>0.8564098</v>
      </c>
      <c r="Q2798">
        <v>-4.8174370000000001E-2</v>
      </c>
      <c r="R2798">
        <v>-0.51404399999999995</v>
      </c>
      <c r="S2798">
        <v>3.2218930000000001</v>
      </c>
      <c r="T2798">
        <v>-0.12342069999999999</v>
      </c>
      <c r="U2798">
        <v>-0.46803280000000003</v>
      </c>
      <c r="V2798">
        <v>4.7844850000000001E-2</v>
      </c>
      <c r="W2798">
        <v>-3.4483859999999998E-2</v>
      </c>
      <c r="X2798">
        <v>0.99825940000000002</v>
      </c>
      <c r="Y2798">
        <v>-0.34096559999999998</v>
      </c>
      <c r="Z2798">
        <v>2.379481E-2</v>
      </c>
      <c r="AA2798">
        <v>0.93977460000000002</v>
      </c>
      <c r="AB2798">
        <v>10</v>
      </c>
      <c r="AC2798">
        <v>28.9330999999999</v>
      </c>
      <c r="AD2798">
        <v>-1.111720727422</v>
      </c>
      <c r="AE2798">
        <v>-4.1743999999999897</v>
      </c>
      <c r="AF2798">
        <v>-9.9956692562977398</v>
      </c>
      <c r="AG2798">
        <v>-1.111720727422</v>
      </c>
      <c r="AH2798">
        <v>27.425717735488799</v>
      </c>
      <c r="AI2798">
        <v>92.181059122650396</v>
      </c>
      <c r="AJ2798">
        <v>110.024945012293</v>
      </c>
      <c r="AK2798">
        <v>29.211629878590799</v>
      </c>
      <c r="AL2798">
        <v>91.976171332799197</v>
      </c>
      <c r="AM2798">
        <v>87.256011987007895</v>
      </c>
      <c r="AN2798">
        <v>1.0000000479801801</v>
      </c>
    </row>
    <row r="2799" spans="1:40" x14ac:dyDescent="0.25">
      <c r="A2799" t="str">
        <f>"20190312161322755"</f>
        <v>20190312161322755</v>
      </c>
      <c r="B2799" t="str">
        <f>"1552378402748533"</f>
        <v>1552378402748533</v>
      </c>
      <c r="C2799" t="s">
        <v>40</v>
      </c>
      <c r="D2799">
        <v>5.6711280000000004</v>
      </c>
      <c r="E2799">
        <v>0.34323090000000001</v>
      </c>
      <c r="F2799" t="s">
        <v>69</v>
      </c>
      <c r="G2799">
        <v>-447.89210000000003</v>
      </c>
      <c r="H2799" s="1">
        <v>2.7892700000000001E-6</v>
      </c>
      <c r="I2799">
        <v>211.72730000000001</v>
      </c>
      <c r="J2799">
        <v>-475.74950000000001</v>
      </c>
      <c r="K2799">
        <v>1.1117159999999999</v>
      </c>
      <c r="L2799">
        <v>215.6934</v>
      </c>
      <c r="M2799">
        <v>0.88332639999999996</v>
      </c>
      <c r="N2799">
        <v>0</v>
      </c>
      <c r="O2799">
        <v>-0.4685629</v>
      </c>
      <c r="P2799">
        <v>0.858546699999999</v>
      </c>
      <c r="Q2799">
        <v>-4.9024819999999997E-2</v>
      </c>
      <c r="R2799">
        <v>-0.51038629999999996</v>
      </c>
      <c r="S2799">
        <v>3.2186889999999999</v>
      </c>
      <c r="T2799">
        <v>-0.12803100000000001</v>
      </c>
      <c r="U2799">
        <v>-0.46160889999999999</v>
      </c>
      <c r="V2799">
        <v>4.8680180000000003E-2</v>
      </c>
      <c r="W2799">
        <v>-3.533766E-2</v>
      </c>
      <c r="X2799">
        <v>0.99818910000000005</v>
      </c>
      <c r="Y2799">
        <v>-0.33785670000000001</v>
      </c>
      <c r="Z2799">
        <v>2.449496E-2</v>
      </c>
      <c r="AA2799">
        <v>0.94087880000000002</v>
      </c>
      <c r="AB2799">
        <v>10</v>
      </c>
      <c r="AC2799">
        <v>27.857399999999899</v>
      </c>
      <c r="AD2799">
        <v>-1.1117132107299901</v>
      </c>
      <c r="AE2799">
        <v>-3.96609999999998</v>
      </c>
      <c r="AF2799">
        <v>-9.5355739702288407</v>
      </c>
      <c r="AG2799">
        <v>-1.1117132107299901</v>
      </c>
      <c r="AH2799">
        <v>26.426718980032401</v>
      </c>
      <c r="AI2799">
        <v>92.266043259983505</v>
      </c>
      <c r="AJ2799">
        <v>109.84100483648299</v>
      </c>
      <c r="AK2799">
        <v>28.116446312687199</v>
      </c>
      <c r="AL2799">
        <v>92.025120413983004</v>
      </c>
      <c r="AM2799">
        <v>87.207983148186699</v>
      </c>
      <c r="AN2799">
        <v>0.99999999474895895</v>
      </c>
    </row>
    <row r="2800" spans="1:40" x14ac:dyDescent="0.25">
      <c r="A2800" t="str">
        <f>"20190312161322777"</f>
        <v>20190312161322777</v>
      </c>
      <c r="B2800" t="str">
        <f>"1552378402768560"</f>
        <v>1552378402768560</v>
      </c>
      <c r="C2800" t="s">
        <v>40</v>
      </c>
      <c r="D2800">
        <v>5.6779190000000002</v>
      </c>
      <c r="E2800">
        <v>0.344115</v>
      </c>
      <c r="F2800" t="s">
        <v>69</v>
      </c>
      <c r="G2800">
        <v>-449.50490000000002</v>
      </c>
      <c r="H2800" s="1">
        <v>3.636614E-6</v>
      </c>
      <c r="I2800">
        <v>211.97720000000001</v>
      </c>
      <c r="J2800">
        <v>-475.65839999999997</v>
      </c>
      <c r="K2800">
        <v>1.1116999999999999</v>
      </c>
      <c r="L2800">
        <v>215.65190000000001</v>
      </c>
      <c r="M2800">
        <v>0.88568400000000003</v>
      </c>
      <c r="N2800">
        <v>0</v>
      </c>
      <c r="O2800">
        <v>-0.46409109999999998</v>
      </c>
      <c r="P2800">
        <v>0.86067899999999997</v>
      </c>
      <c r="Q2800">
        <v>-4.8657810000000003E-2</v>
      </c>
      <c r="R2800">
        <v>-0.50681809999999905</v>
      </c>
      <c r="S2800">
        <v>3.2158199999999999</v>
      </c>
      <c r="T2800">
        <v>-0.13622139999999999</v>
      </c>
      <c r="U2800">
        <v>-0.4553528</v>
      </c>
      <c r="V2800">
        <v>4.9570910000000003E-2</v>
      </c>
      <c r="W2800">
        <v>-3.4973079999999997E-2</v>
      </c>
      <c r="X2800">
        <v>0.99815810000000005</v>
      </c>
      <c r="Y2800">
        <v>-0.33469959999999999</v>
      </c>
      <c r="Z2800">
        <v>2.5856009999999999E-2</v>
      </c>
      <c r="AA2800">
        <v>0.94197010000000003</v>
      </c>
      <c r="AB2800">
        <v>10</v>
      </c>
      <c r="AC2800">
        <v>26.153499999999902</v>
      </c>
      <c r="AD2800">
        <v>-1.111696363386</v>
      </c>
      <c r="AE2800">
        <v>-3.6747000000000001</v>
      </c>
      <c r="AF2800">
        <v>-8.8680850821553392</v>
      </c>
      <c r="AG2800">
        <v>-1.111696363386</v>
      </c>
      <c r="AH2800">
        <v>24.827421643774802</v>
      </c>
      <c r="AI2800">
        <v>92.414601802179106</v>
      </c>
      <c r="AJ2800">
        <v>109.656175236631</v>
      </c>
      <c r="AK2800">
        <v>26.387111765149498</v>
      </c>
      <c r="AL2800">
        <v>92.004218603664398</v>
      </c>
      <c r="AM2800">
        <v>87.156890879596403</v>
      </c>
      <c r="AN2800">
        <v>0.99999999201926204</v>
      </c>
    </row>
    <row r="2801" spans="1:40" x14ac:dyDescent="0.25">
      <c r="A2801" t="str">
        <f>"20190312161322799"</f>
        <v>20190312161322799</v>
      </c>
      <c r="B2801" t="str">
        <f>"1552378402788081"</f>
        <v>1552378402788081</v>
      </c>
      <c r="C2801" t="s">
        <v>40</v>
      </c>
      <c r="D2801">
        <v>5.672434</v>
      </c>
      <c r="E2801">
        <v>0.35307080000000002</v>
      </c>
      <c r="F2801" t="s">
        <v>69</v>
      </c>
      <c r="G2801">
        <v>-449.61509999999998</v>
      </c>
      <c r="H2801" s="1">
        <v>3.6932469999999999E-6</v>
      </c>
      <c r="I2801">
        <v>212.0222</v>
      </c>
      <c r="J2801">
        <v>-475.56610000000001</v>
      </c>
      <c r="K2801">
        <v>1.1116900000000001</v>
      </c>
      <c r="L2801">
        <v>215.6104</v>
      </c>
      <c r="M2801">
        <v>0.88804799999999995</v>
      </c>
      <c r="N2801">
        <v>0</v>
      </c>
      <c r="O2801">
        <v>-0.4595516</v>
      </c>
      <c r="P2801">
        <v>0.86277190000000004</v>
      </c>
      <c r="Q2801">
        <v>-4.920708E-2</v>
      </c>
      <c r="R2801">
        <v>-0.50319309999999995</v>
      </c>
      <c r="S2801">
        <v>3.2141109999999999</v>
      </c>
      <c r="T2801">
        <v>-0.1371984</v>
      </c>
      <c r="U2801">
        <v>-0.44795230000000003</v>
      </c>
      <c r="V2801">
        <v>5.0496689999999997E-2</v>
      </c>
      <c r="W2801">
        <v>-3.5525319999999999E-2</v>
      </c>
      <c r="X2801">
        <v>0.99809219999999998</v>
      </c>
      <c r="Y2801">
        <v>-0.33192820000000001</v>
      </c>
      <c r="Z2801">
        <v>2.5831710000000001E-2</v>
      </c>
      <c r="AA2801">
        <v>0.94295090000000004</v>
      </c>
      <c r="AB2801">
        <v>10</v>
      </c>
      <c r="AC2801">
        <v>25.951000000000001</v>
      </c>
      <c r="AD2801">
        <v>-1.1116863067530001</v>
      </c>
      <c r="AE2801">
        <v>-3.5882000000000001</v>
      </c>
      <c r="AF2801">
        <v>-8.7244201142405799</v>
      </c>
      <c r="AG2801">
        <v>-1.1116863067530001</v>
      </c>
      <c r="AH2801">
        <v>24.652566621908601</v>
      </c>
      <c r="AI2801">
        <v>92.434212209986597</v>
      </c>
      <c r="AJ2801">
        <v>109.488616892973</v>
      </c>
      <c r="AK2801">
        <v>26.17442251172</v>
      </c>
      <c r="AL2801">
        <v>92.035879280931397</v>
      </c>
      <c r="AM2801">
        <v>87.103692011887105</v>
      </c>
      <c r="AN2801">
        <v>1.0000000018814399</v>
      </c>
    </row>
    <row r="2802" spans="1:40" x14ac:dyDescent="0.25">
      <c r="A2802" t="str">
        <f>"20190312161322822"</f>
        <v>20190312161322822</v>
      </c>
      <c r="B2802" t="str">
        <f>"1552378402818336"</f>
        <v>1552378402818336</v>
      </c>
      <c r="C2802" t="s">
        <v>40</v>
      </c>
      <c r="D2802">
        <v>5.6630589999999996</v>
      </c>
      <c r="E2802">
        <v>0.34931849999999998</v>
      </c>
      <c r="F2802" t="s">
        <v>69</v>
      </c>
      <c r="G2802">
        <v>-455.8691</v>
      </c>
      <c r="H2802" s="1">
        <v>1.67648599999999E-6</v>
      </c>
      <c r="I2802">
        <v>212.55690000000001</v>
      </c>
      <c r="J2802">
        <v>-475.47340000000003</v>
      </c>
      <c r="K2802">
        <v>1.1116809999999999</v>
      </c>
      <c r="L2802">
        <v>215.5693</v>
      </c>
      <c r="M2802">
        <v>0.89039099999999904</v>
      </c>
      <c r="N2802">
        <v>0</v>
      </c>
      <c r="O2802">
        <v>-0.4549955</v>
      </c>
      <c r="P2802">
        <v>0.86486319999999905</v>
      </c>
      <c r="Q2802">
        <v>-4.9097960000000003E-2</v>
      </c>
      <c r="R2802">
        <v>-0.49960120000000002</v>
      </c>
      <c r="S2802">
        <v>3.1794739999999999</v>
      </c>
      <c r="T2802">
        <v>-0.1794481</v>
      </c>
      <c r="U2802">
        <v>-0.49288939999999998</v>
      </c>
      <c r="V2802">
        <v>5.1455609999999999E-2</v>
      </c>
      <c r="W2802">
        <v>-3.5418779999999997E-2</v>
      </c>
      <c r="X2802">
        <v>0.99804700000000002</v>
      </c>
      <c r="Y2802">
        <v>-0.31212129999999999</v>
      </c>
      <c r="Z2802">
        <v>3.3300440000000001E-2</v>
      </c>
      <c r="AA2802">
        <v>0.94945849999999998</v>
      </c>
      <c r="AB2802">
        <v>10</v>
      </c>
      <c r="AC2802">
        <v>19.604299999999999</v>
      </c>
      <c r="AD2802">
        <v>-1.1116793235139999</v>
      </c>
      <c r="AE2802">
        <v>-3.01239999999998</v>
      </c>
      <c r="AF2802">
        <v>-6.2186898352958799</v>
      </c>
      <c r="AG2802">
        <v>-1.1116793235139999</v>
      </c>
      <c r="AH2802">
        <v>18.768882897459498</v>
      </c>
      <c r="AI2802">
        <v>93.218017516380002</v>
      </c>
      <c r="AJ2802">
        <v>108.33157114680201</v>
      </c>
      <c r="AK2802">
        <v>19.803507250092999</v>
      </c>
      <c r="AL2802">
        <v>92.029771164629395</v>
      </c>
      <c r="AM2802">
        <v>87.048654726190705</v>
      </c>
      <c r="AN2802">
        <v>0.99999999199307998</v>
      </c>
    </row>
    <row r="2803" spans="1:40" x14ac:dyDescent="0.25">
      <c r="A2803" t="str">
        <f>"20190312161322844"</f>
        <v>20190312161322844</v>
      </c>
      <c r="B2803" t="str">
        <f>"1552378402838832"</f>
        <v>1552378402838832</v>
      </c>
      <c r="C2803" t="s">
        <v>40</v>
      </c>
      <c r="D2803">
        <v>5.5738770000000004</v>
      </c>
      <c r="E2803">
        <v>0.3486977</v>
      </c>
      <c r="F2803" t="s">
        <v>69</v>
      </c>
      <c r="G2803">
        <v>-450.49549999999999</v>
      </c>
      <c r="H2803" s="1">
        <v>-1.158882E-6</v>
      </c>
      <c r="I2803">
        <v>212.0026</v>
      </c>
      <c r="J2803">
        <v>-475.38260000000002</v>
      </c>
      <c r="K2803">
        <v>1.1116680000000001</v>
      </c>
      <c r="L2803">
        <v>215.52959999999999</v>
      </c>
      <c r="M2803">
        <v>0.89266039999999902</v>
      </c>
      <c r="N2803">
        <v>0</v>
      </c>
      <c r="O2803">
        <v>-0.45052680000000001</v>
      </c>
      <c r="P2803">
        <v>0.86734730000000004</v>
      </c>
      <c r="Q2803">
        <v>-4.9053359999999997E-2</v>
      </c>
      <c r="R2803">
        <v>-0.49528070000000002</v>
      </c>
      <c r="S2803">
        <v>3.1969910000000001</v>
      </c>
      <c r="T2803">
        <v>-0.14228689999999999</v>
      </c>
      <c r="U2803">
        <v>-0.45651249999999999</v>
      </c>
      <c r="V2803">
        <v>5.1477490000000001E-2</v>
      </c>
      <c r="W2803">
        <v>-3.537912E-2</v>
      </c>
      <c r="X2803">
        <v>0.99804729999999997</v>
      </c>
      <c r="Y2803">
        <v>-0.31913469999999999</v>
      </c>
      <c r="Z2803">
        <v>2.628316E-2</v>
      </c>
      <c r="AA2803">
        <v>0.94734479999999999</v>
      </c>
      <c r="AB2803">
        <v>10</v>
      </c>
      <c r="AC2803">
        <v>24.8871</v>
      </c>
      <c r="AD2803">
        <v>-1.111669158882</v>
      </c>
      <c r="AE2803">
        <v>-3.5269999999999802</v>
      </c>
      <c r="AF2803">
        <v>-8.0488867603320102</v>
      </c>
      <c r="AG2803">
        <v>-1.111669158882</v>
      </c>
      <c r="AH2803">
        <v>23.760440094979799</v>
      </c>
      <c r="AI2803">
        <v>92.537291878694603</v>
      </c>
      <c r="AJ2803">
        <v>108.71389189659899</v>
      </c>
      <c r="AK2803">
        <v>25.1113301102626</v>
      </c>
      <c r="AL2803">
        <v>92.027497345159603</v>
      </c>
      <c r="AM2803">
        <v>87.047402858643494</v>
      </c>
      <c r="AN2803">
        <v>1.0000000135729801</v>
      </c>
    </row>
    <row r="2804" spans="1:40" x14ac:dyDescent="0.25">
      <c r="A2804" t="str">
        <f>"20190312161322867"</f>
        <v>20190312161322867</v>
      </c>
      <c r="B2804" t="str">
        <f>"1552378402858353"</f>
        <v>1552378402858353</v>
      </c>
      <c r="C2804" t="s">
        <v>40</v>
      </c>
      <c r="D2804">
        <v>5.6164310000000004</v>
      </c>
      <c r="E2804">
        <v>0.34903579999999901</v>
      </c>
      <c r="F2804" t="s">
        <v>69</v>
      </c>
      <c r="G2804">
        <v>-448.24349999999998</v>
      </c>
      <c r="H2804" s="1">
        <v>2.9720009999999999E-6</v>
      </c>
      <c r="I2804">
        <v>211.82480000000001</v>
      </c>
      <c r="J2804">
        <v>-475.2894</v>
      </c>
      <c r="K2804">
        <v>1.111656</v>
      </c>
      <c r="L2804">
        <v>215.48929999999999</v>
      </c>
      <c r="M2804">
        <v>0.89496229999999999</v>
      </c>
      <c r="N2804">
        <v>0</v>
      </c>
      <c r="O2804">
        <v>-0.44593660000000002</v>
      </c>
      <c r="P2804">
        <v>0.87004570000000003</v>
      </c>
      <c r="Q2804">
        <v>-4.8988289999999997E-2</v>
      </c>
      <c r="R2804">
        <v>-0.49053160000000001</v>
      </c>
      <c r="S2804">
        <v>3.201813</v>
      </c>
      <c r="T2804">
        <v>-0.13115189999999999</v>
      </c>
      <c r="U2804">
        <v>-0.43708799999999998</v>
      </c>
      <c r="V2804">
        <v>5.114428E-2</v>
      </c>
      <c r="W2804">
        <v>-3.5320089999999998E-2</v>
      </c>
      <c r="X2804">
        <v>0.99806649999999997</v>
      </c>
      <c r="Y2804">
        <v>-0.3202159</v>
      </c>
      <c r="Z2804">
        <v>2.4062940000000001E-2</v>
      </c>
      <c r="AA2804">
        <v>0.94703890000000002</v>
      </c>
      <c r="AB2804">
        <v>10</v>
      </c>
      <c r="AC2804">
        <v>27.0459</v>
      </c>
      <c r="AD2804">
        <v>-1.111653027999</v>
      </c>
      <c r="AE2804">
        <v>-3.6644999999999701</v>
      </c>
      <c r="AF2804">
        <v>-8.7674262786919996</v>
      </c>
      <c r="AG2804">
        <v>-1.111653027999</v>
      </c>
      <c r="AH2804">
        <v>25.798761507146398</v>
      </c>
      <c r="AI2804">
        <v>92.336249898610802</v>
      </c>
      <c r="AJ2804">
        <v>108.769765989031</v>
      </c>
      <c r="AK2804">
        <v>27.270490118616799</v>
      </c>
      <c r="AL2804">
        <v>92.024113103308196</v>
      </c>
      <c r="AM2804">
        <v>87.066537645600803</v>
      </c>
      <c r="AN2804">
        <v>0.99999999227828795</v>
      </c>
    </row>
    <row r="2805" spans="1:40" x14ac:dyDescent="0.25">
      <c r="A2805" t="str">
        <f>"20190312161322892"</f>
        <v>20190312161322892</v>
      </c>
      <c r="B2805" t="str">
        <f>"1552378402888609"</f>
        <v>1552378402888609</v>
      </c>
      <c r="C2805" t="s">
        <v>40</v>
      </c>
      <c r="D2805">
        <v>5.6380160000000004</v>
      </c>
      <c r="E2805">
        <v>0.3495991</v>
      </c>
      <c r="F2805" t="s">
        <v>69</v>
      </c>
      <c r="G2805">
        <v>-448.11709999999999</v>
      </c>
      <c r="H2805" s="1">
        <v>2.9010869999999999E-6</v>
      </c>
      <c r="I2805">
        <v>211.90880000000001</v>
      </c>
      <c r="J2805">
        <v>-475.18900000000002</v>
      </c>
      <c r="K2805">
        <v>1.1116440000000001</v>
      </c>
      <c r="L2805">
        <v>215.44669999999999</v>
      </c>
      <c r="M2805">
        <v>0.89740929999999997</v>
      </c>
      <c r="N2805">
        <v>0</v>
      </c>
      <c r="O2805">
        <v>-0.44099169999999999</v>
      </c>
      <c r="P2805">
        <v>0.87283330000000003</v>
      </c>
      <c r="Q2805">
        <v>-4.920658E-2</v>
      </c>
      <c r="R2805">
        <v>-0.4855315</v>
      </c>
      <c r="S2805">
        <v>3.2027890000000001</v>
      </c>
      <c r="T2805">
        <v>-0.13103039999999999</v>
      </c>
      <c r="U2805">
        <v>-0.4220428</v>
      </c>
      <c r="V2805">
        <v>5.0930589999999998E-2</v>
      </c>
      <c r="W2805">
        <v>-3.5544779999999998E-2</v>
      </c>
      <c r="X2805">
        <v>0.99806950000000005</v>
      </c>
      <c r="Y2805">
        <v>-0.3194033</v>
      </c>
      <c r="Z2805">
        <v>2.3848169999999998E-2</v>
      </c>
      <c r="AA2805">
        <v>0.94731869999999996</v>
      </c>
      <c r="AB2805">
        <v>10</v>
      </c>
      <c r="AC2805">
        <v>27.071899999999999</v>
      </c>
      <c r="AD2805">
        <v>-1.1116410989129999</v>
      </c>
      <c r="AE2805">
        <v>-3.5378999999999698</v>
      </c>
      <c r="AF2805">
        <v>-8.7498345954584398</v>
      </c>
      <c r="AG2805">
        <v>-1.1116410989129999</v>
      </c>
      <c r="AH2805">
        <v>25.8143282128291</v>
      </c>
      <c r="AI2805">
        <v>92.335446855346007</v>
      </c>
      <c r="AJ2805">
        <v>108.72422479828001</v>
      </c>
      <c r="AK2805">
        <v>27.2795691399321</v>
      </c>
      <c r="AL2805">
        <v>92.036994880474097</v>
      </c>
      <c r="AM2805">
        <v>87.078781670589393</v>
      </c>
      <c r="AN2805">
        <v>1.0000000416066199</v>
      </c>
    </row>
    <row r="2806" spans="1:40" x14ac:dyDescent="0.25">
      <c r="A2806" t="str">
        <f>"20190312161322913"</f>
        <v>20190312161322913</v>
      </c>
      <c r="B2806" t="str">
        <f>"1552378402908128"</f>
        <v>1552378402908128</v>
      </c>
      <c r="C2806" t="s">
        <v>40</v>
      </c>
      <c r="D2806">
        <v>5.5941660000000004</v>
      </c>
      <c r="E2806">
        <v>0.35014810000000002</v>
      </c>
      <c r="F2806" t="s">
        <v>69</v>
      </c>
      <c r="G2806">
        <v>-447.08730000000003</v>
      </c>
      <c r="H2806" s="1">
        <v>2.3548380000000001E-6</v>
      </c>
      <c r="I2806">
        <v>211.8681</v>
      </c>
      <c r="J2806">
        <v>-475.09690000000001</v>
      </c>
      <c r="K2806">
        <v>1.111642</v>
      </c>
      <c r="L2806">
        <v>215.40809999999999</v>
      </c>
      <c r="M2806">
        <v>0.89962419999999998</v>
      </c>
      <c r="N2806">
        <v>0</v>
      </c>
      <c r="O2806">
        <v>-0.43645590000000001</v>
      </c>
      <c r="P2806">
        <v>0.8754383</v>
      </c>
      <c r="Q2806">
        <v>-4.9526180000000003E-2</v>
      </c>
      <c r="R2806">
        <v>-0.4807863</v>
      </c>
      <c r="S2806">
        <v>3.2029719999999999</v>
      </c>
      <c r="T2806">
        <v>-0.1267027</v>
      </c>
      <c r="U2806">
        <v>-0.40788269999999999</v>
      </c>
      <c r="V2806">
        <v>5.0559439999999997E-2</v>
      </c>
      <c r="W2806">
        <v>-3.5870730000000003E-2</v>
      </c>
      <c r="X2806">
        <v>0.99807670000000004</v>
      </c>
      <c r="Y2806">
        <v>-0.31878800000000002</v>
      </c>
      <c r="Z2806">
        <v>2.289741E-2</v>
      </c>
      <c r="AA2806">
        <v>0.94754950000000004</v>
      </c>
      <c r="AB2806">
        <v>10</v>
      </c>
      <c r="AC2806">
        <v>28.009599999999899</v>
      </c>
      <c r="AD2806">
        <v>-1.1116396451620001</v>
      </c>
      <c r="AE2806">
        <v>-3.5399999999999898</v>
      </c>
      <c r="AF2806">
        <v>-9.0271154960643702</v>
      </c>
      <c r="AG2806">
        <v>-1.1116396451620001</v>
      </c>
      <c r="AH2806">
        <v>26.704208062622399</v>
      </c>
      <c r="AI2806">
        <v>92.258324929599894</v>
      </c>
      <c r="AJ2806">
        <v>108.677358226666</v>
      </c>
      <c r="AK2806">
        <v>28.210623621816801</v>
      </c>
      <c r="AL2806">
        <v>92.0556823749789</v>
      </c>
      <c r="AM2806">
        <v>87.100054079542602</v>
      </c>
      <c r="AN2806">
        <v>1.00000003266336</v>
      </c>
    </row>
    <row r="2807" spans="1:40" x14ac:dyDescent="0.25">
      <c r="A2807" t="str">
        <f>"20190312161322934"</f>
        <v>20190312161322934</v>
      </c>
      <c r="B2807" t="str">
        <f>"1552378402928625"</f>
        <v>1552378402928625</v>
      </c>
      <c r="C2807" t="s">
        <v>40</v>
      </c>
      <c r="D2807">
        <v>5.5914190000000001</v>
      </c>
      <c r="E2807">
        <v>0.35068440000000001</v>
      </c>
      <c r="F2807" t="s">
        <v>69</v>
      </c>
      <c r="G2807">
        <v>-446.7602</v>
      </c>
      <c r="H2807" s="1">
        <v>2.1786190000000001E-6</v>
      </c>
      <c r="I2807">
        <v>211.9177</v>
      </c>
      <c r="J2807">
        <v>-475.01220000000001</v>
      </c>
      <c r="K2807">
        <v>1.11164</v>
      </c>
      <c r="L2807">
        <v>215.37309999999999</v>
      </c>
      <c r="M2807">
        <v>0.90163539999999998</v>
      </c>
      <c r="N2807">
        <v>0</v>
      </c>
      <c r="O2807">
        <v>-0.43228610000000001</v>
      </c>
      <c r="P2807">
        <v>0.87753799999999904</v>
      </c>
      <c r="Q2807">
        <v>-4.9474690000000002E-2</v>
      </c>
      <c r="R2807">
        <v>-0.47694819999999999</v>
      </c>
      <c r="S2807">
        <v>3.2030940000000001</v>
      </c>
      <c r="T2807">
        <v>-0.12565660000000001</v>
      </c>
      <c r="U2807">
        <v>-0.39454650000000002</v>
      </c>
      <c r="V2807">
        <v>5.0807900000000003E-2</v>
      </c>
      <c r="W2807">
        <v>-3.5823220000000003E-2</v>
      </c>
      <c r="X2807">
        <v>0.9980658</v>
      </c>
      <c r="Y2807">
        <v>-0.31830079999999999</v>
      </c>
      <c r="Z2807">
        <v>2.25606E-2</v>
      </c>
      <c r="AA2807">
        <v>0.94772129999999999</v>
      </c>
      <c r="AB2807">
        <v>10</v>
      </c>
      <c r="AC2807">
        <v>28.251999999999999</v>
      </c>
      <c r="AD2807">
        <v>-1.1116378213810001</v>
      </c>
      <c r="AE2807">
        <v>-3.4553999999999898</v>
      </c>
      <c r="AF2807">
        <v>-9.0844082014130993</v>
      </c>
      <c r="AG2807">
        <v>-1.1116378213810001</v>
      </c>
      <c r="AH2807">
        <v>26.928107749240201</v>
      </c>
      <c r="AI2807">
        <v>92.240026435948906</v>
      </c>
      <c r="AJ2807">
        <v>108.64222606023699</v>
      </c>
      <c r="AK2807">
        <v>28.440907122848898</v>
      </c>
      <c r="AL2807">
        <v>92.052958479746493</v>
      </c>
      <c r="AM2807">
        <v>87.085795853150401</v>
      </c>
      <c r="AN2807">
        <v>1.0000000434616001</v>
      </c>
    </row>
    <row r="2808" spans="1:40" x14ac:dyDescent="0.25">
      <c r="A2808" t="str">
        <f>"20190312161322956"</f>
        <v>20190312161322956</v>
      </c>
      <c r="B2808" t="str">
        <f>"1552378402948145"</f>
        <v>1552378402948145</v>
      </c>
      <c r="C2808" t="s">
        <v>40</v>
      </c>
      <c r="D2808">
        <v>5.6306830000000003</v>
      </c>
      <c r="E2808">
        <v>0.35135749999999999</v>
      </c>
      <c r="F2808" t="s">
        <v>69</v>
      </c>
      <c r="G2808">
        <v>-446.63209999999998</v>
      </c>
      <c r="H2808" s="1">
        <v>2.108214E-6</v>
      </c>
      <c r="I2808">
        <v>211.96850000000001</v>
      </c>
      <c r="J2808">
        <v>-474.92200000000003</v>
      </c>
      <c r="K2808">
        <v>1.111632</v>
      </c>
      <c r="L2808">
        <v>215.3364</v>
      </c>
      <c r="M2808">
        <v>0.90375439999999996</v>
      </c>
      <c r="N2808">
        <v>0</v>
      </c>
      <c r="O2808">
        <v>-0.4278381</v>
      </c>
      <c r="P2808">
        <v>0.8796794</v>
      </c>
      <c r="Q2808">
        <v>-4.9207149999999998E-2</v>
      </c>
      <c r="R2808">
        <v>-0.47301470000000001</v>
      </c>
      <c r="S2808">
        <v>3.202728</v>
      </c>
      <c r="T2808">
        <v>-0.12544949999999999</v>
      </c>
      <c r="U2808">
        <v>-0.38421630000000001</v>
      </c>
      <c r="V2808">
        <v>5.1249070000000001E-2</v>
      </c>
      <c r="W2808">
        <v>-3.5559350000000003E-2</v>
      </c>
      <c r="X2808">
        <v>0.99805270000000001</v>
      </c>
      <c r="Y2808">
        <v>-0.31663439999999998</v>
      </c>
      <c r="Z2808">
        <v>2.2343539999999999E-2</v>
      </c>
      <c r="AA2808">
        <v>0.94828440000000003</v>
      </c>
      <c r="AB2808">
        <v>10</v>
      </c>
      <c r="AC2808">
        <v>28.2898999999999</v>
      </c>
      <c r="AD2808">
        <v>-1.1116298917859999</v>
      </c>
      <c r="AE2808">
        <v>-3.3678999999999899</v>
      </c>
      <c r="AF2808">
        <v>-9.0467962606908898</v>
      </c>
      <c r="AG2808">
        <v>-1.1116298917859999</v>
      </c>
      <c r="AH2808">
        <v>26.969443086092799</v>
      </c>
      <c r="AI2808">
        <v>92.237871919285297</v>
      </c>
      <c r="AJ2808">
        <v>108.54383039091201</v>
      </c>
      <c r="AK2808">
        <v>28.4680716588385</v>
      </c>
      <c r="AL2808">
        <v>92.037830163869401</v>
      </c>
      <c r="AM2808">
        <v>87.060497204400306</v>
      </c>
      <c r="AN2808">
        <v>1.0000000632627799</v>
      </c>
    </row>
    <row r="2809" spans="1:40" x14ac:dyDescent="0.25">
      <c r="A2809" t="str">
        <f>"20190312161322978"</f>
        <v>20190312161322978</v>
      </c>
      <c r="B2809" t="str">
        <f>"1552378402968641"</f>
        <v>1552378402968641</v>
      </c>
      <c r="C2809" t="s">
        <v>40</v>
      </c>
      <c r="D2809">
        <v>5.5895510000000002</v>
      </c>
      <c r="E2809">
        <v>0.35215489999999999</v>
      </c>
      <c r="F2809" t="s">
        <v>69</v>
      </c>
      <c r="G2809">
        <v>-446.96629999999999</v>
      </c>
      <c r="H2809" s="1">
        <v>2.281703E-6</v>
      </c>
      <c r="I2809">
        <v>212.0685</v>
      </c>
      <c r="J2809">
        <v>-474.8297</v>
      </c>
      <c r="K2809">
        <v>1.1116250000000001</v>
      </c>
      <c r="L2809">
        <v>215.29929999999999</v>
      </c>
      <c r="M2809">
        <v>0.90589520000000001</v>
      </c>
      <c r="N2809">
        <v>0</v>
      </c>
      <c r="O2809">
        <v>-0.42328640000000001</v>
      </c>
      <c r="P2809">
        <v>0.88140549999999995</v>
      </c>
      <c r="Q2809">
        <v>-4.8877129999999998E-2</v>
      </c>
      <c r="R2809">
        <v>-0.46982429999999997</v>
      </c>
      <c r="S2809">
        <v>3.201965</v>
      </c>
      <c r="T2809">
        <v>-0.12732289999999999</v>
      </c>
      <c r="U2809">
        <v>-0.37429810000000002</v>
      </c>
      <c r="V2809">
        <v>5.264373E-2</v>
      </c>
      <c r="W2809">
        <v>-3.5230629999999999E-2</v>
      </c>
      <c r="X2809">
        <v>0.99799170000000004</v>
      </c>
      <c r="Y2809">
        <v>-0.31472060000000002</v>
      </c>
      <c r="Z2809">
        <v>2.2487489999999999E-2</v>
      </c>
      <c r="AA2809">
        <v>0.94891789999999998</v>
      </c>
      <c r="AB2809">
        <v>10</v>
      </c>
      <c r="AC2809">
        <v>27.863399999999999</v>
      </c>
      <c r="AD2809">
        <v>-1.111622718297</v>
      </c>
      <c r="AE2809">
        <v>-3.2307999999999799</v>
      </c>
      <c r="AF2809">
        <v>-8.8543353656478399</v>
      </c>
      <c r="AG2809">
        <v>-1.111622718297</v>
      </c>
      <c r="AH2809">
        <v>26.569574201872101</v>
      </c>
      <c r="AI2809">
        <v>92.273000464759207</v>
      </c>
      <c r="AJ2809">
        <v>108.430699594183</v>
      </c>
      <c r="AK2809">
        <v>28.028150725725499</v>
      </c>
      <c r="AL2809">
        <v>92.018984222386194</v>
      </c>
      <c r="AM2809">
        <v>86.980465272156906</v>
      </c>
      <c r="AN2809">
        <v>0.99999999643369997</v>
      </c>
    </row>
    <row r="2810" spans="1:40" x14ac:dyDescent="0.25">
      <c r="A2810" t="str">
        <f>"20190312161323001"</f>
        <v>20190312161323001</v>
      </c>
      <c r="B2810" t="str">
        <f>"1552378402998897"</f>
        <v>1552378402998897</v>
      </c>
      <c r="C2810" t="s">
        <v>40</v>
      </c>
      <c r="D2810">
        <v>5.6003689999999997</v>
      </c>
      <c r="E2810">
        <v>0.35327160000000002</v>
      </c>
      <c r="F2810" t="s">
        <v>69</v>
      </c>
      <c r="G2810">
        <v>-447.2099</v>
      </c>
      <c r="H2810" s="1">
        <v>2.408978E-6</v>
      </c>
      <c r="I2810">
        <v>212.12190000000001</v>
      </c>
      <c r="J2810">
        <v>-474.73520000000002</v>
      </c>
      <c r="K2810">
        <v>1.1116170000000001</v>
      </c>
      <c r="L2810">
        <v>215.2619</v>
      </c>
      <c r="M2810">
        <v>0.90805990000000003</v>
      </c>
      <c r="N2810">
        <v>0</v>
      </c>
      <c r="O2810">
        <v>-0.41862290000000002</v>
      </c>
      <c r="P2810">
        <v>0.88297079999999994</v>
      </c>
      <c r="Q2810">
        <v>-4.8520050000000002E-2</v>
      </c>
      <c r="R2810">
        <v>-0.46691379999999999</v>
      </c>
      <c r="S2810">
        <v>3.200256</v>
      </c>
      <c r="T2810">
        <v>-0.12880150000000001</v>
      </c>
      <c r="U2810">
        <v>-0.36816409999999999</v>
      </c>
      <c r="V2810">
        <v>5.4471310000000002E-2</v>
      </c>
      <c r="W2810">
        <v>-3.4874019999999999E-2</v>
      </c>
      <c r="X2810">
        <v>0.99790610000000002</v>
      </c>
      <c r="Y2810">
        <v>-0.31156729999999999</v>
      </c>
      <c r="Z2810">
        <v>2.2531140000000002E-2</v>
      </c>
      <c r="AA2810">
        <v>0.94995700000000005</v>
      </c>
      <c r="AB2810">
        <v>10</v>
      </c>
      <c r="AC2810">
        <v>27.525300000000001</v>
      </c>
      <c r="AD2810">
        <v>-1.1116145910220001</v>
      </c>
      <c r="AE2810">
        <v>-3.1399999999999801</v>
      </c>
      <c r="AF2810">
        <v>-8.6582624945626101</v>
      </c>
      <c r="AG2810">
        <v>-1.1116145910220001</v>
      </c>
      <c r="AH2810">
        <v>26.2691989275155</v>
      </c>
      <c r="AI2810">
        <v>92.301453385879498</v>
      </c>
      <c r="AJ2810">
        <v>108.242091065571</v>
      </c>
      <c r="AK2810">
        <v>27.681618607247302</v>
      </c>
      <c r="AL2810">
        <v>91.998539498032301</v>
      </c>
      <c r="AM2810">
        <v>86.875575812373597</v>
      </c>
      <c r="AN2810">
        <v>0.99999995265064201</v>
      </c>
    </row>
    <row r="2811" spans="1:40" x14ac:dyDescent="0.25">
      <c r="A2811" t="str">
        <f>"20190312161323024"</f>
        <v>20190312161323024</v>
      </c>
      <c r="B2811" t="str">
        <f>"1552378403018417"</f>
        <v>1552378403018417</v>
      </c>
      <c r="C2811" t="s">
        <v>40</v>
      </c>
      <c r="D2811">
        <v>5.5992360000000003</v>
      </c>
      <c r="E2811">
        <v>0.35311900000000002</v>
      </c>
      <c r="F2811" t="s">
        <v>69</v>
      </c>
      <c r="G2811">
        <v>-447.78620000000001</v>
      </c>
      <c r="H2811" s="1">
        <v>2.7129380000000001E-6</v>
      </c>
      <c r="I2811">
        <v>212.18450000000001</v>
      </c>
      <c r="J2811">
        <v>-474.64260000000002</v>
      </c>
      <c r="K2811">
        <v>1.1116090000000001</v>
      </c>
      <c r="L2811">
        <v>215.22579999999999</v>
      </c>
      <c r="M2811">
        <v>0.91015060000000003</v>
      </c>
      <c r="N2811">
        <v>0</v>
      </c>
      <c r="O2811">
        <v>-0.41405769999999997</v>
      </c>
      <c r="P2811">
        <v>0.88480749999999997</v>
      </c>
      <c r="Q2811">
        <v>-4.7924380000000003E-2</v>
      </c>
      <c r="R2811">
        <v>-0.46348600000000001</v>
      </c>
      <c r="S2811">
        <v>3.197327</v>
      </c>
      <c r="T2811">
        <v>-0.13188610000000001</v>
      </c>
      <c r="U2811">
        <v>-0.3651123</v>
      </c>
      <c r="V2811">
        <v>5.5595510000000001E-2</v>
      </c>
      <c r="W2811">
        <v>-3.4280350000000001E-2</v>
      </c>
      <c r="X2811">
        <v>0.99786470000000005</v>
      </c>
      <c r="Y2811">
        <v>-0.30756800000000001</v>
      </c>
      <c r="Z2811">
        <v>2.283988E-2</v>
      </c>
      <c r="AA2811">
        <v>0.95125190000000004</v>
      </c>
      <c r="AB2811">
        <v>10</v>
      </c>
      <c r="AC2811">
        <v>26.856400000000001</v>
      </c>
      <c r="AD2811">
        <v>-1.111606287062</v>
      </c>
      <c r="AE2811">
        <v>-3.0412999999999699</v>
      </c>
      <c r="AF2811">
        <v>-8.33871383198451</v>
      </c>
      <c r="AG2811">
        <v>-1.111606287062</v>
      </c>
      <c r="AH2811">
        <v>25.661576286295801</v>
      </c>
      <c r="AI2811">
        <v>92.359105225367799</v>
      </c>
      <c r="AJ2811">
        <v>108.001539399699</v>
      </c>
      <c r="AK2811">
        <v>27.0053015981408</v>
      </c>
      <c r="AL2811">
        <v>91.964504302176394</v>
      </c>
      <c r="AM2811">
        <v>86.811092442052399</v>
      </c>
      <c r="AN2811">
        <v>0.99999998131718604</v>
      </c>
    </row>
    <row r="2812" spans="1:40" x14ac:dyDescent="0.25">
      <c r="A2812" t="str">
        <f>"20190312161323045"</f>
        <v>20190312161323045</v>
      </c>
      <c r="B2812" t="str">
        <f>"1552378403038914"</f>
        <v>1552378403038914</v>
      </c>
      <c r="C2812" t="s">
        <v>40</v>
      </c>
      <c r="D2812">
        <v>5.5894570000000003</v>
      </c>
      <c r="E2812">
        <v>0.35294730000000002</v>
      </c>
      <c r="F2812" t="s">
        <v>69</v>
      </c>
      <c r="G2812">
        <v>-447.21570000000003</v>
      </c>
      <c r="H2812" s="1">
        <v>2.4081810000000002E-6</v>
      </c>
      <c r="I2812">
        <v>212.21090000000001</v>
      </c>
      <c r="J2812">
        <v>-474.55450000000002</v>
      </c>
      <c r="K2812">
        <v>1.1116010000000001</v>
      </c>
      <c r="L2812">
        <v>215.1919</v>
      </c>
      <c r="M2812">
        <v>0.91211739999999997</v>
      </c>
      <c r="N2812">
        <v>0</v>
      </c>
      <c r="O2812">
        <v>-0.40970699999999999</v>
      </c>
      <c r="P2812">
        <v>0.88670799999999905</v>
      </c>
      <c r="Q2812">
        <v>-4.8041609999999998E-2</v>
      </c>
      <c r="R2812">
        <v>-0.45982699999999999</v>
      </c>
      <c r="S2812">
        <v>3.199341</v>
      </c>
      <c r="T2812">
        <v>-0.12966849999999999</v>
      </c>
      <c r="U2812">
        <v>-0.35168460000000001</v>
      </c>
      <c r="V2812">
        <v>5.6240480000000002E-2</v>
      </c>
      <c r="W2812">
        <v>-3.4401000000000001E-2</v>
      </c>
      <c r="X2812">
        <v>0.99782439999999994</v>
      </c>
      <c r="Y2812">
        <v>-0.30705880000000002</v>
      </c>
      <c r="Z2812">
        <v>2.227985E-2</v>
      </c>
      <c r="AA2812">
        <v>0.95142969999999905</v>
      </c>
      <c r="AB2812">
        <v>10</v>
      </c>
      <c r="AC2812">
        <v>27.3387999999999</v>
      </c>
      <c r="AD2812">
        <v>-1.1115985918189999</v>
      </c>
      <c r="AE2812">
        <v>-2.9809999999999901</v>
      </c>
      <c r="AF2812">
        <v>-8.4688113090335406</v>
      </c>
      <c r="AG2812">
        <v>-1.1115985918189999</v>
      </c>
      <c r="AH2812">
        <v>26.117241851301401</v>
      </c>
      <c r="AI2812">
        <v>92.318443272700193</v>
      </c>
      <c r="AJ2812">
        <v>107.965873352206</v>
      </c>
      <c r="AK2812">
        <v>27.478477729610901</v>
      </c>
      <c r="AL2812">
        <v>91.971421126631398</v>
      </c>
      <c r="AM2812">
        <v>86.774045226624594</v>
      </c>
      <c r="AN2812">
        <v>0.99999997681349495</v>
      </c>
    </row>
    <row r="2813" spans="1:40" x14ac:dyDescent="0.25">
      <c r="A2813" t="str">
        <f>"20190312161323070"</f>
        <v>20190312161323070</v>
      </c>
      <c r="B2813" t="str">
        <f>"1552378403058432"</f>
        <v>1552378403058432</v>
      </c>
      <c r="C2813" t="s">
        <v>40</v>
      </c>
      <c r="D2813">
        <v>5.5653280000000001</v>
      </c>
      <c r="E2813">
        <v>0.35282980000000003</v>
      </c>
      <c r="F2813" t="s">
        <v>69</v>
      </c>
      <c r="G2813">
        <v>-447.02080000000001</v>
      </c>
      <c r="H2813" s="1">
        <v>2.3010149999999999E-6</v>
      </c>
      <c r="I2813">
        <v>212.28970000000001</v>
      </c>
      <c r="J2813">
        <v>-474.45729999999998</v>
      </c>
      <c r="K2813">
        <v>1.111583</v>
      </c>
      <c r="L2813">
        <v>215.1551</v>
      </c>
      <c r="M2813">
        <v>0.91425880000000004</v>
      </c>
      <c r="N2813">
        <v>0</v>
      </c>
      <c r="O2813">
        <v>-0.40490619999999999</v>
      </c>
      <c r="P2813">
        <v>0.88880219999999899</v>
      </c>
      <c r="Q2813">
        <v>-4.9117920000000002E-2</v>
      </c>
      <c r="R2813">
        <v>-0.45565139999999998</v>
      </c>
      <c r="S2813">
        <v>3.2012939999999999</v>
      </c>
      <c r="T2813">
        <v>-0.12924340000000001</v>
      </c>
      <c r="U2813">
        <v>-0.33743289999999998</v>
      </c>
      <c r="V2813">
        <v>5.6819250000000002E-2</v>
      </c>
      <c r="W2813">
        <v>-3.5481949999999998E-2</v>
      </c>
      <c r="X2813">
        <v>0.99775380000000002</v>
      </c>
      <c r="Y2813">
        <v>-0.30631419999999998</v>
      </c>
      <c r="Z2813">
        <v>2.2010149999999999E-2</v>
      </c>
      <c r="AA2813">
        <v>0.95167599999999997</v>
      </c>
      <c r="AB2813">
        <v>10</v>
      </c>
      <c r="AC2813">
        <v>27.436499999999899</v>
      </c>
      <c r="AD2813">
        <v>-1.1115806989849999</v>
      </c>
      <c r="AE2813">
        <v>-2.86539999999999</v>
      </c>
      <c r="AF2813">
        <v>-8.4765001271142797</v>
      </c>
      <c r="AG2813">
        <v>-1.1115806989849999</v>
      </c>
      <c r="AH2813">
        <v>26.204117569416798</v>
      </c>
      <c r="AI2813">
        <v>92.311256922071806</v>
      </c>
      <c r="AJ2813">
        <v>107.92534140685601</v>
      </c>
      <c r="AK2813">
        <v>27.5634258329247</v>
      </c>
      <c r="AL2813">
        <v>92.033392757124901</v>
      </c>
      <c r="AM2813">
        <v>86.740688058479805</v>
      </c>
      <c r="AN2813">
        <v>1.0000000206804001</v>
      </c>
    </row>
    <row r="2814" spans="1:40" x14ac:dyDescent="0.25">
      <c r="A2814" t="str">
        <f>"20190312161323093"</f>
        <v>20190312161323093</v>
      </c>
      <c r="B2814" t="str">
        <f>"1552378403088689"</f>
        <v>1552378403088689</v>
      </c>
      <c r="C2814" t="s">
        <v>40</v>
      </c>
      <c r="D2814">
        <v>5.5006649999999997</v>
      </c>
      <c r="E2814">
        <v>0.35265649999999998</v>
      </c>
      <c r="F2814" t="s">
        <v>69</v>
      </c>
      <c r="G2814">
        <v>-447.36579999999998</v>
      </c>
      <c r="H2814" s="1">
        <v>2.4782510000000002E-6</v>
      </c>
      <c r="I2814">
        <v>212.43559999999999</v>
      </c>
      <c r="J2814">
        <v>-474.3605</v>
      </c>
      <c r="K2814">
        <v>1.1115710000000001</v>
      </c>
      <c r="L2814">
        <v>215.119</v>
      </c>
      <c r="M2814">
        <v>0.91636059999999997</v>
      </c>
      <c r="N2814">
        <v>0</v>
      </c>
      <c r="O2814">
        <v>-0.40012710000000001</v>
      </c>
      <c r="P2814">
        <v>0.89092640000000001</v>
      </c>
      <c r="Q2814">
        <v>-4.996014E-2</v>
      </c>
      <c r="R2814">
        <v>-0.45139180000000001</v>
      </c>
      <c r="S2814">
        <v>3.2032780000000001</v>
      </c>
      <c r="T2814">
        <v>-0.13143239999999901</v>
      </c>
      <c r="U2814">
        <v>-0.32154850000000001</v>
      </c>
      <c r="V2814">
        <v>5.7273240000000003E-2</v>
      </c>
      <c r="W2814">
        <v>-3.6328920000000001E-2</v>
      </c>
      <c r="X2814">
        <v>0.99769739999999996</v>
      </c>
      <c r="Y2814">
        <v>-0.30606090000000002</v>
      </c>
      <c r="Z2814">
        <v>2.2193560000000001E-2</v>
      </c>
      <c r="AA2814">
        <v>0.95175319999999997</v>
      </c>
      <c r="AB2814">
        <v>10</v>
      </c>
      <c r="AC2814">
        <v>26.994700000000002</v>
      </c>
      <c r="AD2814">
        <v>-1.1115685217489999</v>
      </c>
      <c r="AE2814">
        <v>-2.68340000000003</v>
      </c>
      <c r="AF2814">
        <v>-8.3291219745330007</v>
      </c>
      <c r="AG2814">
        <v>-1.1115685217489999</v>
      </c>
      <c r="AH2814">
        <v>25.769657182101898</v>
      </c>
      <c r="AI2814">
        <v>92.3503366147675</v>
      </c>
      <c r="AJ2814">
        <v>107.911574948625</v>
      </c>
      <c r="AK2814">
        <v>27.105074962601499</v>
      </c>
      <c r="AL2814">
        <v>92.081951797096806</v>
      </c>
      <c r="AM2814">
        <v>86.714517421920803</v>
      </c>
      <c r="AN2814">
        <v>1.0000000582076101</v>
      </c>
    </row>
    <row r="2815" spans="1:40" x14ac:dyDescent="0.25">
      <c r="A2815" t="str">
        <f>"20190312161323117"</f>
        <v>20190312161323117</v>
      </c>
      <c r="B2815" t="str">
        <f>"1552378403108209"</f>
        <v>1552378403108209</v>
      </c>
      <c r="C2815" t="s">
        <v>40</v>
      </c>
      <c r="D2815">
        <v>5.5323760000000002</v>
      </c>
      <c r="E2815">
        <v>0.3527054</v>
      </c>
      <c r="F2815" t="s">
        <v>69</v>
      </c>
      <c r="G2815">
        <v>-446.97629999999998</v>
      </c>
      <c r="H2815" s="1">
        <v>2.2675829999999999E-6</v>
      </c>
      <c r="I2815">
        <v>212.51300000000001</v>
      </c>
      <c r="J2815">
        <v>-474.26310000000001</v>
      </c>
      <c r="K2815">
        <v>1.1115619999999999</v>
      </c>
      <c r="L2815">
        <v>215.08330000000001</v>
      </c>
      <c r="M2815">
        <v>0.91844890000000001</v>
      </c>
      <c r="N2815">
        <v>0</v>
      </c>
      <c r="O2815">
        <v>-0.39530999999999999</v>
      </c>
      <c r="P2815">
        <v>0.89302219999999999</v>
      </c>
      <c r="Q2815">
        <v>-4.9831559999999997E-2</v>
      </c>
      <c r="R2815">
        <v>-0.44724570000000002</v>
      </c>
      <c r="S2815">
        <v>3.2054140000000002</v>
      </c>
      <c r="T2815">
        <v>-0.13011259999999999</v>
      </c>
      <c r="U2815">
        <v>-0.30503849999999999</v>
      </c>
      <c r="V2815">
        <v>5.7869869999999997E-2</v>
      </c>
      <c r="W2815">
        <v>-3.6204170000000001E-2</v>
      </c>
      <c r="X2815">
        <v>0.99766739999999998</v>
      </c>
      <c r="Y2815">
        <v>-0.30599680000000001</v>
      </c>
      <c r="Z2815">
        <v>2.178474E-2</v>
      </c>
      <c r="AA2815">
        <v>0.95178320000000005</v>
      </c>
      <c r="AB2815">
        <v>10</v>
      </c>
      <c r="AC2815">
        <v>27.286799999999999</v>
      </c>
      <c r="AD2815">
        <v>-1.1115597324169999</v>
      </c>
      <c r="AE2815">
        <v>-2.5703</v>
      </c>
      <c r="AF2815">
        <v>-8.4129829623501102</v>
      </c>
      <c r="AG2815">
        <v>-1.1115597324169999</v>
      </c>
      <c r="AH2815">
        <v>26.0371382357703</v>
      </c>
      <c r="AI2815">
        <v>92.326267462054702</v>
      </c>
      <c r="AJ2815">
        <v>107.906409070815</v>
      </c>
      <c r="AK2815">
        <v>27.3851495316738</v>
      </c>
      <c r="AL2815">
        <v>92.074799663480206</v>
      </c>
      <c r="AM2815">
        <v>86.680268260059407</v>
      </c>
      <c r="AN2815">
        <v>0.99999995240098105</v>
      </c>
    </row>
    <row r="2816" spans="1:40" x14ac:dyDescent="0.25">
      <c r="A2816" t="str">
        <f>"20190312161323137"</f>
        <v>20190312161323137</v>
      </c>
      <c r="B2816" t="str">
        <f>"1552378403128706"</f>
        <v>1552378403128706</v>
      </c>
      <c r="C2816" t="s">
        <v>40</v>
      </c>
      <c r="D2816">
        <v>5.5100809999999996</v>
      </c>
      <c r="E2816">
        <v>0.35283930000000002</v>
      </c>
      <c r="F2816" t="s">
        <v>69</v>
      </c>
      <c r="G2816">
        <v>-446.8005</v>
      </c>
      <c r="H2816" s="1">
        <v>2.1704739999999999E-6</v>
      </c>
      <c r="I2816">
        <v>212.5942</v>
      </c>
      <c r="J2816">
        <v>-474.18060000000003</v>
      </c>
      <c r="K2816">
        <v>1.1115469999999901</v>
      </c>
      <c r="L2816">
        <v>215.05359999999999</v>
      </c>
      <c r="M2816">
        <v>0.92019110000000004</v>
      </c>
      <c r="N2816">
        <v>0</v>
      </c>
      <c r="O2816">
        <v>-0.39123740000000001</v>
      </c>
      <c r="P2816">
        <v>0.89486049999999995</v>
      </c>
      <c r="Q2816">
        <v>-4.984765E-2</v>
      </c>
      <c r="R2816">
        <v>-0.44355430000000001</v>
      </c>
      <c r="S2816">
        <v>3.2065429999999999</v>
      </c>
      <c r="T2816">
        <v>-0.12978609999999999</v>
      </c>
      <c r="U2816">
        <v>-0.29063420000000001</v>
      </c>
      <c r="V2816">
        <v>5.8169529999999997E-2</v>
      </c>
      <c r="W2816">
        <v>-3.6224060000000002E-2</v>
      </c>
      <c r="X2816">
        <v>0.99764929999999996</v>
      </c>
      <c r="Y2816">
        <v>-0.3060562</v>
      </c>
      <c r="Z2816">
        <v>2.1579629999999999E-2</v>
      </c>
      <c r="AA2816">
        <v>0.95176879999999997</v>
      </c>
      <c r="AB2816">
        <v>10</v>
      </c>
      <c r="AC2816">
        <v>27.380099999999999</v>
      </c>
      <c r="AD2816">
        <v>-1.11154482952599</v>
      </c>
      <c r="AE2816">
        <v>-2.45939999999998</v>
      </c>
      <c r="AF2816">
        <v>-8.4359765078289399</v>
      </c>
      <c r="AG2816">
        <v>-1.11154482952599</v>
      </c>
      <c r="AH2816">
        <v>26.116810825239</v>
      </c>
      <c r="AI2816">
        <v>92.319218948209894</v>
      </c>
      <c r="AJ2816">
        <v>107.90094651391099</v>
      </c>
      <c r="AK2816">
        <v>27.467963871208401</v>
      </c>
      <c r="AL2816">
        <v>92.075939923117403</v>
      </c>
      <c r="AM2816">
        <v>86.663056467941999</v>
      </c>
      <c r="AN2816">
        <v>1.0000000012668899</v>
      </c>
    </row>
    <row r="2817" spans="1:40" x14ac:dyDescent="0.25">
      <c r="A2817" t="str">
        <f>"20190312161323159"</f>
        <v>20190312161323159</v>
      </c>
      <c r="B2817" t="str">
        <f>"1552378403149201"</f>
        <v>1552378403149201</v>
      </c>
      <c r="C2817" t="s">
        <v>40</v>
      </c>
      <c r="D2817">
        <v>5.4955109999999996</v>
      </c>
      <c r="E2817">
        <v>0.35290860000000002</v>
      </c>
      <c r="F2817" t="s">
        <v>69</v>
      </c>
      <c r="G2817">
        <v>-446.92320000000001</v>
      </c>
      <c r="H2817" s="1">
        <v>2.2316680000000001E-6</v>
      </c>
      <c r="I2817">
        <v>212.68899999999999</v>
      </c>
      <c r="J2817">
        <v>-474.0899</v>
      </c>
      <c r="K2817">
        <v>1.1115409999999999</v>
      </c>
      <c r="L2817">
        <v>215.0213</v>
      </c>
      <c r="M2817">
        <v>0.92208540000000005</v>
      </c>
      <c r="N2817">
        <v>0</v>
      </c>
      <c r="O2817">
        <v>-0.38675209999999999</v>
      </c>
      <c r="P2817">
        <v>0.89685789999999999</v>
      </c>
      <c r="Q2817">
        <v>-4.9767739999999998E-2</v>
      </c>
      <c r="R2817">
        <v>-0.43951050000000003</v>
      </c>
      <c r="S2817">
        <v>3.207306</v>
      </c>
      <c r="T2817">
        <v>-0.13079260000000001</v>
      </c>
      <c r="U2817">
        <v>-0.2782288</v>
      </c>
      <c r="V2817">
        <v>5.8521570000000002E-2</v>
      </c>
      <c r="W2817">
        <v>-3.6148319999999998E-2</v>
      </c>
      <c r="X2817">
        <v>0.99763139999999995</v>
      </c>
      <c r="Y2817">
        <v>-0.30508940000000001</v>
      </c>
      <c r="Z2817">
        <v>2.1559539999999999E-2</v>
      </c>
      <c r="AA2817">
        <v>0.95207969999999997</v>
      </c>
      <c r="AB2817">
        <v>10</v>
      </c>
      <c r="AC2817">
        <v>27.166699999999899</v>
      </c>
      <c r="AD2817">
        <v>-1.1115387683319999</v>
      </c>
      <c r="AE2817">
        <v>-2.3322999999999698</v>
      </c>
      <c r="AF2817">
        <v>-8.3430914188245104</v>
      </c>
      <c r="AG2817">
        <v>-1.1115387683319999</v>
      </c>
      <c r="AH2817">
        <v>25.911332403598902</v>
      </c>
      <c r="AI2817">
        <v>92.338275484515805</v>
      </c>
      <c r="AJ2817">
        <v>107.847842066967</v>
      </c>
      <c r="AK2817">
        <v>27.244078985830299</v>
      </c>
      <c r="AL2817">
        <v>92.071597618093804</v>
      </c>
      <c r="AM2817">
        <v>86.642847353739995</v>
      </c>
      <c r="AN2817">
        <v>0.99999994273002102</v>
      </c>
    </row>
    <row r="2818" spans="1:40" x14ac:dyDescent="0.25">
      <c r="A2818" t="str">
        <f>"20190312161323181"</f>
        <v>20190312161323181</v>
      </c>
      <c r="B2818" t="str">
        <f>"1552378403178481"</f>
        <v>1552378403178481</v>
      </c>
      <c r="C2818" t="s">
        <v>40</v>
      </c>
      <c r="D2818">
        <v>5.504524</v>
      </c>
      <c r="E2818">
        <v>0.35305579999999998</v>
      </c>
      <c r="F2818" t="s">
        <v>69</v>
      </c>
      <c r="G2818">
        <v>-446.5437</v>
      </c>
      <c r="H2818" s="1">
        <v>2.026983E-6</v>
      </c>
      <c r="I2818">
        <v>212.75040000000001</v>
      </c>
      <c r="J2818">
        <v>-474.00279999999998</v>
      </c>
      <c r="K2818">
        <v>1.1115349999999999</v>
      </c>
      <c r="L2818">
        <v>214.9907</v>
      </c>
      <c r="M2818">
        <v>0.9238807</v>
      </c>
      <c r="N2818">
        <v>0</v>
      </c>
      <c r="O2818">
        <v>-0.38244349999999999</v>
      </c>
      <c r="P2818">
        <v>0.89879509999999996</v>
      </c>
      <c r="Q2818">
        <v>-5.0480259999999999E-2</v>
      </c>
      <c r="R2818">
        <v>-0.43545250000000002</v>
      </c>
      <c r="S2818">
        <v>3.2081909999999998</v>
      </c>
      <c r="T2818">
        <v>-0.12945599999999999</v>
      </c>
      <c r="U2818">
        <v>-0.26448059999999901</v>
      </c>
      <c r="V2818">
        <v>5.8686420000000003E-2</v>
      </c>
      <c r="W2818">
        <v>-3.6865799999999997E-2</v>
      </c>
      <c r="X2818">
        <v>0.99759549999999997</v>
      </c>
      <c r="Y2818">
        <v>-0.30473289999999997</v>
      </c>
      <c r="Z2818">
        <v>2.117221E-2</v>
      </c>
      <c r="AA2818">
        <v>0.95220249999999995</v>
      </c>
      <c r="AB2818">
        <v>10</v>
      </c>
      <c r="AC2818">
        <v>27.4590999999999</v>
      </c>
      <c r="AD2818">
        <v>-1.111532973017</v>
      </c>
      <c r="AE2818">
        <v>-2.2402999999999902</v>
      </c>
      <c r="AF2818">
        <v>-8.4188454613905908</v>
      </c>
      <c r="AG2818">
        <v>-1.111532973017</v>
      </c>
      <c r="AH2818">
        <v>26.185476263670498</v>
      </c>
      <c r="AI2818">
        <v>92.3141321891936</v>
      </c>
      <c r="AJ2818">
        <v>107.82302421228501</v>
      </c>
      <c r="AK2818">
        <v>27.528015395377299</v>
      </c>
      <c r="AL2818">
        <v>92.112733534914199</v>
      </c>
      <c r="AM2818">
        <v>86.633291404478797</v>
      </c>
      <c r="AN2818">
        <v>0.99999998236115295</v>
      </c>
    </row>
    <row r="2819" spans="1:40" x14ac:dyDescent="0.25">
      <c r="A2819" t="str">
        <f>"20190312161323202"</f>
        <v>20190312161323202</v>
      </c>
      <c r="B2819" t="str">
        <f>"1552378403198977"</f>
        <v>1552378403198977</v>
      </c>
      <c r="C2819" t="s">
        <v>40</v>
      </c>
      <c r="D2819">
        <v>5.5159949999999904</v>
      </c>
      <c r="E2819">
        <v>0.353195599999999</v>
      </c>
      <c r="F2819" t="s">
        <v>69</v>
      </c>
      <c r="G2819">
        <v>-446.4228</v>
      </c>
      <c r="H2819" s="1">
        <v>1.9590760000000002E-6</v>
      </c>
      <c r="I2819">
        <v>212.83199999999999</v>
      </c>
      <c r="J2819">
        <v>-473.91390000000001</v>
      </c>
      <c r="K2819">
        <v>1.1115200000000001</v>
      </c>
      <c r="L2819">
        <v>214.96010000000001</v>
      </c>
      <c r="M2819">
        <v>0.92568859999999997</v>
      </c>
      <c r="N2819">
        <v>0</v>
      </c>
      <c r="O2819">
        <v>-0.37804650000000001</v>
      </c>
      <c r="P2819">
        <v>0.90084679999999995</v>
      </c>
      <c r="Q2819">
        <v>-5.0746470000000002E-2</v>
      </c>
      <c r="R2819">
        <v>-0.43116100000000002</v>
      </c>
      <c r="S2819">
        <v>3.2088930000000002</v>
      </c>
      <c r="T2819">
        <v>-0.129325</v>
      </c>
      <c r="U2819">
        <v>-0.25115969999999999</v>
      </c>
      <c r="V2819">
        <v>5.8677689999999998E-2</v>
      </c>
      <c r="W2819">
        <v>-3.7137070000000001E-2</v>
      </c>
      <c r="X2819">
        <v>0.99758599999999997</v>
      </c>
      <c r="Y2819">
        <v>-0.30415419999999999</v>
      </c>
      <c r="Z2819">
        <v>2.0976379999999999E-2</v>
      </c>
      <c r="AA2819">
        <v>0.95239189999999996</v>
      </c>
      <c r="AB2819">
        <v>10</v>
      </c>
      <c r="AC2819">
        <v>27.491099999999999</v>
      </c>
      <c r="AD2819">
        <v>-1.111518040924</v>
      </c>
      <c r="AE2819">
        <v>-2.1281000000000101</v>
      </c>
      <c r="AF2819">
        <v>-8.4100541826711392</v>
      </c>
      <c r="AG2819">
        <v>-1.111518040924</v>
      </c>
      <c r="AH2819">
        <v>26.212505463397299</v>
      </c>
      <c r="AI2819">
        <v>92.3121659378413</v>
      </c>
      <c r="AJ2819">
        <v>107.788386103696</v>
      </c>
      <c r="AK2819">
        <v>27.551042201328698</v>
      </c>
      <c r="AL2819">
        <v>92.128286709888997</v>
      </c>
      <c r="AM2819">
        <v>86.6337590906369</v>
      </c>
      <c r="AN2819">
        <v>1.00000003033396</v>
      </c>
    </row>
    <row r="2820" spans="1:40" x14ac:dyDescent="0.25">
      <c r="A2820" t="str">
        <f>"20190312161323225"</f>
        <v>20190312161323225</v>
      </c>
      <c r="B2820" t="str">
        <f>"1552378403218497"</f>
        <v>1552378403218497</v>
      </c>
      <c r="C2820" t="s">
        <v>40</v>
      </c>
      <c r="D2820">
        <v>5.4702989999999998</v>
      </c>
      <c r="E2820">
        <v>0.35324660000000002</v>
      </c>
      <c r="F2820" t="s">
        <v>69</v>
      </c>
      <c r="G2820">
        <v>-446.21129999999999</v>
      </c>
      <c r="H2820" s="1">
        <v>1.842917E-6</v>
      </c>
      <c r="I2820">
        <v>212.91550000000001</v>
      </c>
      <c r="J2820">
        <v>-473.8229</v>
      </c>
      <c r="K2820">
        <v>1.111513</v>
      </c>
      <c r="L2820">
        <v>214.92910000000001</v>
      </c>
      <c r="M2820">
        <v>0.92751640000000002</v>
      </c>
      <c r="N2820">
        <v>0</v>
      </c>
      <c r="O2820">
        <v>-0.37353989999999998</v>
      </c>
      <c r="P2820">
        <v>0.90294790000000003</v>
      </c>
      <c r="Q2820">
        <v>-5.0365930000000003E-2</v>
      </c>
      <c r="R2820">
        <v>-0.42678870000000002</v>
      </c>
      <c r="S2820">
        <v>3.2095340000000001</v>
      </c>
      <c r="T2820">
        <v>-0.1287768</v>
      </c>
      <c r="U2820">
        <v>-0.23687739999999999</v>
      </c>
      <c r="V2820">
        <v>5.8683399999999997E-2</v>
      </c>
      <c r="W2820">
        <v>-3.6761149999999999E-2</v>
      </c>
      <c r="X2820">
        <v>0.99759949999999997</v>
      </c>
      <c r="Y2820">
        <v>-0.30375819999999998</v>
      </c>
      <c r="Z2820">
        <v>2.071365E-2</v>
      </c>
      <c r="AA2820">
        <v>0.95252389999999998</v>
      </c>
      <c r="AB2820">
        <v>10</v>
      </c>
      <c r="AC2820">
        <v>27.611599999999999</v>
      </c>
      <c r="AD2820">
        <v>-1.1115111570829901</v>
      </c>
      <c r="AE2820">
        <v>-2.0135999999999901</v>
      </c>
      <c r="AF2820">
        <v>-8.43355878240415</v>
      </c>
      <c r="AG2820">
        <v>-1.1115111570829901</v>
      </c>
      <c r="AH2820">
        <v>26.322332214376001</v>
      </c>
      <c r="AI2820">
        <v>92.302812934291794</v>
      </c>
      <c r="AJ2820">
        <v>107.765228784272</v>
      </c>
      <c r="AK2820">
        <v>27.662710351528499</v>
      </c>
      <c r="AL2820">
        <v>92.106733547333903</v>
      </c>
      <c r="AM2820">
        <v>86.633477724132007</v>
      </c>
      <c r="AN2820">
        <v>0.99999994299256401</v>
      </c>
    </row>
    <row r="2821" spans="1:40" x14ac:dyDescent="0.25">
      <c r="A2821" t="str">
        <f>"20190312161323247"</f>
        <v>20190312161323247</v>
      </c>
      <c r="B2821" t="str">
        <f>"1552378403238993"</f>
        <v>1552378403238993</v>
      </c>
      <c r="C2821" t="s">
        <v>40</v>
      </c>
      <c r="D2821">
        <v>5.472124</v>
      </c>
      <c r="E2821">
        <v>0.35336770000000001</v>
      </c>
      <c r="F2821" t="s">
        <v>69</v>
      </c>
      <c r="G2821">
        <v>-445.48239999999998</v>
      </c>
      <c r="H2821" s="1">
        <v>1.4525690000000001E-6</v>
      </c>
      <c r="I2821">
        <v>212.97110000000001</v>
      </c>
      <c r="J2821">
        <v>-473.73379999999997</v>
      </c>
      <c r="K2821">
        <v>1.1115029999999999</v>
      </c>
      <c r="L2821">
        <v>214.89930000000001</v>
      </c>
      <c r="M2821">
        <v>0.92928250000000001</v>
      </c>
      <c r="N2821">
        <v>0</v>
      </c>
      <c r="O2821">
        <v>-0.36912489999999998</v>
      </c>
      <c r="P2821">
        <v>0.90498109999999998</v>
      </c>
      <c r="Q2821">
        <v>-5.0066439999999997E-2</v>
      </c>
      <c r="R2821">
        <v>-0.42249639999999999</v>
      </c>
      <c r="S2821">
        <v>3.2105709999999998</v>
      </c>
      <c r="T2821">
        <v>-0.125918</v>
      </c>
      <c r="U2821">
        <v>-0.22181699999999999</v>
      </c>
      <c r="V2821">
        <v>5.8682789999999999E-2</v>
      </c>
      <c r="W2821">
        <v>-3.6466320000000003E-2</v>
      </c>
      <c r="X2821">
        <v>0.99761040000000001</v>
      </c>
      <c r="Y2821">
        <v>-0.3037223</v>
      </c>
      <c r="Z2821">
        <v>2.0091790000000002E-2</v>
      </c>
      <c r="AA2821">
        <v>0.95254870000000003</v>
      </c>
      <c r="AB2821">
        <v>10</v>
      </c>
      <c r="AC2821">
        <v>28.251399999999901</v>
      </c>
      <c r="AD2821">
        <v>-1.1115015474309999</v>
      </c>
      <c r="AE2821">
        <v>-1.9281999999999999</v>
      </c>
      <c r="AF2821">
        <v>-8.6239466825902795</v>
      </c>
      <c r="AG2821">
        <v>-1.1115015474309999</v>
      </c>
      <c r="AH2821">
        <v>26.926231226898999</v>
      </c>
      <c r="AI2821">
        <v>92.251275153784604</v>
      </c>
      <c r="AJ2821">
        <v>107.759248826209</v>
      </c>
      <c r="AK2821">
        <v>28.295402809617901</v>
      </c>
      <c r="AL2821">
        <v>92.089829607008099</v>
      </c>
      <c r="AM2821">
        <v>86.633549335857396</v>
      </c>
      <c r="AN2821">
        <v>0.99999998626234299</v>
      </c>
    </row>
    <row r="2822" spans="1:40" x14ac:dyDescent="0.25">
      <c r="A2822" t="str">
        <f>"20190312161323270"</f>
        <v>20190312161323270</v>
      </c>
      <c r="B2822" t="str">
        <f>"1552378403258514"</f>
        <v>1552378403258514</v>
      </c>
      <c r="C2822" t="s">
        <v>40</v>
      </c>
      <c r="D2822">
        <v>5.4819500000000003</v>
      </c>
      <c r="E2822">
        <v>0.35352489999999998</v>
      </c>
      <c r="F2822" t="s">
        <v>69</v>
      </c>
      <c r="G2822">
        <v>-444.98070000000001</v>
      </c>
      <c r="H2822" s="1">
        <v>1.1825309999999999E-6</v>
      </c>
      <c r="I2822">
        <v>213.041</v>
      </c>
      <c r="J2822">
        <v>-473.64210000000003</v>
      </c>
      <c r="K2822">
        <v>1.111499</v>
      </c>
      <c r="L2822">
        <v>214.8691</v>
      </c>
      <c r="M2822">
        <v>0.93107240000000002</v>
      </c>
      <c r="N2822">
        <v>0</v>
      </c>
      <c r="O2822">
        <v>-0.36458639999999998</v>
      </c>
      <c r="P2822">
        <v>0.90683630000000004</v>
      </c>
      <c r="Q2822">
        <v>-5.0550270000000001E-2</v>
      </c>
      <c r="R2822">
        <v>-0.4184409</v>
      </c>
      <c r="S2822">
        <v>3.2112120000000002</v>
      </c>
      <c r="T2822">
        <v>-0.124135</v>
      </c>
      <c r="U2822">
        <v>-0.20753479999999999</v>
      </c>
      <c r="V2822">
        <v>5.9094939999999999E-2</v>
      </c>
      <c r="W2822">
        <v>-3.695449E-2</v>
      </c>
      <c r="X2822">
        <v>0.99756809999999996</v>
      </c>
      <c r="Y2822">
        <v>-0.30332239999999999</v>
      </c>
      <c r="Z2822">
        <v>1.9637439999999999E-2</v>
      </c>
      <c r="AA2822">
        <v>0.95268569999999997</v>
      </c>
      <c r="AB2822">
        <v>10</v>
      </c>
      <c r="AC2822">
        <v>28.6614</v>
      </c>
      <c r="AD2822">
        <v>-1.111497817469</v>
      </c>
      <c r="AE2822">
        <v>-1.8281000000000001</v>
      </c>
      <c r="AF2822">
        <v>-8.7351709924582597</v>
      </c>
      <c r="AG2822">
        <v>-1.111497817469</v>
      </c>
      <c r="AH2822">
        <v>27.313902554897599</v>
      </c>
      <c r="AI2822">
        <v>92.219652059019197</v>
      </c>
      <c r="AJ2822">
        <v>107.734628265227</v>
      </c>
      <c r="AK2822">
        <v>28.6982214160418</v>
      </c>
      <c r="AL2822">
        <v>92.117818567263797</v>
      </c>
      <c r="AM2822">
        <v>86.609817099420098</v>
      </c>
      <c r="AN2822">
        <v>0.99999998020118597</v>
      </c>
    </row>
    <row r="2823" spans="1:40" x14ac:dyDescent="0.25">
      <c r="A2823" t="str">
        <f>"20190312161323294"</f>
        <v>20190312161323294</v>
      </c>
      <c r="B2823" t="str">
        <f>"1552378403288770"</f>
        <v>1552378403288770</v>
      </c>
      <c r="C2823" t="s">
        <v>40</v>
      </c>
      <c r="D2823">
        <v>5.1341950000000001</v>
      </c>
      <c r="E2823">
        <v>0.35376639999999998</v>
      </c>
      <c r="F2823" t="s">
        <v>69</v>
      </c>
      <c r="G2823">
        <v>-444.7473</v>
      </c>
      <c r="H2823" s="1">
        <v>1.054914E-6</v>
      </c>
      <c r="I2823">
        <v>213.12</v>
      </c>
      <c r="J2823">
        <v>-473.54349999999999</v>
      </c>
      <c r="K2823">
        <v>1.1114900000000001</v>
      </c>
      <c r="L2823">
        <v>214.8373</v>
      </c>
      <c r="M2823">
        <v>0.93297070000000004</v>
      </c>
      <c r="N2823">
        <v>0</v>
      </c>
      <c r="O2823">
        <v>-0.3597011</v>
      </c>
      <c r="P2823">
        <v>0.90885850000000001</v>
      </c>
      <c r="Q2823">
        <v>-5.0897310000000001E-2</v>
      </c>
      <c r="R2823">
        <v>-0.41398790000000002</v>
      </c>
      <c r="S2823">
        <v>3.2116090000000002</v>
      </c>
      <c r="T2823">
        <v>-0.1235414</v>
      </c>
      <c r="U2823">
        <v>-0.19441220000000001</v>
      </c>
      <c r="V2823">
        <v>5.9437730000000001E-2</v>
      </c>
      <c r="W2823">
        <v>-3.7306190000000003E-2</v>
      </c>
      <c r="X2823">
        <v>0.9975347</v>
      </c>
      <c r="Y2823">
        <v>-0.30222179999999998</v>
      </c>
      <c r="Z2823">
        <v>1.9348810000000001E-2</v>
      </c>
      <c r="AA2823">
        <v>0.95304129999999998</v>
      </c>
      <c r="AB2823">
        <v>10</v>
      </c>
      <c r="AC2823">
        <v>28.796199999999999</v>
      </c>
      <c r="AD2823">
        <v>-1.1114889450859999</v>
      </c>
      <c r="AE2823">
        <v>-1.7172999999999901</v>
      </c>
      <c r="AF2823">
        <v>-8.7436453540016696</v>
      </c>
      <c r="AG2823">
        <v>-1.1114889450859999</v>
      </c>
      <c r="AH2823">
        <v>27.445465846792899</v>
      </c>
      <c r="AI2823">
        <v>92.209787603193206</v>
      </c>
      <c r="AJ2823">
        <v>107.670969092425</v>
      </c>
      <c r="AK2823">
        <v>28.826035754142101</v>
      </c>
      <c r="AL2823">
        <v>92.137983277757399</v>
      </c>
      <c r="AM2823">
        <v>86.590084148208803</v>
      </c>
      <c r="AN2823">
        <v>1.0000000366319699</v>
      </c>
    </row>
    <row r="2824" spans="1:40" x14ac:dyDescent="0.25">
      <c r="A2824" t="str">
        <f>"20190312161323317"</f>
        <v>20190312161323317</v>
      </c>
      <c r="B2824" t="str">
        <f>"1552378403308289"</f>
        <v>1552378403308289</v>
      </c>
      <c r="C2824" t="s">
        <v>40</v>
      </c>
      <c r="D2824">
        <v>5.3579600000000003</v>
      </c>
      <c r="E2824">
        <v>0.35389700000000002</v>
      </c>
      <c r="F2824" t="s">
        <v>69</v>
      </c>
      <c r="G2824">
        <v>-444.74459999999999</v>
      </c>
      <c r="H2824" s="1">
        <v>1.049115E-6</v>
      </c>
      <c r="I2824">
        <v>213.2191</v>
      </c>
      <c r="J2824">
        <v>-473.45350000000002</v>
      </c>
      <c r="K2824">
        <v>1.111483</v>
      </c>
      <c r="L2824">
        <v>214.80860000000001</v>
      </c>
      <c r="M2824">
        <v>0.93467920000000004</v>
      </c>
      <c r="N2824">
        <v>0</v>
      </c>
      <c r="O2824">
        <v>-0.35523850000000001</v>
      </c>
      <c r="P2824">
        <v>0.91092450000000003</v>
      </c>
      <c r="Q2824">
        <v>-5.0724680000000001E-2</v>
      </c>
      <c r="R2824">
        <v>-0.40944370000000002</v>
      </c>
      <c r="S2824">
        <v>3.2117</v>
      </c>
      <c r="T2824">
        <v>-0.12395490000000001</v>
      </c>
      <c r="U2824">
        <v>-0.18046570000000001</v>
      </c>
      <c r="V2824">
        <v>5.921858E-2</v>
      </c>
      <c r="W2824">
        <v>-3.7138770000000002E-2</v>
      </c>
      <c r="X2824">
        <v>0.99755389999999999</v>
      </c>
      <c r="Y2824">
        <v>-0.30179299999999998</v>
      </c>
      <c r="Z2824">
        <v>1.924787E-2</v>
      </c>
      <c r="AA2824">
        <v>0.9531792</v>
      </c>
      <c r="AB2824">
        <v>10</v>
      </c>
      <c r="AC2824">
        <v>28.7089</v>
      </c>
      <c r="AD2824">
        <v>-1.111481950885</v>
      </c>
      <c r="AE2824">
        <v>-1.5895000000000099</v>
      </c>
      <c r="AF2824">
        <v>-8.7006185192560892</v>
      </c>
      <c r="AG2824">
        <v>-1.111481950885</v>
      </c>
      <c r="AH2824">
        <v>27.359850689892799</v>
      </c>
      <c r="AI2824">
        <v>92.2170501984411</v>
      </c>
      <c r="AJ2824">
        <v>107.64101774734399</v>
      </c>
      <c r="AK2824">
        <v>28.731473761678</v>
      </c>
      <c r="AL2824">
        <v>92.128384338384606</v>
      </c>
      <c r="AM2824">
        <v>86.602692418473097</v>
      </c>
      <c r="AN2824">
        <v>0.99999995592976798</v>
      </c>
    </row>
    <row r="2825" spans="1:40" x14ac:dyDescent="0.25">
      <c r="A2825" t="str">
        <f>"20190312161323337"</f>
        <v>20190312161323337</v>
      </c>
      <c r="B2825" t="str">
        <f>"1552378403328786"</f>
        <v>1552378403328786</v>
      </c>
      <c r="C2825" t="s">
        <v>40</v>
      </c>
      <c r="D2825">
        <v>5.4706349999999997</v>
      </c>
      <c r="E2825">
        <v>0.3322505</v>
      </c>
      <c r="F2825" t="s">
        <v>69</v>
      </c>
      <c r="G2825">
        <v>-444.75319999999999</v>
      </c>
      <c r="H2825" s="1">
        <v>1.0487180000000001E-6</v>
      </c>
      <c r="I2825">
        <v>213.3329</v>
      </c>
      <c r="J2825">
        <v>-473.36900000000003</v>
      </c>
      <c r="K2825">
        <v>1.111477</v>
      </c>
      <c r="L2825">
        <v>214.78219999999999</v>
      </c>
      <c r="M2825">
        <v>0.9362606</v>
      </c>
      <c r="N2825">
        <v>0</v>
      </c>
      <c r="O2825">
        <v>-0.3510491</v>
      </c>
      <c r="P2825">
        <v>0.91267069999999995</v>
      </c>
      <c r="Q2825">
        <v>-5.069974E-2</v>
      </c>
      <c r="R2825">
        <v>-0.40553889999999998</v>
      </c>
      <c r="S2825">
        <v>3.2121279999999999</v>
      </c>
      <c r="T2825">
        <v>-0.1243967</v>
      </c>
      <c r="U2825">
        <v>-0.16516110000000001</v>
      </c>
      <c r="V2825">
        <v>5.9412769999999997E-2</v>
      </c>
      <c r="W2825">
        <v>-3.7118030000000003E-2</v>
      </c>
      <c r="X2825">
        <v>0.99754319999999996</v>
      </c>
      <c r="Y2825">
        <v>-0.30205870000000001</v>
      </c>
      <c r="Z2825">
        <v>1.9171440000000001E-2</v>
      </c>
      <c r="AA2825">
        <v>0.95309659999999996</v>
      </c>
      <c r="AB2825">
        <v>10</v>
      </c>
      <c r="AC2825">
        <v>28.6158</v>
      </c>
      <c r="AD2825">
        <v>-1.1114759512820001</v>
      </c>
      <c r="AE2825">
        <v>-1.44929999999999</v>
      </c>
      <c r="AF2825">
        <v>-8.6763570254577207</v>
      </c>
      <c r="AG2825">
        <v>-1.1114759512820001</v>
      </c>
      <c r="AH2825">
        <v>27.262063698536998</v>
      </c>
      <c r="AI2825">
        <v>92.224821618134698</v>
      </c>
      <c r="AJ2825">
        <v>107.65406324422899</v>
      </c>
      <c r="AK2825">
        <v>28.631008838784801</v>
      </c>
      <c r="AL2825">
        <v>92.127195044989506</v>
      </c>
      <c r="AM2825">
        <v>86.591541690481293</v>
      </c>
      <c r="AN2825">
        <v>1.00000003062819</v>
      </c>
    </row>
    <row r="2826" spans="1:40" x14ac:dyDescent="0.25">
      <c r="A2826" t="str">
        <f>"20190312161323360"</f>
        <v>20190312161323360</v>
      </c>
      <c r="B2826" t="str">
        <f>"1552378403348305"</f>
        <v>1552378403348305</v>
      </c>
      <c r="C2826" t="s">
        <v>40</v>
      </c>
      <c r="D2826">
        <v>5.468305</v>
      </c>
      <c r="E2826">
        <v>0.33723249999999999</v>
      </c>
      <c r="F2826" t="s">
        <v>69</v>
      </c>
      <c r="G2826">
        <v>-359.46010000000001</v>
      </c>
      <c r="H2826" s="1">
        <v>3.4918120000000001E-6</v>
      </c>
      <c r="I2826">
        <v>214.74459999999999</v>
      </c>
      <c r="J2826">
        <v>-473.2792</v>
      </c>
      <c r="K2826">
        <v>1.11147</v>
      </c>
      <c r="L2826">
        <v>214.75460000000001</v>
      </c>
      <c r="M2826">
        <v>0.93791780000000002</v>
      </c>
      <c r="N2826">
        <v>0</v>
      </c>
      <c r="O2826">
        <v>-0.34659699999999999</v>
      </c>
      <c r="P2826">
        <v>0.91444610000000004</v>
      </c>
      <c r="Q2826">
        <v>-5.0727139999999997E-2</v>
      </c>
      <c r="R2826">
        <v>-0.40151609999999999</v>
      </c>
      <c r="S2826">
        <v>3.2847900000000001</v>
      </c>
      <c r="T2826">
        <v>-3.205156E-2</v>
      </c>
      <c r="U2826">
        <v>-1.083374E-3</v>
      </c>
      <c r="V2826">
        <v>5.9759230000000003E-2</v>
      </c>
      <c r="W2826">
        <v>-3.7149670000000003E-2</v>
      </c>
      <c r="X2826">
        <v>0.99752130000000006</v>
      </c>
      <c r="Y2826">
        <v>-0.3462865</v>
      </c>
      <c r="Z2826">
        <v>5.0174369999999996E-3</v>
      </c>
      <c r="AA2826">
        <v>0.93811540000000004</v>
      </c>
      <c r="AB2826">
        <v>10</v>
      </c>
      <c r="AC2826">
        <v>113.81910000000001</v>
      </c>
      <c r="AD2826">
        <v>-1.111466508188</v>
      </c>
      <c r="AE2826">
        <v>-1.0000000000019301E-2</v>
      </c>
      <c r="AF2826">
        <v>-39.439782760065</v>
      </c>
      <c r="AG2826">
        <v>-1.111466508188</v>
      </c>
      <c r="AH2826">
        <v>106.75589350670199</v>
      </c>
      <c r="AI2826">
        <v>90.559540426375094</v>
      </c>
      <c r="AJ2826">
        <v>110.276192439011</v>
      </c>
      <c r="AK2826">
        <v>113.813675014799</v>
      </c>
      <c r="AL2826">
        <v>92.129009191818994</v>
      </c>
      <c r="AM2826">
        <v>86.571637768396499</v>
      </c>
      <c r="AN2826">
        <v>1.0000000037524901</v>
      </c>
    </row>
    <row r="2827" spans="1:40" x14ac:dyDescent="0.25">
      <c r="A2827" t="str">
        <f>"20190312161323383"</f>
        <v>20190312161323383</v>
      </c>
      <c r="B2827" t="str">
        <f>"1552378403378562"</f>
        <v>1552378403378562</v>
      </c>
      <c r="C2827" t="s">
        <v>40</v>
      </c>
      <c r="D2827">
        <v>5.4745889999999999</v>
      </c>
      <c r="E2827">
        <v>0.34101679999999901</v>
      </c>
      <c r="F2827" t="s">
        <v>74</v>
      </c>
      <c r="G2827">
        <v>-423.1696</v>
      </c>
      <c r="H2827" s="1">
        <v>3.4168609999999998E-6</v>
      </c>
      <c r="I2827">
        <v>214.4504</v>
      </c>
      <c r="J2827">
        <v>-473.18799999999999</v>
      </c>
      <c r="K2827">
        <v>1.111461</v>
      </c>
      <c r="L2827">
        <v>214.727</v>
      </c>
      <c r="M2827">
        <v>0.93957820000000003</v>
      </c>
      <c r="N2827">
        <v>0</v>
      </c>
      <c r="O2827">
        <v>-0.34207070000000001</v>
      </c>
      <c r="P2827">
        <v>0.91596029999999995</v>
      </c>
      <c r="Q2827">
        <v>-5.043694E-2</v>
      </c>
      <c r="R2827">
        <v>-0.39808680000000002</v>
      </c>
      <c r="S2827">
        <v>3.267944</v>
      </c>
      <c r="T2827">
        <v>-7.2485330000000001E-2</v>
      </c>
      <c r="U2827">
        <v>-1.9836429999999999E-2</v>
      </c>
      <c r="V2827">
        <v>6.082336E-2</v>
      </c>
      <c r="W2827">
        <v>-3.6862230000000003E-2</v>
      </c>
      <c r="X2827">
        <v>0.99746760000000001</v>
      </c>
      <c r="Y2827">
        <v>-0.33622750000000001</v>
      </c>
      <c r="Z2827">
        <v>1.1195460000000001E-2</v>
      </c>
      <c r="AA2827">
        <v>0.94171419999999995</v>
      </c>
      <c r="AB2827">
        <v>10</v>
      </c>
      <c r="AC2827">
        <v>50.0184</v>
      </c>
      <c r="AD2827">
        <v>-1.1114575831389999</v>
      </c>
      <c r="AE2827">
        <v>-0.27660000000000201</v>
      </c>
      <c r="AF2827">
        <v>-16.8431457831133</v>
      </c>
      <c r="AG2827">
        <v>-1.1114575831389999</v>
      </c>
      <c r="AH2827">
        <v>47.071822133792899</v>
      </c>
      <c r="AI2827">
        <v>91.273567415318198</v>
      </c>
      <c r="AJ2827">
        <v>109.68812424174401</v>
      </c>
      <c r="AK2827">
        <v>50.006832901372199</v>
      </c>
      <c r="AL2827">
        <v>92.112528899043099</v>
      </c>
      <c r="AM2827">
        <v>86.510551201568305</v>
      </c>
      <c r="AN2827">
        <v>0.99999995908601003</v>
      </c>
    </row>
    <row r="2828" spans="1:40" x14ac:dyDescent="0.25">
      <c r="A2828" t="str">
        <f>"20190312161323404"</f>
        <v>20190312161323404</v>
      </c>
      <c r="B2828" t="str">
        <f>"1552378403399058"</f>
        <v>1552378403399058</v>
      </c>
      <c r="C2828" t="s">
        <v>40</v>
      </c>
      <c r="D2828">
        <v>5.4641260000000003</v>
      </c>
      <c r="E2828">
        <v>0.3411942</v>
      </c>
      <c r="F2828" t="s">
        <v>74</v>
      </c>
      <c r="G2828">
        <v>-434.39490000000001</v>
      </c>
      <c r="H2828" s="1">
        <v>4.1911800000000001E-6</v>
      </c>
      <c r="I2828">
        <v>214.32749999999999</v>
      </c>
      <c r="J2828">
        <v>-473.1</v>
      </c>
      <c r="K2828">
        <v>1.111453</v>
      </c>
      <c r="L2828">
        <v>214.70079999999999</v>
      </c>
      <c r="M2828">
        <v>0.94115459999999995</v>
      </c>
      <c r="N2828">
        <v>0</v>
      </c>
      <c r="O2828">
        <v>-0.33770929999999999</v>
      </c>
      <c r="P2828">
        <v>0.91785380000000005</v>
      </c>
      <c r="Q2828">
        <v>-4.9432909999999997E-2</v>
      </c>
      <c r="R2828">
        <v>-0.39382830000000002</v>
      </c>
      <c r="S2828">
        <v>3.2555540000000001</v>
      </c>
      <c r="T2828">
        <v>-9.3274469999999998E-2</v>
      </c>
      <c r="U2828">
        <v>-3.3523560000000001E-2</v>
      </c>
      <c r="V2828">
        <v>6.0794819999999999E-2</v>
      </c>
      <c r="W2828">
        <v>-3.5863060000000002E-2</v>
      </c>
      <c r="X2828">
        <v>0.9975058</v>
      </c>
      <c r="Y2828">
        <v>-0.32776149999999998</v>
      </c>
      <c r="Z2828">
        <v>1.421789E-2</v>
      </c>
      <c r="AA2828">
        <v>0.94465350000000003</v>
      </c>
      <c r="AB2828">
        <v>10</v>
      </c>
      <c r="AC2828">
        <v>38.705100000000002</v>
      </c>
      <c r="AD2828">
        <v>-1.1114488088200001</v>
      </c>
      <c r="AE2828">
        <v>-0.37330000000000002</v>
      </c>
      <c r="AF2828">
        <v>-12.710406986037199</v>
      </c>
      <c r="AG2828">
        <v>-1.1114488088200001</v>
      </c>
      <c r="AH2828">
        <v>36.526731150285599</v>
      </c>
      <c r="AI2828">
        <v>91.646122408113897</v>
      </c>
      <c r="AJ2828">
        <v>109.186643715515</v>
      </c>
      <c r="AK2828">
        <v>38.690978958028197</v>
      </c>
      <c r="AL2828">
        <v>92.055242710612703</v>
      </c>
      <c r="AM2828">
        <v>86.512317742411796</v>
      </c>
      <c r="AN2828">
        <v>0.99999999512251703</v>
      </c>
    </row>
    <row r="2829" spans="1:40" x14ac:dyDescent="0.25">
      <c r="A2829" t="str">
        <f>"20190312161323425"</f>
        <v>20190312161323425</v>
      </c>
      <c r="B2829" t="str">
        <f>"1552378403418577"</f>
        <v>1552378403418577</v>
      </c>
      <c r="C2829" t="s">
        <v>40</v>
      </c>
      <c r="D2829">
        <v>5.5553999999999997</v>
      </c>
      <c r="E2829">
        <v>0.3415395</v>
      </c>
      <c r="F2829" t="s">
        <v>74</v>
      </c>
      <c r="G2829">
        <v>-432.67349999999999</v>
      </c>
      <c r="H2829" s="1">
        <v>3.4164500000000001E-6</v>
      </c>
      <c r="I2829">
        <v>214.45750000000001</v>
      </c>
      <c r="J2829">
        <v>-473.01549999999997</v>
      </c>
      <c r="K2829">
        <v>1.1114520000000001</v>
      </c>
      <c r="L2829">
        <v>214.67599999999999</v>
      </c>
      <c r="M2829">
        <v>0.94264610000000004</v>
      </c>
      <c r="N2829">
        <v>0</v>
      </c>
      <c r="O2829">
        <v>-0.33352389999999998</v>
      </c>
      <c r="P2829">
        <v>0.91961139999999997</v>
      </c>
      <c r="Q2829">
        <v>-4.8009620000000003E-2</v>
      </c>
      <c r="R2829">
        <v>-0.38988479999999998</v>
      </c>
      <c r="S2829">
        <v>3.2552490000000001</v>
      </c>
      <c r="T2829">
        <v>-8.9496729999999997E-2</v>
      </c>
      <c r="U2829">
        <v>-1.9592289999999998E-2</v>
      </c>
      <c r="V2829">
        <v>6.0915129999999998E-2</v>
      </c>
      <c r="W2829">
        <v>-3.4444490000000001E-2</v>
      </c>
      <c r="X2829">
        <v>0.99754849999999995</v>
      </c>
      <c r="Y2829">
        <v>-0.32762799999999997</v>
      </c>
      <c r="Z2829">
        <v>1.3533999999999999E-2</v>
      </c>
      <c r="AA2829">
        <v>0.94470980000000004</v>
      </c>
      <c r="AB2829">
        <v>10</v>
      </c>
      <c r="AC2829">
        <v>40.341999999999899</v>
      </c>
      <c r="AD2829">
        <v>-1.1114485835500001</v>
      </c>
      <c r="AE2829">
        <v>-0.21849999999997699</v>
      </c>
      <c r="AF2829">
        <v>-13.2401969663094</v>
      </c>
      <c r="AG2829">
        <v>-1.1114485835500001</v>
      </c>
      <c r="AH2829">
        <v>38.075636103305698</v>
      </c>
      <c r="AI2829">
        <v>91.579311203433406</v>
      </c>
      <c r="AJ2829">
        <v>109.174306130879</v>
      </c>
      <c r="AK2829">
        <v>40.327313304160299</v>
      </c>
      <c r="AL2829">
        <v>91.973914267241199</v>
      </c>
      <c r="AM2829">
        <v>86.505582089679294</v>
      </c>
      <c r="AN2829">
        <v>1.0000000429032601</v>
      </c>
    </row>
    <row r="2830" spans="1:40" x14ac:dyDescent="0.25">
      <c r="A2830" t="str">
        <f>"20190312161323447"</f>
        <v>20190312161323447</v>
      </c>
      <c r="B2830" t="str">
        <f>"1552378403439074"</f>
        <v>1552378403439074</v>
      </c>
      <c r="C2830" t="s">
        <v>40</v>
      </c>
      <c r="D2830">
        <v>5.3255109999999997</v>
      </c>
      <c r="E2830">
        <v>0.34178380000000003</v>
      </c>
      <c r="F2830" t="s">
        <v>74</v>
      </c>
      <c r="G2830">
        <v>-428.06659999999999</v>
      </c>
      <c r="H2830" s="1">
        <v>2.5387660000000001E-6</v>
      </c>
      <c r="I2830">
        <v>214.55869999999999</v>
      </c>
      <c r="J2830">
        <v>-472.92520000000002</v>
      </c>
      <c r="K2830">
        <v>1.111435</v>
      </c>
      <c r="L2830">
        <v>214.65</v>
      </c>
      <c r="M2830">
        <v>0.94421189999999999</v>
      </c>
      <c r="N2830">
        <v>0</v>
      </c>
      <c r="O2830">
        <v>-0.32906489999999999</v>
      </c>
      <c r="P2830">
        <v>0.9214987</v>
      </c>
      <c r="Q2830">
        <v>-4.7427619999999997E-2</v>
      </c>
      <c r="R2830">
        <v>-0.38547480000000001</v>
      </c>
      <c r="S2830">
        <v>3.2545169999999999</v>
      </c>
      <c r="T2830">
        <v>-8.0474260000000006E-2</v>
      </c>
      <c r="U2830">
        <v>-8.4991459999999904E-3</v>
      </c>
      <c r="V2830">
        <v>6.0838379999999997E-2</v>
      </c>
      <c r="W2830">
        <v>-3.3869259999999998E-2</v>
      </c>
      <c r="X2830">
        <v>0.99757280000000004</v>
      </c>
      <c r="Y2830">
        <v>-0.3264301</v>
      </c>
      <c r="Z2830">
        <v>1.2053990000000001E-2</v>
      </c>
      <c r="AA2830">
        <v>0.94514450000000005</v>
      </c>
      <c r="AB2830">
        <v>10</v>
      </c>
      <c r="AC2830">
        <v>44.858600000000003</v>
      </c>
      <c r="AD2830">
        <v>-1.1114324612340001</v>
      </c>
      <c r="AE2830">
        <v>-9.1300000000018103E-2</v>
      </c>
      <c r="AF2830">
        <v>-14.667502571397501</v>
      </c>
      <c r="AG2830">
        <v>-1.1114324612340001</v>
      </c>
      <c r="AH2830">
        <v>42.363880921905299</v>
      </c>
      <c r="AI2830">
        <v>91.420157982486401</v>
      </c>
      <c r="AJ2830">
        <v>109.097214512639</v>
      </c>
      <c r="AK2830">
        <v>44.844947547780798</v>
      </c>
      <c r="AL2830">
        <v>91.940936928655105</v>
      </c>
      <c r="AM2830">
        <v>86.510058795060999</v>
      </c>
      <c r="AN2830">
        <v>0.99999996327690499</v>
      </c>
    </row>
    <row r="2831" spans="1:40" x14ac:dyDescent="0.25">
      <c r="A2831" t="str">
        <f>"20190312161323562"</f>
        <v>20190312161323562</v>
      </c>
      <c r="B2831" t="str">
        <f>"1552378403558146"</f>
        <v>1552378403558146</v>
      </c>
      <c r="C2831" t="s">
        <v>40</v>
      </c>
      <c r="D2831">
        <v>5.1495030000000002</v>
      </c>
      <c r="E2831">
        <v>0.3432637</v>
      </c>
      <c r="F2831" t="s">
        <v>74</v>
      </c>
      <c r="G2831">
        <v>-428.60809999999998</v>
      </c>
      <c r="H2831" s="1">
        <v>2.428089E-6</v>
      </c>
      <c r="I2831">
        <v>214.7259</v>
      </c>
      <c r="J2831">
        <v>-472.47210000000001</v>
      </c>
      <c r="K2831">
        <v>1.111308</v>
      </c>
      <c r="L2831">
        <v>214.52600000000001</v>
      </c>
      <c r="M2831">
        <v>0.95159839999999996</v>
      </c>
      <c r="N2831">
        <v>0</v>
      </c>
      <c r="O2831">
        <v>-0.3070524</v>
      </c>
      <c r="P2831">
        <v>0.92777589999999999</v>
      </c>
      <c r="Q2831">
        <v>-4.9543400000000001E-2</v>
      </c>
      <c r="R2831">
        <v>-0.3698342</v>
      </c>
      <c r="S2831">
        <v>3.2537539999999998</v>
      </c>
      <c r="T2831">
        <v>-8.1601140000000003E-2</v>
      </c>
      <c r="U2831">
        <v>5.5694580000000002E-3</v>
      </c>
      <c r="V2831">
        <v>6.715583E-2</v>
      </c>
      <c r="W2831">
        <v>-3.6026199999999897E-2</v>
      </c>
      <c r="X2831">
        <v>0.99709190000000003</v>
      </c>
      <c r="Y2831">
        <v>-0.30851729999999999</v>
      </c>
      <c r="Z2831">
        <v>1.1473300000000001E-2</v>
      </c>
      <c r="AA2831">
        <v>0.95114949999999998</v>
      </c>
      <c r="AB2831">
        <v>9</v>
      </c>
      <c r="AC2831">
        <v>43.863999999999997</v>
      </c>
      <c r="AD2831">
        <v>-1.1113055719110001</v>
      </c>
      <c r="AE2831">
        <v>0.19990000000001301</v>
      </c>
      <c r="AF2831">
        <v>-13.651233522503899</v>
      </c>
      <c r="AG2831">
        <v>-1.1113055719110001</v>
      </c>
      <c r="AH2831">
        <v>41.656531963668101</v>
      </c>
      <c r="AI2831">
        <v>91.452208708325202</v>
      </c>
      <c r="AJ2831">
        <v>108.14445187652299</v>
      </c>
      <c r="AK2831">
        <v>43.850402871583697</v>
      </c>
      <c r="AL2831">
        <v>92.064595927051002</v>
      </c>
      <c r="AM2831">
        <v>86.146851358581998</v>
      </c>
      <c r="AN2831">
        <v>1.00000002481751</v>
      </c>
    </row>
    <row r="2832" spans="1:40" x14ac:dyDescent="0.25">
      <c r="A2832" t="str">
        <f>"20190312161323583"</f>
        <v>20190312161323583</v>
      </c>
      <c r="B2832" t="str">
        <f>"1552378403578642"</f>
        <v>1552378403578642</v>
      </c>
      <c r="C2832" t="s">
        <v>40</v>
      </c>
      <c r="D2832">
        <v>5.1930370000000003</v>
      </c>
      <c r="E2832">
        <v>0.34496670000000001</v>
      </c>
      <c r="F2832" t="s">
        <v>74</v>
      </c>
      <c r="G2832">
        <v>-428.37150000000003</v>
      </c>
      <c r="H2832" s="1">
        <v>2.429393E-6</v>
      </c>
      <c r="I2832">
        <v>215.191</v>
      </c>
      <c r="J2832">
        <v>-472.3879</v>
      </c>
      <c r="K2832">
        <v>1.111281</v>
      </c>
      <c r="L2832">
        <v>214.50409999999999</v>
      </c>
      <c r="M2832">
        <v>0.952878</v>
      </c>
      <c r="N2832">
        <v>0</v>
      </c>
      <c r="O2832">
        <v>-0.30305850000000001</v>
      </c>
      <c r="P2832">
        <v>0.92866389999999999</v>
      </c>
      <c r="Q2832">
        <v>-4.9750160000000002E-2</v>
      </c>
      <c r="R2832">
        <v>-0.36757050000000002</v>
      </c>
      <c r="S2832">
        <v>3.2486570000000001</v>
      </c>
      <c r="T2832">
        <v>-8.1863999999999895E-2</v>
      </c>
      <c r="U2832">
        <v>4.8980709999999997E-2</v>
      </c>
      <c r="V2832">
        <v>6.8906800000000004E-2</v>
      </c>
      <c r="W2832">
        <v>-3.6242179999999999E-2</v>
      </c>
      <c r="X2832">
        <v>0.99696459999999998</v>
      </c>
      <c r="Y2832">
        <v>-0.31722280000000003</v>
      </c>
      <c r="Z2832">
        <v>1.154434E-2</v>
      </c>
      <c r="AA2832">
        <v>0.94828080000000003</v>
      </c>
      <c r="AB2832">
        <v>9</v>
      </c>
      <c r="AC2832">
        <v>44.016399999999898</v>
      </c>
      <c r="AD2832">
        <v>-1.1112785706070001</v>
      </c>
      <c r="AE2832">
        <v>0.68689999999997997</v>
      </c>
      <c r="AF2832">
        <v>-13.9864162650781</v>
      </c>
      <c r="AG2832">
        <v>-1.1112785706070001</v>
      </c>
      <c r="AH2832">
        <v>41.7112447597288</v>
      </c>
      <c r="AI2832">
        <v>91.446979903237093</v>
      </c>
      <c r="AJ2832">
        <v>108.537087653486</v>
      </c>
      <c r="AK2832">
        <v>44.007757491237101</v>
      </c>
      <c r="AL2832">
        <v>92.076978748894405</v>
      </c>
      <c r="AM2832">
        <v>86.046198631614701</v>
      </c>
      <c r="AN2832">
        <v>1.0000000281752699</v>
      </c>
    </row>
    <row r="2833" spans="1:40" x14ac:dyDescent="0.25">
      <c r="A2833" t="str">
        <f>"20190312161323605"</f>
        <v>20190312161323605</v>
      </c>
      <c r="B2833" t="str">
        <f>"1552378403598162"</f>
        <v>1552378403598162</v>
      </c>
      <c r="C2833" t="s">
        <v>40</v>
      </c>
      <c r="D2833">
        <v>5.5054949999999998</v>
      </c>
      <c r="E2833">
        <v>0.34747840000000002</v>
      </c>
      <c r="F2833" t="s">
        <v>74</v>
      </c>
      <c r="G2833">
        <v>-427.8621</v>
      </c>
      <c r="H2833" s="1">
        <v>2.526741E-6</v>
      </c>
      <c r="I2833">
        <v>215.11109999999999</v>
      </c>
      <c r="J2833">
        <v>-472.29770000000002</v>
      </c>
      <c r="K2833">
        <v>1.111253</v>
      </c>
      <c r="L2833">
        <v>214.48099999999999</v>
      </c>
      <c r="M2833">
        <v>0.95421369999999905</v>
      </c>
      <c r="N2833">
        <v>0</v>
      </c>
      <c r="O2833">
        <v>-0.29882710000000001</v>
      </c>
      <c r="P2833">
        <v>0.93010210000000004</v>
      </c>
      <c r="Q2833">
        <v>-4.9084120000000002E-2</v>
      </c>
      <c r="R2833">
        <v>-0.36400719999999998</v>
      </c>
      <c r="S2833">
        <v>3.243652</v>
      </c>
      <c r="T2833">
        <v>-8.0955269999999996E-2</v>
      </c>
      <c r="U2833">
        <v>4.4219969999999997E-2</v>
      </c>
      <c r="V2833">
        <v>6.9493230000000003E-2</v>
      </c>
      <c r="W2833">
        <v>-3.5588710000000003E-2</v>
      </c>
      <c r="X2833">
        <v>0.99694740000000004</v>
      </c>
      <c r="Y2833">
        <v>-0.31164649999999999</v>
      </c>
      <c r="Z2833">
        <v>1.126215E-2</v>
      </c>
      <c r="AA2833">
        <v>0.95013139999999996</v>
      </c>
      <c r="AB2833">
        <v>9</v>
      </c>
      <c r="AC2833">
        <v>44.435600000000001</v>
      </c>
      <c r="AD2833">
        <v>-1.1112504732590001</v>
      </c>
      <c r="AE2833">
        <v>0.630099999999998</v>
      </c>
      <c r="AF2833">
        <v>-13.872376905684</v>
      </c>
      <c r="AG2833">
        <v>-1.1112504732590001</v>
      </c>
      <c r="AH2833">
        <v>42.190156335701502</v>
      </c>
      <c r="AI2833">
        <v>91.433312036180993</v>
      </c>
      <c r="AJ2833">
        <v>108.201175667016</v>
      </c>
      <c r="AK2833">
        <v>44.426197341868097</v>
      </c>
      <c r="AL2833">
        <v>92.0395135790327</v>
      </c>
      <c r="AM2833">
        <v>86.012589392129001</v>
      </c>
      <c r="AN2833">
        <v>0.99999999183102795</v>
      </c>
    </row>
    <row r="2834" spans="1:40" x14ac:dyDescent="0.25">
      <c r="A2834" t="str">
        <f>"20190312161323626"</f>
        <v>20190312161323626</v>
      </c>
      <c r="B2834" t="str">
        <f>"1552378403618658"</f>
        <v>1552378403618658</v>
      </c>
      <c r="C2834" t="s">
        <v>40</v>
      </c>
      <c r="D2834">
        <v>5.5550519999999999</v>
      </c>
      <c r="E2834">
        <v>0.35007460000000001</v>
      </c>
      <c r="F2834" t="s">
        <v>74</v>
      </c>
      <c r="G2834">
        <v>-426.435</v>
      </c>
      <c r="H2834" s="1">
        <v>2.7882339999999999E-6</v>
      </c>
      <c r="I2834">
        <v>215.0155</v>
      </c>
      <c r="J2834">
        <v>-472.21539999999999</v>
      </c>
      <c r="K2834">
        <v>1.111226</v>
      </c>
      <c r="L2834">
        <v>214.46010000000001</v>
      </c>
      <c r="M2834">
        <v>0.95540099999999994</v>
      </c>
      <c r="N2834">
        <v>0</v>
      </c>
      <c r="O2834">
        <v>-0.29500929999999997</v>
      </c>
      <c r="P2834">
        <v>0.93141980000000002</v>
      </c>
      <c r="Q2834">
        <v>-4.8672689999999998E-2</v>
      </c>
      <c r="R2834">
        <v>-0.36067779999999999</v>
      </c>
      <c r="S2834">
        <v>3.2361149999999999</v>
      </c>
      <c r="T2834">
        <v>-7.8410859999999999E-2</v>
      </c>
      <c r="U2834">
        <v>3.771973E-2</v>
      </c>
      <c r="V2834">
        <v>6.9903129999999994E-2</v>
      </c>
      <c r="W2834">
        <v>-3.5189890000000001E-2</v>
      </c>
      <c r="X2834">
        <v>0.99693290000000001</v>
      </c>
      <c r="Y2834">
        <v>-0.30597729999999901</v>
      </c>
      <c r="Z2834">
        <v>1.077535E-2</v>
      </c>
      <c r="AA2834">
        <v>0.95197779999999999</v>
      </c>
      <c r="AB2834">
        <v>9</v>
      </c>
      <c r="AC2834">
        <v>45.780399999999901</v>
      </c>
      <c r="AD2834">
        <v>-1.1112232117659999</v>
      </c>
      <c r="AE2834">
        <v>0.55539999999999101</v>
      </c>
      <c r="AF2834">
        <v>-14.0292615146173</v>
      </c>
      <c r="AG2834">
        <v>-1.1112232117659999</v>
      </c>
      <c r="AH2834">
        <v>43.553023559259103</v>
      </c>
      <c r="AI2834">
        <v>91.391178318456497</v>
      </c>
      <c r="AJ2834">
        <v>107.854742108175</v>
      </c>
      <c r="AK2834">
        <v>45.770305404544402</v>
      </c>
      <c r="AL2834">
        <v>92.016648553937102</v>
      </c>
      <c r="AM2834">
        <v>85.989088375148796</v>
      </c>
      <c r="AN2834">
        <v>0.99999999152220898</v>
      </c>
    </row>
    <row r="2835" spans="1:40" x14ac:dyDescent="0.25">
      <c r="A2835" t="str">
        <f>"20190312161323649"</f>
        <v>20190312161323649</v>
      </c>
      <c r="B2835" t="str">
        <f>"1552378403638178"</f>
        <v>1552378403638178</v>
      </c>
      <c r="C2835" t="s">
        <v>40</v>
      </c>
      <c r="D2835">
        <v>9.1736869999999993</v>
      </c>
      <c r="E2835">
        <v>0.3521936</v>
      </c>
      <c r="F2835" t="s">
        <v>74</v>
      </c>
      <c r="G2835">
        <v>-426.56200000000001</v>
      </c>
      <c r="H2835" s="1">
        <v>2.7770210000000002E-6</v>
      </c>
      <c r="I2835">
        <v>214.8861</v>
      </c>
      <c r="J2835">
        <v>-472.12580000000003</v>
      </c>
      <c r="K2835">
        <v>1.1111960000000001</v>
      </c>
      <c r="L2835">
        <v>214.43780000000001</v>
      </c>
      <c r="M2835">
        <v>0.95665770000000006</v>
      </c>
      <c r="N2835">
        <v>0</v>
      </c>
      <c r="O2835">
        <v>-0.29090899999999997</v>
      </c>
      <c r="P2835">
        <v>0.93272969999999999</v>
      </c>
      <c r="Q2835">
        <v>-4.866061E-2</v>
      </c>
      <c r="R2835">
        <v>-0.3572784</v>
      </c>
      <c r="S2835">
        <v>3.2284549999999999</v>
      </c>
      <c r="T2835">
        <v>-7.8582050000000001E-2</v>
      </c>
      <c r="U2835">
        <v>3.0120850000000001E-2</v>
      </c>
      <c r="V2835">
        <v>7.0539749999999998E-2</v>
      </c>
      <c r="W2835">
        <v>-3.5191890000000003E-2</v>
      </c>
      <c r="X2835">
        <v>0.996888</v>
      </c>
      <c r="Y2835">
        <v>-0.29967500000000002</v>
      </c>
      <c r="Z2835">
        <v>1.065091E-2</v>
      </c>
      <c r="AA2835">
        <v>0.95398190000000005</v>
      </c>
      <c r="AB2835">
        <v>9</v>
      </c>
      <c r="AC2835">
        <v>45.563800000000001</v>
      </c>
      <c r="AD2835">
        <v>-1.11119322297899</v>
      </c>
      <c r="AE2835">
        <v>0.44829999999998799</v>
      </c>
      <c r="AF2835">
        <v>-13.676873528518</v>
      </c>
      <c r="AG2835">
        <v>-1.11119322297899</v>
      </c>
      <c r="AH2835">
        <v>43.436582211616901</v>
      </c>
      <c r="AI2835">
        <v>91.397794366140303</v>
      </c>
      <c r="AJ2835">
        <v>107.477647242131</v>
      </c>
      <c r="AK2835">
        <v>45.552478462981902</v>
      </c>
      <c r="AL2835">
        <v>92.016763189329495</v>
      </c>
      <c r="AM2835">
        <v>85.952499464727296</v>
      </c>
      <c r="AN2835">
        <v>1.0000000049979101</v>
      </c>
    </row>
    <row r="2836" spans="1:40" x14ac:dyDescent="0.25">
      <c r="A2836" t="str">
        <f>"20190312161323672"</f>
        <v>20190312161323672</v>
      </c>
      <c r="B2836" t="str">
        <f>"1552378403668434"</f>
        <v>1552378403668434</v>
      </c>
      <c r="C2836" t="s">
        <v>40</v>
      </c>
      <c r="D2836">
        <v>5.5527989999999896</v>
      </c>
      <c r="E2836">
        <v>0.35476229999999997</v>
      </c>
      <c r="F2836" t="s">
        <v>74</v>
      </c>
      <c r="G2836">
        <v>-425.6232</v>
      </c>
      <c r="H2836" s="1">
        <v>2.9498379999999999E-6</v>
      </c>
      <c r="I2836">
        <v>214.8141</v>
      </c>
      <c r="J2836">
        <v>-472.03359999999998</v>
      </c>
      <c r="K2836">
        <v>1.111159</v>
      </c>
      <c r="L2836">
        <v>214.4152</v>
      </c>
      <c r="M2836">
        <v>0.95791230000000005</v>
      </c>
      <c r="N2836">
        <v>0</v>
      </c>
      <c r="O2836">
        <v>-0.28675070000000003</v>
      </c>
      <c r="P2836">
        <v>0.93407470000000004</v>
      </c>
      <c r="Q2836">
        <v>-4.8735130000000002E-2</v>
      </c>
      <c r="R2836">
        <v>-0.3537361</v>
      </c>
      <c r="S2836">
        <v>3.2223510000000002</v>
      </c>
      <c r="T2836">
        <v>-7.6999070000000003E-2</v>
      </c>
      <c r="U2836">
        <v>2.607727E-2</v>
      </c>
      <c r="V2836">
        <v>7.108544E-2</v>
      </c>
      <c r="W2836">
        <v>-3.5281340000000001E-2</v>
      </c>
      <c r="X2836">
        <v>0.99684609999999996</v>
      </c>
      <c r="Y2836">
        <v>-0.29435509999999998</v>
      </c>
      <c r="Z2836">
        <v>1.02963E-2</v>
      </c>
      <c r="AA2836">
        <v>0.95564070000000001</v>
      </c>
      <c r="AB2836">
        <v>9</v>
      </c>
      <c r="AC2836">
        <v>46.410399999999903</v>
      </c>
      <c r="AD2836">
        <v>-1.1111560501619999</v>
      </c>
      <c r="AE2836">
        <v>0.39889999999999698</v>
      </c>
      <c r="AF2836">
        <v>-13.683701768177601</v>
      </c>
      <c r="AG2836">
        <v>-1.1111560501619999</v>
      </c>
      <c r="AH2836">
        <v>44.321252703139002</v>
      </c>
      <c r="AI2836">
        <v>91.372246527488301</v>
      </c>
      <c r="AJ2836">
        <v>107.157500191225</v>
      </c>
      <c r="AK2836">
        <v>46.398834069659003</v>
      </c>
      <c r="AL2836">
        <v>92.021891431076696</v>
      </c>
      <c r="AM2836">
        <v>85.921122726984393</v>
      </c>
      <c r="AN2836">
        <v>1.00000002990869</v>
      </c>
    </row>
    <row r="2837" spans="1:40" x14ac:dyDescent="0.25">
      <c r="A2837" t="str">
        <f>"20190312161323696"</f>
        <v>20190312161323696</v>
      </c>
      <c r="B2837" t="str">
        <f>"1552378403688930"</f>
        <v>1552378403688930</v>
      </c>
      <c r="C2837" t="s">
        <v>40</v>
      </c>
      <c r="D2837">
        <v>5.5704859999999998</v>
      </c>
      <c r="E2837">
        <v>0.35631000000000002</v>
      </c>
      <c r="F2837" t="s">
        <v>74</v>
      </c>
      <c r="G2837">
        <v>-424.8535</v>
      </c>
      <c r="H2837" s="1">
        <v>3.0968339999999998E-6</v>
      </c>
      <c r="I2837">
        <v>214.69450000000001</v>
      </c>
      <c r="J2837">
        <v>-471.94080000000002</v>
      </c>
      <c r="K2837">
        <v>1.1111359999999999</v>
      </c>
      <c r="L2837">
        <v>214.39279999999999</v>
      </c>
      <c r="M2837">
        <v>0.95914010000000005</v>
      </c>
      <c r="N2837">
        <v>0</v>
      </c>
      <c r="O2837">
        <v>-0.28261740000000002</v>
      </c>
      <c r="P2837">
        <v>0.93563759999999996</v>
      </c>
      <c r="Q2837">
        <v>-4.799639E-2</v>
      </c>
      <c r="R2837">
        <v>-0.3496842</v>
      </c>
      <c r="S2837">
        <v>3.2149960000000002</v>
      </c>
      <c r="T2837">
        <v>-7.5717690000000004E-2</v>
      </c>
      <c r="U2837">
        <v>1.902771E-2</v>
      </c>
      <c r="V2837">
        <v>7.1048600000000003E-2</v>
      </c>
      <c r="W2837">
        <v>-3.4556070000000001E-2</v>
      </c>
      <c r="X2837">
        <v>0.99687409999999999</v>
      </c>
      <c r="Y2837">
        <v>-0.28815790000000002</v>
      </c>
      <c r="Z2837">
        <v>9.9805320000000003E-3</v>
      </c>
      <c r="AA2837">
        <v>0.95753089999999996</v>
      </c>
      <c r="AB2837">
        <v>9</v>
      </c>
      <c r="AC2837">
        <v>47.087299999999999</v>
      </c>
      <c r="AD2837">
        <v>-1.111132903166</v>
      </c>
      <c r="AE2837">
        <v>0.30170000000001002</v>
      </c>
      <c r="AF2837">
        <v>-13.590703516635299</v>
      </c>
      <c r="AG2837">
        <v>-1.111132903166</v>
      </c>
      <c r="AH2837">
        <v>45.056968942152103</v>
      </c>
      <c r="AI2837">
        <v>91.352499187821493</v>
      </c>
      <c r="AJ2837">
        <v>106.785084713068</v>
      </c>
      <c r="AK2837">
        <v>47.075176990210402</v>
      </c>
      <c r="AL2837">
        <v>91.980311226359802</v>
      </c>
      <c r="AM2837">
        <v>85.923343595574096</v>
      </c>
      <c r="AN2837">
        <v>0.999999998393307</v>
      </c>
    </row>
    <row r="2838" spans="1:40" x14ac:dyDescent="0.25">
      <c r="A2838" t="str">
        <f>"20190312161323719"</f>
        <v>20190312161323719</v>
      </c>
      <c r="B2838" t="str">
        <f>"1552378403708449"</f>
        <v>1552378403708449</v>
      </c>
      <c r="C2838" t="s">
        <v>40</v>
      </c>
      <c r="D2838">
        <v>5.6048850000000003</v>
      </c>
      <c r="E2838">
        <v>0.35778019999999999</v>
      </c>
      <c r="F2838" t="s">
        <v>74</v>
      </c>
      <c r="G2838">
        <v>-423.64319999999998</v>
      </c>
      <c r="H2838" s="1">
        <v>3.31001999999999E-6</v>
      </c>
      <c r="I2838">
        <v>214.71170000000001</v>
      </c>
      <c r="J2838">
        <v>-471.85120000000001</v>
      </c>
      <c r="K2838">
        <v>1.1111180000000001</v>
      </c>
      <c r="L2838">
        <v>214.3715</v>
      </c>
      <c r="M2838">
        <v>0.96029410000000004</v>
      </c>
      <c r="N2838">
        <v>0</v>
      </c>
      <c r="O2838">
        <v>-0.27867140000000001</v>
      </c>
      <c r="P2838">
        <v>0.93727689999999997</v>
      </c>
      <c r="Q2838">
        <v>-4.7263380000000001E-2</v>
      </c>
      <c r="R2838">
        <v>-0.34536670000000003</v>
      </c>
      <c r="S2838">
        <v>3.2105410000000001</v>
      </c>
      <c r="T2838">
        <v>-7.3861599999999999E-2</v>
      </c>
      <c r="U2838">
        <v>2.1194459999999998E-2</v>
      </c>
      <c r="V2838">
        <v>7.053827E-2</v>
      </c>
      <c r="W2838">
        <v>-3.3835049999999998E-2</v>
      </c>
      <c r="X2838">
        <v>0.99693509999999996</v>
      </c>
      <c r="Y2838">
        <v>-0.28488219999999997</v>
      </c>
      <c r="Z2838">
        <v>9.6239670000000006E-3</v>
      </c>
      <c r="AA2838">
        <v>0.95851419999999998</v>
      </c>
      <c r="AB2838">
        <v>9</v>
      </c>
      <c r="AC2838">
        <v>48.207999999999998</v>
      </c>
      <c r="AD2838">
        <v>-1.11111468998</v>
      </c>
      <c r="AE2838">
        <v>0.34020000000000999</v>
      </c>
      <c r="AF2838">
        <v>-13.7547977460311</v>
      </c>
      <c r="AG2838">
        <v>-1.11111468998</v>
      </c>
      <c r="AH2838">
        <v>46.178624420007303</v>
      </c>
      <c r="AI2838">
        <v>91.321007449342204</v>
      </c>
      <c r="AJ2838">
        <v>106.586726362139</v>
      </c>
      <c r="AK2838">
        <v>48.196414702886401</v>
      </c>
      <c r="AL2838">
        <v>91.938975594472197</v>
      </c>
      <c r="AM2838">
        <v>85.952774687319604</v>
      </c>
      <c r="AN2838">
        <v>1.0000000258775501</v>
      </c>
    </row>
    <row r="2839" spans="1:40" x14ac:dyDescent="0.25">
      <c r="A2839" t="str">
        <f>"20190312161323740"</f>
        <v>20190312161323740</v>
      </c>
      <c r="B2839" t="str">
        <f>"1552378403728946"</f>
        <v>1552378403728946</v>
      </c>
      <c r="C2839" t="s">
        <v>40</v>
      </c>
      <c r="D2839">
        <v>5.5918460000000003</v>
      </c>
      <c r="E2839">
        <v>0.38232929999999998</v>
      </c>
      <c r="F2839" t="s">
        <v>74</v>
      </c>
      <c r="G2839">
        <v>-423.36340000000001</v>
      </c>
      <c r="H2839" s="1">
        <v>3.3558799999999998E-6</v>
      </c>
      <c r="I2839">
        <v>214.75479999999999</v>
      </c>
      <c r="J2839">
        <v>-471.76819999999998</v>
      </c>
      <c r="K2839">
        <v>1.1111009999999999</v>
      </c>
      <c r="L2839">
        <v>214.35210000000001</v>
      </c>
      <c r="M2839">
        <v>0.96133469999999999</v>
      </c>
      <c r="N2839">
        <v>0</v>
      </c>
      <c r="O2839">
        <v>-0.27506019999999998</v>
      </c>
      <c r="P2839">
        <v>0.93857809999999997</v>
      </c>
      <c r="Q2839">
        <v>-4.7496900000000002E-2</v>
      </c>
      <c r="R2839">
        <v>-0.34178209999999998</v>
      </c>
      <c r="S2839">
        <v>3.2064210000000002</v>
      </c>
      <c r="T2839">
        <v>-7.3476310000000003E-2</v>
      </c>
      <c r="U2839">
        <v>2.5344849999999999E-2</v>
      </c>
      <c r="V2839">
        <v>7.0477730000000002E-2</v>
      </c>
      <c r="W2839">
        <v>-3.4079030000000003E-2</v>
      </c>
      <c r="X2839">
        <v>0.99693100000000001</v>
      </c>
      <c r="Y2839">
        <v>-0.28253020000000001</v>
      </c>
      <c r="Z2839">
        <v>9.4791240000000002E-3</v>
      </c>
      <c r="AA2839">
        <v>0.95921160000000005</v>
      </c>
      <c r="AB2839">
        <v>9</v>
      </c>
      <c r="AC2839">
        <v>48.404799999999902</v>
      </c>
      <c r="AD2839">
        <v>-1.11109764412</v>
      </c>
      <c r="AE2839">
        <v>0.40269999999998102</v>
      </c>
      <c r="AF2839">
        <v>-13.6953639022573</v>
      </c>
      <c r="AG2839">
        <v>-1.11109764412</v>
      </c>
      <c r="AH2839">
        <v>46.402119691795903</v>
      </c>
      <c r="AI2839">
        <v>91.315599862685502</v>
      </c>
      <c r="AJ2839">
        <v>106.443713382231</v>
      </c>
      <c r="AK2839">
        <v>48.393741767730397</v>
      </c>
      <c r="AL2839">
        <v>91.952962823867495</v>
      </c>
      <c r="AM2839">
        <v>85.9562201453098</v>
      </c>
      <c r="AN2839">
        <v>0.99999995473634595</v>
      </c>
    </row>
    <row r="2840" spans="1:40" x14ac:dyDescent="0.25">
      <c r="A2840" t="str">
        <f>"20190312161323762"</f>
        <v>20190312161323762</v>
      </c>
      <c r="B2840" t="str">
        <f>"1552378403758225"</f>
        <v>1552378403758225</v>
      </c>
      <c r="C2840" t="s">
        <v>40</v>
      </c>
      <c r="D2840">
        <v>5.6317700000000004</v>
      </c>
      <c r="E2840">
        <v>0.38508809999999999</v>
      </c>
      <c r="F2840" t="s">
        <v>74</v>
      </c>
      <c r="G2840">
        <v>-434.68189999999998</v>
      </c>
      <c r="H2840" s="1">
        <v>4.4663559999999998E-6</v>
      </c>
      <c r="I2840">
        <v>212.63570000000001</v>
      </c>
      <c r="J2840">
        <v>-471.68389999999999</v>
      </c>
      <c r="K2840">
        <v>1.1110930000000001</v>
      </c>
      <c r="L2840">
        <v>214.33260000000001</v>
      </c>
      <c r="M2840">
        <v>0.96236529999999998</v>
      </c>
      <c r="N2840">
        <v>0</v>
      </c>
      <c r="O2840">
        <v>-0.27143309999999998</v>
      </c>
      <c r="P2840">
        <v>0.93983550000000005</v>
      </c>
      <c r="Q2840">
        <v>-4.7670320000000002E-2</v>
      </c>
      <c r="R2840">
        <v>-0.33828530000000001</v>
      </c>
      <c r="S2840">
        <v>3.1386720000000001</v>
      </c>
      <c r="T2840">
        <v>-9.4033720000000001E-2</v>
      </c>
      <c r="U2840">
        <v>-0.1452637</v>
      </c>
      <c r="V2840">
        <v>7.052667E-2</v>
      </c>
      <c r="W2840">
        <v>-3.4262910000000001E-2</v>
      </c>
      <c r="X2840">
        <v>0.99692130000000001</v>
      </c>
      <c r="Y2840">
        <v>-0.2264505</v>
      </c>
      <c r="Z2840">
        <v>1.142576E-2</v>
      </c>
      <c r="AA2840">
        <v>0.97395560000000003</v>
      </c>
      <c r="AB2840">
        <v>9</v>
      </c>
      <c r="AC2840">
        <v>37.002000000000002</v>
      </c>
      <c r="AD2840">
        <v>-1.111088533644</v>
      </c>
      <c r="AE2840">
        <v>-1.6968999999999901</v>
      </c>
      <c r="AF2840">
        <v>-8.4037132850433593</v>
      </c>
      <c r="AG2840">
        <v>-1.111088533644</v>
      </c>
      <c r="AH2840">
        <v>36.0408014554258</v>
      </c>
      <c r="AI2840">
        <v>91.719689528901199</v>
      </c>
      <c r="AJ2840">
        <v>103.125266908716</v>
      </c>
      <c r="AK2840">
        <v>37.0242661541891</v>
      </c>
      <c r="AL2840">
        <v>91.963504403799007</v>
      </c>
      <c r="AM2840">
        <v>85.953382212335896</v>
      </c>
      <c r="AN2840">
        <v>1.00000001828832</v>
      </c>
    </row>
    <row r="2841" spans="1:40" x14ac:dyDescent="0.25">
      <c r="A2841" t="str">
        <f>"20190312161323786"</f>
        <v>20190312161323786</v>
      </c>
      <c r="B2841" t="str">
        <f>"1552378403778722"</f>
        <v>1552378403778722</v>
      </c>
      <c r="C2841" t="s">
        <v>40</v>
      </c>
      <c r="D2841">
        <v>5.6400779999999999</v>
      </c>
      <c r="E2841">
        <v>0.3861812</v>
      </c>
      <c r="F2841" t="s">
        <v>74</v>
      </c>
      <c r="G2841">
        <v>-439.44139999999999</v>
      </c>
      <c r="H2841" s="1">
        <v>6.5665139999999997E-6</v>
      </c>
      <c r="I2841">
        <v>212.75569999999999</v>
      </c>
      <c r="J2841">
        <v>-471.58819999999997</v>
      </c>
      <c r="K2841">
        <v>1.111067</v>
      </c>
      <c r="L2841">
        <v>214.3108</v>
      </c>
      <c r="M2841">
        <v>0.96350119999999895</v>
      </c>
      <c r="N2841">
        <v>0</v>
      </c>
      <c r="O2841">
        <v>-0.26737379999999999</v>
      </c>
      <c r="P2841">
        <v>0.94140829999999998</v>
      </c>
      <c r="Q2841">
        <v>-4.7072009999999997E-2</v>
      </c>
      <c r="R2841">
        <v>-0.33396880000000001</v>
      </c>
      <c r="S2841">
        <v>3.1314389999999999</v>
      </c>
      <c r="T2841">
        <v>-0.1079104</v>
      </c>
      <c r="U2841">
        <v>-0.1531525</v>
      </c>
      <c r="V2841">
        <v>7.0143479999999994E-2</v>
      </c>
      <c r="W2841">
        <v>-3.3677110000000003E-2</v>
      </c>
      <c r="X2841">
        <v>0.99696830000000003</v>
      </c>
      <c r="Y2841">
        <v>-0.2197228</v>
      </c>
      <c r="Z2841">
        <v>1.2888480000000001E-2</v>
      </c>
      <c r="AA2841">
        <v>0.97547720000000004</v>
      </c>
      <c r="AB2841">
        <v>9</v>
      </c>
      <c r="AC2841">
        <v>32.146799999999899</v>
      </c>
      <c r="AD2841">
        <v>-1.1110604334859999</v>
      </c>
      <c r="AE2841">
        <v>-1.5551000000000099</v>
      </c>
      <c r="AF2841">
        <v>-7.0890500418730698</v>
      </c>
      <c r="AG2841">
        <v>-1.1110604334859999</v>
      </c>
      <c r="AH2841">
        <v>31.3546799004482</v>
      </c>
      <c r="AI2841">
        <v>91.979517849191794</v>
      </c>
      <c r="AJ2841">
        <v>102.739935189546</v>
      </c>
      <c r="AK2841">
        <v>32.165276890501197</v>
      </c>
      <c r="AL2841">
        <v>91.929921144008603</v>
      </c>
      <c r="AM2841">
        <v>85.975485217637896</v>
      </c>
      <c r="AN2841">
        <v>1.00000002336467</v>
      </c>
    </row>
    <row r="2842" spans="1:40" x14ac:dyDescent="0.25">
      <c r="A2842" t="str">
        <f>"20190312161323806"</f>
        <v>20190312161323806</v>
      </c>
      <c r="B2842" t="str">
        <f>"1552378403798241"</f>
        <v>1552378403798241</v>
      </c>
      <c r="C2842" t="s">
        <v>40</v>
      </c>
      <c r="D2842">
        <v>5.6546130000000003</v>
      </c>
      <c r="E2842">
        <v>0.38738699999999998</v>
      </c>
      <c r="F2842" t="s">
        <v>69</v>
      </c>
      <c r="G2842">
        <v>-442.04079999999999</v>
      </c>
      <c r="H2842" s="1">
        <v>-3.7713819999999998E-7</v>
      </c>
      <c r="I2842">
        <v>212.93219999999999</v>
      </c>
      <c r="J2842">
        <v>-471.51229999999998</v>
      </c>
      <c r="K2842">
        <v>1.1110409999999999</v>
      </c>
      <c r="L2842">
        <v>214.29390000000001</v>
      </c>
      <c r="M2842">
        <v>0.96437510000000004</v>
      </c>
      <c r="N2842">
        <v>0</v>
      </c>
      <c r="O2842">
        <v>-0.26420470000000001</v>
      </c>
      <c r="P2842">
        <v>0.94251969999999996</v>
      </c>
      <c r="Q2842">
        <v>-4.7216559999999998E-2</v>
      </c>
      <c r="R2842">
        <v>-0.33079809999999998</v>
      </c>
      <c r="S2842">
        <v>3.1290589999999998</v>
      </c>
      <c r="T2842">
        <v>-0.117662</v>
      </c>
      <c r="U2842">
        <v>-0.14599609999999999</v>
      </c>
      <c r="V2842">
        <v>7.0066180000000006E-2</v>
      </c>
      <c r="W2842">
        <v>-3.3832180000000003E-2</v>
      </c>
      <c r="X2842">
        <v>0.99696839999999998</v>
      </c>
      <c r="Y2842">
        <v>-0.21865380000000001</v>
      </c>
      <c r="Z2842">
        <v>1.392914E-2</v>
      </c>
      <c r="AA2842">
        <v>0.97570310000000005</v>
      </c>
      <c r="AB2842">
        <v>9</v>
      </c>
      <c r="AC2842">
        <v>29.471499999999899</v>
      </c>
      <c r="AD2842">
        <v>-1.1110413771381999</v>
      </c>
      <c r="AE2842">
        <v>-1.3617000000000099</v>
      </c>
      <c r="AF2842">
        <v>-6.4647226193515399</v>
      </c>
      <c r="AG2842">
        <v>-1.1110413771381999</v>
      </c>
      <c r="AH2842">
        <v>28.743126424228301</v>
      </c>
      <c r="AI2842">
        <v>92.159719071556097</v>
      </c>
      <c r="AJ2842">
        <v>102.67567648047</v>
      </c>
      <c r="AK2842">
        <v>29.4821025051817</v>
      </c>
      <c r="AL2842">
        <v>91.938811231269398</v>
      </c>
      <c r="AM2842">
        <v>85.979906193351795</v>
      </c>
      <c r="AN2842">
        <v>0.99999993829095002</v>
      </c>
    </row>
    <row r="2843" spans="1:40" x14ac:dyDescent="0.25">
      <c r="A2843" t="str">
        <f>"20190312161323828"</f>
        <v>20190312161323828</v>
      </c>
      <c r="B2843" t="str">
        <f>"1552378403818738"</f>
        <v>1552378403818738</v>
      </c>
      <c r="C2843" t="s">
        <v>40</v>
      </c>
      <c r="D2843">
        <v>5.5863329999999998</v>
      </c>
      <c r="E2843">
        <v>0.3885265</v>
      </c>
      <c r="F2843" t="s">
        <v>69</v>
      </c>
      <c r="G2843">
        <v>-442.23489999999998</v>
      </c>
      <c r="H2843" s="1">
        <v>-2.7425140000000001E-7</v>
      </c>
      <c r="I2843">
        <v>212.94120000000001</v>
      </c>
      <c r="J2843">
        <v>-471.4248</v>
      </c>
      <c r="K2843">
        <v>1.1110100000000001</v>
      </c>
      <c r="L2843">
        <v>214.27449999999999</v>
      </c>
      <c r="M2843">
        <v>0.96535700000000002</v>
      </c>
      <c r="N2843">
        <v>0</v>
      </c>
      <c r="O2843">
        <v>-0.26059450000000001</v>
      </c>
      <c r="P2843">
        <v>0.94375940000000003</v>
      </c>
      <c r="Q2843">
        <v>-4.7585549999999997E-2</v>
      </c>
      <c r="R2843">
        <v>-0.32719090000000001</v>
      </c>
      <c r="S2843">
        <v>3.126312</v>
      </c>
      <c r="T2843">
        <v>-0.1186397</v>
      </c>
      <c r="U2843">
        <v>-0.1444397</v>
      </c>
      <c r="V2843">
        <v>6.9987010000000002E-2</v>
      </c>
      <c r="W2843">
        <v>-3.4213920000000002E-2</v>
      </c>
      <c r="X2843">
        <v>0.99696099999999999</v>
      </c>
      <c r="Y2843">
        <v>-0.215445</v>
      </c>
      <c r="Z2843">
        <v>1.386387E-2</v>
      </c>
      <c r="AA2843">
        <v>0.97641750000000005</v>
      </c>
      <c r="AB2843">
        <v>9</v>
      </c>
      <c r="AC2843">
        <v>29.189900000000002</v>
      </c>
      <c r="AD2843">
        <v>-1.1110102742513901</v>
      </c>
      <c r="AE2843">
        <v>-1.3332999999999799</v>
      </c>
      <c r="AF2843">
        <v>-6.3110506483633699</v>
      </c>
      <c r="AG2843">
        <v>-1.1110102742513901</v>
      </c>
      <c r="AH2843">
        <v>28.487457695878199</v>
      </c>
      <c r="AI2843">
        <v>92.180585689392004</v>
      </c>
      <c r="AJ2843">
        <v>102.49143690596701</v>
      </c>
      <c r="AK2843">
        <v>29.1992970821242</v>
      </c>
      <c r="AL2843">
        <v>91.960695863572795</v>
      </c>
      <c r="AM2843">
        <v>85.984404048278805</v>
      </c>
      <c r="AN2843">
        <v>1.00000000470575</v>
      </c>
    </row>
    <row r="2844" spans="1:40" x14ac:dyDescent="0.25">
      <c r="A2844" t="str">
        <f>"20190312161323850"</f>
        <v>20190312161323850</v>
      </c>
      <c r="B2844" t="str">
        <f>"1552378403838257"</f>
        <v>1552378403838257</v>
      </c>
      <c r="C2844" t="s">
        <v>40</v>
      </c>
      <c r="D2844">
        <v>5.5674720000000004</v>
      </c>
      <c r="E2844">
        <v>0.38907340000000001</v>
      </c>
      <c r="F2844" t="s">
        <v>69</v>
      </c>
      <c r="G2844">
        <v>-443.6198</v>
      </c>
      <c r="H2844" s="1">
        <v>4.5919869999999998E-7</v>
      </c>
      <c r="I2844">
        <v>213.02180000000001</v>
      </c>
      <c r="J2844">
        <v>-471.33690000000001</v>
      </c>
      <c r="K2844">
        <v>1.110981</v>
      </c>
      <c r="L2844">
        <v>214.25530000000001</v>
      </c>
      <c r="M2844">
        <v>0.96631100000000003</v>
      </c>
      <c r="N2844">
        <v>0</v>
      </c>
      <c r="O2844">
        <v>-0.25703500000000001</v>
      </c>
      <c r="P2844">
        <v>0.94499789999999995</v>
      </c>
      <c r="Q2844">
        <v>-4.815792E-2</v>
      </c>
      <c r="R2844">
        <v>-0.32351249999999998</v>
      </c>
      <c r="S2844">
        <v>3.1236570000000001</v>
      </c>
      <c r="T2844">
        <v>-0.1248126</v>
      </c>
      <c r="U2844">
        <v>-0.14073179999999999</v>
      </c>
      <c r="V2844">
        <v>6.9784159999999998E-2</v>
      </c>
      <c r="W2844">
        <v>-3.4799400000000001E-2</v>
      </c>
      <c r="X2844">
        <v>0.99695500000000004</v>
      </c>
      <c r="Y2844">
        <v>-0.21293200000000001</v>
      </c>
      <c r="Z2844">
        <v>1.4409730000000001E-2</v>
      </c>
      <c r="AA2844">
        <v>0.97696079999999996</v>
      </c>
      <c r="AB2844">
        <v>9</v>
      </c>
      <c r="AC2844">
        <v>27.717099999999999</v>
      </c>
      <c r="AD2844">
        <v>-1.1109805408013</v>
      </c>
      <c r="AE2844">
        <v>-1.23349999999999</v>
      </c>
      <c r="AF2844">
        <v>-5.9233446270368004</v>
      </c>
      <c r="AG2844">
        <v>-1.1109805408013</v>
      </c>
      <c r="AH2844">
        <v>27.059388615428698</v>
      </c>
      <c r="AI2844">
        <v>92.296755483216799</v>
      </c>
      <c r="AJ2844">
        <v>102.347378748464</v>
      </c>
      <c r="AK2844">
        <v>27.722388092902101</v>
      </c>
      <c r="AL2844">
        <v>91.994261296613203</v>
      </c>
      <c r="AM2844">
        <v>85.995980901883797</v>
      </c>
      <c r="AN2844">
        <v>1.0000000496261301</v>
      </c>
    </row>
    <row r="2845" spans="1:40" x14ac:dyDescent="0.25">
      <c r="A2845" t="str">
        <f>"20190312161323873"</f>
        <v>20190312161323873</v>
      </c>
      <c r="B2845" t="str">
        <f>"1552378403868514"</f>
        <v>1552378403868514</v>
      </c>
      <c r="C2845" t="s">
        <v>40</v>
      </c>
      <c r="D2845">
        <v>5.5688139999999997</v>
      </c>
      <c r="E2845">
        <v>0.3898259</v>
      </c>
      <c r="F2845" t="s">
        <v>69</v>
      </c>
      <c r="G2845">
        <v>-443.99470000000002</v>
      </c>
      <c r="H2845" s="1">
        <v>6.5554259999999996E-7</v>
      </c>
      <c r="I2845">
        <v>213.0934</v>
      </c>
      <c r="J2845">
        <v>-471.24810000000002</v>
      </c>
      <c r="K2845">
        <v>1.1109560000000001</v>
      </c>
      <c r="L2845">
        <v>214.2362</v>
      </c>
      <c r="M2845">
        <v>0.96724529999999997</v>
      </c>
      <c r="N2845">
        <v>0</v>
      </c>
      <c r="O2845">
        <v>-0.25349650000000001</v>
      </c>
      <c r="P2845">
        <v>0.94599350000000004</v>
      </c>
      <c r="Q2845">
        <v>-4.8181969999999998E-2</v>
      </c>
      <c r="R2845">
        <v>-0.32058579999999998</v>
      </c>
      <c r="S2845">
        <v>3.1227109999999998</v>
      </c>
      <c r="T2845">
        <v>-0.1268831</v>
      </c>
      <c r="U2845">
        <v>-0.13270570000000001</v>
      </c>
      <c r="V2845">
        <v>7.0344939999999995E-2</v>
      </c>
      <c r="W2845">
        <v>-3.483588E-2</v>
      </c>
      <c r="X2845">
        <v>0.99691430000000003</v>
      </c>
      <c r="Y2845">
        <v>-0.2118399</v>
      </c>
      <c r="Z2845">
        <v>1.4492949999999999E-2</v>
      </c>
      <c r="AA2845">
        <v>0.97719690000000003</v>
      </c>
      <c r="AB2845">
        <v>9</v>
      </c>
      <c r="AC2845">
        <v>27.253399999999999</v>
      </c>
      <c r="AD2845">
        <v>-1.1109553444573901</v>
      </c>
      <c r="AE2845">
        <v>-1.14279999999999</v>
      </c>
      <c r="AF2845">
        <v>-5.7941732365098702</v>
      </c>
      <c r="AG2845">
        <v>-1.1109553444573901</v>
      </c>
      <c r="AH2845">
        <v>26.608627260774</v>
      </c>
      <c r="AI2845">
        <v>92.336125177133695</v>
      </c>
      <c r="AJ2845">
        <v>102.284693960075</v>
      </c>
      <c r="AK2845">
        <v>27.2548291129273</v>
      </c>
      <c r="AL2845">
        <v>91.996352743158397</v>
      </c>
      <c r="AM2845">
        <v>85.963746603563905</v>
      </c>
      <c r="AN2845">
        <v>1.00000003533173</v>
      </c>
    </row>
    <row r="2846" spans="1:40" x14ac:dyDescent="0.25">
      <c r="A2846" t="str">
        <f>"20190312161323895"</f>
        <v>20190312161323895</v>
      </c>
      <c r="B2846" t="str">
        <f>"1552378403889009"</f>
        <v>1552378403889009</v>
      </c>
      <c r="C2846" t="s">
        <v>40</v>
      </c>
      <c r="D2846">
        <v>5.7329589999999904</v>
      </c>
      <c r="E2846">
        <v>0.389656</v>
      </c>
      <c r="F2846" t="s">
        <v>69</v>
      </c>
      <c r="G2846">
        <v>-444.923</v>
      </c>
      <c r="H2846" s="1">
        <v>1.1469359999999999E-6</v>
      </c>
      <c r="I2846">
        <v>213.15369999999999</v>
      </c>
      <c r="J2846">
        <v>-471.16120000000001</v>
      </c>
      <c r="K2846">
        <v>1.1109389999999999</v>
      </c>
      <c r="L2846">
        <v>214.21780000000001</v>
      </c>
      <c r="M2846">
        <v>0.96813229999999995</v>
      </c>
      <c r="N2846">
        <v>0</v>
      </c>
      <c r="O2846">
        <v>-0.25008859999999999</v>
      </c>
      <c r="P2846">
        <v>0.94705640000000002</v>
      </c>
      <c r="Q2846">
        <v>-4.892138E-2</v>
      </c>
      <c r="R2846">
        <v>-0.31731880000000001</v>
      </c>
      <c r="S2846">
        <v>3.1210330000000002</v>
      </c>
      <c r="T2846">
        <v>-0.1317121</v>
      </c>
      <c r="U2846">
        <v>-0.1283417</v>
      </c>
      <c r="V2846">
        <v>7.0424269999999997E-2</v>
      </c>
      <c r="W2846">
        <v>-3.5586920000000001E-2</v>
      </c>
      <c r="X2846">
        <v>0.99688209999999999</v>
      </c>
      <c r="Y2846">
        <v>-0.2097144</v>
      </c>
      <c r="Z2846">
        <v>1.486848E-2</v>
      </c>
      <c r="AA2846">
        <v>0.97764960000000001</v>
      </c>
      <c r="AB2846">
        <v>9</v>
      </c>
      <c r="AC2846">
        <v>26.238199999999999</v>
      </c>
      <c r="AD2846">
        <v>-1.1109378530639999</v>
      </c>
      <c r="AE2846">
        <v>-1.06410000000002</v>
      </c>
      <c r="AF2846">
        <v>-5.5222870736748098</v>
      </c>
      <c r="AG2846">
        <v>-1.1109378530639999</v>
      </c>
      <c r="AH2846">
        <v>25.624559286732101</v>
      </c>
      <c r="AI2846">
        <v>92.426823955533607</v>
      </c>
      <c r="AJ2846">
        <v>102.16167520182501</v>
      </c>
      <c r="AK2846">
        <v>26.2363845847078</v>
      </c>
      <c r="AL2846">
        <v>92.0394110113821</v>
      </c>
      <c r="AM2846">
        <v>85.959079786865999</v>
      </c>
      <c r="AN2846">
        <v>0.99999996399026403</v>
      </c>
    </row>
    <row r="2847" spans="1:40" x14ac:dyDescent="0.25">
      <c r="A2847" t="str">
        <f>"20190312161323919"</f>
        <v>20190312161323919</v>
      </c>
      <c r="B2847" t="str">
        <f>"1552378403908530"</f>
        <v>1552378403908530</v>
      </c>
      <c r="C2847" t="s">
        <v>40</v>
      </c>
      <c r="D2847">
        <v>5.6834749999999996</v>
      </c>
      <c r="E2847">
        <v>0.37580859999999999</v>
      </c>
      <c r="F2847" t="s">
        <v>69</v>
      </c>
      <c r="G2847">
        <v>-445.52179999999998</v>
      </c>
      <c r="H2847" s="1">
        <v>1.4607329999999999E-6</v>
      </c>
      <c r="I2847">
        <v>213.2647</v>
      </c>
      <c r="J2847">
        <v>-471.07029999999997</v>
      </c>
      <c r="K2847">
        <v>1.1109209999999901</v>
      </c>
      <c r="L2847">
        <v>214.1987</v>
      </c>
      <c r="M2847">
        <v>0.96903309999999998</v>
      </c>
      <c r="N2847">
        <v>0</v>
      </c>
      <c r="O2847">
        <v>-0.24657480000000001</v>
      </c>
      <c r="P2847">
        <v>0.94799279999999997</v>
      </c>
      <c r="Q2847">
        <v>-4.9329110000000002E-2</v>
      </c>
      <c r="R2847">
        <v>-0.31444660000000002</v>
      </c>
      <c r="S2847">
        <v>3.121826</v>
      </c>
      <c r="T2847">
        <v>-0.13526679999999999</v>
      </c>
      <c r="U2847">
        <v>-0.1160431</v>
      </c>
      <c r="V2847">
        <v>7.1022959999999996E-2</v>
      </c>
      <c r="W2847">
        <v>-3.6004889999999998E-2</v>
      </c>
      <c r="X2847">
        <v>0.99682470000000001</v>
      </c>
      <c r="Y2847">
        <v>-0.21000440000000001</v>
      </c>
      <c r="Z2847">
        <v>1.5126209999999999E-2</v>
      </c>
      <c r="AA2847">
        <v>0.97758339999999999</v>
      </c>
      <c r="AB2847">
        <v>9</v>
      </c>
      <c r="AC2847">
        <v>25.548499999999901</v>
      </c>
      <c r="AD2847">
        <v>-1.1109195392669999</v>
      </c>
      <c r="AE2847">
        <v>-0.93399999999999705</v>
      </c>
      <c r="AF2847">
        <v>-5.3848455722830897</v>
      </c>
      <c r="AG2847">
        <v>-1.1109195392669999</v>
      </c>
      <c r="AH2847">
        <v>24.9427411370981</v>
      </c>
      <c r="AI2847">
        <v>92.492843002403504</v>
      </c>
      <c r="AJ2847">
        <v>102.182517509701</v>
      </c>
      <c r="AK2847">
        <v>25.541555150232099</v>
      </c>
      <c r="AL2847">
        <v>92.063374114055506</v>
      </c>
      <c r="AM2847">
        <v>85.924608545545198</v>
      </c>
      <c r="AN2847">
        <v>1.0000000477405799</v>
      </c>
    </row>
    <row r="2848" spans="1:40" x14ac:dyDescent="0.25">
      <c r="A2848" t="str">
        <f>"20190312161323942"</f>
        <v>20190312161323942</v>
      </c>
      <c r="B2848" t="str">
        <f>"1552378403938786"</f>
        <v>1552378403938786</v>
      </c>
      <c r="C2848" t="s">
        <v>40</v>
      </c>
      <c r="D2848">
        <v>5.390657</v>
      </c>
      <c r="E2848">
        <v>0.37439660000000002</v>
      </c>
      <c r="F2848" t="s">
        <v>69</v>
      </c>
      <c r="G2848">
        <v>-451.56290000000001</v>
      </c>
      <c r="H2848" s="1">
        <v>-6.874484E-7</v>
      </c>
      <c r="I2848">
        <v>214.21299999999999</v>
      </c>
      <c r="J2848">
        <v>-470.98329999999999</v>
      </c>
      <c r="K2848">
        <v>1.1109070000000001</v>
      </c>
      <c r="L2848">
        <v>214.1808</v>
      </c>
      <c r="M2848">
        <v>0.96986660000000002</v>
      </c>
      <c r="N2848">
        <v>0</v>
      </c>
      <c r="O2848">
        <v>-0.2432764</v>
      </c>
      <c r="P2848">
        <v>0.94878450000000003</v>
      </c>
      <c r="Q2848">
        <v>-5.0082019999999998E-2</v>
      </c>
      <c r="R2848">
        <v>-0.31192979999999998</v>
      </c>
      <c r="S2848">
        <v>3.1560359999999998</v>
      </c>
      <c r="T2848">
        <v>-0.1797329</v>
      </c>
      <c r="U2848">
        <v>2.3040769999999999E-3</v>
      </c>
      <c r="V2848">
        <v>7.177828E-2</v>
      </c>
      <c r="W2848">
        <v>-3.6767420000000002E-2</v>
      </c>
      <c r="X2848">
        <v>0.99674269999999998</v>
      </c>
      <c r="Y2848">
        <v>-0.24322350000000001</v>
      </c>
      <c r="Z2848">
        <v>2.065902E-2</v>
      </c>
      <c r="AA2848">
        <v>0.96975020000000001</v>
      </c>
      <c r="AB2848">
        <v>9</v>
      </c>
      <c r="AC2848">
        <v>19.420399999999901</v>
      </c>
      <c r="AD2848">
        <v>-1.1109076874483901</v>
      </c>
      <c r="AE2848">
        <v>3.2199999999988897E-2</v>
      </c>
      <c r="AF2848">
        <v>-4.7406594349676503</v>
      </c>
      <c r="AG2848">
        <v>-1.1109076874483901</v>
      </c>
      <c r="AH2848">
        <v>18.767603775741598</v>
      </c>
      <c r="AI2848">
        <v>93.284615111348202</v>
      </c>
      <c r="AJ2848">
        <v>104.17625662809699</v>
      </c>
      <c r="AK2848">
        <v>19.3889380640511</v>
      </c>
      <c r="AL2848">
        <v>92.1070929414565</v>
      </c>
      <c r="AM2848">
        <v>85.881077988423698</v>
      </c>
      <c r="AN2848">
        <v>0.99999998732825202</v>
      </c>
    </row>
    <row r="2849" spans="1:40" x14ac:dyDescent="0.25">
      <c r="A2849" t="str">
        <f>"20190312161323964"</f>
        <v>20190312161323964</v>
      </c>
      <c r="B2849" t="str">
        <f>"1552378403958306"</f>
        <v>1552378403958306</v>
      </c>
      <c r="C2849" t="s">
        <v>40</v>
      </c>
      <c r="D2849">
        <v>5.6925039999999996</v>
      </c>
      <c r="E2849">
        <v>0.37429829999999997</v>
      </c>
      <c r="F2849" t="s">
        <v>69</v>
      </c>
      <c r="G2849">
        <v>-450.07220000000001</v>
      </c>
      <c r="H2849" s="1">
        <v>-1.485148E-6</v>
      </c>
      <c r="I2849">
        <v>214.31379999999999</v>
      </c>
      <c r="J2849">
        <v>-470.89870000000002</v>
      </c>
      <c r="K2849">
        <v>1.1108849999999999</v>
      </c>
      <c r="L2849">
        <v>214.1635</v>
      </c>
      <c r="M2849">
        <v>0.97065250000000003</v>
      </c>
      <c r="N2849">
        <v>0</v>
      </c>
      <c r="O2849">
        <v>-0.2401219</v>
      </c>
      <c r="P2849">
        <v>0.94938860000000003</v>
      </c>
      <c r="Q2849">
        <v>-5.0291000000000002E-2</v>
      </c>
      <c r="R2849">
        <v>-0.31005149999999998</v>
      </c>
      <c r="S2849">
        <v>3.159729</v>
      </c>
      <c r="T2849">
        <v>-0.16786119999999999</v>
      </c>
      <c r="U2849">
        <v>2.0095829999999999E-2</v>
      </c>
      <c r="V2849">
        <v>7.3047150000000005E-2</v>
      </c>
      <c r="W2849">
        <v>-3.6986070000000003E-2</v>
      </c>
      <c r="X2849">
        <v>0.99664240000000004</v>
      </c>
      <c r="Y2849">
        <v>-0.24563160000000001</v>
      </c>
      <c r="Z2849">
        <v>1.9176189999999999E-2</v>
      </c>
      <c r="AA2849">
        <v>0.96917359999999997</v>
      </c>
      <c r="AB2849">
        <v>9</v>
      </c>
      <c r="AC2849">
        <v>20.826499999999999</v>
      </c>
      <c r="AD2849">
        <v>-1.110886485148</v>
      </c>
      <c r="AE2849">
        <v>0.150299999999987</v>
      </c>
      <c r="AF2849">
        <v>-5.1326363181491503</v>
      </c>
      <c r="AG2849">
        <v>-1.110886485148</v>
      </c>
      <c r="AH2849">
        <v>20.123719641503101</v>
      </c>
      <c r="AI2849">
        <v>93.061856571507306</v>
      </c>
      <c r="AJ2849">
        <v>104.308459896318</v>
      </c>
      <c r="AK2849">
        <v>20.797646899759801</v>
      </c>
      <c r="AL2849">
        <v>92.119629239154193</v>
      </c>
      <c r="AM2849">
        <v>85.808102144742307</v>
      </c>
      <c r="AN2849">
        <v>0.99999996448746298</v>
      </c>
    </row>
    <row r="2850" spans="1:40" x14ac:dyDescent="0.25">
      <c r="A2850" t="str">
        <f>"20190312161323986"</f>
        <v>20190312161323986</v>
      </c>
      <c r="B2850" t="str">
        <f>"1552378403978802"</f>
        <v>1552378403978802</v>
      </c>
      <c r="C2850" t="s">
        <v>40</v>
      </c>
      <c r="D2850">
        <v>5.6918179999999996</v>
      </c>
      <c r="E2850">
        <v>0.37527080000000002</v>
      </c>
      <c r="F2850" t="s">
        <v>69</v>
      </c>
      <c r="G2850">
        <v>-449.28930000000003</v>
      </c>
      <c r="H2850" s="1">
        <v>3.4183509999999999E-6</v>
      </c>
      <c r="I2850">
        <v>214.34520000000001</v>
      </c>
      <c r="J2850">
        <v>-470.81279999999998</v>
      </c>
      <c r="K2850">
        <v>1.110862</v>
      </c>
      <c r="L2850">
        <v>214.1463</v>
      </c>
      <c r="M2850">
        <v>0.97142229999999996</v>
      </c>
      <c r="N2850">
        <v>0</v>
      </c>
      <c r="O2850">
        <v>-0.23698910000000001</v>
      </c>
      <c r="P2850">
        <v>0.95028500000000005</v>
      </c>
      <c r="Q2850">
        <v>-5.003908E-2</v>
      </c>
      <c r="R2850">
        <v>-0.30733510000000003</v>
      </c>
      <c r="S2850">
        <v>3.1600039999999998</v>
      </c>
      <c r="T2850">
        <v>-0.16244729999999999</v>
      </c>
      <c r="U2850">
        <v>2.656555E-2</v>
      </c>
      <c r="V2850">
        <v>7.3406079999999999E-2</v>
      </c>
      <c r="W2850">
        <v>-3.6745800000000002E-2</v>
      </c>
      <c r="X2850">
        <v>0.99662490000000004</v>
      </c>
      <c r="Y2850">
        <v>-0.2445368</v>
      </c>
      <c r="Z2850">
        <v>1.8372010000000001E-2</v>
      </c>
      <c r="AA2850">
        <v>0.96946589999999999</v>
      </c>
      <c r="AB2850">
        <v>9</v>
      </c>
      <c r="AC2850">
        <v>21.523499999999899</v>
      </c>
      <c r="AD2850">
        <v>-1.110858581649</v>
      </c>
      <c r="AE2850">
        <v>0.19890000000000799</v>
      </c>
      <c r="AF2850">
        <v>-5.2804492255442099</v>
      </c>
      <c r="AG2850">
        <v>-1.110858581649</v>
      </c>
      <c r="AH2850">
        <v>20.807673616581901</v>
      </c>
      <c r="AI2850">
        <v>92.9622246355664</v>
      </c>
      <c r="AJ2850">
        <v>104.239583546913</v>
      </c>
      <c r="AK2850">
        <v>21.495963159304399</v>
      </c>
      <c r="AL2850">
        <v>92.105853450111098</v>
      </c>
      <c r="AM2850">
        <v>85.7875047812514</v>
      </c>
      <c r="AN2850">
        <v>0.99999994884930599</v>
      </c>
    </row>
    <row r="2851" spans="1:40" x14ac:dyDescent="0.25">
      <c r="A2851" t="str">
        <f>"20190312161324008"</f>
        <v>20190312161324008</v>
      </c>
      <c r="B2851" t="str">
        <f>"1552378403998321"</f>
        <v>1552378403998321</v>
      </c>
      <c r="C2851" t="s">
        <v>40</v>
      </c>
      <c r="D2851">
        <v>5.6428560000000001</v>
      </c>
      <c r="E2851">
        <v>0.37609589999999998</v>
      </c>
      <c r="F2851" t="s">
        <v>69</v>
      </c>
      <c r="G2851">
        <v>-449.73090000000002</v>
      </c>
      <c r="H2851" s="1">
        <v>3.6537549999999999E-6</v>
      </c>
      <c r="I2851">
        <v>214.33670000000001</v>
      </c>
      <c r="J2851">
        <v>-470.72989999999999</v>
      </c>
      <c r="K2851">
        <v>1.110832</v>
      </c>
      <c r="L2851">
        <v>214.12979999999999</v>
      </c>
      <c r="M2851">
        <v>0.97213970000000005</v>
      </c>
      <c r="N2851">
        <v>0</v>
      </c>
      <c r="O2851">
        <v>-0.23402870000000001</v>
      </c>
      <c r="P2851">
        <v>0.95133780000000001</v>
      </c>
      <c r="Q2851">
        <v>-4.9976359999999997E-2</v>
      </c>
      <c r="R2851">
        <v>-0.30407030000000002</v>
      </c>
      <c r="S2851">
        <v>3.157349</v>
      </c>
      <c r="T2851">
        <v>-0.16636879999999901</v>
      </c>
      <c r="U2851">
        <v>2.8518680000000001E-2</v>
      </c>
      <c r="V2851">
        <v>7.3016780000000003E-2</v>
      </c>
      <c r="W2851">
        <v>-3.6695869999999998E-2</v>
      </c>
      <c r="X2851">
        <v>0.99665539999999997</v>
      </c>
      <c r="Y2851">
        <v>-0.2421645</v>
      </c>
      <c r="Z2851">
        <v>1.861585E-2</v>
      </c>
      <c r="AA2851">
        <v>0.97005660000000005</v>
      </c>
      <c r="AB2851">
        <v>9</v>
      </c>
      <c r="AC2851">
        <v>20.998999999999899</v>
      </c>
      <c r="AD2851">
        <v>-1.1108283462449999</v>
      </c>
      <c r="AE2851">
        <v>0.20690000000001799</v>
      </c>
      <c r="AF2851">
        <v>-5.1016772502693399</v>
      </c>
      <c r="AG2851">
        <v>-1.1108283462449999</v>
      </c>
      <c r="AH2851">
        <v>20.310493296776801</v>
      </c>
      <c r="AI2851">
        <v>93.036382912839102</v>
      </c>
      <c r="AJ2851">
        <v>104.100090102503</v>
      </c>
      <c r="AK2851">
        <v>20.970865226288399</v>
      </c>
      <c r="AL2851">
        <v>92.1029906087565</v>
      </c>
      <c r="AM2851">
        <v>85.809893214935201</v>
      </c>
      <c r="AN2851">
        <v>1.00000001169289</v>
      </c>
    </row>
    <row r="2852" spans="1:40" x14ac:dyDescent="0.25">
      <c r="A2852" t="str">
        <f>"20190312161324030"</f>
        <v>20190312161324030</v>
      </c>
      <c r="B2852" t="str">
        <f>"1552378404018818"</f>
        <v>1552378404018818</v>
      </c>
      <c r="C2852" t="s">
        <v>40</v>
      </c>
      <c r="D2852">
        <v>5.6505400000000003</v>
      </c>
      <c r="E2852">
        <v>0.37677650000000001</v>
      </c>
      <c r="F2852" t="s">
        <v>69</v>
      </c>
      <c r="G2852">
        <v>-450.20650000000001</v>
      </c>
      <c r="H2852" s="1">
        <v>-1.415069E-6</v>
      </c>
      <c r="I2852">
        <v>214.34620000000001</v>
      </c>
      <c r="J2852">
        <v>-470.64760000000001</v>
      </c>
      <c r="K2852">
        <v>1.1107959999999999</v>
      </c>
      <c r="L2852">
        <v>214.11359999999999</v>
      </c>
      <c r="M2852">
        <v>0.97282519999999995</v>
      </c>
      <c r="N2852">
        <v>0</v>
      </c>
      <c r="O2852">
        <v>-0.2311628</v>
      </c>
      <c r="P2852">
        <v>0.9523355</v>
      </c>
      <c r="Q2852">
        <v>-5.075371E-2</v>
      </c>
      <c r="R2852">
        <v>-0.30080129999999999</v>
      </c>
      <c r="S2852">
        <v>3.15509</v>
      </c>
      <c r="T2852">
        <v>-0.17077059999999999</v>
      </c>
      <c r="U2852">
        <v>3.3279419999999997E-2</v>
      </c>
      <c r="V2852">
        <v>7.2538909999999998E-2</v>
      </c>
      <c r="W2852">
        <v>-3.7486940000000003E-2</v>
      </c>
      <c r="X2852">
        <v>0.99666080000000001</v>
      </c>
      <c r="Y2852">
        <v>-0.24074519999999999</v>
      </c>
      <c r="Z2852">
        <v>1.8931570000000002E-2</v>
      </c>
      <c r="AA2852">
        <v>0.97040369999999998</v>
      </c>
      <c r="AB2852">
        <v>9</v>
      </c>
      <c r="AC2852">
        <v>20.441099999999999</v>
      </c>
      <c r="AD2852">
        <v>-1.1107974150690001</v>
      </c>
      <c r="AE2852">
        <v>0.23260000000001901</v>
      </c>
      <c r="AF2852">
        <v>-4.9373560445587996</v>
      </c>
      <c r="AG2852">
        <v>-1.1107974150690001</v>
      </c>
      <c r="AH2852">
        <v>19.775194865953399</v>
      </c>
      <c r="AI2852">
        <v>93.119436261352902</v>
      </c>
      <c r="AJ2852">
        <v>104.018673449432</v>
      </c>
      <c r="AK2852">
        <v>20.4124885203763</v>
      </c>
      <c r="AL2852">
        <v>92.148346909476999</v>
      </c>
      <c r="AM2852">
        <v>85.837241796952</v>
      </c>
      <c r="AN2852">
        <v>0.99999995719559498</v>
      </c>
    </row>
    <row r="2853" spans="1:40" x14ac:dyDescent="0.25">
      <c r="A2853" t="str">
        <f>"20190312161324052"</f>
        <v>20190312161324052</v>
      </c>
      <c r="B2853" t="str">
        <f>"1552378404048098"</f>
        <v>1552378404048098</v>
      </c>
      <c r="C2853" t="s">
        <v>40</v>
      </c>
      <c r="D2853">
        <v>5.3725699999999996</v>
      </c>
      <c r="E2853">
        <v>0.37772220000000001</v>
      </c>
      <c r="F2853" t="s">
        <v>69</v>
      </c>
      <c r="G2853">
        <v>-450.83300000000003</v>
      </c>
      <c r="H2853" s="1">
        <v>-1.082322E-6</v>
      </c>
      <c r="I2853">
        <v>214.36</v>
      </c>
      <c r="J2853">
        <v>-470.56130000000002</v>
      </c>
      <c r="K2853">
        <v>1.1107610000000001</v>
      </c>
      <c r="L2853">
        <v>214.0968</v>
      </c>
      <c r="M2853">
        <v>0.97351750000000004</v>
      </c>
      <c r="N2853">
        <v>0</v>
      </c>
      <c r="O2853">
        <v>-0.22823089999999999</v>
      </c>
      <c r="P2853">
        <v>0.95312390000000002</v>
      </c>
      <c r="Q2853">
        <v>-5.1422389999999998E-2</v>
      </c>
      <c r="R2853">
        <v>-0.29817900000000003</v>
      </c>
      <c r="S2853">
        <v>3.1531069999999999</v>
      </c>
      <c r="T2853">
        <v>-0.176761</v>
      </c>
      <c r="U2853">
        <v>3.9215090000000001E-2</v>
      </c>
      <c r="V2853">
        <v>7.280462E-2</v>
      </c>
      <c r="W2853">
        <v>-3.8169380000000003E-2</v>
      </c>
      <c r="X2853">
        <v>0.99661560000000005</v>
      </c>
      <c r="Y2853">
        <v>-0.23961070000000001</v>
      </c>
      <c r="Z2853">
        <v>1.94147E-2</v>
      </c>
      <c r="AA2853">
        <v>0.97067490000000001</v>
      </c>
      <c r="AB2853">
        <v>9</v>
      </c>
      <c r="AC2853">
        <v>19.728299999999901</v>
      </c>
      <c r="AD2853">
        <v>-1.1107620823219999</v>
      </c>
      <c r="AE2853">
        <v>0.26320000000001098</v>
      </c>
      <c r="AF2853">
        <v>-4.7442157282474096</v>
      </c>
      <c r="AG2853">
        <v>-1.1107620823219999</v>
      </c>
      <c r="AH2853">
        <v>19.086948667574799</v>
      </c>
      <c r="AI2853">
        <v>93.232425832400494</v>
      </c>
      <c r="AJ2853">
        <v>103.958462127735</v>
      </c>
      <c r="AK2853">
        <v>19.699060503443</v>
      </c>
      <c r="AL2853">
        <v>92.187475681317594</v>
      </c>
      <c r="AM2853">
        <v>85.821858697664894</v>
      </c>
      <c r="AN2853">
        <v>1.0000000342131401</v>
      </c>
    </row>
    <row r="2854" spans="1:40" x14ac:dyDescent="0.25">
      <c r="A2854" t="str">
        <f>"20190312161324076"</f>
        <v>20190312161324076</v>
      </c>
      <c r="B2854" t="str">
        <f>"1552378404068594"</f>
        <v>1552378404068594</v>
      </c>
      <c r="C2854" t="s">
        <v>40</v>
      </c>
      <c r="D2854">
        <v>5.6778629999999897</v>
      </c>
      <c r="E2854">
        <v>0.37841619999999998</v>
      </c>
      <c r="F2854" t="s">
        <v>69</v>
      </c>
      <c r="G2854">
        <v>-451.06020000000001</v>
      </c>
      <c r="H2854" s="1">
        <v>-9.6095549999999993E-7</v>
      </c>
      <c r="I2854">
        <v>214.34989999999999</v>
      </c>
      <c r="J2854">
        <v>-470.46899999999999</v>
      </c>
      <c r="K2854">
        <v>1.110741</v>
      </c>
      <c r="L2854">
        <v>214.07900000000001</v>
      </c>
      <c r="M2854">
        <v>0.97423090000000001</v>
      </c>
      <c r="N2854">
        <v>0</v>
      </c>
      <c r="O2854">
        <v>-0.2251669</v>
      </c>
      <c r="P2854">
        <v>0.95402739999999997</v>
      </c>
      <c r="Q2854">
        <v>-5.1188379999999999E-2</v>
      </c>
      <c r="R2854">
        <v>-0.29531679999999999</v>
      </c>
      <c r="S2854">
        <v>3.1506959999999999</v>
      </c>
      <c r="T2854">
        <v>-0.17946019999999999</v>
      </c>
      <c r="U2854">
        <v>4.0893550000000001E-2</v>
      </c>
      <c r="V2854">
        <v>7.2943179999999996E-2</v>
      </c>
      <c r="W2854">
        <v>-3.794728E-2</v>
      </c>
      <c r="X2854">
        <v>0.99661390000000005</v>
      </c>
      <c r="Y2854">
        <v>-0.23706740000000001</v>
      </c>
      <c r="Z2854">
        <v>1.94825E-2</v>
      </c>
      <c r="AA2854">
        <v>0.97129790000000005</v>
      </c>
      <c r="AB2854">
        <v>9</v>
      </c>
      <c r="AC2854">
        <v>19.4087999999999</v>
      </c>
      <c r="AD2854">
        <v>-1.1107419609555</v>
      </c>
      <c r="AE2854">
        <v>0.27089999999998299</v>
      </c>
      <c r="AF2854">
        <v>-4.6194154950626896</v>
      </c>
      <c r="AG2854">
        <v>-1.1107419609555</v>
      </c>
      <c r="AH2854">
        <v>18.7877746508514</v>
      </c>
      <c r="AI2854">
        <v>93.285777398160704</v>
      </c>
      <c r="AJ2854">
        <v>103.81350380164901</v>
      </c>
      <c r="AK2854">
        <v>19.379195637358801</v>
      </c>
      <c r="AL2854">
        <v>92.174741171015498</v>
      </c>
      <c r="AM2854">
        <v>85.813928084540507</v>
      </c>
      <c r="AN2854">
        <v>0.99999998462055995</v>
      </c>
    </row>
    <row r="2855" spans="1:40" x14ac:dyDescent="0.25">
      <c r="A2855" t="str">
        <f>"20190312161324099"</f>
        <v>20190312161324099</v>
      </c>
      <c r="B2855" t="str">
        <f>"1552378404089092"</f>
        <v>1552378404089092</v>
      </c>
      <c r="C2855" t="s">
        <v>40</v>
      </c>
      <c r="D2855">
        <v>5.6759760000000004</v>
      </c>
      <c r="E2855">
        <v>0.37909389999999998</v>
      </c>
      <c r="F2855" t="s">
        <v>69</v>
      </c>
      <c r="G2855">
        <v>-450.85390000000001</v>
      </c>
      <c r="H2855" s="1">
        <v>-1.0711720000000001E-6</v>
      </c>
      <c r="I2855">
        <v>214.35929999999999</v>
      </c>
      <c r="J2855">
        <v>-470.38029999999998</v>
      </c>
      <c r="K2855">
        <v>1.1107279999999999</v>
      </c>
      <c r="L2855">
        <v>214.06209999999999</v>
      </c>
      <c r="M2855">
        <v>0.97489199999999998</v>
      </c>
      <c r="N2855">
        <v>0</v>
      </c>
      <c r="O2855">
        <v>-0.22228729999999999</v>
      </c>
      <c r="P2855">
        <v>0.95489469999999999</v>
      </c>
      <c r="Q2855">
        <v>-5.0014540000000003E-2</v>
      </c>
      <c r="R2855">
        <v>-0.29270309999999999</v>
      </c>
      <c r="S2855">
        <v>3.1489560000000001</v>
      </c>
      <c r="T2855">
        <v>-0.1783149</v>
      </c>
      <c r="U2855">
        <v>4.4998169999999997E-2</v>
      </c>
      <c r="V2855">
        <v>7.3142189999999996E-2</v>
      </c>
      <c r="W2855">
        <v>-3.6782200000000001E-2</v>
      </c>
      <c r="X2855">
        <v>0.99664299999999995</v>
      </c>
      <c r="Y2855">
        <v>-0.23548549999999999</v>
      </c>
      <c r="Z2855">
        <v>1.916472E-2</v>
      </c>
      <c r="AA2855">
        <v>0.97168889999999997</v>
      </c>
      <c r="AB2855">
        <v>9</v>
      </c>
      <c r="AC2855">
        <v>19.526399999999899</v>
      </c>
      <c r="AD2855">
        <v>-1.1107290711719999</v>
      </c>
      <c r="AE2855">
        <v>0.29720000000000302</v>
      </c>
      <c r="AF2855">
        <v>-4.6156797675457</v>
      </c>
      <c r="AG2855">
        <v>-1.1107290711719999</v>
      </c>
      <c r="AH2855">
        <v>18.910542262723599</v>
      </c>
      <c r="AI2855">
        <v>93.265805184587094</v>
      </c>
      <c r="AJ2855">
        <v>103.71654747558701</v>
      </c>
      <c r="AK2855">
        <v>19.497354370691799</v>
      </c>
      <c r="AL2855">
        <v>92.107940341033</v>
      </c>
      <c r="AM2855">
        <v>85.802670158276399</v>
      </c>
      <c r="AN2855">
        <v>0.99999998982191796</v>
      </c>
    </row>
    <row r="2856" spans="1:40" x14ac:dyDescent="0.25">
      <c r="A2856" t="str">
        <f>"20190312161324122"</f>
        <v>20190312161324122</v>
      </c>
      <c r="B2856" t="str">
        <f>"1552378404118369"</f>
        <v>1552378404118369</v>
      </c>
      <c r="C2856" t="s">
        <v>40</v>
      </c>
      <c r="D2856">
        <v>5.6620030000000003</v>
      </c>
      <c r="E2856">
        <v>0.38006299999999998</v>
      </c>
      <c r="F2856" t="s">
        <v>69</v>
      </c>
      <c r="G2856">
        <v>-450.4427</v>
      </c>
      <c r="H2856" s="1">
        <v>-1.2903740000000001E-6</v>
      </c>
      <c r="I2856">
        <v>214.36869999999999</v>
      </c>
      <c r="J2856">
        <v>-470.29739999999998</v>
      </c>
      <c r="K2856">
        <v>1.1107209999999901</v>
      </c>
      <c r="L2856">
        <v>214.04640000000001</v>
      </c>
      <c r="M2856">
        <v>0.97548789999999996</v>
      </c>
      <c r="N2856">
        <v>0</v>
      </c>
      <c r="O2856">
        <v>-0.21965770000000001</v>
      </c>
      <c r="P2856">
        <v>0.95557320000000001</v>
      </c>
      <c r="Q2856">
        <v>-4.8931299999999997E-2</v>
      </c>
      <c r="R2856">
        <v>-0.29066439999999999</v>
      </c>
      <c r="S2856">
        <v>3.1473689999999999</v>
      </c>
      <c r="T2856">
        <v>-0.17534089999999999</v>
      </c>
      <c r="U2856">
        <v>4.840088E-2</v>
      </c>
      <c r="V2856">
        <v>7.3687550000000004E-2</v>
      </c>
      <c r="W2856">
        <v>-3.5706259999999997E-2</v>
      </c>
      <c r="X2856">
        <v>0.99664200000000003</v>
      </c>
      <c r="Y2856">
        <v>-0.23395199999999999</v>
      </c>
      <c r="Z2856">
        <v>1.8668899999999999E-2</v>
      </c>
      <c r="AA2856">
        <v>0.97206890000000001</v>
      </c>
      <c r="AB2856">
        <v>9</v>
      </c>
      <c r="AC2856">
        <v>19.854699999999902</v>
      </c>
      <c r="AD2856">
        <v>-1.1107222903739999</v>
      </c>
      <c r="AE2856">
        <v>0.32229999999998399</v>
      </c>
      <c r="AF2856">
        <v>-4.6614594646403598</v>
      </c>
      <c r="AG2856">
        <v>-1.1107222903739999</v>
      </c>
      <c r="AH2856">
        <v>19.238708603654199</v>
      </c>
      <c r="AI2856">
        <v>93.2115086985619</v>
      </c>
      <c r="AJ2856">
        <v>103.620047235421</v>
      </c>
      <c r="AK2856">
        <v>19.826518027206301</v>
      </c>
      <c r="AL2856">
        <v>92.046252894837593</v>
      </c>
      <c r="AM2856">
        <v>85.771483058223197</v>
      </c>
      <c r="AN2856">
        <v>1.00000003409609</v>
      </c>
    </row>
    <row r="2857" spans="1:40" x14ac:dyDescent="0.25">
      <c r="A2857" t="str">
        <f>"20190312161324144"</f>
        <v>20190312161324144</v>
      </c>
      <c r="B2857" t="str">
        <f>"1552378404138867"</f>
        <v>1552378404138867</v>
      </c>
      <c r="C2857" t="s">
        <v>40</v>
      </c>
      <c r="D2857">
        <v>5.7219199999999999</v>
      </c>
      <c r="E2857">
        <v>0.38071480000000002</v>
      </c>
      <c r="F2857" t="s">
        <v>69</v>
      </c>
      <c r="G2857">
        <v>-450.16149999999999</v>
      </c>
      <c r="H2857" s="1">
        <v>-1.4393069999999999E-6</v>
      </c>
      <c r="I2857">
        <v>214.35220000000001</v>
      </c>
      <c r="J2857">
        <v>-470.21210000000002</v>
      </c>
      <c r="K2857">
        <v>1.1107100000000001</v>
      </c>
      <c r="L2857">
        <v>214.03049999999999</v>
      </c>
      <c r="M2857">
        <v>0.97607840000000001</v>
      </c>
      <c r="N2857">
        <v>0</v>
      </c>
      <c r="O2857">
        <v>-0.21701909999999999</v>
      </c>
      <c r="P2857">
        <v>0.95632569999999995</v>
      </c>
      <c r="Q2857">
        <v>-4.8540319999999998E-2</v>
      </c>
      <c r="R2857">
        <v>-0.28824490000000003</v>
      </c>
      <c r="S2857">
        <v>3.145111</v>
      </c>
      <c r="T2857">
        <v>-0.17348859999999999</v>
      </c>
      <c r="U2857">
        <v>4.7760009999999999E-2</v>
      </c>
      <c r="V2857">
        <v>7.3854009999999998E-2</v>
      </c>
      <c r="W2857">
        <v>-3.5323460000000001E-2</v>
      </c>
      <c r="X2857">
        <v>0.99664330000000001</v>
      </c>
      <c r="Y2857">
        <v>-0.2311569</v>
      </c>
      <c r="Z2857">
        <v>1.826531E-2</v>
      </c>
      <c r="AA2857">
        <v>0.97274499999999997</v>
      </c>
      <c r="AB2857">
        <v>9</v>
      </c>
      <c r="AC2857">
        <v>20.050599999999999</v>
      </c>
      <c r="AD2857">
        <v>-1.1107114393069999</v>
      </c>
      <c r="AE2857">
        <v>0.32170000000002102</v>
      </c>
      <c r="AF2857">
        <v>-4.6515025787738198</v>
      </c>
      <c r="AG2857">
        <v>-1.1107114393069999</v>
      </c>
      <c r="AH2857">
        <v>19.4431870644326</v>
      </c>
      <c r="AI2857">
        <v>93.179982116798499</v>
      </c>
      <c r="AJ2857">
        <v>103.454314671548</v>
      </c>
      <c r="AK2857">
        <v>20.0226791255383</v>
      </c>
      <c r="AL2857">
        <v>92.024306265592401</v>
      </c>
      <c r="AM2857">
        <v>85.7619711207347</v>
      </c>
      <c r="AN2857">
        <v>1.0000000145271699</v>
      </c>
    </row>
    <row r="2858" spans="1:40" x14ac:dyDescent="0.25">
      <c r="A2858" t="str">
        <f>"20190312161324168"</f>
        <v>20190312161324168</v>
      </c>
      <c r="B2858" t="str">
        <f>"1552378404158385"</f>
        <v>1552378404158385</v>
      </c>
      <c r="C2858" t="s">
        <v>40</v>
      </c>
      <c r="D2858">
        <v>5.765701</v>
      </c>
      <c r="E2858">
        <v>0.39214199999999999</v>
      </c>
      <c r="F2858" t="s">
        <v>69</v>
      </c>
      <c r="G2858">
        <v>-449.95740000000001</v>
      </c>
      <c r="H2858" s="1">
        <v>3.773362E-6</v>
      </c>
      <c r="I2858">
        <v>214.35720000000001</v>
      </c>
      <c r="J2858">
        <v>-470.12389999999999</v>
      </c>
      <c r="K2858">
        <v>1.110687</v>
      </c>
      <c r="L2858">
        <v>214.01419999999999</v>
      </c>
      <c r="M2858">
        <v>0.97666560000000002</v>
      </c>
      <c r="N2858">
        <v>0</v>
      </c>
      <c r="O2858">
        <v>-0.21436179999999999</v>
      </c>
      <c r="P2858">
        <v>0.95699409999999896</v>
      </c>
      <c r="Q2858">
        <v>-4.8362170000000003E-2</v>
      </c>
      <c r="R2858">
        <v>-0.28604879999999999</v>
      </c>
      <c r="S2858">
        <v>3.1435240000000002</v>
      </c>
      <c r="T2858">
        <v>-0.17238120000000001</v>
      </c>
      <c r="U2858">
        <v>5.070496E-2</v>
      </c>
      <c r="V2858">
        <v>7.4274270000000003E-2</v>
      </c>
      <c r="W2858">
        <v>-3.5155150000000003E-2</v>
      </c>
      <c r="X2858">
        <v>0.996618</v>
      </c>
      <c r="Y2858">
        <v>-0.22944200000000001</v>
      </c>
      <c r="Z2858">
        <v>1.7968140000000001E-2</v>
      </c>
      <c r="AA2858">
        <v>0.97315649999999998</v>
      </c>
      <c r="AB2858">
        <v>9</v>
      </c>
      <c r="AC2858">
        <v>20.1664999999999</v>
      </c>
      <c r="AD2858">
        <v>-1.110683226638</v>
      </c>
      <c r="AE2858">
        <v>0.34300000000001701</v>
      </c>
      <c r="AF2858">
        <v>-4.6442438186771202</v>
      </c>
      <c r="AG2858">
        <v>-1.110683226638</v>
      </c>
      <c r="AH2858">
        <v>19.5647722600668</v>
      </c>
      <c r="AI2858">
        <v>93.161501661229707</v>
      </c>
      <c r="AJ2858">
        <v>103.353593950163</v>
      </c>
      <c r="AK2858">
        <v>20.139089638450201</v>
      </c>
      <c r="AL2858">
        <v>92.014656859507497</v>
      </c>
      <c r="AM2858">
        <v>85.737835793183393</v>
      </c>
      <c r="AN2858">
        <v>0.99999999483977697</v>
      </c>
    </row>
    <row r="2859" spans="1:40" x14ac:dyDescent="0.25">
      <c r="A2859" t="str">
        <f>"20190312161324188"</f>
        <v>20190312161324188</v>
      </c>
      <c r="B2859" t="str">
        <f>"1552378404178882"</f>
        <v>1552378404178882</v>
      </c>
      <c r="C2859" t="s">
        <v>40</v>
      </c>
      <c r="D2859">
        <v>5.75075</v>
      </c>
      <c r="E2859">
        <v>0.39132450000000002</v>
      </c>
      <c r="F2859" t="s">
        <v>69</v>
      </c>
      <c r="G2859">
        <v>-451.88830000000002</v>
      </c>
      <c r="H2859" s="1">
        <v>-4.9844039999999998E-7</v>
      </c>
      <c r="I2859">
        <v>213.8502</v>
      </c>
      <c r="J2859">
        <v>-470.04480000000001</v>
      </c>
      <c r="K2859">
        <v>1.110671</v>
      </c>
      <c r="L2859">
        <v>213.99979999999999</v>
      </c>
      <c r="M2859">
        <v>0.97717160000000003</v>
      </c>
      <c r="N2859">
        <v>0</v>
      </c>
      <c r="O2859">
        <v>-0.2120438</v>
      </c>
      <c r="P2859">
        <v>0.95763799999999999</v>
      </c>
      <c r="Q2859">
        <v>-4.6855670000000002E-2</v>
      </c>
      <c r="R2859">
        <v>-0.28413840000000001</v>
      </c>
      <c r="S2859">
        <v>3.1168520000000002</v>
      </c>
      <c r="T2859">
        <v>-0.18984019999999999</v>
      </c>
      <c r="U2859">
        <v>-2.80304E-2</v>
      </c>
      <c r="V2859">
        <v>7.4630569999999993E-2</v>
      </c>
      <c r="W2859">
        <v>-3.3657590000000001E-2</v>
      </c>
      <c r="X2859">
        <v>0.9966431</v>
      </c>
      <c r="Y2859">
        <v>-0.20250199999999999</v>
      </c>
      <c r="Z2859">
        <v>1.8987770000000001E-2</v>
      </c>
      <c r="AA2859">
        <v>0.97909769999999896</v>
      </c>
      <c r="AB2859">
        <v>9</v>
      </c>
      <c r="AC2859">
        <v>18.156499999999902</v>
      </c>
      <c r="AD2859">
        <v>-1.11067149844039</v>
      </c>
      <c r="AE2859">
        <v>-0.14959999999999199</v>
      </c>
      <c r="AF2859">
        <v>-3.6903007015822702</v>
      </c>
      <c r="AG2859">
        <v>-1.11067149844039</v>
      </c>
      <c r="AH2859">
        <v>17.709013227165201</v>
      </c>
      <c r="AI2859">
        <v>93.513488483125002</v>
      </c>
      <c r="AJ2859">
        <v>101.77115078960099</v>
      </c>
      <c r="AK2859">
        <v>18.123494694055498</v>
      </c>
      <c r="AL2859">
        <v>91.928802117835801</v>
      </c>
      <c r="AM2859">
        <v>85.7175731658171</v>
      </c>
      <c r="AN2859">
        <v>1.00000001206037</v>
      </c>
    </row>
    <row r="2860" spans="1:40" x14ac:dyDescent="0.25">
      <c r="A2860" t="str">
        <f>"20190312161324208"</f>
        <v>20190312161324208</v>
      </c>
      <c r="B2860" t="str">
        <f>"1552378404198403"</f>
        <v>1552378404198403</v>
      </c>
      <c r="C2860" t="s">
        <v>40</v>
      </c>
      <c r="D2860">
        <v>5.764945</v>
      </c>
      <c r="E2860">
        <v>0.39143889999999998</v>
      </c>
      <c r="F2860" t="s">
        <v>69</v>
      </c>
      <c r="G2860">
        <v>-450.8587</v>
      </c>
      <c r="H2860" s="1">
        <v>-1.048609E-6</v>
      </c>
      <c r="I2860">
        <v>213.90199999999999</v>
      </c>
      <c r="J2860">
        <v>-469.96859999999998</v>
      </c>
      <c r="K2860">
        <v>1.1106499999999999</v>
      </c>
      <c r="L2860">
        <v>213.98589999999999</v>
      </c>
      <c r="M2860">
        <v>0.97764010000000001</v>
      </c>
      <c r="N2860">
        <v>0</v>
      </c>
      <c r="O2860">
        <v>-0.209873</v>
      </c>
      <c r="P2860">
        <v>0.95846129999999996</v>
      </c>
      <c r="Q2860">
        <v>-4.5630400000000002E-2</v>
      </c>
      <c r="R2860">
        <v>-0.28154899999999999</v>
      </c>
      <c r="S2860">
        <v>3.1191409999999999</v>
      </c>
      <c r="T2860">
        <v>-0.18056510000000001</v>
      </c>
      <c r="U2860">
        <v>-1.5899659999999999E-2</v>
      </c>
      <c r="V2860">
        <v>7.4135090000000001E-2</v>
      </c>
      <c r="W2860">
        <v>-3.2441770000000002E-2</v>
      </c>
      <c r="X2860">
        <v>0.99672039999999995</v>
      </c>
      <c r="Y2860">
        <v>-0.20421549999999999</v>
      </c>
      <c r="Z2860">
        <v>1.797615E-2</v>
      </c>
      <c r="AA2860">
        <v>0.97876090000000004</v>
      </c>
      <c r="AB2860">
        <v>9</v>
      </c>
      <c r="AC2860">
        <v>19.1098999999999</v>
      </c>
      <c r="AD2860">
        <v>-1.110651048609</v>
      </c>
      <c r="AE2860">
        <v>-8.38999999999714E-2</v>
      </c>
      <c r="AF2860">
        <v>-3.91574174601267</v>
      </c>
      <c r="AG2860">
        <v>-1.110651048609</v>
      </c>
      <c r="AH2860">
        <v>18.638874325911999</v>
      </c>
      <c r="AI2860">
        <v>93.337417746713101</v>
      </c>
      <c r="AJ2860">
        <v>101.86442532542701</v>
      </c>
      <c r="AK2860">
        <v>19.078108273893001</v>
      </c>
      <c r="AL2860">
        <v>91.859102672776103</v>
      </c>
      <c r="AM2860">
        <v>85.746228626771796</v>
      </c>
      <c r="AN2860">
        <v>1.0000000178930999</v>
      </c>
    </row>
    <row r="2861" spans="1:40" x14ac:dyDescent="0.25">
      <c r="A2861" t="str">
        <f>"20190312161324230"</f>
        <v>20190312161324230</v>
      </c>
      <c r="B2861" t="str">
        <f>"1552378404218898"</f>
        <v>1552378404218898</v>
      </c>
      <c r="C2861" t="s">
        <v>40</v>
      </c>
      <c r="D2861">
        <v>5.7727309999999896</v>
      </c>
      <c r="E2861">
        <v>0.39195279999999999</v>
      </c>
      <c r="F2861" t="s">
        <v>69</v>
      </c>
      <c r="G2861">
        <v>-450.55680000000001</v>
      </c>
      <c r="H2861" s="1">
        <v>-1.210682E-6</v>
      </c>
      <c r="I2861">
        <v>213.9342</v>
      </c>
      <c r="J2861">
        <v>-469.88580000000002</v>
      </c>
      <c r="K2861">
        <v>1.1106290000000001</v>
      </c>
      <c r="L2861">
        <v>213.971</v>
      </c>
      <c r="M2861">
        <v>0.9781318</v>
      </c>
      <c r="N2861">
        <v>0</v>
      </c>
      <c r="O2861">
        <v>-0.2075697</v>
      </c>
      <c r="P2861">
        <v>0.9589915</v>
      </c>
      <c r="Q2861">
        <v>-4.5331910000000003E-2</v>
      </c>
      <c r="R2861">
        <v>-0.27978700000000001</v>
      </c>
      <c r="S2861">
        <v>3.11911</v>
      </c>
      <c r="T2861">
        <v>-0.17846049999999999</v>
      </c>
      <c r="U2861">
        <v>-8.3160400000000002E-3</v>
      </c>
      <c r="V2861">
        <v>7.4645550000000005E-2</v>
      </c>
      <c r="W2861">
        <v>-3.2152800000000002E-2</v>
      </c>
      <c r="X2861">
        <v>0.99669160000000001</v>
      </c>
      <c r="Y2861">
        <v>-0.20430909999999999</v>
      </c>
      <c r="Z2861">
        <v>1.7641239999999999E-2</v>
      </c>
      <c r="AA2861">
        <v>0.97874749999999999</v>
      </c>
      <c r="AB2861">
        <v>9</v>
      </c>
      <c r="AC2861">
        <v>19.329000000000001</v>
      </c>
      <c r="AD2861">
        <v>-1.1106302106820001</v>
      </c>
      <c r="AE2861">
        <v>-3.6799999999971002E-2</v>
      </c>
      <c r="AF2861">
        <v>-3.96337814951691</v>
      </c>
      <c r="AG2861">
        <v>-1.1106302106820001</v>
      </c>
      <c r="AH2861">
        <v>18.853339062209798</v>
      </c>
      <c r="AI2861">
        <v>93.299385099559402</v>
      </c>
      <c r="AJ2861">
        <v>101.871936271865</v>
      </c>
      <c r="AK2861">
        <v>19.297415879220502</v>
      </c>
      <c r="AL2861">
        <v>91.842537388978698</v>
      </c>
      <c r="AM2861">
        <v>85.716924440246004</v>
      </c>
      <c r="AN2861">
        <v>0.99999995309659995</v>
      </c>
    </row>
    <row r="2862" spans="1:40" x14ac:dyDescent="0.25">
      <c r="A2862" t="str">
        <f>"20190312161324254"</f>
        <v>20190312161324254</v>
      </c>
      <c r="B2862" t="str">
        <f>"1552378404249154"</f>
        <v>1552378404249154</v>
      </c>
      <c r="C2862" t="s">
        <v>40</v>
      </c>
      <c r="D2862">
        <v>5.7511910000000004</v>
      </c>
      <c r="E2862">
        <v>0.39271699999999998</v>
      </c>
      <c r="F2862" t="s">
        <v>69</v>
      </c>
      <c r="G2862">
        <v>-450.79160000000002</v>
      </c>
      <c r="H2862" s="1">
        <v>-1.085669E-6</v>
      </c>
      <c r="I2862">
        <v>213.9324</v>
      </c>
      <c r="J2862">
        <v>-469.80009999999999</v>
      </c>
      <c r="K2862">
        <v>1.1106119999999999</v>
      </c>
      <c r="L2862">
        <v>213.95570000000001</v>
      </c>
      <c r="M2862">
        <v>0.9786222</v>
      </c>
      <c r="N2862">
        <v>0</v>
      </c>
      <c r="O2862">
        <v>-0.20524519999999999</v>
      </c>
      <c r="P2862">
        <v>0.95938369999999995</v>
      </c>
      <c r="Q2862">
        <v>-4.5851129999999997E-2</v>
      </c>
      <c r="R2862">
        <v>-0.27835349999999998</v>
      </c>
      <c r="S2862">
        <v>3.1179199999999998</v>
      </c>
      <c r="T2862">
        <v>-0.1813562</v>
      </c>
      <c r="U2862">
        <v>-6.3018800000000002E-3</v>
      </c>
      <c r="V2862">
        <v>7.5528209999999998E-2</v>
      </c>
      <c r="W2862">
        <v>-3.2680470000000003E-2</v>
      </c>
      <c r="X2862">
        <v>0.99660800000000005</v>
      </c>
      <c r="Y2862">
        <v>-0.2025989</v>
      </c>
      <c r="Z2862">
        <v>1.77515E-2</v>
      </c>
      <c r="AA2862">
        <v>0.97910090000000005</v>
      </c>
      <c r="AB2862">
        <v>9</v>
      </c>
      <c r="AC2862">
        <v>19.008499999999898</v>
      </c>
      <c r="AD2862">
        <v>-1.110613085669</v>
      </c>
      <c r="AE2862">
        <v>-2.3300000000006E-2</v>
      </c>
      <c r="AF2862">
        <v>-3.8657404289412298</v>
      </c>
      <c r="AG2862">
        <v>-1.110613085669</v>
      </c>
      <c r="AH2862">
        <v>18.545223592232698</v>
      </c>
      <c r="AI2862">
        <v>93.3552157849455</v>
      </c>
      <c r="AJ2862">
        <v>101.77466139335699</v>
      </c>
      <c r="AK2862">
        <v>18.976372903584998</v>
      </c>
      <c r="AL2862">
        <v>91.872786437084898</v>
      </c>
      <c r="AM2862">
        <v>85.666108103862001</v>
      </c>
      <c r="AN2862">
        <v>1.00000001464461</v>
      </c>
    </row>
    <row r="2863" spans="1:40" x14ac:dyDescent="0.25">
      <c r="A2863" t="str">
        <f>"20190312161324275"</f>
        <v>20190312161324275</v>
      </c>
      <c r="B2863" t="str">
        <f>"1552378404268490"</f>
        <v>1552378404268490</v>
      </c>
      <c r="C2863" t="s">
        <v>40</v>
      </c>
      <c r="D2863">
        <v>5.7815969999999997</v>
      </c>
      <c r="E2863">
        <v>0.3927158</v>
      </c>
      <c r="F2863" t="s">
        <v>69</v>
      </c>
      <c r="G2863">
        <v>-451.12920000000003</v>
      </c>
      <c r="H2863" s="1">
        <v>-9.0505509999999999E-7</v>
      </c>
      <c r="I2863">
        <v>213.91159999999999</v>
      </c>
      <c r="J2863">
        <v>-469.71839999999997</v>
      </c>
      <c r="K2863">
        <v>1.1106020000000001</v>
      </c>
      <c r="L2863">
        <v>213.94120000000001</v>
      </c>
      <c r="M2863">
        <v>0.97907330000000004</v>
      </c>
      <c r="N2863">
        <v>0</v>
      </c>
      <c r="O2863">
        <v>-0.20308319999999999</v>
      </c>
      <c r="P2863">
        <v>0.95962789999999998</v>
      </c>
      <c r="Q2863">
        <v>-4.6205889999999999E-2</v>
      </c>
      <c r="R2863">
        <v>-0.27745150000000002</v>
      </c>
      <c r="S2863">
        <v>3.116028</v>
      </c>
      <c r="T2863">
        <v>-0.18535270000000001</v>
      </c>
      <c r="U2863">
        <v>-7.3699949999999998E-3</v>
      </c>
      <c r="V2863">
        <v>7.6794870000000001E-2</v>
      </c>
      <c r="W2863">
        <v>-3.3042299999999997E-2</v>
      </c>
      <c r="X2863">
        <v>0.99649920000000003</v>
      </c>
      <c r="Y2863">
        <v>-0.20007549999999999</v>
      </c>
      <c r="Z2863">
        <v>1.7951499999999999E-2</v>
      </c>
      <c r="AA2863">
        <v>0.97961600000000004</v>
      </c>
      <c r="AB2863">
        <v>9</v>
      </c>
      <c r="AC2863">
        <v>18.589199999999899</v>
      </c>
      <c r="AD2863">
        <v>-1.1106029050551001</v>
      </c>
      <c r="AE2863">
        <v>-2.96000000000162E-2</v>
      </c>
      <c r="AF2863">
        <v>-3.7331719709464899</v>
      </c>
      <c r="AG2863">
        <v>-1.1106029050551001</v>
      </c>
      <c r="AH2863">
        <v>18.1430131878985</v>
      </c>
      <c r="AI2863">
        <v>93.4312154392953</v>
      </c>
      <c r="AJ2863">
        <v>101.627107277909</v>
      </c>
      <c r="AK2863">
        <v>18.556371932940898</v>
      </c>
      <c r="AL2863">
        <v>91.893529092716605</v>
      </c>
      <c r="AM2863">
        <v>85.5932304544244</v>
      </c>
      <c r="AN2863">
        <v>0.99999995062412195</v>
      </c>
    </row>
    <row r="2864" spans="1:40" x14ac:dyDescent="0.25">
      <c r="A2864" t="str">
        <f>"20190312161324297"</f>
        <v>20190312161324297</v>
      </c>
      <c r="B2864" t="str">
        <f>"1552378404288985"</f>
        <v>1552378404288985</v>
      </c>
      <c r="C2864" t="s">
        <v>40</v>
      </c>
      <c r="D2864">
        <v>5.6535729999999997</v>
      </c>
      <c r="E2864">
        <v>0.39280920000000003</v>
      </c>
      <c r="F2864" t="s">
        <v>69</v>
      </c>
      <c r="G2864">
        <v>-451.05959999999999</v>
      </c>
      <c r="H2864" s="1">
        <v>-9.4221739999999997E-7</v>
      </c>
      <c r="I2864">
        <v>213.91409999999999</v>
      </c>
      <c r="J2864">
        <v>-469.63619999999997</v>
      </c>
      <c r="K2864">
        <v>1.110592</v>
      </c>
      <c r="L2864">
        <v>213.92679999999999</v>
      </c>
      <c r="M2864">
        <v>0.97950919999999997</v>
      </c>
      <c r="N2864">
        <v>0</v>
      </c>
      <c r="O2864">
        <v>-0.20097019999999999</v>
      </c>
      <c r="P2864">
        <v>0.95991090000000001</v>
      </c>
      <c r="Q2864">
        <v>-4.6445409999999999E-2</v>
      </c>
      <c r="R2864">
        <v>-0.27643089999999998</v>
      </c>
      <c r="S2864">
        <v>3.1159669999999999</v>
      </c>
      <c r="T2864">
        <v>-0.18546799999999999</v>
      </c>
      <c r="U2864">
        <v>-4.5318600000000004E-3</v>
      </c>
      <c r="V2864">
        <v>7.788639E-2</v>
      </c>
      <c r="W2864">
        <v>-3.3288829999999998E-2</v>
      </c>
      <c r="X2864">
        <v>0.99640629999999997</v>
      </c>
      <c r="Y2864">
        <v>-0.1988587</v>
      </c>
      <c r="Z2864">
        <v>1.780344E-2</v>
      </c>
      <c r="AA2864">
        <v>0.97986640000000003</v>
      </c>
      <c r="AB2864">
        <v>9</v>
      </c>
      <c r="AC2864">
        <v>18.5765999999999</v>
      </c>
      <c r="AD2864">
        <v>-1.1105929422173999</v>
      </c>
      <c r="AE2864">
        <v>-1.26999999999952E-2</v>
      </c>
      <c r="AF2864">
        <v>-3.7079716224808599</v>
      </c>
      <c r="AG2864">
        <v>-1.1105929422173999</v>
      </c>
      <c r="AH2864">
        <v>18.135255845069899</v>
      </c>
      <c r="AI2864">
        <v>93.433526325935006</v>
      </c>
      <c r="AJ2864">
        <v>101.555544004475</v>
      </c>
      <c r="AK2864">
        <v>18.5437314152942</v>
      </c>
      <c r="AL2864">
        <v>91.907661949770898</v>
      </c>
      <c r="AM2864">
        <v>85.530432047806798</v>
      </c>
      <c r="AN2864">
        <v>0.99999997531484497</v>
      </c>
    </row>
    <row r="2865" spans="1:40" x14ac:dyDescent="0.25">
      <c r="A2865" t="str">
        <f>"20190312161324322"</f>
        <v>20190312161324322</v>
      </c>
      <c r="B2865" t="str">
        <f>"1552378404318266"</f>
        <v>1552378404318266</v>
      </c>
      <c r="C2865" t="s">
        <v>40</v>
      </c>
      <c r="D2865">
        <v>5.6669900000000002</v>
      </c>
      <c r="E2865">
        <v>0.39656619999999998</v>
      </c>
      <c r="F2865" t="s">
        <v>69</v>
      </c>
      <c r="G2865">
        <v>-451.31420000000003</v>
      </c>
      <c r="H2865" s="1">
        <v>-8.0682869999999998E-7</v>
      </c>
      <c r="I2865">
        <v>213.91630000000001</v>
      </c>
      <c r="J2865">
        <v>-469.5471</v>
      </c>
      <c r="K2865">
        <v>1.1105750000000001</v>
      </c>
      <c r="L2865">
        <v>213.91130000000001</v>
      </c>
      <c r="M2865">
        <v>0.97996159999999999</v>
      </c>
      <c r="N2865">
        <v>0</v>
      </c>
      <c r="O2865">
        <v>-0.19875209999999999</v>
      </c>
      <c r="P2865">
        <v>0.9603332</v>
      </c>
      <c r="Q2865">
        <v>-4.6311270000000002E-2</v>
      </c>
      <c r="R2865">
        <v>-0.27498210000000001</v>
      </c>
      <c r="S2865">
        <v>3.115631</v>
      </c>
      <c r="T2865">
        <v>-0.18885489999999999</v>
      </c>
      <c r="U2865">
        <v>-1.785278E-3</v>
      </c>
      <c r="V2865">
        <v>7.8635720000000006E-2</v>
      </c>
      <c r="W2865">
        <v>-3.3163060000000001E-2</v>
      </c>
      <c r="X2865">
        <v>0.99635169999999995</v>
      </c>
      <c r="Y2865">
        <v>-0.1974841</v>
      </c>
      <c r="Z2865">
        <v>1.795633E-2</v>
      </c>
      <c r="AA2865">
        <v>0.98014159999999995</v>
      </c>
      <c r="AB2865">
        <v>9</v>
      </c>
      <c r="AC2865">
        <v>18.232899999999901</v>
      </c>
      <c r="AD2865">
        <v>-1.1105758068286999</v>
      </c>
      <c r="AE2865">
        <v>4.9999999999954499E-3</v>
      </c>
      <c r="AF2865">
        <v>-3.61562634050112</v>
      </c>
      <c r="AG2865">
        <v>-1.1105758068286999</v>
      </c>
      <c r="AH2865">
        <v>17.802045292216501</v>
      </c>
      <c r="AI2865">
        <v>93.498510298324305</v>
      </c>
      <c r="AJ2865">
        <v>101.480711352339</v>
      </c>
      <c r="AK2865">
        <v>18.199421667815901</v>
      </c>
      <c r="AL2865">
        <v>91.900451760152606</v>
      </c>
      <c r="AM2865">
        <v>85.487361683641794</v>
      </c>
      <c r="AN2865">
        <v>1.0000000375506799</v>
      </c>
    </row>
    <row r="2866" spans="1:40" x14ac:dyDescent="0.25">
      <c r="A2866" t="str">
        <f>"20190312161324344"</f>
        <v>20190312161324344</v>
      </c>
      <c r="B2866" t="str">
        <f>"1552378404338762"</f>
        <v>1552378404338762</v>
      </c>
      <c r="C2866" t="s">
        <v>40</v>
      </c>
      <c r="D2866">
        <v>5.655424</v>
      </c>
      <c r="E2866">
        <v>0.3965881</v>
      </c>
      <c r="F2866" t="s">
        <v>69</v>
      </c>
      <c r="G2866">
        <v>-455.19450000000001</v>
      </c>
      <c r="H2866" s="1">
        <v>1.262729E-6</v>
      </c>
      <c r="I2866">
        <v>213.81030000000001</v>
      </c>
      <c r="J2866">
        <v>-469.4622</v>
      </c>
      <c r="K2866">
        <v>1.1105499999999999</v>
      </c>
      <c r="L2866">
        <v>213.8965</v>
      </c>
      <c r="M2866">
        <v>0.98037390000000002</v>
      </c>
      <c r="N2866">
        <v>0</v>
      </c>
      <c r="O2866">
        <v>-0.19670950000000001</v>
      </c>
      <c r="P2866">
        <v>0.96076510000000004</v>
      </c>
      <c r="Q2866">
        <v>-4.6273429999999997E-2</v>
      </c>
      <c r="R2866">
        <v>-0.27347759999999999</v>
      </c>
      <c r="S2866">
        <v>3.1061100000000001</v>
      </c>
      <c r="T2866">
        <v>-0.2403449</v>
      </c>
      <c r="U2866">
        <v>-2.185059E-2</v>
      </c>
      <c r="V2866">
        <v>7.9148579999999996E-2</v>
      </c>
      <c r="W2866">
        <v>-3.313468E-2</v>
      </c>
      <c r="X2866">
        <v>0.99631199999999998</v>
      </c>
      <c r="Y2866">
        <v>-0.1886787</v>
      </c>
      <c r="Z2866">
        <v>2.2410510000000002E-2</v>
      </c>
      <c r="AA2866">
        <v>0.98178319999999997</v>
      </c>
      <c r="AB2866">
        <v>9</v>
      </c>
      <c r="AC2866">
        <v>14.2676999999999</v>
      </c>
      <c r="AD2866">
        <v>-1.1105487372709999</v>
      </c>
      <c r="AE2866">
        <v>-8.6199999999990895E-2</v>
      </c>
      <c r="AF2866">
        <v>-2.7059252292293099</v>
      </c>
      <c r="AG2866">
        <v>-1.1105487372709999</v>
      </c>
      <c r="AH2866">
        <v>13.9215035523592</v>
      </c>
      <c r="AI2866">
        <v>94.477505968285001</v>
      </c>
      <c r="AJ2866">
        <v>100.99944108065399</v>
      </c>
      <c r="AK2866">
        <v>14.2254564426729</v>
      </c>
      <c r="AL2866">
        <v>91.898824877416203</v>
      </c>
      <c r="AM2866">
        <v>85.457872902478996</v>
      </c>
      <c r="AN2866">
        <v>1.0000000030393501</v>
      </c>
    </row>
    <row r="2867" spans="1:40" x14ac:dyDescent="0.25">
      <c r="A2867" t="str">
        <f>"20190312161324367"</f>
        <v>20190312161324367</v>
      </c>
      <c r="B2867" t="str">
        <f>"1552378404358284"</f>
        <v>1552378404358284</v>
      </c>
      <c r="C2867" t="s">
        <v>40</v>
      </c>
      <c r="D2867">
        <v>5.7204569999999997</v>
      </c>
      <c r="E2867">
        <v>0.40074409999999999</v>
      </c>
      <c r="F2867" t="s">
        <v>69</v>
      </c>
      <c r="G2867">
        <v>-455.18490000000003</v>
      </c>
      <c r="H2867" s="1">
        <v>1.2572889999999999E-6</v>
      </c>
      <c r="I2867">
        <v>213.8177</v>
      </c>
      <c r="J2867">
        <v>-469.37849999999997</v>
      </c>
      <c r="K2867">
        <v>1.1105160000000001</v>
      </c>
      <c r="L2867">
        <v>213.88210000000001</v>
      </c>
      <c r="M2867">
        <v>0.98076110000000005</v>
      </c>
      <c r="N2867">
        <v>0</v>
      </c>
      <c r="O2867">
        <v>-0.194771</v>
      </c>
      <c r="P2867">
        <v>0.961198</v>
      </c>
      <c r="Q2867">
        <v>-4.7106040000000002E-2</v>
      </c>
      <c r="R2867">
        <v>-0.27180910000000003</v>
      </c>
      <c r="S2867">
        <v>3.105988</v>
      </c>
      <c r="T2867">
        <v>-0.2415979</v>
      </c>
      <c r="U2867">
        <v>-1.715088E-2</v>
      </c>
      <c r="V2867">
        <v>7.9394709999999993E-2</v>
      </c>
      <c r="W2867">
        <v>-3.3978340000000003E-2</v>
      </c>
      <c r="X2867">
        <v>0.99626400000000004</v>
      </c>
      <c r="Y2867">
        <v>-0.18821789999999999</v>
      </c>
      <c r="Z2867">
        <v>2.2362360000000001E-2</v>
      </c>
      <c r="AA2867">
        <v>0.98187270000000004</v>
      </c>
      <c r="AB2867">
        <v>9</v>
      </c>
      <c r="AC2867">
        <v>14.193599999999901</v>
      </c>
      <c r="AD2867">
        <v>-1.110514742711</v>
      </c>
      <c r="AE2867">
        <v>-6.4400000000006202E-2</v>
      </c>
      <c r="AF2867">
        <v>-2.6851359547238101</v>
      </c>
      <c r="AG2867">
        <v>-1.110514742711</v>
      </c>
      <c r="AH2867">
        <v>13.8494928251103</v>
      </c>
      <c r="AI2867">
        <v>94.500965502579803</v>
      </c>
      <c r="AJ2867">
        <v>100.972360661609</v>
      </c>
      <c r="AK2867">
        <v>14.151029983782401</v>
      </c>
      <c r="AL2867">
        <v>91.947190275189897</v>
      </c>
      <c r="AM2867">
        <v>85.443588940080303</v>
      </c>
      <c r="AN2867">
        <v>1.00000000263056</v>
      </c>
    </row>
    <row r="2868" spans="1:40" x14ac:dyDescent="0.25">
      <c r="A2868" t="str">
        <f>"20190312161324387"</f>
        <v>20190312161324387</v>
      </c>
      <c r="B2868" t="str">
        <f>"1552378404378310"</f>
        <v>1552378404378310</v>
      </c>
      <c r="C2868" t="s">
        <v>40</v>
      </c>
      <c r="D2868">
        <v>5.6722460000000003</v>
      </c>
      <c r="E2868">
        <v>0.43144519999999997</v>
      </c>
      <c r="F2868" t="s">
        <v>69</v>
      </c>
      <c r="G2868">
        <v>-455.78070000000002</v>
      </c>
      <c r="H2868" s="1">
        <v>1.579734E-6</v>
      </c>
      <c r="I2868">
        <v>213.6942</v>
      </c>
      <c r="J2868">
        <v>-469.30329999999998</v>
      </c>
      <c r="K2868">
        <v>1.110492</v>
      </c>
      <c r="L2868">
        <v>213.86930000000001</v>
      </c>
      <c r="M2868">
        <v>0.98109109999999999</v>
      </c>
      <c r="N2868">
        <v>0</v>
      </c>
      <c r="O2868">
        <v>-0.1931011</v>
      </c>
      <c r="P2868">
        <v>0.96159740000000005</v>
      </c>
      <c r="Q2868">
        <v>-4.7399459999999997E-2</v>
      </c>
      <c r="R2868">
        <v>-0.27034029999999998</v>
      </c>
      <c r="S2868">
        <v>3.0965880000000001</v>
      </c>
      <c r="T2868">
        <v>-0.25289539999999999</v>
      </c>
      <c r="U2868">
        <v>-4.278564E-2</v>
      </c>
      <c r="V2868">
        <v>7.9569269999999998E-2</v>
      </c>
      <c r="W2868">
        <v>-3.4282189999999997E-2</v>
      </c>
      <c r="X2868">
        <v>0.99623969999999995</v>
      </c>
      <c r="Y2868">
        <v>-0.17831420000000001</v>
      </c>
      <c r="Z2868">
        <v>2.293355E-2</v>
      </c>
      <c r="AA2868">
        <v>0.98370630000000003</v>
      </c>
      <c r="AB2868">
        <v>8</v>
      </c>
      <c r="AC2868">
        <v>13.522599999999899</v>
      </c>
      <c r="AD2868">
        <v>-1.110490420266</v>
      </c>
      <c r="AE2868">
        <v>-0.17510000000001399</v>
      </c>
      <c r="AF2868">
        <v>-2.4233102180429902</v>
      </c>
      <c r="AG2868">
        <v>-1.110490420266</v>
      </c>
      <c r="AH2868">
        <v>13.2127697035012</v>
      </c>
      <c r="AI2868">
        <v>94.725773972299805</v>
      </c>
      <c r="AJ2868">
        <v>100.39292353214</v>
      </c>
      <c r="AK2868">
        <v>13.478980103262</v>
      </c>
      <c r="AL2868">
        <v>91.964609675895701</v>
      </c>
      <c r="AM2868">
        <v>85.433502464993893</v>
      </c>
      <c r="AN2868">
        <v>1.0000000385678001</v>
      </c>
    </row>
    <row r="2869" spans="1:40" x14ac:dyDescent="0.25">
      <c r="A2869" t="str">
        <f>"20190312161324409"</f>
        <v>20190312161324409</v>
      </c>
      <c r="B2869" t="str">
        <f>"1552378404398805"</f>
        <v>1552378404398805</v>
      </c>
      <c r="C2869" t="s">
        <v>40</v>
      </c>
      <c r="D2869">
        <v>5.6733560000000001</v>
      </c>
      <c r="E2869">
        <v>0.4339152</v>
      </c>
      <c r="F2869" t="s">
        <v>69</v>
      </c>
      <c r="G2869">
        <v>-456.4957</v>
      </c>
      <c r="H2869" s="1">
        <v>2.003056E-6</v>
      </c>
      <c r="I2869">
        <v>212.71350000000001</v>
      </c>
      <c r="J2869">
        <v>-469.22250000000003</v>
      </c>
      <c r="K2869">
        <v>1.110465</v>
      </c>
      <c r="L2869">
        <v>213.85550000000001</v>
      </c>
      <c r="M2869">
        <v>0.98142830000000003</v>
      </c>
      <c r="N2869">
        <v>0</v>
      </c>
      <c r="O2869">
        <v>-0.1913802</v>
      </c>
      <c r="P2869">
        <v>0.96201999999999999</v>
      </c>
      <c r="Q2869">
        <v>-4.7081890000000001E-2</v>
      </c>
      <c r="R2869">
        <v>-0.26888830000000002</v>
      </c>
      <c r="S2869">
        <v>3.0300289999999999</v>
      </c>
      <c r="T2869">
        <v>-0.26271870000000003</v>
      </c>
      <c r="U2869">
        <v>-0.2734375</v>
      </c>
      <c r="V2869">
        <v>7.9806509999999997E-2</v>
      </c>
      <c r="W2869">
        <v>-3.3975520000000002E-2</v>
      </c>
      <c r="X2869">
        <v>0.99623119999999998</v>
      </c>
      <c r="Y2869">
        <v>-0.1013283</v>
      </c>
      <c r="Z2869">
        <v>2.0793699999999998E-2</v>
      </c>
      <c r="AA2869">
        <v>0.99463570000000001</v>
      </c>
      <c r="AB2869">
        <v>8</v>
      </c>
      <c r="AC2869">
        <v>12.726800000000001</v>
      </c>
      <c r="AD2869">
        <v>-1.1104629969440001</v>
      </c>
      <c r="AE2869">
        <v>-1.1419999999999899</v>
      </c>
      <c r="AF2869">
        <v>-1.3051227247547399</v>
      </c>
      <c r="AG2869">
        <v>-1.1104629969440001</v>
      </c>
      <c r="AH2869">
        <v>12.6148191194087</v>
      </c>
      <c r="AI2869">
        <v>95.0041175097452</v>
      </c>
      <c r="AJ2869">
        <v>95.906776707787003</v>
      </c>
      <c r="AK2869">
        <v>12.7306769187523</v>
      </c>
      <c r="AL2869">
        <v>91.947028594513</v>
      </c>
      <c r="AM2869">
        <v>85.419906139594204</v>
      </c>
      <c r="AN2869">
        <v>1.0000000094255399</v>
      </c>
    </row>
    <row r="2870" spans="1:40" x14ac:dyDescent="0.25">
      <c r="A2870" t="str">
        <f>"20190312161324433"</f>
        <v>20190312161324433</v>
      </c>
      <c r="B2870" t="str">
        <f>"1552378404429063"</f>
        <v>1552378404429063</v>
      </c>
      <c r="C2870" t="s">
        <v>40</v>
      </c>
      <c r="D2870">
        <v>5.6832859999999998</v>
      </c>
      <c r="E2870">
        <v>0.43556509999999998</v>
      </c>
      <c r="F2870" t="s">
        <v>69</v>
      </c>
      <c r="G2870">
        <v>-456.06229999999999</v>
      </c>
      <c r="H2870" s="1">
        <v>1.7774119999999901E-6</v>
      </c>
      <c r="I2870">
        <v>212.6001</v>
      </c>
      <c r="J2870">
        <v>-469.13440000000003</v>
      </c>
      <c r="K2870">
        <v>1.110428</v>
      </c>
      <c r="L2870">
        <v>213.84049999999999</v>
      </c>
      <c r="M2870">
        <v>0.98177309999999995</v>
      </c>
      <c r="N2870">
        <v>0</v>
      </c>
      <c r="O2870">
        <v>-0.18960369999999999</v>
      </c>
      <c r="P2870">
        <v>0.96233559999999996</v>
      </c>
      <c r="Q2870">
        <v>-4.7124510000000001E-2</v>
      </c>
      <c r="R2870">
        <v>-0.2677486</v>
      </c>
      <c r="S2870">
        <v>3.0252379999999999</v>
      </c>
      <c r="T2870">
        <v>-0.2552719</v>
      </c>
      <c r="U2870">
        <v>-0.2885895</v>
      </c>
      <c r="V2870">
        <v>8.0427520000000002E-2</v>
      </c>
      <c r="W2870">
        <v>-3.4029900000000002E-2</v>
      </c>
      <c r="X2870">
        <v>0.99617940000000005</v>
      </c>
      <c r="Y2870">
        <v>-9.4532950000000004E-2</v>
      </c>
      <c r="Z2870">
        <v>1.979947E-2</v>
      </c>
      <c r="AA2870">
        <v>0.99532489999999996</v>
      </c>
      <c r="AB2870">
        <v>8</v>
      </c>
      <c r="AC2870">
        <v>13.072100000000001</v>
      </c>
      <c r="AD2870">
        <v>-1.1104262225879999</v>
      </c>
      <c r="AE2870">
        <v>-1.24039999999999</v>
      </c>
      <c r="AF2870">
        <v>-1.25188280795433</v>
      </c>
      <c r="AG2870">
        <v>-1.1104262225879999</v>
      </c>
      <c r="AH2870">
        <v>12.977337612674599</v>
      </c>
      <c r="AI2870">
        <v>94.868200829025497</v>
      </c>
      <c r="AJ2870">
        <v>95.510093217908903</v>
      </c>
      <c r="AK2870">
        <v>13.0847830885346</v>
      </c>
      <c r="AL2870">
        <v>91.950146143479898</v>
      </c>
      <c r="AM2870">
        <v>85.384180819983698</v>
      </c>
      <c r="AN2870">
        <v>1.00000000852586</v>
      </c>
    </row>
    <row r="2871" spans="1:40" x14ac:dyDescent="0.25">
      <c r="A2871" t="str">
        <f>"20190312161324454"</f>
        <v>20190312161324454</v>
      </c>
      <c r="B2871" t="str">
        <f>"1552378404448581"</f>
        <v>1552378404448581</v>
      </c>
      <c r="C2871" t="s">
        <v>40</v>
      </c>
      <c r="D2871">
        <v>5.7134830000000001</v>
      </c>
      <c r="E2871">
        <v>0.43623830000000002</v>
      </c>
      <c r="F2871" t="s">
        <v>69</v>
      </c>
      <c r="G2871">
        <v>-455.6379</v>
      </c>
      <c r="H2871" s="1">
        <v>1.555555E-6</v>
      </c>
      <c r="I2871">
        <v>212.50819999999999</v>
      </c>
      <c r="J2871">
        <v>-469.05869999999999</v>
      </c>
      <c r="K2871">
        <v>1.110403</v>
      </c>
      <c r="L2871">
        <v>213.82769999999999</v>
      </c>
      <c r="M2871">
        <v>0.98205580000000003</v>
      </c>
      <c r="N2871">
        <v>0</v>
      </c>
      <c r="O2871">
        <v>-0.18813530000000001</v>
      </c>
      <c r="P2871">
        <v>0.96255740000000001</v>
      </c>
      <c r="Q2871">
        <v>-4.7200539999999999E-2</v>
      </c>
      <c r="R2871">
        <v>-0.266937799999999</v>
      </c>
      <c r="S2871">
        <v>3.0222169999999999</v>
      </c>
      <c r="T2871">
        <v>-0.2486527</v>
      </c>
      <c r="U2871">
        <v>-0.29833979999999999</v>
      </c>
      <c r="V2871">
        <v>8.1076709999999996E-2</v>
      </c>
      <c r="W2871">
        <v>-3.4114199999999997E-2</v>
      </c>
      <c r="X2871">
        <v>0.99612389999999995</v>
      </c>
      <c r="Y2871">
        <v>-8.9837539999999994E-2</v>
      </c>
      <c r="Z2871">
        <v>1.8992269999999999E-2</v>
      </c>
      <c r="AA2871">
        <v>0.99577530000000003</v>
      </c>
      <c r="AB2871">
        <v>8</v>
      </c>
      <c r="AC2871">
        <v>13.4207999999999</v>
      </c>
      <c r="AD2871">
        <v>-1.1104014444449899</v>
      </c>
      <c r="AE2871">
        <v>-1.3194999999999999</v>
      </c>
      <c r="AF2871">
        <v>-1.2209311936001701</v>
      </c>
      <c r="AG2871">
        <v>-1.1104014444449899</v>
      </c>
      <c r="AH2871">
        <v>13.338933659188401</v>
      </c>
      <c r="AI2871">
        <v>94.738904514871905</v>
      </c>
      <c r="AJ2871">
        <v>95.229790008497403</v>
      </c>
      <c r="AK2871">
        <v>13.4406404427602</v>
      </c>
      <c r="AL2871">
        <v>91.954978965468001</v>
      </c>
      <c r="AM2871">
        <v>85.346827965772306</v>
      </c>
      <c r="AN2871">
        <v>1.0000000178486299</v>
      </c>
    </row>
    <row r="2872" spans="1:40" x14ac:dyDescent="0.25">
      <c r="A2872" t="str">
        <f>"20190312161324477"</f>
        <v>20190312161324477</v>
      </c>
      <c r="B2872" t="str">
        <f>"1552378404468489"</f>
        <v>1552378404468489</v>
      </c>
      <c r="C2872" t="s">
        <v>40</v>
      </c>
      <c r="D2872">
        <v>5.6951580000000002</v>
      </c>
      <c r="E2872">
        <v>0.43687039999999999</v>
      </c>
      <c r="F2872" t="s">
        <v>69</v>
      </c>
      <c r="G2872">
        <v>-455.69690000000003</v>
      </c>
      <c r="H2872" s="1">
        <v>1.5874409999999999E-6</v>
      </c>
      <c r="I2872">
        <v>212.49680000000001</v>
      </c>
      <c r="J2872">
        <v>-468.97669999999999</v>
      </c>
      <c r="K2872">
        <v>1.110395</v>
      </c>
      <c r="L2872">
        <v>213.81389999999999</v>
      </c>
      <c r="M2872">
        <v>0.98234750000000004</v>
      </c>
      <c r="N2872">
        <v>0</v>
      </c>
      <c r="O2872">
        <v>-0.1866063</v>
      </c>
      <c r="P2872">
        <v>0.96305909999999995</v>
      </c>
      <c r="Q2872">
        <v>-4.7916569999999999E-2</v>
      </c>
      <c r="R2872">
        <v>-0.26499319999999998</v>
      </c>
      <c r="S2872">
        <v>3.020905</v>
      </c>
      <c r="T2872">
        <v>-0.25104530000000003</v>
      </c>
      <c r="U2872">
        <v>-0.30088809999999999</v>
      </c>
      <c r="V2872">
        <v>8.0621849999999995E-2</v>
      </c>
      <c r="W2872">
        <v>-3.4836789999999999E-2</v>
      </c>
      <c r="X2872">
        <v>0.99613580000000002</v>
      </c>
      <c r="Y2872">
        <v>-8.740771E-2</v>
      </c>
      <c r="Z2872">
        <v>1.8956770000000001E-2</v>
      </c>
      <c r="AA2872">
        <v>0.99599219999999999</v>
      </c>
      <c r="AB2872">
        <v>8</v>
      </c>
      <c r="AC2872">
        <v>13.2797999999999</v>
      </c>
      <c r="AD2872">
        <v>-1.110393412559</v>
      </c>
      <c r="AE2872">
        <v>-1.31709999999998</v>
      </c>
      <c r="AF2872">
        <v>-1.1762026767362199</v>
      </c>
      <c r="AG2872">
        <v>-1.110393412559</v>
      </c>
      <c r="AH2872">
        <v>13.200902067229499</v>
      </c>
      <c r="AI2872">
        <v>94.7892300188349</v>
      </c>
      <c r="AJ2872">
        <v>95.091618504743707</v>
      </c>
      <c r="AK2872">
        <v>13.2996331399028</v>
      </c>
      <c r="AL2872">
        <v>91.996404967893596</v>
      </c>
      <c r="AM2872">
        <v>85.372874748319504</v>
      </c>
      <c r="AN2872">
        <v>1.0000000083382801</v>
      </c>
    </row>
    <row r="2873" spans="1:40" x14ac:dyDescent="0.25">
      <c r="A2873" t="str">
        <f>"20190312161324498"</f>
        <v>20190312161324498</v>
      </c>
      <c r="B2873" t="str">
        <f>"1552378404488985"</f>
        <v>1552378404488985</v>
      </c>
      <c r="C2873" t="s">
        <v>40</v>
      </c>
      <c r="D2873">
        <v>5.6719339999999896</v>
      </c>
      <c r="E2873">
        <v>0.43741160000000001</v>
      </c>
      <c r="F2873" t="s">
        <v>69</v>
      </c>
      <c r="G2873">
        <v>-456.06799999999998</v>
      </c>
      <c r="H2873" s="1">
        <v>1.7832079999999999E-6</v>
      </c>
      <c r="I2873">
        <v>212.5361</v>
      </c>
      <c r="J2873">
        <v>-468.89580000000001</v>
      </c>
      <c r="K2873">
        <v>1.1103879999999999</v>
      </c>
      <c r="L2873">
        <v>213.80019999999999</v>
      </c>
      <c r="M2873">
        <v>0.98262110000000003</v>
      </c>
      <c r="N2873">
        <v>0</v>
      </c>
      <c r="O2873">
        <v>-0.1851604</v>
      </c>
      <c r="P2873">
        <v>0.96351600000000004</v>
      </c>
      <c r="Q2873">
        <v>-4.818571E-2</v>
      </c>
      <c r="R2873">
        <v>-0.26327820000000002</v>
      </c>
      <c r="S2873">
        <v>3.0198670000000001</v>
      </c>
      <c r="T2873">
        <v>-0.25976549999999998</v>
      </c>
      <c r="U2873">
        <v>-0.29891970000000001</v>
      </c>
      <c r="V2873">
        <v>8.0316449999999998E-2</v>
      </c>
      <c r="W2873">
        <v>-3.5111080000000003E-2</v>
      </c>
      <c r="X2873">
        <v>0.99615089999999995</v>
      </c>
      <c r="Y2873">
        <v>-8.6493249999999994E-2</v>
      </c>
      <c r="Z2873">
        <v>1.9459609999999999E-2</v>
      </c>
      <c r="AA2873">
        <v>0.99606240000000001</v>
      </c>
      <c r="AB2873">
        <v>8</v>
      </c>
      <c r="AC2873">
        <v>12.8277999999999</v>
      </c>
      <c r="AD2873">
        <v>-1.110386216792</v>
      </c>
      <c r="AE2873">
        <v>-1.26409999999998</v>
      </c>
      <c r="AF2873">
        <v>-1.12481938037056</v>
      </c>
      <c r="AG2873">
        <v>-1.110386216792</v>
      </c>
      <c r="AH2873">
        <v>12.745448095956201</v>
      </c>
      <c r="AI2873">
        <v>94.959868462162603</v>
      </c>
      <c r="AJ2873">
        <v>95.043436958825097</v>
      </c>
      <c r="AK2873">
        <v>12.843076864817601</v>
      </c>
      <c r="AL2873">
        <v>92.012130127766198</v>
      </c>
      <c r="AM2873">
        <v>85.390396445800704</v>
      </c>
      <c r="AN2873">
        <v>1.00000006782508</v>
      </c>
    </row>
    <row r="2874" spans="1:40" x14ac:dyDescent="0.25">
      <c r="A2874" t="str">
        <f>"20190312161324523"</f>
        <v>20190312161324523</v>
      </c>
      <c r="B2874" t="str">
        <f>"1552378404518265"</f>
        <v>1552378404518265</v>
      </c>
      <c r="C2874" t="s">
        <v>40</v>
      </c>
      <c r="D2874">
        <v>5.6892750000000003</v>
      </c>
      <c r="E2874">
        <v>0.43821260000000001</v>
      </c>
      <c r="F2874" t="s">
        <v>69</v>
      </c>
      <c r="G2874">
        <v>-456.2124</v>
      </c>
      <c r="H2874" s="1">
        <v>1.859455E-6</v>
      </c>
      <c r="I2874">
        <v>212.55070000000001</v>
      </c>
      <c r="J2874">
        <v>-468.8091</v>
      </c>
      <c r="K2874">
        <v>1.1103799999999999</v>
      </c>
      <c r="L2874">
        <v>213.78569999999999</v>
      </c>
      <c r="M2874">
        <v>0.98289930000000003</v>
      </c>
      <c r="N2874">
        <v>0</v>
      </c>
      <c r="O2874">
        <v>-0.18367790000000001</v>
      </c>
      <c r="P2874">
        <v>0.96389659999999999</v>
      </c>
      <c r="Q2874">
        <v>-4.8610729999999998E-2</v>
      </c>
      <c r="R2874">
        <v>-0.2618026</v>
      </c>
      <c r="S2874">
        <v>3.019104</v>
      </c>
      <c r="T2874">
        <v>-0.2643123</v>
      </c>
      <c r="U2874">
        <v>-0.29743960000000003</v>
      </c>
      <c r="V2874">
        <v>8.0297419999999994E-2</v>
      </c>
      <c r="W2874">
        <v>-3.5541730000000001E-2</v>
      </c>
      <c r="X2874">
        <v>0.9961371</v>
      </c>
      <c r="Y2874">
        <v>-8.5423550000000001E-2</v>
      </c>
      <c r="Z2874">
        <v>1.9630950000000001E-2</v>
      </c>
      <c r="AA2874">
        <v>0.99615129999999996</v>
      </c>
      <c r="AB2874">
        <v>8</v>
      </c>
      <c r="AC2874">
        <v>12.596699999999901</v>
      </c>
      <c r="AD2874">
        <v>-1.1103781405449999</v>
      </c>
      <c r="AE2874">
        <v>-1.2349999999999799</v>
      </c>
      <c r="AF2874">
        <v>-1.0915483120865299</v>
      </c>
      <c r="AG2874">
        <v>-1.1103781405449999</v>
      </c>
      <c r="AH2874">
        <v>12.512909185680799</v>
      </c>
      <c r="AI2874">
        <v>95.0519789513353</v>
      </c>
      <c r="AJ2874">
        <v>94.985506611327907</v>
      </c>
      <c r="AK2874">
        <v>12.609413690640601</v>
      </c>
      <c r="AL2874">
        <v>92.036820090189096</v>
      </c>
      <c r="AM2874">
        <v>85.391420360681906</v>
      </c>
      <c r="AN2874">
        <v>1.0000000061132199</v>
      </c>
    </row>
    <row r="2875" spans="1:40" x14ac:dyDescent="0.25">
      <c r="A2875" t="str">
        <f>"20190312161324545"</f>
        <v>20190312161324545</v>
      </c>
      <c r="B2875" t="str">
        <f>"1552378404538761"</f>
        <v>1552378404538761</v>
      </c>
      <c r="C2875" t="s">
        <v>40</v>
      </c>
      <c r="D2875">
        <v>5.6815480000000003</v>
      </c>
      <c r="E2875">
        <v>0.43868269999999998</v>
      </c>
      <c r="F2875" t="s">
        <v>69</v>
      </c>
      <c r="G2875">
        <v>-456.34390000000002</v>
      </c>
      <c r="H2875" s="1">
        <v>1.9293919999999999E-6</v>
      </c>
      <c r="I2875">
        <v>212.55090000000001</v>
      </c>
      <c r="J2875">
        <v>-468.72770000000003</v>
      </c>
      <c r="K2875">
        <v>1.1103689999999999</v>
      </c>
      <c r="L2875">
        <v>213.7722</v>
      </c>
      <c r="M2875">
        <v>0.98314760000000001</v>
      </c>
      <c r="N2875">
        <v>0</v>
      </c>
      <c r="O2875">
        <v>-0.1823447</v>
      </c>
      <c r="P2875">
        <v>0.9640493</v>
      </c>
      <c r="Q2875">
        <v>-4.8990579999999999E-2</v>
      </c>
      <c r="R2875">
        <v>-0.26116820000000002</v>
      </c>
      <c r="S2875">
        <v>3.017639</v>
      </c>
      <c r="T2875">
        <v>-0.26880599999999999</v>
      </c>
      <c r="U2875">
        <v>-0.2989349</v>
      </c>
      <c r="V2875">
        <v>8.0995429999999993E-2</v>
      </c>
      <c r="W2875">
        <v>-3.5927649999999998E-2</v>
      </c>
      <c r="X2875">
        <v>0.99606669999999997</v>
      </c>
      <c r="Y2875">
        <v>-8.3513240000000002E-2</v>
      </c>
      <c r="Z2875">
        <v>1.9771440000000001E-2</v>
      </c>
      <c r="AA2875">
        <v>0.99631049999999999</v>
      </c>
      <c r="AB2875">
        <v>8</v>
      </c>
      <c r="AC2875">
        <v>12.383800000000001</v>
      </c>
      <c r="AD2875">
        <v>-1.110367070608</v>
      </c>
      <c r="AE2875">
        <v>-1.2212999999999801</v>
      </c>
      <c r="AF2875">
        <v>-1.0491394214881</v>
      </c>
      <c r="AG2875">
        <v>-1.110367070608</v>
      </c>
      <c r="AH2875">
        <v>12.300922419357599</v>
      </c>
      <c r="AI2875">
        <v>95.139379544018496</v>
      </c>
      <c r="AJ2875">
        <v>94.874930194114</v>
      </c>
      <c r="AK2875">
        <v>12.395414511998601</v>
      </c>
      <c r="AL2875">
        <v>92.058945897077194</v>
      </c>
      <c r="AM2875">
        <v>85.351206575428904</v>
      </c>
      <c r="AN2875">
        <v>0.99999996328214702</v>
      </c>
    </row>
    <row r="2876" spans="1:40" x14ac:dyDescent="0.25">
      <c r="A2876" t="str">
        <f>"20190312161324590"</f>
        <v>20190312161324590</v>
      </c>
      <c r="B2876" t="str">
        <f>"1552378404578308"</f>
        <v>1552378404578308</v>
      </c>
      <c r="C2876" t="s">
        <v>40</v>
      </c>
      <c r="D2876">
        <v>5.6430309999999997</v>
      </c>
      <c r="E2876">
        <v>0.43925950000000002</v>
      </c>
      <c r="F2876" t="s">
        <v>69</v>
      </c>
      <c r="G2876">
        <v>-456.44979999999998</v>
      </c>
      <c r="H2876" s="1">
        <v>1.9857759999999999E-6</v>
      </c>
      <c r="I2876">
        <v>212.55</v>
      </c>
      <c r="J2876">
        <v>-468.56569999999999</v>
      </c>
      <c r="K2876">
        <v>1.1103499999999999</v>
      </c>
      <c r="L2876">
        <v>213.74529999999999</v>
      </c>
      <c r="M2876">
        <v>0.98360760000000003</v>
      </c>
      <c r="N2876">
        <v>0</v>
      </c>
      <c r="O2876">
        <v>-0.1798469</v>
      </c>
      <c r="P2876">
        <v>0.96451039999999999</v>
      </c>
      <c r="Q2876">
        <v>-4.8139689999999999E-2</v>
      </c>
      <c r="R2876">
        <v>-0.25962020000000002</v>
      </c>
      <c r="S2876">
        <v>3.0166629999999999</v>
      </c>
      <c r="T2876">
        <v>-0.27281509999999998</v>
      </c>
      <c r="U2876">
        <v>-0.30027769999999998</v>
      </c>
      <c r="V2876">
        <v>8.1915989999999994E-2</v>
      </c>
      <c r="W2876">
        <v>-3.5087529999999999E-2</v>
      </c>
      <c r="X2876">
        <v>0.99602139999999995</v>
      </c>
      <c r="Y2876">
        <v>-8.0501409999999995E-2</v>
      </c>
      <c r="Z2876">
        <v>1.971434E-2</v>
      </c>
      <c r="AA2876">
        <v>0.99655950000000004</v>
      </c>
      <c r="AB2876">
        <v>8</v>
      </c>
      <c r="AC2876">
        <v>12.1159</v>
      </c>
      <c r="AD2876">
        <v>-1.1103480142240001</v>
      </c>
      <c r="AE2876">
        <v>-1.1952999999999701</v>
      </c>
      <c r="AF2876">
        <v>-0.99510980595669596</v>
      </c>
      <c r="AG2876">
        <v>-1.1103480142240001</v>
      </c>
      <c r="AH2876">
        <v>12.033212874226701</v>
      </c>
      <c r="AI2876">
        <v>95.254125373690201</v>
      </c>
      <c r="AJ2876">
        <v>94.727428238102704</v>
      </c>
      <c r="AK2876">
        <v>12.125235185968799</v>
      </c>
      <c r="AL2876">
        <v>92.010780123367596</v>
      </c>
      <c r="AM2876">
        <v>85.298393002176795</v>
      </c>
      <c r="AN2876">
        <v>0.99999999671856998</v>
      </c>
    </row>
    <row r="2877" spans="1:40" x14ac:dyDescent="0.25">
      <c r="A2877" t="str">
        <f>"20190312161324611"</f>
        <v>20190312161324611</v>
      </c>
      <c r="B2877" t="str">
        <f>"1552378404598804"</f>
        <v>1552378404598804</v>
      </c>
      <c r="C2877" t="s">
        <v>40</v>
      </c>
      <c r="D2877">
        <v>5.669816</v>
      </c>
      <c r="E2877">
        <v>0.43964730000000002</v>
      </c>
      <c r="F2877" t="s">
        <v>69</v>
      </c>
      <c r="G2877">
        <v>-456.09620000000001</v>
      </c>
      <c r="H2877" s="1">
        <v>1.7996619999999999E-6</v>
      </c>
      <c r="I2877">
        <v>212.5034</v>
      </c>
      <c r="J2877">
        <v>-468.49040000000002</v>
      </c>
      <c r="K2877">
        <v>1.1103529999999999</v>
      </c>
      <c r="L2877">
        <v>213.7328</v>
      </c>
      <c r="M2877">
        <v>0.98380860000000003</v>
      </c>
      <c r="N2877">
        <v>0</v>
      </c>
      <c r="O2877">
        <v>-0.17874429999999999</v>
      </c>
      <c r="P2877">
        <v>0.96506530000000001</v>
      </c>
      <c r="Q2877">
        <v>-4.7168769999999999E-2</v>
      </c>
      <c r="R2877">
        <v>-0.25772909999999999</v>
      </c>
      <c r="S2877">
        <v>3.0161129999999998</v>
      </c>
      <c r="T2877">
        <v>-0.26856989999999997</v>
      </c>
      <c r="U2877">
        <v>-0.3003845</v>
      </c>
      <c r="V2877">
        <v>8.1071290000000004E-2</v>
      </c>
      <c r="W2877">
        <v>-3.4118830000000003E-2</v>
      </c>
      <c r="X2877">
        <v>0.99612409999999996</v>
      </c>
      <c r="Y2877">
        <v>-7.9371739999999996E-2</v>
      </c>
      <c r="Z2877">
        <v>1.9266060000000002E-2</v>
      </c>
      <c r="AA2877">
        <v>0.99665890000000001</v>
      </c>
      <c r="AB2877">
        <v>8</v>
      </c>
      <c r="AC2877">
        <v>12.3942</v>
      </c>
      <c r="AD2877">
        <v>-1.1103512003380001</v>
      </c>
      <c r="AE2877">
        <v>-1.2293999999999901</v>
      </c>
      <c r="AF2877">
        <v>-0.99805234222477301</v>
      </c>
      <c r="AG2877">
        <v>-1.1103512003380001</v>
      </c>
      <c r="AH2877">
        <v>12.316445775070999</v>
      </c>
      <c r="AI2877">
        <v>95.134658274555306</v>
      </c>
      <c r="AJ2877">
        <v>94.632790305960398</v>
      </c>
      <c r="AK2877">
        <v>12.406604079931601</v>
      </c>
      <c r="AL2877">
        <v>91.955244560297103</v>
      </c>
      <c r="AM2877">
        <v>85.347138595839894</v>
      </c>
      <c r="AN2877">
        <v>0.99999993561181899</v>
      </c>
    </row>
    <row r="2878" spans="1:40" x14ac:dyDescent="0.25">
      <c r="A2878" t="str">
        <f>"20190312161324636"</f>
        <v>20190312161324636</v>
      </c>
      <c r="B2878" t="str">
        <f>"1552378404629059"</f>
        <v>1552378404629059</v>
      </c>
      <c r="C2878" t="s">
        <v>40</v>
      </c>
      <c r="D2878">
        <v>5.6440270000000003</v>
      </c>
      <c r="E2878">
        <v>0.43993900000000002</v>
      </c>
      <c r="F2878" t="s">
        <v>69</v>
      </c>
      <c r="G2878">
        <v>-455.8938</v>
      </c>
      <c r="H2878" s="1">
        <v>1.6925070000000001E-6</v>
      </c>
      <c r="I2878">
        <v>212.4907</v>
      </c>
      <c r="J2878">
        <v>-468.39830000000001</v>
      </c>
      <c r="K2878">
        <v>1.1103559999999999</v>
      </c>
      <c r="L2878">
        <v>213.71770000000001</v>
      </c>
      <c r="M2878">
        <v>0.98404590000000003</v>
      </c>
      <c r="N2878">
        <v>0</v>
      </c>
      <c r="O2878">
        <v>-0.17743320000000001</v>
      </c>
      <c r="P2878">
        <v>0.96562239999999999</v>
      </c>
      <c r="Q2878">
        <v>-4.7166380000000001E-2</v>
      </c>
      <c r="R2878">
        <v>-0.25563390000000002</v>
      </c>
      <c r="S2878">
        <v>3.0161440000000002</v>
      </c>
      <c r="T2878">
        <v>-0.2658644</v>
      </c>
      <c r="U2878">
        <v>-0.29742429999999997</v>
      </c>
      <c r="V2878">
        <v>8.0237569999999994E-2</v>
      </c>
      <c r="W2878">
        <v>-3.4117559999999998E-2</v>
      </c>
      <c r="X2878">
        <v>0.99619170000000001</v>
      </c>
      <c r="Y2878">
        <v>-7.9039219999999993E-2</v>
      </c>
      <c r="Z2878">
        <v>1.8946009999999999E-2</v>
      </c>
      <c r="AA2878">
        <v>0.99669149999999995</v>
      </c>
      <c r="AB2878">
        <v>8</v>
      </c>
      <c r="AC2878">
        <v>12.5045</v>
      </c>
      <c r="AD2878">
        <v>-1.11035430749299</v>
      </c>
      <c r="AE2878">
        <v>-1.2270000000000001</v>
      </c>
      <c r="AF2878">
        <v>-1.0035384341436899</v>
      </c>
      <c r="AG2878">
        <v>-1.11035430749299</v>
      </c>
      <c r="AH2878">
        <v>12.4267362442272</v>
      </c>
      <c r="AI2878">
        <v>95.089454423703401</v>
      </c>
      <c r="AJ2878">
        <v>94.616981364563202</v>
      </c>
      <c r="AK2878">
        <v>12.516539048817</v>
      </c>
      <c r="AL2878">
        <v>91.955171647166694</v>
      </c>
      <c r="AM2878">
        <v>85.395091920882095</v>
      </c>
      <c r="AN2878">
        <v>0.99999998934437395</v>
      </c>
    </row>
    <row r="2879" spans="1:40" x14ac:dyDescent="0.25">
      <c r="A2879" t="str">
        <f>"20190312161324655"</f>
        <v>20190312161324655</v>
      </c>
      <c r="B2879" t="str">
        <f>"1552378404648580"</f>
        <v>1552378404648580</v>
      </c>
      <c r="C2879" t="s">
        <v>40</v>
      </c>
      <c r="D2879">
        <v>5.6649370000000001</v>
      </c>
      <c r="E2879">
        <v>0.4811202</v>
      </c>
      <c r="F2879" t="s">
        <v>69</v>
      </c>
      <c r="G2879">
        <v>-455.77629999999999</v>
      </c>
      <c r="H2879" s="1">
        <v>1.629882E-6</v>
      </c>
      <c r="I2879">
        <v>212.49299999999999</v>
      </c>
      <c r="J2879">
        <v>-468.32900000000001</v>
      </c>
      <c r="K2879">
        <v>1.110365</v>
      </c>
      <c r="L2879">
        <v>213.7064</v>
      </c>
      <c r="M2879">
        <v>0.98422069999999995</v>
      </c>
      <c r="N2879">
        <v>0</v>
      </c>
      <c r="O2879">
        <v>-0.17646139999999999</v>
      </c>
      <c r="P2879">
        <v>0.96603510000000004</v>
      </c>
      <c r="Q2879">
        <v>-4.6571790000000002E-2</v>
      </c>
      <c r="R2879">
        <v>-0.25418020000000002</v>
      </c>
      <c r="S2879">
        <v>3.016327</v>
      </c>
      <c r="T2879">
        <v>-0.26534449999999998</v>
      </c>
      <c r="U2879">
        <v>-0.29267880000000002</v>
      </c>
      <c r="V2879">
        <v>7.9717819999999995E-2</v>
      </c>
      <c r="W2879">
        <v>-3.3522150000000001E-2</v>
      </c>
      <c r="X2879">
        <v>0.99625370000000002</v>
      </c>
      <c r="Y2879">
        <v>-7.9619099999999998E-2</v>
      </c>
      <c r="Z2879">
        <v>1.88516E-2</v>
      </c>
      <c r="AA2879">
        <v>0.99664710000000001</v>
      </c>
      <c r="AB2879">
        <v>8</v>
      </c>
      <c r="AC2879">
        <v>12.5527</v>
      </c>
      <c r="AD2879">
        <v>-1.110363370118</v>
      </c>
      <c r="AE2879">
        <v>-1.2134</v>
      </c>
      <c r="AF2879">
        <v>-1.0130477034268099</v>
      </c>
      <c r="AG2879">
        <v>-1.110363370118</v>
      </c>
      <c r="AH2879">
        <v>12.4731277846811</v>
      </c>
      <c r="AI2879">
        <v>95.070477643646399</v>
      </c>
      <c r="AJ2879">
        <v>94.643280760706105</v>
      </c>
      <c r="AK2879">
        <v>12.5633629731892</v>
      </c>
      <c r="AL2879">
        <v>91.921037522999598</v>
      </c>
      <c r="AM2879">
        <v>85.425077323711307</v>
      </c>
      <c r="AN2879">
        <v>1.00000005006493</v>
      </c>
    </row>
    <row r="2880" spans="1:40" x14ac:dyDescent="0.25">
      <c r="A2880" t="str">
        <f>"20190312161324678"</f>
        <v>20190312161324678</v>
      </c>
      <c r="B2880" t="str">
        <f>"1552378404668597"</f>
        <v>1552378404668597</v>
      </c>
      <c r="C2880" t="s">
        <v>40</v>
      </c>
      <c r="D2880">
        <v>5.6334390000000001</v>
      </c>
      <c r="E2880">
        <v>0.52004529999999904</v>
      </c>
      <c r="F2880" t="s">
        <v>43</v>
      </c>
      <c r="G2880">
        <v>-467.5917</v>
      </c>
      <c r="H2880">
        <v>0.99465300000000001</v>
      </c>
      <c r="I2880">
        <v>213.55760000000001</v>
      </c>
      <c r="J2880">
        <v>-468.24779999999998</v>
      </c>
      <c r="K2880">
        <v>1.110385</v>
      </c>
      <c r="L2880">
        <v>213.69319999999999</v>
      </c>
      <c r="M2880">
        <v>0.98442189999999996</v>
      </c>
      <c r="N2880">
        <v>0</v>
      </c>
      <c r="O2880">
        <v>-0.175335299999999</v>
      </c>
      <c r="P2880">
        <v>0.96654399999999996</v>
      </c>
      <c r="Q2880">
        <v>-4.5489799999999997E-2</v>
      </c>
      <c r="R2880">
        <v>-0.25243539999999998</v>
      </c>
      <c r="S2880">
        <v>2.9279169999999999</v>
      </c>
      <c r="T2880">
        <v>-0.45952130000000002</v>
      </c>
      <c r="U2880">
        <v>-0.59062190000000003</v>
      </c>
      <c r="V2880">
        <v>7.9050860000000001E-2</v>
      </c>
      <c r="W2880">
        <v>-3.243774E-2</v>
      </c>
      <c r="X2880">
        <v>0.99634270000000003</v>
      </c>
      <c r="Y2880">
        <v>2.4528879999999999E-2</v>
      </c>
      <c r="Z2880">
        <v>2.4967420000000001E-2</v>
      </c>
      <c r="AA2880">
        <v>0.99938729999999998</v>
      </c>
      <c r="AB2880">
        <v>8</v>
      </c>
      <c r="AC2880">
        <v>0.65609999999998003</v>
      </c>
      <c r="AD2880">
        <v>-0.115731999999999</v>
      </c>
      <c r="AE2880">
        <v>-0.13559999999998201</v>
      </c>
      <c r="AF2880">
        <v>1.79170497325069E-2</v>
      </c>
      <c r="AG2880">
        <v>-0.115731999999999</v>
      </c>
      <c r="AH2880">
        <v>0.65030669551952203</v>
      </c>
      <c r="AI2880">
        <v>100.087261262127</v>
      </c>
      <c r="AJ2880">
        <v>88.421803587431597</v>
      </c>
      <c r="AK2880">
        <v>0.66076751942921497</v>
      </c>
      <c r="AL2880">
        <v>91.858871662680798</v>
      </c>
      <c r="AM2880">
        <v>85.463596571155193</v>
      </c>
      <c r="AN2880">
        <v>1.0000000106431599</v>
      </c>
    </row>
    <row r="2881" spans="1:40" x14ac:dyDescent="0.25">
      <c r="A2881" t="str">
        <f>"20190312161324698"</f>
        <v>20190312161324698</v>
      </c>
      <c r="B2881" t="str">
        <f>"1552378404688116"</f>
        <v>1552378404688116</v>
      </c>
      <c r="C2881" t="s">
        <v>40</v>
      </c>
      <c r="D2881">
        <v>5.5928009999999997</v>
      </c>
      <c r="E2881">
        <v>0.52045680000000005</v>
      </c>
      <c r="F2881" t="s">
        <v>43</v>
      </c>
      <c r="G2881">
        <v>-467.55759999999998</v>
      </c>
      <c r="H2881">
        <v>0.94395300000000004</v>
      </c>
      <c r="I2881">
        <v>213.48240000000001</v>
      </c>
      <c r="J2881">
        <v>-468.17270000000002</v>
      </c>
      <c r="K2881">
        <v>1.1104069999999999</v>
      </c>
      <c r="L2881">
        <v>213.68109999999999</v>
      </c>
      <c r="M2881">
        <v>0.98460619999999999</v>
      </c>
      <c r="N2881">
        <v>0</v>
      </c>
      <c r="O2881">
        <v>-0.17429800000000001</v>
      </c>
      <c r="P2881">
        <v>0.9669198</v>
      </c>
      <c r="Q2881">
        <v>-4.5279439999999997E-2</v>
      </c>
      <c r="R2881">
        <v>-0.25103009999999998</v>
      </c>
      <c r="S2881">
        <v>2.8447269999999998</v>
      </c>
      <c r="T2881">
        <v>-0.68592299999999995</v>
      </c>
      <c r="U2881">
        <v>-0.86851499999999904</v>
      </c>
      <c r="V2881">
        <v>7.8651879999999993E-2</v>
      </c>
      <c r="W2881">
        <v>-3.222846E-2</v>
      </c>
      <c r="X2881">
        <v>0.99638099999999996</v>
      </c>
      <c r="Y2881">
        <v>0.12213060000000001</v>
      </c>
      <c r="Z2881">
        <v>2.5929310000000001E-2</v>
      </c>
      <c r="AA2881">
        <v>0.99217529999999998</v>
      </c>
      <c r="AB2881">
        <v>8</v>
      </c>
      <c r="AC2881">
        <v>0.61510000000003995</v>
      </c>
      <c r="AD2881">
        <v>-0.16645399999999899</v>
      </c>
      <c r="AE2881">
        <v>-0.19869999999997301</v>
      </c>
      <c r="AF2881">
        <v>8.2938337249081007E-2</v>
      </c>
      <c r="AG2881">
        <v>-0.16645399999999899</v>
      </c>
      <c r="AH2881">
        <v>0.600498967992525</v>
      </c>
      <c r="AI2881">
        <v>105.354206451971</v>
      </c>
      <c r="AJ2881">
        <v>82.136303758292698</v>
      </c>
      <c r="AK2881">
        <v>0.62863718666789803</v>
      </c>
      <c r="AL2881">
        <v>91.846874651512294</v>
      </c>
      <c r="AM2881">
        <v>85.486570326646799</v>
      </c>
      <c r="AN2881">
        <v>0.99999994451125096</v>
      </c>
    </row>
    <row r="2882" spans="1:40" x14ac:dyDescent="0.25">
      <c r="A2882" t="str">
        <f>"20190312161324724"</f>
        <v>20190312161324724</v>
      </c>
      <c r="B2882" t="str">
        <f>"1552378404718372"</f>
        <v>1552378404718372</v>
      </c>
      <c r="C2882" t="s">
        <v>40</v>
      </c>
      <c r="D2882">
        <v>5.5689650000000004</v>
      </c>
      <c r="E2882">
        <v>0.52199010000000001</v>
      </c>
      <c r="F2882" t="s">
        <v>43</v>
      </c>
      <c r="G2882">
        <v>-467.48480000000001</v>
      </c>
      <c r="H2882">
        <v>0.94698789999999999</v>
      </c>
      <c r="I2882">
        <v>213.471</v>
      </c>
      <c r="J2882">
        <v>-468.08440000000002</v>
      </c>
      <c r="K2882">
        <v>1.110384</v>
      </c>
      <c r="L2882">
        <v>213.6669</v>
      </c>
      <c r="M2882">
        <v>0.98482619999999998</v>
      </c>
      <c r="N2882">
        <v>0</v>
      </c>
      <c r="O2882">
        <v>-0.17306479999999999</v>
      </c>
      <c r="P2882">
        <v>0.96706780000000003</v>
      </c>
      <c r="Q2882">
        <v>-4.5303490000000002E-2</v>
      </c>
      <c r="R2882">
        <v>-0.25045539999999999</v>
      </c>
      <c r="S2882">
        <v>2.8455509999999999</v>
      </c>
      <c r="T2882">
        <v>-0.67606040000000001</v>
      </c>
      <c r="U2882">
        <v>-0.86853029999999998</v>
      </c>
      <c r="V2882">
        <v>7.9310060000000002E-2</v>
      </c>
      <c r="W2882">
        <v>-3.2438019999999998E-2</v>
      </c>
      <c r="X2882">
        <v>0.99632209999999999</v>
      </c>
      <c r="Y2882">
        <v>0.1232037</v>
      </c>
      <c r="Z2882">
        <v>2.516007E-2</v>
      </c>
      <c r="AA2882">
        <v>0.99206240000000001</v>
      </c>
      <c r="AB2882">
        <v>8</v>
      </c>
      <c r="AC2882">
        <v>0.59960000000000901</v>
      </c>
      <c r="AD2882">
        <v>-0.16339609999999899</v>
      </c>
      <c r="AE2882">
        <v>-0.195900000000023</v>
      </c>
      <c r="AF2882">
        <v>8.3558544357054607E-2</v>
      </c>
      <c r="AG2882">
        <v>-0.16339609999999899</v>
      </c>
      <c r="AH2882">
        <v>0.58519152702787103</v>
      </c>
      <c r="AI2882">
        <v>105.45157258035699</v>
      </c>
      <c r="AJ2882">
        <v>81.873759262398593</v>
      </c>
      <c r="AK2882">
        <v>0.61329392556545903</v>
      </c>
      <c r="AL2882">
        <v>91.858887698678302</v>
      </c>
      <c r="AM2882">
        <v>85.448690832942603</v>
      </c>
      <c r="AN2882">
        <v>1.00000001885356</v>
      </c>
    </row>
    <row r="2883" spans="1:40" x14ac:dyDescent="0.25">
      <c r="A2883" t="str">
        <f>"20190312161324748"</f>
        <v>20190312161324748</v>
      </c>
      <c r="B2883" t="str">
        <f>"1552378404738868"</f>
        <v>1552378404738868</v>
      </c>
      <c r="C2883" t="s">
        <v>40</v>
      </c>
      <c r="D2883">
        <v>5.560613</v>
      </c>
      <c r="E2883">
        <v>0.52137770000000005</v>
      </c>
      <c r="F2883" t="s">
        <v>43</v>
      </c>
      <c r="G2883">
        <v>-467.41250000000002</v>
      </c>
      <c r="H2883">
        <v>0.94818069999999999</v>
      </c>
      <c r="I2883">
        <v>213.459</v>
      </c>
      <c r="J2883">
        <v>-468.0016</v>
      </c>
      <c r="K2883">
        <v>1.1103400000000001</v>
      </c>
      <c r="L2883">
        <v>213.65369999999999</v>
      </c>
      <c r="M2883">
        <v>0.98503549999999995</v>
      </c>
      <c r="N2883">
        <v>0</v>
      </c>
      <c r="O2883">
        <v>-0.17189409999999999</v>
      </c>
      <c r="P2883">
        <v>0.96719029999999995</v>
      </c>
      <c r="Q2883">
        <v>-4.4810799999999998E-2</v>
      </c>
      <c r="R2883">
        <v>-0.25007010000000002</v>
      </c>
      <c r="S2883">
        <v>2.8427120000000001</v>
      </c>
      <c r="T2883">
        <v>-0.68671459999999995</v>
      </c>
      <c r="U2883">
        <v>-0.87747189999999997</v>
      </c>
      <c r="V2883">
        <v>8.0096089999999995E-2</v>
      </c>
      <c r="W2883">
        <v>-3.226176E-2</v>
      </c>
      <c r="X2883">
        <v>0.99626490000000001</v>
      </c>
      <c r="Y2883">
        <v>0.127412</v>
      </c>
      <c r="Z2883">
        <v>2.4799829999999998E-2</v>
      </c>
      <c r="AA2883">
        <v>0.99153979999999997</v>
      </c>
      <c r="AB2883">
        <v>8</v>
      </c>
      <c r="AC2883">
        <v>0.58909999999997298</v>
      </c>
      <c r="AD2883">
        <v>-0.16215929999999901</v>
      </c>
      <c r="AE2883">
        <v>-0.194699999999983</v>
      </c>
      <c r="AF2883">
        <v>8.4742017610740406E-2</v>
      </c>
      <c r="AG2883">
        <v>-0.16215929999999901</v>
      </c>
      <c r="AH2883">
        <v>0.57455294169808402</v>
      </c>
      <c r="AI2883">
        <v>105.600527440916</v>
      </c>
      <c r="AJ2883">
        <v>81.609816212496298</v>
      </c>
      <c r="AK2883">
        <v>0.60298252954720899</v>
      </c>
      <c r="AL2883">
        <v>91.848783532026502</v>
      </c>
      <c r="AM2883">
        <v>85.403513061275206</v>
      </c>
      <c r="AN2883">
        <v>0.99999997788179695</v>
      </c>
    </row>
    <row r="2884" spans="1:40" x14ac:dyDescent="0.25">
      <c r="A2884" t="str">
        <f>"20190312161324769"</f>
        <v>20190312161324769</v>
      </c>
      <c r="B2884" t="str">
        <f>"1552378404758389"</f>
        <v>1552378404758389</v>
      </c>
      <c r="C2884" t="s">
        <v>40</v>
      </c>
      <c r="D2884">
        <v>5.624403</v>
      </c>
      <c r="E2884">
        <v>0.52100919999999995</v>
      </c>
      <c r="F2884" t="s">
        <v>43</v>
      </c>
      <c r="G2884">
        <v>-467.3365</v>
      </c>
      <c r="H2884">
        <v>0.95530709999999996</v>
      </c>
      <c r="I2884">
        <v>213.4495</v>
      </c>
      <c r="J2884">
        <v>-467.92290000000003</v>
      </c>
      <c r="K2884">
        <v>1.110341</v>
      </c>
      <c r="L2884">
        <v>213.6414</v>
      </c>
      <c r="M2884">
        <v>0.98523190000000005</v>
      </c>
      <c r="N2884">
        <v>0</v>
      </c>
      <c r="O2884">
        <v>-0.17077590000000001</v>
      </c>
      <c r="P2884">
        <v>0.96740630000000005</v>
      </c>
      <c r="Q2884">
        <v>-4.4492759999999999E-2</v>
      </c>
      <c r="R2884">
        <v>-0.24928990000000001</v>
      </c>
      <c r="S2884">
        <v>2.8452449999999998</v>
      </c>
      <c r="T2884">
        <v>-0.663149199999999</v>
      </c>
      <c r="U2884">
        <v>-0.87316890000000003</v>
      </c>
      <c r="V2884">
        <v>8.0422480000000005E-2</v>
      </c>
      <c r="W2884">
        <v>-3.2102850000000002E-2</v>
      </c>
      <c r="X2884">
        <v>0.99624380000000001</v>
      </c>
      <c r="Y2884">
        <v>0.12683130000000001</v>
      </c>
      <c r="Z2884">
        <v>2.3775979999999999E-2</v>
      </c>
      <c r="AA2884">
        <v>0.9916393</v>
      </c>
      <c r="AB2884">
        <v>8</v>
      </c>
      <c r="AC2884">
        <v>0.58640000000002601</v>
      </c>
      <c r="AD2884">
        <v>-0.1550339</v>
      </c>
      <c r="AE2884">
        <v>-0.19190000000000401</v>
      </c>
      <c r="AF2884">
        <v>8.3648561943009903E-2</v>
      </c>
      <c r="AG2884">
        <v>-0.1550339</v>
      </c>
      <c r="AH2884">
        <v>0.57429948350456606</v>
      </c>
      <c r="AI2884">
        <v>104.95642983024101</v>
      </c>
      <c r="AJ2884">
        <v>81.712960811769406</v>
      </c>
      <c r="AK2884">
        <v>0.60070998728001501</v>
      </c>
      <c r="AL2884">
        <v>91.839673829028001</v>
      </c>
      <c r="AM2884">
        <v>85.384765893001898</v>
      </c>
      <c r="AN2884">
        <v>1.00000003865295</v>
      </c>
    </row>
    <row r="2885" spans="1:40" x14ac:dyDescent="0.25">
      <c r="A2885" t="str">
        <f>"20190312161324791"</f>
        <v>20190312161324791</v>
      </c>
      <c r="B2885" t="str">
        <f>"1552378404778416"</f>
        <v>1552378404778416</v>
      </c>
      <c r="C2885" t="s">
        <v>40</v>
      </c>
      <c r="D2885">
        <v>6.0598039999999997</v>
      </c>
      <c r="E2885">
        <v>0.5207406</v>
      </c>
      <c r="F2885" t="s">
        <v>43</v>
      </c>
      <c r="G2885">
        <v>-467.19850000000002</v>
      </c>
      <c r="H2885">
        <v>0.94586190000000003</v>
      </c>
      <c r="I2885">
        <v>213.41980000000001</v>
      </c>
      <c r="J2885">
        <v>-467.846</v>
      </c>
      <c r="K2885">
        <v>1.110365</v>
      </c>
      <c r="L2885">
        <v>213.6293</v>
      </c>
      <c r="M2885">
        <v>0.98542019999999997</v>
      </c>
      <c r="N2885">
        <v>0</v>
      </c>
      <c r="O2885">
        <v>-0.1696878</v>
      </c>
      <c r="P2885">
        <v>0.96760769999999996</v>
      </c>
      <c r="Q2885">
        <v>-4.4176119999999999E-2</v>
      </c>
      <c r="R2885">
        <v>-0.24856410000000001</v>
      </c>
      <c r="S2885">
        <v>2.8472599999999999</v>
      </c>
      <c r="T2885">
        <v>-0.64683570000000001</v>
      </c>
      <c r="U2885">
        <v>-0.86962890000000004</v>
      </c>
      <c r="V2885">
        <v>8.0772780000000002E-2</v>
      </c>
      <c r="W2885">
        <v>-3.1796669999999999E-2</v>
      </c>
      <c r="X2885">
        <v>0.99622520000000003</v>
      </c>
      <c r="Y2885">
        <v>0.1265346</v>
      </c>
      <c r="Z2885">
        <v>2.2993880000000001E-2</v>
      </c>
      <c r="AA2885">
        <v>0.99169560000000001</v>
      </c>
      <c r="AB2885">
        <v>8</v>
      </c>
      <c r="AC2885">
        <v>0.64749999999997898</v>
      </c>
      <c r="AD2885">
        <v>-0.16450309999999899</v>
      </c>
      <c r="AE2885">
        <v>-0.209499999999991</v>
      </c>
      <c r="AF2885">
        <v>9.1248499006930106E-2</v>
      </c>
      <c r="AG2885">
        <v>-0.16450309999999899</v>
      </c>
      <c r="AH2885">
        <v>0.63647218982882903</v>
      </c>
      <c r="AI2885">
        <v>104.350994115078</v>
      </c>
      <c r="AJ2885">
        <v>81.841325039092695</v>
      </c>
      <c r="AK2885">
        <v>0.66368999307367305</v>
      </c>
      <c r="AL2885">
        <v>91.822122191239501</v>
      </c>
      <c r="AM2885">
        <v>85.3646643443671</v>
      </c>
      <c r="AN2885">
        <v>0.99999995966352795</v>
      </c>
    </row>
    <row r="2886" spans="1:40" x14ac:dyDescent="0.25">
      <c r="A2886" t="str">
        <f>"20190312161324811"</f>
        <v>20190312161324811</v>
      </c>
      <c r="B2886" t="str">
        <f>"1552378404808672"</f>
        <v>1552378404808672</v>
      </c>
      <c r="C2886" t="s">
        <v>40</v>
      </c>
      <c r="D2886">
        <v>5.5325040000000003</v>
      </c>
      <c r="E2886">
        <v>0.52033980000000002</v>
      </c>
      <c r="F2886" t="s">
        <v>43</v>
      </c>
      <c r="G2886">
        <v>-467.12479999999999</v>
      </c>
      <c r="H2886">
        <v>0.94989230000000002</v>
      </c>
      <c r="I2886">
        <v>213.40989999999999</v>
      </c>
      <c r="J2886">
        <v>-467.77030000000002</v>
      </c>
      <c r="K2886">
        <v>1.110385</v>
      </c>
      <c r="L2886">
        <v>213.61760000000001</v>
      </c>
      <c r="M2886">
        <v>0.98560539999999996</v>
      </c>
      <c r="N2886">
        <v>0</v>
      </c>
      <c r="O2886">
        <v>-0.16860910000000001</v>
      </c>
      <c r="P2886">
        <v>0.96782729999999995</v>
      </c>
      <c r="Q2886">
        <v>-4.4592729999999997E-2</v>
      </c>
      <c r="R2886">
        <v>-0.24763289999999999</v>
      </c>
      <c r="S2886">
        <v>2.848846</v>
      </c>
      <c r="T2886">
        <v>-0.63396140000000001</v>
      </c>
      <c r="U2886">
        <v>-0.86668400000000001</v>
      </c>
      <c r="V2886">
        <v>8.0907939999999998E-2</v>
      </c>
      <c r="W2886">
        <v>-3.2226289999999998E-2</v>
      </c>
      <c r="X2886">
        <v>0.99620039999999999</v>
      </c>
      <c r="Y2886">
        <v>0.12646779999999999</v>
      </c>
      <c r="Z2886">
        <v>2.231934E-2</v>
      </c>
      <c r="AA2886">
        <v>0.99171960000000003</v>
      </c>
      <c r="AB2886">
        <v>8</v>
      </c>
      <c r="AC2886">
        <v>0.64550000000002605</v>
      </c>
      <c r="AD2886">
        <v>-0.16049269999999899</v>
      </c>
      <c r="AE2886">
        <v>-0.20770000000001601</v>
      </c>
      <c r="AF2886">
        <v>9.0794231383349203E-2</v>
      </c>
      <c r="AG2886">
        <v>-0.16049269999999899</v>
      </c>
      <c r="AH2886">
        <v>0.63567034879258999</v>
      </c>
      <c r="AI2886">
        <v>104.03307352339399</v>
      </c>
      <c r="AJ2886">
        <v>81.871294921307793</v>
      </c>
      <c r="AK2886">
        <v>0.66187483071943098</v>
      </c>
      <c r="AL2886">
        <v>91.846750276791596</v>
      </c>
      <c r="AM2886">
        <v>85.356826673566005</v>
      </c>
      <c r="AN2886">
        <v>0.99999993274118104</v>
      </c>
    </row>
    <row r="2887" spans="1:40" x14ac:dyDescent="0.25">
      <c r="A2887" t="str">
        <f>"20190312161324835"</f>
        <v>20190312161324835</v>
      </c>
      <c r="B2887" t="str">
        <f>"1552378404829169"</f>
        <v>1552378404829169</v>
      </c>
      <c r="C2887" t="s">
        <v>40</v>
      </c>
      <c r="D2887">
        <v>5.6772470000000004</v>
      </c>
      <c r="E2887">
        <v>0.52030100000000001</v>
      </c>
      <c r="F2887" t="s">
        <v>43</v>
      </c>
      <c r="G2887">
        <v>-467.05090000000001</v>
      </c>
      <c r="H2887">
        <v>0.95392920000000003</v>
      </c>
      <c r="I2887">
        <v>213.3999</v>
      </c>
      <c r="J2887">
        <v>-467.68799999999999</v>
      </c>
      <c r="K2887">
        <v>1.1103799999999999</v>
      </c>
      <c r="L2887">
        <v>213.60489999999999</v>
      </c>
      <c r="M2887">
        <v>0.98580900000000005</v>
      </c>
      <c r="N2887">
        <v>0</v>
      </c>
      <c r="O2887">
        <v>-0.16742089999999901</v>
      </c>
      <c r="P2887">
        <v>0.96807560000000004</v>
      </c>
      <c r="Q2887">
        <v>-4.5331330000000003E-2</v>
      </c>
      <c r="R2887">
        <v>-0.24652569999999999</v>
      </c>
      <c r="S2887">
        <v>2.850616</v>
      </c>
      <c r="T2887">
        <v>-0.62001490000000004</v>
      </c>
      <c r="U2887">
        <v>-0.86212160000000004</v>
      </c>
      <c r="V2887">
        <v>8.0976160000000005E-2</v>
      </c>
      <c r="W2887">
        <v>-3.3044509999999999E-2</v>
      </c>
      <c r="X2887">
        <v>0.9961681</v>
      </c>
      <c r="Y2887">
        <v>0.12598489999999901</v>
      </c>
      <c r="Z2887">
        <v>2.163872E-2</v>
      </c>
      <c r="AA2887">
        <v>0.99179609999999996</v>
      </c>
      <c r="AB2887">
        <v>8</v>
      </c>
      <c r="AC2887">
        <v>0.63710000000003197</v>
      </c>
      <c r="AD2887">
        <v>-0.156450799999999</v>
      </c>
      <c r="AE2887">
        <v>-0.204999999999984</v>
      </c>
      <c r="AF2887">
        <v>9.0489359474222E-2</v>
      </c>
      <c r="AG2887">
        <v>-0.156450799999999</v>
      </c>
      <c r="AH2887">
        <v>0.62810699705189998</v>
      </c>
      <c r="AI2887">
        <v>103.84938609065399</v>
      </c>
      <c r="AJ2887">
        <v>81.801987599265701</v>
      </c>
      <c r="AK2887">
        <v>0.65359282182736</v>
      </c>
      <c r="AL2887">
        <v>91.893655728428996</v>
      </c>
      <c r="AM2887">
        <v>85.352778762137504</v>
      </c>
      <c r="AN2887">
        <v>0.99999998079354702</v>
      </c>
    </row>
    <row r="2888" spans="1:40" x14ac:dyDescent="0.25">
      <c r="A2888" t="str">
        <f>"20190312161324857"</f>
        <v>20190312161324857</v>
      </c>
      <c r="B2888" t="str">
        <f>"1552378404848688"</f>
        <v>1552378404848688</v>
      </c>
      <c r="C2888" t="s">
        <v>40</v>
      </c>
      <c r="D2888">
        <v>5.6011389999999999</v>
      </c>
      <c r="E2888">
        <v>0.52004039999999996</v>
      </c>
      <c r="F2888" t="s">
        <v>43</v>
      </c>
      <c r="G2888">
        <v>-466.9778</v>
      </c>
      <c r="H2888">
        <v>0.95620490000000002</v>
      </c>
      <c r="I2888">
        <v>213.39060000000001</v>
      </c>
      <c r="J2888">
        <v>-467.60660000000001</v>
      </c>
      <c r="K2888">
        <v>1.1103799999999999</v>
      </c>
      <c r="L2888">
        <v>213.5925</v>
      </c>
      <c r="M2888">
        <v>0.98600829999999995</v>
      </c>
      <c r="N2888">
        <v>0</v>
      </c>
      <c r="O2888">
        <v>-0.16625019999999999</v>
      </c>
      <c r="P2888">
        <v>0.96833320000000001</v>
      </c>
      <c r="Q2888">
        <v>-4.533529E-2</v>
      </c>
      <c r="R2888">
        <v>-0.2455117</v>
      </c>
      <c r="S2888">
        <v>2.8511660000000001</v>
      </c>
      <c r="T2888">
        <v>-0.61925090000000005</v>
      </c>
      <c r="U2888">
        <v>-0.85908510000000005</v>
      </c>
      <c r="V2888">
        <v>8.1116480000000005E-2</v>
      </c>
      <c r="W2888">
        <v>-3.3136209999999999E-2</v>
      </c>
      <c r="X2888">
        <v>0.99615370000000003</v>
      </c>
      <c r="Y2888">
        <v>0.12611310000000001</v>
      </c>
      <c r="Z2888">
        <v>2.135863E-2</v>
      </c>
      <c r="AA2888">
        <v>0.9917859</v>
      </c>
      <c r="AB2888">
        <v>8</v>
      </c>
      <c r="AC2888">
        <v>0.62880000000001202</v>
      </c>
      <c r="AD2888">
        <v>-0.15417509999999901</v>
      </c>
      <c r="AE2888">
        <v>-0.201899999999994</v>
      </c>
      <c r="AF2888">
        <v>8.9657703541208694E-2</v>
      </c>
      <c r="AG2888">
        <v>-0.15417509999999901</v>
      </c>
      <c r="AH2888">
        <v>0.61983594882292603</v>
      </c>
      <c r="AI2888">
        <v>103.829703745111</v>
      </c>
      <c r="AJ2888">
        <v>81.769396157190798</v>
      </c>
      <c r="AK2888">
        <v>0.64498454920835901</v>
      </c>
      <c r="AL2888">
        <v>91.898912512437306</v>
      </c>
      <c r="AM2888">
        <v>85.344694163461597</v>
      </c>
      <c r="AN2888">
        <v>1.00000004288222</v>
      </c>
    </row>
    <row r="2889" spans="1:40" x14ac:dyDescent="0.25">
      <c r="A2889" t="str">
        <f>"20190312161324878"</f>
        <v>20190312161324878</v>
      </c>
      <c r="B2889" t="str">
        <f>"1552378404868714"</f>
        <v>1552378404868714</v>
      </c>
      <c r="C2889" t="s">
        <v>40</v>
      </c>
      <c r="D2889">
        <v>5.5292899999999996</v>
      </c>
      <c r="E2889">
        <v>0.51999689999999998</v>
      </c>
      <c r="F2889" t="s">
        <v>43</v>
      </c>
      <c r="G2889">
        <v>-466.904</v>
      </c>
      <c r="H2889">
        <v>0.95944059999999998</v>
      </c>
      <c r="I2889">
        <v>213.38220000000001</v>
      </c>
      <c r="J2889">
        <v>-467.53019999999998</v>
      </c>
      <c r="K2889">
        <v>1.110382</v>
      </c>
      <c r="L2889">
        <v>213.58099999999999</v>
      </c>
      <c r="M2889">
        <v>0.9861915</v>
      </c>
      <c r="N2889">
        <v>0</v>
      </c>
      <c r="O2889">
        <v>-0.16516310000000001</v>
      </c>
      <c r="P2889">
        <v>0.96875100000000003</v>
      </c>
      <c r="Q2889">
        <v>-4.4788050000000003E-2</v>
      </c>
      <c r="R2889">
        <v>-0.24395939999999999</v>
      </c>
      <c r="S2889">
        <v>2.852814</v>
      </c>
      <c r="T2889">
        <v>-0.61272340000000003</v>
      </c>
      <c r="U2889">
        <v>-0.85449219999999904</v>
      </c>
      <c r="V2889">
        <v>8.0614530000000004E-2</v>
      </c>
      <c r="W2889">
        <v>-3.2633479999999999E-2</v>
      </c>
      <c r="X2889">
        <v>0.99621099999999996</v>
      </c>
      <c r="Y2889">
        <v>0.1255559</v>
      </c>
      <c r="Z2889">
        <v>2.096947E-2</v>
      </c>
      <c r="AA2889">
        <v>0.99186490000000005</v>
      </c>
      <c r="AB2889">
        <v>8</v>
      </c>
      <c r="AC2889">
        <v>0.62619999999998299</v>
      </c>
      <c r="AD2889">
        <v>-0.1509414</v>
      </c>
      <c r="AE2889">
        <v>-0.198799999999977</v>
      </c>
      <c r="AF2889">
        <v>8.7992152436864104E-2</v>
      </c>
      <c r="AG2889">
        <v>-0.1509414</v>
      </c>
      <c r="AH2889">
        <v>0.61782535034199104</v>
      </c>
      <c r="AI2889">
        <v>103.59700035982</v>
      </c>
      <c r="AJ2889">
        <v>81.894311404001897</v>
      </c>
      <c r="AK2889">
        <v>0.64205458385532599</v>
      </c>
      <c r="AL2889">
        <v>91.870092696245194</v>
      </c>
      <c r="AM2889">
        <v>85.373640776208703</v>
      </c>
      <c r="AN2889">
        <v>1.0000000014925099</v>
      </c>
    </row>
    <row r="2890" spans="1:40" x14ac:dyDescent="0.25">
      <c r="A2890" t="str">
        <f>"20190312161324900"</f>
        <v>20190312161324900</v>
      </c>
      <c r="B2890" t="str">
        <f>"1552378404889211"</f>
        <v>1552378404889211</v>
      </c>
      <c r="C2890" t="s">
        <v>40</v>
      </c>
      <c r="D2890">
        <v>5.3593789999999997</v>
      </c>
      <c r="E2890">
        <v>0.5183297</v>
      </c>
      <c r="F2890" t="s">
        <v>43</v>
      </c>
      <c r="G2890">
        <v>-466.83170000000001</v>
      </c>
      <c r="H2890">
        <v>0.9602522</v>
      </c>
      <c r="I2890">
        <v>213.3725</v>
      </c>
      <c r="J2890">
        <v>-467.452</v>
      </c>
      <c r="K2890">
        <v>1.1103959999999999</v>
      </c>
      <c r="L2890">
        <v>213.5692</v>
      </c>
      <c r="M2890">
        <v>0.98637750000000002</v>
      </c>
      <c r="N2890">
        <v>0</v>
      </c>
      <c r="O2890">
        <v>-0.16404969999999999</v>
      </c>
      <c r="P2890">
        <v>0.96927149999999995</v>
      </c>
      <c r="Q2890">
        <v>-4.4359490000000001E-2</v>
      </c>
      <c r="R2890">
        <v>-0.2419616</v>
      </c>
      <c r="S2890">
        <v>2.8543090000000002</v>
      </c>
      <c r="T2890">
        <v>-0.61398030000000003</v>
      </c>
      <c r="U2890">
        <v>-0.84999080000000005</v>
      </c>
      <c r="V2890">
        <v>7.9682370000000002E-2</v>
      </c>
      <c r="W2890">
        <v>-3.2220890000000002E-2</v>
      </c>
      <c r="X2890">
        <v>0.99629939999999995</v>
      </c>
      <c r="Y2890">
        <v>0.1250869</v>
      </c>
      <c r="Z2890">
        <v>2.0828909999999999E-2</v>
      </c>
      <c r="AA2890">
        <v>0.99192709999999995</v>
      </c>
      <c r="AB2890">
        <v>8</v>
      </c>
      <c r="AC2890">
        <v>0.62029999999998597</v>
      </c>
      <c r="AD2890">
        <v>-0.15014379999999999</v>
      </c>
      <c r="AE2890">
        <v>-0.19669999999999199</v>
      </c>
      <c r="AF2890">
        <v>8.7603612097284095E-2</v>
      </c>
      <c r="AG2890">
        <v>-0.15014379999999999</v>
      </c>
      <c r="AH2890">
        <v>0.61160687747000497</v>
      </c>
      <c r="AI2890">
        <v>103.658717043275</v>
      </c>
      <c r="AJ2890">
        <v>81.848672870160499</v>
      </c>
      <c r="AK2890">
        <v>0.63583057971407797</v>
      </c>
      <c r="AL2890">
        <v>91.846440631252506</v>
      </c>
      <c r="AM2890">
        <v>85.427311999888502</v>
      </c>
      <c r="AN2890">
        <v>0.99999998014078395</v>
      </c>
    </row>
    <row r="2891" spans="1:40" x14ac:dyDescent="0.25">
      <c r="A2891" t="str">
        <f>"20190312161324924"</f>
        <v>20190312161324924</v>
      </c>
      <c r="B2891" t="str">
        <f>"1552378404918490"</f>
        <v>1552378404918490</v>
      </c>
      <c r="C2891" t="s">
        <v>40</v>
      </c>
      <c r="D2891">
        <v>5.3737130000000004</v>
      </c>
      <c r="E2891">
        <v>0.4399362</v>
      </c>
      <c r="F2891" t="s">
        <v>43</v>
      </c>
      <c r="G2891">
        <v>-466.75900000000001</v>
      </c>
      <c r="H2891">
        <v>0.9606249</v>
      </c>
      <c r="I2891">
        <v>213.36770000000001</v>
      </c>
      <c r="J2891">
        <v>-467.36689999999999</v>
      </c>
      <c r="K2891">
        <v>1.110398</v>
      </c>
      <c r="L2891">
        <v>213.5565</v>
      </c>
      <c r="M2891">
        <v>0.98657879999999998</v>
      </c>
      <c r="N2891">
        <v>0</v>
      </c>
      <c r="O2891">
        <v>-0.1628349</v>
      </c>
      <c r="P2891">
        <v>0.96983330000000001</v>
      </c>
      <c r="Q2891">
        <v>-4.4431810000000002E-2</v>
      </c>
      <c r="R2891">
        <v>-0.23968590000000001</v>
      </c>
      <c r="S2891">
        <v>2.8593440000000001</v>
      </c>
      <c r="T2891">
        <v>-0.61805279999999996</v>
      </c>
      <c r="U2891">
        <v>-0.83114619999999995</v>
      </c>
      <c r="V2891">
        <v>7.8571760000000004E-2</v>
      </c>
      <c r="W2891">
        <v>-3.2308740000000002E-2</v>
      </c>
      <c r="X2891">
        <v>0.99638479999999996</v>
      </c>
      <c r="Y2891">
        <v>0.11990480000000001</v>
      </c>
      <c r="Z2891">
        <v>2.1246310000000001E-2</v>
      </c>
      <c r="AA2891">
        <v>0.99255800000000005</v>
      </c>
      <c r="AB2891">
        <v>8</v>
      </c>
      <c r="AC2891">
        <v>0.60789999999997202</v>
      </c>
      <c r="AD2891">
        <v>-0.14977309999999999</v>
      </c>
      <c r="AE2891">
        <v>-0.18879999999998601</v>
      </c>
      <c r="AF2891">
        <v>8.2706375734296303E-2</v>
      </c>
      <c r="AG2891">
        <v>-0.14977309999999999</v>
      </c>
      <c r="AH2891">
        <v>0.59745460807027395</v>
      </c>
      <c r="AI2891">
        <v>103.94546906661699</v>
      </c>
      <c r="AJ2891">
        <v>82.118564620972904</v>
      </c>
      <c r="AK2891">
        <v>0.62146949625473802</v>
      </c>
      <c r="AL2891">
        <v>91.851476608365701</v>
      </c>
      <c r="AM2891">
        <v>85.491166161376498</v>
      </c>
      <c r="AN2891">
        <v>1.00000002291046</v>
      </c>
    </row>
    <row r="2892" spans="1:40" x14ac:dyDescent="0.25">
      <c r="A2892" t="str">
        <f>"20190312161324947"</f>
        <v>20190312161324947</v>
      </c>
      <c r="B2892" t="str">
        <f>"1552378404938986"</f>
        <v>1552378404938986</v>
      </c>
      <c r="C2892" t="s">
        <v>40</v>
      </c>
      <c r="D2892">
        <v>5.3481379999999996</v>
      </c>
      <c r="E2892">
        <v>0.44285409999999997</v>
      </c>
      <c r="F2892" t="s">
        <v>74</v>
      </c>
      <c r="G2892">
        <v>-415.64440000000002</v>
      </c>
      <c r="H2892" s="1">
        <v>3.8108279999999999E-6</v>
      </c>
      <c r="I2892">
        <v>209.1447</v>
      </c>
      <c r="J2892">
        <v>-467.28590000000003</v>
      </c>
      <c r="K2892">
        <v>1.1104039999999999</v>
      </c>
      <c r="L2892">
        <v>213.5446</v>
      </c>
      <c r="M2892">
        <v>0.98676779999999997</v>
      </c>
      <c r="N2892">
        <v>0</v>
      </c>
      <c r="O2892">
        <v>-0.16168729999999901</v>
      </c>
      <c r="P2892">
        <v>0.97031780000000001</v>
      </c>
      <c r="Q2892">
        <v>-4.463582E-2</v>
      </c>
      <c r="R2892">
        <v>-0.23767849999999999</v>
      </c>
      <c r="S2892">
        <v>3.0265499999999999</v>
      </c>
      <c r="T2892">
        <v>-6.4975019999999994E-2</v>
      </c>
      <c r="U2892">
        <v>-0.25816349999999999</v>
      </c>
      <c r="V2892">
        <v>7.7671130000000005E-2</v>
      </c>
      <c r="W2892">
        <v>-3.2535300000000003E-2</v>
      </c>
      <c r="X2892">
        <v>0.996448</v>
      </c>
      <c r="Y2892">
        <v>-7.7187430000000001E-2</v>
      </c>
      <c r="Z2892">
        <v>4.2742550000000002E-3</v>
      </c>
      <c r="AA2892">
        <v>0.99700739999999999</v>
      </c>
      <c r="AB2892">
        <v>8</v>
      </c>
      <c r="AC2892">
        <v>51.641500000000001</v>
      </c>
      <c r="AD2892">
        <v>-1.1104001891719999</v>
      </c>
      <c r="AE2892">
        <v>-4.3998999999999997</v>
      </c>
      <c r="AF2892">
        <v>-4.0065496990800398</v>
      </c>
      <c r="AG2892">
        <v>-1.1104001891719999</v>
      </c>
      <c r="AH2892">
        <v>51.649655578952398</v>
      </c>
      <c r="AI2892">
        <v>91.227907057635505</v>
      </c>
      <c r="AJ2892">
        <v>94.4356461917438</v>
      </c>
      <c r="AK2892">
        <v>51.816718831818299</v>
      </c>
      <c r="AL2892">
        <v>91.864464441593896</v>
      </c>
      <c r="AM2892">
        <v>85.542920833548607</v>
      </c>
      <c r="AN2892">
        <v>0.99999998344278296</v>
      </c>
    </row>
    <row r="2893" spans="1:40" x14ac:dyDescent="0.25">
      <c r="A2893" t="str">
        <f>"20190312161324970"</f>
        <v>20190312161324970</v>
      </c>
      <c r="B2893" t="str">
        <f>"1552378404958506"</f>
        <v>1552378404958506</v>
      </c>
      <c r="C2893" t="s">
        <v>40</v>
      </c>
      <c r="D2893">
        <v>5.2861750000000001</v>
      </c>
      <c r="E2893">
        <v>0.44574770000000002</v>
      </c>
      <c r="F2893" t="s">
        <v>74</v>
      </c>
      <c r="G2893">
        <v>-409.33</v>
      </c>
      <c r="H2893">
        <v>4.6488799999999997E-2</v>
      </c>
      <c r="I2893">
        <v>208.2645</v>
      </c>
      <c r="J2893">
        <v>-467.2056</v>
      </c>
      <c r="K2893">
        <v>1.110406</v>
      </c>
      <c r="L2893">
        <v>213.53290000000001</v>
      </c>
      <c r="M2893">
        <v>0.98695359999999999</v>
      </c>
      <c r="N2893">
        <v>0</v>
      </c>
      <c r="O2893">
        <v>-0.1605521</v>
      </c>
      <c r="P2893">
        <v>0.97064899999999998</v>
      </c>
      <c r="Q2893">
        <v>-4.4360780000000002E-2</v>
      </c>
      <c r="R2893">
        <v>-0.2363749</v>
      </c>
      <c r="S2893">
        <v>3.0217589999999999</v>
      </c>
      <c r="T2893">
        <v>-5.547142E-2</v>
      </c>
      <c r="U2893">
        <v>-0.27529910000000002</v>
      </c>
      <c r="V2893">
        <v>7.7476580000000003E-2</v>
      </c>
      <c r="W2893">
        <v>-3.2279599999999999E-2</v>
      </c>
      <c r="X2893">
        <v>0.99647149999999995</v>
      </c>
      <c r="Y2893">
        <v>-7.0310620000000004E-2</v>
      </c>
      <c r="Z2893">
        <v>3.570204E-3</v>
      </c>
      <c r="AA2893">
        <v>0.99751880000000004</v>
      </c>
      <c r="AB2893">
        <v>8</v>
      </c>
      <c r="AC2893">
        <v>57.875599999999999</v>
      </c>
      <c r="AD2893">
        <v>-1.0639171999999999</v>
      </c>
      <c r="AE2893">
        <v>-5.2684000000000104</v>
      </c>
      <c r="AF2893">
        <v>-4.0913095533083501</v>
      </c>
      <c r="AG2893">
        <v>-1.0639171999999999</v>
      </c>
      <c r="AH2893">
        <v>57.9511828872065</v>
      </c>
      <c r="AI2893">
        <v>91.049155798733196</v>
      </c>
      <c r="AJ2893">
        <v>94.038338100565895</v>
      </c>
      <c r="AK2893">
        <v>58.105166136032203</v>
      </c>
      <c r="AL2893">
        <v>91.8498061403821</v>
      </c>
      <c r="AM2893">
        <v>85.554144501817504</v>
      </c>
      <c r="AN2893">
        <v>1.0000000216684499</v>
      </c>
    </row>
    <row r="2894" spans="1:40" x14ac:dyDescent="0.25">
      <c r="A2894" t="str">
        <f>"20190312161324991"</f>
        <v>20190312161324991</v>
      </c>
      <c r="B2894" t="str">
        <f>"1552378404979002"</f>
        <v>1552378404979002</v>
      </c>
      <c r="C2894" t="s">
        <v>40</v>
      </c>
      <c r="D2894">
        <v>5.2708139999999997</v>
      </c>
      <c r="E2894">
        <v>0.44726090000000002</v>
      </c>
      <c r="F2894" t="s">
        <v>74</v>
      </c>
      <c r="G2894">
        <v>-409.4984</v>
      </c>
      <c r="H2894">
        <v>7.4287019999999995E-2</v>
      </c>
      <c r="I2894">
        <v>207.91050000000001</v>
      </c>
      <c r="J2894">
        <v>-467.12740000000002</v>
      </c>
      <c r="K2894">
        <v>1.110403</v>
      </c>
      <c r="L2894">
        <v>213.52160000000001</v>
      </c>
      <c r="M2894">
        <v>0.98713360000000006</v>
      </c>
      <c r="N2894">
        <v>0</v>
      </c>
      <c r="O2894">
        <v>-0.15944239999999901</v>
      </c>
      <c r="P2894">
        <v>0.97098039999999997</v>
      </c>
      <c r="Q2894">
        <v>-4.4199509999999997E-2</v>
      </c>
      <c r="R2894">
        <v>-0.2350392</v>
      </c>
      <c r="S2894">
        <v>3.0166629999999999</v>
      </c>
      <c r="T2894">
        <v>-5.4163459999999997E-2</v>
      </c>
      <c r="U2894">
        <v>-0.29391479999999998</v>
      </c>
      <c r="V2894">
        <v>7.7224429999999997E-2</v>
      </c>
      <c r="W2894">
        <v>-3.212889E-2</v>
      </c>
      <c r="X2894">
        <v>0.99649589999999999</v>
      </c>
      <c r="Y2894">
        <v>-6.293675E-2</v>
      </c>
      <c r="Z2894">
        <v>3.4048899999999998E-3</v>
      </c>
      <c r="AA2894">
        <v>0.99801169999999995</v>
      </c>
      <c r="AB2894">
        <v>8</v>
      </c>
      <c r="AC2894">
        <v>57.628999999999998</v>
      </c>
      <c r="AD2894">
        <v>-1.0361159799999999</v>
      </c>
      <c r="AE2894">
        <v>-5.6110999999999898</v>
      </c>
      <c r="AF2894">
        <v>-3.6486976846285701</v>
      </c>
      <c r="AG2894">
        <v>-1.0361159799999999</v>
      </c>
      <c r="AH2894">
        <v>57.767872105555199</v>
      </c>
      <c r="AI2894">
        <v>91.025495361821896</v>
      </c>
      <c r="AJ2894">
        <v>93.614078822362998</v>
      </c>
      <c r="AK2894">
        <v>57.892258366051003</v>
      </c>
      <c r="AL2894">
        <v>91.841166692003299</v>
      </c>
      <c r="AM2894">
        <v>85.568664028129703</v>
      </c>
      <c r="AN2894">
        <v>0.99999997843913302</v>
      </c>
    </row>
    <row r="2895" spans="1:40" x14ac:dyDescent="0.25">
      <c r="A2895" t="str">
        <f>"20190312161325013"</f>
        <v>20190312161325013</v>
      </c>
      <c r="B2895" t="str">
        <f>"1552378405008284"</f>
        <v>1552378405008284</v>
      </c>
      <c r="C2895" t="s">
        <v>40</v>
      </c>
      <c r="D2895">
        <v>5.1598249999999997</v>
      </c>
      <c r="E2895">
        <v>0.44885059999999899</v>
      </c>
      <c r="F2895" t="s">
        <v>74</v>
      </c>
      <c r="G2895">
        <v>-412.61689999999999</v>
      </c>
      <c r="H2895" s="1">
        <v>3.6315330000000001E-6</v>
      </c>
      <c r="I2895">
        <v>208.08099999999999</v>
      </c>
      <c r="J2895">
        <v>-467.04910000000001</v>
      </c>
      <c r="K2895">
        <v>1.1103970000000001</v>
      </c>
      <c r="L2895">
        <v>213.5103</v>
      </c>
      <c r="M2895">
        <v>0.98731310000000005</v>
      </c>
      <c r="N2895">
        <v>0</v>
      </c>
      <c r="O2895">
        <v>-0.1583273</v>
      </c>
      <c r="P2895">
        <v>0.97124529999999998</v>
      </c>
      <c r="Q2895">
        <v>-4.4106899999999997E-2</v>
      </c>
      <c r="R2895">
        <v>-0.23396030000000001</v>
      </c>
      <c r="S2895">
        <v>3.0140690000000001</v>
      </c>
      <c r="T2895">
        <v>-6.1397670000000001E-2</v>
      </c>
      <c r="U2895">
        <v>-0.30082700000000001</v>
      </c>
      <c r="V2895">
        <v>7.7241420000000005E-2</v>
      </c>
      <c r="W2895">
        <v>-3.2042040000000001E-2</v>
      </c>
      <c r="X2895">
        <v>0.99649739999999998</v>
      </c>
      <c r="Y2895">
        <v>-5.9450370000000002E-2</v>
      </c>
      <c r="Z2895">
        <v>3.8045209999999999E-3</v>
      </c>
      <c r="AA2895">
        <v>0.998224</v>
      </c>
      <c r="AB2895">
        <v>8</v>
      </c>
      <c r="AC2895">
        <v>54.432200000000002</v>
      </c>
      <c r="AD2895">
        <v>-1.11039336846699</v>
      </c>
      <c r="AE2895">
        <v>-5.4293000000000102</v>
      </c>
      <c r="AF2895">
        <v>-3.2565791052596502</v>
      </c>
      <c r="AG2895">
        <v>-1.11039336846699</v>
      </c>
      <c r="AH2895">
        <v>54.582707557183397</v>
      </c>
      <c r="AI2895">
        <v>91.163357309970706</v>
      </c>
      <c r="AJ2895">
        <v>93.414402090938594</v>
      </c>
      <c r="AK2895">
        <v>54.691043555362498</v>
      </c>
      <c r="AL2895">
        <v>91.836187952748602</v>
      </c>
      <c r="AM2895">
        <v>85.567699628019696</v>
      </c>
      <c r="AN2895">
        <v>0.99999999874886902</v>
      </c>
    </row>
    <row r="2896" spans="1:40" x14ac:dyDescent="0.25">
      <c r="A2896" t="str">
        <f>"20190312161325035"</f>
        <v>20190312161325035</v>
      </c>
      <c r="B2896" t="str">
        <f>"1552378405028778"</f>
        <v>1552378405028778</v>
      </c>
      <c r="C2896" t="s">
        <v>40</v>
      </c>
      <c r="D2896">
        <v>5.1502720000000002</v>
      </c>
      <c r="E2896">
        <v>0.44923020000000002</v>
      </c>
      <c r="F2896" t="s">
        <v>74</v>
      </c>
      <c r="G2896">
        <v>-409.67200000000003</v>
      </c>
      <c r="H2896">
        <v>5.1523470000000002E-2</v>
      </c>
      <c r="I2896">
        <v>207.5992</v>
      </c>
      <c r="J2896">
        <v>-466.96910000000003</v>
      </c>
      <c r="K2896">
        <v>1.1103909999999999</v>
      </c>
      <c r="L2896">
        <v>213.49879999999999</v>
      </c>
      <c r="M2896">
        <v>0.98749509999999996</v>
      </c>
      <c r="N2896">
        <v>0</v>
      </c>
      <c r="O2896">
        <v>-0.15718779999999999</v>
      </c>
      <c r="P2896">
        <v>0.97132700000000005</v>
      </c>
      <c r="Q2896">
        <v>-4.4516680000000003E-2</v>
      </c>
      <c r="R2896">
        <v>-0.233543</v>
      </c>
      <c r="S2896">
        <v>3.0115970000000001</v>
      </c>
      <c r="T2896">
        <v>-5.5577990000000001E-2</v>
      </c>
      <c r="U2896">
        <v>-0.31025700000000001</v>
      </c>
      <c r="V2896">
        <v>7.7965709999999994E-2</v>
      </c>
      <c r="W2896">
        <v>-3.2456369999999998E-2</v>
      </c>
      <c r="X2896">
        <v>0.99642759999999997</v>
      </c>
      <c r="Y2896">
        <v>-5.5131899999999998E-2</v>
      </c>
      <c r="Z2896">
        <v>3.3856260000000001E-3</v>
      </c>
      <c r="AA2896">
        <v>0.99847330000000001</v>
      </c>
      <c r="AB2896">
        <v>8</v>
      </c>
      <c r="AC2896">
        <v>57.2971</v>
      </c>
      <c r="AD2896">
        <v>-1.0588675299999999</v>
      </c>
      <c r="AE2896">
        <v>-5.8995999999999897</v>
      </c>
      <c r="AF2896">
        <v>-3.17973573761605</v>
      </c>
      <c r="AG2896">
        <v>-1.0588675299999999</v>
      </c>
      <c r="AH2896">
        <v>57.4927035761566</v>
      </c>
      <c r="AI2896">
        <v>91.053511739782493</v>
      </c>
      <c r="AJ2896">
        <v>93.165619425811101</v>
      </c>
      <c r="AK2896">
        <v>57.590301998713002</v>
      </c>
      <c r="AL2896">
        <v>91.859939637339806</v>
      </c>
      <c r="AM2896">
        <v>85.525993934749195</v>
      </c>
      <c r="AN2896">
        <v>1.0000000149655699</v>
      </c>
    </row>
    <row r="2897" spans="1:40" x14ac:dyDescent="0.25">
      <c r="A2897" t="str">
        <f>"20190312161325058"</f>
        <v>20190312161325058</v>
      </c>
      <c r="B2897" t="str">
        <f>"1552378405048298"</f>
        <v>1552378405048298</v>
      </c>
      <c r="C2897" t="s">
        <v>40</v>
      </c>
      <c r="D2897">
        <v>5.1529619999999996</v>
      </c>
      <c r="E2897">
        <v>0.44962269999999999</v>
      </c>
      <c r="F2897" t="s">
        <v>74</v>
      </c>
      <c r="G2897">
        <v>-400.44869999999997</v>
      </c>
      <c r="H2897">
        <v>8.0001939999999994E-2</v>
      </c>
      <c r="I2897">
        <v>206.59010000000001</v>
      </c>
      <c r="J2897">
        <v>-466.89049999999997</v>
      </c>
      <c r="K2897">
        <v>1.11039</v>
      </c>
      <c r="L2897">
        <v>213.48769999999999</v>
      </c>
      <c r="M2897">
        <v>0.98767260000000001</v>
      </c>
      <c r="N2897">
        <v>0</v>
      </c>
      <c r="O2897">
        <v>-0.1560694</v>
      </c>
      <c r="P2897">
        <v>0.9715374</v>
      </c>
      <c r="Q2897">
        <v>-4.4702159999999998E-2</v>
      </c>
      <c r="R2897">
        <v>-0.23263149999999999</v>
      </c>
      <c r="S2897">
        <v>3.0112610000000002</v>
      </c>
      <c r="T2897">
        <v>-4.6643850000000001E-2</v>
      </c>
      <c r="U2897">
        <v>-0.31274410000000002</v>
      </c>
      <c r="V2897">
        <v>7.8160339999999995E-2</v>
      </c>
      <c r="W2897">
        <v>-3.2643079999999998E-2</v>
      </c>
      <c r="X2897">
        <v>0.99640629999999997</v>
      </c>
      <c r="Y2897">
        <v>-5.318461E-2</v>
      </c>
      <c r="Z2897">
        <v>2.8095279999999999E-3</v>
      </c>
      <c r="AA2897">
        <v>0.99858080000000005</v>
      </c>
      <c r="AB2897">
        <v>8</v>
      </c>
      <c r="AC2897">
        <v>66.441800000000001</v>
      </c>
      <c r="AD2897">
        <v>-1.0303880599999999</v>
      </c>
      <c r="AE2897">
        <v>-6.8975999999999802</v>
      </c>
      <c r="AF2897">
        <v>-3.55637336336089</v>
      </c>
      <c r="AG2897">
        <v>-1.0303880599999999</v>
      </c>
      <c r="AH2897">
        <v>66.688224147947096</v>
      </c>
      <c r="AI2897">
        <v>90.883940775163694</v>
      </c>
      <c r="AJ2897">
        <v>93.052598147678495</v>
      </c>
      <c r="AK2897">
        <v>66.790933000375404</v>
      </c>
      <c r="AL2897">
        <v>91.870642915606695</v>
      </c>
      <c r="AM2897">
        <v>85.514775260041901</v>
      </c>
      <c r="AN2897">
        <v>1.0000000620502401</v>
      </c>
    </row>
    <row r="2898" spans="1:40" x14ac:dyDescent="0.25">
      <c r="A2898" t="str">
        <f>"20190312161325080"</f>
        <v>20190312161325080</v>
      </c>
      <c r="B2898" t="str">
        <f>"1552378405068794"</f>
        <v>1552378405068794</v>
      </c>
      <c r="C2898" t="s">
        <v>40</v>
      </c>
      <c r="D2898">
        <v>5.0990820000000001</v>
      </c>
      <c r="E2898">
        <v>0.45005220000000001</v>
      </c>
      <c r="F2898" t="s">
        <v>69</v>
      </c>
      <c r="G2898">
        <v>-390.10320000000002</v>
      </c>
      <c r="H2898">
        <v>8.0001429999999998E-2</v>
      </c>
      <c r="I2898">
        <v>205.49770000000001</v>
      </c>
      <c r="J2898">
        <v>-466.81049999999999</v>
      </c>
      <c r="K2898">
        <v>1.110387</v>
      </c>
      <c r="L2898">
        <v>213.47640000000001</v>
      </c>
      <c r="M2898">
        <v>0.98785140000000005</v>
      </c>
      <c r="N2898">
        <v>0</v>
      </c>
      <c r="O2898">
        <v>-0.15493319999999999</v>
      </c>
      <c r="P2898">
        <v>0.97181139999999999</v>
      </c>
      <c r="Q2898">
        <v>-4.4293010000000001E-2</v>
      </c>
      <c r="R2898">
        <v>-0.23156260000000001</v>
      </c>
      <c r="S2898">
        <v>3.011047</v>
      </c>
      <c r="T2898">
        <v>-4.040444E-2</v>
      </c>
      <c r="U2898">
        <v>-0.3133087</v>
      </c>
      <c r="V2898">
        <v>7.8207150000000003E-2</v>
      </c>
      <c r="W2898">
        <v>-3.2230170000000002E-2</v>
      </c>
      <c r="X2898">
        <v>0.99641599999999997</v>
      </c>
      <c r="Y2898">
        <v>-5.1849729999999997E-2</v>
      </c>
      <c r="Z2898">
        <v>2.409946E-3</v>
      </c>
      <c r="AA2898">
        <v>0.99865199999999998</v>
      </c>
      <c r="AB2898">
        <v>8</v>
      </c>
      <c r="AC2898">
        <v>76.707299999999904</v>
      </c>
      <c r="AD2898">
        <v>-1.03038557</v>
      </c>
      <c r="AE2898">
        <v>-7.9786999999999999</v>
      </c>
      <c r="AF2898">
        <v>-4.0023139110280397</v>
      </c>
      <c r="AG2898">
        <v>-1.03038557</v>
      </c>
      <c r="AH2898">
        <v>77.003429728245806</v>
      </c>
      <c r="AI2898">
        <v>90.765597760198503</v>
      </c>
      <c r="AJ2898">
        <v>92.975315941327693</v>
      </c>
      <c r="AK2898">
        <v>77.114255497788207</v>
      </c>
      <c r="AL2898">
        <v>91.846972587505107</v>
      </c>
      <c r="AM2898">
        <v>85.512143553183705</v>
      </c>
      <c r="AN2898">
        <v>0.999999993612675</v>
      </c>
    </row>
    <row r="2899" spans="1:40" x14ac:dyDescent="0.25">
      <c r="A2899" t="str">
        <f>"20190312161325104"</f>
        <v>20190312161325104</v>
      </c>
      <c r="B2899" t="str">
        <f>"1552378405099050"</f>
        <v>1552378405099050</v>
      </c>
      <c r="C2899" t="s">
        <v>40</v>
      </c>
      <c r="D2899">
        <v>5.1310349999999998</v>
      </c>
      <c r="E2899">
        <v>0.45059749999999998</v>
      </c>
      <c r="F2899" t="s">
        <v>69</v>
      </c>
      <c r="G2899">
        <v>-382.77600000000001</v>
      </c>
      <c r="H2899">
        <v>8.0001080000000002E-2</v>
      </c>
      <c r="I2899">
        <v>204.7243</v>
      </c>
      <c r="J2899">
        <v>-466.72250000000003</v>
      </c>
      <c r="K2899">
        <v>1.1103879999999999</v>
      </c>
      <c r="L2899">
        <v>213.4641</v>
      </c>
      <c r="M2899">
        <v>0.9880466</v>
      </c>
      <c r="N2899">
        <v>0</v>
      </c>
      <c r="O2899">
        <v>-0.15368229999999999</v>
      </c>
      <c r="P2899">
        <v>0.97215949999999995</v>
      </c>
      <c r="Q2899">
        <v>-4.437083E-2</v>
      </c>
      <c r="R2899">
        <v>-0.23008210000000001</v>
      </c>
      <c r="S2899">
        <v>3.0106199999999999</v>
      </c>
      <c r="T2899">
        <v>-3.6914589999999997E-2</v>
      </c>
      <c r="U2899">
        <v>-0.31355290000000002</v>
      </c>
      <c r="V2899">
        <v>7.7951599999999996E-2</v>
      </c>
      <c r="W2899">
        <v>-3.2299139999999997E-2</v>
      </c>
      <c r="X2899">
        <v>0.99643380000000004</v>
      </c>
      <c r="Y2899">
        <v>-5.0493759999999999E-2</v>
      </c>
      <c r="Z2899">
        <v>2.1787199999999999E-3</v>
      </c>
      <c r="AA2899">
        <v>0.998722</v>
      </c>
      <c r="AB2899">
        <v>8</v>
      </c>
      <c r="AC2899">
        <v>83.9465</v>
      </c>
      <c r="AD2899">
        <v>-1.03038692</v>
      </c>
      <c r="AE2899">
        <v>-8.7398000000000007</v>
      </c>
      <c r="AF2899">
        <v>-4.2654365102151797</v>
      </c>
      <c r="AG2899">
        <v>-1.03038692</v>
      </c>
      <c r="AH2899">
        <v>84.279784633569093</v>
      </c>
      <c r="AI2899">
        <v>90.699555986803801</v>
      </c>
      <c r="AJ2899">
        <v>92.897292253363801</v>
      </c>
      <c r="AK2899">
        <v>84.393943762028101</v>
      </c>
      <c r="AL2899">
        <v>91.850926320234905</v>
      </c>
      <c r="AM2899">
        <v>85.526828060593701</v>
      </c>
      <c r="AN2899">
        <v>1.0000000020848601</v>
      </c>
    </row>
    <row r="2900" spans="1:40" x14ac:dyDescent="0.25">
      <c r="A2900" t="str">
        <f>"20190312161325126"</f>
        <v>20190312161325126</v>
      </c>
      <c r="B2900" t="str">
        <f>"1552378405118570"</f>
        <v>1552378405118570</v>
      </c>
      <c r="C2900" t="s">
        <v>40</v>
      </c>
      <c r="D2900">
        <v>5.1279719999999998</v>
      </c>
      <c r="E2900">
        <v>0.4509456</v>
      </c>
      <c r="F2900" t="s">
        <v>41</v>
      </c>
      <c r="G2900">
        <v>-358.82990000000001</v>
      </c>
      <c r="H2900">
        <v>-0.05</v>
      </c>
      <c r="I2900">
        <v>202.2302</v>
      </c>
      <c r="J2900">
        <v>-466.64780000000002</v>
      </c>
      <c r="K2900">
        <v>1.110387</v>
      </c>
      <c r="L2900">
        <v>213.4538</v>
      </c>
      <c r="M2900">
        <v>0.98821099999999995</v>
      </c>
      <c r="N2900">
        <v>0</v>
      </c>
      <c r="O2900">
        <v>-0.15262129999999999</v>
      </c>
      <c r="P2900">
        <v>0.97234679999999996</v>
      </c>
      <c r="Q2900">
        <v>-4.46497E-2</v>
      </c>
      <c r="R2900">
        <v>-0.22923499999999999</v>
      </c>
      <c r="S2900">
        <v>3.0102540000000002</v>
      </c>
      <c r="T2900">
        <v>-3.2375340000000002E-2</v>
      </c>
      <c r="U2900">
        <v>-0.31343080000000001</v>
      </c>
      <c r="V2900">
        <v>7.8155370000000002E-2</v>
      </c>
      <c r="W2900">
        <v>-3.2568260000000002E-2</v>
      </c>
      <c r="X2900">
        <v>0.99640910000000005</v>
      </c>
      <c r="Y2900">
        <v>-4.9452490000000002E-2</v>
      </c>
      <c r="Z2900">
        <v>1.8942449999999999E-3</v>
      </c>
      <c r="AA2900">
        <v>0.99877470000000002</v>
      </c>
      <c r="AB2900">
        <v>8</v>
      </c>
      <c r="AC2900">
        <v>107.81789999999999</v>
      </c>
      <c r="AD2900">
        <v>-1.1603870000000001</v>
      </c>
      <c r="AE2900">
        <v>-11.223599999999999</v>
      </c>
      <c r="AF2900">
        <v>-5.3637994170716503</v>
      </c>
      <c r="AG2900">
        <v>-1.1603870000000001</v>
      </c>
      <c r="AH2900">
        <v>108.255281072171</v>
      </c>
      <c r="AI2900">
        <v>90.613376829285997</v>
      </c>
      <c r="AJ2900">
        <v>92.836553981200097</v>
      </c>
      <c r="AK2900">
        <v>108.394292848799</v>
      </c>
      <c r="AL2900">
        <v>91.866353836137804</v>
      </c>
      <c r="AM2900">
        <v>85.515071851134906</v>
      </c>
      <c r="AN2900">
        <v>1.0000000239910301</v>
      </c>
    </row>
    <row r="2901" spans="1:40" x14ac:dyDescent="0.25">
      <c r="A2901" t="str">
        <f>"20190312161325150"</f>
        <v>20190312161325150</v>
      </c>
      <c r="B2901" t="str">
        <f>"1552378405139067"</f>
        <v>1552378405139067</v>
      </c>
      <c r="C2901" t="s">
        <v>40</v>
      </c>
      <c r="D2901">
        <v>5.1604850000000004</v>
      </c>
      <c r="E2901">
        <v>0.45141360000000003</v>
      </c>
      <c r="F2901" t="s">
        <v>41</v>
      </c>
      <c r="G2901">
        <v>-356.40309999999999</v>
      </c>
      <c r="H2901">
        <v>-0.05</v>
      </c>
      <c r="I2901">
        <v>201.96029999999999</v>
      </c>
      <c r="J2901">
        <v>-466.56200000000001</v>
      </c>
      <c r="K2901">
        <v>1.110384</v>
      </c>
      <c r="L2901">
        <v>213.44200000000001</v>
      </c>
      <c r="M2901">
        <v>0.98839849999999996</v>
      </c>
      <c r="N2901">
        <v>0</v>
      </c>
      <c r="O2901">
        <v>-0.15140010000000001</v>
      </c>
      <c r="P2901">
        <v>0.97263560000000004</v>
      </c>
      <c r="Q2901">
        <v>-4.5074679999999999E-2</v>
      </c>
      <c r="R2901">
        <v>-0.22792219999999999</v>
      </c>
      <c r="S2901">
        <v>3.0099179999999999</v>
      </c>
      <c r="T2901">
        <v>-3.1681059999999997E-2</v>
      </c>
      <c r="U2901">
        <v>-0.31379699999999999</v>
      </c>
      <c r="V2901">
        <v>7.8044879999999997E-2</v>
      </c>
      <c r="W2901">
        <v>-3.2980929999999999E-2</v>
      </c>
      <c r="X2901">
        <v>0.99640419999999996</v>
      </c>
      <c r="Y2901">
        <v>-4.8087320000000003E-2</v>
      </c>
      <c r="Z2901">
        <v>1.8339960000000001E-3</v>
      </c>
      <c r="AA2901">
        <v>0.99884150000000005</v>
      </c>
      <c r="AB2901">
        <v>8</v>
      </c>
      <c r="AC2901">
        <v>110.15889999999899</v>
      </c>
      <c r="AD2901">
        <v>-1.1603840000000001</v>
      </c>
      <c r="AE2901">
        <v>-11.4817</v>
      </c>
      <c r="AF2901">
        <v>-5.3293786359987996</v>
      </c>
      <c r="AG2901">
        <v>-1.1603840000000001</v>
      </c>
      <c r="AH2901">
        <v>110.61517919677701</v>
      </c>
      <c r="AI2901">
        <v>90.600330312765493</v>
      </c>
      <c r="AJ2901">
        <v>92.758346257458797</v>
      </c>
      <c r="AK2901">
        <v>110.74956720641499</v>
      </c>
      <c r="AL2901">
        <v>91.890010768962696</v>
      </c>
      <c r="AM2901">
        <v>85.521364546501502</v>
      </c>
      <c r="AN2901">
        <v>1.00000003740775</v>
      </c>
    </row>
    <row r="2902" spans="1:40" x14ac:dyDescent="0.25">
      <c r="A2902" t="str">
        <f>"20190312161325170"</f>
        <v>20190312161325170</v>
      </c>
      <c r="B2902" t="str">
        <f>"1552378405158586"</f>
        <v>1552378405158586</v>
      </c>
      <c r="C2902" t="s">
        <v>40</v>
      </c>
      <c r="D2902">
        <v>5.1653989999999999</v>
      </c>
      <c r="E2902">
        <v>0.4520149</v>
      </c>
      <c r="F2902" t="s">
        <v>41</v>
      </c>
      <c r="G2902">
        <v>-354.94839999999999</v>
      </c>
      <c r="H2902">
        <v>-0.05</v>
      </c>
      <c r="I2902">
        <v>201.80969999999999</v>
      </c>
      <c r="J2902">
        <v>-466.48970000000003</v>
      </c>
      <c r="K2902">
        <v>1.1103780000000001</v>
      </c>
      <c r="L2902">
        <v>213.43219999999999</v>
      </c>
      <c r="M2902">
        <v>0.98855530000000003</v>
      </c>
      <c r="N2902">
        <v>0</v>
      </c>
      <c r="O2902">
        <v>-0.15037329999999999</v>
      </c>
      <c r="P2902">
        <v>0.97275889999999998</v>
      </c>
      <c r="Q2902">
        <v>-4.4713040000000003E-2</v>
      </c>
      <c r="R2902">
        <v>-0.22746730000000001</v>
      </c>
      <c r="S2902">
        <v>3.0094599999999998</v>
      </c>
      <c r="T2902">
        <v>-3.1287669999999997E-2</v>
      </c>
      <c r="U2902">
        <v>-0.31364439999999999</v>
      </c>
      <c r="V2902">
        <v>7.8610620000000006E-2</v>
      </c>
      <c r="W2902">
        <v>-3.2608789999999999E-2</v>
      </c>
      <c r="X2902">
        <v>0.99637189999999998</v>
      </c>
      <c r="Y2902">
        <v>-4.708449E-2</v>
      </c>
      <c r="Z2902">
        <v>1.795792E-3</v>
      </c>
      <c r="AA2902">
        <v>0.99888929999999998</v>
      </c>
      <c r="AB2902">
        <v>8</v>
      </c>
      <c r="AC2902">
        <v>111.54130000000001</v>
      </c>
      <c r="AD2902">
        <v>-1.1603779999999999</v>
      </c>
      <c r="AE2902">
        <v>-11.6225</v>
      </c>
      <c r="AF2902">
        <v>-5.2831702549147499</v>
      </c>
      <c r="AG2902">
        <v>-1.1603779999999999</v>
      </c>
      <c r="AH2902">
        <v>112.008659050101</v>
      </c>
      <c r="AI2902">
        <v>90.592887715789502</v>
      </c>
      <c r="AJ2902">
        <v>92.700498136053199</v>
      </c>
      <c r="AK2902">
        <v>112.139190594757</v>
      </c>
      <c r="AL2902">
        <v>91.868677382242893</v>
      </c>
      <c r="AM2902">
        <v>85.488887221958194</v>
      </c>
      <c r="AN2902">
        <v>0.99999996293582805</v>
      </c>
    </row>
    <row r="2903" spans="1:40" x14ac:dyDescent="0.25">
      <c r="A2903" t="str">
        <f>"20190312161325192"</f>
        <v>20190312161325192</v>
      </c>
      <c r="B2903" t="str">
        <f>"1552378405188843"</f>
        <v>1552378405188843</v>
      </c>
      <c r="C2903" t="s">
        <v>40</v>
      </c>
      <c r="D2903">
        <v>5.1662470000000003</v>
      </c>
      <c r="E2903">
        <v>0.45276929999999999</v>
      </c>
      <c r="F2903" t="s">
        <v>41</v>
      </c>
      <c r="G2903">
        <v>-350.63799999999998</v>
      </c>
      <c r="H2903">
        <v>-0.05</v>
      </c>
      <c r="I2903">
        <v>201.24010000000001</v>
      </c>
      <c r="J2903">
        <v>-466.41030000000001</v>
      </c>
      <c r="K2903">
        <v>1.1103780000000001</v>
      </c>
      <c r="L2903">
        <v>213.42150000000001</v>
      </c>
      <c r="M2903">
        <v>0.98872640000000001</v>
      </c>
      <c r="N2903">
        <v>0</v>
      </c>
      <c r="O2903">
        <v>-0.1492425</v>
      </c>
      <c r="P2903">
        <v>0.97287349999999995</v>
      </c>
      <c r="Q2903">
        <v>-4.4654359999999997E-2</v>
      </c>
      <c r="R2903">
        <v>-0.22698789999999999</v>
      </c>
      <c r="S2903">
        <v>3.008575</v>
      </c>
      <c r="T2903">
        <v>-3.0134080000000001E-2</v>
      </c>
      <c r="U2903">
        <v>-0.31661990000000001</v>
      </c>
      <c r="V2903">
        <v>7.9258220000000004E-2</v>
      </c>
      <c r="W2903">
        <v>-3.2538209999999998E-2</v>
      </c>
      <c r="X2903">
        <v>0.99632290000000001</v>
      </c>
      <c r="Y2903">
        <v>-4.4935330000000002E-2</v>
      </c>
      <c r="Z2903">
        <v>1.708085E-3</v>
      </c>
      <c r="AA2903">
        <v>0.9989884</v>
      </c>
      <c r="AB2903">
        <v>8</v>
      </c>
      <c r="AC2903">
        <v>115.77229999999901</v>
      </c>
      <c r="AD2903">
        <v>-1.1603779999999999</v>
      </c>
      <c r="AE2903">
        <v>-12.181399999999901</v>
      </c>
      <c r="AF2903">
        <v>-5.2339398505002999</v>
      </c>
      <c r="AG2903">
        <v>-1.1603779999999999</v>
      </c>
      <c r="AH2903">
        <v>116.282093522549</v>
      </c>
      <c r="AI2903">
        <v>90.571156867564596</v>
      </c>
      <c r="AJ2903">
        <v>92.577184355894204</v>
      </c>
      <c r="AK2903">
        <v>116.405609304056</v>
      </c>
      <c r="AL2903">
        <v>91.864631302863202</v>
      </c>
      <c r="AM2903">
        <v>85.451656887984598</v>
      </c>
      <c r="AN2903">
        <v>0.99999996080598996</v>
      </c>
    </row>
    <row r="2904" spans="1:40" x14ac:dyDescent="0.25">
      <c r="A2904" t="str">
        <f>"20190312161325215"</f>
        <v>20190312161325215</v>
      </c>
      <c r="B2904" t="str">
        <f>"1552378405208363"</f>
        <v>1552378405208363</v>
      </c>
      <c r="C2904" t="s">
        <v>40</v>
      </c>
      <c r="D2904">
        <v>5.2225010000000003</v>
      </c>
      <c r="E2904">
        <v>0.45330500000000001</v>
      </c>
      <c r="F2904" t="s">
        <v>41</v>
      </c>
      <c r="G2904">
        <v>-353.35210000000001</v>
      </c>
      <c r="H2904">
        <v>-0.05</v>
      </c>
      <c r="I2904">
        <v>201.345</v>
      </c>
      <c r="J2904">
        <v>-466.33179999999999</v>
      </c>
      <c r="K2904">
        <v>1.110374</v>
      </c>
      <c r="L2904">
        <v>213.4111</v>
      </c>
      <c r="M2904">
        <v>0.98889439999999995</v>
      </c>
      <c r="N2904">
        <v>0</v>
      </c>
      <c r="O2904">
        <v>-0.14812420000000001</v>
      </c>
      <c r="P2904">
        <v>0.97304990000000002</v>
      </c>
      <c r="Q2904">
        <v>-4.4354049999999999E-2</v>
      </c>
      <c r="R2904">
        <v>-0.22628880000000001</v>
      </c>
      <c r="S2904">
        <v>3.007263</v>
      </c>
      <c r="T2904">
        <v>-3.0865190000000001E-2</v>
      </c>
      <c r="U2904">
        <v>-0.32122800000000001</v>
      </c>
      <c r="V2904">
        <v>7.9666680000000004E-2</v>
      </c>
      <c r="W2904">
        <v>-3.2225719999999999E-2</v>
      </c>
      <c r="X2904">
        <v>0.99630050000000003</v>
      </c>
      <c r="Y2904">
        <v>-4.2245949999999997E-2</v>
      </c>
      <c r="Z2904">
        <v>1.7250329999999999E-3</v>
      </c>
      <c r="AA2904">
        <v>0.99910580000000004</v>
      </c>
      <c r="AB2904">
        <v>8</v>
      </c>
      <c r="AC2904">
        <v>112.979699999999</v>
      </c>
      <c r="AD2904">
        <v>-1.160374</v>
      </c>
      <c r="AE2904">
        <v>-12.0661</v>
      </c>
      <c r="AF2904">
        <v>-4.80278130898051</v>
      </c>
      <c r="AG2904">
        <v>-1.160374</v>
      </c>
      <c r="AH2904">
        <v>113.50878449968199</v>
      </c>
      <c r="AI2904">
        <v>90.585177522203495</v>
      </c>
      <c r="AJ2904">
        <v>92.422852630084407</v>
      </c>
      <c r="AK2904">
        <v>113.616272314827</v>
      </c>
      <c r="AL2904">
        <v>91.846717510934397</v>
      </c>
      <c r="AM2904">
        <v>85.428213602153093</v>
      </c>
      <c r="AN2904">
        <v>0.99999998161599502</v>
      </c>
    </row>
    <row r="2905" spans="1:40" x14ac:dyDescent="0.25">
      <c r="A2905" t="str">
        <f>"20190312161325235"</f>
        <v>20190312161325235</v>
      </c>
      <c r="B2905" t="str">
        <f>"1552378405228859"</f>
        <v>1552378405228859</v>
      </c>
      <c r="C2905" t="s">
        <v>40</v>
      </c>
      <c r="D2905">
        <v>5.1567239999999996</v>
      </c>
      <c r="E2905">
        <v>0.45379510000000001</v>
      </c>
      <c r="F2905" t="s">
        <v>41</v>
      </c>
      <c r="G2905">
        <v>-353.42680000000001</v>
      </c>
      <c r="H2905">
        <v>-0.05</v>
      </c>
      <c r="I2905">
        <v>201.27809999999999</v>
      </c>
      <c r="J2905">
        <v>-466.25599999999997</v>
      </c>
      <c r="K2905">
        <v>1.110382</v>
      </c>
      <c r="L2905">
        <v>213.40100000000001</v>
      </c>
      <c r="M2905">
        <v>0.98905529999999997</v>
      </c>
      <c r="N2905">
        <v>0</v>
      </c>
      <c r="O2905">
        <v>-0.14704619999999999</v>
      </c>
      <c r="P2905">
        <v>0.97338979999999997</v>
      </c>
      <c r="Q2905">
        <v>-4.4157269999999998E-2</v>
      </c>
      <c r="R2905">
        <v>-0.22486200000000001</v>
      </c>
      <c r="S2905">
        <v>3.006561</v>
      </c>
      <c r="T2905">
        <v>-3.0899759999999998E-2</v>
      </c>
      <c r="U2905">
        <v>-0.32308959999999998</v>
      </c>
      <c r="V2905">
        <v>7.9290589999999994E-2</v>
      </c>
      <c r="W2905">
        <v>-3.2016950000000002E-2</v>
      </c>
      <c r="X2905">
        <v>0.99633720000000003</v>
      </c>
      <c r="Y2905">
        <v>-4.0520750000000001E-2</v>
      </c>
      <c r="Z2905">
        <v>1.7075390000000001E-3</v>
      </c>
      <c r="AA2905">
        <v>0.99917719999999999</v>
      </c>
      <c r="AB2905">
        <v>8</v>
      </c>
      <c r="AC2905">
        <v>112.82919999999901</v>
      </c>
      <c r="AD2905">
        <v>-1.160382</v>
      </c>
      <c r="AE2905">
        <v>-12.1228999999999</v>
      </c>
      <c r="AF2905">
        <v>-4.6007438178257702</v>
      </c>
      <c r="AG2905">
        <v>-1.160382</v>
      </c>
      <c r="AH2905">
        <v>113.37342582332001</v>
      </c>
      <c r="AI2905">
        <v>90.585922139475301</v>
      </c>
      <c r="AJ2905">
        <v>92.323813063932803</v>
      </c>
      <c r="AK2905">
        <v>113.472670775738</v>
      </c>
      <c r="AL2905">
        <v>91.834749754211899</v>
      </c>
      <c r="AM2905">
        <v>85.449872122271401</v>
      </c>
      <c r="AN2905">
        <v>0.999999949426844</v>
      </c>
    </row>
    <row r="2906" spans="1:40" x14ac:dyDescent="0.25">
      <c r="A2906" t="str">
        <f>"20190312161325259"</f>
        <v>20190312161325259</v>
      </c>
      <c r="B2906" t="str">
        <f>"1552378405248379"</f>
        <v>1552378405248379</v>
      </c>
      <c r="C2906" t="s">
        <v>40</v>
      </c>
      <c r="D2906">
        <v>5.2310410000000003</v>
      </c>
      <c r="E2906">
        <v>0.4328843</v>
      </c>
      <c r="F2906" t="s">
        <v>41</v>
      </c>
      <c r="G2906">
        <v>-359.85649999999998</v>
      </c>
      <c r="H2906">
        <v>-0.05</v>
      </c>
      <c r="I2906">
        <v>202.00069999999999</v>
      </c>
      <c r="J2906">
        <v>-466.17509999999999</v>
      </c>
      <c r="K2906">
        <v>1.1103780000000001</v>
      </c>
      <c r="L2906">
        <v>213.3904</v>
      </c>
      <c r="M2906">
        <v>0.98922529999999997</v>
      </c>
      <c r="N2906">
        <v>0</v>
      </c>
      <c r="O2906">
        <v>-0.145897</v>
      </c>
      <c r="P2906">
        <v>0.97377309999999995</v>
      </c>
      <c r="Q2906">
        <v>-4.4291650000000002E-2</v>
      </c>
      <c r="R2906">
        <v>-0.22317000000000001</v>
      </c>
      <c r="S2906">
        <v>3.0061339999999999</v>
      </c>
      <c r="T2906">
        <v>-3.2784580000000001E-2</v>
      </c>
      <c r="U2906">
        <v>-0.32209779999999999</v>
      </c>
      <c r="V2906">
        <v>7.8717570000000001E-2</v>
      </c>
      <c r="W2906">
        <v>-3.2142879999999999E-2</v>
      </c>
      <c r="X2906">
        <v>0.99637869999999995</v>
      </c>
      <c r="Y2906">
        <v>-3.9669610000000001E-2</v>
      </c>
      <c r="Z2906">
        <v>1.7950119999999999E-3</v>
      </c>
      <c r="AA2906">
        <v>0.99921130000000002</v>
      </c>
      <c r="AB2906">
        <v>8</v>
      </c>
      <c r="AC2906">
        <v>106.3186</v>
      </c>
      <c r="AD2906">
        <v>-1.1603779999999999</v>
      </c>
      <c r="AE2906">
        <v>-11.389699999999999</v>
      </c>
      <c r="AF2906">
        <v>-4.2443983329214898</v>
      </c>
      <c r="AG2906">
        <v>-1.1603779999999999</v>
      </c>
      <c r="AH2906">
        <v>106.83006400950001</v>
      </c>
      <c r="AI2906">
        <v>90.621826292338895</v>
      </c>
      <c r="AJ2906">
        <v>92.275186088485597</v>
      </c>
      <c r="AK2906">
        <v>106.92064333226401</v>
      </c>
      <c r="AL2906">
        <v>91.841968510664302</v>
      </c>
      <c r="AM2906">
        <v>85.482805923593304</v>
      </c>
      <c r="AN2906">
        <v>1.00000006718754</v>
      </c>
    </row>
    <row r="2907" spans="1:40" x14ac:dyDescent="0.25">
      <c r="A2907" t="str">
        <f>"20190312161325279"</f>
        <v>20190312161325279</v>
      </c>
      <c r="B2907" t="str">
        <f>"1552378405268876"</f>
        <v>1552378405268876</v>
      </c>
      <c r="C2907" t="s">
        <v>40</v>
      </c>
      <c r="D2907">
        <v>5.1850360000000002</v>
      </c>
      <c r="E2907">
        <v>0.42674649999999997</v>
      </c>
      <c r="F2907" t="s">
        <v>81</v>
      </c>
      <c r="G2907">
        <v>-168.417</v>
      </c>
      <c r="H2907">
        <v>10.67343</v>
      </c>
      <c r="I2907">
        <v>197.39769999999999</v>
      </c>
      <c r="J2907">
        <v>-466.09969999999998</v>
      </c>
      <c r="K2907">
        <v>1.1103559999999999</v>
      </c>
      <c r="L2907">
        <v>213.38059999999999</v>
      </c>
      <c r="M2907">
        <v>0.98938320000000002</v>
      </c>
      <c r="N2907">
        <v>0</v>
      </c>
      <c r="O2907">
        <v>-0.14482790000000001</v>
      </c>
      <c r="P2907">
        <v>0.97401130000000002</v>
      </c>
      <c r="Q2907">
        <v>-4.4744100000000002E-2</v>
      </c>
      <c r="R2907">
        <v>-0.2220365</v>
      </c>
      <c r="S2907">
        <v>3.0477599999999998</v>
      </c>
      <c r="T2907">
        <v>9.7884769999999996E-2</v>
      </c>
      <c r="U2907">
        <v>-0.16369629999999999</v>
      </c>
      <c r="V2907">
        <v>7.8638269999999996E-2</v>
      </c>
      <c r="W2907">
        <v>-3.2671480000000003E-2</v>
      </c>
      <c r="X2907">
        <v>0.99636769999999997</v>
      </c>
      <c r="Y2907">
        <v>-9.1441670000000003E-2</v>
      </c>
      <c r="Z2907">
        <v>-6.0973809999999998E-3</v>
      </c>
      <c r="AA2907">
        <v>0.9957918</v>
      </c>
      <c r="AB2907">
        <v>8</v>
      </c>
      <c r="AC2907">
        <v>297.68269999999899</v>
      </c>
      <c r="AD2907">
        <v>9.5630740000000003</v>
      </c>
      <c r="AE2907">
        <v>-15.982900000000001</v>
      </c>
      <c r="AF2907">
        <v>-27.2734715645676</v>
      </c>
      <c r="AG2907">
        <v>9.5630740000000003</v>
      </c>
      <c r="AH2907">
        <v>296.55349920882202</v>
      </c>
      <c r="AI2907">
        <v>88.1607576946748</v>
      </c>
      <c r="AJ2907">
        <v>95.254604398140501</v>
      </c>
      <c r="AK2907">
        <v>297.95850806531701</v>
      </c>
      <c r="AL2907">
        <v>91.872271103331599</v>
      </c>
      <c r="AM2907">
        <v>85.487288120643299</v>
      </c>
      <c r="AN2907">
        <v>0.99999999835863596</v>
      </c>
    </row>
    <row r="2908" spans="1:40" x14ac:dyDescent="0.25">
      <c r="A2908" t="str">
        <f>"20190312161325303"</f>
        <v>20190312161325303</v>
      </c>
      <c r="B2908" t="str">
        <f>"1552378405299130"</f>
        <v>1552378405299130</v>
      </c>
      <c r="C2908" t="s">
        <v>40</v>
      </c>
      <c r="D2908">
        <v>5.2479459999999998</v>
      </c>
      <c r="E2908">
        <v>0.42442400000000002</v>
      </c>
      <c r="F2908" t="s">
        <v>81</v>
      </c>
      <c r="G2908">
        <v>-169.7149</v>
      </c>
      <c r="H2908">
        <v>13.488770000000001</v>
      </c>
      <c r="I2908">
        <v>202.21940000000001</v>
      </c>
      <c r="J2908">
        <v>-466.01889999999997</v>
      </c>
      <c r="K2908">
        <v>1.110304</v>
      </c>
      <c r="L2908">
        <v>213.37010000000001</v>
      </c>
      <c r="M2908">
        <v>0.98955289999999996</v>
      </c>
      <c r="N2908">
        <v>0</v>
      </c>
      <c r="O2908">
        <v>-0.143681</v>
      </c>
      <c r="P2908">
        <v>0.97423479999999996</v>
      </c>
      <c r="Q2908">
        <v>-4.4138179999999999E-2</v>
      </c>
      <c r="R2908">
        <v>-0.2211757</v>
      </c>
      <c r="S2908">
        <v>3.059631</v>
      </c>
      <c r="T2908">
        <v>0.1277848</v>
      </c>
      <c r="U2908">
        <v>-0.1152191</v>
      </c>
      <c r="V2908">
        <v>7.890867E-2</v>
      </c>
      <c r="W2908">
        <v>-3.227853E-2</v>
      </c>
      <c r="X2908">
        <v>0.99635910000000005</v>
      </c>
      <c r="Y2908">
        <v>-0.106132199999999</v>
      </c>
      <c r="Z2908">
        <v>-8.1913449999999992E-3</v>
      </c>
      <c r="AA2908">
        <v>0.99431829999999999</v>
      </c>
      <c r="AB2908">
        <v>8</v>
      </c>
      <c r="AC2908">
        <v>296.30399999999997</v>
      </c>
      <c r="AD2908">
        <v>12.378466</v>
      </c>
      <c r="AE2908">
        <v>-11.150700000000001</v>
      </c>
      <c r="AF2908">
        <v>-31.486394491771001</v>
      </c>
      <c r="AG2908">
        <v>12.378466</v>
      </c>
      <c r="AH2908">
        <v>294.318453231055</v>
      </c>
      <c r="AI2908">
        <v>87.605317847479597</v>
      </c>
      <c r="AJ2908">
        <v>96.106318000040105</v>
      </c>
      <c r="AK2908">
        <v>296.25659717705003</v>
      </c>
      <c r="AL2908">
        <v>91.849744899528702</v>
      </c>
      <c r="AM2908">
        <v>85.471796528641406</v>
      </c>
      <c r="AN2908">
        <v>0.99999996892646903</v>
      </c>
    </row>
    <row r="2909" spans="1:40" x14ac:dyDescent="0.25">
      <c r="A2909" t="str">
        <f>"20190312161325325"</f>
        <v>20190312161325325</v>
      </c>
      <c r="B2909" t="str">
        <f>"1552378405318651"</f>
        <v>1552378405318651</v>
      </c>
      <c r="C2909" t="s">
        <v>40</v>
      </c>
      <c r="D2909">
        <v>5.2252619999999999</v>
      </c>
      <c r="E2909">
        <v>0.42422759999999998</v>
      </c>
      <c r="F2909" t="s">
        <v>81</v>
      </c>
      <c r="G2909">
        <v>-168.41659999999999</v>
      </c>
      <c r="H2909">
        <v>15.9016</v>
      </c>
      <c r="I2909">
        <v>204.04490000000001</v>
      </c>
      <c r="J2909">
        <v>-465.93509999999998</v>
      </c>
      <c r="K2909">
        <v>1.1102510000000001</v>
      </c>
      <c r="L2909">
        <v>213.35939999999999</v>
      </c>
      <c r="M2909">
        <v>0.98972700000000002</v>
      </c>
      <c r="N2909">
        <v>0</v>
      </c>
      <c r="O2909">
        <v>-0.14249790000000001</v>
      </c>
      <c r="P2909">
        <v>0.97445380000000004</v>
      </c>
      <c r="Q2909">
        <v>-4.3436500000000003E-2</v>
      </c>
      <c r="R2909">
        <v>-0.2203483</v>
      </c>
      <c r="S2909">
        <v>3.0644840000000002</v>
      </c>
      <c r="T2909">
        <v>0.1523099</v>
      </c>
      <c r="U2909">
        <v>-9.6023559999999994E-2</v>
      </c>
      <c r="V2909">
        <v>7.9249399999999998E-2</v>
      </c>
      <c r="W2909">
        <v>-3.1824570000000003E-2</v>
      </c>
      <c r="X2909">
        <v>0.99634670000000003</v>
      </c>
      <c r="Y2909">
        <v>-0.1111268</v>
      </c>
      <c r="Z2909">
        <v>-9.8138700000000006E-3</v>
      </c>
      <c r="AA2909">
        <v>0.99375780000000002</v>
      </c>
      <c r="AB2909">
        <v>8</v>
      </c>
      <c r="AC2909">
        <v>297.51850000000002</v>
      </c>
      <c r="AD2909">
        <v>14.791348999999901</v>
      </c>
      <c r="AE2909">
        <v>-9.3144999999999794</v>
      </c>
      <c r="AF2909">
        <v>-33.097460546871602</v>
      </c>
      <c r="AG2909">
        <v>14.791348999999901</v>
      </c>
      <c r="AH2909">
        <v>295.080706272611</v>
      </c>
      <c r="AI2909">
        <v>87.148220638141595</v>
      </c>
      <c r="AJ2909">
        <v>96.399780653701697</v>
      </c>
      <c r="AK2909">
        <v>297.29925851612001</v>
      </c>
      <c r="AL2909">
        <v>91.823721463638194</v>
      </c>
      <c r="AM2909">
        <v>85.452269092306807</v>
      </c>
      <c r="AN2909">
        <v>1.0000000086284599</v>
      </c>
    </row>
    <row r="2910" spans="1:40" x14ac:dyDescent="0.25">
      <c r="A2910" t="str">
        <f>"20190312161325349"</f>
        <v>20190312161325349</v>
      </c>
      <c r="B2910" t="str">
        <f>"1552378405338170"</f>
        <v>1552378405338170</v>
      </c>
      <c r="C2910" t="s">
        <v>40</v>
      </c>
      <c r="D2910">
        <v>5.2680410000000002</v>
      </c>
      <c r="E2910">
        <v>0.42408960000000001</v>
      </c>
      <c r="F2910" t="s">
        <v>81</v>
      </c>
      <c r="G2910">
        <v>-168.41669999999999</v>
      </c>
      <c r="H2910">
        <v>16.80959</v>
      </c>
      <c r="I2910">
        <v>204.4281</v>
      </c>
      <c r="J2910">
        <v>-465.85169999999999</v>
      </c>
      <c r="K2910">
        <v>1.1102129999999999</v>
      </c>
      <c r="L2910">
        <v>213.34870000000001</v>
      </c>
      <c r="M2910">
        <v>0.9898962</v>
      </c>
      <c r="N2910">
        <v>0</v>
      </c>
      <c r="O2910">
        <v>-0.14133319999999999</v>
      </c>
      <c r="P2910">
        <v>0.97450559999999997</v>
      </c>
      <c r="Q2910">
        <v>-4.3875209999999998E-2</v>
      </c>
      <c r="R2910">
        <v>-0.22003210000000001</v>
      </c>
      <c r="S2910">
        <v>3.0650629999999999</v>
      </c>
      <c r="T2910">
        <v>0.16173650000000001</v>
      </c>
      <c r="U2910">
        <v>-9.2010499999999995E-2</v>
      </c>
      <c r="V2910">
        <v>8.0101359999999996E-2</v>
      </c>
      <c r="W2910">
        <v>-3.2449159999999998E-2</v>
      </c>
      <c r="X2910">
        <v>0.99625839999999999</v>
      </c>
      <c r="Y2910">
        <v>-0.1112247</v>
      </c>
      <c r="Z2910">
        <v>-1.036055E-2</v>
      </c>
      <c r="AA2910">
        <v>0.99374130000000005</v>
      </c>
      <c r="AB2910">
        <v>8</v>
      </c>
      <c r="AC2910">
        <v>297.435</v>
      </c>
      <c r="AD2910">
        <v>15.699376999999901</v>
      </c>
      <c r="AE2910">
        <v>-8.9206000000000092</v>
      </c>
      <c r="AF2910">
        <v>-33.116957430365098</v>
      </c>
      <c r="AG2910">
        <v>15.699376999999901</v>
      </c>
      <c r="AH2910">
        <v>294.889018307225</v>
      </c>
      <c r="AI2910">
        <v>86.971551374825196</v>
      </c>
      <c r="AJ2910">
        <v>96.407647195919395</v>
      </c>
      <c r="AK2910">
        <v>297.15776352946199</v>
      </c>
      <c r="AL2910">
        <v>91.859526367759401</v>
      </c>
      <c r="AM2910">
        <v>85.4031820642074</v>
      </c>
      <c r="AN2910">
        <v>0.999999987714557</v>
      </c>
    </row>
    <row r="2911" spans="1:40" x14ac:dyDescent="0.25">
      <c r="A2911" t="str">
        <f>"20190312161325391"</f>
        <v>20190312161325391</v>
      </c>
      <c r="B2911" t="str">
        <f>"1552378405388923"</f>
        <v>1552378405388923</v>
      </c>
      <c r="C2911" t="s">
        <v>40</v>
      </c>
      <c r="D2911">
        <v>5.3126449999999998</v>
      </c>
      <c r="E2911">
        <v>0.42389880000000002</v>
      </c>
      <c r="F2911" t="s">
        <v>81</v>
      </c>
      <c r="G2911">
        <v>-168.41669999999999</v>
      </c>
      <c r="H2911">
        <v>16.852429999999998</v>
      </c>
      <c r="I2911">
        <v>204.60929999999999</v>
      </c>
      <c r="J2911">
        <v>-465.69450000000001</v>
      </c>
      <c r="K2911">
        <v>1.1101760000000001</v>
      </c>
      <c r="L2911">
        <v>213.3289</v>
      </c>
      <c r="M2911">
        <v>0.99020280000000005</v>
      </c>
      <c r="N2911">
        <v>0</v>
      </c>
      <c r="O2911">
        <v>-0.13918910000000001</v>
      </c>
      <c r="P2911">
        <v>0.9746996</v>
      </c>
      <c r="Q2911">
        <v>-4.4280609999999998E-2</v>
      </c>
      <c r="R2911">
        <v>-0.21909010000000001</v>
      </c>
      <c r="S2911">
        <v>3.0654910000000002</v>
      </c>
      <c r="T2911">
        <v>0.16224620000000001</v>
      </c>
      <c r="U2911">
        <v>-9.0072630000000001E-2</v>
      </c>
      <c r="V2911">
        <v>8.1297869999999994E-2</v>
      </c>
      <c r="W2911">
        <v>-3.310213E-2</v>
      </c>
      <c r="X2911">
        <v>0.99614000000000003</v>
      </c>
      <c r="Y2911">
        <v>-0.10970679999999999</v>
      </c>
      <c r="Z2911">
        <v>-1.023932E-2</v>
      </c>
      <c r="AA2911">
        <v>0.99391130000000005</v>
      </c>
      <c r="AB2911">
        <v>8</v>
      </c>
      <c r="AC2911">
        <v>297.27780000000001</v>
      </c>
      <c r="AD2911">
        <v>15.742254000000001</v>
      </c>
      <c r="AE2911">
        <v>-8.7196000000000105</v>
      </c>
      <c r="AF2911">
        <v>-32.654210443833001</v>
      </c>
      <c r="AG2911">
        <v>15.742254000000001</v>
      </c>
      <c r="AH2911">
        <v>294.771542837391</v>
      </c>
      <c r="AI2911">
        <v>86.961578287696</v>
      </c>
      <c r="AJ2911">
        <v>96.321339577553701</v>
      </c>
      <c r="AK2911">
        <v>296.99221957392501</v>
      </c>
      <c r="AL2911">
        <v>91.8969588873737</v>
      </c>
      <c r="AM2911">
        <v>85.334266145676594</v>
      </c>
      <c r="AN2911">
        <v>0.99999999713853605</v>
      </c>
    </row>
    <row r="2912" spans="1:40" x14ac:dyDescent="0.25">
      <c r="A2912" t="str">
        <f>"20190312161325414"</f>
        <v>20190312161325414</v>
      </c>
      <c r="B2912" t="str">
        <f>"1552378405408443"</f>
        <v>1552378405408443</v>
      </c>
      <c r="C2912" t="s">
        <v>40</v>
      </c>
      <c r="D2912">
        <v>5.346724</v>
      </c>
      <c r="E2912">
        <v>0.42391259999999997</v>
      </c>
      <c r="F2912" t="s">
        <v>81</v>
      </c>
      <c r="G2912">
        <v>-168.41659999999999</v>
      </c>
      <c r="H2912">
        <v>17.062750000000001</v>
      </c>
      <c r="I2912">
        <v>205.01439999999999</v>
      </c>
      <c r="J2912">
        <v>-465.61329999999998</v>
      </c>
      <c r="K2912">
        <v>1.1101669999999999</v>
      </c>
      <c r="L2912">
        <v>213.31880000000001</v>
      </c>
      <c r="M2912">
        <v>0.99035629999999997</v>
      </c>
      <c r="N2912">
        <v>0</v>
      </c>
      <c r="O2912">
        <v>-0.1381029</v>
      </c>
      <c r="P2912">
        <v>0.97504869999999999</v>
      </c>
      <c r="Q2912">
        <v>-4.3973039999999998E-2</v>
      </c>
      <c r="R2912">
        <v>-0.2175926</v>
      </c>
      <c r="S2912">
        <v>3.066071</v>
      </c>
      <c r="T2912">
        <v>0.16453229999999999</v>
      </c>
      <c r="U2912">
        <v>-8.575439E-2</v>
      </c>
      <c r="V2912">
        <v>8.0859029999999998E-2</v>
      </c>
      <c r="W2912">
        <v>-3.2922859999999998E-2</v>
      </c>
      <c r="X2912">
        <v>0.99618169999999995</v>
      </c>
      <c r="Y2912">
        <v>-0.1100119</v>
      </c>
      <c r="Z2912">
        <v>-1.033223E-2</v>
      </c>
      <c r="AA2912">
        <v>0.9938766</v>
      </c>
      <c r="AB2912">
        <v>8</v>
      </c>
      <c r="AC2912">
        <v>297.19670000000002</v>
      </c>
      <c r="AD2912">
        <v>15.952582999999899</v>
      </c>
      <c r="AE2912">
        <v>-8.30440000000001</v>
      </c>
      <c r="AF2912">
        <v>-32.7271930885247</v>
      </c>
      <c r="AG2912">
        <v>15.952582999999899</v>
      </c>
      <c r="AH2912">
        <v>294.647233348871</v>
      </c>
      <c r="AI2912">
        <v>86.919862861533204</v>
      </c>
      <c r="AJ2912">
        <v>96.338004207015899</v>
      </c>
      <c r="AK2912">
        <v>296.88810382359497</v>
      </c>
      <c r="AL2912">
        <v>91.886681793406794</v>
      </c>
      <c r="AM2912">
        <v>85.359534548845403</v>
      </c>
      <c r="AN2912">
        <v>1.000000038429</v>
      </c>
    </row>
    <row r="2913" spans="1:40" x14ac:dyDescent="0.25">
      <c r="A2913" t="str">
        <f>"20190312161325436"</f>
        <v>20190312161325436</v>
      </c>
      <c r="B2913" t="str">
        <f>"1552378405428940"</f>
        <v>1552378405428940</v>
      </c>
      <c r="C2913" t="s">
        <v>40</v>
      </c>
      <c r="D2913">
        <v>5.3618709999999998</v>
      </c>
      <c r="E2913">
        <v>0.424016</v>
      </c>
      <c r="F2913" t="s">
        <v>81</v>
      </c>
      <c r="G2913">
        <v>-168.41659999999999</v>
      </c>
      <c r="H2913">
        <v>17.295030000000001</v>
      </c>
      <c r="I2913">
        <v>205.43119999999999</v>
      </c>
      <c r="J2913">
        <v>-465.5299</v>
      </c>
      <c r="K2913">
        <v>1.110163</v>
      </c>
      <c r="L2913">
        <v>213.30850000000001</v>
      </c>
      <c r="M2913">
        <v>0.99051199999999995</v>
      </c>
      <c r="N2913">
        <v>0</v>
      </c>
      <c r="O2913">
        <v>-0.13699159999999999</v>
      </c>
      <c r="P2913">
        <v>0.97536670000000003</v>
      </c>
      <c r="Q2913">
        <v>-4.3428889999999998E-2</v>
      </c>
      <c r="R2913">
        <v>-0.21627289999999999</v>
      </c>
      <c r="S2913">
        <v>3.0661320000000001</v>
      </c>
      <c r="T2913">
        <v>0.16697690000000001</v>
      </c>
      <c r="U2913">
        <v>-8.1375119999999995E-2</v>
      </c>
      <c r="V2913">
        <v>8.0625649999999993E-2</v>
      </c>
      <c r="W2913">
        <v>-3.2504320000000003E-2</v>
      </c>
      <c r="X2913">
        <v>0.9962143</v>
      </c>
      <c r="Y2913">
        <v>-0.11030619999999999</v>
      </c>
      <c r="Z2913">
        <v>-1.043373E-2</v>
      </c>
      <c r="AA2913">
        <v>0.99384289999999997</v>
      </c>
      <c r="AB2913">
        <v>8</v>
      </c>
      <c r="AC2913">
        <v>297.11329999999998</v>
      </c>
      <c r="AD2913">
        <v>16.184867000000001</v>
      </c>
      <c r="AE2913">
        <v>-7.8773000000000097</v>
      </c>
      <c r="AF2913">
        <v>-32.8041542399232</v>
      </c>
      <c r="AG2913">
        <v>16.184867000000001</v>
      </c>
      <c r="AH2913">
        <v>294.51769661541601</v>
      </c>
      <c r="AI2913">
        <v>86.873836170441805</v>
      </c>
      <c r="AJ2913">
        <v>96.355558188642902</v>
      </c>
      <c r="AK2913">
        <v>296.78061943943499</v>
      </c>
      <c r="AL2913">
        <v>91.862688487474998</v>
      </c>
      <c r="AM2913">
        <v>85.373020645693501</v>
      </c>
      <c r="AN2913">
        <v>0.99999997889053704</v>
      </c>
    </row>
    <row r="2914" spans="1:40" x14ac:dyDescent="0.25">
      <c r="A2914" t="str">
        <f>"20190312161325459"</f>
        <v>20190312161325459</v>
      </c>
      <c r="B2914" t="str">
        <f>"1552378405448459"</f>
        <v>1552378405448459</v>
      </c>
      <c r="C2914" t="s">
        <v>40</v>
      </c>
      <c r="D2914">
        <v>5.3645880000000004</v>
      </c>
      <c r="E2914">
        <v>0.42401549999999999</v>
      </c>
      <c r="F2914" t="s">
        <v>81</v>
      </c>
      <c r="G2914">
        <v>-168.41650000000001</v>
      </c>
      <c r="H2914">
        <v>17.402619999999999</v>
      </c>
      <c r="I2914">
        <v>205.75409999999999</v>
      </c>
      <c r="J2914">
        <v>-465.44900000000001</v>
      </c>
      <c r="K2914">
        <v>1.1101570000000001</v>
      </c>
      <c r="L2914">
        <v>213.29859999999999</v>
      </c>
      <c r="M2914">
        <v>0.99066069999999995</v>
      </c>
      <c r="N2914">
        <v>0</v>
      </c>
      <c r="O2914">
        <v>-0.13592099999999999</v>
      </c>
      <c r="P2914">
        <v>0.97567599999999999</v>
      </c>
      <c r="Q2914">
        <v>-4.3188799999999999E-2</v>
      </c>
      <c r="R2914">
        <v>-0.2149218</v>
      </c>
      <c r="S2914">
        <v>3.0660400000000001</v>
      </c>
      <c r="T2914">
        <v>0.16812920000000001</v>
      </c>
      <c r="U2914">
        <v>-7.7957150000000003E-2</v>
      </c>
      <c r="V2914">
        <v>8.0321439999999994E-2</v>
      </c>
      <c r="W2914">
        <v>-3.2373850000000003E-2</v>
      </c>
      <c r="X2914">
        <v>0.99624310000000005</v>
      </c>
      <c r="Y2914">
        <v>-0.1103346</v>
      </c>
      <c r="Z2914">
        <v>-1.0448809999999999E-2</v>
      </c>
      <c r="AA2914">
        <v>0.99383960000000005</v>
      </c>
      <c r="AB2914">
        <v>8</v>
      </c>
      <c r="AC2914">
        <v>297.03250000000003</v>
      </c>
      <c r="AD2914">
        <v>16.292463000000001</v>
      </c>
      <c r="AE2914">
        <v>-7.5444999999999904</v>
      </c>
      <c r="AF2914">
        <v>-32.802211864515797</v>
      </c>
      <c r="AG2914">
        <v>16.292463000000001</v>
      </c>
      <c r="AH2914">
        <v>294.415924295038</v>
      </c>
      <c r="AI2914">
        <v>86.852020667659502</v>
      </c>
      <c r="AJ2914">
        <v>96.357363794370599</v>
      </c>
      <c r="AK2914">
        <v>296.68529780275998</v>
      </c>
      <c r="AL2914">
        <v>91.855209211155895</v>
      </c>
      <c r="AM2914">
        <v>85.390536084957802</v>
      </c>
      <c r="AN2914">
        <v>0.99999995709255196</v>
      </c>
    </row>
    <row r="2915" spans="1:40" x14ac:dyDescent="0.25">
      <c r="A2915" t="str">
        <f>"20190312161325480"</f>
        <v>20190312161325480</v>
      </c>
      <c r="B2915" t="str">
        <f>"1552378405478714"</f>
        <v>1552378405478714</v>
      </c>
      <c r="C2915" t="s">
        <v>40</v>
      </c>
      <c r="D2915">
        <v>5.4460389999999999</v>
      </c>
      <c r="E2915">
        <v>0.42407080000000003</v>
      </c>
      <c r="F2915" t="s">
        <v>81</v>
      </c>
      <c r="G2915">
        <v>-168.41640000000001</v>
      </c>
      <c r="H2915">
        <v>17.47832</v>
      </c>
      <c r="I2915">
        <v>206.1557</v>
      </c>
      <c r="J2915">
        <v>-465.36579999999998</v>
      </c>
      <c r="K2915">
        <v>1.1101540000000001</v>
      </c>
      <c r="L2915">
        <v>213.2885</v>
      </c>
      <c r="M2915">
        <v>0.99081129999999995</v>
      </c>
      <c r="N2915">
        <v>0</v>
      </c>
      <c r="O2915">
        <v>-0.13482749999999999</v>
      </c>
      <c r="P2915">
        <v>0.97604669999999905</v>
      </c>
      <c r="Q2915">
        <v>-4.2801539999999999E-2</v>
      </c>
      <c r="R2915">
        <v>-0.21331059999999999</v>
      </c>
      <c r="S2915">
        <v>3.066071</v>
      </c>
      <c r="T2915">
        <v>0.1689581</v>
      </c>
      <c r="U2915">
        <v>-7.3730470000000006E-2</v>
      </c>
      <c r="V2915">
        <v>7.9774410000000004E-2</v>
      </c>
      <c r="W2915">
        <v>-3.2092420000000003E-2</v>
      </c>
      <c r="X2915">
        <v>0.99629619999999997</v>
      </c>
      <c r="Y2915">
        <v>-0.1106046</v>
      </c>
      <c r="Z2915">
        <v>-1.044817E-2</v>
      </c>
      <c r="AA2915">
        <v>0.99380959999999996</v>
      </c>
      <c r="AB2915">
        <v>8</v>
      </c>
      <c r="AC2915">
        <v>296.94940000000003</v>
      </c>
      <c r="AD2915">
        <v>16.368165999999999</v>
      </c>
      <c r="AE2915">
        <v>-7.1327999999999996</v>
      </c>
      <c r="AF2915">
        <v>-32.871756582343998</v>
      </c>
      <c r="AG2915">
        <v>16.368165999999999</v>
      </c>
      <c r="AH2915">
        <v>294.30573848823201</v>
      </c>
      <c r="AI2915">
        <v>86.836338266581294</v>
      </c>
      <c r="AJ2915">
        <v>96.373097016833299</v>
      </c>
      <c r="AK2915">
        <v>296.58782332745199</v>
      </c>
      <c r="AL2915">
        <v>91.839075998900995</v>
      </c>
      <c r="AM2915">
        <v>85.422037948211397</v>
      </c>
      <c r="AN2915">
        <v>0.999999999023372</v>
      </c>
    </row>
    <row r="2916" spans="1:40" x14ac:dyDescent="0.25">
      <c r="A2916" t="str">
        <f>"20190312161325504"</f>
        <v>20190312161325504</v>
      </c>
      <c r="B2916" t="str">
        <f>"1552378405498235"</f>
        <v>1552378405498235</v>
      </c>
      <c r="C2916" t="s">
        <v>40</v>
      </c>
      <c r="D2916">
        <v>5.3956160000000004</v>
      </c>
      <c r="E2916">
        <v>0.42421940000000002</v>
      </c>
      <c r="F2916" t="s">
        <v>81</v>
      </c>
      <c r="G2916">
        <v>-168.4162</v>
      </c>
      <c r="H2916">
        <v>17.462039999999998</v>
      </c>
      <c r="I2916">
        <v>206.6189</v>
      </c>
      <c r="J2916">
        <v>-465.28109999999998</v>
      </c>
      <c r="K2916">
        <v>1.1101510000000001</v>
      </c>
      <c r="L2916">
        <v>213.2783</v>
      </c>
      <c r="M2916">
        <v>0.99096260000000003</v>
      </c>
      <c r="N2916">
        <v>0</v>
      </c>
      <c r="O2916">
        <v>-0.13372029999999999</v>
      </c>
      <c r="P2916">
        <v>0.97632799999999997</v>
      </c>
      <c r="Q2916">
        <v>-4.2958389999999999E-2</v>
      </c>
      <c r="R2916">
        <v>-0.21198700000000001</v>
      </c>
      <c r="S2916">
        <v>3.0660099999999999</v>
      </c>
      <c r="T2916">
        <v>0.16883389999999901</v>
      </c>
      <c r="U2916">
        <v>-6.8862919999999994E-2</v>
      </c>
      <c r="V2916">
        <v>7.9538440000000002E-2</v>
      </c>
      <c r="W2916">
        <v>-3.2356830000000003E-2</v>
      </c>
      <c r="X2916">
        <v>0.99630649999999998</v>
      </c>
      <c r="Y2916">
        <v>-0.1110718</v>
      </c>
      <c r="Z2916">
        <v>-1.039349E-2</v>
      </c>
      <c r="AA2916">
        <v>0.99375800000000003</v>
      </c>
      <c r="AB2916">
        <v>8</v>
      </c>
      <c r="AC2916">
        <v>296.86489999999998</v>
      </c>
      <c r="AD2916">
        <v>16.351889</v>
      </c>
      <c r="AE2916">
        <v>-6.6593999999999998</v>
      </c>
      <c r="AF2916">
        <v>-32.999430375057003</v>
      </c>
      <c r="AG2916">
        <v>16.351889</v>
      </c>
      <c r="AH2916">
        <v>294.19688684837803</v>
      </c>
      <c r="AI2916">
        <v>86.838476698817004</v>
      </c>
      <c r="AJ2916">
        <v>96.399992727152906</v>
      </c>
      <c r="AK2916">
        <v>296.49309420326102</v>
      </c>
      <c r="AL2916">
        <v>91.854233474185094</v>
      </c>
      <c r="AM2916">
        <v>85.435569087876502</v>
      </c>
      <c r="AN2916">
        <v>0.99999998491376596</v>
      </c>
    </row>
    <row r="2917" spans="1:40" x14ac:dyDescent="0.25">
      <c r="A2917" t="str">
        <f>"20190312161325526"</f>
        <v>20190312161325526</v>
      </c>
      <c r="B2917" t="str">
        <f>"1552378405518731"</f>
        <v>1552378405518731</v>
      </c>
      <c r="C2917" t="s">
        <v>40</v>
      </c>
      <c r="D2917">
        <v>5.3908759999999996</v>
      </c>
      <c r="E2917">
        <v>0.4243518</v>
      </c>
      <c r="F2917" t="s">
        <v>81</v>
      </c>
      <c r="G2917">
        <v>-168.416</v>
      </c>
      <c r="H2917">
        <v>17.242709999999999</v>
      </c>
      <c r="I2917">
        <v>206.9145</v>
      </c>
      <c r="J2917">
        <v>-465.19889999999998</v>
      </c>
      <c r="K2917">
        <v>1.1101449999999999</v>
      </c>
      <c r="L2917">
        <v>213.26840000000001</v>
      </c>
      <c r="M2917">
        <v>0.99110730000000002</v>
      </c>
      <c r="N2917">
        <v>0</v>
      </c>
      <c r="O2917">
        <v>-0.13265099999999999</v>
      </c>
      <c r="P2917">
        <v>0.97652919999999999</v>
      </c>
      <c r="Q2917">
        <v>-4.2368690000000001E-2</v>
      </c>
      <c r="R2917">
        <v>-0.21117730000000001</v>
      </c>
      <c r="S2917">
        <v>3.0657960000000002</v>
      </c>
      <c r="T2917">
        <v>0.16660510000000001</v>
      </c>
      <c r="U2917">
        <v>-6.5719600000000003E-2</v>
      </c>
      <c r="V2917">
        <v>7.9783690000000004E-2</v>
      </c>
      <c r="W2917">
        <v>-3.1871669999999998E-2</v>
      </c>
      <c r="X2917">
        <v>0.99630249999999998</v>
      </c>
      <c r="Y2917">
        <v>-0.1110275</v>
      </c>
      <c r="Z2917">
        <v>-1.01986E-2</v>
      </c>
      <c r="AA2917">
        <v>0.99376500000000001</v>
      </c>
      <c r="AB2917">
        <v>8</v>
      </c>
      <c r="AC2917">
        <v>296.78289999999998</v>
      </c>
      <c r="AD2917">
        <v>16.132565</v>
      </c>
      <c r="AE2917">
        <v>-6.3539000000000003</v>
      </c>
      <c r="AF2917">
        <v>-32.975579559896701</v>
      </c>
      <c r="AG2917">
        <v>16.132565</v>
      </c>
      <c r="AH2917">
        <v>294.13406903988403</v>
      </c>
      <c r="AI2917">
        <v>86.880112607509304</v>
      </c>
      <c r="AJ2917">
        <v>96.396759917174606</v>
      </c>
      <c r="AK2917">
        <v>296.41609111306599</v>
      </c>
      <c r="AL2917">
        <v>91.826421560600096</v>
      </c>
      <c r="AM2917">
        <v>85.421536495408802</v>
      </c>
      <c r="AN2917">
        <v>0.99999995602242597</v>
      </c>
    </row>
    <row r="2918" spans="1:40" x14ac:dyDescent="0.25">
      <c r="A2918" t="str">
        <f>"20190312161325550"</f>
        <v>20190312161325550</v>
      </c>
      <c r="B2918" t="str">
        <f>"1552378405538251"</f>
        <v>1552378405538251</v>
      </c>
      <c r="C2918" t="s">
        <v>40</v>
      </c>
      <c r="D2918">
        <v>5.349945</v>
      </c>
      <c r="E2918">
        <v>0.42442279999999999</v>
      </c>
      <c r="F2918" t="s">
        <v>81</v>
      </c>
      <c r="G2918">
        <v>-168.416</v>
      </c>
      <c r="H2918">
        <v>17.355409999999999</v>
      </c>
      <c r="I2918">
        <v>207.04759999999999</v>
      </c>
      <c r="J2918">
        <v>-465.10899999999998</v>
      </c>
      <c r="K2918">
        <v>1.1101369999999999</v>
      </c>
      <c r="L2918">
        <v>213.2578</v>
      </c>
      <c r="M2918">
        <v>0.99126329999999996</v>
      </c>
      <c r="N2918">
        <v>0</v>
      </c>
      <c r="O2918">
        <v>-0.1314901</v>
      </c>
      <c r="P2918">
        <v>0.97678330000000002</v>
      </c>
      <c r="Q2918">
        <v>-4.1428399999999997E-2</v>
      </c>
      <c r="R2918">
        <v>-0.21018780000000001</v>
      </c>
      <c r="S2918">
        <v>3.0654910000000002</v>
      </c>
      <c r="T2918">
        <v>0.1677989</v>
      </c>
      <c r="U2918">
        <v>-6.4254759999999994E-2</v>
      </c>
      <c r="V2918">
        <v>7.9935329999999999E-2</v>
      </c>
      <c r="W2918">
        <v>-3.1040559999999998E-2</v>
      </c>
      <c r="X2918">
        <v>0.9963166</v>
      </c>
      <c r="Y2918">
        <v>-0.1103335</v>
      </c>
      <c r="Z2918">
        <v>-1.0190690000000001E-2</v>
      </c>
      <c r="AA2918">
        <v>0.99384240000000001</v>
      </c>
      <c r="AB2918">
        <v>8</v>
      </c>
      <c r="AC2918">
        <v>296.69299999999998</v>
      </c>
      <c r="AD2918">
        <v>16.245272999999901</v>
      </c>
      <c r="AE2918">
        <v>-6.2102000000000102</v>
      </c>
      <c r="AF2918">
        <v>-32.7598410497976</v>
      </c>
      <c r="AG2918">
        <v>16.245272999999901</v>
      </c>
      <c r="AH2918">
        <v>294.052105948546</v>
      </c>
      <c r="AI2918">
        <v>86.857242335296803</v>
      </c>
      <c r="AJ2918">
        <v>96.357010405841706</v>
      </c>
      <c r="AK2918">
        <v>296.31698752050602</v>
      </c>
      <c r="AL2918">
        <v>91.778778859507497</v>
      </c>
      <c r="AM2918">
        <v>85.412936231395705</v>
      </c>
      <c r="AN2918">
        <v>0.99999997039143995</v>
      </c>
    </row>
    <row r="2919" spans="1:40" x14ac:dyDescent="0.25">
      <c r="A2919" t="str">
        <f>"20190312161325573"</f>
        <v>20190312161325573</v>
      </c>
      <c r="B2919" t="str">
        <f>"1552378405568507"</f>
        <v>1552378405568507</v>
      </c>
      <c r="C2919" t="s">
        <v>40</v>
      </c>
      <c r="D2919">
        <v>5.3706259999999997</v>
      </c>
      <c r="E2919">
        <v>0.42462030000000001</v>
      </c>
      <c r="F2919" t="s">
        <v>81</v>
      </c>
      <c r="G2919">
        <v>-168.416</v>
      </c>
      <c r="H2919">
        <v>17.529729999999901</v>
      </c>
      <c r="I2919">
        <v>207.2835</v>
      </c>
      <c r="J2919">
        <v>-465.02109999999999</v>
      </c>
      <c r="K2919">
        <v>1.1101270000000001</v>
      </c>
      <c r="L2919">
        <v>213.2475</v>
      </c>
      <c r="M2919">
        <v>0.99141380000000001</v>
      </c>
      <c r="N2919">
        <v>0</v>
      </c>
      <c r="O2919">
        <v>-0.1303578</v>
      </c>
      <c r="P2919">
        <v>0.97697129999999999</v>
      </c>
      <c r="Q2919">
        <v>-4.0964130000000001E-2</v>
      </c>
      <c r="R2919">
        <v>-0.20940259999999999</v>
      </c>
      <c r="S2919">
        <v>3.0652159999999999</v>
      </c>
      <c r="T2919">
        <v>0.16963549999999999</v>
      </c>
      <c r="U2919">
        <v>-6.17218E-2</v>
      </c>
      <c r="V2919">
        <v>8.0269960000000001E-2</v>
      </c>
      <c r="W2919">
        <v>-3.0676510000000001E-2</v>
      </c>
      <c r="X2919">
        <v>0.99630099999999999</v>
      </c>
      <c r="Y2919">
        <v>-0.1100114</v>
      </c>
      <c r="Z2919">
        <v>-1.0232089999999999E-2</v>
      </c>
      <c r="AA2919">
        <v>0.99387760000000003</v>
      </c>
      <c r="AB2919">
        <v>9</v>
      </c>
      <c r="AC2919">
        <v>296.60509999999999</v>
      </c>
      <c r="AD2919">
        <v>16.419602999999999</v>
      </c>
      <c r="AE2919">
        <v>-5.9639999999999898</v>
      </c>
      <c r="AF2919">
        <v>-32.653695797550597</v>
      </c>
      <c r="AG2919">
        <v>16.419602999999999</v>
      </c>
      <c r="AH2919">
        <v>293.95093405406902</v>
      </c>
      <c r="AI2919">
        <v>86.822382232372803</v>
      </c>
      <c r="AJ2919">
        <v>96.338744021553396</v>
      </c>
      <c r="AK2919">
        <v>296.21448115035901</v>
      </c>
      <c r="AL2919">
        <v>91.757910342153494</v>
      </c>
      <c r="AM2919">
        <v>85.393744241632305</v>
      </c>
      <c r="AN2919">
        <v>0.99999999867259004</v>
      </c>
    </row>
    <row r="2920" spans="1:40" x14ac:dyDescent="0.25">
      <c r="A2920" t="str">
        <f>"20190312161325596"</f>
        <v>20190312161325596</v>
      </c>
      <c r="B2920" t="str">
        <f>"1552378405589004"</f>
        <v>1552378405589004</v>
      </c>
      <c r="C2920" t="s">
        <v>40</v>
      </c>
      <c r="D2920">
        <v>5.42584</v>
      </c>
      <c r="E2920">
        <v>0.42470459999999899</v>
      </c>
      <c r="F2920" t="s">
        <v>81</v>
      </c>
      <c r="G2920">
        <v>-168.416</v>
      </c>
      <c r="H2920">
        <v>17.491700000000002</v>
      </c>
      <c r="I2920">
        <v>207.3922</v>
      </c>
      <c r="J2920">
        <v>-464.93239999999997</v>
      </c>
      <c r="K2920">
        <v>1.1101209999999999</v>
      </c>
      <c r="L2920">
        <v>213.2372</v>
      </c>
      <c r="M2920">
        <v>0.99156359999999999</v>
      </c>
      <c r="N2920">
        <v>0</v>
      </c>
      <c r="O2920">
        <v>-0.12922159999999999</v>
      </c>
      <c r="P2920">
        <v>0.97699000000000003</v>
      </c>
      <c r="Q2920">
        <v>-4.162474E-2</v>
      </c>
      <c r="R2920">
        <v>-0.2091848</v>
      </c>
      <c r="S2920">
        <v>3.0647890000000002</v>
      </c>
      <c r="T2920">
        <v>0.16926939999999999</v>
      </c>
      <c r="U2920">
        <v>-6.0501100000000002E-2</v>
      </c>
      <c r="V2920">
        <v>8.1193710000000002E-2</v>
      </c>
      <c r="W2920">
        <v>-3.143232E-2</v>
      </c>
      <c r="X2920">
        <v>0.99620260000000005</v>
      </c>
      <c r="Y2920">
        <v>-0.10926950000000001</v>
      </c>
      <c r="Z2920">
        <v>-1.012881E-2</v>
      </c>
      <c r="AA2920">
        <v>0.99396059999999997</v>
      </c>
      <c r="AB2920">
        <v>9</v>
      </c>
      <c r="AC2920">
        <v>296.51639999999998</v>
      </c>
      <c r="AD2920">
        <v>16.381578999999999</v>
      </c>
      <c r="AE2920">
        <v>-5.84499999999999</v>
      </c>
      <c r="AF2920">
        <v>-32.423391439070599</v>
      </c>
      <c r="AG2920">
        <v>16.381578999999999</v>
      </c>
      <c r="AH2920">
        <v>293.88874978080901</v>
      </c>
      <c r="AI2920">
        <v>86.828793316336998</v>
      </c>
      <c r="AJ2920">
        <v>96.295718519027304</v>
      </c>
      <c r="AK2920">
        <v>296.12536144455999</v>
      </c>
      <c r="AL2920">
        <v>91.801235933511293</v>
      </c>
      <c r="AM2920">
        <v>85.340509134557095</v>
      </c>
      <c r="AN2920">
        <v>1.00000001476545</v>
      </c>
    </row>
    <row r="2921" spans="1:40" x14ac:dyDescent="0.25">
      <c r="A2921" t="str">
        <f>"20190312161325616"</f>
        <v>20190312161325616</v>
      </c>
      <c r="B2921" t="str">
        <f>"1552378405608523"</f>
        <v>1552378405608523</v>
      </c>
      <c r="C2921" t="s">
        <v>40</v>
      </c>
      <c r="D2921">
        <v>5.3676919999999999</v>
      </c>
      <c r="E2921">
        <v>0.42476700000000001</v>
      </c>
      <c r="F2921" t="s">
        <v>81</v>
      </c>
      <c r="G2921">
        <v>-168.41589999999999</v>
      </c>
      <c r="H2921">
        <v>17.20683</v>
      </c>
      <c r="I2921">
        <v>207.3896</v>
      </c>
      <c r="J2921">
        <v>-464.85860000000002</v>
      </c>
      <c r="K2921">
        <v>1.1101129999999999</v>
      </c>
      <c r="L2921">
        <v>213.2286</v>
      </c>
      <c r="M2921">
        <v>0.99168710000000004</v>
      </c>
      <c r="N2921">
        <v>0</v>
      </c>
      <c r="O2921">
        <v>-0.128277</v>
      </c>
      <c r="P2921">
        <v>0.97687889999999999</v>
      </c>
      <c r="Q2921">
        <v>-4.1809590000000001E-2</v>
      </c>
      <c r="R2921">
        <v>-0.20966589999999999</v>
      </c>
      <c r="S2921">
        <v>3.0647890000000002</v>
      </c>
      <c r="T2921">
        <v>0.16637560000000001</v>
      </c>
      <c r="U2921">
        <v>-6.0440059999999997E-2</v>
      </c>
      <c r="V2921">
        <v>8.2634299999999994E-2</v>
      </c>
      <c r="W2921">
        <v>-3.1695340000000002E-2</v>
      </c>
      <c r="X2921">
        <v>0.99607579999999996</v>
      </c>
      <c r="Y2921">
        <v>-0.1083573</v>
      </c>
      <c r="Z2921">
        <v>-9.8802850000000008E-3</v>
      </c>
      <c r="AA2921">
        <v>0.99406289999999997</v>
      </c>
      <c r="AB2921">
        <v>9</v>
      </c>
      <c r="AC2921">
        <v>296.4427</v>
      </c>
      <c r="AD2921">
        <v>16.096717000000002</v>
      </c>
      <c r="AE2921">
        <v>-5.8389999999999898</v>
      </c>
      <c r="AF2921">
        <v>-32.143222920224197</v>
      </c>
      <c r="AG2921">
        <v>16.096717000000002</v>
      </c>
      <c r="AH2921">
        <v>293.87625786068099</v>
      </c>
      <c r="AI2921">
        <v>86.883375850057902</v>
      </c>
      <c r="AJ2921">
        <v>96.242012068215999</v>
      </c>
      <c r="AK2921">
        <v>296.06679316004801</v>
      </c>
      <c r="AL2921">
        <v>91.8163133891087</v>
      </c>
      <c r="AM2921">
        <v>85.257610344852495</v>
      </c>
      <c r="AN2921">
        <v>1.0000000107299201</v>
      </c>
    </row>
    <row r="2922" spans="1:40" x14ac:dyDescent="0.25">
      <c r="A2922" t="str">
        <f>"20190312161325637"</f>
        <v>20190312161325637</v>
      </c>
      <c r="B2922" t="str">
        <f>"1552378405629019"</f>
        <v>1552378405629019</v>
      </c>
      <c r="C2922" t="s">
        <v>40</v>
      </c>
      <c r="D2922">
        <v>5.2733869999999996</v>
      </c>
      <c r="E2922">
        <v>0.42475760000000001</v>
      </c>
      <c r="F2922" t="s">
        <v>81</v>
      </c>
      <c r="G2922">
        <v>-168.41589999999999</v>
      </c>
      <c r="H2922">
        <v>17.041720000000002</v>
      </c>
      <c r="I2922">
        <v>207.1874</v>
      </c>
      <c r="J2922">
        <v>-464.77339999999998</v>
      </c>
      <c r="K2922">
        <v>1.1101080000000001</v>
      </c>
      <c r="L2922">
        <v>213.21889999999999</v>
      </c>
      <c r="M2922">
        <v>0.99182809999999999</v>
      </c>
      <c r="N2922">
        <v>0</v>
      </c>
      <c r="O2922">
        <v>-0.1271882</v>
      </c>
      <c r="P2922">
        <v>0.97706599999999999</v>
      </c>
      <c r="Q2922">
        <v>-4.1300330000000003E-2</v>
      </c>
      <c r="R2922">
        <v>-0.2088932</v>
      </c>
      <c r="S2922">
        <v>3.0646360000000001</v>
      </c>
      <c r="T2922">
        <v>0.16470190000000001</v>
      </c>
      <c r="U2922">
        <v>-6.2454219999999998E-2</v>
      </c>
      <c r="V2922">
        <v>8.2937200000000003E-2</v>
      </c>
      <c r="W2922">
        <v>-3.127982E-2</v>
      </c>
      <c r="X2922">
        <v>0.99606380000000005</v>
      </c>
      <c r="Y2922">
        <v>-0.1066226</v>
      </c>
      <c r="Z2922">
        <v>-9.6767339999999993E-3</v>
      </c>
      <c r="AA2922">
        <v>0.99425249999999998</v>
      </c>
      <c r="AB2922">
        <v>9</v>
      </c>
      <c r="AC2922">
        <v>296.35750000000002</v>
      </c>
      <c r="AD2922">
        <v>15.931611999999999</v>
      </c>
      <c r="AE2922">
        <v>-6.0314999999999896</v>
      </c>
      <c r="AF2922">
        <v>-31.621209044778301</v>
      </c>
      <c r="AG2922">
        <v>15.931611999999999</v>
      </c>
      <c r="AH2922">
        <v>293.86868597638198</v>
      </c>
      <c r="AI2922">
        <v>86.9146163033557</v>
      </c>
      <c r="AJ2922">
        <v>96.141578274818897</v>
      </c>
      <c r="AK2922">
        <v>295.99412446847202</v>
      </c>
      <c r="AL2922">
        <v>91.792493965528607</v>
      </c>
      <c r="AM2922">
        <v>85.240249529494207</v>
      </c>
      <c r="AN2922">
        <v>1.0000000499767501</v>
      </c>
    </row>
    <row r="2923" spans="1:40" x14ac:dyDescent="0.25">
      <c r="A2923" t="str">
        <f>"20190312161325659"</f>
        <v>20190312161325659</v>
      </c>
      <c r="B2923" t="str">
        <f>"1552378405649515"</f>
        <v>1552378405649515</v>
      </c>
      <c r="C2923" t="s">
        <v>40</v>
      </c>
      <c r="D2923">
        <v>5.3388390000000001</v>
      </c>
      <c r="E2923">
        <v>0.42480639999999997</v>
      </c>
      <c r="F2923" t="s">
        <v>81</v>
      </c>
      <c r="G2923">
        <v>-168.41579999999999</v>
      </c>
      <c r="H2923">
        <v>17.15211</v>
      </c>
      <c r="I2923">
        <v>207.4554</v>
      </c>
      <c r="J2923">
        <v>-464.69229999999999</v>
      </c>
      <c r="K2923">
        <v>1.1101000000000001</v>
      </c>
      <c r="L2923">
        <v>213.2097</v>
      </c>
      <c r="M2923">
        <v>0.99196169999999995</v>
      </c>
      <c r="N2923">
        <v>0</v>
      </c>
      <c r="O2923">
        <v>-0.12615080000000001</v>
      </c>
      <c r="P2923">
        <v>0.97725059999999997</v>
      </c>
      <c r="Q2923">
        <v>-4.1147620000000003E-2</v>
      </c>
      <c r="R2923">
        <v>-0.20805889999999999</v>
      </c>
      <c r="S2923">
        <v>3.064667</v>
      </c>
      <c r="T2923">
        <v>0.1658925</v>
      </c>
      <c r="U2923">
        <v>-5.960083E-2</v>
      </c>
      <c r="V2923">
        <v>8.3128220000000003E-2</v>
      </c>
      <c r="W2923">
        <v>-3.1223290000000001E-2</v>
      </c>
      <c r="X2923">
        <v>0.99604959999999998</v>
      </c>
      <c r="Y2923">
        <v>-0.1065048</v>
      </c>
      <c r="Z2923">
        <v>-9.687747E-3</v>
      </c>
      <c r="AA2923">
        <v>0.99426499999999995</v>
      </c>
      <c r="AB2923">
        <v>9</v>
      </c>
      <c r="AC2923">
        <v>296.2765</v>
      </c>
      <c r="AD2923">
        <v>16.042010000000001</v>
      </c>
      <c r="AE2923">
        <v>-5.7542999999999997</v>
      </c>
      <c r="AF2923">
        <v>-31.576484847979501</v>
      </c>
      <c r="AG2923">
        <v>16.042010000000001</v>
      </c>
      <c r="AH2923">
        <v>293.77434128437102</v>
      </c>
      <c r="AI2923">
        <v>86.892243330653599</v>
      </c>
      <c r="AJ2923">
        <v>96.134912598035399</v>
      </c>
      <c r="AK2923">
        <v>295.90164595226702</v>
      </c>
      <c r="AL2923">
        <v>91.789253541487994</v>
      </c>
      <c r="AM2923">
        <v>85.229269769257201</v>
      </c>
      <c r="AN2923">
        <v>1.00000000022947</v>
      </c>
    </row>
    <row r="2924" spans="1:40" x14ac:dyDescent="0.25">
      <c r="A2924" t="str">
        <f>"20190312161325681"</f>
        <v>20190312161325681</v>
      </c>
      <c r="B2924" t="str">
        <f>"1552378405678795"</f>
        <v>1552378405678795</v>
      </c>
      <c r="C2924" t="s">
        <v>40</v>
      </c>
      <c r="D2924">
        <v>5.3269229999999999</v>
      </c>
      <c r="E2924">
        <v>0.42492259999999998</v>
      </c>
      <c r="F2924" t="s">
        <v>81</v>
      </c>
      <c r="G2924">
        <v>-168.41579999999999</v>
      </c>
      <c r="H2924">
        <v>17.13335</v>
      </c>
      <c r="I2924">
        <v>207.6808</v>
      </c>
      <c r="J2924">
        <v>-464.60390000000001</v>
      </c>
      <c r="K2924">
        <v>1.1100829999999999</v>
      </c>
      <c r="L2924">
        <v>213.19980000000001</v>
      </c>
      <c r="M2924">
        <v>0.99210600000000004</v>
      </c>
      <c r="N2924">
        <v>0</v>
      </c>
      <c r="O2924">
        <v>-0.1250192</v>
      </c>
      <c r="P2924">
        <v>0.97719719999999999</v>
      </c>
      <c r="Q2924">
        <v>-4.2562080000000002E-2</v>
      </c>
      <c r="R2924">
        <v>-0.2080244</v>
      </c>
      <c r="S2924">
        <v>3.064667</v>
      </c>
      <c r="T2924">
        <v>0.1657438</v>
      </c>
      <c r="U2924">
        <v>-5.7189940000000002E-2</v>
      </c>
      <c r="V2924">
        <v>8.4238170000000001E-2</v>
      </c>
      <c r="W2924">
        <v>-3.2755109999999997E-2</v>
      </c>
      <c r="X2924">
        <v>0.99590710000000005</v>
      </c>
      <c r="Y2924">
        <v>-0.10615520000000001</v>
      </c>
      <c r="Z2924">
        <v>-9.6090340000000007E-3</v>
      </c>
      <c r="AA2924">
        <v>0.99430320000000005</v>
      </c>
      <c r="AB2924">
        <v>9</v>
      </c>
      <c r="AC2924">
        <v>296.18810000000002</v>
      </c>
      <c r="AD2924">
        <v>16.023267000000001</v>
      </c>
      <c r="AE2924">
        <v>-5.5190000000000001</v>
      </c>
      <c r="AF2924">
        <v>-31.463230079317899</v>
      </c>
      <c r="AG2924">
        <v>16.023267000000001</v>
      </c>
      <c r="AH2924">
        <v>293.69485792805398</v>
      </c>
      <c r="AI2924">
        <v>86.894911587753995</v>
      </c>
      <c r="AJ2924">
        <v>96.114717394347394</v>
      </c>
      <c r="AK2924">
        <v>295.80965079888301</v>
      </c>
      <c r="AL2924">
        <v>91.877065388934298</v>
      </c>
      <c r="AM2924">
        <v>85.165181197518805</v>
      </c>
      <c r="AN2924">
        <v>0.99999995917323403</v>
      </c>
    </row>
    <row r="2925" spans="1:40" x14ac:dyDescent="0.25">
      <c r="A2925" t="str">
        <f>"20190312161325704"</f>
        <v>20190312161325704</v>
      </c>
      <c r="B2925" t="str">
        <f>"1552378405698316"</f>
        <v>1552378405698316</v>
      </c>
      <c r="C2925" t="s">
        <v>40</v>
      </c>
      <c r="D2925">
        <v>5.364846</v>
      </c>
      <c r="E2925">
        <v>0.42495270000000002</v>
      </c>
      <c r="F2925" t="s">
        <v>81</v>
      </c>
      <c r="G2925">
        <v>-168.41560000000001</v>
      </c>
      <c r="H2925">
        <v>16.617139999999999</v>
      </c>
      <c r="I2925">
        <v>207.55289999999999</v>
      </c>
      <c r="J2925">
        <v>-464.51780000000002</v>
      </c>
      <c r="K2925">
        <v>1.1100650000000001</v>
      </c>
      <c r="L2925">
        <v>213.1902</v>
      </c>
      <c r="M2925">
        <v>0.99224590000000001</v>
      </c>
      <c r="N2925">
        <v>0</v>
      </c>
      <c r="O2925">
        <v>-0.12391439999999999</v>
      </c>
      <c r="P2925">
        <v>0.97737309999999999</v>
      </c>
      <c r="Q2925">
        <v>-4.3480169999999999E-2</v>
      </c>
      <c r="R2925">
        <v>-0.20700589999999999</v>
      </c>
      <c r="S2925">
        <v>3.064514</v>
      </c>
      <c r="T2925">
        <v>0.16044410000000001</v>
      </c>
      <c r="U2925">
        <v>-5.8425900000000003E-2</v>
      </c>
      <c r="V2925">
        <v>8.4315710000000002E-2</v>
      </c>
      <c r="W2925">
        <v>-3.3802890000000002E-2</v>
      </c>
      <c r="X2925">
        <v>0.99586560000000002</v>
      </c>
      <c r="Y2925">
        <v>-0.1046706</v>
      </c>
      <c r="Z2925">
        <v>-9.2063270000000003E-3</v>
      </c>
      <c r="AA2925">
        <v>0.99446429999999997</v>
      </c>
      <c r="AB2925">
        <v>9</v>
      </c>
      <c r="AC2925">
        <v>296.10219999999998</v>
      </c>
      <c r="AD2925">
        <v>15.507075</v>
      </c>
      <c r="AE2925">
        <v>-5.6372999999999998</v>
      </c>
      <c r="AF2925">
        <v>-31.014158020956501</v>
      </c>
      <c r="AG2925">
        <v>15.507075</v>
      </c>
      <c r="AH2925">
        <v>293.71320352276001</v>
      </c>
      <c r="AI2925">
        <v>86.994458962741902</v>
      </c>
      <c r="AJ2925">
        <v>96.027716006548502</v>
      </c>
      <c r="AK2925">
        <v>295.752926099484</v>
      </c>
      <c r="AL2925">
        <v>91.937131892274294</v>
      </c>
      <c r="AM2925">
        <v>85.160551238007002</v>
      </c>
      <c r="AN2925">
        <v>1.0000000337942501</v>
      </c>
    </row>
    <row r="2926" spans="1:40" x14ac:dyDescent="0.25">
      <c r="A2926" t="str">
        <f>"20190312161325726"</f>
        <v>20190312161325726</v>
      </c>
      <c r="B2926" t="str">
        <f>"1552378405718811"</f>
        <v>1552378405718811</v>
      </c>
      <c r="C2926" t="s">
        <v>40</v>
      </c>
      <c r="D2926">
        <v>5.3684640000000003</v>
      </c>
      <c r="E2926">
        <v>0.4250157</v>
      </c>
      <c r="F2926" t="s">
        <v>81</v>
      </c>
      <c r="G2926">
        <v>-168.41550000000001</v>
      </c>
      <c r="H2926">
        <v>16.334679999999999</v>
      </c>
      <c r="I2926">
        <v>207.80619999999999</v>
      </c>
      <c r="J2926">
        <v>-464.42759999999998</v>
      </c>
      <c r="K2926">
        <v>1.110044</v>
      </c>
      <c r="L2926">
        <v>213.18039999999999</v>
      </c>
      <c r="M2926">
        <v>0.99239129999999998</v>
      </c>
      <c r="N2926">
        <v>0</v>
      </c>
      <c r="O2926">
        <v>-0.12275610000000001</v>
      </c>
      <c r="P2926">
        <v>0.97758469999999997</v>
      </c>
      <c r="Q2926">
        <v>-4.293483E-2</v>
      </c>
      <c r="R2926">
        <v>-0.20611930000000001</v>
      </c>
      <c r="S2926">
        <v>3.064667</v>
      </c>
      <c r="T2926">
        <v>0.15757550000000001</v>
      </c>
      <c r="U2926">
        <v>-5.57251E-2</v>
      </c>
      <c r="V2926">
        <v>8.4572270000000005E-2</v>
      </c>
      <c r="W2926">
        <v>-3.3406390000000001E-2</v>
      </c>
      <c r="X2926">
        <v>0.9958572</v>
      </c>
      <c r="Y2926">
        <v>-0.1043996</v>
      </c>
      <c r="Z2926">
        <v>-8.9755459999999992E-3</v>
      </c>
      <c r="AA2926">
        <v>0.99449489999999996</v>
      </c>
      <c r="AB2926">
        <v>9</v>
      </c>
      <c r="AC2926">
        <v>296.01209999999998</v>
      </c>
      <c r="AD2926">
        <v>15.224636</v>
      </c>
      <c r="AE2926">
        <v>-5.3742000000000001</v>
      </c>
      <c r="AF2926">
        <v>-30.9236085744608</v>
      </c>
      <c r="AG2926">
        <v>15.224636</v>
      </c>
      <c r="AH2926">
        <v>293.65631120796598</v>
      </c>
      <c r="AI2926">
        <v>87.048443760040499</v>
      </c>
      <c r="AJ2926">
        <v>96.011402276382299</v>
      </c>
      <c r="AK2926">
        <v>295.67226488270501</v>
      </c>
      <c r="AL2926">
        <v>91.914401325138897</v>
      </c>
      <c r="AM2926">
        <v>85.145855031722604</v>
      </c>
      <c r="AN2926">
        <v>1.0000000092688099</v>
      </c>
    </row>
    <row r="2927" spans="1:40" x14ac:dyDescent="0.25">
      <c r="A2927" t="str">
        <f>"20190312161325751"</f>
        <v>20190312161325751</v>
      </c>
      <c r="B2927" t="str">
        <f>"1552378405738331"</f>
        <v>1552378405738331</v>
      </c>
      <c r="C2927" t="s">
        <v>40</v>
      </c>
      <c r="D2927">
        <v>5.4348700000000001</v>
      </c>
      <c r="E2927">
        <v>0.4250583</v>
      </c>
      <c r="F2927" t="s">
        <v>81</v>
      </c>
      <c r="G2927">
        <v>-168.41540000000001</v>
      </c>
      <c r="H2927">
        <v>16.37575</v>
      </c>
      <c r="I2927">
        <v>208.02170000000001</v>
      </c>
      <c r="J2927">
        <v>-464.3347</v>
      </c>
      <c r="K2927">
        <v>1.110026</v>
      </c>
      <c r="L2927">
        <v>213.1703</v>
      </c>
      <c r="M2927">
        <v>0.99254039999999999</v>
      </c>
      <c r="N2927">
        <v>0</v>
      </c>
      <c r="O2927">
        <v>-0.1215581</v>
      </c>
      <c r="P2927">
        <v>0.97790860000000002</v>
      </c>
      <c r="Q2927">
        <v>-4.2400510000000002E-2</v>
      </c>
      <c r="R2927">
        <v>-0.20468819999999999</v>
      </c>
      <c r="S2927">
        <v>3.0644840000000002</v>
      </c>
      <c r="T2927">
        <v>0.1580395</v>
      </c>
      <c r="U2927">
        <v>-5.3405759999999997E-2</v>
      </c>
      <c r="V2927">
        <v>8.431437E-2</v>
      </c>
      <c r="W2927">
        <v>-3.3028969999999998E-2</v>
      </c>
      <c r="X2927">
        <v>0.99589159999999999</v>
      </c>
      <c r="Y2927">
        <v>-0.10395069999999999</v>
      </c>
      <c r="Z2927">
        <v>-8.9296789999999994E-3</v>
      </c>
      <c r="AA2927">
        <v>0.99454240000000005</v>
      </c>
      <c r="AB2927">
        <v>9</v>
      </c>
      <c r="AC2927">
        <v>295.91930000000002</v>
      </c>
      <c r="AD2927">
        <v>15.265723999999899</v>
      </c>
      <c r="AE2927">
        <v>-5.1485999999999796</v>
      </c>
      <c r="AF2927">
        <v>-30.7806490319429</v>
      </c>
      <c r="AG2927">
        <v>15.265723999999899</v>
      </c>
      <c r="AH2927">
        <v>293.56951579594403</v>
      </c>
      <c r="AI2927">
        <v>87.039478849766297</v>
      </c>
      <c r="AJ2927">
        <v>95.9855700270911</v>
      </c>
      <c r="AK2927">
        <v>295.573258751087</v>
      </c>
      <c r="AL2927">
        <v>91.892764919473507</v>
      </c>
      <c r="AM2927">
        <v>85.160753527134105</v>
      </c>
      <c r="AN2927">
        <v>0.99999995239915695</v>
      </c>
    </row>
    <row r="2928" spans="1:40" x14ac:dyDescent="0.25">
      <c r="A2928" t="str">
        <f>"20190312161325774"</f>
        <v>20190312161325774</v>
      </c>
      <c r="B2928" t="str">
        <f>"1552378405768587"</f>
        <v>1552378405768587</v>
      </c>
      <c r="C2928" t="s">
        <v>40</v>
      </c>
      <c r="D2928">
        <v>5.442393</v>
      </c>
      <c r="E2928">
        <v>0.4334768</v>
      </c>
      <c r="F2928" t="s">
        <v>81</v>
      </c>
      <c r="G2928">
        <v>-169.39789999999999</v>
      </c>
      <c r="H2928">
        <v>16.406279999999999</v>
      </c>
      <c r="I2928">
        <v>208.4605</v>
      </c>
      <c r="J2928">
        <v>-464.23970000000003</v>
      </c>
      <c r="K2928">
        <v>1.1100099999999999</v>
      </c>
      <c r="L2928">
        <v>213.1601</v>
      </c>
      <c r="M2928">
        <v>0.99269059999999998</v>
      </c>
      <c r="N2928">
        <v>0</v>
      </c>
      <c r="O2928">
        <v>-0.1203361</v>
      </c>
      <c r="P2928">
        <v>0.97819060000000002</v>
      </c>
      <c r="Q2928">
        <v>-4.2032430000000003E-2</v>
      </c>
      <c r="R2928">
        <v>-0.20341210000000001</v>
      </c>
      <c r="S2928">
        <v>3.0644529999999999</v>
      </c>
      <c r="T2928">
        <v>0.15893160000000001</v>
      </c>
      <c r="U2928">
        <v>-4.8934940000000003E-2</v>
      </c>
      <c r="V2928">
        <v>8.4239690000000006E-2</v>
      </c>
      <c r="W2928">
        <v>-3.2811800000000002E-2</v>
      </c>
      <c r="X2928">
        <v>0.99590520000000005</v>
      </c>
      <c r="Y2928">
        <v>-0.1041744</v>
      </c>
      <c r="Z2928">
        <v>-8.9231950000000001E-3</v>
      </c>
      <c r="AA2928">
        <v>0.99451900000000004</v>
      </c>
      <c r="AB2928">
        <v>9</v>
      </c>
      <c r="AC2928">
        <v>294.84179999999998</v>
      </c>
      <c r="AD2928">
        <v>15.29627</v>
      </c>
      <c r="AE2928">
        <v>-4.6996000000000002</v>
      </c>
      <c r="AF2928">
        <v>-30.733469217294399</v>
      </c>
      <c r="AG2928">
        <v>15.29627</v>
      </c>
      <c r="AH2928">
        <v>292.47761860357002</v>
      </c>
      <c r="AI2928">
        <v>87.022581959834298</v>
      </c>
      <c r="AJ2928">
        <v>95.998611293607098</v>
      </c>
      <c r="AK2928">
        <v>294.48544852005602</v>
      </c>
      <c r="AL2928">
        <v>91.880315056264294</v>
      </c>
      <c r="AM2928">
        <v>85.165085190866293</v>
      </c>
      <c r="AN2928">
        <v>1.0000000534887801</v>
      </c>
    </row>
    <row r="2929" spans="1:40" x14ac:dyDescent="0.25">
      <c r="A2929" t="str">
        <f>"20190312161325797"</f>
        <v>20190312161325797</v>
      </c>
      <c r="B2929" t="str">
        <f>"1552378405789084"</f>
        <v>1552378405789084</v>
      </c>
      <c r="C2929" t="s">
        <v>40</v>
      </c>
      <c r="D2929">
        <v>5.4344999999999999</v>
      </c>
      <c r="E2929">
        <v>0.4337744</v>
      </c>
      <c r="F2929" t="s">
        <v>74</v>
      </c>
      <c r="G2929">
        <v>-434.84179999999998</v>
      </c>
      <c r="H2929" s="1">
        <v>4.5678690000000001E-6</v>
      </c>
      <c r="I2929">
        <v>212.28569999999999</v>
      </c>
      <c r="J2929">
        <v>-464.14530000000002</v>
      </c>
      <c r="K2929">
        <v>1.110001</v>
      </c>
      <c r="L2929">
        <v>213.15010000000001</v>
      </c>
      <c r="M2929">
        <v>0.99283849999999996</v>
      </c>
      <c r="N2929">
        <v>0</v>
      </c>
      <c r="O2929">
        <v>-0.1191213</v>
      </c>
      <c r="P2929">
        <v>0.9785066</v>
      </c>
      <c r="Q2929">
        <v>-4.2036259999999999E-2</v>
      </c>
      <c r="R2929">
        <v>-0.2018867</v>
      </c>
      <c r="S2929">
        <v>3.043091</v>
      </c>
      <c r="T2929">
        <v>-0.1149008</v>
      </c>
      <c r="U2929">
        <v>-9.0515139999999994E-2</v>
      </c>
      <c r="V2929">
        <v>8.3906350000000005E-2</v>
      </c>
      <c r="W2929">
        <v>-3.2952469999999998E-2</v>
      </c>
      <c r="X2929">
        <v>0.99592860000000005</v>
      </c>
      <c r="Y2929">
        <v>-8.940584E-2</v>
      </c>
      <c r="Z2929">
        <v>6.1722569999999996E-3</v>
      </c>
      <c r="AA2929">
        <v>0.99597619999999998</v>
      </c>
      <c r="AB2929">
        <v>9</v>
      </c>
      <c r="AC2929">
        <v>29.3035</v>
      </c>
      <c r="AD2929">
        <v>-1.1099964321310001</v>
      </c>
      <c r="AE2929">
        <v>-0.86440000000001704</v>
      </c>
      <c r="AF2929">
        <v>-2.62880049242185</v>
      </c>
      <c r="AG2929">
        <v>-1.1099964321310001</v>
      </c>
      <c r="AH2929">
        <v>29.15600816769</v>
      </c>
      <c r="AI2929">
        <v>92.171450878045803</v>
      </c>
      <c r="AJ2929">
        <v>95.1520428797118</v>
      </c>
      <c r="AK2929">
        <v>29.2953152634121</v>
      </c>
      <c r="AL2929">
        <v>91.888379393247106</v>
      </c>
      <c r="AM2929">
        <v>85.184239612114695</v>
      </c>
      <c r="AN2929">
        <v>0.99999995857369095</v>
      </c>
    </row>
    <row r="2930" spans="1:40" x14ac:dyDescent="0.25">
      <c r="A2930" t="str">
        <f>"20190312161325817"</f>
        <v>20190312161325817</v>
      </c>
      <c r="B2930" t="str">
        <f>"1552378405808603"</f>
        <v>1552378405808603</v>
      </c>
      <c r="C2930" t="s">
        <v>40</v>
      </c>
      <c r="D2930">
        <v>5.4297639999999996</v>
      </c>
      <c r="E2930">
        <v>0.43428729999999899</v>
      </c>
      <c r="F2930" t="s">
        <v>74</v>
      </c>
      <c r="G2930">
        <v>-434.7072</v>
      </c>
      <c r="H2930" s="1">
        <v>4.5072130000000004E-6</v>
      </c>
      <c r="I2930">
        <v>212.2971</v>
      </c>
      <c r="J2930">
        <v>-464.06110000000001</v>
      </c>
      <c r="K2930">
        <v>1.1099950000000001</v>
      </c>
      <c r="L2930">
        <v>213.1413</v>
      </c>
      <c r="M2930">
        <v>0.99296870000000004</v>
      </c>
      <c r="N2930">
        <v>0</v>
      </c>
      <c r="O2930">
        <v>-0.11803900000000001</v>
      </c>
      <c r="P2930">
        <v>0.97886649999999997</v>
      </c>
      <c r="Q2930">
        <v>-4.1249069999999999E-2</v>
      </c>
      <c r="R2930">
        <v>-0.20029739999999999</v>
      </c>
      <c r="S2930">
        <v>3.0428160000000002</v>
      </c>
      <c r="T2930">
        <v>-0.114733</v>
      </c>
      <c r="U2930">
        <v>-8.8165279999999999E-2</v>
      </c>
      <c r="V2930">
        <v>8.3370689999999997E-2</v>
      </c>
      <c r="W2930">
        <v>-3.2275459999999999E-2</v>
      </c>
      <c r="X2930">
        <v>0.99599579999999999</v>
      </c>
      <c r="Y2930">
        <v>-8.9087330000000006E-2</v>
      </c>
      <c r="Z2930">
        <v>6.117384E-3</v>
      </c>
      <c r="AA2930">
        <v>0.99600509999999998</v>
      </c>
      <c r="AB2930">
        <v>9</v>
      </c>
      <c r="AC2930">
        <v>29.353899999999999</v>
      </c>
      <c r="AD2930">
        <v>-1.1099904927869999</v>
      </c>
      <c r="AE2930">
        <v>-0.84419999999999995</v>
      </c>
      <c r="AF2930">
        <v>-2.6229983024741799</v>
      </c>
      <c r="AG2930">
        <v>-1.1099904927869999</v>
      </c>
      <c r="AH2930">
        <v>29.2065936360449</v>
      </c>
      <c r="AI2930">
        <v>92.167750545880196</v>
      </c>
      <c r="AJ2930">
        <v>95.131876377489604</v>
      </c>
      <c r="AK2930">
        <v>29.345141178905902</v>
      </c>
      <c r="AL2930">
        <v>91.849568842218602</v>
      </c>
      <c r="AM2930">
        <v>85.215161673490002</v>
      </c>
      <c r="AN2930">
        <v>1.0000000054434599</v>
      </c>
    </row>
    <row r="2931" spans="1:40" x14ac:dyDescent="0.25">
      <c r="A2931" t="str">
        <f>"20190312161325838"</f>
        <v>20190312161325838</v>
      </c>
      <c r="B2931" t="str">
        <f>"1552378405829099"</f>
        <v>1552378405829099</v>
      </c>
      <c r="C2931" t="s">
        <v>40</v>
      </c>
      <c r="D2931">
        <v>5.3796030000000004</v>
      </c>
      <c r="E2931">
        <v>0.43439539999999999</v>
      </c>
      <c r="F2931" t="s">
        <v>74</v>
      </c>
      <c r="G2931">
        <v>-434.05309999999997</v>
      </c>
      <c r="H2931" s="1">
        <v>4.218456E-6</v>
      </c>
      <c r="I2931">
        <v>212.28200000000001</v>
      </c>
      <c r="J2931">
        <v>-463.97340000000003</v>
      </c>
      <c r="K2931">
        <v>1.1099889999999999</v>
      </c>
      <c r="L2931">
        <v>213.13220000000001</v>
      </c>
      <c r="M2931">
        <v>0.99310279999999995</v>
      </c>
      <c r="N2931">
        <v>0</v>
      </c>
      <c r="O2931">
        <v>-0.11691219999999999</v>
      </c>
      <c r="P2931">
        <v>0.9792187</v>
      </c>
      <c r="Q2931">
        <v>-4.0820330000000002E-2</v>
      </c>
      <c r="R2931">
        <v>-0.1986579</v>
      </c>
      <c r="S2931">
        <v>3.0421749999999999</v>
      </c>
      <c r="T2931">
        <v>-0.11252959999999999</v>
      </c>
      <c r="U2931">
        <v>-8.7112430000000005E-2</v>
      </c>
      <c r="V2931">
        <v>8.2830989999999993E-2</v>
      </c>
      <c r="W2931">
        <v>-3.1950699999999999E-2</v>
      </c>
      <c r="X2931">
        <v>0.99605129999999997</v>
      </c>
      <c r="Y2931">
        <v>-8.8302199999999997E-2</v>
      </c>
      <c r="Z2931">
        <v>5.9453780000000003E-3</v>
      </c>
      <c r="AA2931">
        <v>0.99607599999999996</v>
      </c>
      <c r="AB2931">
        <v>9</v>
      </c>
      <c r="AC2931">
        <v>29.920300000000001</v>
      </c>
      <c r="AD2931">
        <v>-1.1099847815439901</v>
      </c>
      <c r="AE2931">
        <v>-0.85020000000000095</v>
      </c>
      <c r="AF2931">
        <v>-2.6501716870654999</v>
      </c>
      <c r="AG2931">
        <v>-1.1099847815439901</v>
      </c>
      <c r="AH2931">
        <v>29.773557450711401</v>
      </c>
      <c r="AI2931">
        <v>92.126648722959303</v>
      </c>
      <c r="AJ2931">
        <v>95.086544739896098</v>
      </c>
      <c r="AK2931">
        <v>29.911873887421201</v>
      </c>
      <c r="AL2931">
        <v>91.830951861673</v>
      </c>
      <c r="AM2931">
        <v>85.246257567083504</v>
      </c>
      <c r="AN2931">
        <v>1.0000000061832699</v>
      </c>
    </row>
    <row r="2932" spans="1:40" x14ac:dyDescent="0.25">
      <c r="A2932" t="str">
        <f>"20190312161325861"</f>
        <v>20190312161325861</v>
      </c>
      <c r="B2932" t="str">
        <f>"1552378405848619"</f>
        <v>1552378405848619</v>
      </c>
      <c r="C2932" t="s">
        <v>40</v>
      </c>
      <c r="D2932">
        <v>5.460788</v>
      </c>
      <c r="E2932">
        <v>0.4346082</v>
      </c>
      <c r="F2932" t="s">
        <v>74</v>
      </c>
      <c r="G2932">
        <v>-433.35300000000001</v>
      </c>
      <c r="H2932" s="1">
        <v>3.906593E-6</v>
      </c>
      <c r="I2932">
        <v>212.2978</v>
      </c>
      <c r="J2932">
        <v>-463.88510000000002</v>
      </c>
      <c r="K2932">
        <v>1.10998</v>
      </c>
      <c r="L2932">
        <v>213.12309999999999</v>
      </c>
      <c r="M2932">
        <v>0.99323669999999997</v>
      </c>
      <c r="N2932">
        <v>0</v>
      </c>
      <c r="O2932">
        <v>-0.1157763</v>
      </c>
      <c r="P2932">
        <v>0.97932770000000002</v>
      </c>
      <c r="Q2932">
        <v>-4.090539E-2</v>
      </c>
      <c r="R2932">
        <v>-0.19810150000000001</v>
      </c>
      <c r="S2932">
        <v>3.042297</v>
      </c>
      <c r="T2932">
        <v>-0.1102827</v>
      </c>
      <c r="U2932">
        <v>-8.2901000000000002E-2</v>
      </c>
      <c r="V2932">
        <v>8.340504E-2</v>
      </c>
      <c r="W2932">
        <v>-3.2130260000000001E-2</v>
      </c>
      <c r="X2932">
        <v>0.99599760000000004</v>
      </c>
      <c r="Y2932">
        <v>-8.8547870000000001E-2</v>
      </c>
      <c r="Z2932">
        <v>5.790239E-3</v>
      </c>
      <c r="AA2932">
        <v>0.99605509999999997</v>
      </c>
      <c r="AB2932">
        <v>9</v>
      </c>
      <c r="AC2932">
        <v>30.5321</v>
      </c>
      <c r="AD2932">
        <v>-1.109976093407</v>
      </c>
      <c r="AE2932">
        <v>-0.82529999999999804</v>
      </c>
      <c r="AF2932">
        <v>-2.7116981839160599</v>
      </c>
      <c r="AG2932">
        <v>-1.109976093407</v>
      </c>
      <c r="AH2932">
        <v>30.382194167488802</v>
      </c>
      <c r="AI2932">
        <v>92.084023355236596</v>
      </c>
      <c r="AJ2932">
        <v>95.100298586034398</v>
      </c>
      <c r="AK2932">
        <v>30.523156396407899</v>
      </c>
      <c r="AL2932">
        <v>91.841245212452407</v>
      </c>
      <c r="AM2932">
        <v>85.213208016373898</v>
      </c>
      <c r="AN2932">
        <v>0.99999998675541402</v>
      </c>
    </row>
    <row r="2933" spans="1:40" x14ac:dyDescent="0.25">
      <c r="A2933" t="str">
        <f>"20190312161325885"</f>
        <v>20190312161325885</v>
      </c>
      <c r="B2933" t="str">
        <f>"1552378405878290"</f>
        <v>1552378405878290</v>
      </c>
      <c r="C2933" t="s">
        <v>40</v>
      </c>
      <c r="D2933">
        <v>5.4597480000000003</v>
      </c>
      <c r="E2933">
        <v>0.43481360000000002</v>
      </c>
      <c r="F2933" t="s">
        <v>74</v>
      </c>
      <c r="G2933">
        <v>-433.91820000000001</v>
      </c>
      <c r="H2933" s="1">
        <v>4.1564429999999998E-6</v>
      </c>
      <c r="I2933">
        <v>212.30690000000001</v>
      </c>
      <c r="J2933">
        <v>-463.78579999999999</v>
      </c>
      <c r="K2933">
        <v>1.109974</v>
      </c>
      <c r="L2933">
        <v>213.1131</v>
      </c>
      <c r="M2933">
        <v>0.99338519999999997</v>
      </c>
      <c r="N2933">
        <v>0</v>
      </c>
      <c r="O2933">
        <v>-0.11450299999999999</v>
      </c>
      <c r="P2933">
        <v>0.97960480000000005</v>
      </c>
      <c r="Q2933">
        <v>-4.1054790000000001E-2</v>
      </c>
      <c r="R2933">
        <v>-0.19669529999999999</v>
      </c>
      <c r="S2933">
        <v>3.0418699999999999</v>
      </c>
      <c r="T2933">
        <v>-0.1126711</v>
      </c>
      <c r="U2933">
        <v>-8.2855219999999993E-2</v>
      </c>
      <c r="V2933">
        <v>8.3253430000000003E-2</v>
      </c>
      <c r="W2933">
        <v>-3.2373730000000003E-2</v>
      </c>
      <c r="X2933">
        <v>0.99600239999999995</v>
      </c>
      <c r="Y2933">
        <v>-8.727791E-2</v>
      </c>
      <c r="Z2933">
        <v>5.8460129999999997E-3</v>
      </c>
      <c r="AA2933">
        <v>0.99616680000000002</v>
      </c>
      <c r="AB2933">
        <v>9</v>
      </c>
      <c r="AC2933">
        <v>29.8675999999999</v>
      </c>
      <c r="AD2933">
        <v>-1.109969843557</v>
      </c>
      <c r="AE2933">
        <v>-0.80619999999998904</v>
      </c>
      <c r="AF2933">
        <v>-2.6155510745069801</v>
      </c>
      <c r="AG2933">
        <v>-1.109969843557</v>
      </c>
      <c r="AH2933">
        <v>29.722439439339301</v>
      </c>
      <c r="AI2933">
        <v>92.130463320593606</v>
      </c>
      <c r="AJ2933">
        <v>95.029028445145201</v>
      </c>
      <c r="AK2933">
        <v>29.857939424919401</v>
      </c>
      <c r="AL2933">
        <v>91.855202277659799</v>
      </c>
      <c r="AM2933">
        <v>85.221891833463204</v>
      </c>
      <c r="AN2933">
        <v>0.999999986403318</v>
      </c>
    </row>
    <row r="2934" spans="1:40" x14ac:dyDescent="0.25">
      <c r="A2934" t="str">
        <f>"20190312161325905"</f>
        <v>20190312161325905</v>
      </c>
      <c r="B2934" t="str">
        <f>"1552378405898787"</f>
        <v>1552378405898787</v>
      </c>
      <c r="C2934" t="s">
        <v>40</v>
      </c>
      <c r="D2934">
        <v>5.4642799999999996</v>
      </c>
      <c r="E2934">
        <v>0.43497989999999997</v>
      </c>
      <c r="F2934" t="s">
        <v>74</v>
      </c>
      <c r="G2934">
        <v>-433.55279999999999</v>
      </c>
      <c r="H2934" s="1">
        <v>3.9935E-6</v>
      </c>
      <c r="I2934">
        <v>212.31739999999999</v>
      </c>
      <c r="J2934">
        <v>-463.69810000000001</v>
      </c>
      <c r="K2934">
        <v>1.1099779999999999</v>
      </c>
      <c r="L2934">
        <v>213.10429999999999</v>
      </c>
      <c r="M2934">
        <v>0.99351509999999998</v>
      </c>
      <c r="N2934">
        <v>0</v>
      </c>
      <c r="O2934">
        <v>-0.11337750000000001</v>
      </c>
      <c r="P2934">
        <v>0.97972309999999996</v>
      </c>
      <c r="Q2934">
        <v>-4.1045829999999998E-2</v>
      </c>
      <c r="R2934">
        <v>-0.1961077</v>
      </c>
      <c r="S2934">
        <v>3.0416560000000001</v>
      </c>
      <c r="T2934">
        <v>-0.11167100000000001</v>
      </c>
      <c r="U2934">
        <v>-8.0047610000000005E-2</v>
      </c>
      <c r="V2934">
        <v>8.3784549999999999E-2</v>
      </c>
      <c r="W2934">
        <v>-3.2438420000000003E-2</v>
      </c>
      <c r="X2934">
        <v>0.99595579999999995</v>
      </c>
      <c r="Y2934">
        <v>-8.7069480000000005E-2</v>
      </c>
      <c r="Z2934">
        <v>5.7497919999999897E-3</v>
      </c>
      <c r="AA2934">
        <v>0.99618569999999995</v>
      </c>
      <c r="AB2934">
        <v>9</v>
      </c>
      <c r="AC2934">
        <v>30.145299999999999</v>
      </c>
      <c r="AD2934">
        <v>-1.1099740065000001</v>
      </c>
      <c r="AE2934">
        <v>-0.78690000000000204</v>
      </c>
      <c r="AF2934">
        <v>-2.63253163806958</v>
      </c>
      <c r="AG2934">
        <v>-1.1099740065000001</v>
      </c>
      <c r="AH2934">
        <v>29.999483577946901</v>
      </c>
      <c r="AI2934">
        <v>92.110859717028106</v>
      </c>
      <c r="AJ2934">
        <v>95.015005250069194</v>
      </c>
      <c r="AK2934">
        <v>30.135216608878899</v>
      </c>
      <c r="AL2934">
        <v>91.858910610687005</v>
      </c>
      <c r="AM2934">
        <v>85.191328166916904</v>
      </c>
      <c r="AN2934">
        <v>1.0000000287322099</v>
      </c>
    </row>
    <row r="2935" spans="1:40" x14ac:dyDescent="0.25">
      <c r="A2935" t="str">
        <f>"20190312161325928"</f>
        <v>20190312161325928</v>
      </c>
      <c r="B2935" t="str">
        <f>"1552378405918307"</f>
        <v>1552378405918307</v>
      </c>
      <c r="C2935" t="s">
        <v>40</v>
      </c>
      <c r="D2935">
        <v>5.4518680000000002</v>
      </c>
      <c r="E2935">
        <v>0.43525069999999999</v>
      </c>
      <c r="F2935" t="s">
        <v>74</v>
      </c>
      <c r="G2935">
        <v>-433.71019999999999</v>
      </c>
      <c r="H2935" s="1">
        <v>4.0630279999999998E-6</v>
      </c>
      <c r="I2935">
        <v>212.32050000000001</v>
      </c>
      <c r="J2935">
        <v>-463.60320000000002</v>
      </c>
      <c r="K2935">
        <v>1.10998</v>
      </c>
      <c r="L2935">
        <v>213.09479999999999</v>
      </c>
      <c r="M2935">
        <v>0.99365400000000004</v>
      </c>
      <c r="N2935">
        <v>0</v>
      </c>
      <c r="O2935">
        <v>-0.1121593</v>
      </c>
      <c r="P2935">
        <v>0.97991660000000003</v>
      </c>
      <c r="Q2935">
        <v>-4.1288640000000001E-2</v>
      </c>
      <c r="R2935">
        <v>-0.19508739999999999</v>
      </c>
      <c r="S2935">
        <v>3.0415040000000002</v>
      </c>
      <c r="T2935">
        <v>-0.1125785</v>
      </c>
      <c r="U2935">
        <v>-7.9498289999999999E-2</v>
      </c>
      <c r="V2935">
        <v>8.3970489999999995E-2</v>
      </c>
      <c r="W2935">
        <v>-3.2752990000000003E-2</v>
      </c>
      <c r="X2935">
        <v>0.99592979999999998</v>
      </c>
      <c r="Y2935">
        <v>-8.6025729999999995E-2</v>
      </c>
      <c r="Z2935">
        <v>5.7326740000000001E-3</v>
      </c>
      <c r="AA2935">
        <v>0.99627639999999995</v>
      </c>
      <c r="AB2935">
        <v>9</v>
      </c>
      <c r="AC2935">
        <v>29.893000000000001</v>
      </c>
      <c r="AD2935">
        <v>-1.1099759369719999</v>
      </c>
      <c r="AE2935">
        <v>-0.774299999999982</v>
      </c>
      <c r="AF2935">
        <v>-2.5799299805186502</v>
      </c>
      <c r="AG2935">
        <v>-1.1099759369719999</v>
      </c>
      <c r="AH2935">
        <v>29.750225897477002</v>
      </c>
      <c r="AI2935">
        <v>92.128722904819696</v>
      </c>
      <c r="AJ2935">
        <v>94.956272089302203</v>
      </c>
      <c r="AK2935">
        <v>29.882503680848899</v>
      </c>
      <c r="AL2935">
        <v>91.876943809984198</v>
      </c>
      <c r="AM2935">
        <v>85.180581443471993</v>
      </c>
      <c r="AN2935">
        <v>0.999999984036409</v>
      </c>
    </row>
    <row r="2936" spans="1:40" x14ac:dyDescent="0.25">
      <c r="A2936" t="str">
        <f>"20190312161325952"</f>
        <v>20190312161325952</v>
      </c>
      <c r="B2936" t="str">
        <f>"1552378405948563"</f>
        <v>1552378405948563</v>
      </c>
      <c r="C2936" t="s">
        <v>40</v>
      </c>
      <c r="D2936">
        <v>5.4962369999999998</v>
      </c>
      <c r="E2936">
        <v>0.4355115</v>
      </c>
      <c r="F2936" t="s">
        <v>74</v>
      </c>
      <c r="G2936">
        <v>-434.24509999999998</v>
      </c>
      <c r="H2936" s="1">
        <v>4.2985929999999998E-6</v>
      </c>
      <c r="I2936">
        <v>212.3389</v>
      </c>
      <c r="J2936">
        <v>-463.5027</v>
      </c>
      <c r="K2936">
        <v>1.10998</v>
      </c>
      <c r="L2936">
        <v>213.08500000000001</v>
      </c>
      <c r="M2936">
        <v>0.99379910000000005</v>
      </c>
      <c r="N2936">
        <v>0</v>
      </c>
      <c r="O2936">
        <v>-0.1108702</v>
      </c>
      <c r="P2936">
        <v>0.98005889999999996</v>
      </c>
      <c r="Q2936">
        <v>-4.153246E-2</v>
      </c>
      <c r="R2936">
        <v>-0.19431860000000001</v>
      </c>
      <c r="S2936">
        <v>3.0410159999999999</v>
      </c>
      <c r="T2936">
        <v>-0.1149751</v>
      </c>
      <c r="U2936">
        <v>-7.830811E-2</v>
      </c>
      <c r="V2936">
        <v>8.4482769999999999E-2</v>
      </c>
      <c r="W2936">
        <v>-3.3063830000000002E-2</v>
      </c>
      <c r="X2936">
        <v>0.99587619999999999</v>
      </c>
      <c r="Y2936">
        <v>-8.5114469999999998E-2</v>
      </c>
      <c r="Z2936">
        <v>5.7899500000000003E-3</v>
      </c>
      <c r="AA2936">
        <v>0.99635430000000003</v>
      </c>
      <c r="AB2936">
        <v>9</v>
      </c>
      <c r="AC2936">
        <v>29.2576</v>
      </c>
      <c r="AD2936">
        <v>-1.109975701407</v>
      </c>
      <c r="AE2936">
        <v>-0.74610000000001198</v>
      </c>
      <c r="AF2936">
        <v>-2.49881728120166</v>
      </c>
      <c r="AG2936">
        <v>-1.109975701407</v>
      </c>
      <c r="AH2936">
        <v>29.1180519479732</v>
      </c>
      <c r="AI2936">
        <v>92.175062645005895</v>
      </c>
      <c r="AJ2936">
        <v>94.904921717331106</v>
      </c>
      <c r="AK2936">
        <v>29.246146465943401</v>
      </c>
      <c r="AL2936">
        <v>91.894763288672806</v>
      </c>
      <c r="AM2936">
        <v>85.151059575884005</v>
      </c>
      <c r="AN2936">
        <v>0.99999998050379002</v>
      </c>
    </row>
    <row r="2937" spans="1:40" x14ac:dyDescent="0.25">
      <c r="A2937" t="str">
        <f>"20190312161325974"</f>
        <v>20190312161325974</v>
      </c>
      <c r="B2937" t="str">
        <f>"1552378405969058"</f>
        <v>1552378405969058</v>
      </c>
      <c r="C2937" t="s">
        <v>40</v>
      </c>
      <c r="D2937">
        <v>5.4188349999999996</v>
      </c>
      <c r="E2937">
        <v>0.43564979999999998</v>
      </c>
      <c r="F2937" t="s">
        <v>74</v>
      </c>
      <c r="G2937">
        <v>-434.44940000000003</v>
      </c>
      <c r="H2937" s="1">
        <v>4.3890800000000003E-6</v>
      </c>
      <c r="I2937">
        <v>212.34059999999999</v>
      </c>
      <c r="J2937">
        <v>-463.40339999999998</v>
      </c>
      <c r="K2937">
        <v>1.109974</v>
      </c>
      <c r="L2937">
        <v>213.07550000000001</v>
      </c>
      <c r="M2937">
        <v>0.99394090000000002</v>
      </c>
      <c r="N2937">
        <v>0</v>
      </c>
      <c r="O2937">
        <v>-0.1095971</v>
      </c>
      <c r="P2937">
        <v>0.98027319999999996</v>
      </c>
      <c r="Q2937">
        <v>-4.1548460000000002E-2</v>
      </c>
      <c r="R2937">
        <v>-0.19323119999999999</v>
      </c>
      <c r="S2937">
        <v>3.0406490000000002</v>
      </c>
      <c r="T2937">
        <v>-0.116167699999999</v>
      </c>
      <c r="U2937">
        <v>-7.7911380000000002E-2</v>
      </c>
      <c r="V2937">
        <v>8.4654259999999995E-2</v>
      </c>
      <c r="W2937">
        <v>-3.3138929999999997E-2</v>
      </c>
      <c r="X2937">
        <v>0.9958591</v>
      </c>
      <c r="Y2937">
        <v>-8.3963659999999996E-2</v>
      </c>
      <c r="Z2937">
        <v>5.7803510000000004E-3</v>
      </c>
      <c r="AA2937">
        <v>0.996452</v>
      </c>
      <c r="AB2937">
        <v>10</v>
      </c>
      <c r="AC2937">
        <v>28.953999999999901</v>
      </c>
      <c r="AD2937">
        <v>-1.1099696109199999</v>
      </c>
      <c r="AE2937">
        <v>-0.73490000000000999</v>
      </c>
      <c r="AF2937">
        <v>-2.4393301439762798</v>
      </c>
      <c r="AG2937">
        <v>-1.1099696109199999</v>
      </c>
      <c r="AH2937">
        <v>28.817793377278399</v>
      </c>
      <c r="AI2937">
        <v>92.197908312541202</v>
      </c>
      <c r="AJ2937">
        <v>94.838363017101301</v>
      </c>
      <c r="AK2937">
        <v>28.942141925296198</v>
      </c>
      <c r="AL2937">
        <v>91.899068638542701</v>
      </c>
      <c r="AM2937">
        <v>85.141180844038004</v>
      </c>
      <c r="AN2937">
        <v>0.99999993973524903</v>
      </c>
    </row>
    <row r="2938" spans="1:40" x14ac:dyDescent="0.25">
      <c r="A2938" t="str">
        <f>"20190312161325998"</f>
        <v>20190312161325998</v>
      </c>
      <c r="B2938" t="str">
        <f>"1552378405988578"</f>
        <v>1552378405988578</v>
      </c>
      <c r="C2938" t="s">
        <v>40</v>
      </c>
      <c r="D2938">
        <v>5.5098089999999997</v>
      </c>
      <c r="E2938">
        <v>0.43572610000000001</v>
      </c>
      <c r="F2938" t="s">
        <v>74</v>
      </c>
      <c r="G2938">
        <v>-434.05239999999998</v>
      </c>
      <c r="H2938" s="1">
        <v>4.2128050000000001E-6</v>
      </c>
      <c r="I2938">
        <v>212.34299999999999</v>
      </c>
      <c r="J2938">
        <v>-463.30329999999998</v>
      </c>
      <c r="K2938">
        <v>1.109972</v>
      </c>
      <c r="L2938">
        <v>213.066</v>
      </c>
      <c r="M2938">
        <v>0.99408200000000002</v>
      </c>
      <c r="N2938">
        <v>0</v>
      </c>
      <c r="O2938">
        <v>-0.1083136</v>
      </c>
      <c r="P2938">
        <v>0.98059059999999998</v>
      </c>
      <c r="Q2938">
        <v>-4.1067680000000002E-2</v>
      </c>
      <c r="R2938">
        <v>-0.19171869999999999</v>
      </c>
      <c r="S2938">
        <v>3.0404969999999998</v>
      </c>
      <c r="T2938">
        <v>-0.114983</v>
      </c>
      <c r="U2938">
        <v>-7.5881959999999998E-2</v>
      </c>
      <c r="V2938">
        <v>8.4401710000000005E-2</v>
      </c>
      <c r="W2938">
        <v>-3.27111E-2</v>
      </c>
      <c r="X2938">
        <v>0.99589470000000002</v>
      </c>
      <c r="Y2938">
        <v>-8.3344500000000002E-2</v>
      </c>
      <c r="Z2938">
        <v>5.661849E-3</v>
      </c>
      <c r="AA2938">
        <v>0.99650470000000002</v>
      </c>
      <c r="AB2938">
        <v>10</v>
      </c>
      <c r="AC2938">
        <v>29.250900000000001</v>
      </c>
      <c r="AD2938">
        <v>-1.109967787195</v>
      </c>
      <c r="AE2938">
        <v>-0.72299999999998399</v>
      </c>
      <c r="AF2938">
        <v>-2.44611359405256</v>
      </c>
      <c r="AG2938">
        <v>-1.109967787195</v>
      </c>
      <c r="AH2938">
        <v>29.115213545438699</v>
      </c>
      <c r="AI2938">
        <v>92.175589134543401</v>
      </c>
      <c r="AJ2938">
        <v>94.802424669065104</v>
      </c>
      <c r="AK2938">
        <v>29.238863863018299</v>
      </c>
      <c r="AL2938">
        <v>91.8745424497382</v>
      </c>
      <c r="AM2938">
        <v>85.155779473985703</v>
      </c>
      <c r="AN2938">
        <v>0.99999995910111095</v>
      </c>
    </row>
    <row r="2939" spans="1:40" x14ac:dyDescent="0.25">
      <c r="A2939" t="str">
        <f>"20190312161326018"</f>
        <v>20190312161326018</v>
      </c>
      <c r="B2939" t="str">
        <f>"1552378406009075"</f>
        <v>1552378406009075</v>
      </c>
      <c r="C2939" t="s">
        <v>40</v>
      </c>
      <c r="D2939">
        <v>5.4960139999999997</v>
      </c>
      <c r="E2939">
        <v>0.435894</v>
      </c>
      <c r="F2939" t="s">
        <v>74</v>
      </c>
      <c r="G2939">
        <v>-433.88279999999997</v>
      </c>
      <c r="H2939" s="1">
        <v>4.1349190000000003E-6</v>
      </c>
      <c r="I2939">
        <v>212.37379999999999</v>
      </c>
      <c r="J2939">
        <v>-463.21420000000001</v>
      </c>
      <c r="K2939">
        <v>1.1099760000000001</v>
      </c>
      <c r="L2939">
        <v>213.05760000000001</v>
      </c>
      <c r="M2939">
        <v>0.99420620000000004</v>
      </c>
      <c r="N2939">
        <v>0</v>
      </c>
      <c r="O2939">
        <v>-0.1071709</v>
      </c>
      <c r="P2939">
        <v>0.98076289999999999</v>
      </c>
      <c r="Q2939">
        <v>-4.0978569999999999E-2</v>
      </c>
      <c r="R2939">
        <v>-0.19085369999999999</v>
      </c>
      <c r="S2939">
        <v>3.0405880000000001</v>
      </c>
      <c r="T2939">
        <v>-0.1147146</v>
      </c>
      <c r="U2939">
        <v>-7.1533200000000005E-2</v>
      </c>
      <c r="V2939">
        <v>8.4667820000000005E-2</v>
      </c>
      <c r="W2939">
        <v>-3.2664440000000003E-2</v>
      </c>
      <c r="X2939">
        <v>0.99587369999999997</v>
      </c>
      <c r="Y2939">
        <v>-8.3625459999999999E-2</v>
      </c>
      <c r="Z2939">
        <v>5.6110739999999997E-3</v>
      </c>
      <c r="AA2939">
        <v>0.99648150000000002</v>
      </c>
      <c r="AB2939">
        <v>10</v>
      </c>
      <c r="AC2939">
        <v>29.331399999999999</v>
      </c>
      <c r="AD2939">
        <v>-1.109971865081</v>
      </c>
      <c r="AE2939">
        <v>-0.68380000000001895</v>
      </c>
      <c r="AF2939">
        <v>-2.4601974209824</v>
      </c>
      <c r="AG2939">
        <v>-1.109971865081</v>
      </c>
      <c r="AH2939">
        <v>29.193958998991899</v>
      </c>
      <c r="AI2939">
        <v>92.169688125052602</v>
      </c>
      <c r="AJ2939">
        <v>94.816978312867803</v>
      </c>
      <c r="AK2939">
        <v>29.318455807328998</v>
      </c>
      <c r="AL2939">
        <v>91.871867492850896</v>
      </c>
      <c r="AM2939">
        <v>85.140477183506803</v>
      </c>
      <c r="AN2939">
        <v>1.0000000158678699</v>
      </c>
    </row>
    <row r="2940" spans="1:40" x14ac:dyDescent="0.25">
      <c r="A2940" t="str">
        <f>"20190312161326040"</f>
        <v>20190312161326040</v>
      </c>
      <c r="B2940" t="str">
        <f>"1552378406028596"</f>
        <v>1552378406028596</v>
      </c>
      <c r="C2940" t="s">
        <v>40</v>
      </c>
      <c r="D2940">
        <v>5.4030060000000004</v>
      </c>
      <c r="E2940">
        <v>0.43611729999999999</v>
      </c>
      <c r="F2940" t="s">
        <v>74</v>
      </c>
      <c r="G2940">
        <v>-433.95190000000002</v>
      </c>
      <c r="H2940" s="1">
        <v>4.1646269999999996E-6</v>
      </c>
      <c r="I2940">
        <v>212.38419999999999</v>
      </c>
      <c r="J2940">
        <v>-463.11790000000002</v>
      </c>
      <c r="K2940">
        <v>1.1099730000000001</v>
      </c>
      <c r="L2940">
        <v>213.0487</v>
      </c>
      <c r="M2940">
        <v>0.99433879999999997</v>
      </c>
      <c r="N2940">
        <v>0</v>
      </c>
      <c r="O2940">
        <v>-0.1059365</v>
      </c>
      <c r="P2940">
        <v>0.98106119999999997</v>
      </c>
      <c r="Q2940">
        <v>-4.091591E-2</v>
      </c>
      <c r="R2940">
        <v>-0.18932769999999999</v>
      </c>
      <c r="S2940">
        <v>3.040375</v>
      </c>
      <c r="T2940">
        <v>-0.11532679999999999</v>
      </c>
      <c r="U2940">
        <v>-6.9961549999999997E-2</v>
      </c>
      <c r="V2940">
        <v>8.4355169999999993E-2</v>
      </c>
      <c r="W2940">
        <v>-3.2643369999999998E-2</v>
      </c>
      <c r="X2940">
        <v>0.99590089999999998</v>
      </c>
      <c r="Y2940">
        <v>-8.2901340000000004E-2</v>
      </c>
      <c r="Z2940">
        <v>5.5811510000000003E-3</v>
      </c>
      <c r="AA2940">
        <v>0.99654219999999905</v>
      </c>
      <c r="AB2940">
        <v>10</v>
      </c>
      <c r="AC2940">
        <v>29.166</v>
      </c>
      <c r="AD2940">
        <v>-1.109968835373</v>
      </c>
      <c r="AE2940">
        <v>-0.66450000000000298</v>
      </c>
      <c r="AF2940">
        <v>-2.4255769688354798</v>
      </c>
      <c r="AG2940">
        <v>-1.109968835373</v>
      </c>
      <c r="AH2940">
        <v>29.030242352882301</v>
      </c>
      <c r="AI2940">
        <v>92.1820366747192</v>
      </c>
      <c r="AJ2940">
        <v>94.776166369939205</v>
      </c>
      <c r="AK2940">
        <v>29.152537205435902</v>
      </c>
      <c r="AL2940">
        <v>91.870659668585304</v>
      </c>
      <c r="AM2940">
        <v>85.158467925802597</v>
      </c>
      <c r="AN2940">
        <v>0.99999999346574697</v>
      </c>
    </row>
    <row r="2941" spans="1:40" x14ac:dyDescent="0.25">
      <c r="A2941" t="str">
        <f>"20190312161326063"</f>
        <v>20190312161326063</v>
      </c>
      <c r="B2941" t="str">
        <f>"1552378406058851"</f>
        <v>1552378406058851</v>
      </c>
      <c r="C2941" t="s">
        <v>40</v>
      </c>
      <c r="D2941">
        <v>5.4928489999999996</v>
      </c>
      <c r="E2941">
        <v>0.43656699999999998</v>
      </c>
      <c r="F2941" t="s">
        <v>74</v>
      </c>
      <c r="G2941">
        <v>-433.86720000000003</v>
      </c>
      <c r="H2941" s="1">
        <v>4.1253820000000003E-6</v>
      </c>
      <c r="I2941">
        <v>212.4033</v>
      </c>
      <c r="J2941">
        <v>-463.01749999999998</v>
      </c>
      <c r="K2941">
        <v>1.109972</v>
      </c>
      <c r="L2941">
        <v>213.0395</v>
      </c>
      <c r="M2941">
        <v>0.99447540000000001</v>
      </c>
      <c r="N2941">
        <v>0</v>
      </c>
      <c r="O2941">
        <v>-0.1046494</v>
      </c>
      <c r="P2941">
        <v>0.981325</v>
      </c>
      <c r="Q2941">
        <v>-4.0838329999999999E-2</v>
      </c>
      <c r="R2941">
        <v>-0.1879731</v>
      </c>
      <c r="S2941">
        <v>3.0401609999999999</v>
      </c>
      <c r="T2941">
        <v>-0.11536399999999999</v>
      </c>
      <c r="U2941">
        <v>-6.7077639999999994E-2</v>
      </c>
      <c r="V2941">
        <v>8.4269330000000003E-2</v>
      </c>
      <c r="W2941">
        <v>-3.2604969999999997E-2</v>
      </c>
      <c r="X2941">
        <v>0.9959095</v>
      </c>
      <c r="Y2941">
        <v>-8.2555669999999998E-2</v>
      </c>
      <c r="Z2941">
        <v>5.528308E-3</v>
      </c>
      <c r="AA2941">
        <v>0.99657110000000004</v>
      </c>
      <c r="AB2941">
        <v>10</v>
      </c>
      <c r="AC2941">
        <v>29.150299999999898</v>
      </c>
      <c r="AD2941">
        <v>-1.109967874618</v>
      </c>
      <c r="AE2941">
        <v>-0.63620000000000199</v>
      </c>
      <c r="AF2941">
        <v>-2.4144583481744402</v>
      </c>
      <c r="AG2941">
        <v>-1.109967874618</v>
      </c>
      <c r="AH2941">
        <v>29.014762106237999</v>
      </c>
      <c r="AI2941">
        <v>92.183259003739394</v>
      </c>
      <c r="AJ2941">
        <v>94.756898419347394</v>
      </c>
      <c r="AK2941">
        <v>29.136198411586602</v>
      </c>
      <c r="AL2941">
        <v>91.8684581993123</v>
      </c>
      <c r="AM2941">
        <v>85.163412863296301</v>
      </c>
      <c r="AN2941">
        <v>1.0000000681187899</v>
      </c>
    </row>
    <row r="2942" spans="1:40" x14ac:dyDescent="0.25">
      <c r="A2942" t="str">
        <f>"20190312161326086"</f>
        <v>20190312161326086</v>
      </c>
      <c r="B2942" t="str">
        <f>"1552378406078371"</f>
        <v>1552378406078371</v>
      </c>
      <c r="C2942" t="s">
        <v>40</v>
      </c>
      <c r="D2942">
        <v>5.4920390000000001</v>
      </c>
      <c r="E2942">
        <v>0.43689939999999999</v>
      </c>
      <c r="F2942" t="s">
        <v>74</v>
      </c>
      <c r="G2942">
        <v>-434.4522</v>
      </c>
      <c r="H2942" s="1">
        <v>4.3836930000000001E-6</v>
      </c>
      <c r="I2942">
        <v>212.4161</v>
      </c>
      <c r="J2942">
        <v>-462.91430000000003</v>
      </c>
      <c r="K2942">
        <v>1.1099699999999999</v>
      </c>
      <c r="L2942">
        <v>213.03020000000001</v>
      </c>
      <c r="M2942">
        <v>0.99461409999999995</v>
      </c>
      <c r="N2942">
        <v>0</v>
      </c>
      <c r="O2942">
        <v>-0.1033259</v>
      </c>
      <c r="P2942">
        <v>0.98157700000000003</v>
      </c>
      <c r="Q2942">
        <v>-4.0841420000000003E-2</v>
      </c>
      <c r="R2942">
        <v>-0.1866516</v>
      </c>
      <c r="S2942">
        <v>3.03952</v>
      </c>
      <c r="T2942">
        <v>-0.118107</v>
      </c>
      <c r="U2942">
        <v>-6.6329959999999993E-2</v>
      </c>
      <c r="V2942">
        <v>8.4253999999999996E-2</v>
      </c>
      <c r="W2942">
        <v>-3.2644470000000002E-2</v>
      </c>
      <c r="X2942">
        <v>0.9959095</v>
      </c>
      <c r="Y2942">
        <v>-8.1465079999999995E-2</v>
      </c>
      <c r="Z2942">
        <v>5.5885329999999997E-3</v>
      </c>
      <c r="AA2942">
        <v>0.99666049999999995</v>
      </c>
      <c r="AB2942">
        <v>10</v>
      </c>
      <c r="AC2942">
        <v>28.4621</v>
      </c>
      <c r="AD2942">
        <v>-1.109965616307</v>
      </c>
      <c r="AE2942">
        <v>-0.61410000000000697</v>
      </c>
      <c r="AF2942">
        <v>-2.32662033319555</v>
      </c>
      <c r="AG2942">
        <v>-1.109965616307</v>
      </c>
      <c r="AH2942">
        <v>28.330136831268401</v>
      </c>
      <c r="AI2942">
        <v>92.236161951490203</v>
      </c>
      <c r="AJ2942">
        <v>94.694895673693395</v>
      </c>
      <c r="AK2942">
        <v>28.447176287333299</v>
      </c>
      <c r="AL2942">
        <v>91.870722593562803</v>
      </c>
      <c r="AM2942">
        <v>85.164288546665802</v>
      </c>
      <c r="AN2942">
        <v>1.00000006506391</v>
      </c>
    </row>
    <row r="2943" spans="1:40" x14ac:dyDescent="0.25">
      <c r="A2943" t="str">
        <f>"20190312161326107"</f>
        <v>20190312161326107</v>
      </c>
      <c r="B2943" t="str">
        <f>"1552378406098867"</f>
        <v>1552378406098867</v>
      </c>
      <c r="C2943" t="s">
        <v>40</v>
      </c>
      <c r="D2943">
        <v>5.5412429999999997</v>
      </c>
      <c r="E2943">
        <v>0.43702790000000002</v>
      </c>
      <c r="F2943" t="s">
        <v>74</v>
      </c>
      <c r="G2943">
        <v>-434.6148</v>
      </c>
      <c r="H2943" s="1">
        <v>4.454881E-6</v>
      </c>
      <c r="I2943">
        <v>212.42689999999999</v>
      </c>
      <c r="J2943">
        <v>-462.82119999999998</v>
      </c>
      <c r="K2943">
        <v>1.1099589999999999</v>
      </c>
      <c r="L2943">
        <v>213.02189999999999</v>
      </c>
      <c r="M2943">
        <v>0.99473769999999995</v>
      </c>
      <c r="N2943">
        <v>0</v>
      </c>
      <c r="O2943">
        <v>-0.1021324</v>
      </c>
      <c r="P2943">
        <v>0.98177579999999998</v>
      </c>
      <c r="Q2943">
        <v>-4.0738070000000001E-2</v>
      </c>
      <c r="R2943">
        <v>-0.18562670000000001</v>
      </c>
      <c r="S2943">
        <v>3.0390009999999998</v>
      </c>
      <c r="T2943">
        <v>-0.1191961</v>
      </c>
      <c r="U2943">
        <v>-6.4788819999999997E-2</v>
      </c>
      <c r="V2943">
        <v>8.4409239999999996E-2</v>
      </c>
      <c r="W2943">
        <v>-3.2570620000000002E-2</v>
      </c>
      <c r="X2943">
        <v>0.99589870000000003</v>
      </c>
      <c r="Y2943">
        <v>-8.0769419999999995E-2</v>
      </c>
      <c r="Z2943">
        <v>5.5808309999999996E-3</v>
      </c>
      <c r="AA2943">
        <v>0.99671719999999997</v>
      </c>
      <c r="AB2943">
        <v>10</v>
      </c>
      <c r="AC2943">
        <v>28.206399999999899</v>
      </c>
      <c r="AD2943">
        <v>-1.1099545451189901</v>
      </c>
      <c r="AE2943">
        <v>-0.59499999999999797</v>
      </c>
      <c r="AF2943">
        <v>-2.2854563113539101</v>
      </c>
      <c r="AG2943">
        <v>-1.1099545451189901</v>
      </c>
      <c r="AH2943">
        <v>28.076207475332598</v>
      </c>
      <c r="AI2943">
        <v>92.256475591458496</v>
      </c>
      <c r="AJ2943">
        <v>94.653723817970103</v>
      </c>
      <c r="AK2943">
        <v>28.190933575198599</v>
      </c>
      <c r="AL2943">
        <v>91.866489184050707</v>
      </c>
      <c r="AM2943">
        <v>85.155368713735996</v>
      </c>
      <c r="AN2943">
        <v>0.99999999287312602</v>
      </c>
    </row>
    <row r="2944" spans="1:40" x14ac:dyDescent="0.25">
      <c r="A2944" t="str">
        <f>"20190312161326131"</f>
        <v>20190312161326131</v>
      </c>
      <c r="B2944" t="str">
        <f>"1552378406118388"</f>
        <v>1552378406118388</v>
      </c>
      <c r="C2944" t="s">
        <v>40</v>
      </c>
      <c r="D2944">
        <v>5.5639010000000004</v>
      </c>
      <c r="E2944">
        <v>0.44026850000000001</v>
      </c>
      <c r="F2944" t="s">
        <v>74</v>
      </c>
      <c r="G2944">
        <v>-434.60879999999997</v>
      </c>
      <c r="H2944" s="1">
        <v>4.4509930000000003E-6</v>
      </c>
      <c r="I2944">
        <v>212.44069999999999</v>
      </c>
      <c r="J2944">
        <v>-462.71449999999999</v>
      </c>
      <c r="K2944">
        <v>1.1099650000000001</v>
      </c>
      <c r="L2944">
        <v>213.01259999999999</v>
      </c>
      <c r="M2944">
        <v>0.99487729999999996</v>
      </c>
      <c r="N2944">
        <v>0</v>
      </c>
      <c r="O2944">
        <v>-0.1007658</v>
      </c>
      <c r="P2944">
        <v>0.98202319999999999</v>
      </c>
      <c r="Q2944">
        <v>-4.1048420000000002E-2</v>
      </c>
      <c r="R2944">
        <v>-0.18424389999999999</v>
      </c>
      <c r="S2944">
        <v>3.03891</v>
      </c>
      <c r="T2944">
        <v>-0.11955929999999999</v>
      </c>
      <c r="U2944">
        <v>-6.2606809999999999E-2</v>
      </c>
      <c r="V2944">
        <v>8.4376800000000002E-2</v>
      </c>
      <c r="W2944">
        <v>-3.2912039999999997E-2</v>
      </c>
      <c r="X2944">
        <v>0.99589030000000001</v>
      </c>
      <c r="Y2944">
        <v>-8.0115640000000002E-2</v>
      </c>
      <c r="Z2944">
        <v>5.5317159999999999E-3</v>
      </c>
      <c r="AA2944">
        <v>0.99677020000000005</v>
      </c>
      <c r="AB2944">
        <v>10</v>
      </c>
      <c r="AC2944">
        <v>28.105699999999999</v>
      </c>
      <c r="AD2944">
        <v>-1.1099605490069999</v>
      </c>
      <c r="AE2944">
        <v>-0.57189999999999896</v>
      </c>
      <c r="AF2944">
        <v>-2.2596742028150301</v>
      </c>
      <c r="AG2944">
        <v>-1.1099605490069999</v>
      </c>
      <c r="AH2944">
        <v>27.9766516926036</v>
      </c>
      <c r="AI2944">
        <v>92.264624373495806</v>
      </c>
      <c r="AJ2944">
        <v>94.617755853299101</v>
      </c>
      <c r="AK2944">
        <v>28.089698820964198</v>
      </c>
      <c r="AL2944">
        <v>91.886061460792206</v>
      </c>
      <c r="AM2944">
        <v>85.157181083769899</v>
      </c>
      <c r="AN2944">
        <v>1.0000000681946399</v>
      </c>
    </row>
    <row r="2945" spans="1:40" x14ac:dyDescent="0.25">
      <c r="A2945" t="str">
        <f>"20190312161326152"</f>
        <v>20190312161326152</v>
      </c>
      <c r="B2945" t="str">
        <f>"1552378406148643"</f>
        <v>1552378406148643</v>
      </c>
      <c r="C2945" t="s">
        <v>40</v>
      </c>
      <c r="D2945">
        <v>5.5748550000000003</v>
      </c>
      <c r="E2945">
        <v>0.4404612</v>
      </c>
      <c r="F2945" t="s">
        <v>69</v>
      </c>
      <c r="G2945">
        <v>-444.68950000000001</v>
      </c>
      <c r="H2945" s="1">
        <v>1.049284E-6</v>
      </c>
      <c r="I2945">
        <v>212.54390000000001</v>
      </c>
      <c r="J2945">
        <v>-462.61750000000001</v>
      </c>
      <c r="K2945">
        <v>1.109964</v>
      </c>
      <c r="L2945">
        <v>213.0042</v>
      </c>
      <c r="M2945">
        <v>0.99500270000000002</v>
      </c>
      <c r="N2945">
        <v>0</v>
      </c>
      <c r="O2945">
        <v>-9.9521200000000004E-2</v>
      </c>
      <c r="P2945">
        <v>0.98226080000000004</v>
      </c>
      <c r="Q2945">
        <v>-4.0968600000000001E-2</v>
      </c>
      <c r="R2945">
        <v>-0.18298980000000001</v>
      </c>
      <c r="S2945">
        <v>3.0323180000000001</v>
      </c>
      <c r="T2945">
        <v>-0.18672659999999999</v>
      </c>
      <c r="U2945">
        <v>-7.8842159999999994E-2</v>
      </c>
      <c r="V2945">
        <v>8.4351229999999999E-2</v>
      </c>
      <c r="W2945">
        <v>-3.285805E-2</v>
      </c>
      <c r="X2945">
        <v>0.99589419999999995</v>
      </c>
      <c r="Y2945">
        <v>-7.3301580000000005E-2</v>
      </c>
      <c r="Z2945">
        <v>8.3665649999999994E-3</v>
      </c>
      <c r="AA2945">
        <v>0.99727469999999996</v>
      </c>
      <c r="AB2945">
        <v>10</v>
      </c>
      <c r="AC2945">
        <v>17.927999999999901</v>
      </c>
      <c r="AD2945">
        <v>-1.109962950716</v>
      </c>
      <c r="AE2945">
        <v>-0.460299999999989</v>
      </c>
      <c r="AF2945">
        <v>-1.32119855308263</v>
      </c>
      <c r="AG2945">
        <v>-1.109962950716</v>
      </c>
      <c r="AH2945">
        <v>17.816552559704199</v>
      </c>
      <c r="AI2945">
        <v>93.555156683056595</v>
      </c>
      <c r="AJ2945">
        <v>94.241044875818901</v>
      </c>
      <c r="AK2945">
        <v>17.8999197898017</v>
      </c>
      <c r="AL2945">
        <v>91.882966479548102</v>
      </c>
      <c r="AM2945">
        <v>85.158660570044802</v>
      </c>
      <c r="AN2945">
        <v>1.0000000195229699</v>
      </c>
    </row>
    <row r="2946" spans="1:40" x14ac:dyDescent="0.25">
      <c r="A2946" t="str">
        <f>"20190312161326176"</f>
        <v>20190312161326176</v>
      </c>
      <c r="B2946" t="str">
        <f>"1552378406169140"</f>
        <v>1552378406169140</v>
      </c>
      <c r="C2946" t="s">
        <v>40</v>
      </c>
      <c r="D2946">
        <v>5.4647569999999996</v>
      </c>
      <c r="E2946">
        <v>0.44181890000000001</v>
      </c>
      <c r="F2946" t="s">
        <v>69</v>
      </c>
      <c r="G2946">
        <v>-448.3646</v>
      </c>
      <c r="H2946" s="1">
        <v>2.999867E-6</v>
      </c>
      <c r="I2946">
        <v>212.66149999999999</v>
      </c>
      <c r="J2946">
        <v>-462.50420000000003</v>
      </c>
      <c r="K2946">
        <v>1.1099600000000001</v>
      </c>
      <c r="L2946">
        <v>212.99459999999999</v>
      </c>
      <c r="M2946">
        <v>0.99514720000000001</v>
      </c>
      <c r="N2946">
        <v>0</v>
      </c>
      <c r="O2946">
        <v>-9.8070539999999998E-2</v>
      </c>
      <c r="P2946">
        <v>0.98260380000000003</v>
      </c>
      <c r="Q2946">
        <v>-4.0863030000000002E-2</v>
      </c>
      <c r="R2946">
        <v>-0.18116460000000001</v>
      </c>
      <c r="S2946">
        <v>3.0307620000000002</v>
      </c>
      <c r="T2946">
        <v>-0.23602409999999999</v>
      </c>
      <c r="U2946">
        <v>-7.2860720000000004E-2</v>
      </c>
      <c r="V2946">
        <v>8.3952699999999894E-2</v>
      </c>
      <c r="W2946">
        <v>-3.2780089999999998E-2</v>
      </c>
      <c r="X2946">
        <v>0.99593039999999999</v>
      </c>
      <c r="Y2946">
        <v>-7.3609289999999994E-2</v>
      </c>
      <c r="Z2946">
        <v>1.047496E-2</v>
      </c>
      <c r="AA2946">
        <v>0.99723209999999995</v>
      </c>
      <c r="AB2946">
        <v>10</v>
      </c>
      <c r="AC2946">
        <v>14.1396</v>
      </c>
      <c r="AD2946">
        <v>-1.1099570001329999</v>
      </c>
      <c r="AE2946">
        <v>-0.33310000000000101</v>
      </c>
      <c r="AF2946">
        <v>-1.04876938293665</v>
      </c>
      <c r="AG2946">
        <v>-1.1099570001329999</v>
      </c>
      <c r="AH2946">
        <v>14.017770686964599</v>
      </c>
      <c r="AI2946">
        <v>94.5147900023413</v>
      </c>
      <c r="AJ2946">
        <v>94.278734160190197</v>
      </c>
      <c r="AK2946">
        <v>14.1007027056474</v>
      </c>
      <c r="AL2946">
        <v>91.878497375145997</v>
      </c>
      <c r="AM2946">
        <v>85.181600567580105</v>
      </c>
      <c r="AN2946">
        <v>0.99999997589092804</v>
      </c>
    </row>
    <row r="2947" spans="1:40" x14ac:dyDescent="0.25">
      <c r="A2947" t="str">
        <f>"20190312161326199"</f>
        <v>20190312161326199</v>
      </c>
      <c r="B2947" t="str">
        <f>"1552378406188659"</f>
        <v>1552378406188659</v>
      </c>
      <c r="C2947" t="s">
        <v>40</v>
      </c>
      <c r="D2947">
        <v>5.5727969999999996</v>
      </c>
      <c r="E2947">
        <v>0.44255610000000001</v>
      </c>
      <c r="F2947" t="s">
        <v>69</v>
      </c>
      <c r="G2947">
        <v>-445.88139999999999</v>
      </c>
      <c r="H2947" s="1">
        <v>1.6831940000000001E-6</v>
      </c>
      <c r="I2947">
        <v>212.553</v>
      </c>
      <c r="J2947">
        <v>-462.40050000000002</v>
      </c>
      <c r="K2947">
        <v>1.1099589999999999</v>
      </c>
      <c r="L2947">
        <v>212.98589999999999</v>
      </c>
      <c r="M2947">
        <v>0.99527730000000003</v>
      </c>
      <c r="N2947">
        <v>0</v>
      </c>
      <c r="O2947">
        <v>-9.6741369999999993E-2</v>
      </c>
      <c r="P2947">
        <v>0.98295149999999998</v>
      </c>
      <c r="Q2947">
        <v>-4.150471E-2</v>
      </c>
      <c r="R2947">
        <v>-0.1791191</v>
      </c>
      <c r="S2947">
        <v>3.029785</v>
      </c>
      <c r="T2947">
        <v>-0.2023084</v>
      </c>
      <c r="U2947">
        <v>-8.0490110000000004E-2</v>
      </c>
      <c r="V2947">
        <v>8.3214150000000001E-2</v>
      </c>
      <c r="W2947">
        <v>-3.34454E-2</v>
      </c>
      <c r="X2947">
        <v>0.99597029999999998</v>
      </c>
      <c r="Y2947">
        <v>-6.9907919999999998E-2</v>
      </c>
      <c r="Z2947">
        <v>8.7729390000000004E-3</v>
      </c>
      <c r="AA2947">
        <v>0.99751480000000003</v>
      </c>
      <c r="AB2947">
        <v>10</v>
      </c>
      <c r="AC2947">
        <v>16.519100000000002</v>
      </c>
      <c r="AD2947">
        <v>-1.109957316806</v>
      </c>
      <c r="AE2947">
        <v>-0.43289999999998902</v>
      </c>
      <c r="AF2947">
        <v>-1.1620195927080701</v>
      </c>
      <c r="AG2947">
        <v>-1.109957316806</v>
      </c>
      <c r="AH2947">
        <v>16.409458943391801</v>
      </c>
      <c r="AI2947">
        <v>93.860030272105305</v>
      </c>
      <c r="AJ2947">
        <v>94.050582228507807</v>
      </c>
      <c r="AK2947">
        <v>16.487954318041702</v>
      </c>
      <c r="AL2947">
        <v>91.916637674063196</v>
      </c>
      <c r="AM2947">
        <v>85.223982560459604</v>
      </c>
      <c r="AN2947">
        <v>1.00000001401173</v>
      </c>
    </row>
    <row r="2948" spans="1:40" x14ac:dyDescent="0.25">
      <c r="A2948" t="str">
        <f>"20190312161326219"</f>
        <v>20190312161326219</v>
      </c>
      <c r="B2948" t="str">
        <f>"1552378406209155"</f>
        <v>1552378406209155</v>
      </c>
      <c r="C2948" t="s">
        <v>40</v>
      </c>
      <c r="D2948">
        <v>5.567914</v>
      </c>
      <c r="E2948">
        <v>0.44266670000000002</v>
      </c>
      <c r="F2948" t="s">
        <v>69</v>
      </c>
      <c r="G2948">
        <v>-445.25650000000002</v>
      </c>
      <c r="H2948" s="1">
        <v>1.35157999999999E-6</v>
      </c>
      <c r="I2948">
        <v>212.5317</v>
      </c>
      <c r="J2948">
        <v>-462.30529999999999</v>
      </c>
      <c r="K2948">
        <v>1.1099619999999999</v>
      </c>
      <c r="L2948">
        <v>212.97810000000001</v>
      </c>
      <c r="M2948">
        <v>0.99539520000000004</v>
      </c>
      <c r="N2948">
        <v>0</v>
      </c>
      <c r="O2948">
        <v>-9.5522720000000005E-2</v>
      </c>
      <c r="P2948">
        <v>0.98322480000000001</v>
      </c>
      <c r="Q2948">
        <v>-4.181638E-2</v>
      </c>
      <c r="R2948">
        <v>-0.17754110000000001</v>
      </c>
      <c r="S2948">
        <v>3.0291139999999999</v>
      </c>
      <c r="T2948">
        <v>-0.19611500000000001</v>
      </c>
      <c r="U2948">
        <v>-8.0261230000000003E-2</v>
      </c>
      <c r="V2948">
        <v>8.2836789999999993E-2</v>
      </c>
      <c r="W2948">
        <v>-3.3777099999999997E-2</v>
      </c>
      <c r="X2948">
        <v>0.99599059999999995</v>
      </c>
      <c r="Y2948">
        <v>-6.8782990000000002E-2</v>
      </c>
      <c r="Z2948">
        <v>8.3919800000000003E-3</v>
      </c>
      <c r="AA2948">
        <v>0.99759629999999999</v>
      </c>
      <c r="AB2948">
        <v>10</v>
      </c>
      <c r="AC2948">
        <v>17.0487999999999</v>
      </c>
      <c r="AD2948">
        <v>-1.10996064842</v>
      </c>
      <c r="AE2948">
        <v>-0.44640000000001101</v>
      </c>
      <c r="AF2948">
        <v>-1.1792461259534399</v>
      </c>
      <c r="AG2948">
        <v>-1.10996064842</v>
      </c>
      <c r="AH2948">
        <v>16.941717009157401</v>
      </c>
      <c r="AI2948">
        <v>93.739435113160297</v>
      </c>
      <c r="AJ2948">
        <v>93.981711134791595</v>
      </c>
      <c r="AK2948">
        <v>17.018942660605902</v>
      </c>
      <c r="AL2948">
        <v>91.935653356997705</v>
      </c>
      <c r="AM2948">
        <v>85.245637819869998</v>
      </c>
      <c r="AN2948">
        <v>1.0000000507751301</v>
      </c>
    </row>
    <row r="2949" spans="1:40" x14ac:dyDescent="0.25">
      <c r="A2949" t="str">
        <f>"20190312161326242"</f>
        <v>20190312161326242</v>
      </c>
      <c r="B2949" t="str">
        <f>"1552378406228675"</f>
        <v>1552378406228675</v>
      </c>
      <c r="C2949" t="s">
        <v>40</v>
      </c>
      <c r="D2949">
        <v>5.5959560000000002</v>
      </c>
      <c r="E2949">
        <v>0.46826839999999997</v>
      </c>
      <c r="F2949" t="s">
        <v>69</v>
      </c>
      <c r="G2949">
        <v>-443.98680000000002</v>
      </c>
      <c r="H2949" s="1">
        <v>6.7681319999999899E-7</v>
      </c>
      <c r="I2949">
        <v>212.5104</v>
      </c>
      <c r="J2949">
        <v>-462.2013</v>
      </c>
      <c r="K2949">
        <v>1.1099589999999999</v>
      </c>
      <c r="L2949">
        <v>212.96969999999999</v>
      </c>
      <c r="M2949">
        <v>0.99552220000000002</v>
      </c>
      <c r="N2949">
        <v>0</v>
      </c>
      <c r="O2949">
        <v>-9.4191659999999996E-2</v>
      </c>
      <c r="P2949">
        <v>0.98341250000000002</v>
      </c>
      <c r="Q2949">
        <v>-4.1778299999999997E-2</v>
      </c>
      <c r="R2949">
        <v>-0.1765061</v>
      </c>
      <c r="S2949">
        <v>3.0294189999999999</v>
      </c>
      <c r="T2949">
        <v>-0.18355940000000001</v>
      </c>
      <c r="U2949">
        <v>-7.7346799999999993E-2</v>
      </c>
      <c r="V2949">
        <v>8.3120379999999994E-2</v>
      </c>
      <c r="W2949">
        <v>-3.3759299999999999E-2</v>
      </c>
      <c r="X2949">
        <v>0.99596750000000001</v>
      </c>
      <c r="Y2949">
        <v>-6.8456340000000004E-2</v>
      </c>
      <c r="Z2949">
        <v>7.7649719999999898E-3</v>
      </c>
      <c r="AA2949">
        <v>0.99762390000000001</v>
      </c>
      <c r="AB2949">
        <v>10</v>
      </c>
      <c r="AC2949">
        <v>18.214499999999902</v>
      </c>
      <c r="AD2949">
        <v>-1.1099583231868</v>
      </c>
      <c r="AE2949">
        <v>-0.459299999999984</v>
      </c>
      <c r="AF2949">
        <v>-1.2537976191637199</v>
      </c>
      <c r="AG2949">
        <v>-1.1099583231868</v>
      </c>
      <c r="AH2949">
        <v>18.109571835569302</v>
      </c>
      <c r="AI2949">
        <v>93.498987497362805</v>
      </c>
      <c r="AJ2949">
        <v>93.960494553982997</v>
      </c>
      <c r="AK2949">
        <v>18.186825121957799</v>
      </c>
      <c r="AL2949">
        <v>91.934633057860196</v>
      </c>
      <c r="AM2949">
        <v>85.2293262195642</v>
      </c>
      <c r="AN2949">
        <v>0.99999997448204103</v>
      </c>
    </row>
    <row r="2950" spans="1:40" x14ac:dyDescent="0.25">
      <c r="A2950" t="str">
        <f>"20190312161326263"</f>
        <v>20190312161326263</v>
      </c>
      <c r="B2950" t="str">
        <f>"1552378406258931"</f>
        <v>1552378406258931</v>
      </c>
      <c r="C2950" t="s">
        <v>40</v>
      </c>
      <c r="D2950">
        <v>5.5397150000000002</v>
      </c>
      <c r="E2950">
        <v>0.49536429999999998</v>
      </c>
      <c r="F2950" t="s">
        <v>43</v>
      </c>
      <c r="G2950">
        <v>-461.45190000000002</v>
      </c>
      <c r="H2950">
        <v>1.0279480000000001</v>
      </c>
      <c r="I2950">
        <v>212.90299999999999</v>
      </c>
      <c r="J2950">
        <v>-462.09699999999998</v>
      </c>
      <c r="K2950">
        <v>1.1099540000000001</v>
      </c>
      <c r="L2950">
        <v>212.9614</v>
      </c>
      <c r="M2950">
        <v>0.99564779999999997</v>
      </c>
      <c r="N2950">
        <v>0</v>
      </c>
      <c r="O2950">
        <v>-9.2856439999999998E-2</v>
      </c>
      <c r="P2950">
        <v>0.98355269999999995</v>
      </c>
      <c r="Q2950">
        <v>-4.1670400000000003E-2</v>
      </c>
      <c r="R2950">
        <v>-0.1757502</v>
      </c>
      <c r="S2950">
        <v>2.9891359999999998</v>
      </c>
      <c r="T2950">
        <v>-0.32761380000000001</v>
      </c>
      <c r="U2950">
        <v>-0.26490780000000003</v>
      </c>
      <c r="V2950">
        <v>8.3690199999999895E-2</v>
      </c>
      <c r="W2950">
        <v>-3.3670329999999998E-2</v>
      </c>
      <c r="X2950">
        <v>0.9959228</v>
      </c>
      <c r="Y2950">
        <v>-4.0274070000000002E-3</v>
      </c>
      <c r="Z2950">
        <v>1.032575E-2</v>
      </c>
      <c r="AA2950">
        <v>0.99993860000000001</v>
      </c>
      <c r="AB2950">
        <v>11</v>
      </c>
      <c r="AC2950">
        <v>0.64509999999995604</v>
      </c>
      <c r="AD2950">
        <v>-8.2006000000000204E-2</v>
      </c>
      <c r="AE2950">
        <v>-5.8400000000005899E-2</v>
      </c>
      <c r="AF2950">
        <v>-1.72821272873608E-3</v>
      </c>
      <c r="AG2950">
        <v>-8.2006000000000204E-2</v>
      </c>
      <c r="AH2950">
        <v>0.63751722646005404</v>
      </c>
      <c r="AI2950">
        <v>97.329872211263805</v>
      </c>
      <c r="AJ2950">
        <v>90.155319807519305</v>
      </c>
      <c r="AK2950">
        <v>0.64277226510526697</v>
      </c>
      <c r="AL2950">
        <v>91.929532537796405</v>
      </c>
      <c r="AM2950">
        <v>85.196559462421206</v>
      </c>
      <c r="AN2950">
        <v>0.99999998212909402</v>
      </c>
    </row>
    <row r="2951" spans="1:40" x14ac:dyDescent="0.25">
      <c r="A2951" t="str">
        <f>"20190312161326285"</f>
        <v>20190312161326285</v>
      </c>
      <c r="B2951" t="str">
        <f>"1552378406278451"</f>
        <v>1552378406278451</v>
      </c>
      <c r="C2951" t="s">
        <v>40</v>
      </c>
      <c r="D2951">
        <v>5.6564489999999896</v>
      </c>
      <c r="E2951">
        <v>0.4968669</v>
      </c>
      <c r="F2951" t="s">
        <v>43</v>
      </c>
      <c r="G2951">
        <v>-461.3723</v>
      </c>
      <c r="H2951">
        <v>1.0089410000000001</v>
      </c>
      <c r="I2951">
        <v>212.8458</v>
      </c>
      <c r="J2951">
        <v>-461.9975</v>
      </c>
      <c r="K2951">
        <v>1.1099509999999999</v>
      </c>
      <c r="L2951">
        <v>212.95359999999999</v>
      </c>
      <c r="M2951">
        <v>0.99576609999999999</v>
      </c>
      <c r="N2951">
        <v>0</v>
      </c>
      <c r="O2951">
        <v>-9.1581529999999994E-2</v>
      </c>
      <c r="P2951">
        <v>0.9837245</v>
      </c>
      <c r="Q2951">
        <v>-4.174493E-2</v>
      </c>
      <c r="R2951">
        <v>-0.17476720000000001</v>
      </c>
      <c r="S2951">
        <v>2.9488219999999998</v>
      </c>
      <c r="T2951">
        <v>-0.4112111</v>
      </c>
      <c r="U2951">
        <v>-0.46968080000000001</v>
      </c>
      <c r="V2951">
        <v>8.3971110000000002E-2</v>
      </c>
      <c r="W2951">
        <v>-3.3761960000000001E-2</v>
      </c>
      <c r="X2951">
        <v>0.995896</v>
      </c>
      <c r="Y2951">
        <v>6.6424079999999996E-2</v>
      </c>
      <c r="Z2951">
        <v>8.0147120000000002E-3</v>
      </c>
      <c r="AA2951">
        <v>0.99775930000000002</v>
      </c>
      <c r="AB2951">
        <v>11</v>
      </c>
      <c r="AC2951">
        <v>0.62520000000000597</v>
      </c>
      <c r="AD2951">
        <v>-0.10101</v>
      </c>
      <c r="AE2951">
        <v>-0.107799999999997</v>
      </c>
      <c r="AF2951">
        <v>4.8850064517682097E-2</v>
      </c>
      <c r="AG2951">
        <v>-0.10101</v>
      </c>
      <c r="AH2951">
        <v>0.61680954321591996</v>
      </c>
      <c r="AI2951">
        <v>99.271796526050494</v>
      </c>
      <c r="AJ2951">
        <v>85.471742271670095</v>
      </c>
      <c r="AK2951">
        <v>0.62693170402015397</v>
      </c>
      <c r="AL2951">
        <v>91.934785637591702</v>
      </c>
      <c r="AM2951">
        <v>85.180383228342393</v>
      </c>
      <c r="AN2951">
        <v>0.99999993003683396</v>
      </c>
    </row>
    <row r="2952" spans="1:40" x14ac:dyDescent="0.25">
      <c r="A2952" t="str">
        <f>"20190312161326308"</f>
        <v>20190312161326308</v>
      </c>
      <c r="B2952" t="str">
        <f>"1552378406298947"</f>
        <v>1552378406298947</v>
      </c>
      <c r="C2952" t="s">
        <v>40</v>
      </c>
      <c r="D2952">
        <v>5.8028320000000004</v>
      </c>
      <c r="E2952">
        <v>0.49764130000000001</v>
      </c>
      <c r="F2952" t="s">
        <v>43</v>
      </c>
      <c r="G2952">
        <v>-461.27820000000003</v>
      </c>
      <c r="H2952">
        <v>1.007409</v>
      </c>
      <c r="I2952">
        <v>212.83699999999999</v>
      </c>
      <c r="J2952">
        <v>-461.88389999999998</v>
      </c>
      <c r="K2952">
        <v>1.109953</v>
      </c>
      <c r="L2952">
        <v>212.94489999999999</v>
      </c>
      <c r="M2952">
        <v>0.99589879999999997</v>
      </c>
      <c r="N2952">
        <v>0</v>
      </c>
      <c r="O2952">
        <v>-9.0127209999999999E-2</v>
      </c>
      <c r="P2952">
        <v>0.98399650000000005</v>
      </c>
      <c r="Q2952">
        <v>-4.1575500000000001E-2</v>
      </c>
      <c r="R2952">
        <v>-0.17327129999999999</v>
      </c>
      <c r="S2952">
        <v>2.94693</v>
      </c>
      <c r="T2952">
        <v>-0.42025279999999998</v>
      </c>
      <c r="U2952">
        <v>-0.47788999999999998</v>
      </c>
      <c r="V2952">
        <v>8.3910760000000001E-2</v>
      </c>
      <c r="W2952">
        <v>-3.3610800000000003E-2</v>
      </c>
      <c r="X2952">
        <v>0.99590630000000002</v>
      </c>
      <c r="Y2952">
        <v>7.0644540000000006E-2</v>
      </c>
      <c r="Z2952">
        <v>7.6910260000000001E-3</v>
      </c>
      <c r="AA2952">
        <v>0.99747189999999997</v>
      </c>
      <c r="AB2952">
        <v>11</v>
      </c>
      <c r="AC2952">
        <v>0.60569999999995605</v>
      </c>
      <c r="AD2952">
        <v>-0.102543999999999</v>
      </c>
      <c r="AE2952">
        <v>-0.107899999999972</v>
      </c>
      <c r="AF2952">
        <v>5.1440063635790997E-2</v>
      </c>
      <c r="AG2952">
        <v>-0.102543999999999</v>
      </c>
      <c r="AH2952">
        <v>0.59639186756331697</v>
      </c>
      <c r="AI2952">
        <v>99.720679126951694</v>
      </c>
      <c r="AJ2952">
        <v>85.070317996237094</v>
      </c>
      <c r="AK2952">
        <v>0.60732578718387598</v>
      </c>
      <c r="AL2952">
        <v>91.926119696207095</v>
      </c>
      <c r="AM2952">
        <v>85.183880361694506</v>
      </c>
      <c r="AN2952">
        <v>1.00000002995005</v>
      </c>
    </row>
    <row r="2953" spans="1:40" x14ac:dyDescent="0.25">
      <c r="A2953" t="str">
        <f>"20190312161326331"</f>
        <v>20190312161326331</v>
      </c>
      <c r="B2953" t="str">
        <f>"1552378406319443"</f>
        <v>1552378406319443</v>
      </c>
      <c r="C2953" t="s">
        <v>40</v>
      </c>
      <c r="D2953">
        <v>5.7522019999999996</v>
      </c>
      <c r="E2953">
        <v>0.49780089999999999</v>
      </c>
      <c r="F2953" t="s">
        <v>43</v>
      </c>
      <c r="G2953">
        <v>-461.0924</v>
      </c>
      <c r="H2953">
        <v>0.99633430000000001</v>
      </c>
      <c r="I2953">
        <v>212.8158</v>
      </c>
      <c r="J2953">
        <v>-461.77809999999999</v>
      </c>
      <c r="K2953">
        <v>1.109958</v>
      </c>
      <c r="L2953">
        <v>212.93690000000001</v>
      </c>
      <c r="M2953">
        <v>0.99602060000000003</v>
      </c>
      <c r="N2953">
        <v>0</v>
      </c>
      <c r="O2953">
        <v>-8.8773630000000006E-2</v>
      </c>
      <c r="P2953">
        <v>0.98427480000000001</v>
      </c>
      <c r="Q2953">
        <v>-4.1885110000000003E-2</v>
      </c>
      <c r="R2953">
        <v>-0.1716066</v>
      </c>
      <c r="S2953">
        <v>2.9465029999999999</v>
      </c>
      <c r="T2953">
        <v>-0.42340349999999999</v>
      </c>
      <c r="U2953">
        <v>-0.47921750000000002</v>
      </c>
      <c r="V2953">
        <v>8.3581890000000006E-2</v>
      </c>
      <c r="W2953">
        <v>-3.3936689999999999E-2</v>
      </c>
      <c r="X2953">
        <v>0.99592290000000006</v>
      </c>
      <c r="Y2953">
        <v>7.2432490000000002E-2</v>
      </c>
      <c r="Z2953">
        <v>7.4308839999999996E-3</v>
      </c>
      <c r="AA2953">
        <v>0.99734560000000005</v>
      </c>
      <c r="AB2953">
        <v>11</v>
      </c>
      <c r="AC2953">
        <v>0.68569999999999698</v>
      </c>
      <c r="AD2953">
        <v>-0.11362369999999899</v>
      </c>
      <c r="AE2953">
        <v>-0.121100000000012</v>
      </c>
      <c r="AF2953">
        <v>5.8198201185523497E-2</v>
      </c>
      <c r="AG2953">
        <v>-0.11362369999999899</v>
      </c>
      <c r="AH2953">
        <v>0.67574984745105005</v>
      </c>
      <c r="AI2953">
        <v>99.510135957336701</v>
      </c>
      <c r="AJ2953">
        <v>85.077611293013206</v>
      </c>
      <c r="AK2953">
        <v>0.68770286618061904</v>
      </c>
      <c r="AL2953">
        <v>91.944802481491493</v>
      </c>
      <c r="AM2953">
        <v>85.202747416806204</v>
      </c>
      <c r="AN2953">
        <v>1.0000000270042599</v>
      </c>
    </row>
    <row r="2954" spans="1:40" x14ac:dyDescent="0.25">
      <c r="A2954" t="str">
        <f>"20190312161326354"</f>
        <v>20190312161326354</v>
      </c>
      <c r="B2954" t="str">
        <f>"1552378406348723"</f>
        <v>1552378406348723</v>
      </c>
      <c r="C2954" t="s">
        <v>40</v>
      </c>
      <c r="D2954">
        <v>5.6653469999999997</v>
      </c>
      <c r="E2954">
        <v>0.49799840000000001</v>
      </c>
      <c r="F2954" t="s">
        <v>43</v>
      </c>
      <c r="G2954">
        <v>-460.99529999999999</v>
      </c>
      <c r="H2954">
        <v>0.9965098</v>
      </c>
      <c r="I2954">
        <v>212.81030000000001</v>
      </c>
      <c r="J2954">
        <v>-461.66210000000001</v>
      </c>
      <c r="K2954">
        <v>1.1099589999999999</v>
      </c>
      <c r="L2954">
        <v>212.92830000000001</v>
      </c>
      <c r="M2954">
        <v>0.99615189999999998</v>
      </c>
      <c r="N2954">
        <v>0</v>
      </c>
      <c r="O2954">
        <v>-8.7288320000000003E-2</v>
      </c>
      <c r="P2954">
        <v>0.98454459999999999</v>
      </c>
      <c r="Q2954">
        <v>-4.2028469999999998E-2</v>
      </c>
      <c r="R2954">
        <v>-0.17001720000000001</v>
      </c>
      <c r="S2954">
        <v>2.9468380000000001</v>
      </c>
      <c r="T2954">
        <v>-0.42747819999999997</v>
      </c>
      <c r="U2954">
        <v>-0.47535709999999998</v>
      </c>
      <c r="V2954">
        <v>8.3459980000000003E-2</v>
      </c>
      <c r="W2954">
        <v>-3.409686E-2</v>
      </c>
      <c r="X2954">
        <v>0.99592760000000002</v>
      </c>
      <c r="Y2954">
        <v>7.2614819999999997E-2</v>
      </c>
      <c r="Z2954">
        <v>7.2770930000000001E-3</v>
      </c>
      <c r="AA2954">
        <v>0.99733349999999998</v>
      </c>
      <c r="AB2954">
        <v>11</v>
      </c>
      <c r="AC2954">
        <v>0.66680000000002304</v>
      </c>
      <c r="AD2954">
        <v>-0.113449199999999</v>
      </c>
      <c r="AE2954">
        <v>-0.117999999999994</v>
      </c>
      <c r="AF2954">
        <v>5.7723696731120197E-2</v>
      </c>
      <c r="AG2954">
        <v>-0.113449199999999</v>
      </c>
      <c r="AH2954">
        <v>0.65613822931636301</v>
      </c>
      <c r="AI2954">
        <v>99.772690691641799</v>
      </c>
      <c r="AJ2954">
        <v>84.972353353707206</v>
      </c>
      <c r="AK2954">
        <v>0.66837124572752105</v>
      </c>
      <c r="AL2954">
        <v>91.9539849635064</v>
      </c>
      <c r="AM2954">
        <v>85.209734459862602</v>
      </c>
      <c r="AN2954">
        <v>0.99999997428260901</v>
      </c>
    </row>
    <row r="2955" spans="1:40" x14ac:dyDescent="0.25">
      <c r="A2955" t="str">
        <f>"20190312161326377"</f>
        <v>20190312161326377</v>
      </c>
      <c r="B2955" t="str">
        <f>"1552378406369219"</f>
        <v>1552378406369219</v>
      </c>
      <c r="C2955" t="s">
        <v>40</v>
      </c>
      <c r="D2955">
        <v>5.7537529999999997</v>
      </c>
      <c r="E2955">
        <v>0.49790590000000001</v>
      </c>
      <c r="F2955" t="s">
        <v>43</v>
      </c>
      <c r="G2955">
        <v>-460.89670000000001</v>
      </c>
      <c r="H2955">
        <v>0.99844279999999996</v>
      </c>
      <c r="I2955">
        <v>212.8056</v>
      </c>
      <c r="J2955">
        <v>-461.5548</v>
      </c>
      <c r="K2955">
        <v>1.1099650000000001</v>
      </c>
      <c r="L2955">
        <v>212.9205</v>
      </c>
      <c r="M2955">
        <v>0.99627129999999997</v>
      </c>
      <c r="N2955">
        <v>0</v>
      </c>
      <c r="O2955">
        <v>-8.591675E-2</v>
      </c>
      <c r="P2955">
        <v>0.98482930000000002</v>
      </c>
      <c r="Q2955">
        <v>-4.1857249999999999E-2</v>
      </c>
      <c r="R2955">
        <v>-0.16840269999999999</v>
      </c>
      <c r="S2955">
        <v>2.947235</v>
      </c>
      <c r="T2955">
        <v>-0.42956650000000002</v>
      </c>
      <c r="U2955">
        <v>-0.4720917</v>
      </c>
      <c r="V2955">
        <v>8.3198079999999994E-2</v>
      </c>
      <c r="W2955">
        <v>-3.3940240000000003E-2</v>
      </c>
      <c r="X2955">
        <v>0.99595489999999998</v>
      </c>
      <c r="Y2955">
        <v>7.2874460000000002E-2</v>
      </c>
      <c r="Z2955">
        <v>7.097E-3</v>
      </c>
      <c r="AA2955">
        <v>0.99731590000000003</v>
      </c>
      <c r="AB2955">
        <v>11</v>
      </c>
      <c r="AC2955">
        <v>0.65809999999999003</v>
      </c>
      <c r="AD2955">
        <v>-0.111522199999999</v>
      </c>
      <c r="AE2955">
        <v>-0.114900000000005</v>
      </c>
      <c r="AF2955">
        <v>5.63609115869841E-2</v>
      </c>
      <c r="AG2955">
        <v>-0.111522199999999</v>
      </c>
      <c r="AH2955">
        <v>0.64749448967839196</v>
      </c>
      <c r="AI2955">
        <v>99.736435999566794</v>
      </c>
      <c r="AJ2955">
        <v>85.0252495518248</v>
      </c>
      <c r="AK2955">
        <v>0.65944132992377502</v>
      </c>
      <c r="AL2955">
        <v>91.945006028677696</v>
      </c>
      <c r="AM2955">
        <v>85.224827127683994</v>
      </c>
      <c r="AN2955">
        <v>1.0000000116204699</v>
      </c>
    </row>
    <row r="2956" spans="1:40" x14ac:dyDescent="0.25">
      <c r="A2956" t="str">
        <f>"20190312161326399"</f>
        <v>20190312161326399</v>
      </c>
      <c r="B2956" t="str">
        <f>"1552378406388739"</f>
        <v>1552378406388739</v>
      </c>
      <c r="C2956" t="s">
        <v>40</v>
      </c>
      <c r="D2956">
        <v>5.6354579999999999</v>
      </c>
      <c r="E2956">
        <v>0.51468400000000003</v>
      </c>
      <c r="F2956" t="s">
        <v>43</v>
      </c>
      <c r="G2956">
        <v>-460.79770000000002</v>
      </c>
      <c r="H2956">
        <v>1.0000629999999999</v>
      </c>
      <c r="I2956">
        <v>212.8005</v>
      </c>
      <c r="J2956">
        <v>-461.44630000000001</v>
      </c>
      <c r="K2956">
        <v>1.1099669999999999</v>
      </c>
      <c r="L2956">
        <v>212.9128</v>
      </c>
      <c r="M2956">
        <v>0.99639029999999995</v>
      </c>
      <c r="N2956">
        <v>0</v>
      </c>
      <c r="O2956">
        <v>-8.4527169999999999E-2</v>
      </c>
      <c r="P2956">
        <v>0.98511709999999997</v>
      </c>
      <c r="Q2956">
        <v>-4.2140789999999997E-2</v>
      </c>
      <c r="R2956">
        <v>-0.1666396</v>
      </c>
      <c r="S2956">
        <v>2.9482729999999999</v>
      </c>
      <c r="T2956">
        <v>-0.4282627</v>
      </c>
      <c r="U2956">
        <v>-0.46658329999999998</v>
      </c>
      <c r="V2956">
        <v>8.2806320000000003E-2</v>
      </c>
      <c r="W2956">
        <v>-3.4237860000000002E-2</v>
      </c>
      <c r="X2956">
        <v>0.99597729999999995</v>
      </c>
      <c r="Y2956">
        <v>7.2383379999999997E-2</v>
      </c>
      <c r="Z2956">
        <v>6.9114060000000001E-3</v>
      </c>
      <c r="AA2956">
        <v>0.99735300000000005</v>
      </c>
      <c r="AB2956">
        <v>11</v>
      </c>
      <c r="AC2956">
        <v>0.64859999999998696</v>
      </c>
      <c r="AD2956">
        <v>-0.109904</v>
      </c>
      <c r="AE2956">
        <v>-0.11230000000000399</v>
      </c>
      <c r="AF2956">
        <v>5.5524218784736998E-2</v>
      </c>
      <c r="AG2956">
        <v>-0.109904</v>
      </c>
      <c r="AH2956">
        <v>0.63798622153506901</v>
      </c>
      <c r="AI2956">
        <v>99.738139925228893</v>
      </c>
      <c r="AJ2956">
        <v>85.026056126858407</v>
      </c>
      <c r="AK2956">
        <v>0.64976014571243901</v>
      </c>
      <c r="AL2956">
        <v>91.962068436194301</v>
      </c>
      <c r="AM2956">
        <v>85.247315438480996</v>
      </c>
      <c r="AN2956">
        <v>0.99999994990230401</v>
      </c>
    </row>
    <row r="2957" spans="1:40" x14ac:dyDescent="0.25">
      <c r="A2957" t="str">
        <f>"20190312161326420"</f>
        <v>20190312161326420</v>
      </c>
      <c r="B2957" t="str">
        <f>"1552378406409235"</f>
        <v>1552378406409235</v>
      </c>
      <c r="C2957" t="s">
        <v>40</v>
      </c>
      <c r="D2957">
        <v>5.6485979999999998</v>
      </c>
      <c r="E2957">
        <v>0.52810849999999998</v>
      </c>
      <c r="F2957" t="s">
        <v>43</v>
      </c>
      <c r="G2957">
        <v>-460.70979999999997</v>
      </c>
      <c r="H2957">
        <v>0.98291850000000003</v>
      </c>
      <c r="I2957">
        <v>212.76429999999999</v>
      </c>
      <c r="J2957">
        <v>-461.33580000000001</v>
      </c>
      <c r="K2957">
        <v>1.109972</v>
      </c>
      <c r="L2957">
        <v>212.9051</v>
      </c>
      <c r="M2957">
        <v>0.99650919999999998</v>
      </c>
      <c r="N2957">
        <v>0</v>
      </c>
      <c r="O2957">
        <v>-8.3115069999999999E-2</v>
      </c>
      <c r="P2957">
        <v>0.98537260000000004</v>
      </c>
      <c r="Q2957">
        <v>-4.2152969999999998E-2</v>
      </c>
      <c r="R2957">
        <v>-0.1651193</v>
      </c>
      <c r="S2957">
        <v>2.924255</v>
      </c>
      <c r="T2957">
        <v>-0.50492579999999998</v>
      </c>
      <c r="U2957">
        <v>-0.58821109999999999</v>
      </c>
      <c r="V2957">
        <v>8.2681350000000001E-2</v>
      </c>
      <c r="W2957">
        <v>-3.4263549999999997E-2</v>
      </c>
      <c r="X2957">
        <v>0.99598690000000001</v>
      </c>
      <c r="Y2957">
        <v>0.1145835</v>
      </c>
      <c r="Z2957">
        <v>4.3424249999999996E-3</v>
      </c>
      <c r="AA2957">
        <v>0.99340419999999996</v>
      </c>
      <c r="AB2957">
        <v>11</v>
      </c>
      <c r="AC2957">
        <v>0.62600000000003297</v>
      </c>
      <c r="AD2957">
        <v>-0.12705350000000001</v>
      </c>
      <c r="AE2957">
        <v>-0.140800000000012</v>
      </c>
      <c r="AF2957">
        <v>8.4950305162255699E-2</v>
      </c>
      <c r="AG2957">
        <v>-0.12705350000000001</v>
      </c>
      <c r="AH2957">
        <v>0.61155793628271404</v>
      </c>
      <c r="AI2957">
        <v>101.62789918168799</v>
      </c>
      <c r="AJ2957">
        <v>82.091761625695497</v>
      </c>
      <c r="AK2957">
        <v>0.63036676279748605</v>
      </c>
      <c r="AL2957">
        <v>91.963541030907194</v>
      </c>
      <c r="AM2957">
        <v>85.254500864556604</v>
      </c>
      <c r="AN2957">
        <v>1.0000000507340101</v>
      </c>
    </row>
    <row r="2958" spans="1:40" x14ac:dyDescent="0.25">
      <c r="A2958" t="str">
        <f>"20190312161326442"</f>
        <v>20190312161326442</v>
      </c>
      <c r="B2958" t="str">
        <f>"1552378406428772"</f>
        <v>1552378406428772</v>
      </c>
      <c r="C2958" t="s">
        <v>40</v>
      </c>
      <c r="D2958">
        <v>5.6082359999999998</v>
      </c>
      <c r="E2958">
        <v>0.53118290000000001</v>
      </c>
      <c r="F2958" t="s">
        <v>43</v>
      </c>
      <c r="G2958">
        <v>-460.63200000000001</v>
      </c>
      <c r="H2958">
        <v>0.94036560000000002</v>
      </c>
      <c r="I2958">
        <v>212.74119999999999</v>
      </c>
      <c r="J2958">
        <v>-461.22989999999999</v>
      </c>
      <c r="K2958">
        <v>1.10998</v>
      </c>
      <c r="L2958">
        <v>212.89779999999999</v>
      </c>
      <c r="M2958">
        <v>0.99662139999999999</v>
      </c>
      <c r="N2958">
        <v>0</v>
      </c>
      <c r="O2958">
        <v>-8.1760070000000004E-2</v>
      </c>
      <c r="P2958">
        <v>0.98556290000000002</v>
      </c>
      <c r="Q2958">
        <v>-4.2559479999999997E-2</v>
      </c>
      <c r="R2958">
        <v>-0.16387449999999901</v>
      </c>
      <c r="S2958">
        <v>2.9014280000000001</v>
      </c>
      <c r="T2958">
        <v>-0.69936569999999998</v>
      </c>
      <c r="U2958">
        <v>-0.67530819999999903</v>
      </c>
      <c r="V2958">
        <v>8.2779839999999993E-2</v>
      </c>
      <c r="W2958">
        <v>-3.468239E-2</v>
      </c>
      <c r="X2958">
        <v>0.99596419999999997</v>
      </c>
      <c r="Y2958">
        <v>0.1445941</v>
      </c>
      <c r="Z2958">
        <v>2.1603909999999998E-3</v>
      </c>
      <c r="AA2958">
        <v>0.9894887</v>
      </c>
      <c r="AB2958">
        <v>11</v>
      </c>
      <c r="AC2958">
        <v>0.59790000000003796</v>
      </c>
      <c r="AD2958">
        <v>-0.1696144</v>
      </c>
      <c r="AE2958">
        <v>-0.15659999999999699</v>
      </c>
      <c r="AF2958">
        <v>9.9682726299097399E-2</v>
      </c>
      <c r="AG2958">
        <v>-0.1696144</v>
      </c>
      <c r="AH2958">
        <v>0.56607128604910595</v>
      </c>
      <c r="AI2958">
        <v>106.441007982613</v>
      </c>
      <c r="AJ2958">
        <v>80.012851657163907</v>
      </c>
      <c r="AK2958">
        <v>0.59928490010934599</v>
      </c>
      <c r="AL2958">
        <v>91.987553109621601</v>
      </c>
      <c r="AM2958">
        <v>85.248766097944795</v>
      </c>
      <c r="AN2958">
        <v>1.00000002888408</v>
      </c>
    </row>
    <row r="2959" spans="1:40" x14ac:dyDescent="0.25">
      <c r="A2959" t="str">
        <f>"20190312161326462"</f>
        <v>20190312161326462</v>
      </c>
      <c r="B2959" t="str">
        <f>"1552378406459012"</f>
        <v>1552378406459012</v>
      </c>
      <c r="C2959" t="s">
        <v>40</v>
      </c>
      <c r="D2959">
        <v>5.7563370000000003</v>
      </c>
      <c r="E2959">
        <v>0.52778139999999996</v>
      </c>
      <c r="F2959" t="s">
        <v>43</v>
      </c>
      <c r="G2959">
        <v>-460.5335</v>
      </c>
      <c r="H2959">
        <v>0.93775710000000001</v>
      </c>
      <c r="I2959">
        <v>212.73070000000001</v>
      </c>
      <c r="J2959">
        <v>-461.12490000000003</v>
      </c>
      <c r="K2959">
        <v>1.1099829999999999</v>
      </c>
      <c r="L2959">
        <v>212.89080000000001</v>
      </c>
      <c r="M2959">
        <v>0.99673080000000003</v>
      </c>
      <c r="N2959">
        <v>0</v>
      </c>
      <c r="O2959">
        <v>-8.0417359999999993E-2</v>
      </c>
      <c r="P2959">
        <v>0.98578779999999999</v>
      </c>
      <c r="Q2959">
        <v>-4.2112009999999998E-2</v>
      </c>
      <c r="R2959">
        <v>-0.16263349999999999</v>
      </c>
      <c r="S2959">
        <v>2.8974000000000002</v>
      </c>
      <c r="T2959">
        <v>-0.71657749999999998</v>
      </c>
      <c r="U2959">
        <v>-0.69511409999999996</v>
      </c>
      <c r="V2959">
        <v>8.2866019999999999E-2</v>
      </c>
      <c r="W2959">
        <v>-3.424642E-2</v>
      </c>
      <c r="X2959">
        <v>0.99597210000000003</v>
      </c>
      <c r="Y2959">
        <v>0.15229039999999999</v>
      </c>
      <c r="Z2959">
        <v>9.6653590000000001E-4</v>
      </c>
      <c r="AA2959">
        <v>0.98833530000000003</v>
      </c>
      <c r="AB2959">
        <v>11</v>
      </c>
      <c r="AC2959">
        <v>0.59140000000002102</v>
      </c>
      <c r="AD2959">
        <v>-0.17222589999999899</v>
      </c>
      <c r="AE2959">
        <v>-0.16009999999999899</v>
      </c>
      <c r="AF2959">
        <v>0.10381783492895701</v>
      </c>
      <c r="AG2959">
        <v>-0.17222589999999899</v>
      </c>
      <c r="AH2959">
        <v>0.55824874119503198</v>
      </c>
      <c r="AI2959">
        <v>106.873107587915</v>
      </c>
      <c r="AJ2959">
        <v>79.465022060975002</v>
      </c>
      <c r="AK2959">
        <v>0.59336461010578001</v>
      </c>
      <c r="AL2959">
        <v>91.962559059327802</v>
      </c>
      <c r="AM2959">
        <v>85.243879940822794</v>
      </c>
      <c r="AN2959">
        <v>1.00000000926593</v>
      </c>
    </row>
    <row r="2960" spans="1:40" x14ac:dyDescent="0.25">
      <c r="A2960" t="str">
        <f>"20190312161326486"</f>
        <v>20190312161326486</v>
      </c>
      <c r="B2960" t="str">
        <f>"1552378406478531"</f>
        <v>1552378406478531</v>
      </c>
      <c r="C2960" t="s">
        <v>40</v>
      </c>
      <c r="D2960">
        <v>5.7755239999999999</v>
      </c>
      <c r="E2960">
        <v>0.52514249999999996</v>
      </c>
      <c r="F2960" t="s">
        <v>43</v>
      </c>
      <c r="G2960">
        <v>-460.42689999999999</v>
      </c>
      <c r="H2960">
        <v>0.94971919999999999</v>
      </c>
      <c r="I2960">
        <v>212.7303</v>
      </c>
      <c r="J2960">
        <v>-461.01080000000002</v>
      </c>
      <c r="K2960">
        <v>1.1099840000000001</v>
      </c>
      <c r="L2960">
        <v>212.88329999999999</v>
      </c>
      <c r="M2960">
        <v>0.99684759999999994</v>
      </c>
      <c r="N2960">
        <v>0</v>
      </c>
      <c r="O2960">
        <v>-7.8958169999999994E-2</v>
      </c>
      <c r="P2960">
        <v>0.98607429999999996</v>
      </c>
      <c r="Q2960">
        <v>-4.1490190000000003E-2</v>
      </c>
      <c r="R2960">
        <v>-0.16104649999999901</v>
      </c>
      <c r="S2960">
        <v>2.904633</v>
      </c>
      <c r="T2960">
        <v>-0.66703819999999903</v>
      </c>
      <c r="U2960">
        <v>-0.66770940000000001</v>
      </c>
      <c r="V2960">
        <v>8.2718819999999998E-2</v>
      </c>
      <c r="W2960">
        <v>-3.3636729999999997E-2</v>
      </c>
      <c r="X2960">
        <v>0.99600509999999998</v>
      </c>
      <c r="Y2960">
        <v>0.14475769999999999</v>
      </c>
      <c r="Z2960">
        <v>1.4206209999999999E-3</v>
      </c>
      <c r="AA2960">
        <v>0.98946610000000002</v>
      </c>
      <c r="AB2960">
        <v>11</v>
      </c>
      <c r="AC2960">
        <v>0.58390000000002795</v>
      </c>
      <c r="AD2960">
        <v>-0.16026480000000001</v>
      </c>
      <c r="AE2960">
        <v>-0.152999999999991</v>
      </c>
      <c r="AF2960">
        <v>9.9409341779625196E-2</v>
      </c>
      <c r="AG2960">
        <v>-0.16026480000000001</v>
      </c>
      <c r="AH2960">
        <v>0.55503085748770897</v>
      </c>
      <c r="AI2960">
        <v>105.866554268716</v>
      </c>
      <c r="AJ2960">
        <v>79.845650403004299</v>
      </c>
      <c r="AK2960">
        <v>0.58619644839903295</v>
      </c>
      <c r="AL2960">
        <v>91.927606281715498</v>
      </c>
      <c r="AM2960">
        <v>85.252446457995006</v>
      </c>
      <c r="AN2960">
        <v>0.99999999600664702</v>
      </c>
    </row>
    <row r="2961" spans="1:40" x14ac:dyDescent="0.25">
      <c r="A2961" t="str">
        <f>"20190312161326508"</f>
        <v>20190312161326508</v>
      </c>
      <c r="B2961" t="str">
        <f>"1552378406499028"</f>
        <v>1552378406499028</v>
      </c>
      <c r="C2961" t="s">
        <v>40</v>
      </c>
      <c r="D2961">
        <v>5.7190640000000004</v>
      </c>
      <c r="E2961">
        <v>0.52357480000000001</v>
      </c>
      <c r="F2961" t="s">
        <v>43</v>
      </c>
      <c r="G2961">
        <v>-460.32159999999999</v>
      </c>
      <c r="H2961">
        <v>0.95748440000000001</v>
      </c>
      <c r="I2961">
        <v>212.73060000000001</v>
      </c>
      <c r="J2961">
        <v>-460.89319999999998</v>
      </c>
      <c r="K2961">
        <v>1.109985</v>
      </c>
      <c r="L2961">
        <v>212.8758</v>
      </c>
      <c r="M2961">
        <v>0.99696560000000001</v>
      </c>
      <c r="N2961">
        <v>0</v>
      </c>
      <c r="O2961">
        <v>-7.7454990000000001E-2</v>
      </c>
      <c r="P2961">
        <v>0.98627140000000002</v>
      </c>
      <c r="Q2961">
        <v>-4.1838180000000003E-2</v>
      </c>
      <c r="R2961">
        <v>-0.15974549999999901</v>
      </c>
      <c r="S2961">
        <v>2.9101560000000002</v>
      </c>
      <c r="T2961">
        <v>-0.64424680000000001</v>
      </c>
      <c r="U2961">
        <v>-0.64353939999999998</v>
      </c>
      <c r="V2961">
        <v>8.2908700000000002E-2</v>
      </c>
      <c r="W2961">
        <v>-3.3996899999999997E-2</v>
      </c>
      <c r="X2961">
        <v>0.99597709999999995</v>
      </c>
      <c r="Y2961">
        <v>0.13824</v>
      </c>
      <c r="Z2961">
        <v>1.755001E-3</v>
      </c>
      <c r="AA2961">
        <v>0.99039719999999998</v>
      </c>
      <c r="AB2961">
        <v>11</v>
      </c>
      <c r="AC2961">
        <v>0.57159999999998901</v>
      </c>
      <c r="AD2961">
        <v>-0.15250059999999899</v>
      </c>
      <c r="AE2961">
        <v>-0.14519999999998801</v>
      </c>
      <c r="AF2961">
        <v>9.4191040532882894E-2</v>
      </c>
      <c r="AG2961">
        <v>-0.15250059999999899</v>
      </c>
      <c r="AH2961">
        <v>0.54470743916000397</v>
      </c>
      <c r="AI2961">
        <v>105.422784205561</v>
      </c>
      <c r="AJ2961">
        <v>80.189405616733694</v>
      </c>
      <c r="AK2961">
        <v>0.57344099905158197</v>
      </c>
      <c r="AL2961">
        <v>91.948254279897498</v>
      </c>
      <c r="AM2961">
        <v>85.241465334799599</v>
      </c>
      <c r="AN2961">
        <v>1.0000000127348501</v>
      </c>
    </row>
    <row r="2962" spans="1:40" x14ac:dyDescent="0.25">
      <c r="A2962" t="str">
        <f>"20190312161326531"</f>
        <v>20190312161326531</v>
      </c>
      <c r="B2962" t="str">
        <f>"1552378406518547"</f>
        <v>1552378406518547</v>
      </c>
      <c r="C2962" t="s">
        <v>40</v>
      </c>
      <c r="D2962">
        <v>5.50603</v>
      </c>
      <c r="E2962">
        <v>0.52268590000000004</v>
      </c>
      <c r="F2962" t="s">
        <v>43</v>
      </c>
      <c r="G2962">
        <v>-460.12470000000002</v>
      </c>
      <c r="H2962">
        <v>0.94299100000000002</v>
      </c>
      <c r="I2962">
        <v>212.7098</v>
      </c>
      <c r="J2962">
        <v>-460.77960000000002</v>
      </c>
      <c r="K2962">
        <v>1.109988</v>
      </c>
      <c r="L2962">
        <v>212.86869999999999</v>
      </c>
      <c r="M2962">
        <v>0.99707730000000006</v>
      </c>
      <c r="N2962">
        <v>0</v>
      </c>
      <c r="O2962">
        <v>-7.6001760000000002E-2</v>
      </c>
      <c r="P2962">
        <v>0.98639540000000003</v>
      </c>
      <c r="Q2962">
        <v>-4.2582950000000001E-2</v>
      </c>
      <c r="R2962">
        <v>-0.1587779</v>
      </c>
      <c r="S2962">
        <v>2.913116</v>
      </c>
      <c r="T2962">
        <v>-0.633208199999999</v>
      </c>
      <c r="U2962">
        <v>-0.62838749999999999</v>
      </c>
      <c r="V2962">
        <v>8.3386970000000005E-2</v>
      </c>
      <c r="W2962">
        <v>-3.4756879999999997E-2</v>
      </c>
      <c r="X2962">
        <v>0.99591090000000004</v>
      </c>
      <c r="Y2962">
        <v>0.1346484</v>
      </c>
      <c r="Z2962">
        <v>1.8003699999999999E-3</v>
      </c>
      <c r="AA2962">
        <v>0.99089179999999999</v>
      </c>
      <c r="AB2962">
        <v>11</v>
      </c>
      <c r="AC2962">
        <v>0.65489999999999704</v>
      </c>
      <c r="AD2962">
        <v>-0.16699699999999901</v>
      </c>
      <c r="AE2962">
        <v>-0.158899999999988</v>
      </c>
      <c r="AF2962">
        <v>0.102378471738221</v>
      </c>
      <c r="AG2962">
        <v>-0.16699699999999901</v>
      </c>
      <c r="AH2962">
        <v>0.626604276885105</v>
      </c>
      <c r="AI2962">
        <v>104.73636204354599</v>
      </c>
      <c r="AJ2962">
        <v>80.7206532632906</v>
      </c>
      <c r="AK2962">
        <v>0.65650763079735697</v>
      </c>
      <c r="AL2962">
        <v>91.991823756009694</v>
      </c>
      <c r="AM2962">
        <v>85.213825580893499</v>
      </c>
      <c r="AN2962">
        <v>0.99999997410596198</v>
      </c>
    </row>
    <row r="2963" spans="1:40" x14ac:dyDescent="0.25">
      <c r="A2963" t="str">
        <f>"20190312161326555"</f>
        <v>20190312161326555</v>
      </c>
      <c r="B2963" t="str">
        <f>"1552378406548803"</f>
        <v>1552378406548803</v>
      </c>
      <c r="C2963" t="s">
        <v>40</v>
      </c>
      <c r="D2963">
        <v>5.4862900000000003</v>
      </c>
      <c r="E2963">
        <v>0.52195379999999902</v>
      </c>
      <c r="F2963" t="s">
        <v>43</v>
      </c>
      <c r="G2963">
        <v>-460.0197</v>
      </c>
      <c r="H2963">
        <v>0.94685269999999999</v>
      </c>
      <c r="I2963">
        <v>212.7071</v>
      </c>
      <c r="J2963">
        <v>-460.65530000000001</v>
      </c>
      <c r="K2963">
        <v>1.1099889999999999</v>
      </c>
      <c r="L2963">
        <v>212.86109999999999</v>
      </c>
      <c r="M2963">
        <v>0.99719760000000002</v>
      </c>
      <c r="N2963">
        <v>0</v>
      </c>
      <c r="O2963">
        <v>-7.4412359999999997E-2</v>
      </c>
      <c r="P2963">
        <v>0.98656449999999996</v>
      </c>
      <c r="Q2963">
        <v>-4.2578570000000003E-2</v>
      </c>
      <c r="R2963">
        <v>-0.15772749999999999</v>
      </c>
      <c r="S2963">
        <v>2.9146730000000001</v>
      </c>
      <c r="T2963">
        <v>-0.62577380000000005</v>
      </c>
      <c r="U2963">
        <v>-0.61920169999999997</v>
      </c>
      <c r="V2963">
        <v>8.3914150000000007E-2</v>
      </c>
      <c r="W2963">
        <v>-3.4773579999999998E-2</v>
      </c>
      <c r="X2963">
        <v>0.99586609999999998</v>
      </c>
      <c r="Y2963">
        <v>0.13316040000000001</v>
      </c>
      <c r="Z2963">
        <v>1.604264E-3</v>
      </c>
      <c r="AA2963">
        <v>0.99109320000000001</v>
      </c>
      <c r="AB2963">
        <v>12</v>
      </c>
      <c r="AC2963">
        <v>0.63560000000001005</v>
      </c>
      <c r="AD2963">
        <v>-0.16313629999999901</v>
      </c>
      <c r="AE2963">
        <v>-0.153999999999996</v>
      </c>
      <c r="AF2963">
        <v>0.100049613119349</v>
      </c>
      <c r="AG2963">
        <v>-0.16313629999999901</v>
      </c>
      <c r="AH2963">
        <v>0.60749664945344195</v>
      </c>
      <c r="AI2963">
        <v>104.840579079611</v>
      </c>
      <c r="AJ2963">
        <v>80.647815811170304</v>
      </c>
      <c r="AK2963">
        <v>0.636926649277748</v>
      </c>
      <c r="AL2963">
        <v>91.992781047360296</v>
      </c>
      <c r="AM2963">
        <v>85.183493200552405</v>
      </c>
      <c r="AN2963">
        <v>1.0000000377827201</v>
      </c>
    </row>
    <row r="2964" spans="1:40" x14ac:dyDescent="0.25">
      <c r="A2964" t="str">
        <f>"20190312161326577"</f>
        <v>20190312161326577</v>
      </c>
      <c r="B2964" t="str">
        <f>"1552378406568323"</f>
        <v>1552378406568323</v>
      </c>
      <c r="C2964" t="s">
        <v>40</v>
      </c>
      <c r="D2964">
        <v>5.5835939999999997</v>
      </c>
      <c r="E2964">
        <v>0.52162050000000004</v>
      </c>
      <c r="F2964" t="s">
        <v>43</v>
      </c>
      <c r="G2964">
        <v>-459.9135</v>
      </c>
      <c r="H2964">
        <v>0.95168960000000002</v>
      </c>
      <c r="I2964">
        <v>212.7054</v>
      </c>
      <c r="J2964">
        <v>-460.54149999999998</v>
      </c>
      <c r="K2964">
        <v>1.1099889999999999</v>
      </c>
      <c r="L2964">
        <v>212.85429999999999</v>
      </c>
      <c r="M2964">
        <v>0.9973052</v>
      </c>
      <c r="N2964">
        <v>0</v>
      </c>
      <c r="O2964">
        <v>-7.2956469999999995E-2</v>
      </c>
      <c r="P2964">
        <v>0.98682329999999996</v>
      </c>
      <c r="Q2964">
        <v>-4.2398119999999997E-2</v>
      </c>
      <c r="R2964">
        <v>-0.15614879999999901</v>
      </c>
      <c r="S2964">
        <v>2.9163510000000001</v>
      </c>
      <c r="T2964">
        <v>-0.62271769999999904</v>
      </c>
      <c r="U2964">
        <v>-0.61071779999999998</v>
      </c>
      <c r="V2964">
        <v>8.3774249999999995E-2</v>
      </c>
      <c r="W2964">
        <v>-3.4615859999999998E-2</v>
      </c>
      <c r="X2964">
        <v>0.99588330000000003</v>
      </c>
      <c r="Y2964">
        <v>0.13174240000000001</v>
      </c>
      <c r="Z2964">
        <v>1.442285E-3</v>
      </c>
      <c r="AA2964">
        <v>0.99128289999999997</v>
      </c>
      <c r="AB2964">
        <v>12</v>
      </c>
      <c r="AC2964">
        <v>0.62799999999998501</v>
      </c>
      <c r="AD2964">
        <v>-0.15829939999999901</v>
      </c>
      <c r="AE2964">
        <v>-0.14889999999999701</v>
      </c>
      <c r="AF2964">
        <v>9.6858435693784495E-2</v>
      </c>
      <c r="AG2964">
        <v>-0.15829939999999901</v>
      </c>
      <c r="AH2964">
        <v>0.60103354372117401</v>
      </c>
      <c r="AI2964">
        <v>104.575495294969</v>
      </c>
      <c r="AJ2964">
        <v>80.845314474472303</v>
      </c>
      <c r="AK2964">
        <v>0.62903225456524803</v>
      </c>
      <c r="AL2964">
        <v>91.983739058088105</v>
      </c>
      <c r="AM2964">
        <v>85.191568160501305</v>
      </c>
      <c r="AN2964">
        <v>0.99999996497274501</v>
      </c>
    </row>
    <row r="2965" spans="1:40" x14ac:dyDescent="0.25">
      <c r="A2965" t="str">
        <f>"20190312161326600"</f>
        <v>20190312161326600</v>
      </c>
      <c r="B2965" t="str">
        <f>"1552378406588351"</f>
        <v>1552378406588351</v>
      </c>
      <c r="C2965" t="s">
        <v>40</v>
      </c>
      <c r="D2965">
        <v>5.5355179999999997</v>
      </c>
      <c r="E2965">
        <v>0.52137549999999999</v>
      </c>
      <c r="F2965" t="s">
        <v>43</v>
      </c>
      <c r="G2965">
        <v>-459.80799999999999</v>
      </c>
      <c r="H2965">
        <v>0.95357309999999995</v>
      </c>
      <c r="I2965">
        <v>212.70269999999999</v>
      </c>
      <c r="J2965">
        <v>-460.42500000000001</v>
      </c>
      <c r="K2965">
        <v>1.1099829999999999</v>
      </c>
      <c r="L2965">
        <v>212.8475</v>
      </c>
      <c r="M2965">
        <v>0.99741349999999995</v>
      </c>
      <c r="N2965">
        <v>0</v>
      </c>
      <c r="O2965">
        <v>-7.1465879999999996E-2</v>
      </c>
      <c r="P2965">
        <v>0.98715940000000002</v>
      </c>
      <c r="Q2965">
        <v>-4.237548E-2</v>
      </c>
      <c r="R2965">
        <v>-0.1540165</v>
      </c>
      <c r="S2965">
        <v>2.9178769999999998</v>
      </c>
      <c r="T2965">
        <v>-0.62223149999999905</v>
      </c>
      <c r="U2965">
        <v>-0.60319519999999904</v>
      </c>
      <c r="V2965">
        <v>8.3111820000000003E-2</v>
      </c>
      <c r="W2965">
        <v>-3.4622470000000002E-2</v>
      </c>
      <c r="X2965">
        <v>0.99593860000000001</v>
      </c>
      <c r="Y2965">
        <v>0.13066349999999999</v>
      </c>
      <c r="Z2965">
        <v>1.244371E-3</v>
      </c>
      <c r="AA2965">
        <v>0.99142600000000003</v>
      </c>
      <c r="AB2965">
        <v>12</v>
      </c>
      <c r="AC2965">
        <v>0.61699999999996102</v>
      </c>
      <c r="AD2965">
        <v>-0.15640989999999999</v>
      </c>
      <c r="AE2965">
        <v>-0.14480000000000301</v>
      </c>
      <c r="AF2965">
        <v>9.4573691411750496E-2</v>
      </c>
      <c r="AG2965">
        <v>-0.15640989999999999</v>
      </c>
      <c r="AH2965">
        <v>0.58984458939737405</v>
      </c>
      <c r="AI2965">
        <v>104.672235669489</v>
      </c>
      <c r="AJ2965">
        <v>80.890918239422504</v>
      </c>
      <c r="AK2965">
        <v>0.61751508448507697</v>
      </c>
      <c r="AL2965">
        <v>91.984117955695098</v>
      </c>
      <c r="AM2965">
        <v>85.229677469666697</v>
      </c>
      <c r="AN2965">
        <v>0.99999999251128602</v>
      </c>
    </row>
    <row r="2966" spans="1:40" x14ac:dyDescent="0.25">
      <c r="A2966" t="str">
        <f>"20190312161326643"</f>
        <v>20190312161326643</v>
      </c>
      <c r="B2966" t="str">
        <f>"1552378406639104"</f>
        <v>1552378406639104</v>
      </c>
      <c r="C2966" t="s">
        <v>40</v>
      </c>
      <c r="D2966">
        <v>5.4978740000000004</v>
      </c>
      <c r="E2966">
        <v>0.53544550000000002</v>
      </c>
      <c r="F2966" t="s">
        <v>43</v>
      </c>
      <c r="G2966">
        <v>-459.70179999999999</v>
      </c>
      <c r="H2966">
        <v>0.95573589999999997</v>
      </c>
      <c r="I2966">
        <v>212.69990000000001</v>
      </c>
      <c r="J2966">
        <v>-460.19459999999998</v>
      </c>
      <c r="K2966">
        <v>1.109974</v>
      </c>
      <c r="L2966">
        <v>212.83459999999999</v>
      </c>
      <c r="M2966">
        <v>0.99762090000000003</v>
      </c>
      <c r="N2966">
        <v>0</v>
      </c>
      <c r="O2966">
        <v>-6.8517510000000004E-2</v>
      </c>
      <c r="P2966">
        <v>0.98775400000000002</v>
      </c>
      <c r="Q2966">
        <v>-4.3224400000000003E-2</v>
      </c>
      <c r="R2966">
        <v>-0.1499125</v>
      </c>
      <c r="S2966">
        <v>2.9194640000000001</v>
      </c>
      <c r="T2966">
        <v>-0.62315919999999903</v>
      </c>
      <c r="U2966">
        <v>-0.594696</v>
      </c>
      <c r="V2966">
        <v>8.1921629999999995E-2</v>
      </c>
      <c r="W2966">
        <v>-3.555606E-2</v>
      </c>
      <c r="X2966">
        <v>0.99600429999999995</v>
      </c>
      <c r="Y2966">
        <v>0.13065009999999999</v>
      </c>
      <c r="Z2966">
        <v>6.3472989999999998E-4</v>
      </c>
      <c r="AA2966">
        <v>0.99142830000000004</v>
      </c>
      <c r="AB2966">
        <v>12</v>
      </c>
      <c r="AC2966">
        <v>0.49279999999998803</v>
      </c>
      <c r="AD2966">
        <v>-0.15423809999999899</v>
      </c>
      <c r="AE2966">
        <v>-0.13469999999998</v>
      </c>
      <c r="AF2966">
        <v>9.2212029194985806E-2</v>
      </c>
      <c r="AG2966">
        <v>-0.15423809999999899</v>
      </c>
      <c r="AH2966">
        <v>0.45903135938945</v>
      </c>
      <c r="AI2966">
        <v>108.23325792095299</v>
      </c>
      <c r="AJ2966">
        <v>78.641377570901895</v>
      </c>
      <c r="AK2966">
        <v>0.49295257248826002</v>
      </c>
      <c r="AL2966">
        <v>92.037641718879598</v>
      </c>
      <c r="AM2966">
        <v>85.297990379468303</v>
      </c>
      <c r="AN2966">
        <v>0.99999997624153403</v>
      </c>
    </row>
    <row r="2967" spans="1:40" x14ac:dyDescent="0.25">
      <c r="A2967" t="str">
        <f>"20190312161326665"</f>
        <v>20190312161326665</v>
      </c>
      <c r="B2967" t="str">
        <f>"1552378406658622"</f>
        <v>1552378406658622</v>
      </c>
      <c r="C2967" t="s">
        <v>40</v>
      </c>
      <c r="D2967">
        <v>5.4902509999999998</v>
      </c>
      <c r="E2967">
        <v>0.52581540000000004</v>
      </c>
      <c r="F2967" t="s">
        <v>43</v>
      </c>
      <c r="G2967">
        <v>-459.5034</v>
      </c>
      <c r="H2967">
        <v>0.92802810000000002</v>
      </c>
      <c r="I2967">
        <v>212.67140000000001</v>
      </c>
      <c r="J2967">
        <v>-460.07420000000002</v>
      </c>
      <c r="K2967">
        <v>1.1099650000000001</v>
      </c>
      <c r="L2967">
        <v>212.82820000000001</v>
      </c>
      <c r="M2967">
        <v>0.997726</v>
      </c>
      <c r="N2967">
        <v>0</v>
      </c>
      <c r="O2967">
        <v>-6.6976649999999999E-2</v>
      </c>
      <c r="P2967">
        <v>0.98808600000000002</v>
      </c>
      <c r="Q2967">
        <v>-4.2969939999999998E-2</v>
      </c>
      <c r="R2967">
        <v>-0.147782</v>
      </c>
      <c r="S2967">
        <v>2.9000240000000002</v>
      </c>
      <c r="T2967">
        <v>-0.76375909999999902</v>
      </c>
      <c r="U2967">
        <v>-0.68363949999999996</v>
      </c>
      <c r="V2967">
        <v>8.1311939999999999E-2</v>
      </c>
      <c r="W2967">
        <v>-3.5356449999999998E-2</v>
      </c>
      <c r="X2967">
        <v>0.99606139999999999</v>
      </c>
      <c r="Y2967">
        <v>0.16071849999999999</v>
      </c>
      <c r="Z2967">
        <v>-3.4627500000000001E-3</v>
      </c>
      <c r="AA2967">
        <v>0.98699420000000004</v>
      </c>
      <c r="AB2967">
        <v>12</v>
      </c>
      <c r="AC2967">
        <v>0.57080000000001896</v>
      </c>
      <c r="AD2967">
        <v>-0.18193690000000001</v>
      </c>
      <c r="AE2967">
        <v>-0.15680000000000399</v>
      </c>
      <c r="AF2967">
        <v>0.108012905904305</v>
      </c>
      <c r="AG2967">
        <v>-0.18193690000000001</v>
      </c>
      <c r="AH2967">
        <v>0.52995714101809499</v>
      </c>
      <c r="AI2967">
        <v>108.59238174656601</v>
      </c>
      <c r="AJ2967">
        <v>78.480078258484397</v>
      </c>
      <c r="AK2967">
        <v>0.57063332775047004</v>
      </c>
      <c r="AL2967">
        <v>92.026197641204305</v>
      </c>
      <c r="AM2967">
        <v>85.333095612122307</v>
      </c>
      <c r="AN2967">
        <v>1.0000000113565599</v>
      </c>
    </row>
    <row r="2968" spans="1:40" x14ac:dyDescent="0.25">
      <c r="A2968" t="str">
        <f>"20190312161326687"</f>
        <v>20190312161326687</v>
      </c>
      <c r="B2968" t="str">
        <f>"1552378406679118"</f>
        <v>1552378406679118</v>
      </c>
      <c r="C2968" t="s">
        <v>40</v>
      </c>
      <c r="D2968">
        <v>5.4184479999999997</v>
      </c>
      <c r="E2968">
        <v>0.52590380000000003</v>
      </c>
      <c r="F2968" t="s">
        <v>43</v>
      </c>
      <c r="G2968">
        <v>-459.37799999999999</v>
      </c>
      <c r="H2968">
        <v>0.96548869999999998</v>
      </c>
      <c r="I2968">
        <v>212.68170000000001</v>
      </c>
      <c r="J2968">
        <v>-459.95339999999999</v>
      </c>
      <c r="K2968">
        <v>1.109961</v>
      </c>
      <c r="L2968">
        <v>212.8219</v>
      </c>
      <c r="M2968">
        <v>0.99782919999999997</v>
      </c>
      <c r="N2968">
        <v>0</v>
      </c>
      <c r="O2968">
        <v>-6.5430890000000005E-2</v>
      </c>
      <c r="P2968">
        <v>0.98843460000000005</v>
      </c>
      <c r="Q2968">
        <v>-4.2994820000000003E-2</v>
      </c>
      <c r="R2968">
        <v>-0.14542739999999901</v>
      </c>
      <c r="S2968">
        <v>2.9181210000000002</v>
      </c>
      <c r="T2968">
        <v>-0.6057707</v>
      </c>
      <c r="U2968">
        <v>-0.6130371</v>
      </c>
      <c r="V2968">
        <v>8.0482970000000001E-2</v>
      </c>
      <c r="W2968">
        <v>-3.5440159999999998E-2</v>
      </c>
      <c r="X2968">
        <v>0.99612579999999995</v>
      </c>
      <c r="Y2968">
        <v>0.139604799999999</v>
      </c>
      <c r="Z2968">
        <v>-9.1763870000000005E-4</v>
      </c>
      <c r="AA2968">
        <v>0.9902069</v>
      </c>
      <c r="AB2968">
        <v>12</v>
      </c>
      <c r="AC2968">
        <v>0.57539999999994496</v>
      </c>
      <c r="AD2968">
        <v>-0.1444723</v>
      </c>
      <c r="AE2968">
        <v>-0.140199999999993</v>
      </c>
      <c r="AF2968">
        <v>9.6506561236883406E-2</v>
      </c>
      <c r="AG2968">
        <v>-0.1444723</v>
      </c>
      <c r="AH2968">
        <v>0.55057634668155497</v>
      </c>
      <c r="AI2968">
        <v>104.491616387204</v>
      </c>
      <c r="AJ2968">
        <v>80.058033725991194</v>
      </c>
      <c r="AK2968">
        <v>0.57733878732877997</v>
      </c>
      <c r="AL2968">
        <v>92.030996776907401</v>
      </c>
      <c r="AM2968">
        <v>85.380764787025598</v>
      </c>
      <c r="AN2968">
        <v>1.00000006141324</v>
      </c>
    </row>
    <row r="2969" spans="1:40" x14ac:dyDescent="0.25">
      <c r="A2969" t="str">
        <f>"20190312161326710"</f>
        <v>20190312161326710</v>
      </c>
      <c r="B2969" t="str">
        <f>"1552378406698639"</f>
        <v>1552378406698639</v>
      </c>
      <c r="C2969" t="s">
        <v>40</v>
      </c>
      <c r="D2969">
        <v>5.4944930000000003</v>
      </c>
      <c r="E2969">
        <v>0.5173603</v>
      </c>
      <c r="F2969" t="s">
        <v>43</v>
      </c>
      <c r="G2969">
        <v>-459.26830000000001</v>
      </c>
      <c r="H2969">
        <v>0.96908709999999998</v>
      </c>
      <c r="I2969">
        <v>212.679</v>
      </c>
      <c r="J2969">
        <v>-459.8372</v>
      </c>
      <c r="K2969">
        <v>1.10996299999999</v>
      </c>
      <c r="L2969">
        <v>212.816</v>
      </c>
      <c r="M2969">
        <v>0.99792579999999997</v>
      </c>
      <c r="N2969">
        <v>0</v>
      </c>
      <c r="O2969">
        <v>-6.3946660000000002E-2</v>
      </c>
      <c r="P2969">
        <v>0.98873250000000001</v>
      </c>
      <c r="Q2969">
        <v>-4.2967829999999999E-2</v>
      </c>
      <c r="R2969">
        <v>-0.14339499999999999</v>
      </c>
      <c r="S2969">
        <v>2.9196469999999999</v>
      </c>
      <c r="T2969">
        <v>-0.60077700000000001</v>
      </c>
      <c r="U2969">
        <v>-0.60746769999999894</v>
      </c>
      <c r="V2969">
        <v>7.9917340000000003E-2</v>
      </c>
      <c r="W2969">
        <v>-3.546933E-2</v>
      </c>
      <c r="X2969">
        <v>0.99617020000000001</v>
      </c>
      <c r="Y2969">
        <v>0.1391676</v>
      </c>
      <c r="Z2969">
        <v>-1.163376E-3</v>
      </c>
      <c r="AA2969">
        <v>0.99026820000000004</v>
      </c>
      <c r="AB2969">
        <v>12</v>
      </c>
      <c r="AC2969">
        <v>0.56889999999998497</v>
      </c>
      <c r="AD2969">
        <v>-0.140875899999999</v>
      </c>
      <c r="AE2969">
        <v>-0.13699999999997201</v>
      </c>
      <c r="AF2969">
        <v>9.4842387927605701E-2</v>
      </c>
      <c r="AG2969">
        <v>-0.140875899999999</v>
      </c>
      <c r="AH2969">
        <v>0.54491397293432897</v>
      </c>
      <c r="AI2969">
        <v>104.28939057957299</v>
      </c>
      <c r="AJ2969">
        <v>80.1265652521151</v>
      </c>
      <c r="AK2969">
        <v>0.57076469376415895</v>
      </c>
      <c r="AL2969">
        <v>92.0326693503619</v>
      </c>
      <c r="AM2969">
        <v>85.413293076499599</v>
      </c>
      <c r="AN2969">
        <v>0.999999960985681</v>
      </c>
    </row>
    <row r="2970" spans="1:40" x14ac:dyDescent="0.25">
      <c r="A2970" t="str">
        <f>"20190312161326732"</f>
        <v>20190312161326732</v>
      </c>
      <c r="B2970" t="str">
        <f>"1552378406728895"</f>
        <v>1552378406728895</v>
      </c>
      <c r="C2970" t="s">
        <v>40</v>
      </c>
      <c r="D2970">
        <v>5.5569839999999999</v>
      </c>
      <c r="E2970">
        <v>0.50349739999999998</v>
      </c>
      <c r="F2970" t="s">
        <v>43</v>
      </c>
      <c r="G2970">
        <v>-459.10509999999999</v>
      </c>
      <c r="H2970">
        <v>0.84127450000000004</v>
      </c>
      <c r="I2970">
        <v>212.68950000000001</v>
      </c>
      <c r="J2970">
        <v>-459.71179999999998</v>
      </c>
      <c r="K2970">
        <v>1.1099589999999999</v>
      </c>
      <c r="L2970">
        <v>212.8099</v>
      </c>
      <c r="M2970">
        <v>0.9980272</v>
      </c>
      <c r="N2970">
        <v>0</v>
      </c>
      <c r="O2970">
        <v>-6.2352049999999999E-2</v>
      </c>
      <c r="P2970">
        <v>0.98907020000000001</v>
      </c>
      <c r="Q2970">
        <v>-4.2766459999999999E-2</v>
      </c>
      <c r="R2970">
        <v>-0.14110809999999999</v>
      </c>
      <c r="S2970">
        <v>2.9150390000000002</v>
      </c>
      <c r="T2970">
        <v>-1.070354</v>
      </c>
      <c r="U2970">
        <v>-0.50103759999999997</v>
      </c>
      <c r="V2970">
        <v>7.9205040000000004E-2</v>
      </c>
      <c r="W2970">
        <v>-3.5329760000000002E-2</v>
      </c>
      <c r="X2970">
        <v>0.99623209999999995</v>
      </c>
      <c r="Y2970">
        <v>0.1049163</v>
      </c>
      <c r="Z2970">
        <v>3.4559669999999999E-3</v>
      </c>
      <c r="AA2970">
        <v>0.99447509999999995</v>
      </c>
      <c r="AB2970">
        <v>12</v>
      </c>
      <c r="AC2970">
        <v>0.60669999999998903</v>
      </c>
      <c r="AD2970">
        <v>-0.26868449999999899</v>
      </c>
      <c r="AE2970">
        <v>-0.120399999999989</v>
      </c>
      <c r="AF2970">
        <v>6.9265593644920298E-2</v>
      </c>
      <c r="AG2970">
        <v>-0.26868449999999899</v>
      </c>
      <c r="AH2970">
        <v>0.51571387985941497</v>
      </c>
      <c r="AI2970">
        <v>117.30996446152</v>
      </c>
      <c r="AJ2970">
        <v>82.350375437512398</v>
      </c>
      <c r="AK2970">
        <v>0.58561923541059002</v>
      </c>
      <c r="AL2970">
        <v>92.0246674561471</v>
      </c>
      <c r="AM2970">
        <v>85.454283365615694</v>
      </c>
      <c r="AN2970">
        <v>1.00000001368673</v>
      </c>
    </row>
    <row r="2971" spans="1:40" x14ac:dyDescent="0.25">
      <c r="A2971" t="str">
        <f>"20190312161326754"</f>
        <v>20190312161326754</v>
      </c>
      <c r="B2971" t="str">
        <f>"1552378406748415"</f>
        <v>1552378406748415</v>
      </c>
      <c r="C2971" t="s">
        <v>40</v>
      </c>
      <c r="D2971">
        <v>5.2907539999999997</v>
      </c>
      <c r="E2971">
        <v>0.4426504</v>
      </c>
      <c r="F2971" t="s">
        <v>43</v>
      </c>
      <c r="G2971">
        <v>-458.99180000000001</v>
      </c>
      <c r="H2971">
        <v>0.84520609999999996</v>
      </c>
      <c r="I2971">
        <v>212.71539999999999</v>
      </c>
      <c r="J2971">
        <v>-459.59210000000002</v>
      </c>
      <c r="K2971">
        <v>1.109955</v>
      </c>
      <c r="L2971">
        <v>212.80420000000001</v>
      </c>
      <c r="M2971">
        <v>0.99812089999999998</v>
      </c>
      <c r="N2971">
        <v>0</v>
      </c>
      <c r="O2971">
        <v>-6.0841399999999997E-2</v>
      </c>
      <c r="P2971">
        <v>0.98937699999999995</v>
      </c>
      <c r="Q2971">
        <v>-4.2512000000000001E-2</v>
      </c>
      <c r="R2971">
        <v>-0.139019899999999</v>
      </c>
      <c r="S2971">
        <v>2.9316409999999999</v>
      </c>
      <c r="T2971">
        <v>-1.0779650000000001</v>
      </c>
      <c r="U2971">
        <v>-0.38467410000000002</v>
      </c>
      <c r="V2971">
        <v>7.8609129999999999E-2</v>
      </c>
      <c r="W2971">
        <v>-3.5134940000000003E-2</v>
      </c>
      <c r="X2971">
        <v>0.99628620000000001</v>
      </c>
      <c r="Y2971">
        <v>6.9004339999999997E-2</v>
      </c>
      <c r="Z2971">
        <v>9.3111180000000002E-3</v>
      </c>
      <c r="AA2971">
        <v>0.99757289999999998</v>
      </c>
      <c r="AB2971">
        <v>12</v>
      </c>
      <c r="AC2971">
        <v>0.60030000000000405</v>
      </c>
      <c r="AD2971">
        <v>-0.26474890000000001</v>
      </c>
      <c r="AE2971">
        <v>-8.8800000000020404E-2</v>
      </c>
      <c r="AF2971">
        <v>4.3778592104229699E-2</v>
      </c>
      <c r="AG2971">
        <v>-0.26474890000000001</v>
      </c>
      <c r="AH2971">
        <v>0.50791415791905203</v>
      </c>
      <c r="AI2971">
        <v>117.44383706724</v>
      </c>
      <c r="AJ2971">
        <v>85.073686318011198</v>
      </c>
      <c r="AK2971">
        <v>0.57444350200211902</v>
      </c>
      <c r="AL2971">
        <v>92.013498133597807</v>
      </c>
      <c r="AM2971">
        <v>85.488585939124803</v>
      </c>
      <c r="AN2971">
        <v>1.00000002581929</v>
      </c>
    </row>
    <row r="2972" spans="1:40" x14ac:dyDescent="0.25">
      <c r="A2972" t="str">
        <f>"20190312161326778"</f>
        <v>20190312161326778</v>
      </c>
      <c r="B2972" t="str">
        <f>"1552378406768912"</f>
        <v>1552378406768912</v>
      </c>
      <c r="C2972" t="s">
        <v>40</v>
      </c>
      <c r="D2972">
        <v>5.3323700000000001</v>
      </c>
      <c r="E2972">
        <v>0.44499329999999998</v>
      </c>
      <c r="F2972" t="s">
        <v>43</v>
      </c>
      <c r="G2972">
        <v>-458.81049999999999</v>
      </c>
      <c r="H2972">
        <v>0.981603</v>
      </c>
      <c r="I2972">
        <v>212.81989999999999</v>
      </c>
      <c r="J2972">
        <v>-459.45839999999998</v>
      </c>
      <c r="K2972">
        <v>1.1099490000000001</v>
      </c>
      <c r="L2972">
        <v>212.798</v>
      </c>
      <c r="M2972">
        <v>0.9982219</v>
      </c>
      <c r="N2972">
        <v>0</v>
      </c>
      <c r="O2972">
        <v>-5.9165280000000001E-2</v>
      </c>
      <c r="P2972">
        <v>0.98975199999999997</v>
      </c>
      <c r="Q2972">
        <v>-4.2115550000000002E-2</v>
      </c>
      <c r="R2972">
        <v>-0.13644439999999999</v>
      </c>
      <c r="S2972">
        <v>3.0196839999999998</v>
      </c>
      <c r="T2972">
        <v>-0.49631500000000001</v>
      </c>
      <c r="U2972">
        <v>6.2347409999999999E-2</v>
      </c>
      <c r="V2972">
        <v>7.7688190000000004E-2</v>
      </c>
      <c r="W2972">
        <v>-3.4804750000000002E-2</v>
      </c>
      <c r="X2972">
        <v>0.99636999999999998</v>
      </c>
      <c r="Y2972">
        <v>-7.7922249999999998E-2</v>
      </c>
      <c r="Z2972">
        <v>1.601636E-2</v>
      </c>
      <c r="AA2972">
        <v>0.99683080000000002</v>
      </c>
      <c r="AB2972">
        <v>12</v>
      </c>
      <c r="AC2972">
        <v>0.64789999999999204</v>
      </c>
      <c r="AD2972">
        <v>-0.12834599999999899</v>
      </c>
      <c r="AE2972">
        <v>2.1899999999987999E-2</v>
      </c>
      <c r="AF2972">
        <v>-5.7925326070461303E-2</v>
      </c>
      <c r="AG2972">
        <v>-0.12834599999999899</v>
      </c>
      <c r="AH2972">
        <v>0.62112303767639998</v>
      </c>
      <c r="AI2972">
        <v>101.625953684501</v>
      </c>
      <c r="AJ2972">
        <v>95.327937807854894</v>
      </c>
      <c r="AK2972">
        <v>0.63688450055620605</v>
      </c>
      <c r="AL2972">
        <v>91.994568111461007</v>
      </c>
      <c r="AM2972">
        <v>85.541598220595404</v>
      </c>
      <c r="AN2972">
        <v>1.00000000119401</v>
      </c>
    </row>
    <row r="2973" spans="1:40" x14ac:dyDescent="0.25">
      <c r="A2973" t="str">
        <f>"20190312161326800"</f>
        <v>20190312161326800</v>
      </c>
      <c r="B2973" t="str">
        <f>"1552378406788938"</f>
        <v>1552378406788938</v>
      </c>
      <c r="C2973" t="s">
        <v>40</v>
      </c>
      <c r="D2973">
        <v>5.3444929999999999</v>
      </c>
      <c r="E2973">
        <v>0.4461117</v>
      </c>
      <c r="F2973" t="s">
        <v>69</v>
      </c>
      <c r="G2973">
        <v>-448.51799999999997</v>
      </c>
      <c r="H2973" s="1">
        <v>3.0694330000000001E-6</v>
      </c>
      <c r="I2973">
        <v>212.9375</v>
      </c>
      <c r="J2973">
        <v>-459.33609999999999</v>
      </c>
      <c r="K2973">
        <v>1.1099380000000001</v>
      </c>
      <c r="L2973">
        <v>212.79249999999999</v>
      </c>
      <c r="M2973">
        <v>0.99831130000000001</v>
      </c>
      <c r="N2973">
        <v>0</v>
      </c>
      <c r="O2973">
        <v>-5.7647839999999999E-2</v>
      </c>
      <c r="P2973">
        <v>0.98999669999999895</v>
      </c>
      <c r="Q2973">
        <v>-4.1630880000000002E-2</v>
      </c>
      <c r="R2973">
        <v>-0.13481089999999901</v>
      </c>
      <c r="S2973">
        <v>3.023285</v>
      </c>
      <c r="T2973">
        <v>-0.30672349999999998</v>
      </c>
      <c r="U2973">
        <v>3.8543699999999903E-2</v>
      </c>
      <c r="V2973">
        <v>7.7556299999999995E-2</v>
      </c>
      <c r="W2973">
        <v>-3.4382120000000002E-2</v>
      </c>
      <c r="X2973">
        <v>0.99639489999999997</v>
      </c>
      <c r="Y2973">
        <v>-6.9717769999999998E-2</v>
      </c>
      <c r="Z2973">
        <v>9.3589980000000003E-3</v>
      </c>
      <c r="AA2973">
        <v>0.99752280000000004</v>
      </c>
      <c r="AB2973">
        <v>12</v>
      </c>
      <c r="AC2973">
        <v>10.8180999999999</v>
      </c>
      <c r="AD2973">
        <v>-1.1099349305670001</v>
      </c>
      <c r="AE2973">
        <v>0.14500000000001001</v>
      </c>
      <c r="AF2973">
        <v>-0.76041173352350699</v>
      </c>
      <c r="AG2973">
        <v>-1.1099349305670001</v>
      </c>
      <c r="AH2973">
        <v>10.6793508742836</v>
      </c>
      <c r="AI2973">
        <v>95.918729255305706</v>
      </c>
      <c r="AJ2973">
        <v>94.072810805893198</v>
      </c>
      <c r="AK2973">
        <v>10.7637687010933</v>
      </c>
      <c r="AL2973">
        <v>91.970338788344804</v>
      </c>
      <c r="AM2973">
        <v>85.549247519675802</v>
      </c>
      <c r="AN2973">
        <v>0.99999995329569602</v>
      </c>
    </row>
    <row r="2974" spans="1:40" x14ac:dyDescent="0.25">
      <c r="A2974" t="str">
        <f>"20190312161326825"</f>
        <v>20190312161326825</v>
      </c>
      <c r="B2974" t="str">
        <f>"1552378406819194"</f>
        <v>1552378406819194</v>
      </c>
      <c r="C2974" t="s">
        <v>40</v>
      </c>
      <c r="D2974">
        <v>5.3897139999999997</v>
      </c>
      <c r="E2974">
        <v>0.44952409999999998</v>
      </c>
      <c r="F2974" t="s">
        <v>69</v>
      </c>
      <c r="G2974">
        <v>-445.61110000000002</v>
      </c>
      <c r="H2974" s="1">
        <v>1.522922E-6</v>
      </c>
      <c r="I2974">
        <v>212.92959999999999</v>
      </c>
      <c r="J2974">
        <v>-459.1995</v>
      </c>
      <c r="K2974">
        <v>1.1099220000000001</v>
      </c>
      <c r="L2974">
        <v>212.78659999999999</v>
      </c>
      <c r="M2974">
        <v>0.99840700000000004</v>
      </c>
      <c r="N2974">
        <v>0</v>
      </c>
      <c r="O2974">
        <v>-5.5974950000000002E-2</v>
      </c>
      <c r="P2974">
        <v>0.99020240000000004</v>
      </c>
      <c r="Q2974">
        <v>-4.1809600000000002E-2</v>
      </c>
      <c r="R2974">
        <v>-0.13323409999999999</v>
      </c>
      <c r="S2974">
        <v>3.0241090000000002</v>
      </c>
      <c r="T2974">
        <v>-0.24456059999999999</v>
      </c>
      <c r="U2974">
        <v>3.0197140000000001E-2</v>
      </c>
      <c r="V2974">
        <v>7.7639650000000004E-2</v>
      </c>
      <c r="W2974">
        <v>-3.4634140000000001E-2</v>
      </c>
      <c r="X2974">
        <v>0.99637969999999998</v>
      </c>
      <c r="Y2974">
        <v>-6.5546270000000004E-2</v>
      </c>
      <c r="Z2974">
        <v>7.1638639999999998E-3</v>
      </c>
      <c r="AA2974">
        <v>0.99782380000000004</v>
      </c>
      <c r="AB2974">
        <v>13</v>
      </c>
      <c r="AC2974">
        <v>13.588399999999901</v>
      </c>
      <c r="AD2974">
        <v>-1.10992047707799</v>
      </c>
      <c r="AE2974">
        <v>0.14299999999999999</v>
      </c>
      <c r="AF2974">
        <v>-0.89741813046091001</v>
      </c>
      <c r="AG2974">
        <v>-1.10992047707799</v>
      </c>
      <c r="AH2974">
        <v>13.4692351223836</v>
      </c>
      <c r="AI2974">
        <v>94.700390288924396</v>
      </c>
      <c r="AJ2974">
        <v>93.811826559482</v>
      </c>
      <c r="AK2974">
        <v>13.5446512523715</v>
      </c>
      <c r="AL2974">
        <v>91.984787037958398</v>
      </c>
      <c r="AM2974">
        <v>85.544415835457997</v>
      </c>
      <c r="AN2974">
        <v>0.99999997273887498</v>
      </c>
    </row>
    <row r="2975" spans="1:40" x14ac:dyDescent="0.25">
      <c r="A2975" t="str">
        <f>"20190312161326846"</f>
        <v>20190312161326846</v>
      </c>
      <c r="B2975" t="str">
        <f>"1552378406838714"</f>
        <v>1552378406838714</v>
      </c>
      <c r="C2975" t="s">
        <v>40</v>
      </c>
      <c r="D2975">
        <v>5.4173439999999999</v>
      </c>
      <c r="E2975">
        <v>0.45134400000000002</v>
      </c>
      <c r="F2975" t="s">
        <v>69</v>
      </c>
      <c r="G2975">
        <v>-441.88240000000002</v>
      </c>
      <c r="H2975" s="1">
        <v>-4.5622559999999998E-7</v>
      </c>
      <c r="I2975">
        <v>212.8124</v>
      </c>
      <c r="J2975">
        <v>-459.0779</v>
      </c>
      <c r="K2975">
        <v>1.10991</v>
      </c>
      <c r="L2975">
        <v>212.78149999999999</v>
      </c>
      <c r="M2975">
        <v>0.99848879999999995</v>
      </c>
      <c r="N2975">
        <v>0</v>
      </c>
      <c r="O2975">
        <v>-5.450758E-2</v>
      </c>
      <c r="P2975">
        <v>0.99029310000000004</v>
      </c>
      <c r="Q2975">
        <v>-4.2163180000000001E-2</v>
      </c>
      <c r="R2975">
        <v>-0.13244790000000001</v>
      </c>
      <c r="S2975">
        <v>3.0221559999999998</v>
      </c>
      <c r="T2975">
        <v>-0.19370219999999999</v>
      </c>
      <c r="U2975">
        <v>4.5013429999999997E-3</v>
      </c>
      <c r="V2975">
        <v>7.8313709999999995E-2</v>
      </c>
      <c r="W2975">
        <v>-3.5055900000000001E-2</v>
      </c>
      <c r="X2975">
        <v>0.99631219999999998</v>
      </c>
      <c r="Y2975">
        <v>-5.5769880000000001E-2</v>
      </c>
      <c r="Z2975">
        <v>5.2742759999999996E-3</v>
      </c>
      <c r="AA2975">
        <v>0.99842969999999998</v>
      </c>
      <c r="AB2975">
        <v>13</v>
      </c>
      <c r="AC2975">
        <v>17.1954999999999</v>
      </c>
      <c r="AD2975">
        <v>-1.1099104562255999</v>
      </c>
      <c r="AE2975">
        <v>3.0900000000002498E-2</v>
      </c>
      <c r="AF2975">
        <v>-0.96414526946479895</v>
      </c>
      <c r="AG2975">
        <v>-1.1099104562255999</v>
      </c>
      <c r="AH2975">
        <v>17.097020460845201</v>
      </c>
      <c r="AI2975">
        <v>93.7084602367554</v>
      </c>
      <c r="AJ2975">
        <v>93.227638883323607</v>
      </c>
      <c r="AK2975">
        <v>17.160116140633399</v>
      </c>
      <c r="AL2975">
        <v>92.008966782726901</v>
      </c>
      <c r="AM2975">
        <v>85.505587441390105</v>
      </c>
      <c r="AN2975">
        <v>0.99999997658380602</v>
      </c>
    </row>
    <row r="2976" spans="1:40" x14ac:dyDescent="0.25">
      <c r="A2976" t="str">
        <f>"20190312161326867"</f>
        <v>20190312161326867</v>
      </c>
      <c r="B2976" t="str">
        <f>"1552378406859210"</f>
        <v>1552378406859210</v>
      </c>
      <c r="C2976" t="s">
        <v>40</v>
      </c>
      <c r="D2976">
        <v>5.3801680000000003</v>
      </c>
      <c r="E2976">
        <v>0.45247130000000002</v>
      </c>
      <c r="F2976" t="s">
        <v>69</v>
      </c>
      <c r="G2976">
        <v>-440.50319999999999</v>
      </c>
      <c r="H2976" s="1">
        <v>-1.1865490000000001E-6</v>
      </c>
      <c r="I2976">
        <v>212.7304</v>
      </c>
      <c r="J2976">
        <v>-458.95519999999999</v>
      </c>
      <c r="K2976">
        <v>1.109899</v>
      </c>
      <c r="L2976">
        <v>212.7765</v>
      </c>
      <c r="M2976">
        <v>0.99856789999999995</v>
      </c>
      <c r="N2976">
        <v>0</v>
      </c>
      <c r="O2976">
        <v>-5.3044960000000002E-2</v>
      </c>
      <c r="P2976">
        <v>0.99045159999999999</v>
      </c>
      <c r="Q2976">
        <v>-4.1707750000000002E-2</v>
      </c>
      <c r="R2976">
        <v>-0.13140160000000001</v>
      </c>
      <c r="S2976">
        <v>3.0205690000000001</v>
      </c>
      <c r="T2976">
        <v>-0.18049119999999999</v>
      </c>
      <c r="U2976">
        <v>-8.3160400000000002E-3</v>
      </c>
      <c r="V2976">
        <v>7.8718679999999999E-2</v>
      </c>
      <c r="W2976">
        <v>-3.4673199999999897E-2</v>
      </c>
      <c r="X2976">
        <v>0.99629369999999995</v>
      </c>
      <c r="Y2976">
        <v>-5.011285E-2</v>
      </c>
      <c r="Z2976">
        <v>4.6616080000000002E-3</v>
      </c>
      <c r="AA2976">
        <v>0.99873270000000003</v>
      </c>
      <c r="AB2976">
        <v>13</v>
      </c>
      <c r="AC2976">
        <v>18.452000000000002</v>
      </c>
      <c r="AD2976">
        <v>-1.1099001865489999</v>
      </c>
      <c r="AE2976">
        <v>-4.6099999999995499E-2</v>
      </c>
      <c r="AF2976">
        <v>-0.92941150063345701</v>
      </c>
      <c r="AG2976">
        <v>-1.1099001865489999</v>
      </c>
      <c r="AH2976">
        <v>18.362030756908201</v>
      </c>
      <c r="AI2976">
        <v>93.4546455559897</v>
      </c>
      <c r="AJ2976">
        <v>92.897607062534107</v>
      </c>
      <c r="AK2976">
        <v>18.419008053618299</v>
      </c>
      <c r="AL2976">
        <v>91.987026303902795</v>
      </c>
      <c r="AM2976">
        <v>85.482358690057296</v>
      </c>
      <c r="AN2976">
        <v>0.99999999901943604</v>
      </c>
    </row>
    <row r="2977" spans="1:40" x14ac:dyDescent="0.25">
      <c r="A2977" t="str">
        <f>"20190312161326888"</f>
        <v>20190312161326888</v>
      </c>
      <c r="B2977" t="str">
        <f>"1552378406879156"</f>
        <v>1552378406879156</v>
      </c>
      <c r="C2977" t="s">
        <v>40</v>
      </c>
      <c r="D2977">
        <v>5.4051130000000001</v>
      </c>
      <c r="E2977">
        <v>0.45315859999999902</v>
      </c>
      <c r="F2977" t="s">
        <v>74</v>
      </c>
      <c r="G2977">
        <v>-439.07929999999999</v>
      </c>
      <c r="H2977" s="1">
        <v>6.4126430000000004E-6</v>
      </c>
      <c r="I2977">
        <v>212.679</v>
      </c>
      <c r="J2977">
        <v>-458.8306</v>
      </c>
      <c r="K2977">
        <v>1.1098920000000001</v>
      </c>
      <c r="L2977">
        <v>212.77160000000001</v>
      </c>
      <c r="M2977">
        <v>0.99864520000000001</v>
      </c>
      <c r="N2977">
        <v>0</v>
      </c>
      <c r="O2977">
        <v>-5.1578739999999998E-2</v>
      </c>
      <c r="P2977">
        <v>0.99066419999999999</v>
      </c>
      <c r="Q2977">
        <v>-4.1222950000000001E-2</v>
      </c>
      <c r="R2977">
        <v>-0.12994349999999999</v>
      </c>
      <c r="S2977">
        <v>3.0198360000000002</v>
      </c>
      <c r="T2977">
        <v>-0.168631</v>
      </c>
      <c r="U2977">
        <v>-1.4816279999999999E-2</v>
      </c>
      <c r="V2977">
        <v>7.8713500000000006E-2</v>
      </c>
      <c r="W2977">
        <v>-3.426477E-2</v>
      </c>
      <c r="X2977">
        <v>0.99630830000000004</v>
      </c>
      <c r="Y2977">
        <v>-4.652684E-2</v>
      </c>
      <c r="Z2977">
        <v>4.175008E-3</v>
      </c>
      <c r="AA2977">
        <v>0.99890829999999997</v>
      </c>
      <c r="AB2977">
        <v>13</v>
      </c>
      <c r="AC2977">
        <v>19.751300000000001</v>
      </c>
      <c r="AD2977">
        <v>-1.1098855873569999</v>
      </c>
      <c r="AE2977">
        <v>-9.2600000000004401E-2</v>
      </c>
      <c r="AF2977">
        <v>-0.92337892389737497</v>
      </c>
      <c r="AG2977">
        <v>-1.1098855873569999</v>
      </c>
      <c r="AH2977">
        <v>19.667682268940599</v>
      </c>
      <c r="AI2977">
        <v>93.226340365299507</v>
      </c>
      <c r="AJ2977">
        <v>92.688008379191501</v>
      </c>
      <c r="AK2977">
        <v>19.720603451368401</v>
      </c>
      <c r="AL2977">
        <v>91.9636109563953</v>
      </c>
      <c r="AM2977">
        <v>85.482720661873998</v>
      </c>
      <c r="AN2977">
        <v>1.0000000590971401</v>
      </c>
    </row>
    <row r="2978" spans="1:40" x14ac:dyDescent="0.25">
      <c r="A2978" t="str">
        <f>"20190312161326911"</f>
        <v>20190312161326911</v>
      </c>
      <c r="B2978" t="str">
        <f>"1552378406898677"</f>
        <v>1552378406898677</v>
      </c>
      <c r="C2978" t="s">
        <v>40</v>
      </c>
      <c r="D2978">
        <v>5.3949030000000002</v>
      </c>
      <c r="E2978">
        <v>0.45384740000000001</v>
      </c>
      <c r="F2978" t="s">
        <v>74</v>
      </c>
      <c r="G2978">
        <v>-437.81900000000002</v>
      </c>
      <c r="H2978" s="1">
        <v>5.85564899999999E-6</v>
      </c>
      <c r="I2978">
        <v>212.65729999999999</v>
      </c>
      <c r="J2978">
        <v>-458.7</v>
      </c>
      <c r="K2978">
        <v>1.1098840000000001</v>
      </c>
      <c r="L2978">
        <v>212.76660000000001</v>
      </c>
      <c r="M2978">
        <v>0.99872289999999997</v>
      </c>
      <c r="N2978">
        <v>0</v>
      </c>
      <c r="O2978">
        <v>-5.0065190000000002E-2</v>
      </c>
      <c r="P2978">
        <v>0.99086569999999996</v>
      </c>
      <c r="Q2978">
        <v>-4.1078440000000001E-2</v>
      </c>
      <c r="R2978">
        <v>-0.12844449999999999</v>
      </c>
      <c r="S2978">
        <v>3.0194700000000001</v>
      </c>
      <c r="T2978">
        <v>-0.1594961</v>
      </c>
      <c r="U2978">
        <v>-1.6418459999999999E-2</v>
      </c>
      <c r="V2978">
        <v>7.8715670000000001E-2</v>
      </c>
      <c r="W2978">
        <v>-3.4198190000000003E-2</v>
      </c>
      <c r="X2978">
        <v>0.99631040000000004</v>
      </c>
      <c r="Y2978">
        <v>-4.4503189999999998E-2</v>
      </c>
      <c r="Z2978">
        <v>3.8164090000000002E-3</v>
      </c>
      <c r="AA2978">
        <v>0.99900199999999995</v>
      </c>
      <c r="AB2978">
        <v>13</v>
      </c>
      <c r="AC2978">
        <v>20.880999999999901</v>
      </c>
      <c r="AD2978">
        <v>-1.109878144351</v>
      </c>
      <c r="AE2978">
        <v>-0.10930000000001799</v>
      </c>
      <c r="AF2978">
        <v>-0.93363474993130802</v>
      </c>
      <c r="AG2978">
        <v>-1.109878144351</v>
      </c>
      <c r="AH2978">
        <v>20.801518589871002</v>
      </c>
      <c r="AI2978">
        <v>93.051090607108605</v>
      </c>
      <c r="AJ2978">
        <v>92.569882261517407</v>
      </c>
      <c r="AK2978">
        <v>20.8520185830134</v>
      </c>
      <c r="AL2978">
        <v>91.959793998110996</v>
      </c>
      <c r="AM2978">
        <v>85.482606125724899</v>
      </c>
      <c r="AN2978">
        <v>1.0000000430254901</v>
      </c>
    </row>
    <row r="2979" spans="1:40" x14ac:dyDescent="0.25">
      <c r="A2979" t="str">
        <f>"20190312161326933"</f>
        <v>20190312161326933</v>
      </c>
      <c r="B2979" t="str">
        <f>"1552378406928933"</f>
        <v>1552378406928933</v>
      </c>
      <c r="C2979" t="s">
        <v>40</v>
      </c>
      <c r="D2979">
        <v>5.4091509999999996</v>
      </c>
      <c r="E2979">
        <v>0.45485110000000001</v>
      </c>
      <c r="F2979" t="s">
        <v>74</v>
      </c>
      <c r="G2979">
        <v>-436.71800000000002</v>
      </c>
      <c r="H2979" s="1">
        <v>5.3690669999999997E-6</v>
      </c>
      <c r="I2979">
        <v>212.63829999999999</v>
      </c>
      <c r="J2979">
        <v>-458.56700000000001</v>
      </c>
      <c r="K2979">
        <v>1.1098730000000001</v>
      </c>
      <c r="L2979">
        <v>212.76169999999999</v>
      </c>
      <c r="M2979">
        <v>0.99879859999999998</v>
      </c>
      <c r="N2979">
        <v>0</v>
      </c>
      <c r="O2979">
        <v>-4.8540069999999998E-2</v>
      </c>
      <c r="P2979">
        <v>0.99102619999999997</v>
      </c>
      <c r="Q2979">
        <v>-4.1167540000000002E-2</v>
      </c>
      <c r="R2979">
        <v>-0.12717200000000001</v>
      </c>
      <c r="S2979">
        <v>3.0190730000000001</v>
      </c>
      <c r="T2979">
        <v>-0.15243380000000001</v>
      </c>
      <c r="U2979">
        <v>-1.7623900000000001E-2</v>
      </c>
      <c r="V2979">
        <v>7.8958200000000006E-2</v>
      </c>
      <c r="W2979">
        <v>-3.436049E-2</v>
      </c>
      <c r="X2979">
        <v>0.99628559999999999</v>
      </c>
      <c r="Y2979">
        <v>-4.2593779999999998E-2</v>
      </c>
      <c r="Z2979">
        <v>3.523057E-3</v>
      </c>
      <c r="AA2979">
        <v>0.99908629999999998</v>
      </c>
      <c r="AB2979">
        <v>13</v>
      </c>
      <c r="AC2979">
        <v>21.848999999999901</v>
      </c>
      <c r="AD2979">
        <v>-1.10986763093299</v>
      </c>
      <c r="AE2979">
        <v>-0.12340000000000299</v>
      </c>
      <c r="AF2979">
        <v>-0.93490911519241804</v>
      </c>
      <c r="AG2979">
        <v>-1.10986763093299</v>
      </c>
      <c r="AH2979">
        <v>21.773053613894799</v>
      </c>
      <c r="AI2979">
        <v>92.915408661638295</v>
      </c>
      <c r="AJ2979">
        <v>92.458702532552493</v>
      </c>
      <c r="AK2979">
        <v>21.821359372995101</v>
      </c>
      <c r="AL2979">
        <v>91.969098619049802</v>
      </c>
      <c r="AM2979">
        <v>85.468633182324297</v>
      </c>
      <c r="AN2979">
        <v>1.0000000186938101</v>
      </c>
    </row>
    <row r="2980" spans="1:40" x14ac:dyDescent="0.25">
      <c r="A2980" t="str">
        <f>"20190312161326954"</f>
        <v>20190312161326954</v>
      </c>
      <c r="B2980" t="str">
        <f>"1552378406948452"</f>
        <v>1552378406948452</v>
      </c>
      <c r="C2980" t="s">
        <v>40</v>
      </c>
      <c r="D2980">
        <v>5.425948</v>
      </c>
      <c r="E2980">
        <v>0.45548090000000002</v>
      </c>
      <c r="F2980" t="s">
        <v>74</v>
      </c>
      <c r="G2980">
        <v>-435.4384</v>
      </c>
      <c r="H2980" s="1">
        <v>4.8057490000000003E-6</v>
      </c>
      <c r="I2980">
        <v>212.59100000000001</v>
      </c>
      <c r="J2980">
        <v>-458.44459999999998</v>
      </c>
      <c r="K2980">
        <v>1.1098709999999901</v>
      </c>
      <c r="L2980">
        <v>212.75739999999999</v>
      </c>
      <c r="M2980">
        <v>0.99886549999999996</v>
      </c>
      <c r="N2980">
        <v>0</v>
      </c>
      <c r="O2980">
        <v>-4.7150280000000003E-2</v>
      </c>
      <c r="P2980">
        <v>0.99123559999999999</v>
      </c>
      <c r="Q2980">
        <v>-4.0816070000000003E-2</v>
      </c>
      <c r="R2980">
        <v>-0.12564420000000001</v>
      </c>
      <c r="S2980">
        <v>3.0182799999999999</v>
      </c>
      <c r="T2980">
        <v>-0.14483770000000001</v>
      </c>
      <c r="U2980">
        <v>-2.2277829999999998E-2</v>
      </c>
      <c r="V2980">
        <v>7.8808039999999996E-2</v>
      </c>
      <c r="W2980">
        <v>-3.4070830000000003E-2</v>
      </c>
      <c r="X2980">
        <v>0.99630739999999995</v>
      </c>
      <c r="Y2980">
        <v>-3.9677610000000002E-2</v>
      </c>
      <c r="Z2980">
        <v>3.2120249999999999E-3</v>
      </c>
      <c r="AA2980">
        <v>0.99920739999999997</v>
      </c>
      <c r="AB2980">
        <v>13</v>
      </c>
      <c r="AC2980">
        <v>23.0061999999999</v>
      </c>
      <c r="AD2980">
        <v>-1.10986619425099</v>
      </c>
      <c r="AE2980">
        <v>-0.16640000000001001</v>
      </c>
      <c r="AF2980">
        <v>-0.91642533939619397</v>
      </c>
      <c r="AG2980">
        <v>-1.10986619425099</v>
      </c>
      <c r="AH2980">
        <v>22.935083590632399</v>
      </c>
      <c r="AI2980">
        <v>92.768269637299397</v>
      </c>
      <c r="AJ2980">
        <v>92.2881707187925</v>
      </c>
      <c r="AK2980">
        <v>22.980202298524802</v>
      </c>
      <c r="AL2980">
        <v>91.952492672284293</v>
      </c>
      <c r="AM2980">
        <v>85.477313544598601</v>
      </c>
      <c r="AN2980">
        <v>0.99999998196014495</v>
      </c>
    </row>
    <row r="2981" spans="1:40" x14ac:dyDescent="0.25">
      <c r="A2981" t="str">
        <f>"20190312161326978"</f>
        <v>20190312161326978</v>
      </c>
      <c r="B2981" t="str">
        <f>"1552378406968949"</f>
        <v>1552378406968949</v>
      </c>
      <c r="C2981" t="s">
        <v>40</v>
      </c>
      <c r="D2981">
        <v>5.4192090000000004</v>
      </c>
      <c r="E2981">
        <v>0.45590439999999999</v>
      </c>
      <c r="F2981" t="s">
        <v>74</v>
      </c>
      <c r="G2981">
        <v>-434.46230000000003</v>
      </c>
      <c r="H2981" s="1">
        <v>4.3741780000000002E-6</v>
      </c>
      <c r="I2981">
        <v>212.5762</v>
      </c>
      <c r="J2981">
        <v>-458.30669999999998</v>
      </c>
      <c r="K2981">
        <v>1.1098709999999901</v>
      </c>
      <c r="L2981">
        <v>212.7527</v>
      </c>
      <c r="M2981">
        <v>0.9989382</v>
      </c>
      <c r="N2981">
        <v>0</v>
      </c>
      <c r="O2981">
        <v>-4.5596780000000003E-2</v>
      </c>
      <c r="P2981">
        <v>0.99151739999999999</v>
      </c>
      <c r="Q2981">
        <v>-4.0150579999999998E-2</v>
      </c>
      <c r="R2981">
        <v>-0.12361900000000001</v>
      </c>
      <c r="S2981">
        <v>3.0178530000000001</v>
      </c>
      <c r="T2981">
        <v>-0.1396617</v>
      </c>
      <c r="U2981">
        <v>-2.2796629999999998E-2</v>
      </c>
      <c r="V2981">
        <v>7.8320639999999997E-2</v>
      </c>
      <c r="W2981">
        <v>-3.347203E-2</v>
      </c>
      <c r="X2981">
        <v>0.99636610000000003</v>
      </c>
      <c r="Y2981">
        <v>-3.7961229999999999E-2</v>
      </c>
      <c r="Z2981">
        <v>2.9863099999999998E-3</v>
      </c>
      <c r="AA2981">
        <v>0.99927469999999996</v>
      </c>
      <c r="AB2981">
        <v>13</v>
      </c>
      <c r="AC2981">
        <v>23.844399999999901</v>
      </c>
      <c r="AD2981">
        <v>-1.10986662582199</v>
      </c>
      <c r="AE2981">
        <v>-0.17650000000000399</v>
      </c>
      <c r="AF2981">
        <v>-0.90896582674071502</v>
      </c>
      <c r="AG2981">
        <v>-1.10986662582199</v>
      </c>
      <c r="AH2981">
        <v>23.7761376105449</v>
      </c>
      <c r="AI2981">
        <v>92.670670400184704</v>
      </c>
      <c r="AJ2981">
        <v>92.189361294917504</v>
      </c>
      <c r="AK2981">
        <v>23.819377457794001</v>
      </c>
      <c r="AL2981">
        <v>91.9181644337649</v>
      </c>
      <c r="AM2981">
        <v>85.505433516825704</v>
      </c>
      <c r="AN2981">
        <v>0.99999995233576899</v>
      </c>
    </row>
    <row r="2982" spans="1:40" x14ac:dyDescent="0.25">
      <c r="A2982" t="str">
        <f>"20190312161327002"</f>
        <v>20190312161327002</v>
      </c>
      <c r="B2982" t="str">
        <f>"1552378406998735"</f>
        <v>1552378406998735</v>
      </c>
      <c r="C2982" t="s">
        <v>40</v>
      </c>
      <c r="D2982">
        <v>5.4542950000000001</v>
      </c>
      <c r="E2982">
        <v>0.45660669999999998</v>
      </c>
      <c r="F2982" t="s">
        <v>74</v>
      </c>
      <c r="G2982">
        <v>-433.18169999999998</v>
      </c>
      <c r="H2982" s="1">
        <v>3.8057319999999999E-6</v>
      </c>
      <c r="I2982">
        <v>212.58260000000001</v>
      </c>
      <c r="J2982">
        <v>-458.15719999999999</v>
      </c>
      <c r="K2982">
        <v>1.1098669999999999</v>
      </c>
      <c r="L2982">
        <v>212.74789999999999</v>
      </c>
      <c r="M2982">
        <v>0.99901340000000005</v>
      </c>
      <c r="N2982">
        <v>0</v>
      </c>
      <c r="O2982">
        <v>-4.392596E-2</v>
      </c>
      <c r="P2982">
        <v>0.99183410000000005</v>
      </c>
      <c r="Q2982">
        <v>-3.944342E-2</v>
      </c>
      <c r="R2982">
        <v>-0.121282399999999</v>
      </c>
      <c r="S2982">
        <v>3.0177309999999999</v>
      </c>
      <c r="T2982">
        <v>-0.1333047</v>
      </c>
      <c r="U2982">
        <v>-2.0431520000000002E-2</v>
      </c>
      <c r="V2982">
        <v>7.763842E-2</v>
      </c>
      <c r="W2982">
        <v>-3.2836589999999999E-2</v>
      </c>
      <c r="X2982">
        <v>0.99644069999999996</v>
      </c>
      <c r="Y2982">
        <v>-3.7083129999999999E-2</v>
      </c>
      <c r="Z2982">
        <v>2.7575540000000002E-3</v>
      </c>
      <c r="AA2982">
        <v>0.99930839999999999</v>
      </c>
      <c r="AB2982">
        <v>13</v>
      </c>
      <c r="AC2982">
        <v>24.9755</v>
      </c>
      <c r="AD2982">
        <v>-1.109863194268</v>
      </c>
      <c r="AE2982">
        <v>-0.165299999999973</v>
      </c>
      <c r="AF2982">
        <v>-0.93011914797237905</v>
      </c>
      <c r="AG2982">
        <v>-1.109863194268</v>
      </c>
      <c r="AH2982">
        <v>24.909465832252199</v>
      </c>
      <c r="AI2982">
        <v>92.549402284920703</v>
      </c>
      <c r="AJ2982">
        <v>92.138430218913797</v>
      </c>
      <c r="AK2982">
        <v>24.951521115706701</v>
      </c>
      <c r="AL2982">
        <v>91.881736252548194</v>
      </c>
      <c r="AM2982">
        <v>85.544757797469501</v>
      </c>
      <c r="AN2982">
        <v>1.0000000172596999</v>
      </c>
    </row>
    <row r="2983" spans="1:40" x14ac:dyDescent="0.25">
      <c r="A2983" t="str">
        <f>"20190312161327025"</f>
        <v>20190312161327025</v>
      </c>
      <c r="B2983" t="str">
        <f>"1552378407018255"</f>
        <v>1552378407018255</v>
      </c>
      <c r="C2983" t="s">
        <v>40</v>
      </c>
      <c r="D2983">
        <v>5.4794830000000001</v>
      </c>
      <c r="E2983">
        <v>0.45704129999999898</v>
      </c>
      <c r="F2983" t="s">
        <v>74</v>
      </c>
      <c r="G2983">
        <v>-431.52050000000003</v>
      </c>
      <c r="H2983" s="1">
        <v>3.0693699999999998E-6</v>
      </c>
      <c r="I2983">
        <v>212.57910000000001</v>
      </c>
      <c r="J2983">
        <v>-458.02550000000002</v>
      </c>
      <c r="K2983">
        <v>1.109864</v>
      </c>
      <c r="L2983">
        <v>212.74379999999999</v>
      </c>
      <c r="M2983">
        <v>0.9990772</v>
      </c>
      <c r="N2983">
        <v>0</v>
      </c>
      <c r="O2983">
        <v>-4.2463679999999997E-2</v>
      </c>
      <c r="P2983">
        <v>0.99209999999999998</v>
      </c>
      <c r="Q2983">
        <v>-3.9895920000000001E-2</v>
      </c>
      <c r="R2983">
        <v>-0.1189374</v>
      </c>
      <c r="S2983">
        <v>3.0173649999999999</v>
      </c>
      <c r="T2983">
        <v>-0.12572359999999999</v>
      </c>
      <c r="U2983">
        <v>-1.9119259999999999E-2</v>
      </c>
      <c r="V2983">
        <v>7.6743420000000007E-2</v>
      </c>
      <c r="W2983">
        <v>-3.3353149999999998E-2</v>
      </c>
      <c r="X2983">
        <v>0.99649290000000001</v>
      </c>
      <c r="Y2983">
        <v>-3.6065020000000003E-2</v>
      </c>
      <c r="Z2983">
        <v>2.5191359999999999E-3</v>
      </c>
      <c r="AA2983">
        <v>0.99934630000000002</v>
      </c>
      <c r="AB2983">
        <v>13</v>
      </c>
      <c r="AC2983">
        <v>26.5049999999999</v>
      </c>
      <c r="AD2983">
        <v>-1.10986093063</v>
      </c>
      <c r="AE2983">
        <v>-0.164699999999982</v>
      </c>
      <c r="AF2983">
        <v>-0.95928984860524802</v>
      </c>
      <c r="AG2983">
        <v>-1.10986093063</v>
      </c>
      <c r="AH2983">
        <v>26.441724520494599</v>
      </c>
      <c r="AI2983">
        <v>92.401935171773502</v>
      </c>
      <c r="AJ2983">
        <v>92.077745138002001</v>
      </c>
      <c r="AK2983">
        <v>26.482387050957101</v>
      </c>
      <c r="AL2983">
        <v>91.911349133613399</v>
      </c>
      <c r="AM2983">
        <v>85.596143492765705</v>
      </c>
      <c r="AN2983">
        <v>1.0000000424393101</v>
      </c>
    </row>
    <row r="2984" spans="1:40" x14ac:dyDescent="0.25">
      <c r="A2984" t="str">
        <f>"20190312161327048"</f>
        <v>20190312161327048</v>
      </c>
      <c r="B2984" t="str">
        <f>"1552378407038751"</f>
        <v>1552378407038751</v>
      </c>
      <c r="C2984" t="s">
        <v>40</v>
      </c>
      <c r="D2984">
        <v>5.4589889999999999</v>
      </c>
      <c r="E2984">
        <v>0.45747100000000002</v>
      </c>
      <c r="F2984" t="s">
        <v>74</v>
      </c>
      <c r="G2984">
        <v>-431.50189999999998</v>
      </c>
      <c r="H2984" s="1">
        <v>3.0587839999999998E-6</v>
      </c>
      <c r="I2984">
        <v>212.60570000000001</v>
      </c>
      <c r="J2984">
        <v>-457.88279999999997</v>
      </c>
      <c r="K2984">
        <v>1.109855</v>
      </c>
      <c r="L2984">
        <v>212.73949999999999</v>
      </c>
      <c r="M2984">
        <v>0.99914309999999995</v>
      </c>
      <c r="N2984">
        <v>0</v>
      </c>
      <c r="O2984">
        <v>-4.0893020000000002E-2</v>
      </c>
      <c r="P2984">
        <v>0.99232279999999995</v>
      </c>
      <c r="Q2984">
        <v>-4.033834E-2</v>
      </c>
      <c r="R2984">
        <v>-0.1169119</v>
      </c>
      <c r="S2984">
        <v>3.016937</v>
      </c>
      <c r="T2984">
        <v>-0.12624179999999999</v>
      </c>
      <c r="U2984">
        <v>-1.570129E-2</v>
      </c>
      <c r="V2984">
        <v>7.6277699999999907E-2</v>
      </c>
      <c r="W2984">
        <v>-3.386277E-2</v>
      </c>
      <c r="X2984">
        <v>0.99651140000000005</v>
      </c>
      <c r="Y2984">
        <v>-3.5626409999999997E-2</v>
      </c>
      <c r="Z2984">
        <v>2.4550650000000002E-3</v>
      </c>
      <c r="AA2984">
        <v>0.99936219999999998</v>
      </c>
      <c r="AB2984">
        <v>14</v>
      </c>
      <c r="AC2984">
        <v>26.3809</v>
      </c>
      <c r="AD2984">
        <v>-1.1098519412159999</v>
      </c>
      <c r="AE2984">
        <v>-0.13379999999997899</v>
      </c>
      <c r="AF2984">
        <v>-0.94345882486933197</v>
      </c>
      <c r="AG2984">
        <v>-1.1098519412159999</v>
      </c>
      <c r="AH2984">
        <v>26.317725107494802</v>
      </c>
      <c r="AI2984">
        <v>92.413256715601804</v>
      </c>
      <c r="AJ2984">
        <v>92.053105650083197</v>
      </c>
      <c r="AK2984">
        <v>26.358007146203398</v>
      </c>
      <c r="AL2984">
        <v>91.940564847667304</v>
      </c>
      <c r="AM2984">
        <v>85.622845208106398</v>
      </c>
      <c r="AN2984">
        <v>0.999999972519661</v>
      </c>
    </row>
    <row r="2985" spans="1:40" x14ac:dyDescent="0.25">
      <c r="A2985" t="str">
        <f>"20190312161327069"</f>
        <v>20190312161327069</v>
      </c>
      <c r="B2985" t="str">
        <f>"1552378407058272"</f>
        <v>1552378407058272</v>
      </c>
      <c r="C2985" t="s">
        <v>40</v>
      </c>
      <c r="D2985">
        <v>5.5123329999999999</v>
      </c>
      <c r="E2985">
        <v>0.4579569</v>
      </c>
      <c r="F2985" t="s">
        <v>74</v>
      </c>
      <c r="G2985">
        <v>-431.24489999999997</v>
      </c>
      <c r="H2985" s="1">
        <v>2.9431440000000002E-6</v>
      </c>
      <c r="I2985">
        <v>212.6251</v>
      </c>
      <c r="J2985">
        <v>-457.75259999999997</v>
      </c>
      <c r="K2985">
        <v>1.1098509999999999</v>
      </c>
      <c r="L2985">
        <v>212.73589999999999</v>
      </c>
      <c r="M2985">
        <v>0.99920059999999999</v>
      </c>
      <c r="N2985">
        <v>0</v>
      </c>
      <c r="O2985">
        <v>-3.947237E-2</v>
      </c>
      <c r="P2985">
        <v>0.99254439999999999</v>
      </c>
      <c r="Q2985">
        <v>-4.0338100000000002E-2</v>
      </c>
      <c r="R2985">
        <v>-0.1150162</v>
      </c>
      <c r="S2985">
        <v>3.016632</v>
      </c>
      <c r="T2985">
        <v>-0.1256862</v>
      </c>
      <c r="U2985">
        <v>-1.2954709999999999E-2</v>
      </c>
      <c r="V2985">
        <v>7.5791699999999906E-2</v>
      </c>
      <c r="W2985">
        <v>-3.3922710000000002E-2</v>
      </c>
      <c r="X2985">
        <v>0.99654640000000005</v>
      </c>
      <c r="Y2985">
        <v>-3.5117059999999999E-2</v>
      </c>
      <c r="Z2985">
        <v>2.3747949999999999E-3</v>
      </c>
      <c r="AA2985">
        <v>0.99938039999999995</v>
      </c>
      <c r="AB2985">
        <v>14</v>
      </c>
      <c r="AC2985">
        <v>26.5077</v>
      </c>
      <c r="AD2985">
        <v>-1.1098480568560001</v>
      </c>
      <c r="AE2985">
        <v>-0.110799999999983</v>
      </c>
      <c r="AF2985">
        <v>-0.93399180906461299</v>
      </c>
      <c r="AG2985">
        <v>-1.1098480568560001</v>
      </c>
      <c r="AH2985">
        <v>26.445056862240499</v>
      </c>
      <c r="AI2985">
        <v>92.401687470906893</v>
      </c>
      <c r="AJ2985">
        <v>92.0227430435842</v>
      </c>
      <c r="AK2985">
        <v>26.484809530291901</v>
      </c>
      <c r="AL2985">
        <v>91.944001214291106</v>
      </c>
      <c r="AM2985">
        <v>85.650778869687002</v>
      </c>
      <c r="AN2985">
        <v>0.99999992969779405</v>
      </c>
    </row>
    <row r="2986" spans="1:40" x14ac:dyDescent="0.25">
      <c r="A2986" t="str">
        <f>"20190312161327090"</f>
        <v>20190312161327090</v>
      </c>
      <c r="B2986" t="str">
        <f>"1552378407079275"</f>
        <v>1552378407079275</v>
      </c>
      <c r="C2986" t="s">
        <v>40</v>
      </c>
      <c r="D2986">
        <v>5.4702060000000001</v>
      </c>
      <c r="E2986">
        <v>0.45842670000000002</v>
      </c>
      <c r="F2986" t="s">
        <v>74</v>
      </c>
      <c r="G2986">
        <v>-430.7559</v>
      </c>
      <c r="H2986" s="1">
        <v>2.7252140000000001E-6</v>
      </c>
      <c r="I2986">
        <v>212.6371</v>
      </c>
      <c r="J2986">
        <v>-457.61790000000002</v>
      </c>
      <c r="K2986">
        <v>1.1098399999999999</v>
      </c>
      <c r="L2986">
        <v>212.73230000000001</v>
      </c>
      <c r="M2986">
        <v>0.99925739999999996</v>
      </c>
      <c r="N2986">
        <v>0</v>
      </c>
      <c r="O2986">
        <v>-3.8019909999999997E-2</v>
      </c>
      <c r="P2986">
        <v>0.99280860000000004</v>
      </c>
      <c r="Q2986">
        <v>-3.9908590000000001E-2</v>
      </c>
      <c r="R2986">
        <v>-0.1128653</v>
      </c>
      <c r="S2986">
        <v>3.0162049999999998</v>
      </c>
      <c r="T2986">
        <v>-0.12399739999999999</v>
      </c>
      <c r="U2986">
        <v>-1.10321E-2</v>
      </c>
      <c r="V2986">
        <v>7.5079839999999995E-2</v>
      </c>
      <c r="W2986">
        <v>-3.3555340000000003E-2</v>
      </c>
      <c r="X2986">
        <v>0.99661279999999997</v>
      </c>
      <c r="Y2986">
        <v>-3.4304380000000002E-2</v>
      </c>
      <c r="Z2986">
        <v>2.2669040000000001E-3</v>
      </c>
      <c r="AA2986">
        <v>0.99940879999999999</v>
      </c>
      <c r="AB2986">
        <v>14</v>
      </c>
      <c r="AC2986">
        <v>26.861999999999998</v>
      </c>
      <c r="AD2986">
        <v>-1.1098372747859999</v>
      </c>
      <c r="AE2986">
        <v>-9.5200000000005502E-2</v>
      </c>
      <c r="AF2986">
        <v>-0.92460133593733096</v>
      </c>
      <c r="AG2986">
        <v>-1.1098372747859999</v>
      </c>
      <c r="AH2986">
        <v>26.8004484161672</v>
      </c>
      <c r="AI2986">
        <v>92.369920649322793</v>
      </c>
      <c r="AJ2986">
        <v>91.975890513754905</v>
      </c>
      <c r="AK2986">
        <v>26.8393491298608</v>
      </c>
      <c r="AL2986">
        <v>91.922940320851794</v>
      </c>
      <c r="AM2986">
        <v>85.691759584400998</v>
      </c>
      <c r="AN2986">
        <v>1.0000000081703899</v>
      </c>
    </row>
    <row r="2987" spans="1:40" x14ac:dyDescent="0.25">
      <c r="A2987" t="str">
        <f>"20190312161327113"</f>
        <v>20190312161327113</v>
      </c>
      <c r="B2987" t="str">
        <f>"1552378407108555"</f>
        <v>1552378407108555</v>
      </c>
      <c r="C2987" t="s">
        <v>40</v>
      </c>
      <c r="D2987">
        <v>5.4643969999999999</v>
      </c>
      <c r="E2987">
        <v>0.45914120000000003</v>
      </c>
      <c r="F2987" t="s">
        <v>74</v>
      </c>
      <c r="G2987">
        <v>-430.3365</v>
      </c>
      <c r="H2987" s="1">
        <v>2.537575E-6</v>
      </c>
      <c r="I2987">
        <v>212.65629999999999</v>
      </c>
      <c r="J2987">
        <v>-457.47649999999999</v>
      </c>
      <c r="K2987">
        <v>1.109836</v>
      </c>
      <c r="L2987">
        <v>212.7286</v>
      </c>
      <c r="M2987">
        <v>0.99931409999999998</v>
      </c>
      <c r="N2987">
        <v>0</v>
      </c>
      <c r="O2987">
        <v>-3.6512259999999998E-2</v>
      </c>
      <c r="P2987">
        <v>0.99314460000000004</v>
      </c>
      <c r="Q2987">
        <v>-3.8831230000000001E-2</v>
      </c>
      <c r="R2987">
        <v>-0.1102552</v>
      </c>
      <c r="S2987">
        <v>3.0158689999999999</v>
      </c>
      <c r="T2987">
        <v>-0.12268900000000001</v>
      </c>
      <c r="U2987">
        <v>-8.3923339999999996E-3</v>
      </c>
      <c r="V2987">
        <v>7.3961230000000003E-2</v>
      </c>
      <c r="W2987">
        <v>-3.254071E-2</v>
      </c>
      <c r="X2987">
        <v>0.99673009999999995</v>
      </c>
      <c r="Y2987">
        <v>-3.3673920000000003E-2</v>
      </c>
      <c r="Z2987">
        <v>2.169168E-3</v>
      </c>
      <c r="AA2987">
        <v>0.9994305</v>
      </c>
      <c r="AB2987">
        <v>14</v>
      </c>
      <c r="AC2987">
        <v>27.139999999999901</v>
      </c>
      <c r="AD2987">
        <v>-1.1098334624249999</v>
      </c>
      <c r="AE2987">
        <v>-7.2300000000012604E-2</v>
      </c>
      <c r="AF2987">
        <v>-0.91717614898451305</v>
      </c>
      <c r="AG2987">
        <v>-1.1098334624249999</v>
      </c>
      <c r="AH2987">
        <v>27.079259960142299</v>
      </c>
      <c r="AI2987">
        <v>92.345589340566406</v>
      </c>
      <c r="AJ2987">
        <v>91.939869900247899</v>
      </c>
      <c r="AK2987">
        <v>27.117508410463401</v>
      </c>
      <c r="AL2987">
        <v>91.864774495106005</v>
      </c>
      <c r="AM2987">
        <v>85.756209139297894</v>
      </c>
      <c r="AN2987">
        <v>1.0000000267982101</v>
      </c>
    </row>
    <row r="2988" spans="1:40" x14ac:dyDescent="0.25">
      <c r="A2988" t="str">
        <f>"20190312161327136"</f>
        <v>20190312161327136</v>
      </c>
      <c r="B2988" t="str">
        <f>"1552378407129052"</f>
        <v>1552378407129052</v>
      </c>
      <c r="C2988" t="s">
        <v>40</v>
      </c>
      <c r="D2988">
        <v>5.4909829999999999</v>
      </c>
      <c r="E2988">
        <v>0.45961920000000001</v>
      </c>
      <c r="F2988" t="s">
        <v>74</v>
      </c>
      <c r="G2988">
        <v>-429.57659999999998</v>
      </c>
      <c r="H2988" s="1">
        <v>2.4359050000000002E-6</v>
      </c>
      <c r="I2988">
        <v>212.6713</v>
      </c>
      <c r="J2988">
        <v>-457.32639999999998</v>
      </c>
      <c r="K2988">
        <v>1.1098239999999999</v>
      </c>
      <c r="L2988">
        <v>212.72499999999999</v>
      </c>
      <c r="M2988">
        <v>0.9993708</v>
      </c>
      <c r="N2988">
        <v>0</v>
      </c>
      <c r="O2988">
        <v>-3.493404E-2</v>
      </c>
      <c r="P2988">
        <v>0.99334100000000003</v>
      </c>
      <c r="Q2988">
        <v>-3.9668460000000003E-2</v>
      </c>
      <c r="R2988">
        <v>-0.108169</v>
      </c>
      <c r="S2988">
        <v>3.0153500000000002</v>
      </c>
      <c r="T2988">
        <v>-0.119948</v>
      </c>
      <c r="U2988">
        <v>-6.1950679999999998E-3</v>
      </c>
      <c r="V2988">
        <v>7.3444029999999993E-2</v>
      </c>
      <c r="W2988">
        <v>-3.3439299999999998E-2</v>
      </c>
      <c r="X2988">
        <v>0.99673860000000003</v>
      </c>
      <c r="Y2988">
        <v>-3.2827790000000003E-2</v>
      </c>
      <c r="Z2988">
        <v>2.041569E-3</v>
      </c>
      <c r="AA2988">
        <v>0.99945890000000004</v>
      </c>
      <c r="AB2988">
        <v>14</v>
      </c>
      <c r="AC2988">
        <v>27.7498</v>
      </c>
      <c r="AD2988">
        <v>-1.109821564095</v>
      </c>
      <c r="AE2988">
        <v>-5.3699999999991997E-2</v>
      </c>
      <c r="AF2988">
        <v>-0.91430120826542804</v>
      </c>
      <c r="AG2988">
        <v>-1.109821564095</v>
      </c>
      <c r="AH2988">
        <v>27.6904464930379</v>
      </c>
      <c r="AI2988">
        <v>92.293913775169997</v>
      </c>
      <c r="AJ2988">
        <v>91.891142326619402</v>
      </c>
      <c r="AK2988">
        <v>27.727756447057899</v>
      </c>
      <c r="AL2988">
        <v>91.916287954046993</v>
      </c>
      <c r="AM2988">
        <v>85.7858138642505</v>
      </c>
      <c r="AN2988">
        <v>1.0000000245285401</v>
      </c>
    </row>
    <row r="2989" spans="1:40" x14ac:dyDescent="0.25">
      <c r="A2989" t="str">
        <f>"20190312161327158"</f>
        <v>20190312161327158</v>
      </c>
      <c r="B2989" t="str">
        <f>"1552378407148572"</f>
        <v>1552378407148572</v>
      </c>
      <c r="C2989" t="s">
        <v>40</v>
      </c>
      <c r="D2989">
        <v>5.4684080000000002</v>
      </c>
      <c r="E2989">
        <v>0.46005620000000003</v>
      </c>
      <c r="F2989" t="s">
        <v>74</v>
      </c>
      <c r="G2989">
        <v>-429.82249999999999</v>
      </c>
      <c r="H2989" s="1">
        <v>2.390354E-6</v>
      </c>
      <c r="I2989">
        <v>212.6934</v>
      </c>
      <c r="J2989">
        <v>-457.1891</v>
      </c>
      <c r="K2989">
        <v>1.1098140000000001</v>
      </c>
      <c r="L2989">
        <v>212.7218</v>
      </c>
      <c r="M2989">
        <v>0.99941959999999996</v>
      </c>
      <c r="N2989">
        <v>0</v>
      </c>
      <c r="O2989">
        <v>-3.3516919999999999E-2</v>
      </c>
      <c r="P2989">
        <v>0.99333199999999999</v>
      </c>
      <c r="Q2989">
        <v>-4.1182129999999997E-2</v>
      </c>
      <c r="R2989">
        <v>-0.1076843</v>
      </c>
      <c r="S2989">
        <v>3.0148929999999998</v>
      </c>
      <c r="T2989">
        <v>-0.12165529999999999</v>
      </c>
      <c r="U2989">
        <v>-3.4637449999999998E-3</v>
      </c>
      <c r="V2989">
        <v>7.4374499999999996E-2</v>
      </c>
      <c r="W2989">
        <v>-3.5004239999999999E-2</v>
      </c>
      <c r="X2989">
        <v>0.99661580000000005</v>
      </c>
      <c r="Y2989">
        <v>-3.2315709999999997E-2</v>
      </c>
      <c r="Z2989">
        <v>2.003463E-3</v>
      </c>
      <c r="AA2989">
        <v>0.99947569999999997</v>
      </c>
      <c r="AB2989">
        <v>14</v>
      </c>
      <c r="AC2989">
        <v>27.366599999999998</v>
      </c>
      <c r="AD2989">
        <v>-1.10981160964599</v>
      </c>
      <c r="AE2989">
        <v>-2.84000000000048E-2</v>
      </c>
      <c r="AF2989">
        <v>-0.88741767186902798</v>
      </c>
      <c r="AG2989">
        <v>-1.10981160964599</v>
      </c>
      <c r="AH2989">
        <v>27.307266283848001</v>
      </c>
      <c r="AI2989">
        <v>92.326086036018694</v>
      </c>
      <c r="AJ2989">
        <v>91.861314093205905</v>
      </c>
      <c r="AK2989">
        <v>27.344212986118901</v>
      </c>
      <c r="AL2989">
        <v>92.006005102376207</v>
      </c>
      <c r="AM2989">
        <v>85.732096033302895</v>
      </c>
      <c r="AN2989">
        <v>0.99999995793893304</v>
      </c>
    </row>
    <row r="2990" spans="1:40" x14ac:dyDescent="0.25">
      <c r="A2990" t="str">
        <f>"20190312161327179"</f>
        <v>20190312161327179</v>
      </c>
      <c r="B2990" t="str">
        <f>"1552378407169067"</f>
        <v>1552378407169067</v>
      </c>
      <c r="C2990" t="s">
        <v>40</v>
      </c>
      <c r="D2990">
        <v>5.475282</v>
      </c>
      <c r="E2990">
        <v>0.46051950000000003</v>
      </c>
      <c r="F2990" t="s">
        <v>74</v>
      </c>
      <c r="G2990">
        <v>-430.50200000000001</v>
      </c>
      <c r="H2990" s="1">
        <v>2.6096189999999999E-6</v>
      </c>
      <c r="I2990">
        <v>212.67179999999999</v>
      </c>
      <c r="J2990">
        <v>-457.05470000000003</v>
      </c>
      <c r="K2990">
        <v>1.109802</v>
      </c>
      <c r="L2990">
        <v>212.71889999999999</v>
      </c>
      <c r="M2990">
        <v>0.99946429999999997</v>
      </c>
      <c r="N2990">
        <v>0</v>
      </c>
      <c r="O2990">
        <v>-3.2162290000000003E-2</v>
      </c>
      <c r="P2990">
        <v>0.9933457</v>
      </c>
      <c r="Q2990">
        <v>-4.130408E-2</v>
      </c>
      <c r="R2990">
        <v>-0.1075098</v>
      </c>
      <c r="S2990">
        <v>3.0144039999999999</v>
      </c>
      <c r="T2990">
        <v>-0.12535750000000001</v>
      </c>
      <c r="U2990">
        <v>-5.6457520000000004E-3</v>
      </c>
      <c r="V2990">
        <v>7.5549690000000003E-2</v>
      </c>
      <c r="W2990">
        <v>-3.5175449999999997E-2</v>
      </c>
      <c r="X2990">
        <v>0.9965214</v>
      </c>
      <c r="Y2990">
        <v>-3.023694E-2</v>
      </c>
      <c r="Z2990">
        <v>1.9652160000000001E-3</v>
      </c>
      <c r="AA2990">
        <v>0.99954080000000001</v>
      </c>
      <c r="AB2990">
        <v>14</v>
      </c>
      <c r="AC2990">
        <v>26.552700000000002</v>
      </c>
      <c r="AD2990">
        <v>-1.109799390381</v>
      </c>
      <c r="AE2990">
        <v>-4.7100000000000301E-2</v>
      </c>
      <c r="AF2990">
        <v>-0.80552849183994002</v>
      </c>
      <c r="AG2990">
        <v>-1.109799390381</v>
      </c>
      <c r="AH2990">
        <v>26.494194645966299</v>
      </c>
      <c r="AI2990">
        <v>92.397519623948895</v>
      </c>
      <c r="AJ2990">
        <v>91.741482235987206</v>
      </c>
      <c r="AK2990">
        <v>26.529660396929401</v>
      </c>
      <c r="AL2990">
        <v>92.015820704907</v>
      </c>
      <c r="AM2990">
        <v>85.664504960238204</v>
      </c>
      <c r="AN2990">
        <v>0.99999998429987902</v>
      </c>
    </row>
    <row r="2991" spans="1:40" x14ac:dyDescent="0.25">
      <c r="A2991" t="str">
        <f>"20190312161327204"</f>
        <v>20190312161327204</v>
      </c>
      <c r="B2991" t="str">
        <f>"1552378407198347"</f>
        <v>1552378407198347</v>
      </c>
      <c r="C2991" t="s">
        <v>40</v>
      </c>
      <c r="D2991">
        <v>5.4420469999999996</v>
      </c>
      <c r="E2991">
        <v>0.46073890000000001</v>
      </c>
      <c r="F2991" t="s">
        <v>74</v>
      </c>
      <c r="G2991">
        <v>-430.41609999999997</v>
      </c>
      <c r="H2991" s="1">
        <v>2.5740829999999998E-6</v>
      </c>
      <c r="I2991">
        <v>212.6422</v>
      </c>
      <c r="J2991">
        <v>-456.90050000000002</v>
      </c>
      <c r="K2991">
        <v>1.109777</v>
      </c>
      <c r="L2991">
        <v>212.7157</v>
      </c>
      <c r="M2991">
        <v>0.99951210000000001</v>
      </c>
      <c r="N2991">
        <v>0</v>
      </c>
      <c r="O2991">
        <v>-3.0653429999999999E-2</v>
      </c>
      <c r="P2991">
        <v>0.99343099999999995</v>
      </c>
      <c r="Q2991">
        <v>-4.0957790000000001E-2</v>
      </c>
      <c r="R2991">
        <v>-0.1068519</v>
      </c>
      <c r="S2991">
        <v>3.0139770000000001</v>
      </c>
      <c r="T2991">
        <v>-0.12556619999999999</v>
      </c>
      <c r="U2991">
        <v>-8.6822510000000002E-3</v>
      </c>
      <c r="V2991">
        <v>7.6391879999999995E-2</v>
      </c>
      <c r="W2991">
        <v>-3.4885689999999997E-2</v>
      </c>
      <c r="X2991">
        <v>0.9964674</v>
      </c>
      <c r="Y2991">
        <v>-2.7723919999999999E-2</v>
      </c>
      <c r="Z2991">
        <v>1.8536200000000001E-3</v>
      </c>
      <c r="AA2991">
        <v>0.99961390000000006</v>
      </c>
      <c r="AB2991">
        <v>14</v>
      </c>
      <c r="AC2991">
        <v>26.484400000000001</v>
      </c>
      <c r="AD2991">
        <v>-1.1097744259169999</v>
      </c>
      <c r="AE2991">
        <v>-7.3499999999995597E-2</v>
      </c>
      <c r="AF2991">
        <v>-0.73709260781747699</v>
      </c>
      <c r="AG2991">
        <v>-1.1097744259169999</v>
      </c>
      <c r="AH2991">
        <v>26.427803803506801</v>
      </c>
      <c r="AI2991">
        <v>92.403657226821807</v>
      </c>
      <c r="AJ2991">
        <v>91.597610992264805</v>
      </c>
      <c r="AK2991">
        <v>26.461362751482898</v>
      </c>
      <c r="AL2991">
        <v>91.999208442259402</v>
      </c>
      <c r="AM2991">
        <v>85.616125759816597</v>
      </c>
      <c r="AN2991">
        <v>1.00000000497973</v>
      </c>
    </row>
    <row r="2992" spans="1:40" x14ac:dyDescent="0.25">
      <c r="A2992" t="str">
        <f>"20190312161327226"</f>
        <v>20190312161327226</v>
      </c>
      <c r="B2992" t="str">
        <f>"1552378407218844"</f>
        <v>1552378407218844</v>
      </c>
      <c r="C2992" t="s">
        <v>40</v>
      </c>
      <c r="D2992">
        <v>5.4594740000000002</v>
      </c>
      <c r="E2992">
        <v>0.4471696</v>
      </c>
      <c r="F2992" t="s">
        <v>74</v>
      </c>
      <c r="G2992">
        <v>-430.02030000000002</v>
      </c>
      <c r="H2992" s="1">
        <v>2.3987929999999998E-6</v>
      </c>
      <c r="I2992">
        <v>212.6396</v>
      </c>
      <c r="J2992">
        <v>-456.74860000000001</v>
      </c>
      <c r="K2992">
        <v>1.109745</v>
      </c>
      <c r="L2992">
        <v>212.71270000000001</v>
      </c>
      <c r="M2992">
        <v>0.99955539999999998</v>
      </c>
      <c r="N2992">
        <v>0</v>
      </c>
      <c r="O2992">
        <v>-2.9219950000000001E-2</v>
      </c>
      <c r="P2992">
        <v>0.99352439999999997</v>
      </c>
      <c r="Q2992">
        <v>-4.0811800000000002E-2</v>
      </c>
      <c r="R2992">
        <v>-0.10603899999999999</v>
      </c>
      <c r="S2992">
        <v>3.0137939999999999</v>
      </c>
      <c r="T2992">
        <v>-0.1244276</v>
      </c>
      <c r="U2992">
        <v>-8.5296629999999998E-3</v>
      </c>
      <c r="V2992">
        <v>7.7003310000000005E-2</v>
      </c>
      <c r="W2992">
        <v>-3.4793259999999999E-2</v>
      </c>
      <c r="X2992">
        <v>0.99642350000000002</v>
      </c>
      <c r="Y2992">
        <v>-2.6344030000000001E-2</v>
      </c>
      <c r="Z2992">
        <v>1.749327E-3</v>
      </c>
      <c r="AA2992">
        <v>0.99965139999999997</v>
      </c>
      <c r="AB2992">
        <v>14</v>
      </c>
      <c r="AC2992">
        <v>26.728299999999901</v>
      </c>
      <c r="AD2992">
        <v>-1.109742601207</v>
      </c>
      <c r="AE2992">
        <v>-7.3100000000010795E-2</v>
      </c>
      <c r="AF2992">
        <v>-0.70672626106706604</v>
      </c>
      <c r="AG2992">
        <v>-1.109742601207</v>
      </c>
      <c r="AH2992">
        <v>26.673042561768199</v>
      </c>
      <c r="AI2992">
        <v>92.381604903005396</v>
      </c>
      <c r="AJ2992">
        <v>91.517748125482797</v>
      </c>
      <c r="AK2992">
        <v>26.705471165117299</v>
      </c>
      <c r="AL2992">
        <v>91.993909513983496</v>
      </c>
      <c r="AM2992">
        <v>85.580982348293304</v>
      </c>
      <c r="AN2992">
        <v>0.99999993602231396</v>
      </c>
    </row>
    <row r="2993" spans="1:40" x14ac:dyDescent="0.25">
      <c r="A2993" t="str">
        <f>"20190312161327249"</f>
        <v>20190312161327249</v>
      </c>
      <c r="B2993" t="str">
        <f>"1552378407238364"</f>
        <v>1552378407238364</v>
      </c>
      <c r="C2993" t="s">
        <v>40</v>
      </c>
      <c r="D2993">
        <v>5.4624730000000001</v>
      </c>
      <c r="E2993">
        <v>0.44802449999999999</v>
      </c>
      <c r="F2993" t="s">
        <v>74</v>
      </c>
      <c r="G2993">
        <v>-421.36709999999999</v>
      </c>
      <c r="H2993" s="1">
        <v>3.786595E-6</v>
      </c>
      <c r="I2993">
        <v>213.8785</v>
      </c>
      <c r="J2993">
        <v>-456.60219999999998</v>
      </c>
      <c r="K2993">
        <v>1.109712</v>
      </c>
      <c r="L2993">
        <v>212.71</v>
      </c>
      <c r="M2993">
        <v>0.99959350000000002</v>
      </c>
      <c r="N2993">
        <v>0</v>
      </c>
      <c r="O2993">
        <v>-2.7896049999999999E-2</v>
      </c>
      <c r="P2993">
        <v>0.99359339999999996</v>
      </c>
      <c r="Q2993">
        <v>-4.1483890000000002E-2</v>
      </c>
      <c r="R2993">
        <v>-0.1051269</v>
      </c>
      <c r="S2993">
        <v>3.0262760000000002</v>
      </c>
      <c r="T2993">
        <v>-9.4919199999999995E-2</v>
      </c>
      <c r="U2993">
        <v>9.9716189999999996E-2</v>
      </c>
      <c r="V2993">
        <v>7.7408060000000001E-2</v>
      </c>
      <c r="W2993">
        <v>-3.5513219999999998E-2</v>
      </c>
      <c r="X2993">
        <v>0.9963668</v>
      </c>
      <c r="Y2993">
        <v>-6.0757289999999999E-2</v>
      </c>
      <c r="Z2993">
        <v>1.8268729999999999E-3</v>
      </c>
      <c r="AA2993">
        <v>0.99815089999999995</v>
      </c>
      <c r="AB2993">
        <v>15</v>
      </c>
      <c r="AC2993">
        <v>35.235099999999903</v>
      </c>
      <c r="AD2993">
        <v>-1.109708213405</v>
      </c>
      <c r="AE2993">
        <v>1.1684999999999901</v>
      </c>
      <c r="AF2993">
        <v>-2.1488532773726599</v>
      </c>
      <c r="AG2993">
        <v>-1.109708213405</v>
      </c>
      <c r="AH2993">
        <v>35.153959162245897</v>
      </c>
      <c r="AI2993">
        <v>91.804694412199197</v>
      </c>
      <c r="AJ2993">
        <v>93.497962196352503</v>
      </c>
      <c r="AK2993">
        <v>35.237052480413602</v>
      </c>
      <c r="AL2993">
        <v>92.035185571459905</v>
      </c>
      <c r="AM2993">
        <v>85.557595758636594</v>
      </c>
      <c r="AN2993">
        <v>0.99999999834498599</v>
      </c>
    </row>
    <row r="2994" spans="1:40" x14ac:dyDescent="0.25">
      <c r="A2994" t="str">
        <f>"20190312161327268"</f>
        <v>20190312161327268</v>
      </c>
      <c r="B2994" t="str">
        <f>"1552378407258859"</f>
        <v>1552378407258859</v>
      </c>
      <c r="C2994" t="s">
        <v>40</v>
      </c>
      <c r="D2994">
        <v>5.4386340000000004</v>
      </c>
      <c r="E2994">
        <v>0.44812350000000001</v>
      </c>
      <c r="F2994" t="s">
        <v>74</v>
      </c>
      <c r="G2994">
        <v>-419.1585</v>
      </c>
      <c r="H2994" s="1">
        <v>3.8938750000000001E-6</v>
      </c>
      <c r="I2994">
        <v>213.88929999999999</v>
      </c>
      <c r="J2994">
        <v>-456.47129999999999</v>
      </c>
      <c r="K2994">
        <v>1.109683</v>
      </c>
      <c r="L2994">
        <v>212.70760000000001</v>
      </c>
      <c r="M2994">
        <v>0.99962470000000003</v>
      </c>
      <c r="N2994">
        <v>0</v>
      </c>
      <c r="O2994">
        <v>-2.6762310000000001E-2</v>
      </c>
      <c r="P2994">
        <v>0.99360409999999999</v>
      </c>
      <c r="Q2994">
        <v>-4.2207599999999998E-2</v>
      </c>
      <c r="R2994">
        <v>-0.1047365</v>
      </c>
      <c r="S2994">
        <v>3.025665</v>
      </c>
      <c r="T2994">
        <v>-8.9670780000000005E-2</v>
      </c>
      <c r="U2994">
        <v>9.5291139999999996E-2</v>
      </c>
      <c r="V2994">
        <v>7.8146090000000001E-2</v>
      </c>
      <c r="W2994">
        <v>-3.6275259999999997E-2</v>
      </c>
      <c r="X2994">
        <v>0.99628170000000005</v>
      </c>
      <c r="Y2994">
        <v>-5.8179649999999999E-2</v>
      </c>
      <c r="Z2994">
        <v>1.654527E-3</v>
      </c>
      <c r="AA2994">
        <v>0.99830479999999999</v>
      </c>
      <c r="AB2994">
        <v>15</v>
      </c>
      <c r="AC2994">
        <v>37.312799999999903</v>
      </c>
      <c r="AD2994">
        <v>-1.109679106125</v>
      </c>
      <c r="AE2994">
        <v>1.18169999999997</v>
      </c>
      <c r="AF2994">
        <v>-2.1779461656928101</v>
      </c>
      <c r="AG2994">
        <v>-1.109679106125</v>
      </c>
      <c r="AH2994">
        <v>37.234909614819898</v>
      </c>
      <c r="AI2994">
        <v>91.704119270218996</v>
      </c>
      <c r="AJ2994">
        <v>93.347533371134105</v>
      </c>
      <c r="AK2994">
        <v>37.315055021305199</v>
      </c>
      <c r="AL2994">
        <v>92.078875470057895</v>
      </c>
      <c r="AM2994">
        <v>85.515031104509504</v>
      </c>
      <c r="AN2994">
        <v>0.99999996581262196</v>
      </c>
    </row>
    <row r="2995" spans="1:40" x14ac:dyDescent="0.25">
      <c r="A2995" t="str">
        <f>"20190312161327291"</f>
        <v>20190312161327291</v>
      </c>
      <c r="B2995" t="str">
        <f>"1552378407289114"</f>
        <v>1552378407289114</v>
      </c>
      <c r="C2995" t="s">
        <v>40</v>
      </c>
      <c r="D2995">
        <v>5.4806800000000004</v>
      </c>
      <c r="E2995">
        <v>0.4485092</v>
      </c>
      <c r="F2995" t="s">
        <v>74</v>
      </c>
      <c r="G2995">
        <v>-419.14370000000002</v>
      </c>
      <c r="H2995" s="1">
        <v>3.8915220000000001E-6</v>
      </c>
      <c r="I2995">
        <v>213.8861</v>
      </c>
      <c r="J2995">
        <v>-456.32119999999998</v>
      </c>
      <c r="K2995">
        <v>1.109658</v>
      </c>
      <c r="L2995">
        <v>212.70509999999999</v>
      </c>
      <c r="M2995">
        <v>0.99965760000000004</v>
      </c>
      <c r="N2995">
        <v>0</v>
      </c>
      <c r="O2995">
        <v>-2.551376E-2</v>
      </c>
      <c r="P2995">
        <v>0.993703</v>
      </c>
      <c r="Q2995">
        <v>-4.2151349999999997E-2</v>
      </c>
      <c r="R2995">
        <v>-0.1038168</v>
      </c>
      <c r="S2995">
        <v>3.0255429999999999</v>
      </c>
      <c r="T2995">
        <v>-8.994365E-2</v>
      </c>
      <c r="U2995">
        <v>9.5520019999999997E-2</v>
      </c>
      <c r="V2995">
        <v>7.8466330000000001E-2</v>
      </c>
      <c r="W2995">
        <v>-3.625801E-2</v>
      </c>
      <c r="X2995">
        <v>0.99625719999999995</v>
      </c>
      <c r="Y2995">
        <v>-5.7010270000000002E-2</v>
      </c>
      <c r="Z2995">
        <v>1.6051520000000001E-3</v>
      </c>
      <c r="AA2995">
        <v>0.99837229999999999</v>
      </c>
      <c r="AB2995">
        <v>15</v>
      </c>
      <c r="AC2995">
        <v>37.177499999999903</v>
      </c>
      <c r="AD2995">
        <v>-1.1096541084780001</v>
      </c>
      <c r="AE2995">
        <v>1.18100000000001</v>
      </c>
      <c r="AF2995">
        <v>-2.12727612918503</v>
      </c>
      <c r="AG2995">
        <v>-1.1096541084780001</v>
      </c>
      <c r="AH2995">
        <v>37.102244981941702</v>
      </c>
      <c r="AI2995">
        <v>91.710284588401507</v>
      </c>
      <c r="AJ2995">
        <v>93.281490058316905</v>
      </c>
      <c r="AK2995">
        <v>37.179742046849597</v>
      </c>
      <c r="AL2995">
        <v>92.077886378696604</v>
      </c>
      <c r="AM2995">
        <v>85.4966170113522</v>
      </c>
      <c r="AN2995">
        <v>1.0000000083923299</v>
      </c>
    </row>
    <row r="2996" spans="1:40" x14ac:dyDescent="0.25">
      <c r="A2996" t="str">
        <f>"20190312161327314"</f>
        <v>20190312161327314</v>
      </c>
      <c r="B2996" t="str">
        <f>"1552378407308636"</f>
        <v>1552378407308636</v>
      </c>
      <c r="C2996" t="s">
        <v>40</v>
      </c>
      <c r="D2996">
        <v>5.4389320000000003</v>
      </c>
      <c r="E2996">
        <v>0.44884629999999998</v>
      </c>
      <c r="F2996" t="s">
        <v>74</v>
      </c>
      <c r="G2996">
        <v>-417.06439999999998</v>
      </c>
      <c r="H2996" s="1">
        <v>3.5180660000000002E-6</v>
      </c>
      <c r="I2996">
        <v>213.93899999999999</v>
      </c>
      <c r="J2996">
        <v>-456.16609999999997</v>
      </c>
      <c r="K2996">
        <v>1.1096379999999999</v>
      </c>
      <c r="L2996">
        <v>212.70259999999999</v>
      </c>
      <c r="M2996">
        <v>0.99968849999999998</v>
      </c>
      <c r="N2996">
        <v>0</v>
      </c>
      <c r="O2996">
        <v>-2.4276140000000002E-2</v>
      </c>
      <c r="P2996">
        <v>0.99387709999999996</v>
      </c>
      <c r="Q2996">
        <v>-4.161542E-2</v>
      </c>
      <c r="R2996">
        <v>-0.102355</v>
      </c>
      <c r="S2996">
        <v>3.025299</v>
      </c>
      <c r="T2996">
        <v>-8.5514779999999999E-2</v>
      </c>
      <c r="U2996">
        <v>9.5092769999999993E-2</v>
      </c>
      <c r="V2996">
        <v>7.8231899999999993E-2</v>
      </c>
      <c r="W2996">
        <v>-3.5760880000000002E-2</v>
      </c>
      <c r="X2996">
        <v>0.9962936</v>
      </c>
      <c r="Y2996">
        <v>-5.5640410000000001E-2</v>
      </c>
      <c r="Z2996">
        <v>1.47195299999999E-3</v>
      </c>
      <c r="AA2996">
        <v>0.99844980000000005</v>
      </c>
      <c r="AB2996">
        <v>15</v>
      </c>
      <c r="AC2996">
        <v>39.101700000000001</v>
      </c>
      <c r="AD2996">
        <v>-1.1096344819339901</v>
      </c>
      <c r="AE2996">
        <v>1.2364000000000299</v>
      </c>
      <c r="AF2996">
        <v>-2.1835332003459098</v>
      </c>
      <c r="AG2996">
        <v>-1.1096344819339901</v>
      </c>
      <c r="AH2996">
        <v>39.028761213177098</v>
      </c>
      <c r="AI2996">
        <v>91.626007628867697</v>
      </c>
      <c r="AJ2996">
        <v>93.202175709451694</v>
      </c>
      <c r="AK2996">
        <v>39.105540627329297</v>
      </c>
      <c r="AL2996">
        <v>92.049384451716094</v>
      </c>
      <c r="AM2996">
        <v>85.510179822381502</v>
      </c>
      <c r="AN2996">
        <v>1.00000000405847</v>
      </c>
    </row>
    <row r="2997" spans="1:40" x14ac:dyDescent="0.25">
      <c r="A2997" t="str">
        <f>"20190312161327335"</f>
        <v>20190312161327335</v>
      </c>
      <c r="B2997" t="str">
        <f>"1552378407329131"</f>
        <v>1552378407329131</v>
      </c>
      <c r="C2997" t="s">
        <v>40</v>
      </c>
      <c r="D2997">
        <v>5.499994</v>
      </c>
      <c r="E2997">
        <v>0.44910919999999999</v>
      </c>
      <c r="F2997" t="s">
        <v>74</v>
      </c>
      <c r="G2997">
        <v>-415.9667</v>
      </c>
      <c r="H2997" s="1">
        <v>3.319094E-6</v>
      </c>
      <c r="I2997">
        <v>213.98779999999999</v>
      </c>
      <c r="J2997">
        <v>-456.02140000000003</v>
      </c>
      <c r="K2997">
        <v>1.1096239999999999</v>
      </c>
      <c r="L2997">
        <v>212.7004</v>
      </c>
      <c r="M2997">
        <v>0.99971509999999997</v>
      </c>
      <c r="N2997">
        <v>0</v>
      </c>
      <c r="O2997">
        <v>-2.3165939999999999E-2</v>
      </c>
      <c r="P2997">
        <v>0.99406309999999998</v>
      </c>
      <c r="Q2997">
        <v>-4.1305429999999997E-2</v>
      </c>
      <c r="R2997">
        <v>-0.1006616</v>
      </c>
      <c r="S2997">
        <v>3.0249329999999999</v>
      </c>
      <c r="T2997">
        <v>-8.3498000000000003E-2</v>
      </c>
      <c r="U2997">
        <v>9.6710210000000005E-2</v>
      </c>
      <c r="V2997">
        <v>7.7639550000000002E-2</v>
      </c>
      <c r="W2997">
        <v>-3.548693E-2</v>
      </c>
      <c r="X2997">
        <v>0.99634979999999995</v>
      </c>
      <c r="Y2997">
        <v>-5.5070840000000003E-2</v>
      </c>
      <c r="Z2997">
        <v>1.398926E-3</v>
      </c>
      <c r="AA2997">
        <v>0.99848150000000002</v>
      </c>
      <c r="AB2997">
        <v>15</v>
      </c>
      <c r="AC2997">
        <v>40.054699999999997</v>
      </c>
      <c r="AD2997">
        <v>-1.1096206809060001</v>
      </c>
      <c r="AE2997">
        <v>1.2873999999999901</v>
      </c>
      <c r="AF2997">
        <v>-2.2132778123305399</v>
      </c>
      <c r="AG2997">
        <v>-1.1096206809060001</v>
      </c>
      <c r="AH2997">
        <v>39.983472897962798</v>
      </c>
      <c r="AI2997">
        <v>91.587234845918999</v>
      </c>
      <c r="AJ2997">
        <v>93.168363891148005</v>
      </c>
      <c r="AK2997">
        <v>40.060054439705603</v>
      </c>
      <c r="AL2997">
        <v>92.033678163579694</v>
      </c>
      <c r="AM2997">
        <v>85.544288379716306</v>
      </c>
      <c r="AN2997">
        <v>1.00000007294253</v>
      </c>
    </row>
    <row r="2998" spans="1:40" x14ac:dyDescent="0.25">
      <c r="A2998" t="str">
        <f>"20190312161327358"</f>
        <v>20190312161327358</v>
      </c>
      <c r="B2998" t="str">
        <f>"1552378407348652"</f>
        <v>1552378407348652</v>
      </c>
      <c r="C2998" t="s">
        <v>40</v>
      </c>
      <c r="D2998">
        <v>5.4666160000000001</v>
      </c>
      <c r="E2998">
        <v>0.4520632</v>
      </c>
      <c r="F2998" t="s">
        <v>74</v>
      </c>
      <c r="G2998">
        <v>-414.8254</v>
      </c>
      <c r="H2998" s="1">
        <v>3.1103289999999998E-6</v>
      </c>
      <c r="I2998">
        <v>214.06</v>
      </c>
      <c r="J2998">
        <v>-455.86720000000003</v>
      </c>
      <c r="K2998">
        <v>1.109607</v>
      </c>
      <c r="L2998">
        <v>212.69810000000001</v>
      </c>
      <c r="M2998">
        <v>0.99974090000000004</v>
      </c>
      <c r="N2998">
        <v>0</v>
      </c>
      <c r="O2998">
        <v>-2.2035240000000001E-2</v>
      </c>
      <c r="P2998">
        <v>0.99421470000000001</v>
      </c>
      <c r="Q2998">
        <v>-4.1639000000000002E-2</v>
      </c>
      <c r="R2998">
        <v>-9.9016049999999994E-2</v>
      </c>
      <c r="S2998">
        <v>3.0246580000000001</v>
      </c>
      <c r="T2998">
        <v>-8.1469539999999993E-2</v>
      </c>
      <c r="U2998">
        <v>9.9822999999999995E-2</v>
      </c>
      <c r="V2998">
        <v>7.7116820000000003E-2</v>
      </c>
      <c r="W2998">
        <v>-3.585762E-2</v>
      </c>
      <c r="X2998">
        <v>0.99637710000000002</v>
      </c>
      <c r="Y2998">
        <v>-5.4972800000000002E-2</v>
      </c>
      <c r="Z2998">
        <v>1.3332939999999901E-3</v>
      </c>
      <c r="AA2998">
        <v>0.99848689999999996</v>
      </c>
      <c r="AB2998">
        <v>15</v>
      </c>
      <c r="AC2998">
        <v>41.041800000000002</v>
      </c>
      <c r="AD2998">
        <v>-1.1096038896709901</v>
      </c>
      <c r="AE2998">
        <v>1.3618999999999899</v>
      </c>
      <c r="AF2998">
        <v>-2.2642967085938599</v>
      </c>
      <c r="AG2998">
        <v>-1.1096038896709901</v>
      </c>
      <c r="AH2998">
        <v>40.971909059051399</v>
      </c>
      <c r="AI2998">
        <v>91.548946394412994</v>
      </c>
      <c r="AJ2998">
        <v>93.163211378400206</v>
      </c>
      <c r="AK2998">
        <v>41.049428647908101</v>
      </c>
      <c r="AL2998">
        <v>92.054930709954604</v>
      </c>
      <c r="AM2998">
        <v>85.574288894795799</v>
      </c>
      <c r="AN2998">
        <v>1.00000004912169</v>
      </c>
    </row>
    <row r="2999" spans="1:40" x14ac:dyDescent="0.25">
      <c r="A2999" t="str">
        <f>"20190312161327380"</f>
        <v>20190312161327380</v>
      </c>
      <c r="B2999" t="str">
        <f>"1552378407369147"</f>
        <v>1552378407369147</v>
      </c>
      <c r="C2999" t="s">
        <v>40</v>
      </c>
      <c r="D2999">
        <v>5.5193459999999996</v>
      </c>
      <c r="E2999">
        <v>0.45158569999999998</v>
      </c>
      <c r="F2999" t="s">
        <v>74</v>
      </c>
      <c r="G2999">
        <v>-435.03039999999999</v>
      </c>
      <c r="H2999" s="1">
        <v>4.5633809999999999E-6</v>
      </c>
      <c r="I2999">
        <v>213.2937</v>
      </c>
      <c r="J2999">
        <v>-455.71420000000001</v>
      </c>
      <c r="K2999">
        <v>1.1095870000000001</v>
      </c>
      <c r="L2999">
        <v>212.696</v>
      </c>
      <c r="M2999">
        <v>0.99976399999999999</v>
      </c>
      <c r="N2999">
        <v>0</v>
      </c>
      <c r="O2999">
        <v>-2.09675E-2</v>
      </c>
      <c r="P2999">
        <v>0.99438769999999999</v>
      </c>
      <c r="Q2999">
        <v>-4.119366E-2</v>
      </c>
      <c r="R2999">
        <v>-9.7447690000000003E-2</v>
      </c>
      <c r="S2999">
        <v>3.0193479999999999</v>
      </c>
      <c r="T2999">
        <v>-0.1607867</v>
      </c>
      <c r="U2999">
        <v>8.6303710000000006E-2</v>
      </c>
      <c r="V2999">
        <v>7.6607770000000006E-2</v>
      </c>
      <c r="W2999">
        <v>-3.5446279999999997E-2</v>
      </c>
      <c r="X2999">
        <v>0.99643110000000001</v>
      </c>
      <c r="Y2999">
        <v>-4.9425219999999999E-2</v>
      </c>
      <c r="Z2999">
        <v>2.4303860000000001E-3</v>
      </c>
      <c r="AA2999">
        <v>0.99877490000000002</v>
      </c>
      <c r="AB2999">
        <v>15</v>
      </c>
      <c r="AC2999">
        <v>20.683800000000002</v>
      </c>
      <c r="AD2999">
        <v>-1.1095824366189999</v>
      </c>
      <c r="AE2999">
        <v>0.59770000000000301</v>
      </c>
      <c r="AF2999">
        <v>-1.0283064018903201</v>
      </c>
      <c r="AG2999">
        <v>-1.1095824366189999</v>
      </c>
      <c r="AH2999">
        <v>20.6074658079574</v>
      </c>
      <c r="AI2999">
        <v>93.078218683368405</v>
      </c>
      <c r="AJ2999">
        <v>92.856672873663499</v>
      </c>
      <c r="AK2999">
        <v>20.6629193064764</v>
      </c>
      <c r="AL2999">
        <v>92.031347644045496</v>
      </c>
      <c r="AM2999">
        <v>85.603625529535094</v>
      </c>
      <c r="AN2999">
        <v>1.0000000631187</v>
      </c>
    </row>
    <row r="3000" spans="1:40" x14ac:dyDescent="0.25">
      <c r="A3000" t="str">
        <f>"20190312161327404"</f>
        <v>20190312161327404</v>
      </c>
      <c r="B3000" t="str">
        <f>"1552378407398427"</f>
        <v>1552378407398427</v>
      </c>
      <c r="C3000" t="s">
        <v>40</v>
      </c>
      <c r="D3000">
        <v>5.5774350000000004</v>
      </c>
      <c r="E3000">
        <v>0.45165759999999999</v>
      </c>
      <c r="F3000" t="s">
        <v>74</v>
      </c>
      <c r="G3000">
        <v>-430.92750000000001</v>
      </c>
      <c r="H3000" s="1">
        <v>2.729175E-6</v>
      </c>
      <c r="I3000">
        <v>213.46250000000001</v>
      </c>
      <c r="J3000">
        <v>-455.54739999999998</v>
      </c>
      <c r="K3000">
        <v>1.1095549999999901</v>
      </c>
      <c r="L3000">
        <v>212.69380000000001</v>
      </c>
      <c r="M3000">
        <v>0.99978670000000003</v>
      </c>
      <c r="N3000">
        <v>0</v>
      </c>
      <c r="O3000">
        <v>-1.98651E-2</v>
      </c>
      <c r="P3000">
        <v>0.9944866</v>
      </c>
      <c r="Q3000">
        <v>-4.1704909999999998E-2</v>
      </c>
      <c r="R3000">
        <v>-9.6214919999999995E-2</v>
      </c>
      <c r="S3000">
        <v>3.0204770000000001</v>
      </c>
      <c r="T3000">
        <v>-0.1352129</v>
      </c>
      <c r="U3000">
        <v>9.3399049999999997E-2</v>
      </c>
      <c r="V3000">
        <v>7.6470299999999894E-2</v>
      </c>
      <c r="W3000">
        <v>-3.5991240000000001E-2</v>
      </c>
      <c r="X3000">
        <v>0.99642209999999998</v>
      </c>
      <c r="Y3000">
        <v>-5.0686420000000003E-2</v>
      </c>
      <c r="Z3000">
        <v>2.0223120000000001E-3</v>
      </c>
      <c r="AA3000">
        <v>0.99871259999999995</v>
      </c>
      <c r="AB3000">
        <v>15</v>
      </c>
      <c r="AC3000">
        <v>24.619899999999902</v>
      </c>
      <c r="AD3000">
        <v>-1.1095522708250001</v>
      </c>
      <c r="AE3000">
        <v>0.76869999999999505</v>
      </c>
      <c r="AF3000">
        <v>-1.25508621749326</v>
      </c>
      <c r="AG3000">
        <v>-1.1095522708250001</v>
      </c>
      <c r="AH3000">
        <v>24.549957141098499</v>
      </c>
      <c r="AI3000">
        <v>92.584390783142496</v>
      </c>
      <c r="AJ3000">
        <v>92.926627973690103</v>
      </c>
      <c r="AK3000">
        <v>24.607046618495499</v>
      </c>
      <c r="AL3000">
        <v>92.062591538015795</v>
      </c>
      <c r="AM3000">
        <v>85.611444341645694</v>
      </c>
      <c r="AN3000">
        <v>1.0000000387536101</v>
      </c>
    </row>
    <row r="3001" spans="1:40" x14ac:dyDescent="0.25">
      <c r="A3001" t="str">
        <f>"20190312161327425"</f>
        <v>20190312161327425</v>
      </c>
      <c r="B3001" t="str">
        <f>"1552378407418923"</f>
        <v>1552378407418923</v>
      </c>
      <c r="C3001" t="s">
        <v>40</v>
      </c>
      <c r="D3001">
        <v>5.5661009999999997</v>
      </c>
      <c r="E3001">
        <v>0.45204529999999898</v>
      </c>
      <c r="F3001" t="s">
        <v>74</v>
      </c>
      <c r="G3001">
        <v>-427.82060000000001</v>
      </c>
      <c r="H3001" s="1">
        <v>2.6688030000000001E-6</v>
      </c>
      <c r="I3001">
        <v>213.5703</v>
      </c>
      <c r="J3001">
        <v>-455.39710000000002</v>
      </c>
      <c r="K3001">
        <v>1.109531</v>
      </c>
      <c r="L3001">
        <v>212.69200000000001</v>
      </c>
      <c r="M3001">
        <v>0.9998049</v>
      </c>
      <c r="N3001">
        <v>0</v>
      </c>
      <c r="O3001">
        <v>-1.892868E-2</v>
      </c>
      <c r="P3001">
        <v>0.99450859999999996</v>
      </c>
      <c r="Q3001">
        <v>-4.1567569999999998E-2</v>
      </c>
      <c r="R3001">
        <v>-9.6046859999999998E-2</v>
      </c>
      <c r="S3001">
        <v>3.0208439999999999</v>
      </c>
      <c r="T3001">
        <v>-0.12088599999999999</v>
      </c>
      <c r="U3001">
        <v>9.5489500000000005E-2</v>
      </c>
      <c r="V3001">
        <v>7.7232899999999993E-2</v>
      </c>
      <c r="W3001">
        <v>-3.5880990000000001E-2</v>
      </c>
      <c r="X3001">
        <v>0.99636720000000001</v>
      </c>
      <c r="Y3001">
        <v>-5.0452820000000002E-2</v>
      </c>
      <c r="Z3001">
        <v>1.7658540000000001E-3</v>
      </c>
      <c r="AA3001">
        <v>0.99872490000000003</v>
      </c>
      <c r="AB3001">
        <v>16</v>
      </c>
      <c r="AC3001">
        <v>27.576499999999999</v>
      </c>
      <c r="AD3001">
        <v>-1.1095283311969999</v>
      </c>
      <c r="AE3001">
        <v>0.87829999999999497</v>
      </c>
      <c r="AF3001">
        <v>-1.39787707906213</v>
      </c>
      <c r="AG3001">
        <v>-1.1095283311969999</v>
      </c>
      <c r="AH3001">
        <v>27.510444493412901</v>
      </c>
      <c r="AI3001">
        <v>92.306581388139307</v>
      </c>
      <c r="AJ3001">
        <v>92.908845502211307</v>
      </c>
      <c r="AK3001">
        <v>27.568272881539901</v>
      </c>
      <c r="AL3001">
        <v>92.056270713044597</v>
      </c>
      <c r="AM3001">
        <v>85.567609760166405</v>
      </c>
      <c r="AN3001">
        <v>0.99999998176081495</v>
      </c>
    </row>
    <row r="3002" spans="1:40" x14ac:dyDescent="0.25">
      <c r="A3002" t="str">
        <f>"20190312161327449"</f>
        <v>20190312161327449</v>
      </c>
      <c r="B3002" t="str">
        <f>"1552378407438443"</f>
        <v>1552378407438443</v>
      </c>
      <c r="C3002" t="s">
        <v>40</v>
      </c>
      <c r="D3002">
        <v>5.5748379999999997</v>
      </c>
      <c r="E3002">
        <v>0.4523258</v>
      </c>
      <c r="F3002" t="s">
        <v>74</v>
      </c>
      <c r="G3002">
        <v>-425.83690000000001</v>
      </c>
      <c r="H3002" s="1">
        <v>3.018307E-6</v>
      </c>
      <c r="I3002">
        <v>213.59739999999999</v>
      </c>
      <c r="J3002">
        <v>-455.23469999999998</v>
      </c>
      <c r="K3002">
        <v>1.1094999999999999</v>
      </c>
      <c r="L3002">
        <v>212.69</v>
      </c>
      <c r="M3002">
        <v>0.99982249999999995</v>
      </c>
      <c r="N3002">
        <v>0</v>
      </c>
      <c r="O3002">
        <v>-1.798073E-2</v>
      </c>
      <c r="P3002">
        <v>0.99459810000000004</v>
      </c>
      <c r="Q3002">
        <v>-4.146209E-2</v>
      </c>
      <c r="R3002">
        <v>-9.5162280000000002E-2</v>
      </c>
      <c r="S3002">
        <v>3.0207519999999999</v>
      </c>
      <c r="T3002">
        <v>-0.1133825</v>
      </c>
      <c r="U3002">
        <v>9.2529299999999995E-2</v>
      </c>
      <c r="V3002">
        <v>7.7288579999999996E-2</v>
      </c>
      <c r="W3002">
        <v>-3.5802199999999999E-2</v>
      </c>
      <c r="X3002">
        <v>0.99636570000000002</v>
      </c>
      <c r="Y3002">
        <v>-4.853768E-2</v>
      </c>
      <c r="Z3002">
        <v>1.5849169999999999E-3</v>
      </c>
      <c r="AA3002">
        <v>0.99882009999999999</v>
      </c>
      <c r="AB3002">
        <v>16</v>
      </c>
      <c r="AC3002">
        <v>29.397799999999901</v>
      </c>
      <c r="AD3002">
        <v>-1.109496981693</v>
      </c>
      <c r="AE3002">
        <v>0.90739999999999499</v>
      </c>
      <c r="AF3002">
        <v>-1.4338152335494301</v>
      </c>
      <c r="AG3002">
        <v>-1.109496981693</v>
      </c>
      <c r="AH3002">
        <v>29.334987157604498</v>
      </c>
      <c r="AI3002">
        <v>92.163407094261004</v>
      </c>
      <c r="AJ3002">
        <v>92.798236619839798</v>
      </c>
      <c r="AK3002">
        <v>29.390955772365899</v>
      </c>
      <c r="AL3002">
        <v>92.051753510231606</v>
      </c>
      <c r="AM3002">
        <v>85.564420385638101</v>
      </c>
      <c r="AN3002">
        <v>0.99999996512987199</v>
      </c>
    </row>
    <row r="3003" spans="1:40" x14ac:dyDescent="0.25">
      <c r="A3003" t="str">
        <f>"20190312161327468"</f>
        <v>20190312161327468</v>
      </c>
      <c r="B3003" t="str">
        <f>"1552378407458939"</f>
        <v>1552378407458939</v>
      </c>
      <c r="C3003" t="s">
        <v>40</v>
      </c>
      <c r="D3003">
        <v>5.5597019999999997</v>
      </c>
      <c r="E3003">
        <v>0.45257259999999999</v>
      </c>
      <c r="F3003" t="s">
        <v>74</v>
      </c>
      <c r="G3003">
        <v>-424.98329999999999</v>
      </c>
      <c r="H3003" s="1">
        <v>3.1677749999999999E-6</v>
      </c>
      <c r="I3003">
        <v>213.61959999999999</v>
      </c>
      <c r="J3003">
        <v>-455.09160000000003</v>
      </c>
      <c r="K3003">
        <v>1.1094649999999999</v>
      </c>
      <c r="L3003">
        <v>212.6883</v>
      </c>
      <c r="M3003">
        <v>0.99983630000000001</v>
      </c>
      <c r="N3003">
        <v>0</v>
      </c>
      <c r="O3003">
        <v>-1.7207070000000001E-2</v>
      </c>
      <c r="P3003">
        <v>0.99466500000000002</v>
      </c>
      <c r="Q3003">
        <v>-4.1928350000000003E-2</v>
      </c>
      <c r="R3003">
        <v>-9.4254169999999998E-2</v>
      </c>
      <c r="S3003">
        <v>3.020508</v>
      </c>
      <c r="T3003">
        <v>-0.11078</v>
      </c>
      <c r="U3003">
        <v>9.2819209999999999E-2</v>
      </c>
      <c r="V3003">
        <v>7.7148430000000004E-2</v>
      </c>
      <c r="W3003">
        <v>-3.6288870000000001E-2</v>
      </c>
      <c r="X3003">
        <v>0.99635899999999999</v>
      </c>
      <c r="Y3003">
        <v>-4.786613E-2</v>
      </c>
      <c r="Z3003">
        <v>1.508019E-3</v>
      </c>
      <c r="AA3003">
        <v>0.99885259999999998</v>
      </c>
      <c r="AB3003">
        <v>16</v>
      </c>
      <c r="AC3003">
        <v>30.1083</v>
      </c>
      <c r="AD3003">
        <v>-1.1094618322249901</v>
      </c>
      <c r="AE3003">
        <v>0.93129999999999302</v>
      </c>
      <c r="AF3003">
        <v>-1.44728252920526</v>
      </c>
      <c r="AG3003">
        <v>-1.1094618322249901</v>
      </c>
      <c r="AH3003">
        <v>30.047056612402901</v>
      </c>
      <c r="AI3003">
        <v>92.112190328477197</v>
      </c>
      <c r="AJ3003">
        <v>92.757645829878399</v>
      </c>
      <c r="AK3003">
        <v>30.102344482539099</v>
      </c>
      <c r="AL3003">
        <v>92.079655688286195</v>
      </c>
      <c r="AM3003">
        <v>85.572401906958902</v>
      </c>
      <c r="AN3003">
        <v>1.0000000096091699</v>
      </c>
    </row>
    <row r="3004" spans="1:40" x14ac:dyDescent="0.25">
      <c r="A3004" t="str">
        <f>"20190312161327492"</f>
        <v>20190312161327492</v>
      </c>
      <c r="B3004" t="str">
        <f>"1552378407489195"</f>
        <v>1552378407489195</v>
      </c>
      <c r="C3004" t="s">
        <v>40</v>
      </c>
      <c r="D3004">
        <v>5.4964360000000001</v>
      </c>
      <c r="E3004">
        <v>0.45234780000000002</v>
      </c>
      <c r="F3004" t="s">
        <v>74</v>
      </c>
      <c r="G3004">
        <v>-424.77170000000001</v>
      </c>
      <c r="H3004" s="1">
        <v>3.204624E-6</v>
      </c>
      <c r="I3004">
        <v>213.6275</v>
      </c>
      <c r="J3004">
        <v>-454.92529999999999</v>
      </c>
      <c r="K3004">
        <v>1.109434</v>
      </c>
      <c r="L3004">
        <v>212.6865</v>
      </c>
      <c r="M3004">
        <v>0.99985060000000003</v>
      </c>
      <c r="N3004">
        <v>0</v>
      </c>
      <c r="O3004">
        <v>-1.6366760000000001E-2</v>
      </c>
      <c r="P3004">
        <v>0.99469200000000002</v>
      </c>
      <c r="Q3004">
        <v>-4.2850619999999999E-2</v>
      </c>
      <c r="R3004">
        <v>-9.3552419999999997E-2</v>
      </c>
      <c r="S3004">
        <v>3.0202640000000001</v>
      </c>
      <c r="T3004">
        <v>-0.110517</v>
      </c>
      <c r="U3004">
        <v>9.3551640000000005E-2</v>
      </c>
      <c r="V3004">
        <v>7.7282020000000007E-2</v>
      </c>
      <c r="W3004">
        <v>-3.7230310000000003E-2</v>
      </c>
      <c r="X3004">
        <v>0.99631389999999997</v>
      </c>
      <c r="Y3004">
        <v>-4.727228E-2</v>
      </c>
      <c r="Z3004">
        <v>1.4629669999999999E-3</v>
      </c>
      <c r="AA3004">
        <v>0.99888100000000002</v>
      </c>
      <c r="AB3004">
        <v>16</v>
      </c>
      <c r="AC3004">
        <v>30.153599999999901</v>
      </c>
      <c r="AD3004">
        <v>-1.1094307953759901</v>
      </c>
      <c r="AE3004">
        <v>0.94100000000000195</v>
      </c>
      <c r="AF3004">
        <v>-1.4324610810128999</v>
      </c>
      <c r="AG3004">
        <v>-1.1094307953759901</v>
      </c>
      <c r="AH3004">
        <v>30.0934617571071</v>
      </c>
      <c r="AI3004">
        <v>92.108934311934306</v>
      </c>
      <c r="AJ3004">
        <v>92.725245481836097</v>
      </c>
      <c r="AK3004">
        <v>30.147955518821</v>
      </c>
      <c r="AL3004">
        <v>92.133632736448106</v>
      </c>
      <c r="AM3004">
        <v>85.564565687364194</v>
      </c>
      <c r="AN3004">
        <v>0.99999999696559305</v>
      </c>
    </row>
    <row r="3005" spans="1:40" x14ac:dyDescent="0.25">
      <c r="A3005" t="str">
        <f>"20190312161327514"</f>
        <v>20190312161327514</v>
      </c>
      <c r="B3005" t="str">
        <f>"1552378407508716"</f>
        <v>1552378407508716</v>
      </c>
      <c r="C3005" t="s">
        <v>40</v>
      </c>
      <c r="D3005">
        <v>5.5236349999999996</v>
      </c>
      <c r="E3005">
        <v>0.45231830000000001</v>
      </c>
      <c r="F3005" t="s">
        <v>74</v>
      </c>
      <c r="G3005">
        <v>-422.44209999999998</v>
      </c>
      <c r="H3005" s="1">
        <v>3.6092589999999998E-6</v>
      </c>
      <c r="I3005">
        <v>213.72579999999999</v>
      </c>
      <c r="J3005">
        <v>-454.76240000000001</v>
      </c>
      <c r="K3005">
        <v>1.109407</v>
      </c>
      <c r="L3005">
        <v>212.68469999999999</v>
      </c>
      <c r="M3005">
        <v>0.99986269999999999</v>
      </c>
      <c r="N3005">
        <v>0</v>
      </c>
      <c r="O3005">
        <v>-1.559843E-2</v>
      </c>
      <c r="P3005">
        <v>0.99470409999999998</v>
      </c>
      <c r="Q3005">
        <v>-4.3467440000000003E-2</v>
      </c>
      <c r="R3005">
        <v>-9.3137239999999996E-2</v>
      </c>
      <c r="S3005">
        <v>3.0206599999999999</v>
      </c>
      <c r="T3005">
        <v>-0.1031677</v>
      </c>
      <c r="U3005">
        <v>9.6649170000000006E-2</v>
      </c>
      <c r="V3005">
        <v>7.7630649999999995E-2</v>
      </c>
      <c r="W3005">
        <v>-3.786163E-2</v>
      </c>
      <c r="X3005">
        <v>0.99626300000000001</v>
      </c>
      <c r="Y3005">
        <v>-4.7529700000000001E-2</v>
      </c>
      <c r="Z3005">
        <v>1.343704E-3</v>
      </c>
      <c r="AA3005">
        <v>0.99886889999999995</v>
      </c>
      <c r="AB3005">
        <v>16</v>
      </c>
      <c r="AC3005">
        <v>32.320300000000003</v>
      </c>
      <c r="AD3005">
        <v>-1.1094033907409999</v>
      </c>
      <c r="AE3005">
        <v>1.0410999999999999</v>
      </c>
      <c r="AF3005">
        <v>-1.5433106701305399</v>
      </c>
      <c r="AG3005">
        <v>-1.1094033907409999</v>
      </c>
      <c r="AH3005">
        <v>32.262155240803999</v>
      </c>
      <c r="AI3005">
        <v>91.967214439552293</v>
      </c>
      <c r="AJ3005">
        <v>92.738745468159195</v>
      </c>
      <c r="AK3005">
        <v>32.318094691513998</v>
      </c>
      <c r="AL3005">
        <v>92.169830240077104</v>
      </c>
      <c r="AM3005">
        <v>85.544410492476004</v>
      </c>
      <c r="AN3005">
        <v>0.99999999300733899</v>
      </c>
    </row>
    <row r="3006" spans="1:40" x14ac:dyDescent="0.25">
      <c r="A3006" t="str">
        <f>"20190312161327536"</f>
        <v>20190312161327536</v>
      </c>
      <c r="B3006" t="str">
        <f>"1552378407529211"</f>
        <v>1552378407529211</v>
      </c>
      <c r="C3006" t="s">
        <v>40</v>
      </c>
      <c r="D3006">
        <v>5.6147499999999999</v>
      </c>
      <c r="E3006">
        <v>0.45230730000000002</v>
      </c>
      <c r="F3006" t="s">
        <v>74</v>
      </c>
      <c r="G3006">
        <v>-420.88159999999999</v>
      </c>
      <c r="H3006" s="1">
        <v>3.8811519999999997E-6</v>
      </c>
      <c r="I3006">
        <v>213.78210000000001</v>
      </c>
      <c r="J3006">
        <v>-454.61059999999998</v>
      </c>
      <c r="K3006">
        <v>1.109386</v>
      </c>
      <c r="L3006">
        <v>212.6831</v>
      </c>
      <c r="M3006">
        <v>0.99987300000000001</v>
      </c>
      <c r="N3006">
        <v>0</v>
      </c>
      <c r="O3006">
        <v>-1.4932600000000001E-2</v>
      </c>
      <c r="P3006">
        <v>0.99474180000000001</v>
      </c>
      <c r="Q3006">
        <v>-4.3600180000000002E-2</v>
      </c>
      <c r="R3006">
        <v>-9.267077E-2</v>
      </c>
      <c r="S3006">
        <v>3.0207820000000001</v>
      </c>
      <c r="T3006">
        <v>-9.8913429999999997E-2</v>
      </c>
      <c r="U3006">
        <v>9.783936E-2</v>
      </c>
      <c r="V3006">
        <v>7.782567E-2</v>
      </c>
      <c r="W3006">
        <v>-3.800485E-2</v>
      </c>
      <c r="X3006">
        <v>0.99624230000000003</v>
      </c>
      <c r="Y3006">
        <v>-4.7259870000000002E-2</v>
      </c>
      <c r="Z3006">
        <v>1.2620579999999999E-3</v>
      </c>
      <c r="AA3006">
        <v>0.99888180000000004</v>
      </c>
      <c r="AB3006">
        <v>16</v>
      </c>
      <c r="AC3006">
        <v>33.7289999999999</v>
      </c>
      <c r="AD3006">
        <v>-1.109382118848</v>
      </c>
      <c r="AE3006">
        <v>1.09900000000001</v>
      </c>
      <c r="AF3006">
        <v>-1.6008169724196599</v>
      </c>
      <c r="AG3006">
        <v>-1.109382118848</v>
      </c>
      <c r="AH3006">
        <v>33.6724390853446</v>
      </c>
      <c r="AI3006">
        <v>91.884873817012306</v>
      </c>
      <c r="AJ3006">
        <v>92.721841733487196</v>
      </c>
      <c r="AK3006">
        <v>33.728719181449001</v>
      </c>
      <c r="AL3006">
        <v>92.178042119662507</v>
      </c>
      <c r="AM3006">
        <v>85.533170179756098</v>
      </c>
      <c r="AN3006">
        <v>0.99999996192187901</v>
      </c>
    </row>
    <row r="3007" spans="1:40" x14ac:dyDescent="0.25">
      <c r="A3007" t="str">
        <f>"20190312161327559"</f>
        <v>20190312161327559</v>
      </c>
      <c r="B3007" t="str">
        <f>"1552378407548731"</f>
        <v>1552378407548731</v>
      </c>
      <c r="C3007" t="s">
        <v>40</v>
      </c>
      <c r="D3007">
        <v>5.6273689999999998</v>
      </c>
      <c r="E3007">
        <v>0.45234279999999999</v>
      </c>
      <c r="F3007" t="s">
        <v>74</v>
      </c>
      <c r="G3007">
        <v>-419.1687</v>
      </c>
      <c r="H3007" s="1">
        <v>3.8995149999999999E-6</v>
      </c>
      <c r="I3007">
        <v>213.84549999999999</v>
      </c>
      <c r="J3007">
        <v>-454.43990000000002</v>
      </c>
      <c r="K3007">
        <v>1.109367</v>
      </c>
      <c r="L3007">
        <v>212.6814</v>
      </c>
      <c r="M3007">
        <v>0.99988290000000002</v>
      </c>
      <c r="N3007">
        <v>0</v>
      </c>
      <c r="O3007">
        <v>-1.424534E-2</v>
      </c>
      <c r="P3007">
        <v>0.99483619999999995</v>
      </c>
      <c r="Q3007">
        <v>-4.3283679999999998E-2</v>
      </c>
      <c r="R3007">
        <v>-9.1801369999999993E-2</v>
      </c>
      <c r="S3007">
        <v>3.020966</v>
      </c>
      <c r="T3007">
        <v>-9.4560500000000006E-2</v>
      </c>
      <c r="U3007">
        <v>9.9075319999999995E-2</v>
      </c>
      <c r="V3007">
        <v>7.7637699999999907E-2</v>
      </c>
      <c r="W3007">
        <v>-3.7697710000000002E-2</v>
      </c>
      <c r="X3007">
        <v>0.99626870000000001</v>
      </c>
      <c r="Y3007">
        <v>-4.6982910000000003E-2</v>
      </c>
      <c r="Z3007">
        <v>1.18063E-3</v>
      </c>
      <c r="AA3007">
        <v>0.99889499999999998</v>
      </c>
      <c r="AB3007">
        <v>16</v>
      </c>
      <c r="AC3007">
        <v>35.2712</v>
      </c>
      <c r="AD3007">
        <v>-1.109363100485</v>
      </c>
      <c r="AE3007">
        <v>1.1640999999999899</v>
      </c>
      <c r="AF3007">
        <v>-1.6647948541601101</v>
      </c>
      <c r="AG3007">
        <v>-1.109363100485</v>
      </c>
      <c r="AH3007">
        <v>35.216237830982401</v>
      </c>
      <c r="AI3007">
        <v>91.802292935270799</v>
      </c>
      <c r="AJ3007">
        <v>92.706557099903407</v>
      </c>
      <c r="AK3007">
        <v>35.273015682862599</v>
      </c>
      <c r="AL3007">
        <v>92.160431534331806</v>
      </c>
      <c r="AM3007">
        <v>85.544032880853905</v>
      </c>
      <c r="AN3007">
        <v>1.0000000262001101</v>
      </c>
    </row>
    <row r="3008" spans="1:40" x14ac:dyDescent="0.25">
      <c r="A3008" t="str">
        <f>"20190312161327606"</f>
        <v>20190312161327606</v>
      </c>
      <c r="B3008" t="str">
        <f>"1552378407598508"</f>
        <v>1552378407598508</v>
      </c>
      <c r="C3008" t="s">
        <v>40</v>
      </c>
      <c r="D3008">
        <v>5.6560090000000001</v>
      </c>
      <c r="E3008">
        <v>0.46023190000000003</v>
      </c>
      <c r="F3008" t="s">
        <v>74</v>
      </c>
      <c r="G3008">
        <v>-417.7672</v>
      </c>
      <c r="H3008" s="1">
        <v>3.6452369999999998E-6</v>
      </c>
      <c r="I3008">
        <v>213.91050000000001</v>
      </c>
      <c r="J3008">
        <v>-454.0924</v>
      </c>
      <c r="K3008">
        <v>1.1093059999999999</v>
      </c>
      <c r="L3008">
        <v>212.678</v>
      </c>
      <c r="M3008">
        <v>0.99989939999999999</v>
      </c>
      <c r="N3008">
        <v>0</v>
      </c>
      <c r="O3008">
        <v>-1.3052599999999999E-2</v>
      </c>
      <c r="P3008">
        <v>0.99484450000000002</v>
      </c>
      <c r="Q3008">
        <v>-4.4084739999999997E-2</v>
      </c>
      <c r="R3008">
        <v>-9.1331739999999995E-2</v>
      </c>
      <c r="S3008">
        <v>3.0208740000000001</v>
      </c>
      <c r="T3008">
        <v>-9.1382740000000004E-2</v>
      </c>
      <c r="U3008">
        <v>0.1012421</v>
      </c>
      <c r="V3008">
        <v>7.8351770000000001E-2</v>
      </c>
      <c r="W3008">
        <v>-3.851417E-2</v>
      </c>
      <c r="X3008">
        <v>0.99618150000000005</v>
      </c>
      <c r="Y3008">
        <v>-4.651077E-2</v>
      </c>
      <c r="Z3008">
        <v>1.097792E-3</v>
      </c>
      <c r="AA3008">
        <v>0.99891719999999895</v>
      </c>
      <c r="AB3008">
        <v>16</v>
      </c>
      <c r="AC3008">
        <v>36.325200000000002</v>
      </c>
      <c r="AD3008">
        <v>-1.1093023547630001</v>
      </c>
      <c r="AE3008">
        <v>1.2325000000000099</v>
      </c>
      <c r="AF3008">
        <v>-1.7049524456337</v>
      </c>
      <c r="AG3008">
        <v>-1.1093023547630001</v>
      </c>
      <c r="AH3008">
        <v>36.272230142915298</v>
      </c>
      <c r="AI3008">
        <v>91.749782326368504</v>
      </c>
      <c r="AJ3008">
        <v>92.691169830329201</v>
      </c>
      <c r="AK3008">
        <v>36.329218187249303</v>
      </c>
      <c r="AL3008">
        <v>92.207245391000797</v>
      </c>
      <c r="AM3008">
        <v>85.502824602173007</v>
      </c>
      <c r="AN3008">
        <v>0.99999996104758504</v>
      </c>
    </row>
    <row r="3009" spans="1:40" x14ac:dyDescent="0.25">
      <c r="A3009" t="str">
        <f>"20190312161327627"</f>
        <v>20190312161327627</v>
      </c>
      <c r="B3009" t="str">
        <f>"1552378407619004"</f>
        <v>1552378407619004</v>
      </c>
      <c r="C3009" t="s">
        <v>40</v>
      </c>
      <c r="D3009">
        <v>5.6180839999999996</v>
      </c>
      <c r="E3009">
        <v>0.46035979999999999</v>
      </c>
      <c r="F3009" t="s">
        <v>74</v>
      </c>
      <c r="G3009">
        <v>-422.4615</v>
      </c>
      <c r="H3009" s="1">
        <v>3.6600480000000002E-6</v>
      </c>
      <c r="I3009">
        <v>213.10570000000001</v>
      </c>
      <c r="J3009">
        <v>-453.93520000000001</v>
      </c>
      <c r="K3009">
        <v>1.109273</v>
      </c>
      <c r="L3009">
        <v>212.6765</v>
      </c>
      <c r="M3009">
        <v>0.99990509999999999</v>
      </c>
      <c r="N3009">
        <v>0</v>
      </c>
      <c r="O3009">
        <v>-1.2612679999999999E-2</v>
      </c>
      <c r="P3009">
        <v>0.99483900000000003</v>
      </c>
      <c r="Q3009">
        <v>-4.4069709999999998E-2</v>
      </c>
      <c r="R3009">
        <v>-9.1397309999999996E-2</v>
      </c>
      <c r="S3009">
        <v>3.0145870000000001</v>
      </c>
      <c r="T3009">
        <v>-0.105722</v>
      </c>
      <c r="U3009">
        <v>4.0756229999999997E-2</v>
      </c>
      <c r="V3009">
        <v>7.8852820000000004E-2</v>
      </c>
      <c r="W3009">
        <v>-3.8504990000000003E-2</v>
      </c>
      <c r="X3009">
        <v>0.99614239999999998</v>
      </c>
      <c r="Y3009">
        <v>-2.6105280000000002E-2</v>
      </c>
      <c r="Z3009">
        <v>8.9977589999999999E-4</v>
      </c>
      <c r="AA3009">
        <v>0.99965879999999996</v>
      </c>
      <c r="AB3009">
        <v>17</v>
      </c>
      <c r="AC3009">
        <v>31.473700000000001</v>
      </c>
      <c r="AD3009">
        <v>-1.1092693399519999</v>
      </c>
      <c r="AE3009">
        <v>0.42920000000000802</v>
      </c>
      <c r="AF3009">
        <v>-0.82511492518084895</v>
      </c>
      <c r="AG3009">
        <v>-1.1092693399519999</v>
      </c>
      <c r="AH3009">
        <v>31.426753088467201</v>
      </c>
      <c r="AI3009">
        <v>92.020832673813899</v>
      </c>
      <c r="AJ3009">
        <v>91.5039652453532</v>
      </c>
      <c r="AK3009">
        <v>31.457147086024701</v>
      </c>
      <c r="AL3009">
        <v>92.206718848150501</v>
      </c>
      <c r="AM3009">
        <v>85.474007908861793</v>
      </c>
      <c r="AN3009">
        <v>1.0000000412773</v>
      </c>
    </row>
    <row r="3010" spans="1:40" x14ac:dyDescent="0.25">
      <c r="A3010" t="str">
        <f>"20190312161327648"</f>
        <v>20190312161327648</v>
      </c>
      <c r="B3010" t="str">
        <f>"1552378407638525"</f>
        <v>1552378407638525</v>
      </c>
      <c r="C3010" t="s">
        <v>40</v>
      </c>
      <c r="D3010">
        <v>5.6735480000000003</v>
      </c>
      <c r="E3010">
        <v>0.46034059999999999</v>
      </c>
      <c r="F3010" t="s">
        <v>74</v>
      </c>
      <c r="G3010">
        <v>-421.83980000000003</v>
      </c>
      <c r="H3010" s="1">
        <v>3.7711460000000002E-6</v>
      </c>
      <c r="I3010">
        <v>213.09610000000001</v>
      </c>
      <c r="J3010">
        <v>-453.77390000000003</v>
      </c>
      <c r="K3010">
        <v>1.109237</v>
      </c>
      <c r="L3010">
        <v>212.67490000000001</v>
      </c>
      <c r="M3010">
        <v>0.99990979999999996</v>
      </c>
      <c r="N3010">
        <v>0</v>
      </c>
      <c r="O3010">
        <v>-1.2231819999999999E-2</v>
      </c>
      <c r="P3010">
        <v>0.99484510000000004</v>
      </c>
      <c r="Q3010">
        <v>-4.4088059999999998E-2</v>
      </c>
      <c r="R3010">
        <v>-9.1321570000000005E-2</v>
      </c>
      <c r="S3010">
        <v>3.0145569999999999</v>
      </c>
      <c r="T3010">
        <v>-0.104188</v>
      </c>
      <c r="U3010">
        <v>3.9413450000000003E-2</v>
      </c>
      <c r="V3010">
        <v>7.9152990000000006E-2</v>
      </c>
      <c r="W3010">
        <v>-3.852887E-2</v>
      </c>
      <c r="X3010">
        <v>0.99611769999999999</v>
      </c>
      <c r="Y3010">
        <v>-2.5280850000000001E-2</v>
      </c>
      <c r="Z3010">
        <v>8.5933880000000002E-4</v>
      </c>
      <c r="AA3010">
        <v>0.99968000000000001</v>
      </c>
      <c r="AB3010">
        <v>17</v>
      </c>
      <c r="AC3010">
        <v>31.934100000000001</v>
      </c>
      <c r="AD3010">
        <v>-1.1092332288539899</v>
      </c>
      <c r="AE3010">
        <v>0.42119999999999802</v>
      </c>
      <c r="AF3010">
        <v>-0.81080857127957895</v>
      </c>
      <c r="AG3010">
        <v>-1.1092332288539899</v>
      </c>
      <c r="AH3010">
        <v>31.8880916737379</v>
      </c>
      <c r="AI3010">
        <v>91.991597937057904</v>
      </c>
      <c r="AJ3010">
        <v>91.4565280977192</v>
      </c>
      <c r="AK3010">
        <v>31.917678478986598</v>
      </c>
      <c r="AL3010">
        <v>92.208088021800407</v>
      </c>
      <c r="AM3010">
        <v>85.456738568271604</v>
      </c>
      <c r="AN3010">
        <v>1.0000000709513499</v>
      </c>
    </row>
    <row r="3011" spans="1:40" x14ac:dyDescent="0.25">
      <c r="A3011" t="str">
        <f>"20190312161328117"</f>
        <v>20190312161328117</v>
      </c>
      <c r="B3011" t="str">
        <f>"1552378408108956"</f>
        <v>1552378408108956</v>
      </c>
      <c r="C3011" t="s">
        <v>40</v>
      </c>
      <c r="D3011">
        <v>5.7669259999999998</v>
      </c>
      <c r="E3011">
        <v>0.46034059999999999</v>
      </c>
      <c r="F3011" t="s">
        <v>74</v>
      </c>
      <c r="G3011">
        <v>-422.38069999999999</v>
      </c>
      <c r="H3011" s="1">
        <v>3.6757810000000001E-6</v>
      </c>
      <c r="I3011">
        <v>213.08949999999999</v>
      </c>
      <c r="J3011">
        <v>-449.97879999999998</v>
      </c>
      <c r="K3011">
        <v>1.1091120000000001</v>
      </c>
      <c r="L3011">
        <v>212.63079999999999</v>
      </c>
      <c r="M3011">
        <v>0.99991090000000005</v>
      </c>
      <c r="N3011">
        <v>0</v>
      </c>
      <c r="O3011">
        <v>-1.2025940000000001E-2</v>
      </c>
      <c r="P3011">
        <v>0.99404079999999995</v>
      </c>
      <c r="Q3011">
        <v>-4.6303410000000003E-2</v>
      </c>
      <c r="R3011">
        <v>-9.8686659999999995E-2</v>
      </c>
      <c r="S3011">
        <v>3.014465</v>
      </c>
      <c r="T3011">
        <v>-0.1065118</v>
      </c>
      <c r="U3011">
        <v>3.9810180000000001E-2</v>
      </c>
      <c r="V3011">
        <v>8.6721519999999996E-2</v>
      </c>
      <c r="W3011">
        <v>-4.053491E-2</v>
      </c>
      <c r="X3011">
        <v>0.99540759999999995</v>
      </c>
      <c r="Y3011">
        <v>-2.5206139999999998E-2</v>
      </c>
      <c r="Z3011">
        <v>8.699294E-4</v>
      </c>
      <c r="AA3011">
        <v>0.99968190000000001</v>
      </c>
      <c r="AB3011">
        <v>19</v>
      </c>
      <c r="AC3011">
        <v>27.598099999999899</v>
      </c>
      <c r="AD3011">
        <v>-1.1091083242190001</v>
      </c>
      <c r="AE3011">
        <v>0.458699999999993</v>
      </c>
      <c r="AF3011">
        <v>-0.78929109077275295</v>
      </c>
      <c r="AG3011">
        <v>-1.1091083242190001</v>
      </c>
      <c r="AH3011">
        <v>27.546111377975599</v>
      </c>
      <c r="AI3011">
        <v>92.304749652715998</v>
      </c>
      <c r="AJ3011">
        <v>91.6412726078498</v>
      </c>
      <c r="AK3011">
        <v>27.5797272239713</v>
      </c>
      <c r="AL3011">
        <v>92.323115749791299</v>
      </c>
      <c r="AM3011">
        <v>85.020871114971797</v>
      </c>
      <c r="AN3011">
        <v>0.99999999554878904</v>
      </c>
    </row>
    <row r="3012" spans="1:40" x14ac:dyDescent="0.25">
      <c r="A3012" t="str">
        <f>"20190312161328139"</f>
        <v>20190312161328139</v>
      </c>
      <c r="B3012" t="str">
        <f>"1552378408129452"</f>
        <v>1552378408129452</v>
      </c>
      <c r="C3012" t="s">
        <v>40</v>
      </c>
      <c r="D3012">
        <v>5.6116010000000003</v>
      </c>
      <c r="E3012">
        <v>0.46147870000000002</v>
      </c>
      <c r="F3012" t="s">
        <v>74</v>
      </c>
      <c r="G3012">
        <v>-420.4221</v>
      </c>
      <c r="H3012" s="1">
        <v>4.0481189999999997E-6</v>
      </c>
      <c r="I3012">
        <v>212.80449999999999</v>
      </c>
      <c r="J3012">
        <v>-449.78719999999998</v>
      </c>
      <c r="K3012">
        <v>1.1091139999999999</v>
      </c>
      <c r="L3012">
        <v>212.6285</v>
      </c>
      <c r="M3012">
        <v>0.99991050000000004</v>
      </c>
      <c r="N3012">
        <v>0</v>
      </c>
      <c r="O3012">
        <v>-1.2062099999999999E-2</v>
      </c>
      <c r="P3012">
        <v>0.99402299999999999</v>
      </c>
      <c r="Q3012">
        <v>-4.6090359999999997E-2</v>
      </c>
      <c r="R3012">
        <v>-9.8966899999999997E-2</v>
      </c>
      <c r="S3012">
        <v>3.014465</v>
      </c>
      <c r="T3012">
        <v>-0.113117</v>
      </c>
      <c r="U3012">
        <v>1.7715450000000001E-2</v>
      </c>
      <c r="V3012">
        <v>8.6966000000000002E-2</v>
      </c>
      <c r="W3012">
        <v>-4.0306719999999997E-2</v>
      </c>
      <c r="X3012">
        <v>0.99539549999999999</v>
      </c>
      <c r="Y3012">
        <v>-1.7917289999999999E-2</v>
      </c>
      <c r="Z3012">
        <v>7.8851669999999998E-4</v>
      </c>
      <c r="AA3012">
        <v>0.99983920000000004</v>
      </c>
      <c r="AB3012">
        <v>19</v>
      </c>
      <c r="AC3012">
        <v>29.365099999999899</v>
      </c>
      <c r="AD3012">
        <v>-1.1091099518809999</v>
      </c>
      <c r="AE3012">
        <v>0.175999999999987</v>
      </c>
      <c r="AF3012">
        <v>-0.52944265303697402</v>
      </c>
      <c r="AG3012">
        <v>-1.1091099518809999</v>
      </c>
      <c r="AH3012">
        <v>29.319017190676501</v>
      </c>
      <c r="AI3012">
        <v>92.166057895048695</v>
      </c>
      <c r="AJ3012">
        <v>91.034534433889405</v>
      </c>
      <c r="AK3012">
        <v>29.3447644978691</v>
      </c>
      <c r="AL3012">
        <v>92.310030816161699</v>
      </c>
      <c r="AM3012">
        <v>85.006844731570297</v>
      </c>
      <c r="AN3012">
        <v>0.99999995912670303</v>
      </c>
    </row>
    <row r="3013" spans="1:40" x14ac:dyDescent="0.25">
      <c r="A3013" t="str">
        <f>"20190312161328161"</f>
        <v>20190312161328161</v>
      </c>
      <c r="B3013" t="str">
        <f>"1552378408148972"</f>
        <v>1552378408148972</v>
      </c>
      <c r="C3013" t="s">
        <v>40</v>
      </c>
      <c r="D3013">
        <v>5.7291460000000001</v>
      </c>
      <c r="E3013">
        <v>0.4642444</v>
      </c>
      <c r="F3013" t="s">
        <v>74</v>
      </c>
      <c r="G3013">
        <v>-408.80900000000003</v>
      </c>
      <c r="H3013" s="1">
        <v>4.890079E-6</v>
      </c>
      <c r="I3013">
        <v>212.70830000000001</v>
      </c>
      <c r="J3013">
        <v>-449.59710000000001</v>
      </c>
      <c r="K3013">
        <v>1.1091139999999999</v>
      </c>
      <c r="L3013">
        <v>212.62610000000001</v>
      </c>
      <c r="M3013">
        <v>0.99990979999999996</v>
      </c>
      <c r="N3013">
        <v>0</v>
      </c>
      <c r="O3013">
        <v>-1.2098630000000001E-2</v>
      </c>
      <c r="P3013">
        <v>0.99400409999999995</v>
      </c>
      <c r="Q3013">
        <v>-4.5828050000000002E-2</v>
      </c>
      <c r="R3013">
        <v>-9.9278140000000001E-2</v>
      </c>
      <c r="S3013">
        <v>3.0148619999999999</v>
      </c>
      <c r="T3013">
        <v>-8.1599710000000006E-2</v>
      </c>
      <c r="U3013">
        <v>5.8746340000000001E-3</v>
      </c>
      <c r="V3013">
        <v>8.7240929999999994E-2</v>
      </c>
      <c r="W3013">
        <v>-4.0029479999999999E-2</v>
      </c>
      <c r="X3013">
        <v>0.99538269999999995</v>
      </c>
      <c r="Y3013">
        <v>-1.403765E-2</v>
      </c>
      <c r="Z3013">
        <v>5.1733479999999999E-4</v>
      </c>
      <c r="AA3013">
        <v>0.99990140000000005</v>
      </c>
      <c r="AB3013">
        <v>19</v>
      </c>
      <c r="AC3013">
        <v>40.788099999999901</v>
      </c>
      <c r="AD3013">
        <v>-1.109109109921</v>
      </c>
      <c r="AE3013">
        <v>8.2200000000000203E-2</v>
      </c>
      <c r="AF3013">
        <v>-0.57525716134983096</v>
      </c>
      <c r="AG3013">
        <v>-1.109109109921</v>
      </c>
      <c r="AH3013">
        <v>40.753986523855197</v>
      </c>
      <c r="AI3013">
        <v>91.558749701691696</v>
      </c>
      <c r="AJ3013">
        <v>90.808696806009493</v>
      </c>
      <c r="AK3013">
        <v>40.7731340640619</v>
      </c>
      <c r="AL3013">
        <v>92.294133142172797</v>
      </c>
      <c r="AM3013">
        <v>84.991075711235894</v>
      </c>
      <c r="AN3013">
        <v>1.00000002929781</v>
      </c>
    </row>
    <row r="3014" spans="1:40" x14ac:dyDescent="0.25">
      <c r="A3014" t="str">
        <f>"20190312161328184"</f>
        <v>20190312161328184</v>
      </c>
      <c r="B3014" t="str">
        <f>"1552378408179228"</f>
        <v>1552378408179228</v>
      </c>
      <c r="C3014" t="s">
        <v>40</v>
      </c>
      <c r="D3014">
        <v>5.7294910000000003</v>
      </c>
      <c r="E3014">
        <v>0.46732810000000002</v>
      </c>
      <c r="F3014" t="s">
        <v>74</v>
      </c>
      <c r="G3014">
        <v>-405.98680000000002</v>
      </c>
      <c r="H3014" s="1">
        <v>6.2110310000000001E-6</v>
      </c>
      <c r="I3014">
        <v>212.3724</v>
      </c>
      <c r="J3014">
        <v>-449.40350000000001</v>
      </c>
      <c r="K3014">
        <v>1.1091120000000001</v>
      </c>
      <c r="L3014">
        <v>212.62379999999999</v>
      </c>
      <c r="M3014">
        <v>0.99990919999999905</v>
      </c>
      <c r="N3014">
        <v>0</v>
      </c>
      <c r="O3014">
        <v>-1.2136340000000001E-2</v>
      </c>
      <c r="P3014">
        <v>0.99397409999999997</v>
      </c>
      <c r="Q3014">
        <v>-4.61009E-2</v>
      </c>
      <c r="R3014">
        <v>-9.9447930000000004E-2</v>
      </c>
      <c r="S3014">
        <v>3.0128170000000001</v>
      </c>
      <c r="T3014">
        <v>-7.6622720000000005E-2</v>
      </c>
      <c r="U3014">
        <v>-1.7532349999999999E-2</v>
      </c>
      <c r="V3014">
        <v>8.7373690000000004E-2</v>
      </c>
      <c r="W3014">
        <v>-4.0287190000000001E-2</v>
      </c>
      <c r="X3014">
        <v>0.99536060000000004</v>
      </c>
      <c r="Y3014">
        <v>-6.3116559999999997E-3</v>
      </c>
      <c r="Z3014">
        <v>3.888451E-4</v>
      </c>
      <c r="AA3014">
        <v>0.99997999999999998</v>
      </c>
      <c r="AB3014">
        <v>19</v>
      </c>
      <c r="AC3014">
        <v>43.416699999999899</v>
      </c>
      <c r="AD3014">
        <v>-1.1091057889689999</v>
      </c>
      <c r="AE3014">
        <v>-0.25139999999998902</v>
      </c>
      <c r="AF3014">
        <v>-0.27536769298517899</v>
      </c>
      <c r="AG3014">
        <v>-1.1091057889689999</v>
      </c>
      <c r="AH3014">
        <v>43.388240206831902</v>
      </c>
      <c r="AI3014">
        <v>91.464266945193501</v>
      </c>
      <c r="AJ3014">
        <v>90.363628363766793</v>
      </c>
      <c r="AK3014">
        <v>43.403287102052602</v>
      </c>
      <c r="AL3014">
        <v>92.308910890840494</v>
      </c>
      <c r="AM3014">
        <v>84.983381369028706</v>
      </c>
      <c r="AN3014">
        <v>0.99999997170733501</v>
      </c>
    </row>
    <row r="3015" spans="1:40" x14ac:dyDescent="0.25">
      <c r="A3015" t="str">
        <f>"20190312161328207"</f>
        <v>20190312161328207</v>
      </c>
      <c r="B3015" t="str">
        <f>"1552378408198748"</f>
        <v>1552378408198748</v>
      </c>
      <c r="C3015" t="s">
        <v>40</v>
      </c>
      <c r="D3015">
        <v>5.5981990000000001</v>
      </c>
      <c r="E3015">
        <v>0.46694780000000002</v>
      </c>
      <c r="F3015" t="s">
        <v>69</v>
      </c>
      <c r="G3015">
        <v>-398.28530000000001</v>
      </c>
      <c r="H3015" s="1">
        <v>2.872217E-6</v>
      </c>
      <c r="I3015">
        <v>211.89160000000001</v>
      </c>
      <c r="J3015">
        <v>-449.19850000000002</v>
      </c>
      <c r="K3015">
        <v>1.109108</v>
      </c>
      <c r="L3015">
        <v>212.62129999999999</v>
      </c>
      <c r="M3015">
        <v>0.99990869999999998</v>
      </c>
      <c r="N3015">
        <v>0</v>
      </c>
      <c r="O3015">
        <v>-1.217669E-2</v>
      </c>
      <c r="P3015">
        <v>0.99396209999999996</v>
      </c>
      <c r="Q3015">
        <v>-4.7426259999999998E-2</v>
      </c>
      <c r="R3015">
        <v>-9.8946699999999999E-2</v>
      </c>
      <c r="S3015">
        <v>3.0108030000000001</v>
      </c>
      <c r="T3015">
        <v>-6.5325259999999996E-2</v>
      </c>
      <c r="U3015">
        <v>-4.3121340000000001E-2</v>
      </c>
      <c r="V3015">
        <v>8.6832110000000004E-2</v>
      </c>
      <c r="W3015">
        <v>-4.1596340000000002E-2</v>
      </c>
      <c r="X3015">
        <v>0.99535419999999997</v>
      </c>
      <c r="Y3015">
        <v>2.146387E-3</v>
      </c>
      <c r="Z3015">
        <v>2.4086520000000001E-4</v>
      </c>
      <c r="AA3015">
        <v>0.99999769999999999</v>
      </c>
      <c r="AB3015">
        <v>19</v>
      </c>
      <c r="AC3015">
        <v>50.913200000000003</v>
      </c>
      <c r="AD3015">
        <v>-1.109105127783</v>
      </c>
      <c r="AE3015">
        <v>-0.72969999999997903</v>
      </c>
      <c r="AF3015">
        <v>0.109628993144898</v>
      </c>
      <c r="AG3015">
        <v>-1.109105127783</v>
      </c>
      <c r="AH3015">
        <v>50.894163705095501</v>
      </c>
      <c r="AI3015">
        <v>91.248411096182593</v>
      </c>
      <c r="AJ3015">
        <v>89.876581744403495</v>
      </c>
      <c r="AK3015">
        <v>50.9063653381546</v>
      </c>
      <c r="AL3015">
        <v>92.383982480928907</v>
      </c>
      <c r="AM3015">
        <v>85.014287436682295</v>
      </c>
      <c r="AN3015">
        <v>1.00000002714304</v>
      </c>
    </row>
    <row r="3016" spans="1:40" x14ac:dyDescent="0.25">
      <c r="A3016" t="str">
        <f>"20190312161328230"</f>
        <v>20190312161328230</v>
      </c>
      <c r="B3016" t="str">
        <f>"1552378408219245"</f>
        <v>1552378408219245</v>
      </c>
      <c r="C3016" t="s">
        <v>40</v>
      </c>
      <c r="D3016">
        <v>5.7031070000000001</v>
      </c>
      <c r="E3016">
        <v>0.46723379999999998</v>
      </c>
      <c r="F3016" t="s">
        <v>69</v>
      </c>
      <c r="G3016">
        <v>-392.45490000000001</v>
      </c>
      <c r="H3016" s="1">
        <v>-2.3041229999999999E-7</v>
      </c>
      <c r="I3016">
        <v>211.8878</v>
      </c>
      <c r="J3016">
        <v>-448.9932</v>
      </c>
      <c r="K3016">
        <v>1.1091070000000001</v>
      </c>
      <c r="L3016">
        <v>212.61869999999999</v>
      </c>
      <c r="M3016">
        <v>0.99990809999999997</v>
      </c>
      <c r="N3016">
        <v>0</v>
      </c>
      <c r="O3016">
        <v>-1.2217270000000001E-2</v>
      </c>
      <c r="P3016">
        <v>0.99395279999999997</v>
      </c>
      <c r="Q3016">
        <v>-4.8482070000000002E-2</v>
      </c>
      <c r="R3016">
        <v>-9.8526069999999993E-2</v>
      </c>
      <c r="S3016">
        <v>3.0115970000000001</v>
      </c>
      <c r="T3016">
        <v>-5.8864590000000001E-2</v>
      </c>
      <c r="U3016">
        <v>-3.8925170000000002E-2</v>
      </c>
      <c r="V3016">
        <v>8.6371219999999999E-2</v>
      </c>
      <c r="W3016">
        <v>-4.2635899999999997E-2</v>
      </c>
      <c r="X3016">
        <v>0.99535030000000002</v>
      </c>
      <c r="Y3016">
        <v>7.087873E-4</v>
      </c>
      <c r="Z3016">
        <v>2.3183470000000001E-4</v>
      </c>
      <c r="AA3016">
        <v>0.99999970000000005</v>
      </c>
      <c r="AB3016">
        <v>20</v>
      </c>
      <c r="AC3016">
        <v>56.5382999999999</v>
      </c>
      <c r="AD3016">
        <v>-1.1091072304123</v>
      </c>
      <c r="AE3016">
        <v>-0.730899999999991</v>
      </c>
      <c r="AF3016">
        <v>4.0074426999235302E-2</v>
      </c>
      <c r="AG3016">
        <v>-1.1091072304123</v>
      </c>
      <c r="AH3016">
        <v>56.521262877024697</v>
      </c>
      <c r="AI3016">
        <v>91.124160884201203</v>
      </c>
      <c r="AJ3016">
        <v>89.959376435843097</v>
      </c>
      <c r="AK3016">
        <v>56.532157945915898</v>
      </c>
      <c r="AL3016">
        <v>92.443597810830695</v>
      </c>
      <c r="AM3016">
        <v>85.040599081403698</v>
      </c>
      <c r="AN3016">
        <v>1.0000000136615901</v>
      </c>
    </row>
    <row r="3017" spans="1:40" x14ac:dyDescent="0.25">
      <c r="A3017" t="str">
        <f>"20190312161328252"</f>
        <v>20190312161328252</v>
      </c>
      <c r="B3017" t="str">
        <f>"1552378408248524"</f>
        <v>1552378408248524</v>
      </c>
      <c r="C3017" t="s">
        <v>40</v>
      </c>
      <c r="D3017">
        <v>5.7304019999999998</v>
      </c>
      <c r="E3017">
        <v>0.46772059999999999</v>
      </c>
      <c r="F3017" t="s">
        <v>69</v>
      </c>
      <c r="G3017">
        <v>-385.12939999999998</v>
      </c>
      <c r="H3017" s="1">
        <v>1.317911E-6</v>
      </c>
      <c r="I3017">
        <v>211.75479999999999</v>
      </c>
      <c r="J3017">
        <v>-448.79590000000002</v>
      </c>
      <c r="K3017">
        <v>1.1091</v>
      </c>
      <c r="L3017">
        <v>212.6163</v>
      </c>
      <c r="M3017">
        <v>0.9999074</v>
      </c>
      <c r="N3017">
        <v>0</v>
      </c>
      <c r="O3017">
        <v>-1.225618E-2</v>
      </c>
      <c r="P3017">
        <v>0.99392840000000005</v>
      </c>
      <c r="Q3017">
        <v>-4.9058419999999998E-2</v>
      </c>
      <c r="R3017">
        <v>-9.8486550000000006E-2</v>
      </c>
      <c r="S3017">
        <v>3.0116580000000002</v>
      </c>
      <c r="T3017">
        <v>-5.2302719999999997E-2</v>
      </c>
      <c r="U3017">
        <v>-4.0740970000000001E-2</v>
      </c>
      <c r="V3017">
        <v>8.6293159999999994E-2</v>
      </c>
      <c r="W3017">
        <v>-4.3196760000000001E-2</v>
      </c>
      <c r="X3017">
        <v>0.99533289999999996</v>
      </c>
      <c r="Y3017">
        <v>1.271882E-3</v>
      </c>
      <c r="Z3017">
        <v>2.017768E-4</v>
      </c>
      <c r="AA3017">
        <v>0.99999919999999998</v>
      </c>
      <c r="AB3017">
        <v>20</v>
      </c>
      <c r="AC3017">
        <v>63.666499999999999</v>
      </c>
      <c r="AD3017">
        <v>-1.1090986820890001</v>
      </c>
      <c r="AE3017">
        <v>-0.86150000000000604</v>
      </c>
      <c r="AF3017">
        <v>8.1088956004845697E-2</v>
      </c>
      <c r="AG3017">
        <v>-1.1090986820890001</v>
      </c>
      <c r="AH3017">
        <v>63.652963391756302</v>
      </c>
      <c r="AI3017">
        <v>90.998228343829695</v>
      </c>
      <c r="AJ3017">
        <v>89.927009644432701</v>
      </c>
      <c r="AK3017">
        <v>63.662676851179199</v>
      </c>
      <c r="AL3017">
        <v>92.475762326104004</v>
      </c>
      <c r="AM3017">
        <v>85.044972742274297</v>
      </c>
      <c r="AN3017">
        <v>1.00000002567984</v>
      </c>
    </row>
    <row r="3018" spans="1:40" x14ac:dyDescent="0.25">
      <c r="A3018" t="str">
        <f>"20190312161328273"</f>
        <v>20190312161328273</v>
      </c>
      <c r="B3018" t="str">
        <f>"1552378408269020"</f>
        <v>1552378408269020</v>
      </c>
      <c r="C3018" t="s">
        <v>40</v>
      </c>
      <c r="D3018">
        <v>5.7594719999999997</v>
      </c>
      <c r="E3018">
        <v>0.4683175</v>
      </c>
      <c r="F3018" t="s">
        <v>69</v>
      </c>
      <c r="G3018">
        <v>-375.46429999999998</v>
      </c>
      <c r="H3018" s="1">
        <v>1.371035E-6</v>
      </c>
      <c r="I3018">
        <v>211.5213</v>
      </c>
      <c r="J3018">
        <v>-448.6044</v>
      </c>
      <c r="K3018">
        <v>1.109092</v>
      </c>
      <c r="L3018">
        <v>212.6139</v>
      </c>
      <c r="M3018">
        <v>0.99990710000000005</v>
      </c>
      <c r="N3018">
        <v>0</v>
      </c>
      <c r="O3018">
        <v>-1.2294019999999999E-2</v>
      </c>
      <c r="P3018">
        <v>0.99408160000000001</v>
      </c>
      <c r="Q3018">
        <v>-4.8766549999999999E-2</v>
      </c>
      <c r="R3018">
        <v>-9.7077709999999998E-2</v>
      </c>
      <c r="S3018">
        <v>3.0116269999999998</v>
      </c>
      <c r="T3018">
        <v>-4.5549149999999997E-2</v>
      </c>
      <c r="U3018">
        <v>-4.4967649999999998E-2</v>
      </c>
      <c r="V3018">
        <v>8.4844890000000006E-2</v>
      </c>
      <c r="W3018">
        <v>-4.2888740000000002E-2</v>
      </c>
      <c r="X3018">
        <v>0.99547070000000004</v>
      </c>
      <c r="Y3018">
        <v>2.6367980000000001E-3</v>
      </c>
      <c r="Z3018">
        <v>1.659768E-4</v>
      </c>
      <c r="AA3018">
        <v>0.99999649999999995</v>
      </c>
      <c r="AB3018">
        <v>20</v>
      </c>
      <c r="AC3018">
        <v>73.140100000000004</v>
      </c>
      <c r="AD3018">
        <v>-1.109090628965</v>
      </c>
      <c r="AE3018">
        <v>-1.0926</v>
      </c>
      <c r="AF3018">
        <v>0.193271562524026</v>
      </c>
      <c r="AG3018">
        <v>-1.109090628965</v>
      </c>
      <c r="AH3018">
        <v>73.1311926125166</v>
      </c>
      <c r="AI3018">
        <v>90.868864800206396</v>
      </c>
      <c r="AJ3018">
        <v>89.848578716467799</v>
      </c>
      <c r="AK3018">
        <v>73.139857593853193</v>
      </c>
      <c r="AL3018">
        <v>92.458097755493199</v>
      </c>
      <c r="AM3018">
        <v>85.1284011361317</v>
      </c>
      <c r="AN3018">
        <v>1.00000000696819</v>
      </c>
    </row>
    <row r="3019" spans="1:40" x14ac:dyDescent="0.25">
      <c r="A3019" t="str">
        <f>"20190312161328295"</f>
        <v>20190312161328295</v>
      </c>
      <c r="B3019" t="str">
        <f>"1552378408288541"</f>
        <v>1552378408288541</v>
      </c>
      <c r="C3019" t="s">
        <v>40</v>
      </c>
      <c r="D3019">
        <v>5.7412099999999997</v>
      </c>
      <c r="E3019">
        <v>0.46889799999999998</v>
      </c>
      <c r="F3019" t="s">
        <v>69</v>
      </c>
      <c r="G3019">
        <v>-366.0213</v>
      </c>
      <c r="H3019" s="1">
        <v>1.6674389999999999E-6</v>
      </c>
      <c r="I3019">
        <v>211.36439999999999</v>
      </c>
      <c r="J3019">
        <v>-448.41669999999999</v>
      </c>
      <c r="K3019">
        <v>1.109091</v>
      </c>
      <c r="L3019">
        <v>212.61150000000001</v>
      </c>
      <c r="M3019">
        <v>0.99990650000000003</v>
      </c>
      <c r="N3019">
        <v>0</v>
      </c>
      <c r="O3019">
        <v>-1.2331140000000001E-2</v>
      </c>
      <c r="P3019">
        <v>0.99423090000000003</v>
      </c>
      <c r="Q3019">
        <v>-4.9204779999999997E-2</v>
      </c>
      <c r="R3019">
        <v>-9.5309210000000005E-2</v>
      </c>
      <c r="S3019">
        <v>3.011444</v>
      </c>
      <c r="T3019">
        <v>-4.0443659999999999E-2</v>
      </c>
      <c r="U3019">
        <v>-4.5562739999999997E-2</v>
      </c>
      <c r="V3019">
        <v>8.3037899999999901E-2</v>
      </c>
      <c r="W3019">
        <v>-4.331103E-2</v>
      </c>
      <c r="X3019">
        <v>0.99560479999999996</v>
      </c>
      <c r="Y3019">
        <v>2.7979010000000002E-3</v>
      </c>
      <c r="Z3019">
        <v>1.4679999999999999E-4</v>
      </c>
      <c r="AA3019">
        <v>0.99999610000000005</v>
      </c>
      <c r="AB3019">
        <v>20</v>
      </c>
      <c r="AC3019">
        <v>82.395399999999995</v>
      </c>
      <c r="AD3019">
        <v>-1.1090893325610001</v>
      </c>
      <c r="AE3019">
        <v>-1.2471000000000101</v>
      </c>
      <c r="AF3019">
        <v>0.23091638813090601</v>
      </c>
      <c r="AG3019">
        <v>-1.1090893325610001</v>
      </c>
      <c r="AH3019">
        <v>82.389589070495504</v>
      </c>
      <c r="AI3019">
        <v>90.771238830025197</v>
      </c>
      <c r="AJ3019">
        <v>89.839415392571993</v>
      </c>
      <c r="AK3019">
        <v>82.3973773170665</v>
      </c>
      <c r="AL3019">
        <v>92.4823156421497</v>
      </c>
      <c r="AM3019">
        <v>85.232310078496297</v>
      </c>
      <c r="AN3019">
        <v>1.00000002796955</v>
      </c>
    </row>
    <row r="3020" spans="1:40" x14ac:dyDescent="0.25">
      <c r="A3020" t="str">
        <f>"20190312161328317"</f>
        <v>20190312161328317</v>
      </c>
      <c r="B3020" t="str">
        <f>"1552378408309037"</f>
        <v>1552378408309037</v>
      </c>
      <c r="C3020" t="s">
        <v>40</v>
      </c>
      <c r="D3020">
        <v>5.8230820000000003</v>
      </c>
      <c r="E3020">
        <v>0.46950639999999999</v>
      </c>
      <c r="F3020" t="s">
        <v>69</v>
      </c>
      <c r="G3020">
        <v>-369.16750000000002</v>
      </c>
      <c r="H3020" s="1">
        <v>3.341689E-6</v>
      </c>
      <c r="I3020">
        <v>211.43770000000001</v>
      </c>
      <c r="J3020">
        <v>-448.20339999999999</v>
      </c>
      <c r="K3020">
        <v>1.1090869999999999</v>
      </c>
      <c r="L3020">
        <v>212.60890000000001</v>
      </c>
      <c r="M3020">
        <v>0.99990579999999996</v>
      </c>
      <c r="N3020">
        <v>0</v>
      </c>
      <c r="O3020">
        <v>-1.237268E-2</v>
      </c>
      <c r="P3020">
        <v>0.99439840000000002</v>
      </c>
      <c r="Q3020">
        <v>-4.955495E-2</v>
      </c>
      <c r="R3020">
        <v>-9.3361609999999998E-2</v>
      </c>
      <c r="S3020">
        <v>3.011047</v>
      </c>
      <c r="T3020">
        <v>-4.2139410000000002E-2</v>
      </c>
      <c r="U3020">
        <v>-4.4601439999999999E-2</v>
      </c>
      <c r="V3020">
        <v>8.1046660000000006E-2</v>
      </c>
      <c r="W3020">
        <v>-4.3642979999999998E-2</v>
      </c>
      <c r="X3020">
        <v>0.99575440000000004</v>
      </c>
      <c r="Y3020">
        <v>2.4392760000000002E-3</v>
      </c>
      <c r="Z3020">
        <v>1.5606560000000001E-4</v>
      </c>
      <c r="AA3020">
        <v>0.99999700000000002</v>
      </c>
      <c r="AB3020">
        <v>20</v>
      </c>
      <c r="AC3020">
        <v>79.035899999999899</v>
      </c>
      <c r="AD3020">
        <v>-1.109083658311</v>
      </c>
      <c r="AE3020">
        <v>-1.17119999999999</v>
      </c>
      <c r="AF3020">
        <v>0.19316915500824799</v>
      </c>
      <c r="AG3020">
        <v>-1.109083658311</v>
      </c>
      <c r="AH3020">
        <v>79.0287825865516</v>
      </c>
      <c r="AI3020">
        <v>90.804029235535097</v>
      </c>
      <c r="AJ3020">
        <v>89.859952856285105</v>
      </c>
      <c r="AK3020">
        <v>79.036800656377906</v>
      </c>
      <c r="AL3020">
        <v>92.5013529268507</v>
      </c>
      <c r="AM3020">
        <v>85.346826570131796</v>
      </c>
      <c r="AN3020">
        <v>1.0000000479598901</v>
      </c>
    </row>
    <row r="3021" spans="1:40" x14ac:dyDescent="0.25">
      <c r="A3021" t="str">
        <f>"20190312161328642"</f>
        <v>20190312161328642</v>
      </c>
      <c r="B3021" t="str">
        <f>"1552378408638924"</f>
        <v>1552378408638924</v>
      </c>
      <c r="C3021" t="s">
        <v>40</v>
      </c>
      <c r="D3021">
        <v>5.2909540000000002</v>
      </c>
      <c r="E3021">
        <v>0.46867510000000001</v>
      </c>
      <c r="F3021" t="s">
        <v>69</v>
      </c>
      <c r="G3021">
        <v>-362.40600000000001</v>
      </c>
      <c r="H3021" s="1">
        <v>-2.5643739999999998E-7</v>
      </c>
      <c r="I3021">
        <v>211.3518</v>
      </c>
      <c r="J3021">
        <v>-445.161</v>
      </c>
      <c r="K3021">
        <v>1.109084</v>
      </c>
      <c r="L3021">
        <v>212.56890000000001</v>
      </c>
      <c r="M3021">
        <v>0.99989150000000004</v>
      </c>
      <c r="N3021">
        <v>0</v>
      </c>
      <c r="O3021">
        <v>-1.3363710000000001E-2</v>
      </c>
      <c r="P3021">
        <v>0.99375389999999997</v>
      </c>
      <c r="Q3021">
        <v>-4.8117849999999997E-2</v>
      </c>
      <c r="R3021">
        <v>-0.10068829999999999</v>
      </c>
      <c r="S3021">
        <v>3.010834</v>
      </c>
      <c r="T3021">
        <v>-3.892052E-2</v>
      </c>
      <c r="U3021">
        <v>-4.4113159999999998E-2</v>
      </c>
      <c r="V3021">
        <v>8.7391579999999996E-2</v>
      </c>
      <c r="W3021">
        <v>-4.1969779999999998E-2</v>
      </c>
      <c r="X3021">
        <v>0.99528950000000005</v>
      </c>
      <c r="Y3021">
        <v>1.287077E-3</v>
      </c>
      <c r="Z3021">
        <v>1.6441089999999999E-4</v>
      </c>
      <c r="AA3021">
        <v>0.99999919999999998</v>
      </c>
      <c r="AB3021">
        <v>22</v>
      </c>
      <c r="AC3021">
        <v>82.754999999999995</v>
      </c>
      <c r="AD3021">
        <v>-1.1090842564373999</v>
      </c>
      <c r="AE3021">
        <v>-1.2171000000000101</v>
      </c>
      <c r="AF3021">
        <v>0.111036316489053</v>
      </c>
      <c r="AG3021">
        <v>-1.1090842564373999</v>
      </c>
      <c r="AH3021">
        <v>82.749015432701995</v>
      </c>
      <c r="AI3021">
        <v>90.767888110442001</v>
      </c>
      <c r="AJ3021">
        <v>89.923118015895</v>
      </c>
      <c r="AK3021">
        <v>82.756522111752702</v>
      </c>
      <c r="AL3021">
        <v>92.405397856294599</v>
      </c>
      <c r="AM3021">
        <v>84.982002833277406</v>
      </c>
      <c r="AN3021">
        <v>0.99999996974919603</v>
      </c>
    </row>
    <row r="3022" spans="1:40" x14ac:dyDescent="0.25">
      <c r="A3022" t="str">
        <f>"20190312161328665"</f>
        <v>20190312161328665</v>
      </c>
      <c r="B3022" t="str">
        <f>"1552378408658444"</f>
        <v>1552378408658444</v>
      </c>
      <c r="C3022" t="s">
        <v>40</v>
      </c>
      <c r="D3022">
        <v>5.5206160000000004</v>
      </c>
      <c r="E3022">
        <v>0.46889839999999999</v>
      </c>
      <c r="F3022" t="s">
        <v>69</v>
      </c>
      <c r="G3022">
        <v>-344.9357</v>
      </c>
      <c r="H3022" s="1">
        <v>1.089758E-6</v>
      </c>
      <c r="I3022">
        <v>210.58760000000001</v>
      </c>
      <c r="J3022">
        <v>-444.94009999999997</v>
      </c>
      <c r="K3022">
        <v>1.1090880000000001</v>
      </c>
      <c r="L3022">
        <v>212.5658</v>
      </c>
      <c r="M3022">
        <v>0.99989030000000001</v>
      </c>
      <c r="N3022">
        <v>0</v>
      </c>
      <c r="O3022">
        <v>-1.345436E-2</v>
      </c>
      <c r="P3022">
        <v>0.99376229999999999</v>
      </c>
      <c r="Q3022">
        <v>-4.7243569999999999E-2</v>
      </c>
      <c r="R3022">
        <v>-0.1010196</v>
      </c>
      <c r="S3022">
        <v>3.0112000000000001</v>
      </c>
      <c r="T3022">
        <v>-3.3321620000000003E-2</v>
      </c>
      <c r="U3022">
        <v>-5.9524540000000001E-2</v>
      </c>
      <c r="V3022">
        <v>8.7632559999999998E-2</v>
      </c>
      <c r="W3022">
        <v>-4.1077219999999998E-2</v>
      </c>
      <c r="X3022">
        <v>0.99530560000000001</v>
      </c>
      <c r="Y3022">
        <v>6.3105100000000001E-3</v>
      </c>
      <c r="Z3022">
        <v>1.139487E-4</v>
      </c>
      <c r="AA3022">
        <v>0.99998010000000004</v>
      </c>
      <c r="AB3022">
        <v>22</v>
      </c>
      <c r="AC3022">
        <v>100.00439999999899</v>
      </c>
      <c r="AD3022">
        <v>-1.10908691024199</v>
      </c>
      <c r="AE3022">
        <v>-1.97819999999998</v>
      </c>
      <c r="AF3022">
        <v>0.63242217100020404</v>
      </c>
      <c r="AG3022">
        <v>-1.10908691024199</v>
      </c>
      <c r="AH3022">
        <v>100.00966774707901</v>
      </c>
      <c r="AI3022">
        <v>90.6353598137988</v>
      </c>
      <c r="AJ3022">
        <v>89.637688644447394</v>
      </c>
      <c r="AK3022">
        <v>100.017816785101</v>
      </c>
      <c r="AL3022">
        <v>92.354213667717701</v>
      </c>
      <c r="AM3022">
        <v>84.968317751433801</v>
      </c>
      <c r="AN3022">
        <v>1.00000002048322</v>
      </c>
    </row>
    <row r="3023" spans="1:40" x14ac:dyDescent="0.25">
      <c r="A3023" t="str">
        <f>"20190312161328685"</f>
        <v>20190312161328685</v>
      </c>
      <c r="B3023" t="str">
        <f>"1552378408678940"</f>
        <v>1552378408678940</v>
      </c>
      <c r="C3023" t="s">
        <v>40</v>
      </c>
      <c r="D3023">
        <v>5.2494239999999897</v>
      </c>
      <c r="E3023">
        <v>0.46833999999999998</v>
      </c>
      <c r="F3023" t="s">
        <v>74</v>
      </c>
      <c r="G3023">
        <v>-290.26479999999998</v>
      </c>
      <c r="H3023" s="1">
        <v>1.00472E-6</v>
      </c>
      <c r="I3023">
        <v>209.33600000000001</v>
      </c>
      <c r="J3023">
        <v>-444.74299999999999</v>
      </c>
      <c r="K3023">
        <v>1.109089</v>
      </c>
      <c r="L3023">
        <v>212.56309999999999</v>
      </c>
      <c r="M3023">
        <v>0.99988900000000003</v>
      </c>
      <c r="N3023">
        <v>0</v>
      </c>
      <c r="O3023">
        <v>-1.353452E-2</v>
      </c>
      <c r="P3023">
        <v>0.99375100000000005</v>
      </c>
      <c r="Q3023">
        <v>-4.7067169999999998E-2</v>
      </c>
      <c r="R3023">
        <v>-0.1012112</v>
      </c>
      <c r="S3023">
        <v>3.011444</v>
      </c>
      <c r="T3023">
        <v>-2.1593330000000001E-2</v>
      </c>
      <c r="U3023">
        <v>-6.2881469999999995E-2</v>
      </c>
      <c r="V3023">
        <v>8.7744589999999997E-2</v>
      </c>
      <c r="W3023">
        <v>-4.0884570000000002E-2</v>
      </c>
      <c r="X3023">
        <v>0.99530359999999996</v>
      </c>
      <c r="Y3023">
        <v>7.34270199999999E-3</v>
      </c>
      <c r="Z3023" s="1">
        <v>7.0710710000000001E-5</v>
      </c>
      <c r="AA3023">
        <v>0.99997309999999995</v>
      </c>
      <c r="AB3023">
        <v>22</v>
      </c>
      <c r="AC3023">
        <v>154.47819999999999</v>
      </c>
      <c r="AD3023">
        <v>-1.1090879952799999</v>
      </c>
      <c r="AE3023">
        <v>-3.2271000000000001</v>
      </c>
      <c r="AF3023">
        <v>1.1359170183084599</v>
      </c>
      <c r="AG3023">
        <v>-1.1090879952799999</v>
      </c>
      <c r="AH3023">
        <v>154.49976757243499</v>
      </c>
      <c r="AI3023">
        <v>90.411283805667793</v>
      </c>
      <c r="AJ3023">
        <v>89.578756140604298</v>
      </c>
      <c r="AK3023">
        <v>154.50792395081299</v>
      </c>
      <c r="AL3023">
        <v>92.343166500444198</v>
      </c>
      <c r="AM3023">
        <v>84.961908231363694</v>
      </c>
      <c r="AN3023">
        <v>0.99999995865565505</v>
      </c>
    </row>
    <row r="3024" spans="1:40" x14ac:dyDescent="0.25">
      <c r="A3024" t="str">
        <f>"20190312161328708"</f>
        <v>20190312161328708</v>
      </c>
      <c r="B3024" t="str">
        <f>"1552378408698967"</f>
        <v>1552378408698967</v>
      </c>
      <c r="C3024" t="s">
        <v>40</v>
      </c>
      <c r="D3024">
        <v>5.2810739999999896</v>
      </c>
      <c r="E3024">
        <v>0.46814670000000003</v>
      </c>
      <c r="F3024" t="s">
        <v>81</v>
      </c>
      <c r="G3024">
        <v>-168.41050000000001</v>
      </c>
      <c r="H3024">
        <v>0.61183929999999997</v>
      </c>
      <c r="I3024">
        <v>207.05959999999999</v>
      </c>
      <c r="J3024">
        <v>-444.51409999999998</v>
      </c>
      <c r="K3024">
        <v>1.1090899999999999</v>
      </c>
      <c r="L3024">
        <v>212.5599</v>
      </c>
      <c r="M3024">
        <v>0.99988759999999999</v>
      </c>
      <c r="N3024">
        <v>0</v>
      </c>
      <c r="O3024">
        <v>-1.362673E-2</v>
      </c>
      <c r="P3024">
        <v>0.99375089999999999</v>
      </c>
      <c r="Q3024">
        <v>-4.685255E-2</v>
      </c>
      <c r="R3024">
        <v>-0.1013115</v>
      </c>
      <c r="S3024">
        <v>3.012543</v>
      </c>
      <c r="T3024">
        <v>-5.4205659999999999E-3</v>
      </c>
      <c r="U3024">
        <v>-5.9997559999999998E-2</v>
      </c>
      <c r="V3024">
        <v>8.7753319999999996E-2</v>
      </c>
      <c r="W3024">
        <v>-4.0651060000000003E-2</v>
      </c>
      <c r="X3024">
        <v>0.99531250000000004</v>
      </c>
      <c r="Y3024">
        <v>6.2858430000000002E-3</v>
      </c>
      <c r="Z3024" s="1">
        <v>1.8861040000000001E-5</v>
      </c>
      <c r="AA3024">
        <v>0.99998030000000004</v>
      </c>
      <c r="AB3024">
        <v>22</v>
      </c>
      <c r="AC3024">
        <v>276.10359999999997</v>
      </c>
      <c r="AD3024">
        <v>-0.49725069999999899</v>
      </c>
      <c r="AE3024">
        <v>-5.50030000000001</v>
      </c>
      <c r="AF3024">
        <v>1.7373208890952501</v>
      </c>
      <c r="AG3024">
        <v>-0.49725069999999899</v>
      </c>
      <c r="AH3024">
        <v>276.152020515993</v>
      </c>
      <c r="AI3024">
        <v>90.103166986919803</v>
      </c>
      <c r="AJ3024">
        <v>89.639546937924294</v>
      </c>
      <c r="AK3024">
        <v>276.15793303324801</v>
      </c>
      <c r="AL3024">
        <v>92.329775986521796</v>
      </c>
      <c r="AM3024">
        <v>84.961454377816096</v>
      </c>
      <c r="AN3024">
        <v>1.00000006325319</v>
      </c>
    </row>
    <row r="3025" spans="1:40" x14ac:dyDescent="0.25">
      <c r="A3025" t="str">
        <f>"20190312161328731"</f>
        <v>20190312161328731</v>
      </c>
      <c r="B3025" t="str">
        <f>"1552378408718487"</f>
        <v>1552378408718487</v>
      </c>
      <c r="C3025" t="s">
        <v>40</v>
      </c>
      <c r="D3025">
        <v>5.2172260000000001</v>
      </c>
      <c r="E3025">
        <v>0.46822160000000002</v>
      </c>
      <c r="F3025" t="s">
        <v>81</v>
      </c>
      <c r="G3025">
        <v>-168.41079999999999</v>
      </c>
      <c r="H3025">
        <v>1.6616439999999999</v>
      </c>
      <c r="I3025">
        <v>207.11930000000001</v>
      </c>
      <c r="J3025">
        <v>-444.29410000000001</v>
      </c>
      <c r="K3025">
        <v>1.1090850000000001</v>
      </c>
      <c r="L3025">
        <v>212.55680000000001</v>
      </c>
      <c r="M3025">
        <v>0.99988639999999995</v>
      </c>
      <c r="N3025">
        <v>0</v>
      </c>
      <c r="O3025">
        <v>-1.371488E-2</v>
      </c>
      <c r="P3025">
        <v>0.9937376</v>
      </c>
      <c r="Q3025">
        <v>-4.6392849999999999E-2</v>
      </c>
      <c r="R3025">
        <v>-0.10165399999999999</v>
      </c>
      <c r="S3025">
        <v>3.0130919999999999</v>
      </c>
      <c r="T3025">
        <v>6.0303209999999999E-3</v>
      </c>
      <c r="U3025">
        <v>-5.937195E-2</v>
      </c>
      <c r="V3025">
        <v>8.8008169999999997E-2</v>
      </c>
      <c r="W3025">
        <v>-4.0173340000000002E-2</v>
      </c>
      <c r="X3025">
        <v>0.99530940000000001</v>
      </c>
      <c r="Y3025">
        <v>5.9865079999999998E-3</v>
      </c>
      <c r="Z3025" s="1">
        <v>-2.1454839999999999E-5</v>
      </c>
      <c r="AA3025">
        <v>0.99998209999999998</v>
      </c>
      <c r="AB3025">
        <v>22</v>
      </c>
      <c r="AC3025">
        <v>275.88330000000002</v>
      </c>
      <c r="AD3025">
        <v>0.55255899999999902</v>
      </c>
      <c r="AE3025">
        <v>-5.4375</v>
      </c>
      <c r="AF3025">
        <v>1.6532016288357101</v>
      </c>
      <c r="AG3025">
        <v>0.55255899999999902</v>
      </c>
      <c r="AH3025">
        <v>275.93082087778799</v>
      </c>
      <c r="AI3025">
        <v>89.885265850324501</v>
      </c>
      <c r="AJ3025">
        <v>89.656724310999294</v>
      </c>
      <c r="AK3025">
        <v>275.93632654538999</v>
      </c>
      <c r="AL3025">
        <v>92.302382258053797</v>
      </c>
      <c r="AM3025">
        <v>84.946881609480201</v>
      </c>
      <c r="AN3025">
        <v>1.00000006848092</v>
      </c>
    </row>
    <row r="3026" spans="1:40" x14ac:dyDescent="0.25">
      <c r="A3026" t="str">
        <f>"20190312161328820"</f>
        <v>20190312161328820</v>
      </c>
      <c r="B3026" t="str">
        <f>"1552378408809257"</f>
        <v>1552378408809257</v>
      </c>
      <c r="C3026" t="s">
        <v>40</v>
      </c>
      <c r="D3026">
        <v>5.2345509999999997</v>
      </c>
      <c r="E3026">
        <v>0.46822160000000002</v>
      </c>
      <c r="F3026" t="s">
        <v>81</v>
      </c>
      <c r="G3026">
        <v>-168.41120000000001</v>
      </c>
      <c r="H3026">
        <v>2.5027689999999998</v>
      </c>
      <c r="I3026">
        <v>206.9324</v>
      </c>
      <c r="J3026">
        <v>-443.39359999999999</v>
      </c>
      <c r="K3026">
        <v>1.109091</v>
      </c>
      <c r="L3026">
        <v>212.54390000000001</v>
      </c>
      <c r="M3026">
        <v>0.99988089999999996</v>
      </c>
      <c r="N3026">
        <v>0</v>
      </c>
      <c r="O3026">
        <v>-1.407131E-2</v>
      </c>
      <c r="P3026">
        <v>0.99365029999999999</v>
      </c>
      <c r="Q3026">
        <v>-4.7181519999999998E-2</v>
      </c>
      <c r="R3026">
        <v>-0.102143</v>
      </c>
      <c r="S3026">
        <v>3.0133359999999998</v>
      </c>
      <c r="T3026">
        <v>1.5222909999999999E-2</v>
      </c>
      <c r="U3026">
        <v>-6.1431880000000001E-2</v>
      </c>
      <c r="V3026">
        <v>8.8143570000000004E-2</v>
      </c>
      <c r="W3026">
        <v>-4.0888279999999999E-2</v>
      </c>
      <c r="X3026">
        <v>0.99526820000000005</v>
      </c>
      <c r="Y3026">
        <v>6.3118430000000001E-3</v>
      </c>
      <c r="Z3026" s="1">
        <v>-5.5133899999999997E-5</v>
      </c>
      <c r="AA3026">
        <v>0.99998010000000004</v>
      </c>
      <c r="AB3026">
        <v>22</v>
      </c>
      <c r="AC3026">
        <v>274.98239999999998</v>
      </c>
      <c r="AD3026">
        <v>1.39367799999999</v>
      </c>
      <c r="AE3026">
        <v>-5.6115000000000004</v>
      </c>
      <c r="AF3026">
        <v>1.74145935167931</v>
      </c>
      <c r="AG3026">
        <v>1.39367799999999</v>
      </c>
      <c r="AH3026">
        <v>275.02707509300399</v>
      </c>
      <c r="AI3026">
        <v>89.709666463939897</v>
      </c>
      <c r="AJ3026">
        <v>89.637210490818404</v>
      </c>
      <c r="AK3026">
        <v>275.03611954296798</v>
      </c>
      <c r="AL3026">
        <v>92.343379230459504</v>
      </c>
      <c r="AM3026">
        <v>84.938939351140206</v>
      </c>
      <c r="AN3026">
        <v>0.99999996515247103</v>
      </c>
    </row>
    <row r="3027" spans="1:40" x14ac:dyDescent="0.25">
      <c r="A3027" t="str">
        <f>"20190312161328843"</f>
        <v>20190312161328843</v>
      </c>
      <c r="B3027" t="str">
        <f>"1552378408838535"</f>
        <v>1552378408838535</v>
      </c>
      <c r="C3027" t="s">
        <v>40</v>
      </c>
      <c r="D3027">
        <v>5.4090829999999999</v>
      </c>
      <c r="E3027">
        <v>0.46631450000000002</v>
      </c>
      <c r="F3027" t="s">
        <v>81</v>
      </c>
      <c r="G3027">
        <v>-168.4111</v>
      </c>
      <c r="H3027">
        <v>2.2699199999999999</v>
      </c>
      <c r="I3027">
        <v>206.8014</v>
      </c>
      <c r="J3027">
        <v>-443.16309999999999</v>
      </c>
      <c r="K3027">
        <v>1.1091059999999999</v>
      </c>
      <c r="L3027">
        <v>212.54050000000001</v>
      </c>
      <c r="M3027">
        <v>0.99987969999999904</v>
      </c>
      <c r="N3027">
        <v>0</v>
      </c>
      <c r="O3027">
        <v>-1.4156230000000001E-2</v>
      </c>
      <c r="P3027">
        <v>0.99363290000000004</v>
      </c>
      <c r="Q3027">
        <v>-4.6431569999999998E-2</v>
      </c>
      <c r="R3027">
        <v>-0.1026576</v>
      </c>
      <c r="S3027">
        <v>3.013306</v>
      </c>
      <c r="T3027">
        <v>1.272094E-2</v>
      </c>
      <c r="U3027">
        <v>-6.2927250000000004E-2</v>
      </c>
      <c r="V3027">
        <v>8.8573949999999999E-2</v>
      </c>
      <c r="W3027">
        <v>-4.011895E-2</v>
      </c>
      <c r="X3027">
        <v>0.99526130000000002</v>
      </c>
      <c r="Y3027">
        <v>6.7231230000000001E-3</v>
      </c>
      <c r="Z3027" s="1">
        <v>-4.5562990000000003E-5</v>
      </c>
      <c r="AA3027">
        <v>0.99997740000000002</v>
      </c>
      <c r="AB3027">
        <v>22</v>
      </c>
      <c r="AC3027">
        <v>274.75199999999899</v>
      </c>
      <c r="AD3027">
        <v>1.160814</v>
      </c>
      <c r="AE3027">
        <v>-5.7390999999999996</v>
      </c>
      <c r="AF3027">
        <v>1.8489612441841701</v>
      </c>
      <c r="AG3027">
        <v>1.160814</v>
      </c>
      <c r="AH3027">
        <v>274.800810058791</v>
      </c>
      <c r="AI3027">
        <v>89.757977998715404</v>
      </c>
      <c r="AJ3027">
        <v>89.614498672100893</v>
      </c>
      <c r="AK3027">
        <v>274.80948192482902</v>
      </c>
      <c r="AL3027">
        <v>92.299263664480904</v>
      </c>
      <c r="AM3027">
        <v>84.914321835834699</v>
      </c>
      <c r="AN3027">
        <v>0.99999996502269695</v>
      </c>
    </row>
    <row r="3028" spans="1:40" x14ac:dyDescent="0.25">
      <c r="A3028" t="str">
        <f>"20190312161328866"</f>
        <v>20190312161328866</v>
      </c>
      <c r="B3028" t="str">
        <f>"1552378408859032"</f>
        <v>1552378408859032</v>
      </c>
      <c r="C3028" t="s">
        <v>40</v>
      </c>
      <c r="D3028">
        <v>5.3981469999999998</v>
      </c>
      <c r="E3028">
        <v>0.46511409999999997</v>
      </c>
      <c r="F3028" t="s">
        <v>74</v>
      </c>
      <c r="G3028">
        <v>-426.27120000000002</v>
      </c>
      <c r="H3028" s="1">
        <v>3.0518339999999998E-6</v>
      </c>
      <c r="I3028">
        <v>212.33269999999999</v>
      </c>
      <c r="J3028">
        <v>-442.92660000000001</v>
      </c>
      <c r="K3028">
        <v>1.109118</v>
      </c>
      <c r="L3028">
        <v>212.53710000000001</v>
      </c>
      <c r="M3028">
        <v>0.9998785</v>
      </c>
      <c r="N3028">
        <v>0</v>
      </c>
      <c r="O3028">
        <v>-1.4229179999999999E-2</v>
      </c>
      <c r="P3028">
        <v>0.99364600000000003</v>
      </c>
      <c r="Q3028">
        <v>-4.5281210000000002E-2</v>
      </c>
      <c r="R3028">
        <v>-0.10304190000000001</v>
      </c>
      <c r="S3028">
        <v>3.0061650000000002</v>
      </c>
      <c r="T3028">
        <v>-0.1973809</v>
      </c>
      <c r="U3028">
        <v>-3.6987300000000001E-2</v>
      </c>
      <c r="V3028">
        <v>8.8886480000000004E-2</v>
      </c>
      <c r="W3028">
        <v>-3.8947379999999997E-2</v>
      </c>
      <c r="X3028">
        <v>0.99528000000000005</v>
      </c>
      <c r="Y3028">
        <v>-1.8920479999999999E-3</v>
      </c>
      <c r="Z3028">
        <v>9.9525039999999996E-4</v>
      </c>
      <c r="AA3028">
        <v>0.99999769999999999</v>
      </c>
      <c r="AB3028">
        <v>23</v>
      </c>
      <c r="AC3028">
        <v>16.655399999999901</v>
      </c>
      <c r="AD3028">
        <v>-1.1091149481659901</v>
      </c>
      <c r="AE3028">
        <v>-0.20440000000002101</v>
      </c>
      <c r="AF3028">
        <v>-3.2474195374426001E-2</v>
      </c>
      <c r="AG3028">
        <v>-1.1091149481659901</v>
      </c>
      <c r="AH3028">
        <v>16.583095862900802</v>
      </c>
      <c r="AI3028">
        <v>93.826365339386996</v>
      </c>
      <c r="AJ3028">
        <v>90.112200518830903</v>
      </c>
      <c r="AK3028">
        <v>16.620176260791201</v>
      </c>
      <c r="AL3028">
        <v>92.2320850663545</v>
      </c>
      <c r="AM3028">
        <v>84.896567185592005</v>
      </c>
      <c r="AN3028">
        <v>0.99999999156782704</v>
      </c>
    </row>
    <row r="3029" spans="1:40" x14ac:dyDescent="0.25">
      <c r="A3029" t="str">
        <f>"20190312161328887"</f>
        <v>20190312161328887</v>
      </c>
      <c r="B3029" t="str">
        <f>"1552378408878552"</f>
        <v>1552378408878552</v>
      </c>
      <c r="C3029" t="s">
        <v>40</v>
      </c>
      <c r="D3029">
        <v>5.3556480000000004</v>
      </c>
      <c r="E3029">
        <v>0.46578130000000001</v>
      </c>
      <c r="F3029" t="s">
        <v>74</v>
      </c>
      <c r="G3029">
        <v>-418.71129999999999</v>
      </c>
      <c r="H3029" s="1">
        <v>3.9551240000000003E-6</v>
      </c>
      <c r="I3029">
        <v>212.28120000000001</v>
      </c>
      <c r="J3029">
        <v>-442.71559999999999</v>
      </c>
      <c r="K3029">
        <v>1.109129</v>
      </c>
      <c r="L3029">
        <v>212.53399999999999</v>
      </c>
      <c r="M3029">
        <v>0.99987760000000003</v>
      </c>
      <c r="N3029">
        <v>0</v>
      </c>
      <c r="O3029">
        <v>-1.427516E-2</v>
      </c>
      <c r="P3029">
        <v>0.99365689999999995</v>
      </c>
      <c r="Q3029">
        <v>-4.5443900000000002E-2</v>
      </c>
      <c r="R3029">
        <v>-0.1028633</v>
      </c>
      <c r="S3029">
        <v>3.0096129999999999</v>
      </c>
      <c r="T3029">
        <v>-0.13784649999999901</v>
      </c>
      <c r="U3029">
        <v>-3.1799319999999999E-2</v>
      </c>
      <c r="V3029">
        <v>8.8663420000000007E-2</v>
      </c>
      <c r="W3029">
        <v>-3.908996E-2</v>
      </c>
      <c r="X3029">
        <v>0.99529429999999997</v>
      </c>
      <c r="Y3029">
        <v>-3.6915709999999998E-3</v>
      </c>
      <c r="Z3029">
        <v>7.3794949999999996E-4</v>
      </c>
      <c r="AA3029">
        <v>0.99999289999999996</v>
      </c>
      <c r="AB3029">
        <v>23</v>
      </c>
      <c r="AC3029">
        <v>24.004300000000001</v>
      </c>
      <c r="AD3029">
        <v>-1.1091250448759999</v>
      </c>
      <c r="AE3029">
        <v>-0.25280000000000702</v>
      </c>
      <c r="AF3029">
        <v>-8.97065134771486E-2</v>
      </c>
      <c r="AG3029">
        <v>-1.1091250448759999</v>
      </c>
      <c r="AH3029">
        <v>23.9543277508958</v>
      </c>
      <c r="AI3029">
        <v>92.650977556462493</v>
      </c>
      <c r="AJ3029">
        <v>90.214565845612697</v>
      </c>
      <c r="AK3029">
        <v>23.980158957377</v>
      </c>
      <c r="AL3029">
        <v>92.240260538447501</v>
      </c>
      <c r="AM3029">
        <v>84.909379592828799</v>
      </c>
      <c r="AN3029">
        <v>0.99999998531569301</v>
      </c>
    </row>
    <row r="3030" spans="1:40" x14ac:dyDescent="0.25">
      <c r="A3030" t="str">
        <f>"20190312161328909"</f>
        <v>20190312161328909</v>
      </c>
      <c r="B3030" t="str">
        <f>"1552378408899047"</f>
        <v>1552378408899047</v>
      </c>
      <c r="C3030" t="s">
        <v>40</v>
      </c>
      <c r="D3030">
        <v>5.4831580000000004</v>
      </c>
      <c r="E3030">
        <v>0.4658408</v>
      </c>
      <c r="F3030" t="s">
        <v>74</v>
      </c>
      <c r="G3030">
        <v>-410.6626</v>
      </c>
      <c r="H3030" s="1">
        <v>2.5412669999999999E-6</v>
      </c>
      <c r="I3030">
        <v>212.12280000000001</v>
      </c>
      <c r="J3030">
        <v>-442.48579999999998</v>
      </c>
      <c r="K3030">
        <v>1.109138</v>
      </c>
      <c r="L3030">
        <v>212.5307</v>
      </c>
      <c r="M3030">
        <v>0.99987720000000002</v>
      </c>
      <c r="N3030">
        <v>0</v>
      </c>
      <c r="O3030">
        <v>-1.430645E-2</v>
      </c>
      <c r="P3030">
        <v>0.99356789999999995</v>
      </c>
      <c r="Q3030">
        <v>-4.602759E-2</v>
      </c>
      <c r="R3030">
        <v>-0.1034631</v>
      </c>
      <c r="S3030">
        <v>3.0104060000000001</v>
      </c>
      <c r="T3030">
        <v>-0.10416880000000001</v>
      </c>
      <c r="U3030">
        <v>-3.8620000000000002E-2</v>
      </c>
      <c r="V3030">
        <v>8.9234629999999995E-2</v>
      </c>
      <c r="W3030">
        <v>-3.9651840000000001E-2</v>
      </c>
      <c r="X3030">
        <v>0.99522100000000002</v>
      </c>
      <c r="Y3030">
        <v>-1.4696589999999999E-3</v>
      </c>
      <c r="Z3030">
        <v>5.2028070000000005E-4</v>
      </c>
      <c r="AA3030">
        <v>0.99999879999999997</v>
      </c>
      <c r="AB3030">
        <v>23</v>
      </c>
      <c r="AC3030">
        <v>31.8231999999999</v>
      </c>
      <c r="AD3030">
        <v>-1.109135458733</v>
      </c>
      <c r="AE3030">
        <v>-0.407899999999983</v>
      </c>
      <c r="AF3030">
        <v>-4.7370546720442303E-2</v>
      </c>
      <c r="AG3030">
        <v>-1.109135458733</v>
      </c>
      <c r="AH3030">
        <v>31.787172079291999</v>
      </c>
      <c r="AI3030">
        <v>91.998382834370403</v>
      </c>
      <c r="AJ3030">
        <v>90.0853844558535</v>
      </c>
      <c r="AK3030">
        <v>31.806551750119599</v>
      </c>
      <c r="AL3030">
        <v>92.272478922153695</v>
      </c>
      <c r="AM3030">
        <v>84.876382157088699</v>
      </c>
      <c r="AN3030">
        <v>0.99999996322381002</v>
      </c>
    </row>
    <row r="3031" spans="1:40" x14ac:dyDescent="0.25">
      <c r="A3031" t="str">
        <f>"20190312161328932"</f>
        <v>20190312161328932</v>
      </c>
      <c r="B3031" t="str">
        <f>"1552378408929303"</f>
        <v>1552378408929303</v>
      </c>
      <c r="C3031" t="s">
        <v>40</v>
      </c>
      <c r="D3031">
        <v>5.4422090000000001</v>
      </c>
      <c r="E3031">
        <v>0.46722829999999899</v>
      </c>
      <c r="F3031" t="s">
        <v>74</v>
      </c>
      <c r="G3031">
        <v>-404.80599999999998</v>
      </c>
      <c r="H3031" s="1">
        <v>6.8103760000000002E-6</v>
      </c>
      <c r="I3031">
        <v>212.006</v>
      </c>
      <c r="J3031">
        <v>-442.2593</v>
      </c>
      <c r="K3031">
        <v>1.109159</v>
      </c>
      <c r="L3031">
        <v>212.5275</v>
      </c>
      <c r="M3031">
        <v>0.99987689999999996</v>
      </c>
      <c r="N3031">
        <v>0</v>
      </c>
      <c r="O3031">
        <v>-1.431639E-2</v>
      </c>
      <c r="P3031">
        <v>0.99363880000000004</v>
      </c>
      <c r="Q3031">
        <v>-4.4915919999999998E-2</v>
      </c>
      <c r="R3031">
        <v>-0.10327020000000001</v>
      </c>
      <c r="S3031">
        <v>3.0109859999999999</v>
      </c>
      <c r="T3031">
        <v>-8.8630319999999999E-2</v>
      </c>
      <c r="U3031">
        <v>-4.193115E-2</v>
      </c>
      <c r="V3031">
        <v>8.9032490000000006E-2</v>
      </c>
      <c r="W3031">
        <v>-3.8517759999999998E-2</v>
      </c>
      <c r="X3031">
        <v>0.99528369999999999</v>
      </c>
      <c r="Y3031">
        <v>-3.8565650000000002E-4</v>
      </c>
      <c r="Z3031">
        <v>4.269624E-4</v>
      </c>
      <c r="AA3031">
        <v>0.99999979999999999</v>
      </c>
      <c r="AB3031">
        <v>23</v>
      </c>
      <c r="AC3031">
        <v>37.453299999999999</v>
      </c>
      <c r="AD3031">
        <v>-1.109152189624</v>
      </c>
      <c r="AE3031">
        <v>-0.52150000000003105</v>
      </c>
      <c r="AF3031">
        <v>-1.47476192682675E-2</v>
      </c>
      <c r="AG3031">
        <v>-1.109152189624</v>
      </c>
      <c r="AH3031">
        <v>37.424112825895897</v>
      </c>
      <c r="AI3031">
        <v>91.697599022995306</v>
      </c>
      <c r="AJ3031">
        <v>90.022578392228795</v>
      </c>
      <c r="AK3031">
        <v>37.440548298301003</v>
      </c>
      <c r="AL3031">
        <v>92.207451099217707</v>
      </c>
      <c r="AM3031">
        <v>84.888247276710104</v>
      </c>
      <c r="AN3031">
        <v>1.0000000227983501</v>
      </c>
    </row>
    <row r="3032" spans="1:40" x14ac:dyDescent="0.25">
      <c r="A3032" t="str">
        <f>"20190312161328954"</f>
        <v>20190312161328954</v>
      </c>
      <c r="B3032" t="str">
        <f>"1552378408948824"</f>
        <v>1552378408948824</v>
      </c>
      <c r="C3032" t="s">
        <v>40</v>
      </c>
      <c r="D3032">
        <v>5.286098</v>
      </c>
      <c r="E3032">
        <v>0.46745979999999998</v>
      </c>
      <c r="F3032" t="s">
        <v>74</v>
      </c>
      <c r="G3032">
        <v>-400.71249999999998</v>
      </c>
      <c r="H3032" s="1">
        <v>8.6677709999999992E-6</v>
      </c>
      <c r="I3032">
        <v>211.8023</v>
      </c>
      <c r="J3032">
        <v>-442.024</v>
      </c>
      <c r="K3032">
        <v>1.1091770000000001</v>
      </c>
      <c r="L3032">
        <v>212.5241</v>
      </c>
      <c r="M3032">
        <v>0.99987689999999996</v>
      </c>
      <c r="N3032">
        <v>0</v>
      </c>
      <c r="O3032">
        <v>-1.4304529999999999E-2</v>
      </c>
      <c r="P3032">
        <v>0.99368800000000002</v>
      </c>
      <c r="Q3032">
        <v>-4.4571230000000003E-2</v>
      </c>
      <c r="R3032">
        <v>-0.1029447</v>
      </c>
      <c r="S3032">
        <v>3.0100709999999999</v>
      </c>
      <c r="T3032">
        <v>-8.0358029999999997E-2</v>
      </c>
      <c r="U3032">
        <v>-5.2536010000000001E-2</v>
      </c>
      <c r="V3032">
        <v>8.8719530000000005E-2</v>
      </c>
      <c r="W3032">
        <v>-3.8150070000000001E-2</v>
      </c>
      <c r="X3032">
        <v>0.99532580000000004</v>
      </c>
      <c r="Y3032">
        <v>3.1502930000000002E-3</v>
      </c>
      <c r="Z3032">
        <v>3.3972849999999998E-4</v>
      </c>
      <c r="AA3032">
        <v>0.99999499999999997</v>
      </c>
      <c r="AB3032">
        <v>23</v>
      </c>
      <c r="AC3032">
        <v>41.311500000000002</v>
      </c>
      <c r="AD3032">
        <v>-1.109168332229</v>
      </c>
      <c r="AE3032">
        <v>-0.721800000000001</v>
      </c>
      <c r="AF3032">
        <v>0.13067810082988901</v>
      </c>
      <c r="AG3032">
        <v>-1.109168332229</v>
      </c>
      <c r="AH3032">
        <v>41.287844447445501</v>
      </c>
      <c r="AI3032">
        <v>91.538832206939205</v>
      </c>
      <c r="AJ3032">
        <v>89.818656586430393</v>
      </c>
      <c r="AK3032">
        <v>41.3029469925781</v>
      </c>
      <c r="AL3032">
        <v>92.186368534380094</v>
      </c>
      <c r="AM3032">
        <v>84.9063353348878</v>
      </c>
      <c r="AN3032">
        <v>1.0000000154950299</v>
      </c>
    </row>
    <row r="3033" spans="1:40" x14ac:dyDescent="0.25">
      <c r="A3033" t="str">
        <f>"20190312161328976"</f>
        <v>20190312161328976</v>
      </c>
      <c r="B3033" t="str">
        <f>"1552378408968344"</f>
        <v>1552378408968344</v>
      </c>
      <c r="C3033" t="s">
        <v>40</v>
      </c>
      <c r="D3033">
        <v>5.4069779999999996</v>
      </c>
      <c r="E3033">
        <v>0.4674314</v>
      </c>
      <c r="F3033" t="s">
        <v>69</v>
      </c>
      <c r="G3033">
        <v>-397.51979999999998</v>
      </c>
      <c r="H3033" s="1">
        <v>2.4648749999999998E-6</v>
      </c>
      <c r="I3033">
        <v>211.73249999999999</v>
      </c>
      <c r="J3033">
        <v>-441.80090000000001</v>
      </c>
      <c r="K3033">
        <v>1.1091899999999999</v>
      </c>
      <c r="L3033">
        <v>212.52099999999999</v>
      </c>
      <c r="M3033">
        <v>0.99987740000000003</v>
      </c>
      <c r="N3033">
        <v>0</v>
      </c>
      <c r="O3033">
        <v>-1.4262250000000001E-2</v>
      </c>
      <c r="P3033">
        <v>0.9937125</v>
      </c>
      <c r="Q3033">
        <v>-4.5201680000000001E-2</v>
      </c>
      <c r="R3033">
        <v>-0.1024345</v>
      </c>
      <c r="S3033">
        <v>3.010132</v>
      </c>
      <c r="T3033">
        <v>-7.5021270000000001E-2</v>
      </c>
      <c r="U3033">
        <v>-5.3543090000000002E-2</v>
      </c>
      <c r="V3033">
        <v>8.8252620000000004E-2</v>
      </c>
      <c r="W3033">
        <v>-3.8758130000000002E-2</v>
      </c>
      <c r="X3033">
        <v>0.9953438</v>
      </c>
      <c r="Y3033">
        <v>3.5260370000000001E-3</v>
      </c>
      <c r="Z3033">
        <v>3.1143149999999999E-4</v>
      </c>
      <c r="AA3033">
        <v>0.99999369999999999</v>
      </c>
      <c r="AB3033">
        <v>23</v>
      </c>
      <c r="AC3033">
        <v>44.281100000000002</v>
      </c>
      <c r="AD3033">
        <v>-1.10918753512499</v>
      </c>
      <c r="AE3033">
        <v>-0.78849999999999898</v>
      </c>
      <c r="AF3033">
        <v>0.15676016106424201</v>
      </c>
      <c r="AG3033">
        <v>-1.10918753512499</v>
      </c>
      <c r="AH3033">
        <v>44.260080150004001</v>
      </c>
      <c r="AI3033">
        <v>91.435561494631003</v>
      </c>
      <c r="AJ3033">
        <v>89.797070903662998</v>
      </c>
      <c r="AK3033">
        <v>44.2742539815291</v>
      </c>
      <c r="AL3033">
        <v>92.221233630304596</v>
      </c>
      <c r="AM3033">
        <v>84.933093332408603</v>
      </c>
      <c r="AN3033">
        <v>0.99999999888820001</v>
      </c>
    </row>
    <row r="3034" spans="1:40" x14ac:dyDescent="0.25">
      <c r="A3034" t="str">
        <f>"20190312161329000"</f>
        <v>20190312161329000</v>
      </c>
      <c r="B3034" t="str">
        <f>"1552378408988839"</f>
        <v>1552378408988839</v>
      </c>
      <c r="C3034" t="s">
        <v>40</v>
      </c>
      <c r="D3034">
        <v>5.4746139999999999</v>
      </c>
      <c r="E3034">
        <v>0.46756589999999998</v>
      </c>
      <c r="F3034" t="s">
        <v>69</v>
      </c>
      <c r="G3034">
        <v>-394.98070000000001</v>
      </c>
      <c r="H3034" s="1">
        <v>1.1136720000000001E-6</v>
      </c>
      <c r="I3034">
        <v>211.7098</v>
      </c>
      <c r="J3034">
        <v>-441.54849999999999</v>
      </c>
      <c r="K3034">
        <v>1.109221</v>
      </c>
      <c r="L3034">
        <v>212.51750000000001</v>
      </c>
      <c r="M3034">
        <v>0.9998785</v>
      </c>
      <c r="N3034">
        <v>0</v>
      </c>
      <c r="O3034">
        <v>-1.41665E-2</v>
      </c>
      <c r="P3034">
        <v>0.99369529999999995</v>
      </c>
      <c r="Q3034">
        <v>-4.5835029999999999E-2</v>
      </c>
      <c r="R3034">
        <v>-0.10231659999999999</v>
      </c>
      <c r="S3034">
        <v>3.0103759999999999</v>
      </c>
      <c r="T3034">
        <v>-7.1316959999999999E-2</v>
      </c>
      <c r="U3034">
        <v>-5.2154539999999999E-2</v>
      </c>
      <c r="V3034">
        <v>8.8233060000000002E-2</v>
      </c>
      <c r="W3034">
        <v>-3.936481E-2</v>
      </c>
      <c r="X3034">
        <v>0.99532180000000003</v>
      </c>
      <c r="Y3034">
        <v>3.1589949999999999E-3</v>
      </c>
      <c r="Z3034">
        <v>2.9811529999999999E-4</v>
      </c>
      <c r="AA3034">
        <v>0.99999499999999997</v>
      </c>
      <c r="AB3034">
        <v>23</v>
      </c>
      <c r="AC3034">
        <v>46.567799999999899</v>
      </c>
      <c r="AD3034">
        <v>-1.1092198863280001</v>
      </c>
      <c r="AE3034">
        <v>-0.80770000000001096</v>
      </c>
      <c r="AF3034">
        <v>0.14781841156053899</v>
      </c>
      <c r="AG3034">
        <v>-1.1092198863280001</v>
      </c>
      <c r="AH3034">
        <v>46.548167314445202</v>
      </c>
      <c r="AI3034">
        <v>91.365064963689093</v>
      </c>
      <c r="AJ3034">
        <v>89.818052070877897</v>
      </c>
      <c r="AK3034">
        <v>46.561616159370999</v>
      </c>
      <c r="AL3034">
        <v>92.256020215239801</v>
      </c>
      <c r="AM3034">
        <v>84.934099111204603</v>
      </c>
      <c r="AN3034">
        <v>1.00000007334926</v>
      </c>
    </row>
    <row r="3035" spans="1:40" x14ac:dyDescent="0.25">
      <c r="A3035" t="str">
        <f>"20190312161329046"</f>
        <v>20190312161329046</v>
      </c>
      <c r="B3035" t="str">
        <f>"1552378409038615"</f>
        <v>1552378409038615</v>
      </c>
      <c r="C3035" t="s">
        <v>40</v>
      </c>
      <c r="D3035">
        <v>5.4507669999999999</v>
      </c>
      <c r="E3035">
        <v>0.46791309999999903</v>
      </c>
      <c r="F3035" t="s">
        <v>69</v>
      </c>
      <c r="G3035">
        <v>-392.7158</v>
      </c>
      <c r="H3035" s="1">
        <v>-9.1577929999999999E-8</v>
      </c>
      <c r="I3035">
        <v>211.65389999999999</v>
      </c>
      <c r="J3035">
        <v>-441.0643</v>
      </c>
      <c r="K3035">
        <v>1.109291</v>
      </c>
      <c r="L3035">
        <v>212.511</v>
      </c>
      <c r="M3035">
        <v>0.99988310000000002</v>
      </c>
      <c r="N3035">
        <v>0</v>
      </c>
      <c r="O3035">
        <v>-1.382837E-2</v>
      </c>
      <c r="P3035">
        <v>0.99371860000000001</v>
      </c>
      <c r="Q3035">
        <v>-4.5911639999999997E-2</v>
      </c>
      <c r="R3035">
        <v>-0.1020575</v>
      </c>
      <c r="S3035">
        <v>3.0104060000000001</v>
      </c>
      <c r="T3035">
        <v>-6.8380479999999993E-2</v>
      </c>
      <c r="U3035">
        <v>-5.3237920000000001E-2</v>
      </c>
      <c r="V3035">
        <v>8.8316839999999994E-2</v>
      </c>
      <c r="W3035">
        <v>-3.938552E-2</v>
      </c>
      <c r="X3035">
        <v>0.99531349999999996</v>
      </c>
      <c r="Y3035">
        <v>3.8562449999999999E-3</v>
      </c>
      <c r="Z3035">
        <v>2.7024409999999998E-4</v>
      </c>
      <c r="AA3035">
        <v>0.99999249999999995</v>
      </c>
      <c r="AB3035">
        <v>23</v>
      </c>
      <c r="AC3035">
        <v>48.348500000000001</v>
      </c>
      <c r="AD3035">
        <v>-1.1092910915779299</v>
      </c>
      <c r="AE3035">
        <v>-0.85710000000000197</v>
      </c>
      <c r="AF3035">
        <v>0.18832376340856299</v>
      </c>
      <c r="AG3035">
        <v>-1.1092910915779299</v>
      </c>
      <c r="AH3035">
        <v>48.330295826577498</v>
      </c>
      <c r="AI3035">
        <v>91.314828661586006</v>
      </c>
      <c r="AJ3035">
        <v>89.776742475282205</v>
      </c>
      <c r="AK3035">
        <v>48.343391350320204</v>
      </c>
      <c r="AL3035">
        <v>92.257207844590496</v>
      </c>
      <c r="AM3035">
        <v>84.929271883921402</v>
      </c>
      <c r="AN3035">
        <v>1.00000002334775</v>
      </c>
    </row>
    <row r="3036" spans="1:40" x14ac:dyDescent="0.25">
      <c r="A3036" t="str">
        <f>"20190312161329067"</f>
        <v>20190312161329067</v>
      </c>
      <c r="B3036" t="str">
        <f>"1552378409059111"</f>
        <v>1552378409059111</v>
      </c>
      <c r="C3036" t="s">
        <v>40</v>
      </c>
      <c r="D3036">
        <v>5.4441009999999999</v>
      </c>
      <c r="E3036">
        <v>0.4681785</v>
      </c>
      <c r="F3036" t="s">
        <v>69</v>
      </c>
      <c r="G3036">
        <v>-388.7928</v>
      </c>
      <c r="H3036" s="1">
        <v>3.276244E-6</v>
      </c>
      <c r="I3036">
        <v>211.5521</v>
      </c>
      <c r="J3036">
        <v>-440.84370000000001</v>
      </c>
      <c r="K3036">
        <v>1.1093280000000001</v>
      </c>
      <c r="L3036">
        <v>212.50810000000001</v>
      </c>
      <c r="M3036">
        <v>0.99988619999999995</v>
      </c>
      <c r="N3036">
        <v>0</v>
      </c>
      <c r="O3036">
        <v>-1.360225E-2</v>
      </c>
      <c r="P3036">
        <v>0.99367229999999995</v>
      </c>
      <c r="Q3036">
        <v>-4.6167800000000002E-2</v>
      </c>
      <c r="R3036">
        <v>-0.1023934</v>
      </c>
      <c r="S3036">
        <v>3.010345</v>
      </c>
      <c r="T3036">
        <v>-6.3884499999999997E-2</v>
      </c>
      <c r="U3036">
        <v>-5.5221560000000003E-2</v>
      </c>
      <c r="V3036">
        <v>8.8881799999999997E-2</v>
      </c>
      <c r="W3036">
        <v>-3.9615400000000002E-2</v>
      </c>
      <c r="X3036">
        <v>0.99525399999999997</v>
      </c>
      <c r="Y3036">
        <v>4.7408859999999997E-3</v>
      </c>
      <c r="Z3036">
        <v>2.3830109999999999E-4</v>
      </c>
      <c r="AA3036">
        <v>0.99998869999999895</v>
      </c>
      <c r="AB3036">
        <v>23</v>
      </c>
      <c r="AC3036">
        <v>52.050899999999999</v>
      </c>
      <c r="AD3036">
        <v>-1.109324723756</v>
      </c>
      <c r="AE3036">
        <v>-0.95600000000001695</v>
      </c>
      <c r="AF3036">
        <v>0.247774623643359</v>
      </c>
      <c r="AG3036">
        <v>-1.109324723756</v>
      </c>
      <c r="AH3036">
        <v>52.035461054469302</v>
      </c>
      <c r="AI3036">
        <v>91.221268668720199</v>
      </c>
      <c r="AJ3036">
        <v>89.727179645849603</v>
      </c>
      <c r="AK3036">
        <v>52.047874123330402</v>
      </c>
      <c r="AL3036">
        <v>92.2703894762206</v>
      </c>
      <c r="AM3036">
        <v>84.896701858703807</v>
      </c>
      <c r="AN3036">
        <v>0.999999939402198</v>
      </c>
    </row>
    <row r="3037" spans="1:40" x14ac:dyDescent="0.25">
      <c r="A3037" t="str">
        <f>"20190312161329113"</f>
        <v>20190312161329113</v>
      </c>
      <c r="B3037" t="str">
        <f>"1552378409108888"</f>
        <v>1552378409108888</v>
      </c>
      <c r="C3037" t="s">
        <v>40</v>
      </c>
      <c r="D3037">
        <v>5.5005319999999998</v>
      </c>
      <c r="E3037">
        <v>0.46848040000000002</v>
      </c>
      <c r="F3037" t="s">
        <v>69</v>
      </c>
      <c r="G3037">
        <v>-385.24419999999998</v>
      </c>
      <c r="H3037" s="1">
        <v>1.393404E-6</v>
      </c>
      <c r="I3037">
        <v>211.42509999999999</v>
      </c>
      <c r="J3037">
        <v>-440.36759999999998</v>
      </c>
      <c r="K3037">
        <v>1.1093999999999999</v>
      </c>
      <c r="L3037">
        <v>212.50239999999999</v>
      </c>
      <c r="M3037">
        <v>0.99989450000000002</v>
      </c>
      <c r="N3037">
        <v>0</v>
      </c>
      <c r="O3037">
        <v>-1.294724E-2</v>
      </c>
      <c r="P3037">
        <v>0.993645</v>
      </c>
      <c r="Q3037">
        <v>-4.6439460000000002E-2</v>
      </c>
      <c r="R3037">
        <v>-0.1025348</v>
      </c>
      <c r="S3037">
        <v>3.010284</v>
      </c>
      <c r="T3037">
        <v>-6.0061450000000002E-2</v>
      </c>
      <c r="U3037">
        <v>-5.8639530000000002E-2</v>
      </c>
      <c r="V3037">
        <v>8.9682739999999997E-2</v>
      </c>
      <c r="W3037">
        <v>-3.9831640000000001E-2</v>
      </c>
      <c r="X3037">
        <v>0.99517359999999999</v>
      </c>
      <c r="Y3037">
        <v>6.5306100000000001E-3</v>
      </c>
      <c r="Z3037">
        <v>1.931294E-4</v>
      </c>
      <c r="AA3037">
        <v>0.9999787</v>
      </c>
      <c r="AB3037">
        <v>24</v>
      </c>
      <c r="AC3037">
        <v>55.123399999999997</v>
      </c>
      <c r="AD3037">
        <v>-1.109398606596</v>
      </c>
      <c r="AE3037">
        <v>-1.0772999999999999</v>
      </c>
      <c r="AF3037">
        <v>0.363351218381049</v>
      </c>
      <c r="AG3037">
        <v>-1.109398606596</v>
      </c>
      <c r="AH3037">
        <v>55.110414100908599</v>
      </c>
      <c r="AI3037">
        <v>91.153210223823194</v>
      </c>
      <c r="AJ3037">
        <v>89.622245813530199</v>
      </c>
      <c r="AK3037">
        <v>55.1227768871439</v>
      </c>
      <c r="AL3037">
        <v>92.282788710417506</v>
      </c>
      <c r="AM3037">
        <v>84.850546894282104</v>
      </c>
      <c r="AN3037">
        <v>1.00000002376797</v>
      </c>
    </row>
    <row r="3038" spans="1:40" x14ac:dyDescent="0.25">
      <c r="A3038" t="str">
        <f>"20190312161329134"</f>
        <v>20190312161329134</v>
      </c>
      <c r="B3038" t="str">
        <f>"1552378409128408"</f>
        <v>1552378409128408</v>
      </c>
      <c r="C3038" t="s">
        <v>40</v>
      </c>
      <c r="D3038">
        <v>5.4676879999999999</v>
      </c>
      <c r="E3038">
        <v>0.4674063</v>
      </c>
      <c r="F3038" t="s">
        <v>69</v>
      </c>
      <c r="G3038">
        <v>-382.86649999999997</v>
      </c>
      <c r="H3038" s="1">
        <v>1.325446E-7</v>
      </c>
      <c r="I3038">
        <v>211.32419999999999</v>
      </c>
      <c r="J3038">
        <v>-440.13229999999999</v>
      </c>
      <c r="K3038">
        <v>1.109437</v>
      </c>
      <c r="L3038">
        <v>212.49979999999999</v>
      </c>
      <c r="M3038">
        <v>0.99989939999999999</v>
      </c>
      <c r="N3038">
        <v>0</v>
      </c>
      <c r="O3038">
        <v>-1.255453E-2</v>
      </c>
      <c r="P3038">
        <v>0.99375970000000002</v>
      </c>
      <c r="Q3038">
        <v>-4.5883550000000002E-2</v>
      </c>
      <c r="R3038">
        <v>-0.10166890000000001</v>
      </c>
      <c r="S3038">
        <v>3.0101010000000001</v>
      </c>
      <c r="T3038">
        <v>-5.8075549999999997E-2</v>
      </c>
      <c r="U3038">
        <v>-6.167603E-2</v>
      </c>
      <c r="V3038">
        <v>8.9208869999999996E-2</v>
      </c>
      <c r="W3038">
        <v>-3.9250109999999998E-2</v>
      </c>
      <c r="X3038">
        <v>0.99523930000000005</v>
      </c>
      <c r="Y3038">
        <v>7.9324589999999993E-3</v>
      </c>
      <c r="Z3038">
        <v>1.6565880000000001E-4</v>
      </c>
      <c r="AA3038">
        <v>0.99996850000000004</v>
      </c>
      <c r="AB3038">
        <v>24</v>
      </c>
      <c r="AC3038">
        <v>57.265799999999999</v>
      </c>
      <c r="AD3038">
        <v>-1.1094368674553901</v>
      </c>
      <c r="AE3038">
        <v>-1.1756</v>
      </c>
      <c r="AF3038">
        <v>0.45637525771531701</v>
      </c>
      <c r="AG3038">
        <v>-1.1094368674553901</v>
      </c>
      <c r="AH3038">
        <v>57.254565677776803</v>
      </c>
      <c r="AI3038">
        <v>91.110061298296202</v>
      </c>
      <c r="AJ3038">
        <v>89.543305899539405</v>
      </c>
      <c r="AK3038">
        <v>57.267132104633802</v>
      </c>
      <c r="AL3038">
        <v>92.249443406872203</v>
      </c>
      <c r="AM3038">
        <v>84.877947042134494</v>
      </c>
      <c r="AN3038">
        <v>1.0000000289430799</v>
      </c>
    </row>
    <row r="3039" spans="1:40" x14ac:dyDescent="0.25">
      <c r="A3039" t="str">
        <f>"20190312161329155"</f>
        <v>20190312161329155</v>
      </c>
      <c r="B3039" t="str">
        <f>"1552378409148903"</f>
        <v>1552378409148903</v>
      </c>
      <c r="C3039" t="s">
        <v>40</v>
      </c>
      <c r="D3039">
        <v>5.4674239999999896</v>
      </c>
      <c r="E3039">
        <v>0.46641050000000001</v>
      </c>
      <c r="F3039" t="s">
        <v>69</v>
      </c>
      <c r="G3039">
        <v>-382.72789999999998</v>
      </c>
      <c r="H3039" s="1">
        <v>4.9366900000000002E-8</v>
      </c>
      <c r="I3039">
        <v>211.53890000000001</v>
      </c>
      <c r="J3039">
        <v>-439.9074</v>
      </c>
      <c r="K3039">
        <v>1.1094619999999999</v>
      </c>
      <c r="L3039">
        <v>212.4974</v>
      </c>
      <c r="M3039">
        <v>0.99990420000000002</v>
      </c>
      <c r="N3039">
        <v>0</v>
      </c>
      <c r="O3039">
        <v>-1.2149E-2</v>
      </c>
      <c r="P3039">
        <v>0.99385650000000003</v>
      </c>
      <c r="Q3039">
        <v>-4.5839089999999999E-2</v>
      </c>
      <c r="R3039">
        <v>-0.1007388</v>
      </c>
      <c r="S3039">
        <v>3.0109560000000002</v>
      </c>
      <c r="T3039">
        <v>-5.8191779999999999E-2</v>
      </c>
      <c r="U3039">
        <v>-5.0399779999999998E-2</v>
      </c>
      <c r="V3039">
        <v>8.8683040000000005E-2</v>
      </c>
      <c r="W3039">
        <v>-3.9182639999999998E-2</v>
      </c>
      <c r="X3039">
        <v>0.99528890000000003</v>
      </c>
      <c r="Y3039">
        <v>4.5890599999999998E-3</v>
      </c>
      <c r="Z3039">
        <v>1.9041800000000001E-4</v>
      </c>
      <c r="AA3039">
        <v>0.99998940000000003</v>
      </c>
      <c r="AB3039">
        <v>24</v>
      </c>
      <c r="AC3039">
        <v>57.179499999999997</v>
      </c>
      <c r="AD3039">
        <v>-1.1094619506331</v>
      </c>
      <c r="AE3039">
        <v>-0.95849999999998603</v>
      </c>
      <c r="AF3039">
        <v>0.263641003389113</v>
      </c>
      <c r="AG3039">
        <v>-1.1094619506331</v>
      </c>
      <c r="AH3039">
        <v>57.165409238762301</v>
      </c>
      <c r="AI3039">
        <v>91.111840760340101</v>
      </c>
      <c r="AJ3039">
        <v>89.735759615697305</v>
      </c>
      <c r="AK3039">
        <v>57.176782226999599</v>
      </c>
      <c r="AL3039">
        <v>92.245574799908894</v>
      </c>
      <c r="AM3039">
        <v>84.908231548854104</v>
      </c>
      <c r="AN3039">
        <v>0.99999997766211002</v>
      </c>
    </row>
    <row r="3040" spans="1:40" x14ac:dyDescent="0.25">
      <c r="A3040" t="str">
        <f>"20190312161329178"</f>
        <v>20190312161329178</v>
      </c>
      <c r="B3040" t="str">
        <f>"1552378409168424"</f>
        <v>1552378409168424</v>
      </c>
      <c r="C3040" t="s">
        <v>40</v>
      </c>
      <c r="D3040">
        <v>5.4094509999999998</v>
      </c>
      <c r="E3040">
        <v>0.46557110000000002</v>
      </c>
      <c r="F3040" t="s">
        <v>69</v>
      </c>
      <c r="G3040">
        <v>-383.65629999999999</v>
      </c>
      <c r="H3040" s="1">
        <v>5.338139E-7</v>
      </c>
      <c r="I3040">
        <v>211.7593</v>
      </c>
      <c r="J3040">
        <v>-439.6626</v>
      </c>
      <c r="K3040">
        <v>1.1094820000000001</v>
      </c>
      <c r="L3040">
        <v>212.4949</v>
      </c>
      <c r="M3040">
        <v>0.99990990000000002</v>
      </c>
      <c r="N3040">
        <v>0</v>
      </c>
      <c r="O3040">
        <v>-1.166646E-2</v>
      </c>
      <c r="P3040">
        <v>0.99391370000000001</v>
      </c>
      <c r="Q3040">
        <v>-4.5935249999999997E-2</v>
      </c>
      <c r="R3040">
        <v>-0.10012989999999999</v>
      </c>
      <c r="S3040">
        <v>3.0118100000000001</v>
      </c>
      <c r="T3040">
        <v>-5.9403060000000001E-2</v>
      </c>
      <c r="U3040">
        <v>-3.9520260000000001E-2</v>
      </c>
      <c r="V3040">
        <v>8.8555919999999996E-2</v>
      </c>
      <c r="W3040">
        <v>-3.9253870000000003E-2</v>
      </c>
      <c r="X3040">
        <v>0.9952974</v>
      </c>
      <c r="Y3040">
        <v>1.4560160000000001E-3</v>
      </c>
      <c r="Z3040">
        <v>2.1570960000000001E-4</v>
      </c>
      <c r="AA3040">
        <v>0.99999890000000002</v>
      </c>
      <c r="AB3040">
        <v>24</v>
      </c>
      <c r="AC3040">
        <v>56.006300000000003</v>
      </c>
      <c r="AD3040">
        <v>-1.1094814661861001</v>
      </c>
      <c r="AE3040">
        <v>-0.73560000000000503</v>
      </c>
      <c r="AF3040">
        <v>8.2108057948688695E-2</v>
      </c>
      <c r="AG3040">
        <v>-1.1094814661861001</v>
      </c>
      <c r="AH3040">
        <v>55.989102111567099</v>
      </c>
      <c r="AI3040">
        <v>91.135224822264703</v>
      </c>
      <c r="AJ3040">
        <v>89.915975758950196</v>
      </c>
      <c r="AK3040">
        <v>56.000153982971199</v>
      </c>
      <c r="AL3040">
        <v>92.249659147133301</v>
      </c>
      <c r="AM3040">
        <v>84.915535099051297</v>
      </c>
      <c r="AN3040">
        <v>0.99999996586189099</v>
      </c>
    </row>
    <row r="3041" spans="1:40" x14ac:dyDescent="0.25">
      <c r="A3041" t="str">
        <f>"20190312161329200"</f>
        <v>20190312161329200</v>
      </c>
      <c r="B3041" t="str">
        <f>"1552378409188923"</f>
        <v>1552378409188923</v>
      </c>
      <c r="C3041" t="s">
        <v>40</v>
      </c>
      <c r="D3041">
        <v>5.3903850000000002</v>
      </c>
      <c r="E3041">
        <v>0.46486060000000001</v>
      </c>
      <c r="F3041" t="s">
        <v>69</v>
      </c>
      <c r="G3041">
        <v>-384.87569999999999</v>
      </c>
      <c r="H3041" s="1">
        <v>1.1750679999999999E-6</v>
      </c>
      <c r="I3041">
        <v>211.93379999999999</v>
      </c>
      <c r="J3041">
        <v>-439.41910000000001</v>
      </c>
      <c r="K3041">
        <v>1.1095120000000001</v>
      </c>
      <c r="L3041">
        <v>212.49260000000001</v>
      </c>
      <c r="M3041">
        <v>0.99991580000000002</v>
      </c>
      <c r="N3041">
        <v>0</v>
      </c>
      <c r="O3041">
        <v>-1.114193E-2</v>
      </c>
      <c r="P3041">
        <v>0.99396859999999998</v>
      </c>
      <c r="Q3041">
        <v>-4.5987800000000002E-2</v>
      </c>
      <c r="R3041">
        <v>-9.9556800000000001E-2</v>
      </c>
      <c r="S3041">
        <v>3.012451</v>
      </c>
      <c r="T3041">
        <v>-6.1004639999999999E-2</v>
      </c>
      <c r="U3041">
        <v>-3.0853269999999999E-2</v>
      </c>
      <c r="V3041">
        <v>8.8506959999999996E-2</v>
      </c>
      <c r="W3041">
        <v>-3.9280790000000003E-2</v>
      </c>
      <c r="X3041">
        <v>0.99530070000000004</v>
      </c>
      <c r="Y3041">
        <v>-8.9838179999999904E-4</v>
      </c>
      <c r="Z3041">
        <v>2.346979E-4</v>
      </c>
      <c r="AA3041">
        <v>0.99999959999999999</v>
      </c>
      <c r="AB3041">
        <v>24</v>
      </c>
      <c r="AC3041">
        <v>54.543399999999998</v>
      </c>
      <c r="AD3041">
        <v>-1.109510824932</v>
      </c>
      <c r="AE3041">
        <v>-0.55880000000001895</v>
      </c>
      <c r="AF3041">
        <v>-4.8946627695592902E-2</v>
      </c>
      <c r="AG3041">
        <v>-1.109510824932</v>
      </c>
      <c r="AH3041">
        <v>54.5236814955028</v>
      </c>
      <c r="AI3041">
        <v>91.165759315175194</v>
      </c>
      <c r="AJ3041">
        <v>90.051435162815096</v>
      </c>
      <c r="AK3041">
        <v>54.534991096231401</v>
      </c>
      <c r="AL3041">
        <v>92.251202724169701</v>
      </c>
      <c r="AM3041">
        <v>84.918348190226297</v>
      </c>
      <c r="AN3041">
        <v>0.99999997292597698</v>
      </c>
    </row>
    <row r="3042" spans="1:40" x14ac:dyDescent="0.25">
      <c r="A3042" t="str">
        <f>"20190312161329222"</f>
        <v>20190312161329222</v>
      </c>
      <c r="B3042" t="str">
        <f>"1552378409218199"</f>
        <v>1552378409218199</v>
      </c>
      <c r="C3042" t="s">
        <v>40</v>
      </c>
      <c r="D3042">
        <v>5.4049630000000004</v>
      </c>
      <c r="E3042">
        <v>0.46400609999999998</v>
      </c>
      <c r="F3042" t="s">
        <v>69</v>
      </c>
      <c r="G3042">
        <v>-386.78590000000003</v>
      </c>
      <c r="H3042" s="1">
        <v>2.1850650000000001E-6</v>
      </c>
      <c r="I3042">
        <v>212.08240000000001</v>
      </c>
      <c r="J3042">
        <v>-439.18830000000003</v>
      </c>
      <c r="K3042">
        <v>1.1095410000000001</v>
      </c>
      <c r="L3042">
        <v>212.4906</v>
      </c>
      <c r="M3042">
        <v>0.99992139999999996</v>
      </c>
      <c r="N3042">
        <v>0</v>
      </c>
      <c r="O3042">
        <v>-1.060343E-2</v>
      </c>
      <c r="P3042">
        <v>0.99407900000000005</v>
      </c>
      <c r="Q3042">
        <v>-4.5669429999999997E-2</v>
      </c>
      <c r="R3042">
        <v>-9.8596649999999994E-2</v>
      </c>
      <c r="S3042">
        <v>3.0129090000000001</v>
      </c>
      <c r="T3042">
        <v>-6.3512209999999999E-2</v>
      </c>
      <c r="U3042">
        <v>-2.3483279999999999E-2</v>
      </c>
      <c r="V3042">
        <v>8.8084120000000002E-2</v>
      </c>
      <c r="W3042">
        <v>-3.8936989999999998E-2</v>
      </c>
      <c r="X3042">
        <v>0.99535169999999995</v>
      </c>
      <c r="Y3042">
        <v>-2.8068250000000002E-3</v>
      </c>
      <c r="Z3042">
        <v>2.5307219999999998E-4</v>
      </c>
      <c r="AA3042">
        <v>0.999996</v>
      </c>
      <c r="AB3042">
        <v>24</v>
      </c>
      <c r="AC3042">
        <v>52.4024</v>
      </c>
      <c r="AD3042">
        <v>-1.1095388149349901</v>
      </c>
      <c r="AE3042">
        <v>-0.40819999999999301</v>
      </c>
      <c r="AF3042">
        <v>-0.147414481466697</v>
      </c>
      <c r="AG3042">
        <v>-1.1095388149349901</v>
      </c>
      <c r="AH3042">
        <v>52.3803009140372</v>
      </c>
      <c r="AI3042">
        <v>91.213474016538996</v>
      </c>
      <c r="AJ3042">
        <v>90.161247743537999</v>
      </c>
      <c r="AK3042">
        <v>52.392258314146801</v>
      </c>
      <c r="AL3042">
        <v>92.231489395085504</v>
      </c>
      <c r="AM3042">
        <v>84.942757249809006</v>
      </c>
      <c r="AN3042">
        <v>0.99999995403966102</v>
      </c>
    </row>
    <row r="3043" spans="1:40" x14ac:dyDescent="0.25">
      <c r="A3043" t="str">
        <f>"20190312161329246"</f>
        <v>20190312161329246</v>
      </c>
      <c r="B3043" t="str">
        <f>"1552378409238695"</f>
        <v>1552378409238695</v>
      </c>
      <c r="C3043" t="s">
        <v>40</v>
      </c>
      <c r="D3043">
        <v>5.4063129999999999</v>
      </c>
      <c r="E3043">
        <v>0.46350780000000003</v>
      </c>
      <c r="F3043" t="s">
        <v>69</v>
      </c>
      <c r="G3043">
        <v>-388.0154</v>
      </c>
      <c r="H3043" s="1">
        <v>2.8316300000000001E-6</v>
      </c>
      <c r="I3043">
        <v>212.25899999999999</v>
      </c>
      <c r="J3043">
        <v>-438.92930000000001</v>
      </c>
      <c r="K3043">
        <v>1.10958</v>
      </c>
      <c r="L3043">
        <v>212.48859999999999</v>
      </c>
      <c r="M3043">
        <v>0.99992820000000004</v>
      </c>
      <c r="N3043">
        <v>0</v>
      </c>
      <c r="O3043">
        <v>-9.9509239999999999E-3</v>
      </c>
      <c r="P3043">
        <v>0.99410710000000002</v>
      </c>
      <c r="Q3043">
        <v>-4.5976459999999997E-2</v>
      </c>
      <c r="R3043">
        <v>-9.8171850000000005E-2</v>
      </c>
      <c r="S3043">
        <v>3.0134889999999999</v>
      </c>
      <c r="T3043">
        <v>-6.5338850000000004E-2</v>
      </c>
      <c r="U3043">
        <v>-1.364136E-2</v>
      </c>
      <c r="V3043">
        <v>8.8311979999999998E-2</v>
      </c>
      <c r="W3043">
        <v>-3.9214520000000003E-2</v>
      </c>
      <c r="X3043">
        <v>0.99532069999999995</v>
      </c>
      <c r="Y3043">
        <v>-5.4209360000000003E-3</v>
      </c>
      <c r="Z3043">
        <v>2.7449320000000002E-4</v>
      </c>
      <c r="AA3043">
        <v>0.99998529999999997</v>
      </c>
      <c r="AB3043">
        <v>24</v>
      </c>
      <c r="AC3043">
        <v>50.913899999999998</v>
      </c>
      <c r="AD3043">
        <v>-1.10957716837</v>
      </c>
      <c r="AE3043">
        <v>-0.22959999999997599</v>
      </c>
      <c r="AF3043">
        <v>-0.27693148545105301</v>
      </c>
      <c r="AG3043">
        <v>-1.10957716837</v>
      </c>
      <c r="AH3043">
        <v>50.889494676104199</v>
      </c>
      <c r="AI3043">
        <v>91.2490412186323</v>
      </c>
      <c r="AJ3043">
        <v>90.311790258658206</v>
      </c>
      <c r="AK3043">
        <v>50.902342980745402</v>
      </c>
      <c r="AL3043">
        <v>92.247402653884805</v>
      </c>
      <c r="AM3043">
        <v>84.929585954792799</v>
      </c>
      <c r="AN3043">
        <v>1.00000004011941</v>
      </c>
    </row>
    <row r="3044" spans="1:40" x14ac:dyDescent="0.25">
      <c r="A3044" t="str">
        <f>"20190312161329268"</f>
        <v>20190312161329268</v>
      </c>
      <c r="B3044" t="str">
        <f>"1552378409259192"</f>
        <v>1552378409259192</v>
      </c>
      <c r="C3044" t="s">
        <v>40</v>
      </c>
      <c r="D3044">
        <v>5.4109530000000001</v>
      </c>
      <c r="E3044">
        <v>0.46296369999999998</v>
      </c>
      <c r="F3044" t="s">
        <v>69</v>
      </c>
      <c r="G3044">
        <v>-389.90719999999999</v>
      </c>
      <c r="H3044" s="1">
        <v>3.8341799999999999E-6</v>
      </c>
      <c r="I3044">
        <v>212.35499999999999</v>
      </c>
      <c r="J3044">
        <v>-438.68130000000002</v>
      </c>
      <c r="K3044">
        <v>1.1096140000000001</v>
      </c>
      <c r="L3044">
        <v>212.48679999999999</v>
      </c>
      <c r="M3044">
        <v>0.99993449999999995</v>
      </c>
      <c r="N3044">
        <v>0</v>
      </c>
      <c r="O3044">
        <v>-9.2731289999999997E-3</v>
      </c>
      <c r="P3044">
        <v>0.99410810000000005</v>
      </c>
      <c r="Q3044">
        <v>-4.626512E-2</v>
      </c>
      <c r="R3044">
        <v>-9.8025390000000004E-2</v>
      </c>
      <c r="S3044">
        <v>3.0138240000000001</v>
      </c>
      <c r="T3044">
        <v>-6.8215609999999996E-2</v>
      </c>
      <c r="U3044">
        <v>-8.2092290000000002E-3</v>
      </c>
      <c r="V3044">
        <v>8.8844220000000002E-2</v>
      </c>
      <c r="W3044">
        <v>-3.9473809999999998E-2</v>
      </c>
      <c r="X3044">
        <v>0.99526300000000001</v>
      </c>
      <c r="Y3044">
        <v>-6.5455210000000003E-3</v>
      </c>
      <c r="Z3044">
        <v>2.8393150000000002E-4</v>
      </c>
      <c r="AA3044">
        <v>0.99997849999999999</v>
      </c>
      <c r="AB3044">
        <v>24</v>
      </c>
      <c r="AC3044">
        <v>48.774099999999997</v>
      </c>
      <c r="AD3044">
        <v>-1.1096101658199999</v>
      </c>
      <c r="AE3044">
        <v>-0.131799999999998</v>
      </c>
      <c r="AF3044">
        <v>-0.32033857241593799</v>
      </c>
      <c r="AG3044">
        <v>-1.1096101658199999</v>
      </c>
      <c r="AH3044">
        <v>48.747995099256798</v>
      </c>
      <c r="AI3044">
        <v>91.303922978763495</v>
      </c>
      <c r="AJ3044">
        <v>90.376503361720694</v>
      </c>
      <c r="AK3044">
        <v>48.761674271073197</v>
      </c>
      <c r="AL3044">
        <v>92.262270573374494</v>
      </c>
      <c r="AM3044">
        <v>84.898894076468906</v>
      </c>
      <c r="AN3044">
        <v>0.99999995813616105</v>
      </c>
    </row>
    <row r="3045" spans="1:40" x14ac:dyDescent="0.25">
      <c r="A3045" t="str">
        <f>"20190312161329291"</f>
        <v>20190312161329291</v>
      </c>
      <c r="B3045" t="str">
        <f>"1552378409278711"</f>
        <v>1552378409278711</v>
      </c>
      <c r="C3045" t="s">
        <v>40</v>
      </c>
      <c r="D3045">
        <v>5.3990369999999999</v>
      </c>
      <c r="E3045">
        <v>0.46251500000000001</v>
      </c>
      <c r="F3045" t="s">
        <v>69</v>
      </c>
      <c r="G3045">
        <v>-390.93169999999998</v>
      </c>
      <c r="H3045" s="1">
        <v>-1.0409899999999901E-6</v>
      </c>
      <c r="I3045">
        <v>212.4324</v>
      </c>
      <c r="J3045">
        <v>-438.43450000000001</v>
      </c>
      <c r="K3045">
        <v>1.109659</v>
      </c>
      <c r="L3045">
        <v>212.4853</v>
      </c>
      <c r="M3045">
        <v>0.99994090000000002</v>
      </c>
      <c r="N3045">
        <v>0</v>
      </c>
      <c r="O3045">
        <v>-8.5379879999999998E-3</v>
      </c>
      <c r="P3045">
        <v>0.99412069999999997</v>
      </c>
      <c r="Q3045">
        <v>-4.634622E-2</v>
      </c>
      <c r="R3045">
        <v>-9.7857749999999993E-2</v>
      </c>
      <c r="S3045">
        <v>3.0141909999999998</v>
      </c>
      <c r="T3045">
        <v>-7.0044399999999896E-2</v>
      </c>
      <c r="U3045">
        <v>-3.433228E-3</v>
      </c>
      <c r="V3045">
        <v>8.9412030000000003E-2</v>
      </c>
      <c r="W3045">
        <v>-3.9524570000000002E-2</v>
      </c>
      <c r="X3045">
        <v>0.99521020000000004</v>
      </c>
      <c r="Y3045">
        <v>-7.3948969999999897E-3</v>
      </c>
      <c r="Z3045">
        <v>2.8429369999999999E-4</v>
      </c>
      <c r="AA3045">
        <v>0.99997259999999999</v>
      </c>
      <c r="AB3045">
        <v>24</v>
      </c>
      <c r="AC3045">
        <v>47.502800000000001</v>
      </c>
      <c r="AD3045">
        <v>-1.1096600409899999</v>
      </c>
      <c r="AE3045">
        <v>-5.2899999999993903E-2</v>
      </c>
      <c r="AF3045">
        <v>-0.352497099232014</v>
      </c>
      <c r="AG3045">
        <v>-1.1096600409899999</v>
      </c>
      <c r="AH3045">
        <v>47.475613482517602</v>
      </c>
      <c r="AI3045">
        <v>91.338908690559194</v>
      </c>
      <c r="AJ3045">
        <v>90.425402084917494</v>
      </c>
      <c r="AK3045">
        <v>47.489888135822603</v>
      </c>
      <c r="AL3045">
        <v>92.265181032905602</v>
      </c>
      <c r="AM3045">
        <v>84.866195277581596</v>
      </c>
      <c r="AN3045">
        <v>1.00000002246322</v>
      </c>
    </row>
    <row r="3046" spans="1:40" x14ac:dyDescent="0.25">
      <c r="A3046" t="str">
        <f>"20190312161329313"</f>
        <v>20190312161329313</v>
      </c>
      <c r="B3046" t="str">
        <f>"1552378409308968"</f>
        <v>1552378409308968</v>
      </c>
      <c r="C3046" t="s">
        <v>40</v>
      </c>
      <c r="D3046">
        <v>5.3545680000000004</v>
      </c>
      <c r="E3046">
        <v>0.46186529999999998</v>
      </c>
      <c r="F3046" t="s">
        <v>69</v>
      </c>
      <c r="G3046">
        <v>-391.90600000000001</v>
      </c>
      <c r="H3046" s="1">
        <v>-5.2252279999999999E-7</v>
      </c>
      <c r="I3046">
        <v>212.49619999999999</v>
      </c>
      <c r="J3046">
        <v>-438.18189999999998</v>
      </c>
      <c r="K3046">
        <v>1.109701</v>
      </c>
      <c r="L3046">
        <v>212.48400000000001</v>
      </c>
      <c r="M3046">
        <v>0.99994709999999998</v>
      </c>
      <c r="N3046">
        <v>0</v>
      </c>
      <c r="O3046">
        <v>-7.7364769999999899E-3</v>
      </c>
      <c r="P3046">
        <v>0.99416890000000002</v>
      </c>
      <c r="Q3046">
        <v>-4.6405210000000002E-2</v>
      </c>
      <c r="R3046">
        <v>-9.7336829999999999E-2</v>
      </c>
      <c r="S3046">
        <v>3.0144350000000002</v>
      </c>
      <c r="T3046">
        <v>-7.189131E-2</v>
      </c>
      <c r="U3046">
        <v>7.0190429999999896E-4</v>
      </c>
      <c r="V3046">
        <v>8.9691870000000007E-2</v>
      </c>
      <c r="W3046">
        <v>-3.9553779999999997E-2</v>
      </c>
      <c r="X3046">
        <v>0.99518379999999995</v>
      </c>
      <c r="Y3046">
        <v>-7.9650320000000004E-3</v>
      </c>
      <c r="Z3046">
        <v>2.794497E-4</v>
      </c>
      <c r="AA3046">
        <v>0.99996819999999997</v>
      </c>
      <c r="AB3046">
        <v>25</v>
      </c>
      <c r="AC3046">
        <v>46.275899999999901</v>
      </c>
      <c r="AD3046">
        <v>-1.1097015225228</v>
      </c>
      <c r="AE3046">
        <v>1.2199999999978599E-2</v>
      </c>
      <c r="AF3046">
        <v>-0.37000752409960003</v>
      </c>
      <c r="AG3046">
        <v>-1.1097015225228</v>
      </c>
      <c r="AH3046">
        <v>46.247826023671898</v>
      </c>
      <c r="AI3046">
        <v>91.374485844167296</v>
      </c>
      <c r="AJ3046">
        <v>90.4583873239947</v>
      </c>
      <c r="AK3046">
        <v>46.262617251435401</v>
      </c>
      <c r="AL3046">
        <v>92.266856083984905</v>
      </c>
      <c r="AM3046">
        <v>84.850077981877604</v>
      </c>
      <c r="AN3046">
        <v>0.99999996441941197</v>
      </c>
    </row>
    <row r="3047" spans="1:40" x14ac:dyDescent="0.25">
      <c r="A3047" t="str">
        <f>"20190312161329335"</f>
        <v>20190312161329335</v>
      </c>
      <c r="B3047" t="str">
        <f>"1552378409328490"</f>
        <v>1552378409328490</v>
      </c>
      <c r="C3047" t="s">
        <v>40</v>
      </c>
      <c r="D3047">
        <v>5.3990269999999896</v>
      </c>
      <c r="E3047">
        <v>0.46154529999999999</v>
      </c>
      <c r="F3047" t="s">
        <v>69</v>
      </c>
      <c r="G3047">
        <v>-392.82060000000001</v>
      </c>
      <c r="H3047" s="1">
        <v>-3.5778269999999998E-8</v>
      </c>
      <c r="I3047">
        <v>212.596</v>
      </c>
      <c r="J3047">
        <v>-437.94130000000001</v>
      </c>
      <c r="K3047">
        <v>1.109729</v>
      </c>
      <c r="L3047">
        <v>212.483</v>
      </c>
      <c r="M3047">
        <v>0.99995299999999998</v>
      </c>
      <c r="N3047">
        <v>0</v>
      </c>
      <c r="O3047">
        <v>-6.9283219999999998E-3</v>
      </c>
      <c r="P3047">
        <v>0.99423660000000003</v>
      </c>
      <c r="Q3047">
        <v>-4.6236659999999999E-2</v>
      </c>
      <c r="R3047">
        <v>-9.6727069999999998E-2</v>
      </c>
      <c r="S3047">
        <v>3.0148619999999999</v>
      </c>
      <c r="T3047">
        <v>-7.3754550000000002E-2</v>
      </c>
      <c r="U3047">
        <v>7.446289E-3</v>
      </c>
      <c r="V3047">
        <v>8.9888419999999997E-2</v>
      </c>
      <c r="W3047">
        <v>-3.9357650000000001E-2</v>
      </c>
      <c r="X3047">
        <v>0.99517389999999994</v>
      </c>
      <c r="Y3047">
        <v>-9.393373E-3</v>
      </c>
      <c r="Z3047">
        <v>2.8435050000000001E-4</v>
      </c>
      <c r="AA3047">
        <v>0.99995579999999995</v>
      </c>
      <c r="AB3047">
        <v>25</v>
      </c>
      <c r="AC3047">
        <v>45.120699999999999</v>
      </c>
      <c r="AD3047">
        <v>-1.1097290357782701</v>
      </c>
      <c r="AE3047">
        <v>0.112999999999971</v>
      </c>
      <c r="AF3047">
        <v>-0.42535791931162598</v>
      </c>
      <c r="AG3047">
        <v>-1.1097290357782701</v>
      </c>
      <c r="AH3047">
        <v>45.091558456580202</v>
      </c>
      <c r="AI3047">
        <v>91.409734615031894</v>
      </c>
      <c r="AJ3047">
        <v>90.540466808823098</v>
      </c>
      <c r="AK3047">
        <v>45.107217514889598</v>
      </c>
      <c r="AL3047">
        <v>92.255609775318007</v>
      </c>
      <c r="AM3047">
        <v>84.8388023044363</v>
      </c>
      <c r="AN3047">
        <v>1.0000000219524099</v>
      </c>
    </row>
    <row r="3048" spans="1:40" x14ac:dyDescent="0.25">
      <c r="A3048" t="str">
        <f>"20190312161329356"</f>
        <v>20190312161329356</v>
      </c>
      <c r="B3048" t="str">
        <f>"1552378409348984"</f>
        <v>1552378409348984</v>
      </c>
      <c r="C3048" t="s">
        <v>40</v>
      </c>
      <c r="D3048">
        <v>5.3989880000000001</v>
      </c>
      <c r="E3048">
        <v>0.46122039999999997</v>
      </c>
      <c r="F3048" t="s">
        <v>69</v>
      </c>
      <c r="G3048">
        <v>-392.81580000000002</v>
      </c>
      <c r="H3048" s="1">
        <v>-3.8359530000000003E-8</v>
      </c>
      <c r="I3048">
        <v>212.65979999999999</v>
      </c>
      <c r="J3048">
        <v>-437.71319999999997</v>
      </c>
      <c r="K3048">
        <v>1.109764</v>
      </c>
      <c r="L3048">
        <v>212.48230000000001</v>
      </c>
      <c r="M3048">
        <v>0.99995820000000002</v>
      </c>
      <c r="N3048">
        <v>0</v>
      </c>
      <c r="O3048">
        <v>-6.1163609999999998E-3</v>
      </c>
      <c r="P3048">
        <v>0.99434990000000001</v>
      </c>
      <c r="Q3048">
        <v>-4.5629999999999997E-2</v>
      </c>
      <c r="R3048">
        <v>-9.5846890000000004E-2</v>
      </c>
      <c r="S3048">
        <v>3.0150760000000001</v>
      </c>
      <c r="T3048">
        <v>-7.4146989999999996E-2</v>
      </c>
      <c r="U3048">
        <v>1.1810299999999999E-2</v>
      </c>
      <c r="V3048">
        <v>8.9817590000000003E-2</v>
      </c>
      <c r="W3048">
        <v>-3.8724889999999998E-2</v>
      </c>
      <c r="X3048">
        <v>0.99520509999999995</v>
      </c>
      <c r="Y3048">
        <v>-1.0028560000000001E-2</v>
      </c>
      <c r="Z3048">
        <v>2.7368649999999999E-4</v>
      </c>
      <c r="AA3048">
        <v>0.99994970000000005</v>
      </c>
      <c r="AB3048">
        <v>25</v>
      </c>
      <c r="AC3048">
        <v>44.897399999999898</v>
      </c>
      <c r="AD3048">
        <v>-1.10976403835953</v>
      </c>
      <c r="AE3048">
        <v>0.17749999999998001</v>
      </c>
      <c r="AF3048">
        <v>-0.45183567502807598</v>
      </c>
      <c r="AG3048">
        <v>-1.10976403835953</v>
      </c>
      <c r="AH3048">
        <v>44.868061921389803</v>
      </c>
      <c r="AI3048">
        <v>91.416789792498506</v>
      </c>
      <c r="AJ3048">
        <v>90.576967246540306</v>
      </c>
      <c r="AK3048">
        <v>44.8840585540093</v>
      </c>
      <c r="AL3048">
        <v>92.219327676779102</v>
      </c>
      <c r="AM3048">
        <v>84.843008076858894</v>
      </c>
      <c r="AN3048">
        <v>1.0000000038224599</v>
      </c>
    </row>
    <row r="3049" spans="1:40" x14ac:dyDescent="0.25">
      <c r="A3049" t="str">
        <f>"20190312161329379"</f>
        <v>20190312161329379</v>
      </c>
      <c r="B3049" t="str">
        <f>"1552378409368504"</f>
        <v>1552378409368504</v>
      </c>
      <c r="C3049" t="s">
        <v>40</v>
      </c>
      <c r="D3049">
        <v>5.3077509999999997</v>
      </c>
      <c r="E3049">
        <v>0.46091870000000001</v>
      </c>
      <c r="F3049" t="s">
        <v>69</v>
      </c>
      <c r="G3049">
        <v>-391.88350000000003</v>
      </c>
      <c r="H3049" s="1">
        <v>-5.3449489999999995E-7</v>
      </c>
      <c r="I3049">
        <v>212.74270000000001</v>
      </c>
      <c r="J3049">
        <v>-437.459</v>
      </c>
      <c r="K3049">
        <v>1.1098049999999999</v>
      </c>
      <c r="L3049">
        <v>212.48179999999999</v>
      </c>
      <c r="M3049">
        <v>0.99996350000000001</v>
      </c>
      <c r="N3049">
        <v>0</v>
      </c>
      <c r="O3049">
        <v>-5.1529640000000003E-3</v>
      </c>
      <c r="P3049">
        <v>0.99452910000000005</v>
      </c>
      <c r="Q3049">
        <v>-4.5060250000000003E-2</v>
      </c>
      <c r="R3049">
        <v>-9.4243850000000004E-2</v>
      </c>
      <c r="S3049">
        <v>3.0152890000000001</v>
      </c>
      <c r="T3049">
        <v>-7.3015090000000005E-2</v>
      </c>
      <c r="U3049">
        <v>1.7135620000000001E-2</v>
      </c>
      <c r="V3049">
        <v>8.9174899999999904E-2</v>
      </c>
      <c r="W3049">
        <v>-3.8125350000000002E-2</v>
      </c>
      <c r="X3049">
        <v>0.995286</v>
      </c>
      <c r="Y3049">
        <v>-1.083106E-2</v>
      </c>
      <c r="Z3049">
        <v>2.5587899999999998E-4</v>
      </c>
      <c r="AA3049">
        <v>0.99994130000000003</v>
      </c>
      <c r="AB3049">
        <v>25</v>
      </c>
      <c r="AC3049">
        <v>45.575499999999899</v>
      </c>
      <c r="AD3049">
        <v>-1.1098055344948901</v>
      </c>
      <c r="AE3049">
        <v>0.26090000000002</v>
      </c>
      <c r="AF3049">
        <v>-0.495457120455775</v>
      </c>
      <c r="AG3049">
        <v>-1.1098055344948901</v>
      </c>
      <c r="AH3049">
        <v>45.5465437093549</v>
      </c>
      <c r="AI3049">
        <v>91.395733430557598</v>
      </c>
      <c r="AJ3049">
        <v>90.623241194199593</v>
      </c>
      <c r="AK3049">
        <v>45.562756610534201</v>
      </c>
      <c r="AL3049">
        <v>92.1849512653489</v>
      </c>
      <c r="AM3049">
        <v>84.880126073311999</v>
      </c>
      <c r="AN3049">
        <v>0.99999996344931497</v>
      </c>
    </row>
    <row r="3050" spans="1:40" x14ac:dyDescent="0.25">
      <c r="A3050" t="str">
        <f>"20190312161329401"</f>
        <v>20190312161329401</v>
      </c>
      <c r="B3050" t="str">
        <f>"1552378409398760"</f>
        <v>1552378409398760</v>
      </c>
      <c r="C3050" t="s">
        <v>40</v>
      </c>
      <c r="D3050">
        <v>5.2550990000000004</v>
      </c>
      <c r="E3050">
        <v>0.46057100000000001</v>
      </c>
      <c r="F3050" t="s">
        <v>69</v>
      </c>
      <c r="G3050">
        <v>-391.12020000000001</v>
      </c>
      <c r="H3050" s="1">
        <v>-9.4069349999999998E-7</v>
      </c>
      <c r="I3050">
        <v>212.85900000000001</v>
      </c>
      <c r="J3050">
        <v>-437.20510000000002</v>
      </c>
      <c r="K3050">
        <v>1.1098460000000001</v>
      </c>
      <c r="L3050">
        <v>212.48159999999999</v>
      </c>
      <c r="M3050">
        <v>0.99996810000000003</v>
      </c>
      <c r="N3050">
        <v>0</v>
      </c>
      <c r="O3050">
        <v>-4.1270650000000001E-3</v>
      </c>
      <c r="P3050">
        <v>0.99470879999999995</v>
      </c>
      <c r="Q3050">
        <v>-4.4450099999999999E-2</v>
      </c>
      <c r="R3050">
        <v>-9.2621159999999994E-2</v>
      </c>
      <c r="S3050">
        <v>3.0155940000000001</v>
      </c>
      <c r="T3050">
        <v>-7.2222830000000002E-2</v>
      </c>
      <c r="U3050">
        <v>2.4551389999999999E-2</v>
      </c>
      <c r="V3050">
        <v>8.8575420000000002E-2</v>
      </c>
      <c r="W3050">
        <v>-3.7483860000000001E-2</v>
      </c>
      <c r="X3050">
        <v>0.99536400000000003</v>
      </c>
      <c r="Y3050">
        <v>-1.226346E-2</v>
      </c>
      <c r="Z3050">
        <v>2.4565909999999999E-4</v>
      </c>
      <c r="AA3050">
        <v>0.99992479999999995</v>
      </c>
      <c r="AB3050">
        <v>25</v>
      </c>
      <c r="AC3050">
        <v>46.084899999999998</v>
      </c>
      <c r="AD3050">
        <v>-1.1098469406935001</v>
      </c>
      <c r="AE3050">
        <v>0.377400000000022</v>
      </c>
      <c r="AF3050">
        <v>-0.56726763243100597</v>
      </c>
      <c r="AG3050">
        <v>-1.1098469406935001</v>
      </c>
      <c r="AH3050">
        <v>46.056240262406703</v>
      </c>
      <c r="AI3050">
        <v>91.380321552963196</v>
      </c>
      <c r="AJ3050">
        <v>90.705667626933007</v>
      </c>
      <c r="AK3050">
        <v>46.0731029984643</v>
      </c>
      <c r="AL3050">
        <v>92.148170074834397</v>
      </c>
      <c r="AM3050">
        <v>84.914759863993098</v>
      </c>
      <c r="AN3050">
        <v>1.00000006864233</v>
      </c>
    </row>
    <row r="3051" spans="1:40" x14ac:dyDescent="0.25">
      <c r="A3051" t="str">
        <f>"20190312161329423"</f>
        <v>20190312161329423</v>
      </c>
      <c r="B3051" t="str">
        <f>"1552378409419256"</f>
        <v>1552378409419256</v>
      </c>
      <c r="C3051" t="s">
        <v>40</v>
      </c>
      <c r="D3051">
        <v>5.3748279999999999</v>
      </c>
      <c r="E3051">
        <v>0.4603315</v>
      </c>
      <c r="F3051" t="s">
        <v>69</v>
      </c>
      <c r="G3051">
        <v>-390.2586</v>
      </c>
      <c r="H3051" s="1">
        <v>-1.399159E-6</v>
      </c>
      <c r="I3051">
        <v>212.98320000000001</v>
      </c>
      <c r="J3051">
        <v>-436.96859999999998</v>
      </c>
      <c r="K3051">
        <v>1.1098969999999999</v>
      </c>
      <c r="L3051">
        <v>212.48169999999999</v>
      </c>
      <c r="M3051">
        <v>0.99997159999999996</v>
      </c>
      <c r="N3051">
        <v>0</v>
      </c>
      <c r="O3051">
        <v>-3.1118859999999999E-3</v>
      </c>
      <c r="P3051">
        <v>0.99480590000000002</v>
      </c>
      <c r="Q3051">
        <v>-4.4616969999999999E-2</v>
      </c>
      <c r="R3051">
        <v>-9.1492820000000002E-2</v>
      </c>
      <c r="S3051">
        <v>3.0157470000000002</v>
      </c>
      <c r="T3051">
        <v>-7.1294430000000006E-2</v>
      </c>
      <c r="U3051">
        <v>3.2226560000000001E-2</v>
      </c>
      <c r="V3051">
        <v>8.8461590000000007E-2</v>
      </c>
      <c r="W3051">
        <v>-3.7620189999999998E-2</v>
      </c>
      <c r="X3051">
        <v>0.9953689</v>
      </c>
      <c r="Y3051">
        <v>-1.3792499999999999E-2</v>
      </c>
      <c r="Z3051">
        <v>2.3656170000000001E-4</v>
      </c>
      <c r="AA3051">
        <v>0.99990489999999999</v>
      </c>
      <c r="AB3051">
        <v>25</v>
      </c>
      <c r="AC3051">
        <v>46.709999999999901</v>
      </c>
      <c r="AD3051">
        <v>-1.1098983991589999</v>
      </c>
      <c r="AE3051">
        <v>0.50150000000002104</v>
      </c>
      <c r="AF3051">
        <v>-0.64649221874841201</v>
      </c>
      <c r="AG3051">
        <v>-1.1098983991589999</v>
      </c>
      <c r="AH3051">
        <v>46.681859280831702</v>
      </c>
      <c r="AI3051">
        <v>91.361865665983004</v>
      </c>
      <c r="AJ3051">
        <v>90.793432575156999</v>
      </c>
      <c r="AK3051">
        <v>46.699526898682102</v>
      </c>
      <c r="AL3051">
        <v>92.155986892255399</v>
      </c>
      <c r="AM3051">
        <v>84.921285676241396</v>
      </c>
      <c r="AN3051">
        <v>0.99999998934408696</v>
      </c>
    </row>
    <row r="3052" spans="1:40" x14ac:dyDescent="0.25">
      <c r="A3052" t="str">
        <f>"20190312161329445"</f>
        <v>20190312161329445</v>
      </c>
      <c r="B3052" t="str">
        <f>"1552378409438777"</f>
        <v>1552378409438777</v>
      </c>
      <c r="C3052" t="s">
        <v>40</v>
      </c>
      <c r="D3052">
        <v>5.3629439999999997</v>
      </c>
      <c r="E3052">
        <v>0.46015610000000001</v>
      </c>
      <c r="F3052" t="s">
        <v>69</v>
      </c>
      <c r="G3052">
        <v>-390.78109999999998</v>
      </c>
      <c r="H3052" s="1">
        <v>-1.1211109999999901E-6</v>
      </c>
      <c r="I3052">
        <v>213.0558</v>
      </c>
      <c r="J3052">
        <v>-436.71690000000001</v>
      </c>
      <c r="K3052">
        <v>1.1099540000000001</v>
      </c>
      <c r="L3052">
        <v>212.4821</v>
      </c>
      <c r="M3052">
        <v>0.99997440000000004</v>
      </c>
      <c r="N3052">
        <v>0</v>
      </c>
      <c r="O3052">
        <v>-1.9670960000000002E-3</v>
      </c>
      <c r="P3052">
        <v>0.99495500000000003</v>
      </c>
      <c r="Q3052">
        <v>-4.4889770000000002E-2</v>
      </c>
      <c r="R3052">
        <v>-8.9719439999999998E-2</v>
      </c>
      <c r="S3052">
        <v>3.0158689999999999</v>
      </c>
      <c r="T3052">
        <v>-7.2472209999999995E-2</v>
      </c>
      <c r="U3052">
        <v>3.7490839999999998E-2</v>
      </c>
      <c r="V3052">
        <v>8.7832499999999994E-2</v>
      </c>
      <c r="W3052">
        <v>-3.786043E-2</v>
      </c>
      <c r="X3052">
        <v>0.99541550000000001</v>
      </c>
      <c r="Y3052">
        <v>-1.4392479999999999E-2</v>
      </c>
      <c r="Z3052">
        <v>2.2015859999999999E-4</v>
      </c>
      <c r="AA3052">
        <v>0.99989640000000002</v>
      </c>
      <c r="AB3052">
        <v>25</v>
      </c>
      <c r="AC3052">
        <v>45.9358</v>
      </c>
      <c r="AD3052">
        <v>-1.1099551211109999</v>
      </c>
      <c r="AE3052">
        <v>0.57370000000000199</v>
      </c>
      <c r="AF3052">
        <v>-0.66367372516380996</v>
      </c>
      <c r="AG3052">
        <v>-1.1099551211109999</v>
      </c>
      <c r="AH3052">
        <v>45.907783062406899</v>
      </c>
      <c r="AI3052">
        <v>91.384878798444802</v>
      </c>
      <c r="AJ3052">
        <v>90.828248548641298</v>
      </c>
      <c r="AK3052">
        <v>45.925994914529298</v>
      </c>
      <c r="AL3052">
        <v>92.169761444664701</v>
      </c>
      <c r="AM3052">
        <v>84.957450659455702</v>
      </c>
      <c r="AN3052">
        <v>0.99999998892814201</v>
      </c>
    </row>
    <row r="3053" spans="1:40" x14ac:dyDescent="0.25">
      <c r="A3053" t="str">
        <f>"20190312161329470"</f>
        <v>20190312161329470</v>
      </c>
      <c r="B3053" t="str">
        <f>"1552378409459272"</f>
        <v>1552378409459272</v>
      </c>
      <c r="C3053" t="s">
        <v>40</v>
      </c>
      <c r="D3053">
        <v>5.3627149999999997</v>
      </c>
      <c r="E3053">
        <v>0.45998509999999998</v>
      </c>
      <c r="F3053" t="s">
        <v>69</v>
      </c>
      <c r="G3053">
        <v>-391.63529999999997</v>
      </c>
      <c r="H3053" s="1">
        <v>-6.6658319999999899E-7</v>
      </c>
      <c r="I3053">
        <v>213.14490000000001</v>
      </c>
      <c r="J3053">
        <v>-436.43849999999998</v>
      </c>
      <c r="K3053">
        <v>1.110017</v>
      </c>
      <c r="L3053">
        <v>212.483</v>
      </c>
      <c r="M3053">
        <v>0.99997590000000003</v>
      </c>
      <c r="N3053">
        <v>0</v>
      </c>
      <c r="O3053">
        <v>-6.2202009999999996E-4</v>
      </c>
      <c r="P3053">
        <v>0.99522699999999997</v>
      </c>
      <c r="Q3053">
        <v>-4.4311450000000002E-2</v>
      </c>
      <c r="R3053">
        <v>-8.6948460000000005E-2</v>
      </c>
      <c r="S3053">
        <v>3.0158999999999998</v>
      </c>
      <c r="T3053">
        <v>-7.4254390000000003E-2</v>
      </c>
      <c r="U3053">
        <v>4.4342039999999999E-2</v>
      </c>
      <c r="V3053">
        <v>8.6403930000000004E-2</v>
      </c>
      <c r="W3053">
        <v>-3.7247139999999998E-2</v>
      </c>
      <c r="X3053">
        <v>0.99556369999999905</v>
      </c>
      <c r="Y3053">
        <v>-1.53183E-2</v>
      </c>
      <c r="Z3053">
        <v>2.0384900000000001E-4</v>
      </c>
      <c r="AA3053">
        <v>0.99988259999999995</v>
      </c>
      <c r="AB3053">
        <v>25</v>
      </c>
      <c r="AC3053">
        <v>44.803199999999997</v>
      </c>
      <c r="AD3053">
        <v>-1.1100176665832</v>
      </c>
      <c r="AE3053">
        <v>0.66190000000000204</v>
      </c>
      <c r="AF3053">
        <v>-0.68934598646248502</v>
      </c>
      <c r="AG3053">
        <v>-1.1100176665832</v>
      </c>
      <c r="AH3053">
        <v>44.775301585913397</v>
      </c>
      <c r="AI3053">
        <v>91.419951838132405</v>
      </c>
      <c r="AJ3053">
        <v>90.882037509696701</v>
      </c>
      <c r="AK3053">
        <v>44.7943631411216</v>
      </c>
      <c r="AL3053">
        <v>92.1345976132218</v>
      </c>
      <c r="AM3053">
        <v>85.039788405452001</v>
      </c>
      <c r="AN3053">
        <v>1.0000000346576501</v>
      </c>
    </row>
    <row r="3054" spans="1:40" x14ac:dyDescent="0.25">
      <c r="A3054" t="str">
        <f>"20190312161329492"</f>
        <v>20190312161329492</v>
      </c>
      <c r="B3054" t="str">
        <f>"1552378409488551"</f>
        <v>1552378409488551</v>
      </c>
      <c r="C3054" t="s">
        <v>40</v>
      </c>
      <c r="D3054">
        <v>5.3855149999999998</v>
      </c>
      <c r="E3054">
        <v>0.4597791</v>
      </c>
      <c r="F3054" t="s">
        <v>69</v>
      </c>
      <c r="G3054">
        <v>-390.88979999999998</v>
      </c>
      <c r="H3054" s="1">
        <v>-1.063281E-6</v>
      </c>
      <c r="I3054">
        <v>213.3013</v>
      </c>
      <c r="J3054">
        <v>-436.18599999999998</v>
      </c>
      <c r="K3054">
        <v>1.110061</v>
      </c>
      <c r="L3054">
        <v>212.48419999999999</v>
      </c>
      <c r="M3054">
        <v>0.99997570000000002</v>
      </c>
      <c r="N3054">
        <v>0</v>
      </c>
      <c r="O3054">
        <v>6.5950570000000003E-4</v>
      </c>
      <c r="P3054">
        <v>0.99551319999999999</v>
      </c>
      <c r="Q3054">
        <v>-4.3794920000000001E-2</v>
      </c>
      <c r="R3054">
        <v>-8.3881620000000004E-2</v>
      </c>
      <c r="S3054">
        <v>3.0158390000000002</v>
      </c>
      <c r="T3054">
        <v>-7.3495749999999999E-2</v>
      </c>
      <c r="U3054">
        <v>5.4183960000000003E-2</v>
      </c>
      <c r="V3054">
        <v>8.4615300000000004E-2</v>
      </c>
      <c r="W3054">
        <v>-3.6701879999999999E-2</v>
      </c>
      <c r="X3054">
        <v>0.9957376</v>
      </c>
      <c r="Y3054">
        <v>-1.7299209999999999E-2</v>
      </c>
      <c r="Z3054">
        <v>1.946731E-4</v>
      </c>
      <c r="AA3054">
        <v>0.99985029999999997</v>
      </c>
      <c r="AB3054">
        <v>25</v>
      </c>
      <c r="AC3054">
        <v>45.296199999999999</v>
      </c>
      <c r="AD3054">
        <v>-1.1100620632810001</v>
      </c>
      <c r="AE3054">
        <v>0.81710000000001004</v>
      </c>
      <c r="AF3054">
        <v>-0.78675364584424601</v>
      </c>
      <c r="AG3054">
        <v>-1.1100620632810001</v>
      </c>
      <c r="AH3054">
        <v>45.269549894572499</v>
      </c>
      <c r="AI3054">
        <v>91.404465718647401</v>
      </c>
      <c r="AJ3054">
        <v>90.995661011078198</v>
      </c>
      <c r="AK3054">
        <v>45.289991904843298</v>
      </c>
      <c r="AL3054">
        <v>92.103335060505998</v>
      </c>
      <c r="AM3054">
        <v>85.142816528589194</v>
      </c>
      <c r="AN3054">
        <v>1.00000007252168</v>
      </c>
    </row>
    <row r="3055" spans="1:40" x14ac:dyDescent="0.25">
      <c r="A3055" t="str">
        <f>"20190312161329513"</f>
        <v>20190312161329513</v>
      </c>
      <c r="B3055" t="str">
        <f>"1552378409509048"</f>
        <v>1552378409509048</v>
      </c>
      <c r="C3055" t="s">
        <v>40</v>
      </c>
      <c r="D3055">
        <v>5.2728510000000002</v>
      </c>
      <c r="E3055">
        <v>0.45963340000000003</v>
      </c>
      <c r="F3055" t="s">
        <v>69</v>
      </c>
      <c r="G3055">
        <v>-390.6361</v>
      </c>
      <c r="H3055" s="1">
        <v>-1.198267E-6</v>
      </c>
      <c r="I3055">
        <v>213.4683</v>
      </c>
      <c r="J3055">
        <v>-435.94810000000001</v>
      </c>
      <c r="K3055">
        <v>1.110093</v>
      </c>
      <c r="L3055">
        <v>212.48570000000001</v>
      </c>
      <c r="M3055">
        <v>0.99997400000000003</v>
      </c>
      <c r="N3055">
        <v>0</v>
      </c>
      <c r="O3055">
        <v>1.905314E-3</v>
      </c>
      <c r="P3055">
        <v>0.99569719999999995</v>
      </c>
      <c r="Q3055">
        <v>-4.4166950000000003E-2</v>
      </c>
      <c r="R3055">
        <v>-8.1465070000000001E-2</v>
      </c>
      <c r="S3055">
        <v>3.0157780000000001</v>
      </c>
      <c r="T3055">
        <v>-7.3495270000000001E-2</v>
      </c>
      <c r="U3055">
        <v>6.5155030000000003E-2</v>
      </c>
      <c r="V3055">
        <v>8.3443279999999995E-2</v>
      </c>
      <c r="W3055">
        <v>-3.70488E-2</v>
      </c>
      <c r="X3055">
        <v>0.99582360000000003</v>
      </c>
      <c r="Y3055">
        <v>-1.9689450000000001E-2</v>
      </c>
      <c r="Z3055">
        <v>1.9343339999999999E-4</v>
      </c>
      <c r="AA3055">
        <v>0.99980610000000003</v>
      </c>
      <c r="AB3055">
        <v>25</v>
      </c>
      <c r="AC3055">
        <v>45.311999999999998</v>
      </c>
      <c r="AD3055">
        <v>-1.1100941982670001</v>
      </c>
      <c r="AE3055">
        <v>0.98259999999999004</v>
      </c>
      <c r="AF3055">
        <v>-0.89572518229077802</v>
      </c>
      <c r="AG3055">
        <v>-1.1100941982670001</v>
      </c>
      <c r="AH3055">
        <v>45.286621876285999</v>
      </c>
      <c r="AI3055">
        <v>91.403914558681393</v>
      </c>
      <c r="AJ3055">
        <v>91.133106854338493</v>
      </c>
      <c r="AK3055">
        <v>45.309080256576799</v>
      </c>
      <c r="AL3055">
        <v>92.123225753988606</v>
      </c>
      <c r="AM3055">
        <v>85.210190662958595</v>
      </c>
      <c r="AN3055">
        <v>1.00000001843777</v>
      </c>
    </row>
    <row r="3056" spans="1:40" x14ac:dyDescent="0.25">
      <c r="A3056" t="str">
        <f>"20190312161329535"</f>
        <v>20190312161329535</v>
      </c>
      <c r="B3056" t="str">
        <f>"1552378409528568"</f>
        <v>1552378409528568</v>
      </c>
      <c r="C3056" t="s">
        <v>40</v>
      </c>
      <c r="D3056">
        <v>5.3119509999999996</v>
      </c>
      <c r="E3056">
        <v>0.45955099999999999</v>
      </c>
      <c r="F3056" t="s">
        <v>69</v>
      </c>
      <c r="G3056">
        <v>-391.58969999999999</v>
      </c>
      <c r="H3056" s="1">
        <v>-6.9083800000000001E-7</v>
      </c>
      <c r="I3056">
        <v>213.56890000000001</v>
      </c>
      <c r="J3056">
        <v>-435.7002</v>
      </c>
      <c r="K3056">
        <v>1.1101160000000001</v>
      </c>
      <c r="L3056">
        <v>212.48769999999999</v>
      </c>
      <c r="M3056">
        <v>0.99997049999999998</v>
      </c>
      <c r="N3056">
        <v>0</v>
      </c>
      <c r="O3056">
        <v>3.2301560000000001E-3</v>
      </c>
      <c r="P3056">
        <v>0.99584139999999999</v>
      </c>
      <c r="Q3056">
        <v>-4.4144320000000001E-2</v>
      </c>
      <c r="R3056">
        <v>-7.9696329999999996E-2</v>
      </c>
      <c r="S3056">
        <v>3.0156860000000001</v>
      </c>
      <c r="T3056">
        <v>-7.5469259999999996E-2</v>
      </c>
      <c r="U3056">
        <v>7.3638919999999997E-2</v>
      </c>
      <c r="V3056">
        <v>8.2995830000000007E-2</v>
      </c>
      <c r="W3056">
        <v>-3.7001340000000001E-2</v>
      </c>
      <c r="X3056">
        <v>0.99586269999999999</v>
      </c>
      <c r="Y3056">
        <v>-2.1176339999999998E-2</v>
      </c>
      <c r="Z3056">
        <v>1.8408110000000001E-4</v>
      </c>
      <c r="AA3056">
        <v>0.99977579999999999</v>
      </c>
      <c r="AB3056">
        <v>25</v>
      </c>
      <c r="AC3056">
        <v>44.110500000000002</v>
      </c>
      <c r="AD3056">
        <v>-1.11011669083799</v>
      </c>
      <c r="AE3056">
        <v>1.0812000000000199</v>
      </c>
      <c r="AF3056">
        <v>-0.93811329256780496</v>
      </c>
      <c r="AG3056">
        <v>-1.11011669083799</v>
      </c>
      <c r="AH3056">
        <v>44.085856770867998</v>
      </c>
      <c r="AI3056">
        <v>91.442121831915003</v>
      </c>
      <c r="AJ3056">
        <v>91.2190263669156</v>
      </c>
      <c r="AK3056">
        <v>44.1098082385137</v>
      </c>
      <c r="AL3056">
        <v>92.120504750077302</v>
      </c>
      <c r="AM3056">
        <v>85.235942828093897</v>
      </c>
      <c r="AN3056">
        <v>0.99999996210523601</v>
      </c>
    </row>
    <row r="3057" spans="1:40" x14ac:dyDescent="0.25">
      <c r="A3057" t="str">
        <f>"20190312161329556"</f>
        <v>20190312161329556</v>
      </c>
      <c r="B3057" t="str">
        <f>"1552378409549064"</f>
        <v>1552378409549064</v>
      </c>
      <c r="C3057" t="s">
        <v>40</v>
      </c>
      <c r="D3057">
        <v>5.3216449999999904</v>
      </c>
      <c r="E3057">
        <v>0.45941870000000001</v>
      </c>
      <c r="F3057" t="s">
        <v>69</v>
      </c>
      <c r="G3057">
        <v>-391.7774</v>
      </c>
      <c r="H3057" s="1">
        <v>-5.9096179999999996E-7</v>
      </c>
      <c r="I3057">
        <v>213.64959999999999</v>
      </c>
      <c r="J3057">
        <v>-435.44420000000002</v>
      </c>
      <c r="K3057">
        <v>1.1101369999999999</v>
      </c>
      <c r="L3057">
        <v>212.49</v>
      </c>
      <c r="M3057">
        <v>0.99996479999999999</v>
      </c>
      <c r="N3057">
        <v>0</v>
      </c>
      <c r="O3057">
        <v>4.6155609999999998E-3</v>
      </c>
      <c r="P3057">
        <v>0.99595940000000005</v>
      </c>
      <c r="Q3057">
        <v>-4.421423E-2</v>
      </c>
      <c r="R3057">
        <v>-7.8166299999999994E-2</v>
      </c>
      <c r="S3057">
        <v>3.015533</v>
      </c>
      <c r="T3057">
        <v>-7.6215389999999994E-2</v>
      </c>
      <c r="U3057">
        <v>7.9772949999999995E-2</v>
      </c>
      <c r="V3057">
        <v>8.2847069999999995E-2</v>
      </c>
      <c r="W3057">
        <v>-3.704735E-2</v>
      </c>
      <c r="X3057">
        <v>0.99587340000000002</v>
      </c>
      <c r="Y3057">
        <v>-2.1824929999999999E-2</v>
      </c>
      <c r="Z3057">
        <v>1.5909559999999901E-4</v>
      </c>
      <c r="AA3057">
        <v>0.99976180000000003</v>
      </c>
      <c r="AB3057">
        <v>26</v>
      </c>
      <c r="AC3057">
        <v>43.666800000000002</v>
      </c>
      <c r="AD3057">
        <v>-1.1101375909618001</v>
      </c>
      <c r="AE3057">
        <v>1.15959999999998</v>
      </c>
      <c r="AF3057">
        <v>-0.95741755412649598</v>
      </c>
      <c r="AG3057">
        <v>-1.1101375909618001</v>
      </c>
      <c r="AH3057">
        <v>43.643499183150197</v>
      </c>
      <c r="AI3057">
        <v>91.456739205498707</v>
      </c>
      <c r="AJ3057">
        <v>91.256709223120495</v>
      </c>
      <c r="AK3057">
        <v>43.668112791755199</v>
      </c>
      <c r="AL3057">
        <v>92.1231426869616</v>
      </c>
      <c r="AM3057">
        <v>85.244493488290303</v>
      </c>
      <c r="AN3057">
        <v>0.99999998598858297</v>
      </c>
    </row>
    <row r="3058" spans="1:40" x14ac:dyDescent="0.25">
      <c r="A3058" t="str">
        <f>"20190312161329580"</f>
        <v>20190312161329580</v>
      </c>
      <c r="B3058" t="str">
        <f>"1552378409568584"</f>
        <v>1552378409568584</v>
      </c>
      <c r="C3058" t="s">
        <v>40</v>
      </c>
      <c r="D3058">
        <v>5.2188720000000002</v>
      </c>
      <c r="E3058">
        <v>0.45942440000000001</v>
      </c>
      <c r="F3058" t="s">
        <v>69</v>
      </c>
      <c r="G3058">
        <v>-391.99</v>
      </c>
      <c r="H3058" s="1">
        <v>-4.7779169999999997E-7</v>
      </c>
      <c r="I3058">
        <v>213.72329999999999</v>
      </c>
      <c r="J3058">
        <v>-435.17829999999998</v>
      </c>
      <c r="K3058">
        <v>1.110142</v>
      </c>
      <c r="L3058">
        <v>212.49279999999999</v>
      </c>
      <c r="M3058">
        <v>0.99995699999999998</v>
      </c>
      <c r="N3058">
        <v>0</v>
      </c>
      <c r="O3058">
        <v>6.0623760000000004E-3</v>
      </c>
      <c r="P3058">
        <v>0.99604740000000003</v>
      </c>
      <c r="Q3058">
        <v>-4.4216110000000003E-2</v>
      </c>
      <c r="R3058">
        <v>-7.7036220000000002E-2</v>
      </c>
      <c r="S3058">
        <v>3.0154420000000002</v>
      </c>
      <c r="T3058">
        <v>-7.7036499999999994E-2</v>
      </c>
      <c r="U3058">
        <v>8.5586549999999997E-2</v>
      </c>
      <c r="V3058">
        <v>8.3158480000000007E-2</v>
      </c>
      <c r="W3058">
        <v>-3.7025379999999997E-2</v>
      </c>
      <c r="X3058">
        <v>0.99584830000000002</v>
      </c>
      <c r="Y3058">
        <v>-2.2305430000000001E-2</v>
      </c>
      <c r="Z3058">
        <v>1.299974E-4</v>
      </c>
      <c r="AA3058">
        <v>0.99975119999999895</v>
      </c>
      <c r="AB3058">
        <v>26</v>
      </c>
      <c r="AC3058">
        <v>43.188299999999899</v>
      </c>
      <c r="AD3058">
        <v>-1.1101424777916999</v>
      </c>
      <c r="AE3058">
        <v>1.2304999999999999</v>
      </c>
      <c r="AF3058">
        <v>-0.96800815126388695</v>
      </c>
      <c r="AG3058">
        <v>-1.1101424777916999</v>
      </c>
      <c r="AH3058">
        <v>43.166467929155502</v>
      </c>
      <c r="AI3058">
        <v>91.472821092153595</v>
      </c>
      <c r="AJ3058">
        <v>91.284642687051402</v>
      </c>
      <c r="AK3058">
        <v>43.1915895699697</v>
      </c>
      <c r="AL3058">
        <v>92.121882953567393</v>
      </c>
      <c r="AM3058">
        <v>85.226580923358497</v>
      </c>
      <c r="AN3058">
        <v>1.0000000240864699</v>
      </c>
    </row>
    <row r="3059" spans="1:40" x14ac:dyDescent="0.25">
      <c r="A3059" t="str">
        <f>"20190312161329602"</f>
        <v>20190312161329602</v>
      </c>
      <c r="B3059" t="str">
        <f>"1552378409598840"</f>
        <v>1552378409598840</v>
      </c>
      <c r="C3059" t="s">
        <v>40</v>
      </c>
      <c r="D3059">
        <v>5.4318070000000001</v>
      </c>
      <c r="E3059">
        <v>0.45934340000000001</v>
      </c>
      <c r="F3059" t="s">
        <v>69</v>
      </c>
      <c r="G3059">
        <v>-392.42619999999999</v>
      </c>
      <c r="H3059" s="1">
        <v>-2.4567159999999998E-7</v>
      </c>
      <c r="I3059">
        <v>213.7569</v>
      </c>
      <c r="J3059">
        <v>-434.9246</v>
      </c>
      <c r="K3059">
        <v>1.1101449999999999</v>
      </c>
      <c r="L3059">
        <v>212.4958</v>
      </c>
      <c r="M3059">
        <v>0.99994749999999999</v>
      </c>
      <c r="N3059">
        <v>0</v>
      </c>
      <c r="O3059">
        <v>7.4430709999999999E-3</v>
      </c>
      <c r="P3059">
        <v>0.99606729999999999</v>
      </c>
      <c r="Q3059">
        <v>-4.4665530000000002E-2</v>
      </c>
      <c r="R3059">
        <v>-7.6519009999999998E-2</v>
      </c>
      <c r="S3059">
        <v>3.01532</v>
      </c>
      <c r="T3059">
        <v>-7.8298690000000004E-2</v>
      </c>
      <c r="U3059">
        <v>8.9157100000000003E-2</v>
      </c>
      <c r="V3059">
        <v>8.4017410000000001E-2</v>
      </c>
      <c r="W3059">
        <v>-3.7451959999999999E-2</v>
      </c>
      <c r="X3059">
        <v>0.99576019999999998</v>
      </c>
      <c r="Y3059">
        <v>-2.210937E-2</v>
      </c>
      <c r="Z3059" s="1">
        <v>9.3748169999999996E-5</v>
      </c>
      <c r="AA3059">
        <v>0.99975559999999997</v>
      </c>
      <c r="AB3059">
        <v>26</v>
      </c>
      <c r="AC3059">
        <v>42.498399999999997</v>
      </c>
      <c r="AD3059">
        <v>-1.1101452456715999</v>
      </c>
      <c r="AE3059">
        <v>1.2610999999999899</v>
      </c>
      <c r="AF3059">
        <v>-0.94409496530542503</v>
      </c>
      <c r="AG3059">
        <v>-1.1101452456715999</v>
      </c>
      <c r="AH3059">
        <v>42.477649816075299</v>
      </c>
      <c r="AI3059">
        <v>91.4967039846875</v>
      </c>
      <c r="AJ3059">
        <v>91.273228460768095</v>
      </c>
      <c r="AK3059">
        <v>42.502640761099997</v>
      </c>
      <c r="AL3059">
        <v>92.146341255971606</v>
      </c>
      <c r="AM3059">
        <v>85.177083766374494</v>
      </c>
      <c r="AN3059">
        <v>0.99999997519749395</v>
      </c>
    </row>
    <row r="3060" spans="1:40" x14ac:dyDescent="0.25">
      <c r="A3060" t="str">
        <f>"20190312161329635"</f>
        <v>20190312161329635</v>
      </c>
      <c r="B3060" t="str">
        <f>"1552378409629096"</f>
        <v>1552378409629096</v>
      </c>
      <c r="C3060" t="s">
        <v>40</v>
      </c>
      <c r="D3060">
        <v>5.2925950000000004</v>
      </c>
      <c r="E3060">
        <v>0.45558019999999999</v>
      </c>
      <c r="F3060" t="s">
        <v>69</v>
      </c>
      <c r="G3060">
        <v>-394.1422</v>
      </c>
      <c r="H3060" s="1">
        <v>6.6744969999999898E-7</v>
      </c>
      <c r="I3060">
        <v>213.73349999999999</v>
      </c>
      <c r="J3060">
        <v>-434.54579999999999</v>
      </c>
      <c r="K3060">
        <v>1.1101449999999999</v>
      </c>
      <c r="L3060">
        <v>212.501</v>
      </c>
      <c r="M3060">
        <v>0.99992979999999998</v>
      </c>
      <c r="N3060">
        <v>0</v>
      </c>
      <c r="O3060">
        <v>9.4950669999999994E-3</v>
      </c>
      <c r="P3060">
        <v>0.99606839999999996</v>
      </c>
      <c r="Q3060">
        <v>-4.5549010000000001E-2</v>
      </c>
      <c r="R3060">
        <v>-7.5980770000000003E-2</v>
      </c>
      <c r="S3060">
        <v>3.015228</v>
      </c>
      <c r="T3060">
        <v>-8.2077860000000002E-2</v>
      </c>
      <c r="U3060">
        <v>9.1506959999999998E-2</v>
      </c>
      <c r="V3060">
        <v>8.5524059999999999E-2</v>
      </c>
      <c r="W3060">
        <v>-3.8301300000000003E-2</v>
      </c>
      <c r="X3060">
        <v>0.99559960000000003</v>
      </c>
      <c r="Y3060">
        <v>-2.08378E-2</v>
      </c>
      <c r="Z3060" s="1">
        <v>2.5143029999999998E-5</v>
      </c>
      <c r="AA3060">
        <v>0.99978290000000003</v>
      </c>
      <c r="AB3060">
        <v>26</v>
      </c>
      <c r="AC3060">
        <v>40.403599999999898</v>
      </c>
      <c r="AD3060">
        <v>-1.1101443325503</v>
      </c>
      <c r="AE3060">
        <v>1.2325000000000099</v>
      </c>
      <c r="AF3060">
        <v>-0.84816018696347795</v>
      </c>
      <c r="AG3060">
        <v>-1.1101443325503</v>
      </c>
      <c r="AH3060">
        <v>40.383022651647003</v>
      </c>
      <c r="AI3060">
        <v>91.574338699101403</v>
      </c>
      <c r="AJ3060">
        <v>91.203200062450705</v>
      </c>
      <c r="AK3060">
        <v>40.4071814734124</v>
      </c>
      <c r="AL3060">
        <v>92.195039836616004</v>
      </c>
      <c r="AM3060">
        <v>85.090227314081403</v>
      </c>
      <c r="AN3060">
        <v>0.99999995897036598</v>
      </c>
    </row>
    <row r="3061" spans="1:40" x14ac:dyDescent="0.25">
      <c r="A3061" t="str">
        <f>"20190312161329660"</f>
        <v>20190312161329660</v>
      </c>
      <c r="B3061" t="str">
        <f>"1552378409648616"</f>
        <v>1552378409648616</v>
      </c>
      <c r="C3061" t="s">
        <v>40</v>
      </c>
      <c r="D3061">
        <v>5.4195799999999998</v>
      </c>
      <c r="E3061">
        <v>0.46008909999999997</v>
      </c>
      <c r="F3061" t="s">
        <v>74</v>
      </c>
      <c r="G3061">
        <v>-421.334</v>
      </c>
      <c r="H3061" s="1">
        <v>3.8623040000000004E-6</v>
      </c>
      <c r="I3061">
        <v>213.07980000000001</v>
      </c>
      <c r="J3061">
        <v>-434.26589999999999</v>
      </c>
      <c r="K3061">
        <v>1.110161</v>
      </c>
      <c r="L3061">
        <v>212.50530000000001</v>
      </c>
      <c r="M3061">
        <v>0.99991430000000003</v>
      </c>
      <c r="N3061">
        <v>0</v>
      </c>
      <c r="O3061">
        <v>1.1003310000000001E-2</v>
      </c>
      <c r="P3061">
        <v>0.99625589999999997</v>
      </c>
      <c r="Q3061">
        <v>-4.443793E-2</v>
      </c>
      <c r="R3061">
        <v>-7.4160229999999994E-2</v>
      </c>
      <c r="S3061">
        <v>3.010345</v>
      </c>
      <c r="T3061">
        <v>-0.25294830000000001</v>
      </c>
      <c r="U3061">
        <v>0.13188169999999999</v>
      </c>
      <c r="V3061">
        <v>8.5204769999999999E-2</v>
      </c>
      <c r="W3061">
        <v>-3.716676E-2</v>
      </c>
      <c r="X3061">
        <v>0.99567000000000005</v>
      </c>
      <c r="Y3061">
        <v>-3.269553E-2</v>
      </c>
      <c r="Z3061">
        <v>4.4811729999999999E-4</v>
      </c>
      <c r="AA3061">
        <v>0.9994653</v>
      </c>
      <c r="AB3061">
        <v>26</v>
      </c>
      <c r="AC3061">
        <v>12.931899999999899</v>
      </c>
      <c r="AD3061">
        <v>-1.110157137696</v>
      </c>
      <c r="AE3061">
        <v>0.57450000000000001</v>
      </c>
      <c r="AF3061">
        <v>-0.42901250878796199</v>
      </c>
      <c r="AG3061">
        <v>-1.110157137696</v>
      </c>
      <c r="AH3061">
        <v>12.8429773979227</v>
      </c>
      <c r="AI3061">
        <v>94.937671571927694</v>
      </c>
      <c r="AJ3061">
        <v>91.913222195645304</v>
      </c>
      <c r="AK3061">
        <v>12.898006398146499</v>
      </c>
      <c r="AL3061">
        <v>92.129989093580207</v>
      </c>
      <c r="AM3061">
        <v>85.108812224165106</v>
      </c>
      <c r="AN3061">
        <v>0.999999984889825</v>
      </c>
    </row>
    <row r="3062" spans="1:40" x14ac:dyDescent="0.25">
      <c r="A3062" t="str">
        <f>"20190312161329681"</f>
        <v>20190312161329681</v>
      </c>
      <c r="B3062" t="str">
        <f>"1552378409669111"</f>
        <v>1552378409669111</v>
      </c>
      <c r="C3062" t="s">
        <v>40</v>
      </c>
      <c r="D3062">
        <v>5.3606889999999998</v>
      </c>
      <c r="E3062">
        <v>0.46044269999999998</v>
      </c>
      <c r="F3062" t="s">
        <v>74</v>
      </c>
      <c r="G3062">
        <v>-408.71789999999999</v>
      </c>
      <c r="H3062" s="1">
        <v>4.80565999999999E-6</v>
      </c>
      <c r="I3062">
        <v>213.3124</v>
      </c>
      <c r="J3062">
        <v>-434.00970000000001</v>
      </c>
      <c r="K3062">
        <v>1.110168</v>
      </c>
      <c r="L3062">
        <v>212.50960000000001</v>
      </c>
      <c r="M3062">
        <v>0.99989799999999995</v>
      </c>
      <c r="N3062">
        <v>0</v>
      </c>
      <c r="O3062">
        <v>1.237859E-2</v>
      </c>
      <c r="P3062">
        <v>0.99642310000000001</v>
      </c>
      <c r="Q3062">
        <v>-4.3643319999999999E-2</v>
      </c>
      <c r="R3062">
        <v>-7.2361700000000001E-2</v>
      </c>
      <c r="S3062">
        <v>3.0125120000000001</v>
      </c>
      <c r="T3062">
        <v>-0.13090499999999999</v>
      </c>
      <c r="U3062">
        <v>9.5169069999999995E-2</v>
      </c>
      <c r="V3062">
        <v>8.4775920000000005E-2</v>
      </c>
      <c r="W3062">
        <v>-3.6350849999999997E-2</v>
      </c>
      <c r="X3062">
        <v>0.99573670000000003</v>
      </c>
      <c r="Y3062">
        <v>-1.9193930000000001E-2</v>
      </c>
      <c r="Z3062">
        <v>-1.2076199999999999E-4</v>
      </c>
      <c r="AA3062">
        <v>0.99981580000000003</v>
      </c>
      <c r="AB3062">
        <v>26</v>
      </c>
      <c r="AC3062">
        <v>25.291799999999999</v>
      </c>
      <c r="AD3062">
        <v>-1.1101631943400001</v>
      </c>
      <c r="AE3062">
        <v>0.80279999999998997</v>
      </c>
      <c r="AF3062">
        <v>-0.48871306354460198</v>
      </c>
      <c r="AG3062">
        <v>-1.1101631943400001</v>
      </c>
      <c r="AH3062">
        <v>25.251197364721701</v>
      </c>
      <c r="AI3062">
        <v>92.516904167312902</v>
      </c>
      <c r="AJ3062">
        <v>91.108767243431004</v>
      </c>
      <c r="AK3062">
        <v>25.280313904868201</v>
      </c>
      <c r="AL3062">
        <v>92.083209332131801</v>
      </c>
      <c r="AM3062">
        <v>85.133636295333503</v>
      </c>
      <c r="AN3062">
        <v>0.99999995831722799</v>
      </c>
    </row>
    <row r="3063" spans="1:40" x14ac:dyDescent="0.25">
      <c r="A3063" t="str">
        <f>"20190312161329704"</f>
        <v>20190312161329704</v>
      </c>
      <c r="B3063" t="str">
        <f>"1552378409699368"</f>
        <v>1552378409699368</v>
      </c>
      <c r="C3063" t="s">
        <v>40</v>
      </c>
      <c r="D3063">
        <v>5.2579099999999999</v>
      </c>
      <c r="E3063">
        <v>0.46071980000000001</v>
      </c>
      <c r="F3063" t="s">
        <v>74</v>
      </c>
      <c r="G3063">
        <v>-409.51080000000002</v>
      </c>
      <c r="H3063" s="1">
        <v>4.4551080000000001E-6</v>
      </c>
      <c r="I3063">
        <v>213.30719999999999</v>
      </c>
      <c r="J3063">
        <v>-433.74610000000001</v>
      </c>
      <c r="K3063">
        <v>1.1101760000000001</v>
      </c>
      <c r="L3063">
        <v>212.51429999999999</v>
      </c>
      <c r="M3063">
        <v>0.99987939999999997</v>
      </c>
      <c r="N3063">
        <v>0</v>
      </c>
      <c r="O3063">
        <v>1.379011E-2</v>
      </c>
      <c r="P3063">
        <v>0.99654500000000001</v>
      </c>
      <c r="Q3063">
        <v>-4.4048230000000001E-2</v>
      </c>
      <c r="R3063">
        <v>-7.0414779999999996E-2</v>
      </c>
      <c r="S3063">
        <v>3.0119319999999998</v>
      </c>
      <c r="T3063">
        <v>-0.136485</v>
      </c>
      <c r="U3063">
        <v>9.8068240000000001E-2</v>
      </c>
      <c r="V3063">
        <v>8.4237110000000004E-2</v>
      </c>
      <c r="W3063">
        <v>-3.673419E-2</v>
      </c>
      <c r="X3063">
        <v>0.9957684</v>
      </c>
      <c r="Y3063">
        <v>-1.8751319999999998E-2</v>
      </c>
      <c r="Z3063">
        <v>-1.998503E-4</v>
      </c>
      <c r="AA3063">
        <v>0.99982420000000005</v>
      </c>
      <c r="AB3063">
        <v>26</v>
      </c>
      <c r="AC3063">
        <v>24.235299999999899</v>
      </c>
      <c r="AD3063">
        <v>-1.110171544892</v>
      </c>
      <c r="AE3063">
        <v>0.79290000000000205</v>
      </c>
      <c r="AF3063">
        <v>-0.45764932853284401</v>
      </c>
      <c r="AG3063">
        <v>-1.110171544892</v>
      </c>
      <c r="AH3063">
        <v>24.193217657016898</v>
      </c>
      <c r="AI3063">
        <v>92.626860203298705</v>
      </c>
      <c r="AJ3063">
        <v>91.083702401841904</v>
      </c>
      <c r="AK3063">
        <v>24.222999491532601</v>
      </c>
      <c r="AL3063">
        <v>92.105187691195496</v>
      </c>
      <c r="AM3063">
        <v>85.164571509627606</v>
      </c>
      <c r="AN3063">
        <v>0.99999999892733404</v>
      </c>
    </row>
    <row r="3064" spans="1:40" x14ac:dyDescent="0.25">
      <c r="A3064" t="str">
        <f>"20190312161329725"</f>
        <v>20190312161329725</v>
      </c>
      <c r="B3064" t="str">
        <f>"1552378409718889"</f>
        <v>1552378409718889</v>
      </c>
      <c r="C3064" t="s">
        <v>40</v>
      </c>
      <c r="D3064">
        <v>5.479673</v>
      </c>
      <c r="E3064">
        <v>0.46068920000000002</v>
      </c>
      <c r="F3064" t="s">
        <v>74</v>
      </c>
      <c r="G3064">
        <v>-408.29509999999999</v>
      </c>
      <c r="H3064" s="1">
        <v>4.9808169999999996E-6</v>
      </c>
      <c r="I3064">
        <v>213.37209999999999</v>
      </c>
      <c r="J3064">
        <v>-433.50470000000001</v>
      </c>
      <c r="K3064">
        <v>1.110174</v>
      </c>
      <c r="L3064">
        <v>212.51910000000001</v>
      </c>
      <c r="M3064">
        <v>0.99986059999999999</v>
      </c>
      <c r="N3064">
        <v>0</v>
      </c>
      <c r="O3064">
        <v>1.508045E-2</v>
      </c>
      <c r="P3064">
        <v>0.99664280000000005</v>
      </c>
      <c r="Q3064">
        <v>-4.4508440000000003E-2</v>
      </c>
      <c r="R3064">
        <v>-6.8718810000000005E-2</v>
      </c>
      <c r="S3064">
        <v>3.011749</v>
      </c>
      <c r="T3064">
        <v>-0.1313723</v>
      </c>
      <c r="U3064">
        <v>0.10150149999999999</v>
      </c>
      <c r="V3064">
        <v>8.3828899999999998E-2</v>
      </c>
      <c r="W3064">
        <v>-3.7174770000000003E-2</v>
      </c>
      <c r="X3064">
        <v>0.99578650000000002</v>
      </c>
      <c r="Y3064">
        <v>-1.8603250000000002E-2</v>
      </c>
      <c r="Z3064">
        <v>-2.5183740000000001E-4</v>
      </c>
      <c r="AA3064">
        <v>0.99982689999999996</v>
      </c>
      <c r="AB3064">
        <v>26</v>
      </c>
      <c r="AC3064">
        <v>25.209599999999998</v>
      </c>
      <c r="AD3064">
        <v>-1.110169019183</v>
      </c>
      <c r="AE3064">
        <v>0.85299999999998</v>
      </c>
      <c r="AF3064">
        <v>-0.471807187195183</v>
      </c>
      <c r="AG3064">
        <v>-1.110169019183</v>
      </c>
      <c r="AH3064">
        <v>25.1708389296261</v>
      </c>
      <c r="AI3064">
        <v>92.524971569700298</v>
      </c>
      <c r="AJ3064">
        <v>91.073837681576094</v>
      </c>
      <c r="AK3064">
        <v>25.199726381336401</v>
      </c>
      <c r="AL3064">
        <v>92.130448316268001</v>
      </c>
      <c r="AM3064">
        <v>85.187980576519806</v>
      </c>
      <c r="AN3064">
        <v>1.0000000007909999</v>
      </c>
    </row>
    <row r="3065" spans="1:40" x14ac:dyDescent="0.25">
      <c r="A3065" t="str">
        <f>"20190312161329747"</f>
        <v>20190312161329747</v>
      </c>
      <c r="B3065" t="str">
        <f>"1552378409739384"</f>
        <v>1552378409739384</v>
      </c>
      <c r="C3065" t="s">
        <v>40</v>
      </c>
      <c r="D3065">
        <v>5.3866839999999998</v>
      </c>
      <c r="E3065">
        <v>0.46076879999999998</v>
      </c>
      <c r="F3065" t="s">
        <v>74</v>
      </c>
      <c r="G3065">
        <v>-408.39080000000001</v>
      </c>
      <c r="H3065" s="1">
        <v>4.930459E-6</v>
      </c>
      <c r="I3065">
        <v>213.41030000000001</v>
      </c>
      <c r="J3065">
        <v>-433.23140000000001</v>
      </c>
      <c r="K3065">
        <v>1.1101780000000001</v>
      </c>
      <c r="L3065">
        <v>212.5247</v>
      </c>
      <c r="M3065">
        <v>0.99983739999999999</v>
      </c>
      <c r="N3065">
        <v>0</v>
      </c>
      <c r="O3065">
        <v>1.6535770000000002E-2</v>
      </c>
      <c r="P3065">
        <v>0.99681719999999896</v>
      </c>
      <c r="Q3065">
        <v>-4.4174199999999997E-2</v>
      </c>
      <c r="R3065">
        <v>-6.6366679999999997E-2</v>
      </c>
      <c r="S3065">
        <v>3.011536</v>
      </c>
      <c r="T3065">
        <v>-0.13312650000000001</v>
      </c>
      <c r="U3065">
        <v>0.1068726</v>
      </c>
      <c r="V3065">
        <v>8.292824E-2</v>
      </c>
      <c r="W3065">
        <v>-3.6819310000000001E-2</v>
      </c>
      <c r="X3065">
        <v>0.99587510000000001</v>
      </c>
      <c r="Y3065">
        <v>-1.893243E-2</v>
      </c>
      <c r="Z3065">
        <v>-3.1220299999999999E-4</v>
      </c>
      <c r="AA3065">
        <v>0.99982070000000001</v>
      </c>
      <c r="AB3065">
        <v>26</v>
      </c>
      <c r="AC3065">
        <v>24.840599999999899</v>
      </c>
      <c r="AD3065">
        <v>-1.1101730695409999</v>
      </c>
      <c r="AE3065">
        <v>0.88560000000001005</v>
      </c>
      <c r="AF3065">
        <v>-0.47376475508049198</v>
      </c>
      <c r="AG3065">
        <v>-1.1101730695409999</v>
      </c>
      <c r="AH3065">
        <v>24.802371467326001</v>
      </c>
      <c r="AI3065">
        <v>92.562425299499395</v>
      </c>
      <c r="AJ3065">
        <v>91.094307464429505</v>
      </c>
      <c r="AK3065">
        <v>24.8317250244666</v>
      </c>
      <c r="AL3065">
        <v>92.1100680395149</v>
      </c>
      <c r="AM3065">
        <v>85.239863735465903</v>
      </c>
      <c r="AN3065">
        <v>0.99999998468919105</v>
      </c>
    </row>
    <row r="3066" spans="1:40" x14ac:dyDescent="0.25">
      <c r="A3066" t="str">
        <f>"20190312161329769"</f>
        <v>20190312161329769</v>
      </c>
      <c r="B3066" t="str">
        <f>"1552378409758905"</f>
        <v>1552378409758905</v>
      </c>
      <c r="C3066" t="s">
        <v>40</v>
      </c>
      <c r="D3066">
        <v>5.45139</v>
      </c>
      <c r="E3066">
        <v>0.46078360000000002</v>
      </c>
      <c r="F3066" t="s">
        <v>74</v>
      </c>
      <c r="G3066">
        <v>-409.14359999999999</v>
      </c>
      <c r="H3066" s="1">
        <v>4.59156799999999E-6</v>
      </c>
      <c r="I3066">
        <v>213.435</v>
      </c>
      <c r="J3066">
        <v>-432.976</v>
      </c>
      <c r="K3066">
        <v>1.1101780000000001</v>
      </c>
      <c r="L3066">
        <v>212.53039999999999</v>
      </c>
      <c r="M3066">
        <v>0.99981399999999998</v>
      </c>
      <c r="N3066">
        <v>0</v>
      </c>
      <c r="O3066">
        <v>1.7887469999999999E-2</v>
      </c>
      <c r="P3066">
        <v>0.99699090000000001</v>
      </c>
      <c r="Q3066">
        <v>-4.354951E-2</v>
      </c>
      <c r="R3066">
        <v>-6.4130660000000006E-2</v>
      </c>
      <c r="S3066">
        <v>3.0110169999999998</v>
      </c>
      <c r="T3066">
        <v>-0.13877320000000001</v>
      </c>
      <c r="U3066">
        <v>0.11378480000000001</v>
      </c>
      <c r="V3066">
        <v>8.2040210000000002E-2</v>
      </c>
      <c r="W3066">
        <v>-3.617571E-2</v>
      </c>
      <c r="X3066">
        <v>0.99597230000000003</v>
      </c>
      <c r="Y3066">
        <v>-1.98792E-2</v>
      </c>
      <c r="Z3066">
        <v>-3.6589970000000001E-4</v>
      </c>
      <c r="AA3066">
        <v>0.99980239999999998</v>
      </c>
      <c r="AB3066">
        <v>26</v>
      </c>
      <c r="AC3066">
        <v>23.8324</v>
      </c>
      <c r="AD3066">
        <v>-1.1101734084320001</v>
      </c>
      <c r="AE3066">
        <v>0.90460000000001595</v>
      </c>
      <c r="AF3066">
        <v>-0.47710903252006798</v>
      </c>
      <c r="AG3066">
        <v>-1.1101734084320001</v>
      </c>
      <c r="AH3066">
        <v>23.7932128241697</v>
      </c>
      <c r="AI3066">
        <v>92.670904288360404</v>
      </c>
      <c r="AJ3066">
        <v>91.148759147352706</v>
      </c>
      <c r="AK3066">
        <v>23.8238765636899</v>
      </c>
      <c r="AL3066">
        <v>92.073167753773404</v>
      </c>
      <c r="AM3066">
        <v>85.291064282850499</v>
      </c>
      <c r="AN3066">
        <v>1.00000005020906</v>
      </c>
    </row>
    <row r="3067" spans="1:40" x14ac:dyDescent="0.25">
      <c r="A3067" t="str">
        <f>"20190312161329791"</f>
        <v>20190312161329791</v>
      </c>
      <c r="B3067" t="str">
        <f>"1552378409778428"</f>
        <v>1552378409778428</v>
      </c>
      <c r="C3067" t="s">
        <v>40</v>
      </c>
      <c r="D3067">
        <v>5.4368179999999997</v>
      </c>
      <c r="E3067">
        <v>0.46101779999999998</v>
      </c>
      <c r="F3067" t="s">
        <v>74</v>
      </c>
      <c r="G3067">
        <v>-410.4067</v>
      </c>
      <c r="H3067" s="1">
        <v>2.3809360000000001E-6</v>
      </c>
      <c r="I3067">
        <v>213.43770000000001</v>
      </c>
      <c r="J3067">
        <v>-432.71370000000002</v>
      </c>
      <c r="K3067">
        <v>1.1101719999999999</v>
      </c>
      <c r="L3067">
        <v>212.53659999999999</v>
      </c>
      <c r="M3067">
        <v>0.99978840000000002</v>
      </c>
      <c r="N3067">
        <v>0</v>
      </c>
      <c r="O3067">
        <v>1.9260909999999999E-2</v>
      </c>
      <c r="P3067">
        <v>0.99711879999999997</v>
      </c>
      <c r="Q3067">
        <v>-4.372935E-2</v>
      </c>
      <c r="R3067">
        <v>-6.1982929999999999E-2</v>
      </c>
      <c r="S3067">
        <v>3.0103759999999999</v>
      </c>
      <c r="T3067">
        <v>-0.1480795</v>
      </c>
      <c r="U3067">
        <v>0.1210175</v>
      </c>
      <c r="V3067">
        <v>8.1263230000000006E-2</v>
      </c>
      <c r="W3067">
        <v>-3.6336880000000002E-2</v>
      </c>
      <c r="X3067">
        <v>0.99603010000000003</v>
      </c>
      <c r="Y3067">
        <v>-2.091235E-2</v>
      </c>
      <c r="Z3067">
        <v>-4.3255559999999998E-4</v>
      </c>
      <c r="AA3067">
        <v>0.99978120000000004</v>
      </c>
      <c r="AB3067">
        <v>26</v>
      </c>
      <c r="AC3067">
        <v>22.306999999999999</v>
      </c>
      <c r="AD3067">
        <v>-1.110169619064</v>
      </c>
      <c r="AE3067">
        <v>0.901100000000013</v>
      </c>
      <c r="AF3067">
        <v>-0.47010602549994401</v>
      </c>
      <c r="AG3067">
        <v>-1.110169619064</v>
      </c>
      <c r="AH3067">
        <v>22.265160909030701</v>
      </c>
      <c r="AI3067">
        <v>92.853842427789999</v>
      </c>
      <c r="AJ3067">
        <v>91.209561871640005</v>
      </c>
      <c r="AK3067">
        <v>22.2977771664203</v>
      </c>
      <c r="AL3067">
        <v>92.082408250832799</v>
      </c>
      <c r="AM3067">
        <v>85.335733065618399</v>
      </c>
      <c r="AN3067">
        <v>1.0000000207520801</v>
      </c>
    </row>
    <row r="3068" spans="1:40" x14ac:dyDescent="0.25">
      <c r="A3068" t="str">
        <f>"20190312161329814"</f>
        <v>20190312161329814</v>
      </c>
      <c r="B3068" t="str">
        <f>"1552378409808681"</f>
        <v>1552378409808681</v>
      </c>
      <c r="C3068" t="s">
        <v>40</v>
      </c>
      <c r="D3068">
        <v>5.4488370000000002</v>
      </c>
      <c r="E3068">
        <v>0.46145419999999998</v>
      </c>
      <c r="F3068" t="s">
        <v>74</v>
      </c>
      <c r="G3068">
        <v>-411.30360000000002</v>
      </c>
      <c r="H3068" s="1">
        <v>2.5404740000000002E-6</v>
      </c>
      <c r="I3068">
        <v>213.43270000000001</v>
      </c>
      <c r="J3068">
        <v>-432.44510000000002</v>
      </c>
      <c r="K3068">
        <v>1.110166</v>
      </c>
      <c r="L3068">
        <v>212.54329999999999</v>
      </c>
      <c r="M3068">
        <v>0.99976039999999999</v>
      </c>
      <c r="N3068">
        <v>0</v>
      </c>
      <c r="O3068">
        <v>2.0653709999999999E-2</v>
      </c>
      <c r="P3068">
        <v>0.99713549999999995</v>
      </c>
      <c r="Q3068">
        <v>-4.4960310000000003E-2</v>
      </c>
      <c r="R3068">
        <v>-6.0823599999999998E-2</v>
      </c>
      <c r="S3068">
        <v>3.0096440000000002</v>
      </c>
      <c r="T3068">
        <v>-0.1560578</v>
      </c>
      <c r="U3068">
        <v>0.1259613</v>
      </c>
      <c r="V3068">
        <v>8.1493880000000005E-2</v>
      </c>
      <c r="W3068">
        <v>-3.7547610000000002E-2</v>
      </c>
      <c r="X3068">
        <v>0.99596629999999997</v>
      </c>
      <c r="Y3068">
        <v>-2.117016E-2</v>
      </c>
      <c r="Z3068">
        <v>-5.2136169999999896E-4</v>
      </c>
      <c r="AA3068">
        <v>0.99977579999999999</v>
      </c>
      <c r="AB3068">
        <v>27</v>
      </c>
      <c r="AC3068">
        <v>21.141500000000001</v>
      </c>
      <c r="AD3068">
        <v>-1.1101634595259999</v>
      </c>
      <c r="AE3068">
        <v>0.88940000000002295</v>
      </c>
      <c r="AF3068">
        <v>-0.45130614428267801</v>
      </c>
      <c r="AG3068">
        <v>-1.1101634595259999</v>
      </c>
      <c r="AH3068">
        <v>21.097288725426498</v>
      </c>
      <c r="AI3068">
        <v>93.011503564341496</v>
      </c>
      <c r="AJ3068">
        <v>91.225465249515693</v>
      </c>
      <c r="AK3068">
        <v>21.131297444945101</v>
      </c>
      <c r="AL3068">
        <v>92.151825459293306</v>
      </c>
      <c r="AM3068">
        <v>85.322254802678998</v>
      </c>
      <c r="AN3068">
        <v>0.99999997311492705</v>
      </c>
    </row>
    <row r="3069" spans="1:40" x14ac:dyDescent="0.25">
      <c r="A3069" t="str">
        <f>"20190312161329836"</f>
        <v>20190312161329836</v>
      </c>
      <c r="B3069" t="str">
        <f>"1552378409829176"</f>
        <v>1552378409829176</v>
      </c>
      <c r="C3069" t="s">
        <v>40</v>
      </c>
      <c r="D3069">
        <v>5.483212</v>
      </c>
      <c r="E3069">
        <v>0.46170060000000002</v>
      </c>
      <c r="F3069" t="s">
        <v>74</v>
      </c>
      <c r="G3069">
        <v>-412.00409999999999</v>
      </c>
      <c r="H3069" s="1">
        <v>2.6674099999999999E-6</v>
      </c>
      <c r="I3069">
        <v>213.40180000000001</v>
      </c>
      <c r="J3069">
        <v>-432.18270000000001</v>
      </c>
      <c r="K3069">
        <v>1.110166</v>
      </c>
      <c r="L3069">
        <v>212.55019999999999</v>
      </c>
      <c r="M3069">
        <v>0.9997317</v>
      </c>
      <c r="N3069">
        <v>0</v>
      </c>
      <c r="O3069">
        <v>2.1992299999999999E-2</v>
      </c>
      <c r="P3069">
        <v>0.99722120000000003</v>
      </c>
      <c r="Q3069">
        <v>-4.4564050000000001E-2</v>
      </c>
      <c r="R3069">
        <v>-5.9697399999999998E-2</v>
      </c>
      <c r="S3069">
        <v>3.008972</v>
      </c>
      <c r="T3069">
        <v>-0.16341889999999901</v>
      </c>
      <c r="U3069">
        <v>0.12637329999999999</v>
      </c>
      <c r="V3069">
        <v>8.1701259999999998E-2</v>
      </c>
      <c r="W3069">
        <v>-3.7131989999999997E-2</v>
      </c>
      <c r="X3069">
        <v>0.99596490000000004</v>
      </c>
      <c r="Y3069">
        <v>-1.998113E-2</v>
      </c>
      <c r="Z3069">
        <v>-6.5087649999999995E-4</v>
      </c>
      <c r="AA3069">
        <v>0.99980009999999997</v>
      </c>
      <c r="AB3069">
        <v>27</v>
      </c>
      <c r="AC3069">
        <v>20.178599999999999</v>
      </c>
      <c r="AD3069">
        <v>-1.11016333259</v>
      </c>
      <c r="AE3069">
        <v>0.85160000000001901</v>
      </c>
      <c r="AF3069">
        <v>-0.40638059714782299</v>
      </c>
      <c r="AG3069">
        <v>-1.11016333259</v>
      </c>
      <c r="AH3069">
        <v>20.131621315849099</v>
      </c>
      <c r="AI3069">
        <v>93.155751675717795</v>
      </c>
      <c r="AJ3069">
        <v>91.156426047919695</v>
      </c>
      <c r="AK3069">
        <v>20.166303196657399</v>
      </c>
      <c r="AL3069">
        <v>92.127995550839501</v>
      </c>
      <c r="AM3069">
        <v>85.310397662301497</v>
      </c>
      <c r="AN3069">
        <v>0.99999998129947798</v>
      </c>
    </row>
    <row r="3070" spans="1:40" x14ac:dyDescent="0.25">
      <c r="A3070" t="str">
        <f>"20190312161329860"</f>
        <v>20190312161329860</v>
      </c>
      <c r="B3070" t="str">
        <f>"1552378409848696"</f>
        <v>1552378409848696</v>
      </c>
      <c r="C3070" t="s">
        <v>40</v>
      </c>
      <c r="D3070">
        <v>5.4933719999999999</v>
      </c>
      <c r="E3070">
        <v>0.4618082</v>
      </c>
      <c r="F3070" t="s">
        <v>74</v>
      </c>
      <c r="G3070">
        <v>-411.9495</v>
      </c>
      <c r="H3070" s="1">
        <v>2.6570869999999998E-6</v>
      </c>
      <c r="I3070">
        <v>213.4093</v>
      </c>
      <c r="J3070">
        <v>-431.89909999999998</v>
      </c>
      <c r="K3070">
        <v>1.1101559999999999</v>
      </c>
      <c r="L3070">
        <v>212.55799999999999</v>
      </c>
      <c r="M3070">
        <v>0.99969949999999996</v>
      </c>
      <c r="N3070">
        <v>0</v>
      </c>
      <c r="O3070">
        <v>2.340679E-2</v>
      </c>
      <c r="P3070">
        <v>0.99738479999999996</v>
      </c>
      <c r="Q3070">
        <v>-4.3574839999999997E-2</v>
      </c>
      <c r="R3070">
        <v>-5.7662699999999997E-2</v>
      </c>
      <c r="S3070">
        <v>3.008667</v>
      </c>
      <c r="T3070">
        <v>-0.16508049999999999</v>
      </c>
      <c r="U3070">
        <v>0.12774659999999999</v>
      </c>
      <c r="V3070">
        <v>8.1075800000000003E-2</v>
      </c>
      <c r="W3070">
        <v>-3.6124219999999999E-2</v>
      </c>
      <c r="X3070">
        <v>0.99605310000000002</v>
      </c>
      <c r="Y3070">
        <v>-1.9029910000000001E-2</v>
      </c>
      <c r="Z3070">
        <v>-7.6109419999999999E-4</v>
      </c>
      <c r="AA3070">
        <v>0.9998186</v>
      </c>
      <c r="AB3070">
        <v>27</v>
      </c>
      <c r="AC3070">
        <v>19.949599999999901</v>
      </c>
      <c r="AD3070">
        <v>-1.1101533429129999</v>
      </c>
      <c r="AE3070">
        <v>0.85130000000000905</v>
      </c>
      <c r="AF3070">
        <v>-0.38291465920065998</v>
      </c>
      <c r="AG3070">
        <v>-1.1101533429129999</v>
      </c>
      <c r="AH3070">
        <v>19.902540768601501</v>
      </c>
      <c r="AI3070">
        <v>93.192030817505398</v>
      </c>
      <c r="AJ3070">
        <v>91.102205378156199</v>
      </c>
      <c r="AK3070">
        <v>19.937156094259201</v>
      </c>
      <c r="AL3070">
        <v>92.070215745227301</v>
      </c>
      <c r="AM3070">
        <v>85.346550669543007</v>
      </c>
      <c r="AN3070">
        <v>1.0000000113179199</v>
      </c>
    </row>
    <row r="3071" spans="1:40" x14ac:dyDescent="0.25">
      <c r="A3071" t="str">
        <f>"20190312161329885"</f>
        <v>20190312161329885</v>
      </c>
      <c r="B3071" t="str">
        <f>"1552378409878953"</f>
        <v>1552378409878953</v>
      </c>
      <c r="C3071" t="s">
        <v>40</v>
      </c>
      <c r="D3071">
        <v>5.5712039999999998</v>
      </c>
      <c r="E3071">
        <v>0.48679460000000002</v>
      </c>
      <c r="F3071" t="s">
        <v>74</v>
      </c>
      <c r="G3071">
        <v>-411.52319999999997</v>
      </c>
      <c r="H3071" s="1">
        <v>2.577106E-6</v>
      </c>
      <c r="I3071">
        <v>213.459</v>
      </c>
      <c r="J3071">
        <v>-431.58749999999998</v>
      </c>
      <c r="K3071">
        <v>1.1101319999999999</v>
      </c>
      <c r="L3071">
        <v>212.5669</v>
      </c>
      <c r="M3071">
        <v>0.99966290000000002</v>
      </c>
      <c r="N3071">
        <v>0</v>
      </c>
      <c r="O3071">
        <v>2.4911869999999999E-2</v>
      </c>
      <c r="P3071">
        <v>0.99751809999999996</v>
      </c>
      <c r="Q3071">
        <v>-4.352454E-2</v>
      </c>
      <c r="R3071">
        <v>-5.5348590000000003E-2</v>
      </c>
      <c r="S3071">
        <v>3.008362</v>
      </c>
      <c r="T3071">
        <v>-0.1639062</v>
      </c>
      <c r="U3071">
        <v>0.1330414</v>
      </c>
      <c r="V3071">
        <v>8.0262509999999995E-2</v>
      </c>
      <c r="W3071">
        <v>-3.6055900000000002E-2</v>
      </c>
      <c r="X3071">
        <v>0.99612140000000005</v>
      </c>
      <c r="Y3071">
        <v>-1.9287080000000002E-2</v>
      </c>
      <c r="Z3071">
        <v>-8.3059609999999999E-4</v>
      </c>
      <c r="AA3071">
        <v>0.99981359999999997</v>
      </c>
      <c r="AB3071">
        <v>27</v>
      </c>
      <c r="AC3071">
        <v>20.064299999999999</v>
      </c>
      <c r="AD3071">
        <v>-1.110129422894</v>
      </c>
      <c r="AE3071">
        <v>0.892099999999999</v>
      </c>
      <c r="AF3071">
        <v>-0.39077661645407702</v>
      </c>
      <c r="AG3071">
        <v>-1.110129422894</v>
      </c>
      <c r="AH3071">
        <v>20.019134487875</v>
      </c>
      <c r="AI3071">
        <v>93.173392718512602</v>
      </c>
      <c r="AJ3071">
        <v>91.118280499865193</v>
      </c>
      <c r="AK3071">
        <v>20.053698894297899</v>
      </c>
      <c r="AL3071">
        <v>92.066298829223996</v>
      </c>
      <c r="AM3071">
        <v>85.393343062968398</v>
      </c>
      <c r="AN3071">
        <v>0.999999970987134</v>
      </c>
    </row>
    <row r="3072" spans="1:40" x14ac:dyDescent="0.25">
      <c r="A3072" t="str">
        <f>"20190312161329906"</f>
        <v>20190312161329906</v>
      </c>
      <c r="B3072" t="str">
        <f>"1552378409898474"</f>
        <v>1552378409898474</v>
      </c>
      <c r="C3072" t="s">
        <v>40</v>
      </c>
      <c r="D3072">
        <v>5.5802430000000003</v>
      </c>
      <c r="E3072">
        <v>0.48708829999999997</v>
      </c>
      <c r="F3072" t="s">
        <v>74</v>
      </c>
      <c r="G3072">
        <v>-406.84089999999998</v>
      </c>
      <c r="H3072" s="1">
        <v>5.8953070000000001E-6</v>
      </c>
      <c r="I3072">
        <v>212.06739999999999</v>
      </c>
      <c r="J3072">
        <v>-431.35039999999998</v>
      </c>
      <c r="K3072">
        <v>1.110098</v>
      </c>
      <c r="L3072">
        <v>212.57400000000001</v>
      </c>
      <c r="M3072">
        <v>0.99963480000000005</v>
      </c>
      <c r="N3072">
        <v>0</v>
      </c>
      <c r="O3072">
        <v>2.600891E-2</v>
      </c>
      <c r="P3072">
        <v>0.99749049999999995</v>
      </c>
      <c r="Q3072">
        <v>-4.4922690000000001E-2</v>
      </c>
      <c r="R3072">
        <v>-5.4726869999999997E-2</v>
      </c>
      <c r="S3072">
        <v>2.99823</v>
      </c>
      <c r="T3072">
        <v>-0.134499799999999</v>
      </c>
      <c r="U3072">
        <v>-6.0516359999999998E-2</v>
      </c>
      <c r="V3072">
        <v>8.0733609999999997E-2</v>
      </c>
      <c r="W3072">
        <v>-3.7440689999999999E-2</v>
      </c>
      <c r="X3072">
        <v>0.99603220000000003</v>
      </c>
      <c r="Y3072">
        <v>4.6104899999999997E-2</v>
      </c>
      <c r="Z3072">
        <v>-2.1995589999999998E-3</v>
      </c>
      <c r="AA3072">
        <v>0.99893419999999999</v>
      </c>
      <c r="AB3072">
        <v>27</v>
      </c>
      <c r="AC3072">
        <v>24.509499999999999</v>
      </c>
      <c r="AD3072">
        <v>-1.1100921046929999</v>
      </c>
      <c r="AE3072">
        <v>-0.50660000000002003</v>
      </c>
      <c r="AF3072">
        <v>1.1415703320955299</v>
      </c>
      <c r="AG3072">
        <v>-1.1100921046929999</v>
      </c>
      <c r="AH3072">
        <v>24.437921391573301</v>
      </c>
      <c r="AI3072">
        <v>92.598042574817498</v>
      </c>
      <c r="AJ3072">
        <v>87.325482476039795</v>
      </c>
      <c r="AK3072">
        <v>24.4897425312056</v>
      </c>
      <c r="AL3072">
        <v>92.145695171526398</v>
      </c>
      <c r="AM3072">
        <v>85.366008577932803</v>
      </c>
      <c r="AN3072">
        <v>0.99999993224407102</v>
      </c>
    </row>
    <row r="3073" spans="1:40" x14ac:dyDescent="0.25">
      <c r="A3073" t="str">
        <f>"20190312161329925"</f>
        <v>20190312161329925</v>
      </c>
      <c r="B3073" t="str">
        <f>"1552378409918968"</f>
        <v>1552378409918968</v>
      </c>
      <c r="C3073" t="s">
        <v>40</v>
      </c>
      <c r="D3073">
        <v>5.6766629999999996</v>
      </c>
      <c r="E3073">
        <v>0.48690139999999998</v>
      </c>
      <c r="F3073" t="s">
        <v>74</v>
      </c>
      <c r="G3073">
        <v>-407.40859999999998</v>
      </c>
      <c r="H3073" s="1">
        <v>5.6393320000000004E-6</v>
      </c>
      <c r="I3073">
        <v>212.08779999999999</v>
      </c>
      <c r="J3073">
        <v>-431.10210000000001</v>
      </c>
      <c r="K3073">
        <v>1.1100559999999999</v>
      </c>
      <c r="L3073">
        <v>212.58160000000001</v>
      </c>
      <c r="M3073">
        <v>0.99960570000000004</v>
      </c>
      <c r="N3073">
        <v>0</v>
      </c>
      <c r="O3073">
        <v>2.7104449999999999E-2</v>
      </c>
      <c r="P3073">
        <v>0.99743910000000002</v>
      </c>
      <c r="Q3073">
        <v>-4.5591819999999998E-2</v>
      </c>
      <c r="R3073">
        <v>-5.511042E-2</v>
      </c>
      <c r="S3073">
        <v>2.997986</v>
      </c>
      <c r="T3073">
        <v>-0.139005399999999</v>
      </c>
      <c r="U3073">
        <v>-6.0882569999999997E-2</v>
      </c>
      <c r="V3073">
        <v>8.2204929999999996E-2</v>
      </c>
      <c r="W3073">
        <v>-3.8095850000000001E-2</v>
      </c>
      <c r="X3073">
        <v>0.99588699999999997</v>
      </c>
      <c r="Y3073">
        <v>4.7315839999999998E-2</v>
      </c>
      <c r="Z3073">
        <v>-2.3521610000000002E-3</v>
      </c>
      <c r="AA3073">
        <v>0.99887720000000002</v>
      </c>
      <c r="AB3073">
        <v>27</v>
      </c>
      <c r="AC3073">
        <v>23.6935</v>
      </c>
      <c r="AD3073">
        <v>-1.1100503606679999</v>
      </c>
      <c r="AE3073">
        <v>-0.493800000000021</v>
      </c>
      <c r="AF3073">
        <v>1.13334855481885</v>
      </c>
      <c r="AG3073">
        <v>-1.1100503606679999</v>
      </c>
      <c r="AH3073">
        <v>23.6195885850248</v>
      </c>
      <c r="AI3073">
        <v>92.687663496533901</v>
      </c>
      <c r="AJ3073">
        <v>87.2528598055044</v>
      </c>
      <c r="AK3073">
        <v>23.672804136303</v>
      </c>
      <c r="AL3073">
        <v>92.183259882888393</v>
      </c>
      <c r="AM3073">
        <v>85.281250033131698</v>
      </c>
      <c r="AN3073">
        <v>0.99999993053626102</v>
      </c>
    </row>
    <row r="3074" spans="1:40" x14ac:dyDescent="0.25">
      <c r="A3074" t="str">
        <f>"20190312161329948"</f>
        <v>20190312161329948</v>
      </c>
      <c r="B3074" t="str">
        <f>"1552378409938488"</f>
        <v>1552378409938488</v>
      </c>
      <c r="C3074" t="s">
        <v>40</v>
      </c>
      <c r="D3074">
        <v>5.5943259999999997</v>
      </c>
      <c r="E3074">
        <v>0.48631360000000001</v>
      </c>
      <c r="F3074" t="s">
        <v>74</v>
      </c>
      <c r="G3074">
        <v>-409.42880000000002</v>
      </c>
      <c r="H3074" s="1">
        <v>4.7311980000000001E-6</v>
      </c>
      <c r="I3074">
        <v>212.14709999999999</v>
      </c>
      <c r="J3074">
        <v>-430.83710000000002</v>
      </c>
      <c r="K3074">
        <v>1.1100099999999999</v>
      </c>
      <c r="L3074">
        <v>212.59</v>
      </c>
      <c r="M3074">
        <v>0.99957499999999999</v>
      </c>
      <c r="N3074">
        <v>0</v>
      </c>
      <c r="O3074">
        <v>2.820754E-2</v>
      </c>
      <c r="P3074">
        <v>0.99745329999999999</v>
      </c>
      <c r="Q3074">
        <v>-4.5478449999999997E-2</v>
      </c>
      <c r="R3074">
        <v>-5.494317E-2</v>
      </c>
      <c r="S3074">
        <v>2.9973749999999999</v>
      </c>
      <c r="T3074">
        <v>-0.15351779999999901</v>
      </c>
      <c r="U3074">
        <v>-6.0089110000000001E-2</v>
      </c>
      <c r="V3074">
        <v>8.3132429999999993E-2</v>
      </c>
      <c r="W3074">
        <v>-3.7970480000000001E-2</v>
      </c>
      <c r="X3074">
        <v>0.99581489999999995</v>
      </c>
      <c r="Y3074">
        <v>4.8137840000000001E-2</v>
      </c>
      <c r="Z3074">
        <v>-2.6754410000000002E-3</v>
      </c>
      <c r="AA3074">
        <v>0.99883710000000003</v>
      </c>
      <c r="AB3074">
        <v>27</v>
      </c>
      <c r="AC3074">
        <v>21.408300000000001</v>
      </c>
      <c r="AD3074">
        <v>-1.1100052688019999</v>
      </c>
      <c r="AE3074">
        <v>-0.44290000000000801</v>
      </c>
      <c r="AF3074">
        <v>1.04381065844359</v>
      </c>
      <c r="AG3074">
        <v>-1.1100052688019999</v>
      </c>
      <c r="AH3074">
        <v>21.329969585901299</v>
      </c>
      <c r="AI3074">
        <v>92.975413937888405</v>
      </c>
      <c r="AJ3074">
        <v>87.198389187833101</v>
      </c>
      <c r="AK3074">
        <v>21.3843226435378</v>
      </c>
      <c r="AL3074">
        <v>92.176071278500004</v>
      </c>
      <c r="AM3074">
        <v>85.227910012175997</v>
      </c>
      <c r="AN3074">
        <v>1.0000000366655699</v>
      </c>
    </row>
    <row r="3075" spans="1:40" x14ac:dyDescent="0.25">
      <c r="A3075" t="str">
        <f>"20190312161329973"</f>
        <v>20190312161329973</v>
      </c>
      <c r="B3075" t="str">
        <f>"1552378409968745"</f>
        <v>1552378409968745</v>
      </c>
      <c r="C3075" t="s">
        <v>40</v>
      </c>
      <c r="D3075">
        <v>5.6172740000000001</v>
      </c>
      <c r="E3075">
        <v>0.48738599999999999</v>
      </c>
      <c r="F3075" t="s">
        <v>74</v>
      </c>
      <c r="G3075">
        <v>-410.4821</v>
      </c>
      <c r="H3075" s="1">
        <v>2.5006179999999999E-6</v>
      </c>
      <c r="I3075">
        <v>212.2217</v>
      </c>
      <c r="J3075">
        <v>-430.5369</v>
      </c>
      <c r="K3075">
        <v>1.1099559999999999</v>
      </c>
      <c r="L3075">
        <v>212.59970000000001</v>
      </c>
      <c r="M3075">
        <v>0.99954180000000004</v>
      </c>
      <c r="N3075">
        <v>0</v>
      </c>
      <c r="O3075">
        <v>2.9355760000000002E-2</v>
      </c>
      <c r="P3075">
        <v>0.99749209999999999</v>
      </c>
      <c r="Q3075">
        <v>-4.5205429999999998E-2</v>
      </c>
      <c r="R3075">
        <v>-5.4464569999999997E-2</v>
      </c>
      <c r="S3075">
        <v>2.997223</v>
      </c>
      <c r="T3075">
        <v>-0.16344610000000001</v>
      </c>
      <c r="U3075">
        <v>-5.4229739999999999E-2</v>
      </c>
      <c r="V3075">
        <v>8.3792400000000003E-2</v>
      </c>
      <c r="W3075">
        <v>-3.76861E-2</v>
      </c>
      <c r="X3075">
        <v>0.9957703</v>
      </c>
      <c r="Y3075">
        <v>4.7320429999999997E-2</v>
      </c>
      <c r="Z3075">
        <v>-2.8886889999999998E-3</v>
      </c>
      <c r="AA3075">
        <v>0.99887559999999997</v>
      </c>
      <c r="AB3075">
        <v>27</v>
      </c>
      <c r="AC3075">
        <v>20.0548</v>
      </c>
      <c r="AD3075">
        <v>-1.1099534993819999</v>
      </c>
      <c r="AE3075">
        <v>-0.37800000000001399</v>
      </c>
      <c r="AF3075">
        <v>0.96362628642633696</v>
      </c>
      <c r="AG3075">
        <v>-1.1099534993819999</v>
      </c>
      <c r="AH3075">
        <v>19.973897699766301</v>
      </c>
      <c r="AI3075">
        <v>93.176979134428194</v>
      </c>
      <c r="AJ3075">
        <v>87.237948020670302</v>
      </c>
      <c r="AK3075">
        <v>20.027909569184001</v>
      </c>
      <c r="AL3075">
        <v>92.159766023280497</v>
      </c>
      <c r="AM3075">
        <v>85.189988064310995</v>
      </c>
      <c r="AN3075">
        <v>0.99999994939652803</v>
      </c>
    </row>
    <row r="3076" spans="1:40" x14ac:dyDescent="0.25">
      <c r="A3076" t="str">
        <f>"20190312161329996"</f>
        <v>20190312161329996</v>
      </c>
      <c r="B3076" t="str">
        <f>"1552378409989240"</f>
        <v>1552378409989240</v>
      </c>
      <c r="C3076" t="s">
        <v>40</v>
      </c>
      <c r="D3076">
        <v>5.5382160000000002</v>
      </c>
      <c r="E3076">
        <v>0.4877959</v>
      </c>
      <c r="F3076" t="s">
        <v>74</v>
      </c>
      <c r="G3076">
        <v>-408.89710000000002</v>
      </c>
      <c r="H3076" s="1">
        <v>4.9661480000000002E-6</v>
      </c>
      <c r="I3076">
        <v>212.15119999999999</v>
      </c>
      <c r="J3076">
        <v>-430.27069999999998</v>
      </c>
      <c r="K3076">
        <v>1.1098969999999999</v>
      </c>
      <c r="L3076">
        <v>212.60849999999999</v>
      </c>
      <c r="M3076">
        <v>0.9995136</v>
      </c>
      <c r="N3076">
        <v>0</v>
      </c>
      <c r="O3076">
        <v>3.0290020000000001E-2</v>
      </c>
      <c r="P3076">
        <v>0.99748820000000005</v>
      </c>
      <c r="Q3076">
        <v>-4.5639020000000002E-2</v>
      </c>
      <c r="R3076">
        <v>-5.4172749999999999E-2</v>
      </c>
      <c r="S3076">
        <v>2.997223</v>
      </c>
      <c r="T3076">
        <v>-0.1537336</v>
      </c>
      <c r="U3076">
        <v>-6.2118529999999998E-2</v>
      </c>
      <c r="V3076">
        <v>8.4426749999999995E-2</v>
      </c>
      <c r="W3076">
        <v>-3.811063E-2</v>
      </c>
      <c r="X3076">
        <v>0.99570060000000005</v>
      </c>
      <c r="Y3076">
        <v>5.0889089999999998E-2</v>
      </c>
      <c r="Z3076">
        <v>-2.8565410000000002E-3</v>
      </c>
      <c r="AA3076">
        <v>0.99870020000000004</v>
      </c>
      <c r="AB3076">
        <v>27</v>
      </c>
      <c r="AC3076">
        <v>21.3735999999999</v>
      </c>
      <c r="AD3076">
        <v>-1.109892033852</v>
      </c>
      <c r="AE3076">
        <v>-0.45730000000000298</v>
      </c>
      <c r="AF3076">
        <v>1.1015457605238099</v>
      </c>
      <c r="AG3076">
        <v>-1.109892033852</v>
      </c>
      <c r="AH3076">
        <v>21.292550377135999</v>
      </c>
      <c r="AI3076">
        <v>92.979912125266097</v>
      </c>
      <c r="AJ3076">
        <v>87.038508479195698</v>
      </c>
      <c r="AK3076">
        <v>21.349893792527599</v>
      </c>
      <c r="AL3076">
        <v>92.184107198865306</v>
      </c>
      <c r="AM3076">
        <v>85.153409046926697</v>
      </c>
      <c r="AN3076">
        <v>0.99999999053745903</v>
      </c>
    </row>
    <row r="3077" spans="1:40" x14ac:dyDescent="0.25">
      <c r="A3077" t="str">
        <f>"20190312161330016"</f>
        <v>20190312161330016</v>
      </c>
      <c r="B3077" t="str">
        <f>"1552378410008762"</f>
        <v>1552378410008762</v>
      </c>
      <c r="C3077" t="s">
        <v>40</v>
      </c>
      <c r="D3077">
        <v>5.6392499999999997</v>
      </c>
      <c r="E3077">
        <v>0.48782940000000002</v>
      </c>
      <c r="F3077" t="s">
        <v>74</v>
      </c>
      <c r="G3077">
        <v>-405.93509999999998</v>
      </c>
      <c r="H3077" s="1">
        <v>6.2944640000000003E-6</v>
      </c>
      <c r="I3077">
        <v>212.0795</v>
      </c>
      <c r="J3077">
        <v>-430.00209999999998</v>
      </c>
      <c r="K3077">
        <v>1.1098429999999999</v>
      </c>
      <c r="L3077">
        <v>212.61760000000001</v>
      </c>
      <c r="M3077">
        <v>0.99948689999999996</v>
      </c>
      <c r="N3077">
        <v>0</v>
      </c>
      <c r="O3077">
        <v>3.1159320000000001E-2</v>
      </c>
      <c r="P3077">
        <v>0.99742969999999997</v>
      </c>
      <c r="Q3077">
        <v>-4.6919250000000003E-2</v>
      </c>
      <c r="R3077">
        <v>-5.4154349999999997E-2</v>
      </c>
      <c r="S3077">
        <v>2.9977420000000001</v>
      </c>
      <c r="T3077">
        <v>-0.13672010000000001</v>
      </c>
      <c r="U3077">
        <v>-6.5170290000000006E-2</v>
      </c>
      <c r="V3077">
        <v>8.526939E-2</v>
      </c>
      <c r="W3077">
        <v>-3.938121E-2</v>
      </c>
      <c r="X3077">
        <v>0.9955794</v>
      </c>
      <c r="Y3077">
        <v>5.2789700000000002E-2</v>
      </c>
      <c r="Z3077">
        <v>-2.6232270000000001E-3</v>
      </c>
      <c r="AA3077">
        <v>0.9986022</v>
      </c>
      <c r="AB3077">
        <v>27</v>
      </c>
      <c r="AC3077">
        <v>24.067</v>
      </c>
      <c r="AD3077">
        <v>-1.1098367055359999</v>
      </c>
      <c r="AE3077">
        <v>-0.53810000000001401</v>
      </c>
      <c r="AF3077">
        <v>1.2850393644818801</v>
      </c>
      <c r="AG3077">
        <v>-1.1098367055359999</v>
      </c>
      <c r="AH3077">
        <v>23.9875607621969</v>
      </c>
      <c r="AI3077">
        <v>92.645237191795204</v>
      </c>
      <c r="AJ3077">
        <v>86.933534823323598</v>
      </c>
      <c r="AK3077">
        <v>24.047580647568498</v>
      </c>
      <c r="AL3077">
        <v>92.256960658846097</v>
      </c>
      <c r="AM3077">
        <v>85.104677442761101</v>
      </c>
      <c r="AN3077">
        <v>1.0000000451381901</v>
      </c>
    </row>
    <row r="3078" spans="1:40" x14ac:dyDescent="0.25">
      <c r="A3078" t="str">
        <f>"20190312161330038"</f>
        <v>20190312161330038</v>
      </c>
      <c r="B3078" t="str">
        <f>"1552378410029257"</f>
        <v>1552378410029257</v>
      </c>
      <c r="C3078" t="s">
        <v>40</v>
      </c>
      <c r="D3078">
        <v>5.6015420000000002</v>
      </c>
      <c r="E3078">
        <v>0.48833929999999998</v>
      </c>
      <c r="F3078" t="s">
        <v>74</v>
      </c>
      <c r="G3078">
        <v>-406.88389999999998</v>
      </c>
      <c r="H3078" s="1">
        <v>5.8664310000000001E-6</v>
      </c>
      <c r="I3078">
        <v>212.1147</v>
      </c>
      <c r="J3078">
        <v>-429.73910000000001</v>
      </c>
      <c r="K3078">
        <v>1.109788</v>
      </c>
      <c r="L3078">
        <v>212.6266</v>
      </c>
      <c r="M3078">
        <v>0.99946219999999997</v>
      </c>
      <c r="N3078">
        <v>0</v>
      </c>
      <c r="O3078">
        <v>3.1933320000000001E-2</v>
      </c>
      <c r="P3078">
        <v>0.99746579999999996</v>
      </c>
      <c r="Q3078">
        <v>-4.6598609999999999E-2</v>
      </c>
      <c r="R3078">
        <v>-5.3766439999999999E-2</v>
      </c>
      <c r="S3078">
        <v>2.9974370000000001</v>
      </c>
      <c r="T3078">
        <v>-0.143898</v>
      </c>
      <c r="U3078">
        <v>-6.5200809999999998E-2</v>
      </c>
      <c r="V3078">
        <v>8.5648100000000005E-2</v>
      </c>
      <c r="W3078">
        <v>-3.9051049999999997E-2</v>
      </c>
      <c r="X3078">
        <v>0.99555990000000005</v>
      </c>
      <c r="Y3078">
        <v>5.3564180000000003E-2</v>
      </c>
      <c r="Z3078">
        <v>-2.8167779999999998E-3</v>
      </c>
      <c r="AA3078">
        <v>0.99856040000000001</v>
      </c>
      <c r="AB3078">
        <v>27</v>
      </c>
      <c r="AC3078">
        <v>22.8552</v>
      </c>
      <c r="AD3078">
        <v>-1.1097821335689999</v>
      </c>
      <c r="AE3078">
        <v>-0.51189999999999702</v>
      </c>
      <c r="AF3078">
        <v>1.2385827577234301</v>
      </c>
      <c r="AG3078">
        <v>-1.1097821335689999</v>
      </c>
      <c r="AH3078">
        <v>22.7735278046917</v>
      </c>
      <c r="AI3078">
        <v>92.785776537339103</v>
      </c>
      <c r="AJ3078">
        <v>86.886924218189407</v>
      </c>
      <c r="AK3078">
        <v>22.8341689645755</v>
      </c>
      <c r="AL3078">
        <v>92.238029315713206</v>
      </c>
      <c r="AM3078">
        <v>85.082946189998594</v>
      </c>
      <c r="AN3078">
        <v>1.00000004801386</v>
      </c>
    </row>
    <row r="3079" spans="1:40" x14ac:dyDescent="0.25">
      <c r="A3079" t="str">
        <f>"20190312161330192"</f>
        <v>20190312161330192</v>
      </c>
      <c r="B3079" t="str">
        <f>"1552378410189322"</f>
        <v>1552378410189322</v>
      </c>
      <c r="C3079" t="s">
        <v>40</v>
      </c>
      <c r="D3079">
        <v>5.8894859999999998</v>
      </c>
      <c r="E3079">
        <v>0.48904019999999998</v>
      </c>
      <c r="F3079" t="s">
        <v>74</v>
      </c>
      <c r="G3079">
        <v>-407.55290000000002</v>
      </c>
      <c r="H3079" s="1">
        <v>5.5675940000000001E-6</v>
      </c>
      <c r="I3079">
        <v>212.1251</v>
      </c>
      <c r="J3079">
        <v>-427.82249999999999</v>
      </c>
      <c r="K3079">
        <v>1.1092979999999999</v>
      </c>
      <c r="L3079">
        <v>212.6943</v>
      </c>
      <c r="M3079">
        <v>0.99936519999999995</v>
      </c>
      <c r="N3079">
        <v>0</v>
      </c>
      <c r="O3079">
        <v>3.4803590000000002E-2</v>
      </c>
      <c r="P3079">
        <v>0.99758729999999995</v>
      </c>
      <c r="Q3079">
        <v>-4.5630459999999998E-2</v>
      </c>
      <c r="R3079">
        <v>-5.2319490000000003E-2</v>
      </c>
      <c r="S3079">
        <v>2.9969790000000001</v>
      </c>
      <c r="T3079">
        <v>-0.149913299999999</v>
      </c>
      <c r="U3079">
        <v>-6.7749019999999993E-2</v>
      </c>
      <c r="V3079">
        <v>8.7016380000000004E-2</v>
      </c>
      <c r="W3079">
        <v>-3.8044689999999999E-2</v>
      </c>
      <c r="X3079">
        <v>0.99548020000000004</v>
      </c>
      <c r="Y3079">
        <v>5.7266949999999997E-2</v>
      </c>
      <c r="Z3079">
        <v>-3.170787E-3</v>
      </c>
      <c r="AA3079">
        <v>0.99835379999999996</v>
      </c>
      <c r="AB3079">
        <v>28</v>
      </c>
      <c r="AC3079">
        <v>20.269599999999901</v>
      </c>
      <c r="AD3079">
        <v>-1.1092924324059901</v>
      </c>
      <c r="AE3079">
        <v>-0.56919999999999504</v>
      </c>
      <c r="AF3079">
        <v>1.2705281401547801</v>
      </c>
      <c r="AG3079">
        <v>-1.1092924324059901</v>
      </c>
      <c r="AH3079">
        <v>20.177125054077401</v>
      </c>
      <c r="AI3079">
        <v>93.140615963085693</v>
      </c>
      <c r="AJ3079">
        <v>86.396914088929194</v>
      </c>
      <c r="AK3079">
        <v>20.2474972997503</v>
      </c>
      <c r="AL3079">
        <v>92.180326268128496</v>
      </c>
      <c r="AM3079">
        <v>85.004389732307899</v>
      </c>
      <c r="AN3079">
        <v>1.00000003870876</v>
      </c>
    </row>
    <row r="3080" spans="1:40" x14ac:dyDescent="0.25">
      <c r="A3080" t="str">
        <f>"20190312161330216"</f>
        <v>20190312161330216</v>
      </c>
      <c r="B3080" t="str">
        <f>"1552378410209385"</f>
        <v>1552378410209385</v>
      </c>
      <c r="C3080" t="s">
        <v>40</v>
      </c>
      <c r="D3080">
        <v>5.6826670000000004</v>
      </c>
      <c r="E3080">
        <v>0.48039939999999998</v>
      </c>
      <c r="F3080" t="s">
        <v>74</v>
      </c>
      <c r="G3080">
        <v>-404.35050000000001</v>
      </c>
      <c r="H3080" s="1">
        <v>6.9824320000000003E-6</v>
      </c>
      <c r="I3080">
        <v>212.1508</v>
      </c>
      <c r="J3080">
        <v>-427.52120000000002</v>
      </c>
      <c r="K3080">
        <v>1.109248</v>
      </c>
      <c r="L3080">
        <v>212.70490000000001</v>
      </c>
      <c r="M3080">
        <v>0.99936340000000001</v>
      </c>
      <c r="N3080">
        <v>0</v>
      </c>
      <c r="O3080">
        <v>3.4853559999999999E-2</v>
      </c>
      <c r="P3080">
        <v>0.99753289999999994</v>
      </c>
      <c r="Q3080">
        <v>-4.620606E-2</v>
      </c>
      <c r="R3080">
        <v>-5.2851219999999997E-2</v>
      </c>
      <c r="S3080">
        <v>2.997131</v>
      </c>
      <c r="T3080">
        <v>-0.14164499999999999</v>
      </c>
      <c r="U3080">
        <v>-6.9396970000000002E-2</v>
      </c>
      <c r="V3080">
        <v>8.759074E-2</v>
      </c>
      <c r="W3080">
        <v>-3.8609640000000001E-2</v>
      </c>
      <c r="X3080">
        <v>0.99540810000000002</v>
      </c>
      <c r="Y3080">
        <v>5.787598E-2</v>
      </c>
      <c r="Z3080">
        <v>-3.0126789999999999E-3</v>
      </c>
      <c r="AA3080">
        <v>0.99831919999999996</v>
      </c>
      <c r="AB3080">
        <v>28</v>
      </c>
      <c r="AC3080">
        <v>23.1707</v>
      </c>
      <c r="AD3080">
        <v>-1.1092410175679901</v>
      </c>
      <c r="AE3080">
        <v>-0.55410000000000503</v>
      </c>
      <c r="AF3080">
        <v>1.35825708761992</v>
      </c>
      <c r="AG3080">
        <v>-1.1092410175679901</v>
      </c>
      <c r="AH3080">
        <v>23.084434163952299</v>
      </c>
      <c r="AI3080">
        <v>92.746288052013</v>
      </c>
      <c r="AJ3080">
        <v>86.632675619208598</v>
      </c>
      <c r="AK3080">
        <v>23.150947682999298</v>
      </c>
      <c r="AL3080">
        <v>92.212719263396394</v>
      </c>
      <c r="AM3080">
        <v>84.971221877147599</v>
      </c>
      <c r="AN3080">
        <v>1.0000000637901401</v>
      </c>
    </row>
    <row r="3081" spans="1:40" x14ac:dyDescent="0.25">
      <c r="A3081" t="str">
        <f>"20190312161330237"</f>
        <v>20190312161330237</v>
      </c>
      <c r="B3081" t="str">
        <f>"1552378410228904"</f>
        <v>1552378410228904</v>
      </c>
      <c r="C3081" t="s">
        <v>40</v>
      </c>
      <c r="D3081">
        <v>5.7609839999999997</v>
      </c>
      <c r="E3081">
        <v>0.47819610000000001</v>
      </c>
      <c r="F3081" t="s">
        <v>43</v>
      </c>
      <c r="G3081">
        <v>-426.69549999999998</v>
      </c>
      <c r="H3081">
        <v>0.93337300000000001</v>
      </c>
      <c r="I3081">
        <v>212.71100000000001</v>
      </c>
      <c r="J3081">
        <v>-427.25400000000002</v>
      </c>
      <c r="K3081">
        <v>1.1092120000000001</v>
      </c>
      <c r="L3081">
        <v>212.71420000000001</v>
      </c>
      <c r="M3081">
        <v>0.99936340000000001</v>
      </c>
      <c r="N3081">
        <v>0</v>
      </c>
      <c r="O3081">
        <v>3.4850510000000001E-2</v>
      </c>
      <c r="P3081">
        <v>0.99748590000000004</v>
      </c>
      <c r="Q3081">
        <v>-4.6141889999999998E-2</v>
      </c>
      <c r="R3081">
        <v>-5.3785769999999997E-2</v>
      </c>
      <c r="S3081">
        <v>2.979187</v>
      </c>
      <c r="T3081">
        <v>-0.63459069999999995</v>
      </c>
      <c r="U3081">
        <v>2.2537229999999998E-2</v>
      </c>
      <c r="V3081">
        <v>8.8517159999999998E-2</v>
      </c>
      <c r="W3081">
        <v>-3.853293E-2</v>
      </c>
      <c r="X3081">
        <v>0.99532909999999997</v>
      </c>
      <c r="Y3081">
        <v>2.5927309999999999E-2</v>
      </c>
      <c r="Z3081">
        <v>-1.0070529999999999E-2</v>
      </c>
      <c r="AA3081">
        <v>0.99961310000000003</v>
      </c>
      <c r="AB3081">
        <v>28</v>
      </c>
      <c r="AC3081">
        <v>0.55850000000003697</v>
      </c>
      <c r="AD3081">
        <v>-0.175839</v>
      </c>
      <c r="AE3081">
        <v>-3.2000000000209599E-3</v>
      </c>
      <c r="AF3081">
        <v>2.0618851989267099E-2</v>
      </c>
      <c r="AG3081">
        <v>-0.175839</v>
      </c>
      <c r="AH3081">
        <v>0.50772272490816595</v>
      </c>
      <c r="AI3081">
        <v>109.087849235806</v>
      </c>
      <c r="AJ3081">
        <v>87.674470065079802</v>
      </c>
      <c r="AK3081">
        <v>0.53770517606447599</v>
      </c>
      <c r="AL3081">
        <v>92.208320871071706</v>
      </c>
      <c r="AM3081">
        <v>84.917909874612604</v>
      </c>
      <c r="AN3081">
        <v>1.00000004580782</v>
      </c>
    </row>
    <row r="3082" spans="1:40" x14ac:dyDescent="0.25">
      <c r="A3082" t="str">
        <f>"20190312161330261"</f>
        <v>20190312161330261</v>
      </c>
      <c r="B3082" t="str">
        <f>"1552378410248424"</f>
        <v>1552378410248424</v>
      </c>
      <c r="C3082" t="s">
        <v>40</v>
      </c>
      <c r="D3082">
        <v>7.4958</v>
      </c>
      <c r="E3082">
        <v>0.4086188</v>
      </c>
      <c r="F3082" t="s">
        <v>43</v>
      </c>
      <c r="G3082">
        <v>-426.41660000000002</v>
      </c>
      <c r="H3082">
        <v>0.99013910000000005</v>
      </c>
      <c r="I3082">
        <v>212.72130000000001</v>
      </c>
      <c r="J3082">
        <v>-426.96289999999999</v>
      </c>
      <c r="K3082">
        <v>1.109191</v>
      </c>
      <c r="L3082">
        <v>212.7243</v>
      </c>
      <c r="M3082">
        <v>0.99936499999999995</v>
      </c>
      <c r="N3082">
        <v>0</v>
      </c>
      <c r="O3082">
        <v>3.48025E-2</v>
      </c>
      <c r="P3082">
        <v>0.99741849999999999</v>
      </c>
      <c r="Q3082">
        <v>-4.598791E-2</v>
      </c>
      <c r="R3082">
        <v>-5.5154250000000002E-2</v>
      </c>
      <c r="S3082">
        <v>2.9893800000000001</v>
      </c>
      <c r="T3082">
        <v>-0.425149</v>
      </c>
      <c r="U3082">
        <v>2.7297970000000001E-2</v>
      </c>
      <c r="V3082">
        <v>8.9832129999999996E-2</v>
      </c>
      <c r="W3082">
        <v>-3.8363800000000003E-2</v>
      </c>
      <c r="X3082">
        <v>0.99521769999999998</v>
      </c>
      <c r="Y3082">
        <v>2.5074010000000001E-2</v>
      </c>
      <c r="Z3082">
        <v>-6.6979709999999996E-3</v>
      </c>
      <c r="AA3082">
        <v>0.99966319999999997</v>
      </c>
      <c r="AB3082">
        <v>28</v>
      </c>
      <c r="AC3082">
        <v>0.54629999999997303</v>
      </c>
      <c r="AD3082">
        <v>-0.1190519</v>
      </c>
      <c r="AE3082">
        <v>-2.9999999999858998E-3</v>
      </c>
      <c r="AF3082">
        <v>2.1013427147173701E-2</v>
      </c>
      <c r="AG3082">
        <v>-0.1190519</v>
      </c>
      <c r="AH3082">
        <v>0.52111706269639502</v>
      </c>
      <c r="AI3082">
        <v>102.858570281635</v>
      </c>
      <c r="AJ3082">
        <v>87.690866699312195</v>
      </c>
      <c r="AK3082">
        <v>0.53495599075755595</v>
      </c>
      <c r="AL3082">
        <v>92.198623517099094</v>
      </c>
      <c r="AM3082">
        <v>84.842242695314198</v>
      </c>
      <c r="AN3082">
        <v>0.99999993156203104</v>
      </c>
    </row>
    <row r="3083" spans="1:40" x14ac:dyDescent="0.25">
      <c r="A3083" t="str">
        <f>"20190312161330285"</f>
        <v>20190312161330285</v>
      </c>
      <c r="B3083" t="str">
        <f>"1552378410278682"</f>
        <v>1552378410278682</v>
      </c>
      <c r="C3083" t="s">
        <v>40</v>
      </c>
      <c r="D3083">
        <v>5.5977430000000004</v>
      </c>
      <c r="E3083">
        <v>0.45040520000000001</v>
      </c>
      <c r="F3083" t="s">
        <v>82</v>
      </c>
      <c r="G3083">
        <v>-330.26029999999997</v>
      </c>
      <c r="H3083">
        <v>6.0829110000000002</v>
      </c>
      <c r="I3083">
        <v>230.11429999999999</v>
      </c>
      <c r="J3083">
        <v>-426.64949999999999</v>
      </c>
      <c r="K3083">
        <v>1.1091709999999999</v>
      </c>
      <c r="L3083">
        <v>212.73509999999999</v>
      </c>
      <c r="M3083">
        <v>0.99936760000000002</v>
      </c>
      <c r="N3083">
        <v>0</v>
      </c>
      <c r="O3083">
        <v>3.471606E-2</v>
      </c>
      <c r="P3083">
        <v>0.99736539999999996</v>
      </c>
      <c r="Q3083">
        <v>-4.5437430000000001E-2</v>
      </c>
      <c r="R3083">
        <v>-5.6549210000000003E-2</v>
      </c>
      <c r="S3083">
        <v>3.0452270000000001</v>
      </c>
      <c r="T3083">
        <v>0.15662719999999999</v>
      </c>
      <c r="U3083">
        <v>0.54762270000000002</v>
      </c>
      <c r="V3083">
        <v>9.1136369999999994E-2</v>
      </c>
      <c r="W3083">
        <v>-3.7795950000000002E-2</v>
      </c>
      <c r="X3083">
        <v>0.99512089999999997</v>
      </c>
      <c r="Y3083">
        <v>-0.14257719999999999</v>
      </c>
      <c r="Z3083">
        <v>-1.8664720000000001E-3</v>
      </c>
      <c r="AA3083">
        <v>0.98978189999999999</v>
      </c>
      <c r="AB3083">
        <v>28</v>
      </c>
      <c r="AC3083">
        <v>96.389200000000002</v>
      </c>
      <c r="AD3083">
        <v>4.9737400000000003</v>
      </c>
      <c r="AE3083">
        <v>17.379199999999901</v>
      </c>
      <c r="AF3083">
        <v>-13.986303471390301</v>
      </c>
      <c r="AG3083">
        <v>4.9737400000000003</v>
      </c>
      <c r="AH3083">
        <v>96.6851194973638</v>
      </c>
      <c r="AI3083">
        <v>87.085432538518702</v>
      </c>
      <c r="AJ3083">
        <v>98.231210581834205</v>
      </c>
      <c r="AK3083">
        <v>97.818030580261293</v>
      </c>
      <c r="AL3083">
        <v>92.166064367110806</v>
      </c>
      <c r="AM3083">
        <v>84.767265631213206</v>
      </c>
      <c r="AN3083">
        <v>0.99999998869499396</v>
      </c>
    </row>
    <row r="3084" spans="1:40" x14ac:dyDescent="0.25">
      <c r="A3084" t="str">
        <f>"20190312161330307"</f>
        <v>20190312161330307</v>
      </c>
      <c r="B3084" t="str">
        <f>"1552378410299176"</f>
        <v>1552378410299176</v>
      </c>
      <c r="C3084" t="s">
        <v>40</v>
      </c>
      <c r="D3084">
        <v>5.5330640000000004</v>
      </c>
      <c r="E3084">
        <v>0.45992230000000001</v>
      </c>
      <c r="F3084" t="s">
        <v>41</v>
      </c>
      <c r="G3084">
        <v>-216.94970000000001</v>
      </c>
      <c r="H3084">
        <v>-0.05</v>
      </c>
      <c r="I3084">
        <v>227.98339999999999</v>
      </c>
      <c r="J3084">
        <v>-426.37549999999999</v>
      </c>
      <c r="K3084">
        <v>1.1091549999999999</v>
      </c>
      <c r="L3084">
        <v>212.74459999999999</v>
      </c>
      <c r="M3084">
        <v>0.9993706</v>
      </c>
      <c r="N3084">
        <v>0</v>
      </c>
      <c r="O3084">
        <v>3.4625219999999998E-2</v>
      </c>
      <c r="P3084">
        <v>0.99736910000000001</v>
      </c>
      <c r="Q3084">
        <v>-4.4683420000000001E-2</v>
      </c>
      <c r="R3084">
        <v>-5.7082790000000001E-2</v>
      </c>
      <c r="S3084">
        <v>3.0196529999999999</v>
      </c>
      <c r="T3084">
        <v>-1.6691919999999999E-2</v>
      </c>
      <c r="U3084">
        <v>0.21957399999999999</v>
      </c>
      <c r="V3084">
        <v>9.1577839999999994E-2</v>
      </c>
      <c r="W3084">
        <v>-3.7025370000000002E-2</v>
      </c>
      <c r="X3084">
        <v>0.99510940000000003</v>
      </c>
      <c r="Y3084">
        <v>-3.7944869999999999E-2</v>
      </c>
      <c r="Z3084" s="1">
        <v>-8.6327050000000006E-5</v>
      </c>
      <c r="AA3084">
        <v>0.9992799</v>
      </c>
      <c r="AB3084">
        <v>28</v>
      </c>
      <c r="AC3084">
        <v>209.42580000000001</v>
      </c>
      <c r="AD3084">
        <v>-1.1591549999999999</v>
      </c>
      <c r="AE3084">
        <v>15.2387999999999</v>
      </c>
      <c r="AF3084">
        <v>-7.9777885275620601</v>
      </c>
      <c r="AG3084">
        <v>-1.1591549999999999</v>
      </c>
      <c r="AH3084">
        <v>209.821482368928</v>
      </c>
      <c r="AI3084">
        <v>90.316297740069402</v>
      </c>
      <c r="AJ3084">
        <v>92.177439275442197</v>
      </c>
      <c r="AK3084">
        <v>209.976292027455</v>
      </c>
      <c r="AL3084">
        <v>92.121882328633205</v>
      </c>
      <c r="AM3084">
        <v>84.741999261915396</v>
      </c>
      <c r="AN3084">
        <v>1.00000004838553</v>
      </c>
    </row>
    <row r="3085" spans="1:40" x14ac:dyDescent="0.25">
      <c r="A3085" t="str">
        <f>"20190312161330327"</f>
        <v>20190312161330327</v>
      </c>
      <c r="B3085" t="str">
        <f>"1552378410318697"</f>
        <v>1552378410318697</v>
      </c>
      <c r="C3085" t="s">
        <v>40</v>
      </c>
      <c r="D3085">
        <v>5.6204530000000004</v>
      </c>
      <c r="E3085">
        <v>0.464501</v>
      </c>
      <c r="F3085" t="s">
        <v>69</v>
      </c>
      <c r="G3085">
        <v>-356.08839999999998</v>
      </c>
      <c r="H3085" s="1">
        <v>1.6385299999999901E-6</v>
      </c>
      <c r="I3085">
        <v>216.09479999999999</v>
      </c>
      <c r="J3085">
        <v>-426.11450000000002</v>
      </c>
      <c r="K3085">
        <v>1.109151</v>
      </c>
      <c r="L3085">
        <v>212.7535</v>
      </c>
      <c r="M3085">
        <v>0.99937370000000003</v>
      </c>
      <c r="N3085">
        <v>0</v>
      </c>
      <c r="O3085">
        <v>3.4533109999999999E-2</v>
      </c>
      <c r="P3085">
        <v>0.99738059999999995</v>
      </c>
      <c r="Q3085">
        <v>-4.4348989999999998E-2</v>
      </c>
      <c r="R3085">
        <v>-5.71469E-2</v>
      </c>
      <c r="S3085">
        <v>3.014008</v>
      </c>
      <c r="T3085">
        <v>-4.7562E-2</v>
      </c>
      <c r="U3085">
        <v>0.1436615</v>
      </c>
      <c r="V3085">
        <v>9.1549340000000007E-2</v>
      </c>
      <c r="W3085">
        <v>-3.6674180000000001E-2</v>
      </c>
      <c r="X3085">
        <v>0.99512500000000004</v>
      </c>
      <c r="Y3085">
        <v>-1.308984E-2</v>
      </c>
      <c r="Z3085">
        <v>-4.4120770000000001E-4</v>
      </c>
      <c r="AA3085">
        <v>0.99991419999999998</v>
      </c>
      <c r="AB3085">
        <v>28</v>
      </c>
      <c r="AC3085">
        <v>70.0261</v>
      </c>
      <c r="AD3085">
        <v>-1.1091493614700001</v>
      </c>
      <c r="AE3085">
        <v>3.34129999999998</v>
      </c>
      <c r="AF3085">
        <v>-0.92078533073218305</v>
      </c>
      <c r="AG3085">
        <v>-1.1091493614700001</v>
      </c>
      <c r="AH3085">
        <v>70.082177621316006</v>
      </c>
      <c r="AI3085">
        <v>90.906632632376898</v>
      </c>
      <c r="AJ3085">
        <v>90.752745985866497</v>
      </c>
      <c r="AK3085">
        <v>70.097001919319098</v>
      </c>
      <c r="AL3085">
        <v>92.101747005863501</v>
      </c>
      <c r="AM3085">
        <v>84.743708379951002</v>
      </c>
      <c r="AN3085">
        <v>1.0000000213790501</v>
      </c>
    </row>
    <row r="3086" spans="1:40" x14ac:dyDescent="0.25">
      <c r="A3086" t="str">
        <f>"20190312161330351"</f>
        <v>20190312161330351</v>
      </c>
      <c r="B3086" t="str">
        <f>"1552378410339192"</f>
        <v>1552378410339192</v>
      </c>
      <c r="C3086" t="s">
        <v>40</v>
      </c>
      <c r="D3086">
        <v>5.5415070000000002</v>
      </c>
      <c r="E3086">
        <v>0.46817330000000001</v>
      </c>
      <c r="F3086" t="s">
        <v>69</v>
      </c>
      <c r="G3086">
        <v>-373.46620000000001</v>
      </c>
      <c r="H3086" s="1">
        <v>3.0773919999999998E-7</v>
      </c>
      <c r="I3086">
        <v>214.64179999999999</v>
      </c>
      <c r="J3086">
        <v>-425.81369999999998</v>
      </c>
      <c r="K3086">
        <v>1.109143</v>
      </c>
      <c r="L3086">
        <v>212.7638</v>
      </c>
      <c r="M3086">
        <v>0.99937739999999997</v>
      </c>
      <c r="N3086">
        <v>0</v>
      </c>
      <c r="O3086">
        <v>3.4423559999999999E-2</v>
      </c>
      <c r="P3086">
        <v>0.99739739999999999</v>
      </c>
      <c r="Q3086">
        <v>-4.4442200000000001E-2</v>
      </c>
      <c r="R3086">
        <v>-5.6776609999999998E-2</v>
      </c>
      <c r="S3086">
        <v>3.0112610000000002</v>
      </c>
      <c r="T3086">
        <v>-6.3438770000000005E-2</v>
      </c>
      <c r="U3086">
        <v>0.10800170000000001</v>
      </c>
      <c r="V3086">
        <v>9.1070310000000002E-2</v>
      </c>
      <c r="W3086">
        <v>-3.6746590000000003E-2</v>
      </c>
      <c r="X3086">
        <v>0.9951662</v>
      </c>
      <c r="Y3086">
        <v>-1.426489E-3</v>
      </c>
      <c r="Z3086">
        <v>-7.096769E-4</v>
      </c>
      <c r="AA3086">
        <v>0.99999870000000002</v>
      </c>
      <c r="AB3086">
        <v>28</v>
      </c>
      <c r="AC3086">
        <v>52.347499999999897</v>
      </c>
      <c r="AD3086">
        <v>-1.1091426922608001</v>
      </c>
      <c r="AE3086">
        <v>1.8779999999999799</v>
      </c>
      <c r="AF3086">
        <v>-7.4812146595372095E-2</v>
      </c>
      <c r="AG3086">
        <v>-1.1091426922608001</v>
      </c>
      <c r="AH3086">
        <v>52.3576479808344</v>
      </c>
      <c r="AI3086">
        <v>91.213569157278997</v>
      </c>
      <c r="AJ3086">
        <v>90.081868027010202</v>
      </c>
      <c r="AK3086">
        <v>52.3694481205793</v>
      </c>
      <c r="AL3086">
        <v>92.105898764211901</v>
      </c>
      <c r="AM3086">
        <v>84.771274237497096</v>
      </c>
      <c r="AN3086">
        <v>0.99999993943127996</v>
      </c>
    </row>
    <row r="3087" spans="1:40" x14ac:dyDescent="0.25">
      <c r="A3087" t="str">
        <f>"20190312161330373"</f>
        <v>20190312161330373</v>
      </c>
      <c r="B3087" t="str">
        <f>"1552378410368473"</f>
        <v>1552378410368473</v>
      </c>
      <c r="C3087" t="s">
        <v>40</v>
      </c>
      <c r="D3087">
        <v>5.6064040000000004</v>
      </c>
      <c r="E3087">
        <v>0.47135120000000003</v>
      </c>
      <c r="F3087" t="s">
        <v>69</v>
      </c>
      <c r="G3087">
        <v>-388.67680000000001</v>
      </c>
      <c r="H3087" s="1">
        <v>3.1177720000000001E-6</v>
      </c>
      <c r="I3087">
        <v>213.76509999999999</v>
      </c>
      <c r="J3087">
        <v>-425.5369</v>
      </c>
      <c r="K3087">
        <v>1.109135</v>
      </c>
      <c r="L3087">
        <v>212.77330000000001</v>
      </c>
      <c r="M3087">
        <v>0.99938059999999995</v>
      </c>
      <c r="N3087">
        <v>0</v>
      </c>
      <c r="O3087">
        <v>3.4320910000000003E-2</v>
      </c>
      <c r="P3087">
        <v>0.99742850000000005</v>
      </c>
      <c r="Q3087">
        <v>-4.4290870000000003E-2</v>
      </c>
      <c r="R3087">
        <v>-5.6343770000000001E-2</v>
      </c>
      <c r="S3087">
        <v>3.0084840000000002</v>
      </c>
      <c r="T3087">
        <v>-8.9852210000000002E-2</v>
      </c>
      <c r="U3087">
        <v>8.1115720000000002E-2</v>
      </c>
      <c r="V3087">
        <v>9.0536190000000002E-2</v>
      </c>
      <c r="W3087">
        <v>-3.657519E-2</v>
      </c>
      <c r="X3087">
        <v>0.99522129999999998</v>
      </c>
      <c r="Y3087">
        <v>7.3542649999999996E-3</v>
      </c>
      <c r="Z3087">
        <v>-1.1341630000000001E-3</v>
      </c>
      <c r="AA3087">
        <v>0.99997230000000004</v>
      </c>
      <c r="AB3087">
        <v>29</v>
      </c>
      <c r="AC3087">
        <v>36.860099999999903</v>
      </c>
      <c r="AD3087">
        <v>-1.1091318822280001</v>
      </c>
      <c r="AE3087">
        <v>0.99179999999998303</v>
      </c>
      <c r="AF3087">
        <v>0.27364719162936502</v>
      </c>
      <c r="AG3087">
        <v>-1.1091318822280001</v>
      </c>
      <c r="AH3087">
        <v>36.839092611727999</v>
      </c>
      <c r="AI3087">
        <v>91.724462486034199</v>
      </c>
      <c r="AJ3087">
        <v>89.574404805338403</v>
      </c>
      <c r="AK3087">
        <v>36.856801282438099</v>
      </c>
      <c r="AL3087">
        <v>92.096071552512797</v>
      </c>
      <c r="AM3087">
        <v>84.802058017954707</v>
      </c>
      <c r="AN3087">
        <v>0.99999999109847104</v>
      </c>
    </row>
    <row r="3088" spans="1:40" x14ac:dyDescent="0.25">
      <c r="A3088" t="str">
        <f>"20190312161330395"</f>
        <v>20190312161330395</v>
      </c>
      <c r="B3088" t="str">
        <f>"1552378410388969"</f>
        <v>1552378410388969</v>
      </c>
      <c r="C3088" t="s">
        <v>40</v>
      </c>
      <c r="D3088">
        <v>5.682855</v>
      </c>
      <c r="E3088">
        <v>0.47355619999999998</v>
      </c>
      <c r="F3088" t="s">
        <v>69</v>
      </c>
      <c r="G3088">
        <v>-394.48</v>
      </c>
      <c r="H3088" s="1">
        <v>8.4724309999999998E-7</v>
      </c>
      <c r="I3088">
        <v>213.37209999999999</v>
      </c>
      <c r="J3088">
        <v>-425.25220000000002</v>
      </c>
      <c r="K3088">
        <v>1.109129</v>
      </c>
      <c r="L3088">
        <v>212.78290000000001</v>
      </c>
      <c r="M3088">
        <v>0.99938400000000005</v>
      </c>
      <c r="N3088">
        <v>0</v>
      </c>
      <c r="O3088">
        <v>3.4214410000000001E-2</v>
      </c>
      <c r="P3088">
        <v>0.99750470000000002</v>
      </c>
      <c r="Q3088">
        <v>-4.3723140000000001E-2</v>
      </c>
      <c r="R3088">
        <v>-5.5433049999999998E-2</v>
      </c>
      <c r="S3088">
        <v>3.006256</v>
      </c>
      <c r="T3088">
        <v>-0.10736229999999999</v>
      </c>
      <c r="U3088">
        <v>5.7968140000000001E-2</v>
      </c>
      <c r="V3088">
        <v>8.9522500000000005E-2</v>
      </c>
      <c r="W3088">
        <v>-3.5985780000000002E-2</v>
      </c>
      <c r="X3088">
        <v>0.99533450000000001</v>
      </c>
      <c r="Y3088">
        <v>1.491017E-2</v>
      </c>
      <c r="Z3088">
        <v>-1.487286E-3</v>
      </c>
      <c r="AA3088">
        <v>0.99988770000000005</v>
      </c>
      <c r="AB3088">
        <v>29</v>
      </c>
      <c r="AC3088">
        <v>30.772200000000002</v>
      </c>
      <c r="AD3088">
        <v>-1.1091281527568999</v>
      </c>
      <c r="AE3088">
        <v>0.58919999999997597</v>
      </c>
      <c r="AF3088">
        <v>0.46342794264721698</v>
      </c>
      <c r="AG3088">
        <v>-1.1091281527568999</v>
      </c>
      <c r="AH3088">
        <v>30.734429193109602</v>
      </c>
      <c r="AI3088">
        <v>92.066528816795298</v>
      </c>
      <c r="AJ3088">
        <v>89.136133194255294</v>
      </c>
      <c r="AK3088">
        <v>30.757926922072102</v>
      </c>
      <c r="AL3088">
        <v>92.062278558312201</v>
      </c>
      <c r="AM3088">
        <v>84.860524809519205</v>
      </c>
      <c r="AN3088">
        <v>1.0000000106293501</v>
      </c>
    </row>
    <row r="3089" spans="1:40" x14ac:dyDescent="0.25">
      <c r="A3089" t="str">
        <f>"20190312161330417"</f>
        <v>20190312161330417</v>
      </c>
      <c r="B3089" t="str">
        <f>"1552378410409464"</f>
        <v>1552378410409464</v>
      </c>
      <c r="C3089" t="s">
        <v>40</v>
      </c>
      <c r="D3089">
        <v>5.6657440000000001</v>
      </c>
      <c r="E3089">
        <v>0.47518690000000002</v>
      </c>
      <c r="F3089" t="s">
        <v>69</v>
      </c>
      <c r="G3089">
        <v>-397.7518</v>
      </c>
      <c r="H3089" s="1">
        <v>2.588327E-6</v>
      </c>
      <c r="I3089">
        <v>213.18469999999999</v>
      </c>
      <c r="J3089">
        <v>-424.97</v>
      </c>
      <c r="K3089">
        <v>1.1091279999999999</v>
      </c>
      <c r="L3089">
        <v>212.79249999999999</v>
      </c>
      <c r="M3089">
        <v>0.99938769999999999</v>
      </c>
      <c r="N3089">
        <v>0</v>
      </c>
      <c r="O3089">
        <v>3.4108930000000003E-2</v>
      </c>
      <c r="P3089">
        <v>0.99750070000000002</v>
      </c>
      <c r="Q3089">
        <v>-4.433086E-2</v>
      </c>
      <c r="R3089">
        <v>-5.50229E-2</v>
      </c>
      <c r="S3089">
        <v>3.0046390000000001</v>
      </c>
      <c r="T3089">
        <v>-0.12118089999999999</v>
      </c>
      <c r="U3089">
        <v>4.3899540000000001E-2</v>
      </c>
      <c r="V3089">
        <v>8.9007329999999996E-2</v>
      </c>
      <c r="W3089">
        <v>-3.6572599999999997E-2</v>
      </c>
      <c r="X3089">
        <v>0.99535929999999995</v>
      </c>
      <c r="Y3089">
        <v>1.946227E-2</v>
      </c>
      <c r="Z3089">
        <v>-1.767069E-3</v>
      </c>
      <c r="AA3089">
        <v>0.99980899999999995</v>
      </c>
      <c r="AB3089">
        <v>29</v>
      </c>
      <c r="AC3089">
        <v>27.2182</v>
      </c>
      <c r="AD3089">
        <v>-1.1091254116730001</v>
      </c>
      <c r="AE3089">
        <v>0.39220000000000199</v>
      </c>
      <c r="AF3089">
        <v>0.53555102691394596</v>
      </c>
      <c r="AG3089">
        <v>-1.1091254116730001</v>
      </c>
      <c r="AH3089">
        <v>27.170631426284299</v>
      </c>
      <c r="AI3089">
        <v>92.337105139768894</v>
      </c>
      <c r="AJ3089">
        <v>88.870808697277397</v>
      </c>
      <c r="AK3089">
        <v>27.198532794697499</v>
      </c>
      <c r="AL3089">
        <v>92.095923042661298</v>
      </c>
      <c r="AM3089">
        <v>84.890070260783901</v>
      </c>
      <c r="AN3089">
        <v>0.999999997980489</v>
      </c>
    </row>
    <row r="3090" spans="1:40" x14ac:dyDescent="0.25">
      <c r="A3090" t="str">
        <f>"20190312161330438"</f>
        <v>20190312161330438</v>
      </c>
      <c r="B3090" t="str">
        <f>"1552378410428985"</f>
        <v>1552378410428985</v>
      </c>
      <c r="C3090" t="s">
        <v>40</v>
      </c>
      <c r="D3090">
        <v>5.7050020000000004</v>
      </c>
      <c r="E3090">
        <v>0.476744</v>
      </c>
      <c r="F3090" t="s">
        <v>69</v>
      </c>
      <c r="G3090">
        <v>-399.40629999999999</v>
      </c>
      <c r="H3090" s="1">
        <v>3.4687849999999999E-6</v>
      </c>
      <c r="I3090">
        <v>213.0685</v>
      </c>
      <c r="J3090">
        <v>-424.6848</v>
      </c>
      <c r="K3090">
        <v>1.1091310000000001</v>
      </c>
      <c r="L3090">
        <v>212.8021</v>
      </c>
      <c r="M3090">
        <v>0.99939100000000003</v>
      </c>
      <c r="N3090">
        <v>0</v>
      </c>
      <c r="O3090">
        <v>3.400417E-2</v>
      </c>
      <c r="P3090">
        <v>0.9974404</v>
      </c>
      <c r="Q3090">
        <v>-4.5161529999999998E-2</v>
      </c>
      <c r="R3090">
        <v>-5.5440709999999997E-2</v>
      </c>
      <c r="S3090">
        <v>3.003479</v>
      </c>
      <c r="T3090">
        <v>-0.13031099999999901</v>
      </c>
      <c r="U3090">
        <v>3.2424929999999998E-2</v>
      </c>
      <c r="V3090">
        <v>8.9318049999999996E-2</v>
      </c>
      <c r="W3090">
        <v>-3.7383010000000001E-2</v>
      </c>
      <c r="X3090">
        <v>0.9953014</v>
      </c>
      <c r="Y3090">
        <v>2.3160549999999998E-2</v>
      </c>
      <c r="Z3090">
        <v>-1.9765350000000002E-3</v>
      </c>
      <c r="AA3090">
        <v>0.9997298</v>
      </c>
      <c r="AB3090">
        <v>29</v>
      </c>
      <c r="AC3090">
        <v>25.278500000000001</v>
      </c>
      <c r="AD3090">
        <v>-1.109127531215</v>
      </c>
      <c r="AE3090">
        <v>0.26640000000000402</v>
      </c>
      <c r="AF3090">
        <v>0.59221488421468504</v>
      </c>
      <c r="AG3090">
        <v>-1.109127531215</v>
      </c>
      <c r="AH3090">
        <v>25.224384446075401</v>
      </c>
      <c r="AI3090">
        <v>92.517006749169497</v>
      </c>
      <c r="AJ3090">
        <v>88.655064066539595</v>
      </c>
      <c r="AK3090">
        <v>25.255701396575699</v>
      </c>
      <c r="AL3090">
        <v>92.142387804197199</v>
      </c>
      <c r="AM3090">
        <v>84.872029989009803</v>
      </c>
      <c r="AN3090">
        <v>1.00000004016721</v>
      </c>
    </row>
    <row r="3091" spans="1:40" x14ac:dyDescent="0.25">
      <c r="A3091" t="str">
        <f>"20190312161330462"</f>
        <v>20190312161330462</v>
      </c>
      <c r="B3091" t="str">
        <f>"1552378410459240"</f>
        <v>1552378410459240</v>
      </c>
      <c r="C3091" t="s">
        <v>40</v>
      </c>
      <c r="D3091">
        <v>5.7899019999999997</v>
      </c>
      <c r="E3091">
        <v>0.47857420000000001</v>
      </c>
      <c r="F3091" t="s">
        <v>74</v>
      </c>
      <c r="G3091">
        <v>-400.79349999999999</v>
      </c>
      <c r="H3091" s="1">
        <v>8.3932960000000005E-6</v>
      </c>
      <c r="I3091">
        <v>212.95679999999999</v>
      </c>
      <c r="J3091">
        <v>-424.3852</v>
      </c>
      <c r="K3091">
        <v>1.10914</v>
      </c>
      <c r="L3091">
        <v>212.81219999999999</v>
      </c>
      <c r="M3091">
        <v>0.99939469999999997</v>
      </c>
      <c r="N3091">
        <v>0</v>
      </c>
      <c r="O3091">
        <v>3.389553E-2</v>
      </c>
      <c r="P3091">
        <v>0.99739100000000003</v>
      </c>
      <c r="Q3091">
        <v>-4.4801800000000003E-2</v>
      </c>
      <c r="R3091">
        <v>-5.6607379999999999E-2</v>
      </c>
      <c r="S3091">
        <v>3.0024410000000001</v>
      </c>
      <c r="T3091">
        <v>-0.13938420000000001</v>
      </c>
      <c r="U3091">
        <v>1.9439700000000001E-2</v>
      </c>
      <c r="V3091">
        <v>9.0374270000000007E-2</v>
      </c>
      <c r="W3091">
        <v>-3.7002409999999999E-2</v>
      </c>
      <c r="X3091">
        <v>0.9952202</v>
      </c>
      <c r="Y3091">
        <v>2.7359129999999999E-2</v>
      </c>
      <c r="Z3091">
        <v>-2.207175E-3</v>
      </c>
      <c r="AA3091">
        <v>0.99962320000000005</v>
      </c>
      <c r="AB3091">
        <v>29</v>
      </c>
      <c r="AC3091">
        <v>23.591699999999999</v>
      </c>
      <c r="AD3091">
        <v>-1.109131606704</v>
      </c>
      <c r="AE3091">
        <v>0.14459999999999601</v>
      </c>
      <c r="AF3091">
        <v>0.65371594887766404</v>
      </c>
      <c r="AG3091">
        <v>-1.109131606704</v>
      </c>
      <c r="AH3091">
        <v>23.531036111394599</v>
      </c>
      <c r="AI3091">
        <v>92.697590795488495</v>
      </c>
      <c r="AJ3091">
        <v>88.4086746804809</v>
      </c>
      <c r="AK3091">
        <v>23.566229608033701</v>
      </c>
      <c r="AL3091">
        <v>92.120566088708799</v>
      </c>
      <c r="AM3091">
        <v>84.811297817050601</v>
      </c>
      <c r="AN3091">
        <v>0.99999996675594005</v>
      </c>
    </row>
    <row r="3092" spans="1:40" x14ac:dyDescent="0.25">
      <c r="A3092" t="str">
        <f>"20190312161330485"</f>
        <v>20190312161330485</v>
      </c>
      <c r="B3092" t="str">
        <f>"1552378410478761"</f>
        <v>1552378410478761</v>
      </c>
      <c r="C3092" t="s">
        <v>40</v>
      </c>
      <c r="D3092">
        <v>5.8718079999999997</v>
      </c>
      <c r="E3092">
        <v>0.47893429999999998</v>
      </c>
      <c r="F3092" t="s">
        <v>74</v>
      </c>
      <c r="G3092">
        <v>-402.3809</v>
      </c>
      <c r="H3092" s="1">
        <v>7.7164100000000002E-6</v>
      </c>
      <c r="I3092">
        <v>212.82579999999999</v>
      </c>
      <c r="J3092">
        <v>-424.08440000000002</v>
      </c>
      <c r="K3092">
        <v>1.1091439999999999</v>
      </c>
      <c r="L3092">
        <v>212.82230000000001</v>
      </c>
      <c r="M3092">
        <v>0.99939789999999995</v>
      </c>
      <c r="N3092">
        <v>0</v>
      </c>
      <c r="O3092">
        <v>3.378784E-2</v>
      </c>
      <c r="P3092">
        <v>0.99733910000000003</v>
      </c>
      <c r="Q3092">
        <v>-4.4599369999999999E-2</v>
      </c>
      <c r="R3092">
        <v>-5.7669529999999997E-2</v>
      </c>
      <c r="S3092">
        <v>3.0011290000000002</v>
      </c>
      <c r="T3092">
        <v>-0.1512724</v>
      </c>
      <c r="U3092">
        <v>1.8615719999999999E-3</v>
      </c>
      <c r="V3092">
        <v>9.1326879999999999E-2</v>
      </c>
      <c r="W3092">
        <v>-3.677909E-2</v>
      </c>
      <c r="X3092">
        <v>0.99514159999999996</v>
      </c>
      <c r="Y3092">
        <v>3.3084059999999998E-2</v>
      </c>
      <c r="Z3092">
        <v>-2.5350809999999998E-3</v>
      </c>
      <c r="AA3092">
        <v>0.99944940000000004</v>
      </c>
      <c r="AB3092">
        <v>29</v>
      </c>
      <c r="AC3092">
        <v>21.703499999999998</v>
      </c>
      <c r="AD3092">
        <v>-1.10913628359</v>
      </c>
      <c r="AE3092">
        <v>3.4999999999740798E-3</v>
      </c>
      <c r="AF3092">
        <v>0.72793809928963304</v>
      </c>
      <c r="AG3092">
        <v>-1.10913628359</v>
      </c>
      <c r="AH3092">
        <v>21.6347236843811</v>
      </c>
      <c r="AI3092">
        <v>92.933127093788499</v>
      </c>
      <c r="AJ3092">
        <v>88.072910338511704</v>
      </c>
      <c r="AK3092">
        <v>21.675362651441301</v>
      </c>
      <c r="AL3092">
        <v>92.107761898839001</v>
      </c>
      <c r="AM3092">
        <v>84.756496584219704</v>
      </c>
      <c r="AN3092">
        <v>1.0000000522611501</v>
      </c>
    </row>
    <row r="3093" spans="1:40" x14ac:dyDescent="0.25">
      <c r="A3093" t="str">
        <f>"20190312161330508"</f>
        <v>20190312161330508</v>
      </c>
      <c r="B3093" t="str">
        <f>"1552378410499257"</f>
        <v>1552378410499257</v>
      </c>
      <c r="C3093" t="s">
        <v>40</v>
      </c>
      <c r="D3093">
        <v>5.81982</v>
      </c>
      <c r="E3093">
        <v>0.4790798</v>
      </c>
      <c r="F3093" t="s">
        <v>74</v>
      </c>
      <c r="G3093">
        <v>-402.63220000000001</v>
      </c>
      <c r="H3093" s="1">
        <v>7.6116000000000001E-6</v>
      </c>
      <c r="I3093">
        <v>212.7937</v>
      </c>
      <c r="J3093">
        <v>-423.79219999999998</v>
      </c>
      <c r="K3093">
        <v>1.109138</v>
      </c>
      <c r="L3093">
        <v>212.8321</v>
      </c>
      <c r="M3093">
        <v>0.99940130000000005</v>
      </c>
      <c r="N3093">
        <v>0</v>
      </c>
      <c r="O3093">
        <v>3.3684029999999997E-2</v>
      </c>
      <c r="P3093">
        <v>0.99734160000000005</v>
      </c>
      <c r="Q3093">
        <v>-4.426865E-2</v>
      </c>
      <c r="R3093">
        <v>-5.7879079999999999E-2</v>
      </c>
      <c r="S3093">
        <v>3.0008240000000002</v>
      </c>
      <c r="T3093">
        <v>-0.15515090000000001</v>
      </c>
      <c r="U3093">
        <v>-3.9978030000000003E-3</v>
      </c>
      <c r="V3093">
        <v>9.1433200000000006E-2</v>
      </c>
      <c r="W3093">
        <v>-3.6427309999999997E-2</v>
      </c>
      <c r="X3093">
        <v>0.99514469999999999</v>
      </c>
      <c r="Y3093">
        <v>3.4924900000000002E-2</v>
      </c>
      <c r="Z3093">
        <v>-2.6424650000000001E-3</v>
      </c>
      <c r="AA3093">
        <v>0.99938640000000001</v>
      </c>
      <c r="AB3093">
        <v>29</v>
      </c>
      <c r="AC3093">
        <v>21.159999999999901</v>
      </c>
      <c r="AD3093">
        <v>-1.1091303883999999</v>
      </c>
      <c r="AE3093">
        <v>-3.8399999999995701E-2</v>
      </c>
      <c r="AF3093">
        <v>0.74909641398250804</v>
      </c>
      <c r="AG3093">
        <v>-1.1091303883999999</v>
      </c>
      <c r="AH3093">
        <v>21.088757460412499</v>
      </c>
      <c r="AI3093">
        <v>93.008714539254896</v>
      </c>
      <c r="AJ3093">
        <v>87.965644716870003</v>
      </c>
      <c r="AK3093">
        <v>21.131185647758102</v>
      </c>
      <c r="AL3093">
        <v>92.0875930330904</v>
      </c>
      <c r="AM3093">
        <v>84.750442602879602</v>
      </c>
      <c r="AN3093">
        <v>0.99999997645708205</v>
      </c>
    </row>
    <row r="3094" spans="1:40" x14ac:dyDescent="0.25">
      <c r="A3094" t="str">
        <f>"20190312161330530"</f>
        <v>20190312161330530</v>
      </c>
      <c r="B3094" t="str">
        <f>"1552378410519753"</f>
        <v>1552378410519753</v>
      </c>
      <c r="C3094" t="s">
        <v>40</v>
      </c>
      <c r="D3094">
        <v>5.8580880000000004</v>
      </c>
      <c r="E3094">
        <v>0.4792689</v>
      </c>
      <c r="F3094" t="s">
        <v>74</v>
      </c>
      <c r="G3094">
        <v>-402.34199999999998</v>
      </c>
      <c r="H3094" s="1">
        <v>7.7407989999999994E-6</v>
      </c>
      <c r="I3094">
        <v>212.7912</v>
      </c>
      <c r="J3094">
        <v>-423.50029999999998</v>
      </c>
      <c r="K3094">
        <v>1.109138</v>
      </c>
      <c r="L3094">
        <v>212.84180000000001</v>
      </c>
      <c r="M3094">
        <v>0.99940479999999998</v>
      </c>
      <c r="N3094">
        <v>0</v>
      </c>
      <c r="O3094">
        <v>3.3580039999999999E-2</v>
      </c>
      <c r="P3094">
        <v>0.99735910000000005</v>
      </c>
      <c r="Q3094">
        <v>-4.4212290000000001E-2</v>
      </c>
      <c r="R3094">
        <v>-5.7624099999999998E-2</v>
      </c>
      <c r="S3094">
        <v>3.0007929999999998</v>
      </c>
      <c r="T3094">
        <v>-0.155163</v>
      </c>
      <c r="U3094">
        <v>-5.7220459999999997E-3</v>
      </c>
      <c r="V3094">
        <v>9.107527E-2</v>
      </c>
      <c r="W3094">
        <v>-3.6349569999999998E-2</v>
      </c>
      <c r="X3094">
        <v>0.99518039999999997</v>
      </c>
      <c r="Y3094">
        <v>3.5394660000000001E-2</v>
      </c>
      <c r="Z3094">
        <v>-2.649467E-3</v>
      </c>
      <c r="AA3094">
        <v>0.99936990000000003</v>
      </c>
      <c r="AB3094">
        <v>29</v>
      </c>
      <c r="AC3094">
        <v>21.158300000000001</v>
      </c>
      <c r="AD3094">
        <v>-1.1091302592009999</v>
      </c>
      <c r="AE3094">
        <v>-5.0600000000002802E-2</v>
      </c>
      <c r="AF3094">
        <v>0.75900453042833005</v>
      </c>
      <c r="AG3094">
        <v>-1.1091302592009999</v>
      </c>
      <c r="AH3094">
        <v>21.0867232076479</v>
      </c>
      <c r="AI3094">
        <v>93.008953143004405</v>
      </c>
      <c r="AJ3094">
        <v>87.938561174835797</v>
      </c>
      <c r="AK3094">
        <v>21.1295090677716</v>
      </c>
      <c r="AL3094">
        <v>92.0831358325389</v>
      </c>
      <c r="AM3094">
        <v>84.771065239755103</v>
      </c>
      <c r="AN3094">
        <v>1.0000000122944499</v>
      </c>
    </row>
    <row r="3095" spans="1:40" x14ac:dyDescent="0.25">
      <c r="A3095" t="str">
        <f>"20190312161330551"</f>
        <v>20190312161330551</v>
      </c>
      <c r="B3095" t="str">
        <f>"1552378410549032"</f>
        <v>1552378410549032</v>
      </c>
      <c r="C3095" t="s">
        <v>40</v>
      </c>
      <c r="D3095">
        <v>5.9658049999999996</v>
      </c>
      <c r="E3095">
        <v>0.47952939999999999</v>
      </c>
      <c r="F3095" t="s">
        <v>74</v>
      </c>
      <c r="G3095">
        <v>-402.17950000000002</v>
      </c>
      <c r="H3095" s="1">
        <v>7.8118599999999994E-6</v>
      </c>
      <c r="I3095">
        <v>212.7961</v>
      </c>
      <c r="J3095">
        <v>-423.2199</v>
      </c>
      <c r="K3095">
        <v>1.109138</v>
      </c>
      <c r="L3095">
        <v>212.8511</v>
      </c>
      <c r="M3095">
        <v>0.99940790000000002</v>
      </c>
      <c r="N3095">
        <v>0</v>
      </c>
      <c r="O3095">
        <v>3.3480349999999999E-2</v>
      </c>
      <c r="P3095">
        <v>0.99740649999999997</v>
      </c>
      <c r="Q3095">
        <v>-4.4383909999999999E-2</v>
      </c>
      <c r="R3095">
        <v>-5.6661889999999999E-2</v>
      </c>
      <c r="S3095">
        <v>3.0006409999999999</v>
      </c>
      <c r="T3095">
        <v>-0.15609619999999999</v>
      </c>
      <c r="U3095">
        <v>-6.4392090000000004E-3</v>
      </c>
      <c r="V3095">
        <v>9.0015789999999998E-2</v>
      </c>
      <c r="W3095">
        <v>-3.6500070000000003E-2</v>
      </c>
      <c r="X3095">
        <v>0.99527129999999997</v>
      </c>
      <c r="Y3095">
        <v>3.5532769999999998E-2</v>
      </c>
      <c r="Z3095">
        <v>-2.6639260000000001E-3</v>
      </c>
      <c r="AA3095">
        <v>0.99936499999999995</v>
      </c>
      <c r="AB3095">
        <v>29</v>
      </c>
      <c r="AC3095">
        <v>21.040399999999899</v>
      </c>
      <c r="AD3095">
        <v>-1.10913018814</v>
      </c>
      <c r="AE3095">
        <v>-5.50000000000068E-2</v>
      </c>
      <c r="AF3095">
        <v>0.75732683668828105</v>
      </c>
      <c r="AG3095">
        <v>-1.10913018814</v>
      </c>
      <c r="AH3095">
        <v>20.968495199271501</v>
      </c>
      <c r="AI3095">
        <v>93.025873712282902</v>
      </c>
      <c r="AJ3095">
        <v>87.931526407324796</v>
      </c>
      <c r="AK3095">
        <v>21.011461268405</v>
      </c>
      <c r="AL3095">
        <v>92.0917645381939</v>
      </c>
      <c r="AM3095">
        <v>84.832031639054193</v>
      </c>
      <c r="AN3095">
        <v>1.0000000290815001</v>
      </c>
    </row>
    <row r="3096" spans="1:40" x14ac:dyDescent="0.25">
      <c r="A3096" t="str">
        <f>"20190312161330572"</f>
        <v>20190312161330572</v>
      </c>
      <c r="B3096" t="str">
        <f>"1552378410568553"</f>
        <v>1552378410568553</v>
      </c>
      <c r="C3096" t="s">
        <v>40</v>
      </c>
      <c r="D3096">
        <v>5.9191399999999996</v>
      </c>
      <c r="E3096">
        <v>0.47972320000000002</v>
      </c>
      <c r="F3096" t="s">
        <v>74</v>
      </c>
      <c r="G3096">
        <v>-402.24709999999999</v>
      </c>
      <c r="H3096" s="1">
        <v>7.7785659999999905E-6</v>
      </c>
      <c r="I3096">
        <v>212.81219999999999</v>
      </c>
      <c r="J3096">
        <v>-422.95319999999998</v>
      </c>
      <c r="K3096">
        <v>1.1091359999999999</v>
      </c>
      <c r="L3096">
        <v>212.86</v>
      </c>
      <c r="M3096">
        <v>0.99941080000000004</v>
      </c>
      <c r="N3096">
        <v>0</v>
      </c>
      <c r="O3096">
        <v>3.3385430000000001E-2</v>
      </c>
      <c r="P3096">
        <v>0.99745090000000003</v>
      </c>
      <c r="Q3096">
        <v>-4.4797440000000001E-2</v>
      </c>
      <c r="R3096">
        <v>-5.5542090000000002E-2</v>
      </c>
      <c r="S3096">
        <v>3.0004270000000002</v>
      </c>
      <c r="T3096">
        <v>-0.15867500000000001</v>
      </c>
      <c r="U3096">
        <v>-5.5694580000000002E-3</v>
      </c>
      <c r="V3096">
        <v>8.8803549999999995E-2</v>
      </c>
      <c r="W3096">
        <v>-3.6893410000000001E-2</v>
      </c>
      <c r="X3096">
        <v>0.99536570000000002</v>
      </c>
      <c r="Y3096">
        <v>3.5145870000000003E-2</v>
      </c>
      <c r="Z3096">
        <v>-2.692828E-3</v>
      </c>
      <c r="AA3096">
        <v>0.99937860000000001</v>
      </c>
      <c r="AB3096">
        <v>29</v>
      </c>
      <c r="AC3096">
        <v>20.7060999999999</v>
      </c>
      <c r="AD3096">
        <v>-1.1091282214339999</v>
      </c>
      <c r="AE3096">
        <v>-4.7800000000023601E-2</v>
      </c>
      <c r="AF3096">
        <v>0.73696282977895899</v>
      </c>
      <c r="AG3096">
        <v>-1.1091282214339999</v>
      </c>
      <c r="AH3096">
        <v>20.633757910606999</v>
      </c>
      <c r="AI3096">
        <v>93.074907104869098</v>
      </c>
      <c r="AJ3096">
        <v>87.954472526032006</v>
      </c>
      <c r="AK3096">
        <v>20.676683610714601</v>
      </c>
      <c r="AL3096">
        <v>92.114316435983397</v>
      </c>
      <c r="AM3096">
        <v>84.901740195912595</v>
      </c>
      <c r="AN3096">
        <v>1.0000000354652501</v>
      </c>
    </row>
    <row r="3097" spans="1:40" x14ac:dyDescent="0.25">
      <c r="A3097" t="str">
        <f>"20190312161330594"</f>
        <v>20190312161330594</v>
      </c>
      <c r="B3097" t="str">
        <f>"1552378410589049"</f>
        <v>1552378410589049</v>
      </c>
      <c r="C3097" t="s">
        <v>40</v>
      </c>
      <c r="D3097">
        <v>5.9007949999999996</v>
      </c>
      <c r="E3097">
        <v>0.47987089999999999</v>
      </c>
      <c r="F3097" t="s">
        <v>74</v>
      </c>
      <c r="G3097">
        <v>-402.65910000000002</v>
      </c>
      <c r="H3097" s="1">
        <v>7.5906510000000001E-6</v>
      </c>
      <c r="I3097">
        <v>212.8374</v>
      </c>
      <c r="J3097">
        <v>-422.65609999999998</v>
      </c>
      <c r="K3097">
        <v>1.1091420000000001</v>
      </c>
      <c r="L3097">
        <v>212.8698</v>
      </c>
      <c r="M3097">
        <v>0.99941409999999997</v>
      </c>
      <c r="N3097">
        <v>0</v>
      </c>
      <c r="O3097">
        <v>3.3279780000000002E-2</v>
      </c>
      <c r="P3097">
        <v>0.99747929999999996</v>
      </c>
      <c r="Q3097">
        <v>-4.4767660000000001E-2</v>
      </c>
      <c r="R3097">
        <v>-5.5053999999999999E-2</v>
      </c>
      <c r="S3097">
        <v>3.0001220000000002</v>
      </c>
      <c r="T3097">
        <v>-0.1639649</v>
      </c>
      <c r="U3097">
        <v>-3.3416750000000001E-3</v>
      </c>
      <c r="V3097">
        <v>8.8211289999999998E-2</v>
      </c>
      <c r="W3097">
        <v>-3.6841730000000003E-2</v>
      </c>
      <c r="X3097">
        <v>0.99542019999999998</v>
      </c>
      <c r="Y3097">
        <v>3.4293219999999999E-2</v>
      </c>
      <c r="Z3097">
        <v>-2.7536980000000002E-3</v>
      </c>
      <c r="AA3097">
        <v>0.99940799999999996</v>
      </c>
      <c r="AB3097">
        <v>29</v>
      </c>
      <c r="AC3097">
        <v>19.9969999999999</v>
      </c>
      <c r="AD3097">
        <v>-1.1091344093490001</v>
      </c>
      <c r="AE3097">
        <v>-3.2399999999995502E-2</v>
      </c>
      <c r="AF3097">
        <v>0.69575867428405203</v>
      </c>
      <c r="AG3097">
        <v>-1.1091344093490001</v>
      </c>
      <c r="AH3097">
        <v>19.9235520776591</v>
      </c>
      <c r="AI3097">
        <v>93.184402069784198</v>
      </c>
      <c r="AJ3097">
        <v>87.999962934038706</v>
      </c>
      <c r="AK3097">
        <v>19.966526654930199</v>
      </c>
      <c r="AL3097">
        <v>92.111353535919505</v>
      </c>
      <c r="AM3097">
        <v>84.935840585751706</v>
      </c>
      <c r="AN3097">
        <v>0.99999995966044697</v>
      </c>
    </row>
    <row r="3098" spans="1:40" x14ac:dyDescent="0.25">
      <c r="A3098" t="str">
        <f>"20190312161330617"</f>
        <v>20190312161330617</v>
      </c>
      <c r="B3098" t="str">
        <f>"1552378410608569"</f>
        <v>1552378410608569</v>
      </c>
      <c r="C3098" t="s">
        <v>40</v>
      </c>
      <c r="D3098">
        <v>6.0594590000000004</v>
      </c>
      <c r="E3098">
        <v>0.4802457</v>
      </c>
      <c r="F3098" t="s">
        <v>74</v>
      </c>
      <c r="G3098">
        <v>-402.94099999999997</v>
      </c>
      <c r="H3098" s="1">
        <v>7.46297E-6</v>
      </c>
      <c r="I3098">
        <v>212.8501</v>
      </c>
      <c r="J3098">
        <v>-422.35230000000001</v>
      </c>
      <c r="K3098">
        <v>1.1091439999999999</v>
      </c>
      <c r="L3098">
        <v>212.87979999999999</v>
      </c>
      <c r="M3098">
        <v>0.99941769999999996</v>
      </c>
      <c r="N3098">
        <v>0</v>
      </c>
      <c r="O3098">
        <v>3.3171560000000003E-2</v>
      </c>
      <c r="P3098">
        <v>0.99749460000000001</v>
      </c>
      <c r="Q3098">
        <v>-4.4545719999999997E-2</v>
      </c>
      <c r="R3098">
        <v>-5.4957140000000002E-2</v>
      </c>
      <c r="S3098">
        <v>2.9998469999999999</v>
      </c>
      <c r="T3098">
        <v>-0.1687659</v>
      </c>
      <c r="U3098">
        <v>-2.9907229999999998E-3</v>
      </c>
      <c r="V3098">
        <v>8.8007429999999998E-2</v>
      </c>
      <c r="W3098">
        <v>-3.6597860000000003E-2</v>
      </c>
      <c r="X3098">
        <v>0.99544730000000003</v>
      </c>
      <c r="Y3098">
        <v>3.4062710000000003E-2</v>
      </c>
      <c r="Z3098">
        <v>-2.8219019999999998E-3</v>
      </c>
      <c r="AA3098">
        <v>0.99941570000000002</v>
      </c>
      <c r="AB3098">
        <v>29</v>
      </c>
      <c r="AC3098">
        <v>19.411300000000001</v>
      </c>
      <c r="AD3098">
        <v>-1.1091365370299999</v>
      </c>
      <c r="AE3098">
        <v>-2.9699999999991102E-2</v>
      </c>
      <c r="AF3098">
        <v>0.67141528062007905</v>
      </c>
      <c r="AG3098">
        <v>-1.1091365370299999</v>
      </c>
      <c r="AH3098">
        <v>19.336501243740901</v>
      </c>
      <c r="AI3098">
        <v>93.280900450240907</v>
      </c>
      <c r="AJ3098">
        <v>88.011335545023201</v>
      </c>
      <c r="AK3098">
        <v>19.379919057777801</v>
      </c>
      <c r="AL3098">
        <v>92.097371259330004</v>
      </c>
      <c r="AM3098">
        <v>84.947620260447806</v>
      </c>
      <c r="AN3098">
        <v>1.00000001908453</v>
      </c>
    </row>
    <row r="3099" spans="1:40" x14ac:dyDescent="0.25">
      <c r="A3099" t="str">
        <f>"20190312161330641"</f>
        <v>20190312161330641</v>
      </c>
      <c r="B3099" t="str">
        <f>"1552378410638825"</f>
        <v>1552378410638825</v>
      </c>
      <c r="C3099" t="s">
        <v>40</v>
      </c>
      <c r="D3099">
        <v>6.1451539999999998</v>
      </c>
      <c r="E3099">
        <v>0.48040620000000001</v>
      </c>
      <c r="F3099" t="s">
        <v>74</v>
      </c>
      <c r="G3099">
        <v>-403.19799999999998</v>
      </c>
      <c r="H3099" s="1">
        <v>7.3500849999999999E-6</v>
      </c>
      <c r="I3099">
        <v>212.845</v>
      </c>
      <c r="J3099">
        <v>-422.03300000000002</v>
      </c>
      <c r="K3099">
        <v>1.109151</v>
      </c>
      <c r="L3099">
        <v>212.8903</v>
      </c>
      <c r="M3099">
        <v>0.99942129999999996</v>
      </c>
      <c r="N3099">
        <v>0</v>
      </c>
      <c r="O3099">
        <v>3.3058259999999999E-2</v>
      </c>
      <c r="P3099">
        <v>0.99753380000000003</v>
      </c>
      <c r="Q3099">
        <v>-4.4215900000000002E-2</v>
      </c>
      <c r="R3099">
        <v>-5.4514600000000003E-2</v>
      </c>
      <c r="S3099">
        <v>2.9994809999999998</v>
      </c>
      <c r="T3099">
        <v>-0.17368599999999901</v>
      </c>
      <c r="U3099">
        <v>-5.4473880000000001E-3</v>
      </c>
      <c r="V3099">
        <v>8.7453370000000002E-2</v>
      </c>
      <c r="W3099">
        <v>-3.6244529999999997E-2</v>
      </c>
      <c r="X3099">
        <v>0.99550899999999998</v>
      </c>
      <c r="Y3099">
        <v>3.4760800000000001E-2</v>
      </c>
      <c r="Z3099">
        <v>-2.9180370000000001E-3</v>
      </c>
      <c r="AA3099">
        <v>0.99939140000000004</v>
      </c>
      <c r="AB3099">
        <v>29</v>
      </c>
      <c r="AC3099">
        <v>18.834999999999901</v>
      </c>
      <c r="AD3099">
        <v>-1.109143649915</v>
      </c>
      <c r="AE3099">
        <v>-4.5299999999997398E-2</v>
      </c>
      <c r="AF3099">
        <v>0.66563931983775804</v>
      </c>
      <c r="AG3099">
        <v>-1.109143649915</v>
      </c>
      <c r="AH3099">
        <v>18.758159320565301</v>
      </c>
      <c r="AI3099">
        <v>93.381755632644996</v>
      </c>
      <c r="AJ3099">
        <v>87.967693572246105</v>
      </c>
      <c r="AK3099">
        <v>18.802707688946601</v>
      </c>
      <c r="AL3099">
        <v>92.0771136169313</v>
      </c>
      <c r="AM3099">
        <v>84.979574543327601</v>
      </c>
      <c r="AN3099">
        <v>0.99999996348013798</v>
      </c>
    </row>
    <row r="3100" spans="1:40" x14ac:dyDescent="0.25">
      <c r="A3100" t="str">
        <f>"20190312161330673"</f>
        <v>20190312161330673</v>
      </c>
      <c r="B3100" t="str">
        <f>"1552378410669080"</f>
        <v>1552378410669080</v>
      </c>
      <c r="C3100" t="s">
        <v>40</v>
      </c>
      <c r="D3100">
        <v>6.0624219999999998</v>
      </c>
      <c r="E3100">
        <v>0.47968889999999997</v>
      </c>
      <c r="F3100" t="s">
        <v>74</v>
      </c>
      <c r="G3100">
        <v>-402.65929999999997</v>
      </c>
      <c r="H3100" s="1">
        <v>7.5869430000000003E-6</v>
      </c>
      <c r="I3100">
        <v>212.85489999999999</v>
      </c>
      <c r="J3100">
        <v>-421.6266</v>
      </c>
      <c r="K3100">
        <v>1.109151</v>
      </c>
      <c r="L3100">
        <v>212.90360000000001</v>
      </c>
      <c r="M3100">
        <v>0.99942560000000003</v>
      </c>
      <c r="N3100">
        <v>0</v>
      </c>
      <c r="O3100">
        <v>3.2913890000000001E-2</v>
      </c>
      <c r="P3100">
        <v>0.99746409999999996</v>
      </c>
      <c r="Q3100">
        <v>-4.4584360000000003E-2</v>
      </c>
      <c r="R3100">
        <v>-5.5475139999999999E-2</v>
      </c>
      <c r="S3100">
        <v>2.9995419999999999</v>
      </c>
      <c r="T3100">
        <v>-0.1717235</v>
      </c>
      <c r="U3100">
        <v>-5.4779049999999999E-3</v>
      </c>
      <c r="V3100">
        <v>8.826755E-2</v>
      </c>
      <c r="W3100">
        <v>-3.6584680000000001E-2</v>
      </c>
      <c r="X3100">
        <v>0.99542470000000005</v>
      </c>
      <c r="Y3100">
        <v>3.462958E-2</v>
      </c>
      <c r="Z3100">
        <v>-2.8730520000000001E-3</v>
      </c>
      <c r="AA3100">
        <v>0.99939610000000001</v>
      </c>
      <c r="AB3100">
        <v>29</v>
      </c>
      <c r="AC3100">
        <v>18.967300000000002</v>
      </c>
      <c r="AD3100">
        <v>-1.1091434130569999</v>
      </c>
      <c r="AE3100">
        <v>-4.8700000000025001E-2</v>
      </c>
      <c r="AF3100">
        <v>0.67068816145563004</v>
      </c>
      <c r="AG3100">
        <v>-1.1091434130569999</v>
      </c>
      <c r="AH3100">
        <v>18.890822714244202</v>
      </c>
      <c r="AI3100">
        <v>93.358058468588197</v>
      </c>
      <c r="AJ3100">
        <v>87.966659899992493</v>
      </c>
      <c r="AK3100">
        <v>18.9352371134256</v>
      </c>
      <c r="AL3100">
        <v>92.096615705669805</v>
      </c>
      <c r="AM3100">
        <v>84.932650331301502</v>
      </c>
      <c r="AN3100">
        <v>0.99999996628189602</v>
      </c>
    </row>
    <row r="3101" spans="1:40" x14ac:dyDescent="0.25">
      <c r="A3101" t="str">
        <f>"20190312161330696"</f>
        <v>20190312161330696</v>
      </c>
      <c r="B3101" t="str">
        <f>"1552378410688601"</f>
        <v>1552378410688601</v>
      </c>
      <c r="C3101" t="s">
        <v>40</v>
      </c>
      <c r="D3101">
        <v>6.0228769999999896</v>
      </c>
      <c r="E3101">
        <v>0.47882629999999998</v>
      </c>
      <c r="F3101" t="s">
        <v>74</v>
      </c>
      <c r="G3101">
        <v>-401.98739999999998</v>
      </c>
      <c r="H3101" s="1">
        <v>7.8785670000000008E-6</v>
      </c>
      <c r="I3101">
        <v>212.88560000000001</v>
      </c>
      <c r="J3101">
        <v>-421.3141</v>
      </c>
      <c r="K3101">
        <v>1.109151</v>
      </c>
      <c r="L3101">
        <v>212.91370000000001</v>
      </c>
      <c r="M3101">
        <v>0.99942929999999996</v>
      </c>
      <c r="N3101">
        <v>0</v>
      </c>
      <c r="O3101">
        <v>3.2802690000000002E-2</v>
      </c>
      <c r="P3101">
        <v>0.99744710000000003</v>
      </c>
      <c r="Q3101">
        <v>-4.4047030000000001E-2</v>
      </c>
      <c r="R3101">
        <v>-5.620762E-2</v>
      </c>
      <c r="S3101">
        <v>2.9998779999999998</v>
      </c>
      <c r="T3101">
        <v>-0.16942079999999901</v>
      </c>
      <c r="U3101">
        <v>-2.746582E-3</v>
      </c>
      <c r="V3101">
        <v>8.8888399999999895E-2</v>
      </c>
      <c r="W3101">
        <v>-3.6025519999999998E-2</v>
      </c>
      <c r="X3101">
        <v>0.99538990000000005</v>
      </c>
      <c r="Y3101">
        <v>3.3612990000000002E-2</v>
      </c>
      <c r="Z3101">
        <v>-2.7993110000000001E-3</v>
      </c>
      <c r="AA3101">
        <v>0.99943099999999996</v>
      </c>
      <c r="AB3101">
        <v>30</v>
      </c>
      <c r="AC3101">
        <v>19.326699999999999</v>
      </c>
      <c r="AD3101">
        <v>-1.1091431214329901</v>
      </c>
      <c r="AE3101">
        <v>-2.80999999999949E-2</v>
      </c>
      <c r="AF3101">
        <v>0.65989986290496006</v>
      </c>
      <c r="AG3101">
        <v>-1.1091431214329901</v>
      </c>
      <c r="AH3101">
        <v>19.251970278243899</v>
      </c>
      <c r="AI3101">
        <v>93.295344467358802</v>
      </c>
      <c r="AJ3101">
        <v>88.036840940751304</v>
      </c>
      <c r="AK3101">
        <v>19.295181416282901</v>
      </c>
      <c r="AL3101">
        <v>92.064556951837105</v>
      </c>
      <c r="AM3101">
        <v>84.897018032373396</v>
      </c>
      <c r="AN3101">
        <v>1.00000001938392</v>
      </c>
    </row>
    <row r="3102" spans="1:40" x14ac:dyDescent="0.25">
      <c r="A3102" t="str">
        <f>"20190312161330719"</f>
        <v>20190312161330719</v>
      </c>
      <c r="B3102" t="str">
        <f>"1552378410709097"</f>
        <v>1552378410709097</v>
      </c>
      <c r="C3102" t="s">
        <v>40</v>
      </c>
      <c r="D3102">
        <v>6.0572350000000004</v>
      </c>
      <c r="E3102">
        <v>0.47815029999999997</v>
      </c>
      <c r="F3102" t="s">
        <v>74</v>
      </c>
      <c r="G3102">
        <v>-401.0949</v>
      </c>
      <c r="H3102" s="1">
        <v>8.2662280000000005E-6</v>
      </c>
      <c r="I3102">
        <v>212.9248</v>
      </c>
      <c r="J3102">
        <v>-420.99849999999998</v>
      </c>
      <c r="K3102">
        <v>1.1091530000000001</v>
      </c>
      <c r="L3102">
        <v>212.92400000000001</v>
      </c>
      <c r="M3102">
        <v>0.99943269999999995</v>
      </c>
      <c r="N3102">
        <v>0</v>
      </c>
      <c r="O3102">
        <v>3.269035E-2</v>
      </c>
      <c r="P3102">
        <v>0.99743150000000003</v>
      </c>
      <c r="Q3102">
        <v>-4.3752770000000003E-2</v>
      </c>
      <c r="R3102">
        <v>-5.6712279999999997E-2</v>
      </c>
      <c r="S3102">
        <v>3.0005489999999999</v>
      </c>
      <c r="T3102">
        <v>-0.16459749999999901</v>
      </c>
      <c r="U3102">
        <v>1.6479489999999999E-3</v>
      </c>
      <c r="V3102">
        <v>8.9280429999999994E-2</v>
      </c>
      <c r="W3102">
        <v>-3.570914E-2</v>
      </c>
      <c r="X3102">
        <v>0.99536619999999998</v>
      </c>
      <c r="Y3102">
        <v>3.2045190000000001E-2</v>
      </c>
      <c r="Z3102">
        <v>-2.6699950000000001E-3</v>
      </c>
      <c r="AA3102">
        <v>0.99948289999999995</v>
      </c>
      <c r="AB3102">
        <v>30</v>
      </c>
      <c r="AC3102">
        <v>19.903599999999901</v>
      </c>
      <c r="AD3102">
        <v>-1.109144733772</v>
      </c>
      <c r="AE3102">
        <v>7.9999999999813499E-4</v>
      </c>
      <c r="AF3102">
        <v>0.64786556521271899</v>
      </c>
      <c r="AG3102">
        <v>-1.109144733772</v>
      </c>
      <c r="AH3102">
        <v>19.8314037110807</v>
      </c>
      <c r="AI3102">
        <v>93.199440514856207</v>
      </c>
      <c r="AJ3102">
        <v>88.128888592974903</v>
      </c>
      <c r="AK3102">
        <v>19.8729591400704</v>
      </c>
      <c r="AL3102">
        <v>92.046418071582096</v>
      </c>
      <c r="AM3102">
        <v>84.874510259941104</v>
      </c>
      <c r="AN3102">
        <v>1.0000000049814799</v>
      </c>
    </row>
    <row r="3103" spans="1:40" x14ac:dyDescent="0.25">
      <c r="A3103" t="str">
        <f>"20190312161330764"</f>
        <v>20190312161330764</v>
      </c>
      <c r="B3103" t="str">
        <f>"1552378410758873"</f>
        <v>1552378410758873</v>
      </c>
      <c r="C3103" t="s">
        <v>40</v>
      </c>
      <c r="D3103">
        <v>6.200145</v>
      </c>
      <c r="E3103">
        <v>0.47686980000000001</v>
      </c>
      <c r="F3103" t="s">
        <v>74</v>
      </c>
      <c r="G3103">
        <v>-400.49400000000003</v>
      </c>
      <c r="H3103" s="1">
        <v>8.5250200000000002E-6</v>
      </c>
      <c r="I3103">
        <v>212.96199999999999</v>
      </c>
      <c r="J3103">
        <v>-420.404</v>
      </c>
      <c r="K3103">
        <v>1.1091470000000001</v>
      </c>
      <c r="L3103">
        <v>212.94319999999999</v>
      </c>
      <c r="M3103">
        <v>0.99943930000000003</v>
      </c>
      <c r="N3103">
        <v>0</v>
      </c>
      <c r="O3103">
        <v>3.2479109999999999E-2</v>
      </c>
      <c r="P3103">
        <v>0.9974056</v>
      </c>
      <c r="Q3103">
        <v>-4.430597E-2</v>
      </c>
      <c r="R3103">
        <v>-5.6739629999999999E-2</v>
      </c>
      <c r="S3103">
        <v>3.0009459999999999</v>
      </c>
      <c r="T3103">
        <v>-0.162329</v>
      </c>
      <c r="U3103">
        <v>5.5694580000000002E-3</v>
      </c>
      <c r="V3103">
        <v>8.9096289999999995E-2</v>
      </c>
      <c r="W3103">
        <v>-3.6220580000000002E-2</v>
      </c>
      <c r="X3103">
        <v>0.99536420000000003</v>
      </c>
      <c r="Y3103">
        <v>3.0533100000000001E-2</v>
      </c>
      <c r="Z3103">
        <v>-2.580611E-3</v>
      </c>
      <c r="AA3103">
        <v>0.99953040000000004</v>
      </c>
      <c r="AB3103">
        <v>30</v>
      </c>
      <c r="AC3103">
        <v>19.909999999999901</v>
      </c>
      <c r="AD3103">
        <v>-1.10913847498</v>
      </c>
      <c r="AE3103">
        <v>1.8800000000027201E-2</v>
      </c>
      <c r="AF3103">
        <v>0.62594787674603003</v>
      </c>
      <c r="AG3103">
        <v>-1.10913847498</v>
      </c>
      <c r="AH3103">
        <v>19.838540073109801</v>
      </c>
      <c r="AI3103">
        <v>93.198388298706206</v>
      </c>
      <c r="AJ3103">
        <v>88.192796589477098</v>
      </c>
      <c r="AK3103">
        <v>19.879378036887001</v>
      </c>
      <c r="AL3103">
        <v>92.075740436704706</v>
      </c>
      <c r="AM3103">
        <v>84.885015174002007</v>
      </c>
      <c r="AN3103">
        <v>0.99999998497446996</v>
      </c>
    </row>
    <row r="3104" spans="1:40" x14ac:dyDescent="0.25">
      <c r="A3104" t="str">
        <f>"20190312161330785"</f>
        <v>20190312161330785</v>
      </c>
      <c r="B3104" t="str">
        <f>"1552378410779368"</f>
        <v>1552378410779368</v>
      </c>
      <c r="C3104" t="s">
        <v>40</v>
      </c>
      <c r="D3104">
        <v>6.0373659999999996</v>
      </c>
      <c r="E3104">
        <v>0.47629480000000002</v>
      </c>
      <c r="F3104" t="s">
        <v>69</v>
      </c>
      <c r="G3104">
        <v>-399.61989999999997</v>
      </c>
      <c r="H3104" s="1">
        <v>3.5824479999999998E-6</v>
      </c>
      <c r="I3104">
        <v>213.05080000000001</v>
      </c>
      <c r="J3104">
        <v>-420.12979999999999</v>
      </c>
      <c r="K3104">
        <v>1.109148</v>
      </c>
      <c r="L3104">
        <v>212.952</v>
      </c>
      <c r="M3104">
        <v>0.99944219999999895</v>
      </c>
      <c r="N3104">
        <v>0</v>
      </c>
      <c r="O3104">
        <v>3.2381989999999999E-2</v>
      </c>
      <c r="P3104">
        <v>0.99740249999999997</v>
      </c>
      <c r="Q3104">
        <v>-4.4020219999999999E-2</v>
      </c>
      <c r="R3104">
        <v>-5.701432E-2</v>
      </c>
      <c r="S3104">
        <v>3.0015869999999998</v>
      </c>
      <c r="T3104">
        <v>-0.16017970000000001</v>
      </c>
      <c r="U3104">
        <v>1.554871E-2</v>
      </c>
      <c r="V3104">
        <v>8.9274190000000003E-2</v>
      </c>
      <c r="W3104">
        <v>-3.5915809999999999E-2</v>
      </c>
      <c r="X3104">
        <v>0.99535929999999995</v>
      </c>
      <c r="Y3104">
        <v>2.712061E-2</v>
      </c>
      <c r="Z3104">
        <v>-2.449746E-3</v>
      </c>
      <c r="AA3104">
        <v>0.99962910000000005</v>
      </c>
      <c r="AB3104">
        <v>30</v>
      </c>
      <c r="AC3104">
        <v>20.509899999999998</v>
      </c>
      <c r="AD3104">
        <v>-1.109144417552</v>
      </c>
      <c r="AE3104">
        <v>9.8800000000011295E-2</v>
      </c>
      <c r="AF3104">
        <v>0.56377662640889603</v>
      </c>
      <c r="AG3104">
        <v>-1.109144417552</v>
      </c>
      <c r="AH3104">
        <v>20.442560104242698</v>
      </c>
      <c r="AI3104">
        <v>93.104452804338393</v>
      </c>
      <c r="AJ3104">
        <v>88.420264612003507</v>
      </c>
      <c r="AK3104">
        <v>20.480388400590599</v>
      </c>
      <c r="AL3104">
        <v>92.058267039913304</v>
      </c>
      <c r="AM3104">
        <v>84.874831244380303</v>
      </c>
      <c r="AN3104">
        <v>0.99999998125230005</v>
      </c>
    </row>
    <row r="3105" spans="1:40" x14ac:dyDescent="0.25">
      <c r="A3105" t="str">
        <f>"20190312161330807"</f>
        <v>20190312161330807</v>
      </c>
      <c r="B3105" t="str">
        <f>"1552378410798889"</f>
        <v>1552378410798889</v>
      </c>
      <c r="C3105" t="s">
        <v>40</v>
      </c>
      <c r="D3105">
        <v>5.6043209999999997</v>
      </c>
      <c r="E3105">
        <v>0.4760489</v>
      </c>
      <c r="F3105" t="s">
        <v>69</v>
      </c>
      <c r="G3105">
        <v>-398.96559999999999</v>
      </c>
      <c r="H3105" s="1">
        <v>3.2342549999999999E-6</v>
      </c>
      <c r="I3105">
        <v>213.0864</v>
      </c>
      <c r="J3105">
        <v>-419.82409999999999</v>
      </c>
      <c r="K3105">
        <v>1.1091409999999999</v>
      </c>
      <c r="L3105">
        <v>212.96180000000001</v>
      </c>
      <c r="M3105">
        <v>0.99944560000000005</v>
      </c>
      <c r="N3105">
        <v>0</v>
      </c>
      <c r="O3105">
        <v>3.2273589999999998E-2</v>
      </c>
      <c r="P3105">
        <v>0.99740390000000001</v>
      </c>
      <c r="Q3105">
        <v>-4.3975840000000002E-2</v>
      </c>
      <c r="R3105">
        <v>-5.7023259999999999E-2</v>
      </c>
      <c r="S3105">
        <v>3.0019529999999999</v>
      </c>
      <c r="T3105">
        <v>-0.1573225</v>
      </c>
      <c r="U3105">
        <v>1.9058229999999999E-2</v>
      </c>
      <c r="V3105">
        <v>8.9175279999999996E-2</v>
      </c>
      <c r="W3105">
        <v>-3.5850100000000003E-2</v>
      </c>
      <c r="X3105">
        <v>0.99537059999999999</v>
      </c>
      <c r="Y3105">
        <v>2.58491E-2</v>
      </c>
      <c r="Z3105">
        <v>-2.3668309999999998E-3</v>
      </c>
      <c r="AA3105">
        <v>0.99966310000000003</v>
      </c>
      <c r="AB3105">
        <v>30</v>
      </c>
      <c r="AC3105">
        <v>20.8584999999999</v>
      </c>
      <c r="AD3105">
        <v>-1.1091377657449999</v>
      </c>
      <c r="AE3105">
        <v>0.124599999999986</v>
      </c>
      <c r="AF3105">
        <v>0.54711917844318303</v>
      </c>
      <c r="AG3105">
        <v>-1.1091377657449999</v>
      </c>
      <c r="AH3105">
        <v>20.792864891288499</v>
      </c>
      <c r="AI3105">
        <v>93.052336283162703</v>
      </c>
      <c r="AJ3105">
        <v>88.492733525826594</v>
      </c>
      <c r="AK3105">
        <v>20.8296124871828</v>
      </c>
      <c r="AL3105">
        <v>92.054499575359202</v>
      </c>
      <c r="AM3105">
        <v>84.880537217184695</v>
      </c>
      <c r="AN3105">
        <v>1.0000000457887199</v>
      </c>
    </row>
    <row r="3106" spans="1:40" x14ac:dyDescent="0.25">
      <c r="A3106" t="str">
        <f>"20190312161330831"</f>
        <v>20190312161330831</v>
      </c>
      <c r="B3106" t="str">
        <f>"1552378410819385"</f>
        <v>1552378410819385</v>
      </c>
      <c r="C3106" t="s">
        <v>40</v>
      </c>
      <c r="D3106">
        <v>6.0437459999999996</v>
      </c>
      <c r="E3106">
        <v>0.47572520000000001</v>
      </c>
      <c r="F3106" t="s">
        <v>69</v>
      </c>
      <c r="G3106">
        <v>-398.54239999999999</v>
      </c>
      <c r="H3106" s="1">
        <v>3.009034E-6</v>
      </c>
      <c r="I3106">
        <v>213.11179999999999</v>
      </c>
      <c r="J3106">
        <v>-419.5172</v>
      </c>
      <c r="K3106">
        <v>1.1091470000000001</v>
      </c>
      <c r="L3106">
        <v>212.9716</v>
      </c>
      <c r="M3106">
        <v>0.99944889999999997</v>
      </c>
      <c r="N3106">
        <v>0</v>
      </c>
      <c r="O3106">
        <v>3.2164890000000002E-2</v>
      </c>
      <c r="P3106">
        <v>0.9974229</v>
      </c>
      <c r="Q3106">
        <v>-4.4002260000000001E-2</v>
      </c>
      <c r="R3106">
        <v>-5.6668459999999997E-2</v>
      </c>
      <c r="S3106">
        <v>3.0021360000000001</v>
      </c>
      <c r="T3106">
        <v>-0.15646179999999901</v>
      </c>
      <c r="U3106">
        <v>2.1163939999999999E-2</v>
      </c>
      <c r="V3106">
        <v>8.8713009999999995E-2</v>
      </c>
      <c r="W3106">
        <v>-3.5854869999999997E-2</v>
      </c>
      <c r="X3106">
        <v>0.99541170000000001</v>
      </c>
      <c r="Y3106">
        <v>2.504176E-2</v>
      </c>
      <c r="Z3106">
        <v>-2.3270650000000001E-3</v>
      </c>
      <c r="AA3106">
        <v>0.99968369999999995</v>
      </c>
      <c r="AB3106">
        <v>30</v>
      </c>
      <c r="AC3106">
        <v>20.974799999999998</v>
      </c>
      <c r="AD3106">
        <v>-1.1091439909659999</v>
      </c>
      <c r="AE3106">
        <v>0.140199999999993</v>
      </c>
      <c r="AF3106">
        <v>0.53305688297283504</v>
      </c>
      <c r="AG3106">
        <v>-1.1091439909659999</v>
      </c>
      <c r="AH3106">
        <v>20.909988565216398</v>
      </c>
      <c r="AI3106">
        <v>93.035352514406398</v>
      </c>
      <c r="AJ3106">
        <v>88.539678975460404</v>
      </c>
      <c r="AK3106">
        <v>20.946168428394301</v>
      </c>
      <c r="AL3106">
        <v>92.054773123196199</v>
      </c>
      <c r="AM3106">
        <v>84.907144918324306</v>
      </c>
      <c r="AN3106">
        <v>1.00000001117143</v>
      </c>
    </row>
    <row r="3107" spans="1:40" x14ac:dyDescent="0.25">
      <c r="A3107" t="str">
        <f>"20190312161330852"</f>
        <v>20190312161330852</v>
      </c>
      <c r="B3107" t="str">
        <f>"1552378410848666"</f>
        <v>1552378410848666</v>
      </c>
      <c r="C3107" t="s">
        <v>40</v>
      </c>
      <c r="D3107">
        <v>6.1101169999999998</v>
      </c>
      <c r="E3107">
        <v>0.47507490000000002</v>
      </c>
      <c r="F3107" t="s">
        <v>69</v>
      </c>
      <c r="G3107">
        <v>-397.70650000000001</v>
      </c>
      <c r="H3107" s="1">
        <v>2.5642119999999999E-6</v>
      </c>
      <c r="I3107">
        <v>213.1506</v>
      </c>
      <c r="J3107">
        <v>-419.22449999999998</v>
      </c>
      <c r="K3107">
        <v>1.1091489999999999</v>
      </c>
      <c r="L3107">
        <v>212.98089999999999</v>
      </c>
      <c r="M3107">
        <v>0.99945209999999995</v>
      </c>
      <c r="N3107">
        <v>0</v>
      </c>
      <c r="O3107">
        <v>3.2061149999999997E-2</v>
      </c>
      <c r="P3107">
        <v>0.99739710000000004</v>
      </c>
      <c r="Q3107">
        <v>-4.4300510000000001E-2</v>
      </c>
      <c r="R3107">
        <v>-5.6891900000000002E-2</v>
      </c>
      <c r="S3107">
        <v>3.0024109999999999</v>
      </c>
      <c r="T3107">
        <v>-0.15268219999999999</v>
      </c>
      <c r="U3107">
        <v>2.4642939999999999E-2</v>
      </c>
      <c r="V3107">
        <v>8.8832099999999997E-2</v>
      </c>
      <c r="W3107">
        <v>-3.6133230000000002E-2</v>
      </c>
      <c r="X3107">
        <v>0.99539100000000003</v>
      </c>
      <c r="Y3107">
        <v>2.3785779999999999E-2</v>
      </c>
      <c r="Z3107">
        <v>-2.2335139999999998E-3</v>
      </c>
      <c r="AA3107">
        <v>0.99971460000000001</v>
      </c>
      <c r="AB3107">
        <v>30</v>
      </c>
      <c r="AC3107">
        <v>21.517999999999901</v>
      </c>
      <c r="AD3107">
        <v>-1.1091464357880001</v>
      </c>
      <c r="AE3107">
        <v>0.16970000000000501</v>
      </c>
      <c r="AF3107">
        <v>0.51892374746118797</v>
      </c>
      <c r="AG3107">
        <v>-1.1091464357880001</v>
      </c>
      <c r="AH3107">
        <v>21.455376923950599</v>
      </c>
      <c r="AI3107">
        <v>92.958436035602404</v>
      </c>
      <c r="AJ3107">
        <v>88.614503708238203</v>
      </c>
      <c r="AK3107">
        <v>21.490292846317601</v>
      </c>
      <c r="AL3107">
        <v>92.070732345879406</v>
      </c>
      <c r="AM3107">
        <v>84.900238708320998</v>
      </c>
      <c r="AN3107">
        <v>0.99999999759082103</v>
      </c>
    </row>
    <row r="3108" spans="1:40" x14ac:dyDescent="0.25">
      <c r="A3108" t="str">
        <f>"20190312161330873"</f>
        <v>20190312161330873</v>
      </c>
      <c r="B3108" t="str">
        <f>"1552378410869161"</f>
        <v>1552378410869161</v>
      </c>
      <c r="C3108" t="s">
        <v>40</v>
      </c>
      <c r="D3108">
        <v>6.1129009999999999</v>
      </c>
      <c r="E3108">
        <v>0.47478530000000002</v>
      </c>
      <c r="F3108" t="s">
        <v>69</v>
      </c>
      <c r="G3108">
        <v>-397.32350000000002</v>
      </c>
      <c r="H3108" s="1">
        <v>2.3604049999999998E-6</v>
      </c>
      <c r="I3108">
        <v>213.19220000000001</v>
      </c>
      <c r="J3108">
        <v>-418.94400000000002</v>
      </c>
      <c r="K3108">
        <v>1.1091519999999999</v>
      </c>
      <c r="L3108">
        <v>212.9898</v>
      </c>
      <c r="M3108">
        <v>0.99945499999999998</v>
      </c>
      <c r="N3108">
        <v>0</v>
      </c>
      <c r="O3108">
        <v>3.196218E-2</v>
      </c>
      <c r="P3108">
        <v>0.99735949999999995</v>
      </c>
      <c r="Q3108">
        <v>-4.4527839999999999E-2</v>
      </c>
      <c r="R3108">
        <v>-5.7371489999999997E-2</v>
      </c>
      <c r="S3108">
        <v>3.0027469999999998</v>
      </c>
      <c r="T3108">
        <v>-0.15207019999999999</v>
      </c>
      <c r="U3108">
        <v>2.8976439999999999E-2</v>
      </c>
      <c r="V3108">
        <v>8.9211609999999997E-2</v>
      </c>
      <c r="W3108">
        <v>-3.6341779999999997E-2</v>
      </c>
      <c r="X3108">
        <v>0.9953495</v>
      </c>
      <c r="Y3108">
        <v>2.224773E-2</v>
      </c>
      <c r="Z3108">
        <v>-2.1803740000000001E-3</v>
      </c>
      <c r="AA3108">
        <v>0.99975009999999997</v>
      </c>
      <c r="AB3108">
        <v>30</v>
      </c>
      <c r="AC3108">
        <v>21.6205</v>
      </c>
      <c r="AD3108">
        <v>-1.109149639595</v>
      </c>
      <c r="AE3108">
        <v>0.20240000000001099</v>
      </c>
      <c r="AF3108">
        <v>0.48748243696639199</v>
      </c>
      <c r="AG3108">
        <v>-1.109149639595</v>
      </c>
      <c r="AH3108">
        <v>21.559188276774201</v>
      </c>
      <c r="AI3108">
        <v>92.944332493975807</v>
      </c>
      <c r="AJ3108">
        <v>88.704685572829803</v>
      </c>
      <c r="AK3108">
        <v>21.593203819784598</v>
      </c>
      <c r="AL3108">
        <v>92.082689162804499</v>
      </c>
      <c r="AM3108">
        <v>84.878354646549596</v>
      </c>
      <c r="AN3108">
        <v>1.0000000317413</v>
      </c>
    </row>
    <row r="3109" spans="1:40" x14ac:dyDescent="0.25">
      <c r="A3109" t="str">
        <f>"20190312161330920"</f>
        <v>20190312161330920</v>
      </c>
      <c r="B3109" t="str">
        <f>"1552378410909179"</f>
        <v>1552378410909179</v>
      </c>
      <c r="C3109" t="s">
        <v>40</v>
      </c>
      <c r="D3109">
        <v>6.1085830000000003</v>
      </c>
      <c r="E3109">
        <v>0.47441800000000001</v>
      </c>
      <c r="F3109" t="s">
        <v>69</v>
      </c>
      <c r="G3109">
        <v>-397.32159999999999</v>
      </c>
      <c r="H3109" s="1">
        <v>2.3593929999999998E-6</v>
      </c>
      <c r="I3109">
        <v>213.20599999999999</v>
      </c>
      <c r="J3109">
        <v>-418.29790000000003</v>
      </c>
      <c r="K3109">
        <v>1.1091580000000001</v>
      </c>
      <c r="L3109">
        <v>213.0102</v>
      </c>
      <c r="M3109">
        <v>0.99946210000000002</v>
      </c>
      <c r="N3109">
        <v>0</v>
      </c>
      <c r="O3109">
        <v>3.173339E-2</v>
      </c>
      <c r="P3109">
        <v>0.99731309999999995</v>
      </c>
      <c r="Q3109">
        <v>-4.4396079999999997E-2</v>
      </c>
      <c r="R3109">
        <v>-5.827674E-2</v>
      </c>
      <c r="S3109">
        <v>3.002777</v>
      </c>
      <c r="T3109">
        <v>-0.154031</v>
      </c>
      <c r="U3109">
        <v>3.0029299999999998E-2</v>
      </c>
      <c r="V3109">
        <v>8.9886980000000005E-2</v>
      </c>
      <c r="W3109">
        <v>-3.6166570000000002E-2</v>
      </c>
      <c r="X3109">
        <v>0.99529509999999999</v>
      </c>
      <c r="Y3109">
        <v>2.166773E-2</v>
      </c>
      <c r="Z3109">
        <v>-2.1818359999999999E-3</v>
      </c>
      <c r="AA3109">
        <v>0.99976279999999995</v>
      </c>
      <c r="AB3109">
        <v>30</v>
      </c>
      <c r="AC3109">
        <v>20.976299999999998</v>
      </c>
      <c r="AD3109">
        <v>-1.109155640607</v>
      </c>
      <c r="AE3109">
        <v>0.19579999999999101</v>
      </c>
      <c r="AF3109">
        <v>0.46866029686312499</v>
      </c>
      <c r="AG3109">
        <v>-1.109155640607</v>
      </c>
      <c r="AH3109">
        <v>20.913480916881898</v>
      </c>
      <c r="AI3109">
        <v>93.035101996475106</v>
      </c>
      <c r="AJ3109">
        <v>88.716246063329294</v>
      </c>
      <c r="AK3109">
        <v>20.948115733156801</v>
      </c>
      <c r="AL3109">
        <v>92.072643804567605</v>
      </c>
      <c r="AM3109">
        <v>84.839509630111806</v>
      </c>
      <c r="AN3109">
        <v>1.0000000130215401</v>
      </c>
    </row>
    <row r="3110" spans="1:40" x14ac:dyDescent="0.25">
      <c r="A3110" t="str">
        <f>"20190312161330942"</f>
        <v>20190312161330942</v>
      </c>
      <c r="B3110" t="str">
        <f>"1552378410939433"</f>
        <v>1552378410939433</v>
      </c>
      <c r="C3110" t="s">
        <v>40</v>
      </c>
      <c r="D3110">
        <v>6.1681089999999896</v>
      </c>
      <c r="E3110">
        <v>0.47390850000000001</v>
      </c>
      <c r="F3110" t="s">
        <v>69</v>
      </c>
      <c r="G3110">
        <v>-396.68419999999998</v>
      </c>
      <c r="H3110" s="1">
        <v>2.0201899999999999E-6</v>
      </c>
      <c r="I3110">
        <v>213.22810000000001</v>
      </c>
      <c r="J3110">
        <v>-418.00119999999998</v>
      </c>
      <c r="K3110">
        <v>1.109156</v>
      </c>
      <c r="L3110">
        <v>213.01949999999999</v>
      </c>
      <c r="M3110">
        <v>0.99946520000000005</v>
      </c>
      <c r="N3110">
        <v>0</v>
      </c>
      <c r="O3110">
        <v>3.1628280000000002E-2</v>
      </c>
      <c r="P3110">
        <v>0.99732299999999996</v>
      </c>
      <c r="Q3110">
        <v>-4.4120779999999998E-2</v>
      </c>
      <c r="R3110">
        <v>-5.8311630000000003E-2</v>
      </c>
      <c r="S3110">
        <v>3.0029910000000002</v>
      </c>
      <c r="T3110">
        <v>-0.1541053</v>
      </c>
      <c r="U3110">
        <v>3.0273439999999999E-2</v>
      </c>
      <c r="V3110">
        <v>8.9817809999999998E-2</v>
      </c>
      <c r="W3110">
        <v>-3.5870909999999999E-2</v>
      </c>
      <c r="X3110">
        <v>0.99531199999999997</v>
      </c>
      <c r="Y3110">
        <v>2.1482359999999999E-2</v>
      </c>
      <c r="Z3110">
        <v>-2.1725889999999999E-3</v>
      </c>
      <c r="AA3110">
        <v>0.99976690000000001</v>
      </c>
      <c r="AB3110">
        <v>30</v>
      </c>
      <c r="AC3110">
        <v>21.317</v>
      </c>
      <c r="AD3110">
        <v>-1.1091539798100001</v>
      </c>
      <c r="AE3110">
        <v>0.20860000000001799</v>
      </c>
      <c r="AF3110">
        <v>0.464490284626776</v>
      </c>
      <c r="AG3110">
        <v>-1.1091539798100001</v>
      </c>
      <c r="AH3110">
        <v>21.255393700687801</v>
      </c>
      <c r="AI3110">
        <v>92.986400896096299</v>
      </c>
      <c r="AJ3110">
        <v>88.748124915447903</v>
      </c>
      <c r="AK3110">
        <v>21.2893808070286</v>
      </c>
      <c r="AL3110">
        <v>92.055692825252706</v>
      </c>
      <c r="AM3110">
        <v>84.843546407679398</v>
      </c>
      <c r="AN3110">
        <v>0.999999969260711</v>
      </c>
    </row>
    <row r="3111" spans="1:40" x14ac:dyDescent="0.25">
      <c r="A3111" t="str">
        <f>"20190312161330965"</f>
        <v>20190312161330965</v>
      </c>
      <c r="B3111" t="str">
        <f>"1552378410958953"</f>
        <v>1552378410958953</v>
      </c>
      <c r="C3111" t="s">
        <v>40</v>
      </c>
      <c r="D3111">
        <v>5.8480369999999997</v>
      </c>
      <c r="E3111">
        <v>0.47360580000000002</v>
      </c>
      <c r="F3111" t="s">
        <v>69</v>
      </c>
      <c r="G3111">
        <v>-396.06270000000001</v>
      </c>
      <c r="H3111" s="1">
        <v>1.6894859999999999E-6</v>
      </c>
      <c r="I3111">
        <v>213.2688</v>
      </c>
      <c r="J3111">
        <v>-417.697</v>
      </c>
      <c r="K3111">
        <v>1.1091569999999999</v>
      </c>
      <c r="L3111">
        <v>213.029</v>
      </c>
      <c r="M3111">
        <v>0.99946849999999998</v>
      </c>
      <c r="N3111">
        <v>0</v>
      </c>
      <c r="O3111">
        <v>3.1520359999999997E-2</v>
      </c>
      <c r="P3111">
        <v>0.99734310000000004</v>
      </c>
      <c r="Q3111">
        <v>-4.3836970000000003E-2</v>
      </c>
      <c r="R3111">
        <v>-5.8183930000000002E-2</v>
      </c>
      <c r="S3111">
        <v>3.003387</v>
      </c>
      <c r="T3111">
        <v>-0.15184349999999999</v>
      </c>
      <c r="U3111">
        <v>3.4133910000000003E-2</v>
      </c>
      <c r="V3111">
        <v>8.9583479999999993E-2</v>
      </c>
      <c r="W3111">
        <v>-3.556608E-2</v>
      </c>
      <c r="X3111">
        <v>0.99534409999999895</v>
      </c>
      <c r="Y3111">
        <v>2.009476E-2</v>
      </c>
      <c r="Z3111">
        <v>-2.0999349999999998E-3</v>
      </c>
      <c r="AA3111">
        <v>0.99979589999999996</v>
      </c>
      <c r="AB3111">
        <v>30</v>
      </c>
      <c r="AC3111">
        <v>21.6342999999999</v>
      </c>
      <c r="AD3111">
        <v>-1.109155310514</v>
      </c>
      <c r="AE3111">
        <v>0.23979999999997401</v>
      </c>
      <c r="AF3111">
        <v>0.44110440059795297</v>
      </c>
      <c r="AG3111">
        <v>-1.109155310514</v>
      </c>
      <c r="AH3111">
        <v>21.574408036053899</v>
      </c>
      <c r="AI3111">
        <v>92.942410945467898</v>
      </c>
      <c r="AJ3111">
        <v>88.828709475741505</v>
      </c>
      <c r="AK3111">
        <v>21.607403377111599</v>
      </c>
      <c r="AL3111">
        <v>92.038216113709794</v>
      </c>
      <c r="AM3111">
        <v>84.857092060857894</v>
      </c>
      <c r="AN3111">
        <v>1.00000001167014</v>
      </c>
    </row>
    <row r="3112" spans="1:40" x14ac:dyDescent="0.25">
      <c r="A3112" t="str">
        <f>"20190312161330986"</f>
        <v>20190312161330986</v>
      </c>
      <c r="B3112" t="str">
        <f>"1552378410979448"</f>
        <v>1552378410979448</v>
      </c>
      <c r="C3112" t="s">
        <v>40</v>
      </c>
      <c r="D3112">
        <v>6.112025</v>
      </c>
      <c r="E3112">
        <v>0.47332990000000003</v>
      </c>
      <c r="F3112" t="s">
        <v>69</v>
      </c>
      <c r="G3112">
        <v>-395.47899999999998</v>
      </c>
      <c r="H3112" s="1">
        <v>1.378854E-6</v>
      </c>
      <c r="I3112">
        <v>213.3004</v>
      </c>
      <c r="J3112">
        <v>-417.41239999999999</v>
      </c>
      <c r="K3112">
        <v>1.1091599999999999</v>
      </c>
      <c r="L3112">
        <v>213.03790000000001</v>
      </c>
      <c r="M3112">
        <v>0.99947140000000001</v>
      </c>
      <c r="N3112">
        <v>0</v>
      </c>
      <c r="O3112">
        <v>3.1419900000000001E-2</v>
      </c>
      <c r="P3112">
        <v>0.99734040000000002</v>
      </c>
      <c r="Q3112">
        <v>-4.3934349999999997E-2</v>
      </c>
      <c r="R3112">
        <v>-5.8154339999999999E-2</v>
      </c>
      <c r="S3112">
        <v>3.0035400000000001</v>
      </c>
      <c r="T3112">
        <v>-0.1499412</v>
      </c>
      <c r="U3112">
        <v>3.668213E-2</v>
      </c>
      <c r="V3112">
        <v>8.9453759999999993E-2</v>
      </c>
      <c r="W3112">
        <v>-3.5644130000000003E-2</v>
      </c>
      <c r="X3112">
        <v>0.99535300000000004</v>
      </c>
      <c r="Y3112">
        <v>1.9149679999999999E-2</v>
      </c>
      <c r="Z3112">
        <v>-2.0449550000000002E-3</v>
      </c>
      <c r="AA3112">
        <v>0.99981450000000005</v>
      </c>
      <c r="AB3112">
        <v>30</v>
      </c>
      <c r="AC3112">
        <v>21.933399999999899</v>
      </c>
      <c r="AD3112">
        <v>-1.1091586211460001</v>
      </c>
      <c r="AE3112">
        <v>0.26249999999998802</v>
      </c>
      <c r="AF3112">
        <v>0.42571037110890803</v>
      </c>
      <c r="AG3112">
        <v>-1.1091586211460001</v>
      </c>
      <c r="AH3112">
        <v>21.8748863188431</v>
      </c>
      <c r="AI3112">
        <v>92.902128449470496</v>
      </c>
      <c r="AJ3112">
        <v>88.885099168045002</v>
      </c>
      <c r="AK3112">
        <v>21.9071247230038</v>
      </c>
      <c r="AL3112">
        <v>92.042690834987496</v>
      </c>
      <c r="AM3112">
        <v>84.864544994277097</v>
      </c>
      <c r="AN3112">
        <v>1.0000000368952899</v>
      </c>
    </row>
    <row r="3113" spans="1:40" x14ac:dyDescent="0.25">
      <c r="A3113" t="str">
        <f>"20190312161331009"</f>
        <v>20190312161331009</v>
      </c>
      <c r="B3113" t="str">
        <f>"1552378410998969"</f>
        <v>1552378410998969</v>
      </c>
      <c r="C3113" t="s">
        <v>40</v>
      </c>
      <c r="D3113">
        <v>6.1085190000000003</v>
      </c>
      <c r="E3113">
        <v>0.4732479</v>
      </c>
      <c r="F3113" t="s">
        <v>69</v>
      </c>
      <c r="G3113">
        <v>-395.1062</v>
      </c>
      <c r="H3113" s="1">
        <v>1.180469E-6</v>
      </c>
      <c r="I3113">
        <v>213.32749999999999</v>
      </c>
      <c r="J3113">
        <v>-417.09129999999999</v>
      </c>
      <c r="K3113">
        <v>1.1091599999999999</v>
      </c>
      <c r="L3113">
        <v>213.0479</v>
      </c>
      <c r="M3113">
        <v>0.9994748</v>
      </c>
      <c r="N3113">
        <v>0</v>
      </c>
      <c r="O3113">
        <v>3.1306489999999999E-2</v>
      </c>
      <c r="P3113">
        <v>0.99733810000000001</v>
      </c>
      <c r="Q3113">
        <v>-4.3669970000000002E-2</v>
      </c>
      <c r="R3113">
        <v>-5.8396530000000002E-2</v>
      </c>
      <c r="S3113">
        <v>3.0037229999999999</v>
      </c>
      <c r="T3113">
        <v>-0.14935799999999999</v>
      </c>
      <c r="U3113">
        <v>3.9001460000000002E-2</v>
      </c>
      <c r="V3113">
        <v>8.9582609999999993E-2</v>
      </c>
      <c r="W3113">
        <v>-3.5358090000000002E-2</v>
      </c>
      <c r="X3113">
        <v>0.9953516</v>
      </c>
      <c r="Y3113">
        <v>1.826682E-2</v>
      </c>
      <c r="Z3113">
        <v>-2.0093049999999999E-3</v>
      </c>
      <c r="AA3113">
        <v>0.99983109999999997</v>
      </c>
      <c r="AB3113">
        <v>31</v>
      </c>
      <c r="AC3113">
        <v>21.9850999999999</v>
      </c>
      <c r="AD3113">
        <v>-1.109158819531</v>
      </c>
      <c r="AE3113">
        <v>0.27959999999998703</v>
      </c>
      <c r="AF3113">
        <v>0.40779968983762799</v>
      </c>
      <c r="AG3113">
        <v>-1.109158819531</v>
      </c>
      <c r="AH3113">
        <v>21.9272750582203</v>
      </c>
      <c r="AI3113">
        <v>92.895254465994</v>
      </c>
      <c r="AJ3113">
        <v>88.934545776181395</v>
      </c>
      <c r="AK3113">
        <v>21.959096642458299</v>
      </c>
      <c r="AL3113">
        <v>92.026291641300901</v>
      </c>
      <c r="AM3113">
        <v>84.857180282708796</v>
      </c>
      <c r="AN3113">
        <v>1.0000000230827</v>
      </c>
    </row>
    <row r="3114" spans="1:40" x14ac:dyDescent="0.25">
      <c r="A3114" t="str">
        <f>"20190312161331032"</f>
        <v>20190312161331032</v>
      </c>
      <c r="B3114" t="str">
        <f>"1552378411029225"</f>
        <v>1552378411029225</v>
      </c>
      <c r="C3114" t="s">
        <v>40</v>
      </c>
      <c r="D3114">
        <v>6.3619669999999999</v>
      </c>
      <c r="E3114">
        <v>0.47361120000000001</v>
      </c>
      <c r="F3114" t="s">
        <v>69</v>
      </c>
      <c r="G3114">
        <v>-394.91390000000001</v>
      </c>
      <c r="H3114" s="1">
        <v>1.0781549999999999E-6</v>
      </c>
      <c r="I3114">
        <v>213.33619999999999</v>
      </c>
      <c r="J3114">
        <v>-416.77969999999999</v>
      </c>
      <c r="K3114">
        <v>1.1091610000000001</v>
      </c>
      <c r="L3114">
        <v>213.0575</v>
      </c>
      <c r="M3114">
        <v>0.99947810000000004</v>
      </c>
      <c r="N3114">
        <v>0</v>
      </c>
      <c r="O3114">
        <v>3.1196189999999999E-2</v>
      </c>
      <c r="P3114">
        <v>0.99735949999999995</v>
      </c>
      <c r="Q3114">
        <v>-4.3573550000000003E-2</v>
      </c>
      <c r="R3114">
        <v>-5.8102059999999997E-2</v>
      </c>
      <c r="S3114">
        <v>3.0036619999999998</v>
      </c>
      <c r="T3114">
        <v>-0.1502221</v>
      </c>
      <c r="U3114">
        <v>3.9047239999999997E-2</v>
      </c>
      <c r="V3114">
        <v>8.9179430000000004E-2</v>
      </c>
      <c r="W3114">
        <v>-3.5240399999999998E-2</v>
      </c>
      <c r="X3114">
        <v>0.99539200000000005</v>
      </c>
      <c r="Y3114">
        <v>1.814056E-2</v>
      </c>
      <c r="Z3114">
        <v>-2.012289E-3</v>
      </c>
      <c r="AA3114">
        <v>0.99983339999999998</v>
      </c>
      <c r="AB3114">
        <v>31</v>
      </c>
      <c r="AC3114">
        <v>21.865799999999901</v>
      </c>
      <c r="AD3114">
        <v>-1.1091599218449999</v>
      </c>
      <c r="AE3114">
        <v>0.27869999999998601</v>
      </c>
      <c r="AF3114">
        <v>0.40255365159296302</v>
      </c>
      <c r="AG3114">
        <v>-1.1091599218449999</v>
      </c>
      <c r="AH3114">
        <v>21.8077469031915</v>
      </c>
      <c r="AI3114">
        <v>92.911106469791207</v>
      </c>
      <c r="AJ3114">
        <v>88.9424856128188</v>
      </c>
      <c r="AK3114">
        <v>21.8396453764318</v>
      </c>
      <c r="AL3114">
        <v>92.019544251657294</v>
      </c>
      <c r="AM3114">
        <v>84.880409719835797</v>
      </c>
      <c r="AN3114">
        <v>1.0000000450956401</v>
      </c>
    </row>
    <row r="3115" spans="1:40" x14ac:dyDescent="0.25">
      <c r="A3115" t="str">
        <f>"20190312161331053"</f>
        <v>20190312161331053</v>
      </c>
      <c r="B3115" t="str">
        <f>"1552378411048746"</f>
        <v>1552378411048746</v>
      </c>
      <c r="C3115" t="s">
        <v>40</v>
      </c>
      <c r="D3115">
        <v>6.6087860000000003</v>
      </c>
      <c r="E3115">
        <v>0.47393469999999999</v>
      </c>
      <c r="F3115" t="s">
        <v>69</v>
      </c>
      <c r="G3115">
        <v>-394.02480000000003</v>
      </c>
      <c r="H3115" s="1">
        <v>6.0500280000000002E-7</v>
      </c>
      <c r="I3115">
        <v>213.33609999999999</v>
      </c>
      <c r="J3115">
        <v>-416.4837</v>
      </c>
      <c r="K3115">
        <v>1.1091610000000001</v>
      </c>
      <c r="L3115">
        <v>213.06659999999999</v>
      </c>
      <c r="M3115">
        <v>0.99948110000000001</v>
      </c>
      <c r="N3115">
        <v>0</v>
      </c>
      <c r="O3115">
        <v>3.1091549999999999E-2</v>
      </c>
      <c r="P3115">
        <v>0.99731979999999998</v>
      </c>
      <c r="Q3115">
        <v>-4.3788460000000001E-2</v>
      </c>
      <c r="R3115">
        <v>-5.8617280000000001E-2</v>
      </c>
      <c r="S3115">
        <v>3.0036930000000002</v>
      </c>
      <c r="T3115">
        <v>-0.1464115</v>
      </c>
      <c r="U3115">
        <v>3.6773680000000003E-2</v>
      </c>
      <c r="V3115">
        <v>8.9588799999999996E-2</v>
      </c>
      <c r="W3115">
        <v>-3.543586E-2</v>
      </c>
      <c r="X3115">
        <v>0.99534829999999996</v>
      </c>
      <c r="Y3115">
        <v>1.8795119999999998E-2</v>
      </c>
      <c r="Z3115">
        <v>-1.9721489999999999E-3</v>
      </c>
      <c r="AA3115">
        <v>0.99982139999999997</v>
      </c>
      <c r="AB3115">
        <v>31</v>
      </c>
      <c r="AC3115">
        <v>22.4588999999999</v>
      </c>
      <c r="AD3115">
        <v>-1.1091603949972</v>
      </c>
      <c r="AE3115">
        <v>0.26949999999999302</v>
      </c>
      <c r="AF3115">
        <v>0.42789356838161102</v>
      </c>
      <c r="AG3115">
        <v>-1.1091603949972</v>
      </c>
      <c r="AH3115">
        <v>22.401790646283398</v>
      </c>
      <c r="AI3115">
        <v>92.834005334362402</v>
      </c>
      <c r="AJ3115">
        <v>88.905734142812193</v>
      </c>
      <c r="AK3115">
        <v>22.433313483469298</v>
      </c>
      <c r="AL3115">
        <v>92.030750281969503</v>
      </c>
      <c r="AM3115">
        <v>84.856809868427106</v>
      </c>
      <c r="AN3115">
        <v>1.00000004578613</v>
      </c>
    </row>
    <row r="3116" spans="1:40" x14ac:dyDescent="0.25">
      <c r="A3116" t="str">
        <f>"20190312161331099"</f>
        <v>20190312161331099</v>
      </c>
      <c r="B3116" t="str">
        <f>"1552378411088762"</f>
        <v>1552378411088762</v>
      </c>
      <c r="C3116" t="s">
        <v>40</v>
      </c>
      <c r="D3116">
        <v>6.1429369999999999</v>
      </c>
      <c r="E3116">
        <v>0.47442630000000002</v>
      </c>
      <c r="F3116" t="s">
        <v>69</v>
      </c>
      <c r="G3116">
        <v>-393.36759999999998</v>
      </c>
      <c r="H3116" s="1">
        <v>2.5529530000000001E-7</v>
      </c>
      <c r="I3116">
        <v>213.31710000000001</v>
      </c>
      <c r="J3116">
        <v>-415.84609999999998</v>
      </c>
      <c r="K3116">
        <v>1.1091599999999999</v>
      </c>
      <c r="L3116">
        <v>213.08619999999999</v>
      </c>
      <c r="M3116">
        <v>0.99948780000000004</v>
      </c>
      <c r="N3116">
        <v>0</v>
      </c>
      <c r="O3116">
        <v>3.0866169999999998E-2</v>
      </c>
      <c r="P3116">
        <v>0.99727569999999999</v>
      </c>
      <c r="Q3116">
        <v>-4.3721410000000002E-2</v>
      </c>
      <c r="R3116">
        <v>-5.9411220000000001E-2</v>
      </c>
      <c r="S3116">
        <v>3.0036619999999998</v>
      </c>
      <c r="T3116">
        <v>-0.14412259999999999</v>
      </c>
      <c r="U3116">
        <v>3.2547E-2</v>
      </c>
      <c r="V3116">
        <v>9.0156620000000007E-2</v>
      </c>
      <c r="W3116">
        <v>-3.5327020000000001E-2</v>
      </c>
      <c r="X3116">
        <v>0.99530079999999999</v>
      </c>
      <c r="Y3116">
        <v>1.997701E-2</v>
      </c>
      <c r="Z3116">
        <v>-1.9589310000000001E-3</v>
      </c>
      <c r="AA3116">
        <v>0.99979850000000003</v>
      </c>
      <c r="AB3116">
        <v>31</v>
      </c>
      <c r="AC3116">
        <v>22.4785</v>
      </c>
      <c r="AD3116">
        <v>-1.1091597447046999</v>
      </c>
      <c r="AE3116">
        <v>0.23090000000001901</v>
      </c>
      <c r="AF3116">
        <v>0.46193542837125201</v>
      </c>
      <c r="AG3116">
        <v>-1.1091597447046999</v>
      </c>
      <c r="AH3116">
        <v>22.4203340284236</v>
      </c>
      <c r="AI3116">
        <v>92.831579254516896</v>
      </c>
      <c r="AJ3116">
        <v>88.819678319965305</v>
      </c>
      <c r="AK3116">
        <v>22.4525053752437</v>
      </c>
      <c r="AL3116">
        <v>92.024510499726304</v>
      </c>
      <c r="AM3116">
        <v>84.824142799309797</v>
      </c>
      <c r="AN3116">
        <v>0.99999994847627105</v>
      </c>
    </row>
    <row r="3117" spans="1:40" x14ac:dyDescent="0.25">
      <c r="A3117" t="str">
        <f>"20190312161331145"</f>
        <v>20190312161331145</v>
      </c>
      <c r="B3117" t="str">
        <f>"1552378411138538"</f>
        <v>1552378411138538</v>
      </c>
      <c r="C3117" t="s">
        <v>40</v>
      </c>
      <c r="D3117">
        <v>6.2227959999999998</v>
      </c>
      <c r="E3117">
        <v>0.47506680000000001</v>
      </c>
      <c r="F3117" t="s">
        <v>69</v>
      </c>
      <c r="G3117">
        <v>-392.10910000000001</v>
      </c>
      <c r="H3117" s="1">
        <v>-4.1444749999999999E-7</v>
      </c>
      <c r="I3117">
        <v>213.29300000000001</v>
      </c>
      <c r="J3117">
        <v>-415.21379999999999</v>
      </c>
      <c r="K3117">
        <v>1.1091610000000001</v>
      </c>
      <c r="L3117">
        <v>213.10550000000001</v>
      </c>
      <c r="M3117">
        <v>0.99949429999999995</v>
      </c>
      <c r="N3117">
        <v>0</v>
      </c>
      <c r="O3117">
        <v>3.0643409999999999E-2</v>
      </c>
      <c r="P3117">
        <v>0.99733919999999998</v>
      </c>
      <c r="Q3117">
        <v>-4.207893E-2</v>
      </c>
      <c r="R3117">
        <v>-5.9533089999999997E-2</v>
      </c>
      <c r="S3117">
        <v>3.0036010000000002</v>
      </c>
      <c r="T3117">
        <v>-0.1403491</v>
      </c>
      <c r="U3117">
        <v>2.6168819999999999E-2</v>
      </c>
      <c r="V3117">
        <v>9.0058920000000001E-2</v>
      </c>
      <c r="W3117">
        <v>-3.364251E-2</v>
      </c>
      <c r="X3117">
        <v>0.99536809999999998</v>
      </c>
      <c r="Y3117">
        <v>2.1878000000000002E-2</v>
      </c>
      <c r="Z3117">
        <v>-1.9417589999999999E-3</v>
      </c>
      <c r="AA3117">
        <v>0.99975879999999995</v>
      </c>
      <c r="AB3117">
        <v>31</v>
      </c>
      <c r="AC3117">
        <v>23.104699999999902</v>
      </c>
      <c r="AD3117">
        <v>-1.1091614144474999</v>
      </c>
      <c r="AE3117">
        <v>0.1875</v>
      </c>
      <c r="AF3117">
        <v>0.51942342329633795</v>
      </c>
      <c r="AG3117">
        <v>-1.1091614144474999</v>
      </c>
      <c r="AH3117">
        <v>23.046486032342202</v>
      </c>
      <c r="AI3117">
        <v>92.754657395825404</v>
      </c>
      <c r="AJ3117">
        <v>88.708882027075902</v>
      </c>
      <c r="AK3117">
        <v>23.079006871503701</v>
      </c>
      <c r="AL3117">
        <v>91.927937552037605</v>
      </c>
      <c r="AM3117">
        <v>84.8300689879662</v>
      </c>
      <c r="AN3117">
        <v>1.0000000410241301</v>
      </c>
    </row>
    <row r="3118" spans="1:40" x14ac:dyDescent="0.25">
      <c r="A3118" t="str">
        <f>"20190312161331163"</f>
        <v>20190312161331163</v>
      </c>
      <c r="B3118" t="str">
        <f>"1552378411159033"</f>
        <v>1552378411159033</v>
      </c>
      <c r="C3118" t="s">
        <v>40</v>
      </c>
      <c r="D3118">
        <v>6.1634589999999996</v>
      </c>
      <c r="E3118">
        <v>0.4752324</v>
      </c>
      <c r="F3118" t="s">
        <v>69</v>
      </c>
      <c r="G3118">
        <v>-390.28539999999998</v>
      </c>
      <c r="H3118" s="1">
        <v>-1.3849259999999999E-6</v>
      </c>
      <c r="I3118">
        <v>213.27610000000001</v>
      </c>
      <c r="J3118">
        <v>-414.95249999999999</v>
      </c>
      <c r="K3118">
        <v>1.109162</v>
      </c>
      <c r="L3118">
        <v>213.11340000000001</v>
      </c>
      <c r="M3118">
        <v>0.99949710000000003</v>
      </c>
      <c r="N3118">
        <v>0</v>
      </c>
      <c r="O3118">
        <v>3.055124E-2</v>
      </c>
      <c r="P3118">
        <v>0.99737160000000002</v>
      </c>
      <c r="Q3118">
        <v>-4.2176129999999999E-2</v>
      </c>
      <c r="R3118">
        <v>-5.8916530000000002E-2</v>
      </c>
      <c r="S3118">
        <v>3.003571</v>
      </c>
      <c r="T3118">
        <v>-0.1336405</v>
      </c>
      <c r="U3118">
        <v>2.055359E-2</v>
      </c>
      <c r="V3118">
        <v>8.9351970000000003E-2</v>
      </c>
      <c r="W3118">
        <v>-3.3721979999999999E-2</v>
      </c>
      <c r="X3118">
        <v>0.99542909999999996</v>
      </c>
      <c r="Y3118">
        <v>2.3658309999999998E-2</v>
      </c>
      <c r="Z3118">
        <v>-1.884569E-3</v>
      </c>
      <c r="AA3118">
        <v>0.99971829999999995</v>
      </c>
      <c r="AB3118">
        <v>31</v>
      </c>
      <c r="AC3118">
        <v>24.667100000000001</v>
      </c>
      <c r="AD3118">
        <v>-1.1091633849259901</v>
      </c>
      <c r="AE3118">
        <v>0.16270000000000001</v>
      </c>
      <c r="AF3118">
        <v>0.58982114651655904</v>
      </c>
      <c r="AG3118">
        <v>-1.1091633849259901</v>
      </c>
      <c r="AH3118">
        <v>24.610797624253099</v>
      </c>
      <c r="AI3118">
        <v>92.579729504661699</v>
      </c>
      <c r="AJ3118">
        <v>88.6271150164538</v>
      </c>
      <c r="AK3118">
        <v>24.642838556085199</v>
      </c>
      <c r="AL3118">
        <v>91.932493473518207</v>
      </c>
      <c r="AM3118">
        <v>84.870747533330899</v>
      </c>
      <c r="AN3118">
        <v>1.0000000198023999</v>
      </c>
    </row>
    <row r="3119" spans="1:40" x14ac:dyDescent="0.25">
      <c r="A3119" t="str">
        <f>"20190312161331187"</f>
        <v>20190312161331187</v>
      </c>
      <c r="B3119" t="str">
        <f>"1552378411178554"</f>
        <v>1552378411178554</v>
      </c>
      <c r="C3119" t="s">
        <v>40</v>
      </c>
      <c r="D3119">
        <v>6.2007580000000004</v>
      </c>
      <c r="E3119">
        <v>0.47559249999999997</v>
      </c>
      <c r="F3119" t="s">
        <v>69</v>
      </c>
      <c r="G3119">
        <v>-390.01260000000002</v>
      </c>
      <c r="H3119" s="1">
        <v>-1.5300829999999999E-6</v>
      </c>
      <c r="I3119">
        <v>213.28720000000001</v>
      </c>
      <c r="J3119">
        <v>-414.62389999999999</v>
      </c>
      <c r="K3119">
        <v>1.109162</v>
      </c>
      <c r="L3119">
        <v>213.1233</v>
      </c>
      <c r="M3119">
        <v>0.99950019999999995</v>
      </c>
      <c r="N3119">
        <v>0</v>
      </c>
      <c r="O3119">
        <v>3.0435569999999999E-2</v>
      </c>
      <c r="P3119">
        <v>0.99741040000000003</v>
      </c>
      <c r="Q3119">
        <v>-4.1996060000000002E-2</v>
      </c>
      <c r="R3119">
        <v>-5.8384329999999998E-2</v>
      </c>
      <c r="S3119">
        <v>3.003479</v>
      </c>
      <c r="T3119">
        <v>-0.1335751</v>
      </c>
      <c r="U3119">
        <v>2.0935059999999998E-2</v>
      </c>
      <c r="V3119">
        <v>8.8706279999999998E-2</v>
      </c>
      <c r="W3119">
        <v>-3.351999E-2</v>
      </c>
      <c r="X3119">
        <v>0.99549370000000004</v>
      </c>
      <c r="Y3119">
        <v>2.3415849999999998E-2</v>
      </c>
      <c r="Z3119">
        <v>-1.8731749999999999E-3</v>
      </c>
      <c r="AA3119">
        <v>0.99972399999999995</v>
      </c>
      <c r="AB3119">
        <v>31</v>
      </c>
      <c r="AC3119">
        <v>24.6112999999999</v>
      </c>
      <c r="AD3119">
        <v>-1.1091635300830001</v>
      </c>
      <c r="AE3119">
        <v>0.16390000000001201</v>
      </c>
      <c r="AF3119">
        <v>0.58407599244628605</v>
      </c>
      <c r="AG3119">
        <v>-1.1091635300830001</v>
      </c>
      <c r="AH3119">
        <v>24.555015662128699</v>
      </c>
      <c r="AI3119">
        <v>92.585593366643195</v>
      </c>
      <c r="AJ3119">
        <v>88.637395290798395</v>
      </c>
      <c r="AK3119">
        <v>24.586992143586802</v>
      </c>
      <c r="AL3119">
        <v>91.920913694098601</v>
      </c>
      <c r="AM3119">
        <v>84.907946511453204</v>
      </c>
      <c r="AN3119">
        <v>1.0000000502903601</v>
      </c>
    </row>
    <row r="3120" spans="1:40" x14ac:dyDescent="0.25">
      <c r="A3120" t="str">
        <f>"20190312161331210"</f>
        <v>20190312161331210</v>
      </c>
      <c r="B3120" t="str">
        <f>"1552378411199053"</f>
        <v>1552378411199053</v>
      </c>
      <c r="C3120" t="s">
        <v>40</v>
      </c>
      <c r="D3120">
        <v>6.1510540000000002</v>
      </c>
      <c r="E3120">
        <v>0.4757731</v>
      </c>
      <c r="F3120" t="s">
        <v>69</v>
      </c>
      <c r="G3120">
        <v>-389.71499999999997</v>
      </c>
      <c r="H3120" s="1">
        <v>3.6911289999999999E-6</v>
      </c>
      <c r="I3120">
        <v>213.28729999999999</v>
      </c>
      <c r="J3120">
        <v>-414.30799999999999</v>
      </c>
      <c r="K3120">
        <v>1.109167</v>
      </c>
      <c r="L3120">
        <v>213.1328</v>
      </c>
      <c r="M3120">
        <v>0.99950349999999999</v>
      </c>
      <c r="N3120">
        <v>0</v>
      </c>
      <c r="O3120">
        <v>3.0324429999999999E-2</v>
      </c>
      <c r="P3120">
        <v>0.99743760000000004</v>
      </c>
      <c r="Q3120">
        <v>-4.1521009999999997E-2</v>
      </c>
      <c r="R3120">
        <v>-5.8259739999999997E-2</v>
      </c>
      <c r="S3120">
        <v>3.0033569999999998</v>
      </c>
      <c r="T3120">
        <v>-0.133735299999999</v>
      </c>
      <c r="U3120">
        <v>1.977539E-2</v>
      </c>
      <c r="V3120">
        <v>8.8471869999999994E-2</v>
      </c>
      <c r="W3120">
        <v>-3.3023909999999997E-2</v>
      </c>
      <c r="X3120">
        <v>0.9955311</v>
      </c>
      <c r="Y3120">
        <v>2.369011E-2</v>
      </c>
      <c r="Z3120">
        <v>-1.8766589999999999E-3</v>
      </c>
      <c r="AA3120">
        <v>0.99971759999999998</v>
      </c>
      <c r="AB3120">
        <v>31</v>
      </c>
      <c r="AC3120">
        <v>24.593</v>
      </c>
      <c r="AD3120">
        <v>-1.109163308871</v>
      </c>
      <c r="AE3120">
        <v>0.15449999999998401</v>
      </c>
      <c r="AF3120">
        <v>0.59016665682413105</v>
      </c>
      <c r="AG3120">
        <v>-1.109163308871</v>
      </c>
      <c r="AH3120">
        <v>24.536467201101502</v>
      </c>
      <c r="AI3120">
        <v>92.587528342867202</v>
      </c>
      <c r="AJ3120">
        <v>88.622151272869601</v>
      </c>
      <c r="AK3120">
        <v>24.568613364194999</v>
      </c>
      <c r="AL3120">
        <v>91.892474734124306</v>
      </c>
      <c r="AM3120">
        <v>84.9215218059732</v>
      </c>
      <c r="AN3120">
        <v>1.0000000107400899</v>
      </c>
    </row>
    <row r="3121" spans="1:40" x14ac:dyDescent="0.25">
      <c r="A3121" t="str">
        <f>"20190312161331232"</f>
        <v>20190312161331232</v>
      </c>
      <c r="B3121" t="str">
        <f>"1552378411229305"</f>
        <v>1552378411229305</v>
      </c>
      <c r="C3121" t="s">
        <v>40</v>
      </c>
      <c r="D3121">
        <v>6.2920619999999996</v>
      </c>
      <c r="E3121">
        <v>0.47610629999999998</v>
      </c>
      <c r="F3121" t="s">
        <v>69</v>
      </c>
      <c r="G3121">
        <v>-389.17989999999998</v>
      </c>
      <c r="H3121" s="1">
        <v>3.4063310000000001E-6</v>
      </c>
      <c r="I3121">
        <v>213.28880000000001</v>
      </c>
      <c r="J3121">
        <v>-413.99759999999998</v>
      </c>
      <c r="K3121">
        <v>1.1091660000000001</v>
      </c>
      <c r="L3121">
        <v>213.1422</v>
      </c>
      <c r="M3121">
        <v>0.99950669999999997</v>
      </c>
      <c r="N3121">
        <v>0</v>
      </c>
      <c r="O3121">
        <v>3.0214950000000001E-2</v>
      </c>
      <c r="P3121">
        <v>0.99744149999999998</v>
      </c>
      <c r="Q3121">
        <v>-4.168674E-2</v>
      </c>
      <c r="R3121">
        <v>-5.8078070000000002E-2</v>
      </c>
      <c r="S3121">
        <v>3.0032649999999999</v>
      </c>
      <c r="T3121">
        <v>-0.132565299999999</v>
      </c>
      <c r="U3121">
        <v>1.8646240000000001E-2</v>
      </c>
      <c r="V3121">
        <v>8.8181239999999994E-2</v>
      </c>
      <c r="W3121">
        <v>-3.3165779999999999E-2</v>
      </c>
      <c r="X3121">
        <v>0.9955522</v>
      </c>
      <c r="Y3121">
        <v>2.3957039999999999E-2</v>
      </c>
      <c r="Z3121">
        <v>-1.861377E-3</v>
      </c>
      <c r="AA3121">
        <v>0.99971129999999997</v>
      </c>
      <c r="AB3121">
        <v>31</v>
      </c>
      <c r="AC3121">
        <v>24.817699999999999</v>
      </c>
      <c r="AD3121">
        <v>-1.1091625936689999</v>
      </c>
      <c r="AE3121">
        <v>0.146600000000006</v>
      </c>
      <c r="AF3121">
        <v>0.60215731668224104</v>
      </c>
      <c r="AG3121">
        <v>-1.1091625936689999</v>
      </c>
      <c r="AH3121">
        <v>24.761340839122301</v>
      </c>
      <c r="AI3121">
        <v>92.564042737796896</v>
      </c>
      <c r="AJ3121">
        <v>88.606930281941899</v>
      </c>
      <c r="AK3121">
        <v>24.7934837254553</v>
      </c>
      <c r="AL3121">
        <v>91.900607682957002</v>
      </c>
      <c r="AM3121">
        <v>84.938224513488905</v>
      </c>
      <c r="AN3121">
        <v>1.00000004148789</v>
      </c>
    </row>
    <row r="3122" spans="1:40" x14ac:dyDescent="0.25">
      <c r="A3122" t="str">
        <f>"20190312161331253"</f>
        <v>20190312161331253</v>
      </c>
      <c r="B3122" t="str">
        <f>"1552378411248826"</f>
        <v>1552378411248826</v>
      </c>
      <c r="C3122" t="s">
        <v>40</v>
      </c>
      <c r="D3122">
        <v>6.1615820000000001</v>
      </c>
      <c r="E3122">
        <v>0.47627550000000002</v>
      </c>
      <c r="F3122" t="s">
        <v>69</v>
      </c>
      <c r="G3122">
        <v>-388.90359999999998</v>
      </c>
      <c r="H3122" s="1">
        <v>3.2595709999999999E-6</v>
      </c>
      <c r="I3122">
        <v>213.28229999999999</v>
      </c>
      <c r="J3122">
        <v>-413.69580000000002</v>
      </c>
      <c r="K3122">
        <v>1.1091690000000001</v>
      </c>
      <c r="L3122">
        <v>213.15119999999999</v>
      </c>
      <c r="M3122">
        <v>0.99950969999999995</v>
      </c>
      <c r="N3122">
        <v>0</v>
      </c>
      <c r="O3122">
        <v>3.0108550000000001E-2</v>
      </c>
      <c r="P3122">
        <v>0.99745280000000003</v>
      </c>
      <c r="Q3122">
        <v>-4.1364699999999997E-2</v>
      </c>
      <c r="R3122">
        <v>-5.811351E-2</v>
      </c>
      <c r="S3122">
        <v>3.0031129999999999</v>
      </c>
      <c r="T3122">
        <v>-0.13273869999999999</v>
      </c>
      <c r="U3122">
        <v>1.6769409999999998E-2</v>
      </c>
      <c r="V3122">
        <v>8.8111209999999995E-2</v>
      </c>
      <c r="W3122">
        <v>-3.2817730000000003E-2</v>
      </c>
      <c r="X3122">
        <v>0.99556990000000001</v>
      </c>
      <c r="Y3122">
        <v>2.447452E-2</v>
      </c>
      <c r="Z3122">
        <v>-1.870643E-3</v>
      </c>
      <c r="AA3122">
        <v>0.99969870000000005</v>
      </c>
      <c r="AB3122">
        <v>31</v>
      </c>
      <c r="AC3122">
        <v>24.792200000000001</v>
      </c>
      <c r="AD3122">
        <v>-1.1091657404290001</v>
      </c>
      <c r="AE3122">
        <v>0.13110000000000299</v>
      </c>
      <c r="AF3122">
        <v>0.61421485572359202</v>
      </c>
      <c r="AG3122">
        <v>-1.1091657404290001</v>
      </c>
      <c r="AH3122">
        <v>24.735399292531099</v>
      </c>
      <c r="AI3122">
        <v>92.566703192707394</v>
      </c>
      <c r="AJ3122">
        <v>88.577557285178301</v>
      </c>
      <c r="AK3122">
        <v>24.767872066241001</v>
      </c>
      <c r="AL3122">
        <v>91.880655090272199</v>
      </c>
      <c r="AM3122">
        <v>84.942312968210203</v>
      </c>
      <c r="AN3122">
        <v>1.00000000725801</v>
      </c>
    </row>
    <row r="3123" spans="1:40" x14ac:dyDescent="0.25">
      <c r="A3123" t="str">
        <f>"20190312161331277"</f>
        <v>20190312161331277</v>
      </c>
      <c r="B3123" t="str">
        <f>"1552378411269322"</f>
        <v>1552378411269322</v>
      </c>
      <c r="C3123" t="s">
        <v>40</v>
      </c>
      <c r="D3123">
        <v>6.1293059999999997</v>
      </c>
      <c r="E3123">
        <v>0.49289889999999997</v>
      </c>
      <c r="F3123" t="s">
        <v>69</v>
      </c>
      <c r="G3123">
        <v>-388.40010000000001</v>
      </c>
      <c r="H3123" s="1">
        <v>2.991818E-6</v>
      </c>
      <c r="I3123">
        <v>213.2784</v>
      </c>
      <c r="J3123">
        <v>-413.36590000000001</v>
      </c>
      <c r="K3123">
        <v>1.1091740000000001</v>
      </c>
      <c r="L3123">
        <v>213.161</v>
      </c>
      <c r="M3123">
        <v>0.99951299999999998</v>
      </c>
      <c r="N3123">
        <v>0</v>
      </c>
      <c r="O3123">
        <v>2.9992359999999999E-2</v>
      </c>
      <c r="P3123">
        <v>0.99749069999999995</v>
      </c>
      <c r="Q3123">
        <v>-4.0567100000000002E-2</v>
      </c>
      <c r="R3123">
        <v>-5.802682E-2</v>
      </c>
      <c r="S3123">
        <v>3.003082</v>
      </c>
      <c r="T3123">
        <v>-0.131679399999999</v>
      </c>
      <c r="U3123">
        <v>1.51062E-2</v>
      </c>
      <c r="V3123">
        <v>8.7910050000000003E-2</v>
      </c>
      <c r="W3123">
        <v>-3.1989719999999999E-2</v>
      </c>
      <c r="X3123">
        <v>0.99561460000000002</v>
      </c>
      <c r="Y3123">
        <v>2.4912440000000001E-2</v>
      </c>
      <c r="Z3123">
        <v>-1.8602600000000001E-3</v>
      </c>
      <c r="AA3123">
        <v>0.99968789999999996</v>
      </c>
      <c r="AB3123">
        <v>31</v>
      </c>
      <c r="AC3123">
        <v>24.965800000000002</v>
      </c>
      <c r="AD3123">
        <v>-1.1091710081820001</v>
      </c>
      <c r="AE3123">
        <v>0.11740000000003099</v>
      </c>
      <c r="AF3123">
        <v>0.63021996055941998</v>
      </c>
      <c r="AG3123">
        <v>-1.1091710081820001</v>
      </c>
      <c r="AH3123">
        <v>24.908924508648202</v>
      </c>
      <c r="AI3123">
        <v>92.548828355191006</v>
      </c>
      <c r="AJ3123">
        <v>88.550670385838103</v>
      </c>
      <c r="AK3123">
        <v>24.941570874778801</v>
      </c>
      <c r="AL3123">
        <v>91.833188742832903</v>
      </c>
      <c r="AM3123">
        <v>84.954025491535006</v>
      </c>
      <c r="AN3123">
        <v>0.99999997540492003</v>
      </c>
    </row>
    <row r="3124" spans="1:40" x14ac:dyDescent="0.25">
      <c r="A3124" t="str">
        <f>"20190312161331300"</f>
        <v>20190312161331300</v>
      </c>
      <c r="B3124" t="str">
        <f>"1552378411288841"</f>
        <v>1552378411288841</v>
      </c>
      <c r="C3124" t="s">
        <v>40</v>
      </c>
      <c r="D3124">
        <v>6.2074170000000004</v>
      </c>
      <c r="E3124">
        <v>0.49209130000000001</v>
      </c>
      <c r="F3124" t="s">
        <v>43</v>
      </c>
      <c r="G3124">
        <v>-412.47570000000002</v>
      </c>
      <c r="H3124">
        <v>1.0496730000000001</v>
      </c>
      <c r="I3124">
        <v>213.1268</v>
      </c>
      <c r="J3124">
        <v>-413.03870000000001</v>
      </c>
      <c r="K3124">
        <v>1.1091819999999999</v>
      </c>
      <c r="L3124">
        <v>213.17070000000001</v>
      </c>
      <c r="M3124">
        <v>0.99951610000000002</v>
      </c>
      <c r="N3124">
        <v>0</v>
      </c>
      <c r="O3124">
        <v>2.9876460000000001E-2</v>
      </c>
      <c r="P3124">
        <v>0.9975079</v>
      </c>
      <c r="Q3124">
        <v>-4.0717900000000001E-2</v>
      </c>
      <c r="R3124">
        <v>-5.7624389999999998E-2</v>
      </c>
      <c r="S3124">
        <v>2.9928279999999998</v>
      </c>
      <c r="T3124">
        <v>-0.2003067</v>
      </c>
      <c r="U3124">
        <v>-0.113525399999999</v>
      </c>
      <c r="V3124">
        <v>8.7392849999999994E-2</v>
      </c>
      <c r="W3124">
        <v>-3.2110109999999997E-2</v>
      </c>
      <c r="X3124">
        <v>0.99565630000000005</v>
      </c>
      <c r="Y3124">
        <v>6.7526760000000005E-2</v>
      </c>
      <c r="Z3124">
        <v>-4.2531959999999999E-3</v>
      </c>
      <c r="AA3124">
        <v>0.99770840000000005</v>
      </c>
      <c r="AB3124">
        <v>31</v>
      </c>
      <c r="AC3124">
        <v>0.56299999999998795</v>
      </c>
      <c r="AD3124">
        <v>-5.9508999999999999E-2</v>
      </c>
      <c r="AE3124">
        <v>-4.3900000000007801E-2</v>
      </c>
      <c r="AF3124">
        <v>6.00347965940509E-2</v>
      </c>
      <c r="AG3124">
        <v>-5.9508999999999999E-2</v>
      </c>
      <c r="AH3124">
        <v>0.55527078665290797</v>
      </c>
      <c r="AI3124">
        <v>96.081929170875696</v>
      </c>
      <c r="AJ3124">
        <v>83.829261661925699</v>
      </c>
      <c r="AK3124">
        <v>0.56166817997215002</v>
      </c>
      <c r="AL3124">
        <v>91.840090047912994</v>
      </c>
      <c r="AM3124">
        <v>84.983769506754598</v>
      </c>
      <c r="AN3124">
        <v>1.00000001856251</v>
      </c>
    </row>
    <row r="3125" spans="1:40" x14ac:dyDescent="0.25">
      <c r="A3125" t="str">
        <f>"20190312161331323"</f>
        <v>20190312161331323</v>
      </c>
      <c r="B3125" t="str">
        <f>"1552378411319097"</f>
        <v>1552378411319097</v>
      </c>
      <c r="C3125" t="s">
        <v>40</v>
      </c>
      <c r="D3125">
        <v>6.2844559999999996</v>
      </c>
      <c r="E3125">
        <v>0.49088389999999998</v>
      </c>
      <c r="F3125" t="s">
        <v>69</v>
      </c>
      <c r="G3125">
        <v>-394.04320000000001</v>
      </c>
      <c r="H3125" s="1">
        <v>6.1481459999999899E-7</v>
      </c>
      <c r="I3125">
        <v>212.4906</v>
      </c>
      <c r="J3125">
        <v>-412.72519999999997</v>
      </c>
      <c r="K3125">
        <v>1.109183</v>
      </c>
      <c r="L3125">
        <v>213.18</v>
      </c>
      <c r="M3125">
        <v>0.99951920000000005</v>
      </c>
      <c r="N3125">
        <v>0</v>
      </c>
      <c r="O3125">
        <v>2.976092E-2</v>
      </c>
      <c r="P3125">
        <v>0.99752479999999999</v>
      </c>
      <c r="Q3125">
        <v>-4.1100119999999997E-2</v>
      </c>
      <c r="R3125">
        <v>-5.7055429999999997E-2</v>
      </c>
      <c r="S3125">
        <v>2.9941710000000001</v>
      </c>
      <c r="T3125">
        <v>-0.174835299999999</v>
      </c>
      <c r="U3125">
        <v>-0.10720830000000001</v>
      </c>
      <c r="V3125">
        <v>8.6709250000000002E-2</v>
      </c>
      <c r="W3125">
        <v>-3.2463640000000002E-2</v>
      </c>
      <c r="X3125">
        <v>0.99570460000000005</v>
      </c>
      <c r="Y3125">
        <v>6.5348020000000007E-2</v>
      </c>
      <c r="Z3125">
        <v>-3.6415319999999998E-3</v>
      </c>
      <c r="AA3125">
        <v>0.99785590000000002</v>
      </c>
      <c r="AB3125">
        <v>31</v>
      </c>
      <c r="AC3125">
        <v>18.681999999999899</v>
      </c>
      <c r="AD3125">
        <v>-1.1091823851853999</v>
      </c>
      <c r="AE3125">
        <v>-0.68940000000000601</v>
      </c>
      <c r="AF3125">
        <v>1.2407414783149999</v>
      </c>
      <c r="AG3125">
        <v>-1.1091823851853999</v>
      </c>
      <c r="AH3125">
        <v>18.587773338441501</v>
      </c>
      <c r="AI3125">
        <v>93.407379003083406</v>
      </c>
      <c r="AJ3125">
        <v>86.181148323349205</v>
      </c>
      <c r="AK3125">
        <v>18.662128567258701</v>
      </c>
      <c r="AL3125">
        <v>91.860356394953698</v>
      </c>
      <c r="AM3125">
        <v>85.023049570116598</v>
      </c>
      <c r="AN3125">
        <v>1.0000000162093801</v>
      </c>
    </row>
    <row r="3126" spans="1:40" x14ac:dyDescent="0.25">
      <c r="A3126" t="str">
        <f>"20190312161331344"</f>
        <v>20190312161331344</v>
      </c>
      <c r="B3126" t="str">
        <f>"1552378411338618"</f>
        <v>1552378411338618</v>
      </c>
      <c r="C3126" t="s">
        <v>40</v>
      </c>
      <c r="D3126">
        <v>6.2916970000000001</v>
      </c>
      <c r="E3126">
        <v>0.49087229999999998</v>
      </c>
      <c r="F3126" t="s">
        <v>69</v>
      </c>
      <c r="G3126">
        <v>-391.26420000000002</v>
      </c>
      <c r="H3126" s="1">
        <v>-8.6406069999999997E-7</v>
      </c>
      <c r="I3126">
        <v>212.48439999999999</v>
      </c>
      <c r="J3126">
        <v>-412.42</v>
      </c>
      <c r="K3126">
        <v>1.1091789999999999</v>
      </c>
      <c r="L3126">
        <v>213.18899999999999</v>
      </c>
      <c r="M3126">
        <v>0.99952280000000004</v>
      </c>
      <c r="N3126">
        <v>0</v>
      </c>
      <c r="O3126">
        <v>2.9636679999999999E-2</v>
      </c>
      <c r="P3126">
        <v>0.99757580000000001</v>
      </c>
      <c r="Q3126">
        <v>-4.1018069999999997E-2</v>
      </c>
      <c r="R3126">
        <v>-5.6217780000000002E-2</v>
      </c>
      <c r="S3126">
        <v>2.995514</v>
      </c>
      <c r="T3126">
        <v>-0.15481929999999999</v>
      </c>
      <c r="U3126">
        <v>-9.7091670000000005E-2</v>
      </c>
      <c r="V3126">
        <v>8.5749489999999998E-2</v>
      </c>
      <c r="W3126">
        <v>-3.235449E-2</v>
      </c>
      <c r="X3126">
        <v>0.99579130000000005</v>
      </c>
      <c r="Y3126">
        <v>6.1881329999999998E-2</v>
      </c>
      <c r="Z3126">
        <v>-3.1280280000000001E-3</v>
      </c>
      <c r="AA3126">
        <v>0.99807860000000004</v>
      </c>
      <c r="AB3126">
        <v>31</v>
      </c>
      <c r="AC3126">
        <v>21.155799999999999</v>
      </c>
      <c r="AD3126">
        <v>-1.1091798640607</v>
      </c>
      <c r="AE3126">
        <v>-0.70460000000002698</v>
      </c>
      <c r="AF3126">
        <v>1.32765648869891</v>
      </c>
      <c r="AG3126">
        <v>-1.1091798640607</v>
      </c>
      <c r="AH3126">
        <v>21.067776349577301</v>
      </c>
      <c r="AI3126">
        <v>93.007779945642994</v>
      </c>
      <c r="AJ3126">
        <v>86.394082917019702</v>
      </c>
      <c r="AK3126">
        <v>21.138688512739598</v>
      </c>
      <c r="AL3126">
        <v>91.854099209980106</v>
      </c>
      <c r="AM3126">
        <v>85.078292323702001</v>
      </c>
      <c r="AN3126">
        <v>1.0000000506070501</v>
      </c>
    </row>
    <row r="3127" spans="1:40" x14ac:dyDescent="0.25">
      <c r="A3127" t="str">
        <f>"20190312161331366"</f>
        <v>20190312161331366</v>
      </c>
      <c r="B3127" t="str">
        <f>"1552378411359113"</f>
        <v>1552378411359113</v>
      </c>
      <c r="C3127" t="s">
        <v>40</v>
      </c>
      <c r="D3127">
        <v>6.0744959999999999</v>
      </c>
      <c r="E3127">
        <v>0.49145650000000002</v>
      </c>
      <c r="F3127" t="s">
        <v>69</v>
      </c>
      <c r="G3127">
        <v>-390.75020000000001</v>
      </c>
      <c r="H3127" s="1">
        <v>-1.1375389999999999E-6</v>
      </c>
      <c r="I3127">
        <v>212.506</v>
      </c>
      <c r="J3127">
        <v>-412.096</v>
      </c>
      <c r="K3127">
        <v>1.109159</v>
      </c>
      <c r="L3127">
        <v>213.19839999999999</v>
      </c>
      <c r="M3127">
        <v>0.99952700000000005</v>
      </c>
      <c r="N3127">
        <v>0</v>
      </c>
      <c r="O3127">
        <v>2.948477E-2</v>
      </c>
      <c r="P3127">
        <v>0.99763409999999997</v>
      </c>
      <c r="Q3127">
        <v>-4.1056229999999999E-2</v>
      </c>
      <c r="R3127">
        <v>-5.5145819999999998E-2</v>
      </c>
      <c r="S3127">
        <v>2.9956670000000001</v>
      </c>
      <c r="T3127">
        <v>-0.15333559999999999</v>
      </c>
      <c r="U3127">
        <v>-9.4421389999999994E-2</v>
      </c>
      <c r="V3127">
        <v>8.452722E-2</v>
      </c>
      <c r="W3127">
        <v>-3.2365930000000001E-2</v>
      </c>
      <c r="X3127">
        <v>0.99589539999999999</v>
      </c>
      <c r="Y3127">
        <v>6.0843090000000002E-2</v>
      </c>
      <c r="Z3127">
        <v>-3.0636560000000001E-3</v>
      </c>
      <c r="AA3127">
        <v>0.99814270000000005</v>
      </c>
      <c r="AB3127">
        <v>32</v>
      </c>
      <c r="AC3127">
        <v>21.345800000000001</v>
      </c>
      <c r="AD3127">
        <v>-1.1091601375389999</v>
      </c>
      <c r="AE3127">
        <v>-0.69240000000002</v>
      </c>
      <c r="AF3127">
        <v>1.3179442884274599</v>
      </c>
      <c r="AG3127">
        <v>-1.1091601375389999</v>
      </c>
      <c r="AH3127">
        <v>21.258764418226999</v>
      </c>
      <c r="AI3127">
        <v>92.980943706608201</v>
      </c>
      <c r="AJ3127">
        <v>86.452469012811605</v>
      </c>
      <c r="AK3127">
        <v>21.328438244460799</v>
      </c>
      <c r="AL3127">
        <v>91.854755062704996</v>
      </c>
      <c r="AM3127">
        <v>85.148613600565099</v>
      </c>
      <c r="AN3127">
        <v>1.0000000260434201</v>
      </c>
    </row>
    <row r="3128" spans="1:40" x14ac:dyDescent="0.25">
      <c r="A3128" t="str">
        <f>"20190312161331454"</f>
        <v>20190312161331454</v>
      </c>
      <c r="B3128" t="str">
        <f>"1552378411448906"</f>
        <v>1552378411448906</v>
      </c>
      <c r="C3128" t="s">
        <v>40</v>
      </c>
      <c r="D3128">
        <v>6.0086029999999999</v>
      </c>
      <c r="E3128">
        <v>0.49276890000000001</v>
      </c>
      <c r="F3128" t="s">
        <v>69</v>
      </c>
      <c r="G3128">
        <v>-391.92309999999998</v>
      </c>
      <c r="H3128" s="1">
        <v>-5.1343369999999999E-7</v>
      </c>
      <c r="I3128">
        <v>212.55670000000001</v>
      </c>
      <c r="J3128">
        <v>-410.84480000000002</v>
      </c>
      <c r="K3128">
        <v>1.109057</v>
      </c>
      <c r="L3128">
        <v>213.23410000000001</v>
      </c>
      <c r="M3128">
        <v>0.99955329999999998</v>
      </c>
      <c r="N3128">
        <v>0</v>
      </c>
      <c r="O3128">
        <v>2.854406E-2</v>
      </c>
      <c r="P3128">
        <v>0.9975155</v>
      </c>
      <c r="Q3128">
        <v>-4.4216600000000002E-2</v>
      </c>
      <c r="R3128">
        <v>-5.4847409999999999E-2</v>
      </c>
      <c r="S3128">
        <v>2.9950869999999998</v>
      </c>
      <c r="T3128">
        <v>-0.1646774</v>
      </c>
      <c r="U3128">
        <v>-9.5275879999999993E-2</v>
      </c>
      <c r="V3128">
        <v>8.3277420000000005E-2</v>
      </c>
      <c r="W3128">
        <v>-3.5449120000000001E-2</v>
      </c>
      <c r="X3128">
        <v>0.99589570000000005</v>
      </c>
      <c r="Y3128">
        <v>6.0178549999999997E-2</v>
      </c>
      <c r="Z3128">
        <v>-3.2206420000000001E-3</v>
      </c>
      <c r="AA3128">
        <v>0.99818240000000003</v>
      </c>
      <c r="AB3128">
        <v>32</v>
      </c>
      <c r="AC3128">
        <v>18.921700000000001</v>
      </c>
      <c r="AD3128">
        <v>-1.1090575134337</v>
      </c>
      <c r="AE3128">
        <v>-0.677400000000005</v>
      </c>
      <c r="AF3128">
        <v>1.2130850861629301</v>
      </c>
      <c r="AG3128">
        <v>-1.1090575134337</v>
      </c>
      <c r="AH3128">
        <v>18.830045464873599</v>
      </c>
      <c r="AI3128">
        <v>93.363772398391902</v>
      </c>
      <c r="AJ3128">
        <v>86.313936715162995</v>
      </c>
      <c r="AK3128">
        <v>18.901645330594398</v>
      </c>
      <c r="AL3128">
        <v>92.031510580360901</v>
      </c>
      <c r="AM3128">
        <v>85.220011669401302</v>
      </c>
      <c r="AN3128">
        <v>1.00000000703456</v>
      </c>
    </row>
    <row r="3129" spans="1:40" x14ac:dyDescent="0.25">
      <c r="A3129" t="str">
        <f>"20190312161331477"</f>
        <v>20190312161331477</v>
      </c>
      <c r="B3129" t="str">
        <f>"1552378411468426"</f>
        <v>1552378411468426</v>
      </c>
      <c r="C3129" t="s">
        <v>40</v>
      </c>
      <c r="D3129">
        <v>6.0471839999999997</v>
      </c>
      <c r="E3129">
        <v>0.49281049999999899</v>
      </c>
      <c r="F3129" t="s">
        <v>43</v>
      </c>
      <c r="G3129">
        <v>-409.92419999999998</v>
      </c>
      <c r="H3129">
        <v>1.0503849999999999</v>
      </c>
      <c r="I3129">
        <v>213.202</v>
      </c>
      <c r="J3129">
        <v>-410.53429999999997</v>
      </c>
      <c r="K3129">
        <v>1.1090279999999999</v>
      </c>
      <c r="L3129">
        <v>213.24260000000001</v>
      </c>
      <c r="M3129">
        <v>0.99956239999999996</v>
      </c>
      <c r="N3129">
        <v>0</v>
      </c>
      <c r="O3129">
        <v>2.821943E-2</v>
      </c>
      <c r="P3129">
        <v>0.99747300000000005</v>
      </c>
      <c r="Q3129">
        <v>-4.3562749999999997E-2</v>
      </c>
      <c r="R3129">
        <v>-5.6125660000000001E-2</v>
      </c>
      <c r="S3129">
        <v>2.9933169999999998</v>
      </c>
      <c r="T3129">
        <v>-0.19070709999999999</v>
      </c>
      <c r="U3129">
        <v>-0.10417179999999999</v>
      </c>
      <c r="V3129">
        <v>8.4228990000000004E-2</v>
      </c>
      <c r="W3129">
        <v>-3.4779209999999998E-2</v>
      </c>
      <c r="X3129">
        <v>0.99583929999999998</v>
      </c>
      <c r="Y3129">
        <v>6.2785690000000005E-2</v>
      </c>
      <c r="Z3129">
        <v>-3.7930770000000002E-3</v>
      </c>
      <c r="AA3129">
        <v>0.99801980000000001</v>
      </c>
      <c r="AB3129">
        <v>32</v>
      </c>
      <c r="AC3129">
        <v>0.61009999999998799</v>
      </c>
      <c r="AD3129">
        <v>-5.8642999999999897E-2</v>
      </c>
      <c r="AE3129">
        <v>-4.0600000000011897E-2</v>
      </c>
      <c r="AF3129">
        <v>5.7274350209183998E-2</v>
      </c>
      <c r="AG3129">
        <v>-5.8642999999999897E-2</v>
      </c>
      <c r="AH3129">
        <v>0.60316313296393598</v>
      </c>
      <c r="AI3129">
        <v>95.528459023720004</v>
      </c>
      <c r="AJ3129">
        <v>84.575649096264101</v>
      </c>
      <c r="AK3129">
        <v>0.60870774400179495</v>
      </c>
      <c r="AL3129">
        <v>91.993103865615097</v>
      </c>
      <c r="AM3129">
        <v>85.1653780084945</v>
      </c>
      <c r="AN3129">
        <v>1.0000000138145599</v>
      </c>
    </row>
    <row r="3130" spans="1:40" x14ac:dyDescent="0.25">
      <c r="A3130" t="str">
        <f>"20190312161331523"</f>
        <v>20190312161331523</v>
      </c>
      <c r="B3130" t="str">
        <f>"1552378411508553"</f>
        <v>1552378411508553</v>
      </c>
      <c r="C3130" t="s">
        <v>40</v>
      </c>
      <c r="D3130">
        <v>5.9419570000000004</v>
      </c>
      <c r="E3130">
        <v>0.49309150000000002</v>
      </c>
      <c r="F3130" t="s">
        <v>43</v>
      </c>
      <c r="G3130">
        <v>-409.63580000000002</v>
      </c>
      <c r="H3130">
        <v>1.053321</v>
      </c>
      <c r="I3130">
        <v>213.20959999999999</v>
      </c>
      <c r="J3130">
        <v>-409.88130000000001</v>
      </c>
      <c r="K3130">
        <v>1.108992</v>
      </c>
      <c r="L3130">
        <v>213.2602</v>
      </c>
      <c r="M3130">
        <v>0.99958349999999996</v>
      </c>
      <c r="N3130">
        <v>0</v>
      </c>
      <c r="O3130">
        <v>2.7448400000000001E-2</v>
      </c>
      <c r="P3130">
        <v>0.99748369999999997</v>
      </c>
      <c r="Q3130">
        <v>-4.13783E-2</v>
      </c>
      <c r="R3130">
        <v>-5.7570749999999997E-2</v>
      </c>
      <c r="S3130">
        <v>2.993347</v>
      </c>
      <c r="T3130">
        <v>-0.18578710000000001</v>
      </c>
      <c r="U3130">
        <v>-0.10852050000000001</v>
      </c>
      <c r="V3130">
        <v>8.4903649999999997E-2</v>
      </c>
      <c r="W3130">
        <v>-3.2558709999999998E-2</v>
      </c>
      <c r="X3130">
        <v>0.99585710000000005</v>
      </c>
      <c r="Y3130">
        <v>6.3473160000000001E-2</v>
      </c>
      <c r="Z3130">
        <v>-3.6688010000000002E-3</v>
      </c>
      <c r="AA3130">
        <v>0.9979768</v>
      </c>
      <c r="AB3130">
        <v>32</v>
      </c>
      <c r="AC3130">
        <v>0.245499999999992</v>
      </c>
      <c r="AD3130">
        <v>-5.5670999999999998E-2</v>
      </c>
      <c r="AE3130">
        <v>-5.0600000000002802E-2</v>
      </c>
      <c r="AF3130">
        <v>5.4625269781749898E-2</v>
      </c>
      <c r="AG3130">
        <v>-5.5670999999999998E-2</v>
      </c>
      <c r="AH3130">
        <v>0.23254761845003499</v>
      </c>
      <c r="AI3130">
        <v>103.11877802636</v>
      </c>
      <c r="AJ3130">
        <v>76.780917362579402</v>
      </c>
      <c r="AK3130">
        <v>0.24527856650452001</v>
      </c>
      <c r="AL3130">
        <v>91.865806357103196</v>
      </c>
      <c r="AM3130">
        <v>85.126925934771194</v>
      </c>
      <c r="AN3130">
        <v>1.0000000315002899</v>
      </c>
    </row>
    <row r="3131" spans="1:40" x14ac:dyDescent="0.25">
      <c r="A3131" t="str">
        <f>"20190312161331545"</f>
        <v>20190312161331545</v>
      </c>
      <c r="B3131" t="str">
        <f>"1552378411538808"</f>
        <v>1552378411538808</v>
      </c>
      <c r="C3131" t="s">
        <v>40</v>
      </c>
      <c r="D3131">
        <v>5.9766450000000004</v>
      </c>
      <c r="E3131">
        <v>0.51237100000000002</v>
      </c>
      <c r="F3131" t="s">
        <v>69</v>
      </c>
      <c r="G3131">
        <v>-390.44580000000002</v>
      </c>
      <c r="H3131" s="1">
        <v>-1.2995659999999999E-6</v>
      </c>
      <c r="I3131">
        <v>212.51</v>
      </c>
      <c r="J3131">
        <v>-409.54860000000002</v>
      </c>
      <c r="K3131">
        <v>1.1089789999999999</v>
      </c>
      <c r="L3131">
        <v>213.2689</v>
      </c>
      <c r="M3131">
        <v>0.9995946</v>
      </c>
      <c r="N3131">
        <v>0</v>
      </c>
      <c r="O3131">
        <v>2.702893E-2</v>
      </c>
      <c r="P3131">
        <v>0.99755510000000003</v>
      </c>
      <c r="Q3131">
        <v>-4.0580169999999999E-2</v>
      </c>
      <c r="R3131">
        <v>-5.6897040000000003E-2</v>
      </c>
      <c r="S3131">
        <v>2.993805</v>
      </c>
      <c r="T3131">
        <v>-0.17082639999999999</v>
      </c>
      <c r="U3131">
        <v>-0.1155548</v>
      </c>
      <c r="V3131">
        <v>8.3813940000000003E-2</v>
      </c>
      <c r="W3131">
        <v>-3.173919E-2</v>
      </c>
      <c r="X3131">
        <v>0.99597590000000003</v>
      </c>
      <c r="Y3131">
        <v>6.5414879999999995E-2</v>
      </c>
      <c r="Z3131">
        <v>-3.4046419999999998E-3</v>
      </c>
      <c r="AA3131">
        <v>0.99785230000000003</v>
      </c>
      <c r="AB3131">
        <v>32</v>
      </c>
      <c r="AC3131">
        <v>19.102799999999998</v>
      </c>
      <c r="AD3131">
        <v>-1.1089802995659901</v>
      </c>
      <c r="AE3131">
        <v>-0.75890000000001101</v>
      </c>
      <c r="AF3131">
        <v>1.2706959013485</v>
      </c>
      <c r="AG3131">
        <v>-1.1089802995659901</v>
      </c>
      <c r="AH3131">
        <v>19.011336450695499</v>
      </c>
      <c r="AI3131">
        <v>93.331012060655297</v>
      </c>
      <c r="AJ3131">
        <v>86.176103443786104</v>
      </c>
      <c r="AK3131">
        <v>19.086000603061802</v>
      </c>
      <c r="AL3131">
        <v>91.818826960307604</v>
      </c>
      <c r="AM3131">
        <v>85.189745914886203</v>
      </c>
      <c r="AN3131">
        <v>1.0000000730504901</v>
      </c>
    </row>
    <row r="3132" spans="1:40" x14ac:dyDescent="0.25">
      <c r="A3132" t="str">
        <f>"20190312161331567"</f>
        <v>20190312161331567</v>
      </c>
      <c r="B3132" t="str">
        <f>"1552378411559305"</f>
        <v>1552378411559305</v>
      </c>
      <c r="C3132" t="s">
        <v>40</v>
      </c>
      <c r="D3132">
        <v>5.9405169999999998</v>
      </c>
      <c r="E3132">
        <v>0.51476109999999997</v>
      </c>
      <c r="F3132" t="s">
        <v>43</v>
      </c>
      <c r="G3132">
        <v>-408.80900000000003</v>
      </c>
      <c r="H3132">
        <v>0.98991410000000002</v>
      </c>
      <c r="I3132">
        <v>213.20570000000001</v>
      </c>
      <c r="J3132">
        <v>-409.24990000000003</v>
      </c>
      <c r="K3132">
        <v>1.1089709999999999</v>
      </c>
      <c r="L3132">
        <v>213.2766</v>
      </c>
      <c r="M3132">
        <v>0.99960490000000002</v>
      </c>
      <c r="N3132">
        <v>0</v>
      </c>
      <c r="O3132">
        <v>2.6643920000000001E-2</v>
      </c>
      <c r="P3132">
        <v>0.9975927</v>
      </c>
      <c r="Q3132">
        <v>-4.0824979999999997E-2</v>
      </c>
      <c r="R3132">
        <v>-5.6057070000000001E-2</v>
      </c>
      <c r="S3132">
        <v>2.9734500000000001</v>
      </c>
      <c r="T3132">
        <v>-0.47870669999999999</v>
      </c>
      <c r="U3132">
        <v>-0.25323489999999999</v>
      </c>
      <c r="V3132">
        <v>8.2590910000000003E-2</v>
      </c>
      <c r="W3132">
        <v>-3.1964220000000002E-2</v>
      </c>
      <c r="X3132">
        <v>0.99607080000000003</v>
      </c>
      <c r="Y3132">
        <v>0.1096337</v>
      </c>
      <c r="Z3132">
        <v>-1.300867E-2</v>
      </c>
      <c r="AA3132">
        <v>0.99388690000000002</v>
      </c>
      <c r="AB3132">
        <v>32</v>
      </c>
      <c r="AC3132">
        <v>0.44089999999999901</v>
      </c>
      <c r="AD3132">
        <v>-0.11905689999999999</v>
      </c>
      <c r="AE3132">
        <v>-7.0899999999994606E-2</v>
      </c>
      <c r="AF3132">
        <v>7.7139597906573598E-2</v>
      </c>
      <c r="AG3132">
        <v>-0.11905689999999999</v>
      </c>
      <c r="AH3132">
        <v>0.40973106229961598</v>
      </c>
      <c r="AI3132">
        <v>105.937040136484</v>
      </c>
      <c r="AJ3132">
        <v>79.337794628280093</v>
      </c>
      <c r="AK3132">
        <v>0.43359497969414901</v>
      </c>
      <c r="AL3132">
        <v>91.831726900117403</v>
      </c>
      <c r="AM3132">
        <v>85.260065467309403</v>
      </c>
      <c r="AN3132">
        <v>1.00000000419373</v>
      </c>
    </row>
    <row r="3133" spans="1:40" x14ac:dyDescent="0.25">
      <c r="A3133" t="str">
        <f>"20190312161331589"</f>
        <v>20190312161331589</v>
      </c>
      <c r="B3133" t="str">
        <f>"1552378411578825"</f>
        <v>1552378411578825</v>
      </c>
      <c r="C3133" t="s">
        <v>40</v>
      </c>
      <c r="D3133">
        <v>5.9281779999999999</v>
      </c>
      <c r="E3133">
        <v>0.541678199999999</v>
      </c>
      <c r="F3133" t="s">
        <v>43</v>
      </c>
      <c r="G3133">
        <v>-408.52519999999998</v>
      </c>
      <c r="H3133">
        <v>0.98199510000000001</v>
      </c>
      <c r="I3133">
        <v>213.2107</v>
      </c>
      <c r="J3133">
        <v>-408.92610000000002</v>
      </c>
      <c r="K3133">
        <v>1.108959</v>
      </c>
      <c r="L3133">
        <v>213.28479999999999</v>
      </c>
      <c r="M3133">
        <v>0.9996157</v>
      </c>
      <c r="N3133">
        <v>0</v>
      </c>
      <c r="O3133">
        <v>2.6223059999999999E-2</v>
      </c>
      <c r="P3133">
        <v>0.99761109999999997</v>
      </c>
      <c r="Q3133">
        <v>-4.0623579999999999E-2</v>
      </c>
      <c r="R3133">
        <v>-5.5874269999999997E-2</v>
      </c>
      <c r="S3133">
        <v>2.9708860000000001</v>
      </c>
      <c r="T3133">
        <v>-0.52060329999999999</v>
      </c>
      <c r="U3133">
        <v>-0.268020599999999</v>
      </c>
      <c r="V3133">
        <v>8.1989019999999996E-2</v>
      </c>
      <c r="W3133">
        <v>-3.1742369999999999E-2</v>
      </c>
      <c r="X3133">
        <v>0.9961276</v>
      </c>
      <c r="Y3133">
        <v>0.1138199</v>
      </c>
      <c r="Z3133">
        <v>-1.4430149999999999E-2</v>
      </c>
      <c r="AA3133">
        <v>0.99339659999999996</v>
      </c>
      <c r="AB3133">
        <v>32</v>
      </c>
      <c r="AC3133">
        <v>0.40090000000003501</v>
      </c>
      <c r="AD3133">
        <v>-0.12696389999999999</v>
      </c>
      <c r="AE3133">
        <v>-7.4099999999987107E-2</v>
      </c>
      <c r="AF3133">
        <v>7.7109403889393996E-2</v>
      </c>
      <c r="AG3133">
        <v>-0.12696389999999999</v>
      </c>
      <c r="AH3133">
        <v>0.36355953878729402</v>
      </c>
      <c r="AI3133">
        <v>108.861454855972</v>
      </c>
      <c r="AJ3133">
        <v>78.025268016579005</v>
      </c>
      <c r="AK3133">
        <v>0.39273557301906997</v>
      </c>
      <c r="AL3133">
        <v>91.819009410271804</v>
      </c>
      <c r="AM3133">
        <v>85.294719670624701</v>
      </c>
      <c r="AN3133">
        <v>0.999999986467768</v>
      </c>
    </row>
    <row r="3134" spans="1:40" x14ac:dyDescent="0.25">
      <c r="A3134" t="str">
        <f>"20190312161331611"</f>
        <v>20190312161331611</v>
      </c>
      <c r="B3134" t="str">
        <f>"1552378411599320"</f>
        <v>1552378411599320</v>
      </c>
      <c r="C3134" t="s">
        <v>40</v>
      </c>
      <c r="D3134">
        <v>5.8564530000000001</v>
      </c>
      <c r="E3134">
        <v>0.53371179999999996</v>
      </c>
      <c r="F3134" t="s">
        <v>43</v>
      </c>
      <c r="G3134">
        <v>-408.00470000000001</v>
      </c>
      <c r="H3134">
        <v>0.84455239999999998</v>
      </c>
      <c r="I3134">
        <v>213.1386</v>
      </c>
      <c r="J3134">
        <v>-408.60640000000001</v>
      </c>
      <c r="K3134">
        <v>1.1089560000000001</v>
      </c>
      <c r="L3134">
        <v>213.2928</v>
      </c>
      <c r="M3134">
        <v>0.99962649999999997</v>
      </c>
      <c r="N3134">
        <v>0</v>
      </c>
      <c r="O3134">
        <v>2.5805970000000001E-2</v>
      </c>
      <c r="P3134">
        <v>0.99759229999999999</v>
      </c>
      <c r="Q3134">
        <v>-4.0489410000000003E-2</v>
      </c>
      <c r="R3134">
        <v>-5.6302980000000002E-2</v>
      </c>
      <c r="S3134">
        <v>2.946625</v>
      </c>
      <c r="T3134">
        <v>-0.84561090000000005</v>
      </c>
      <c r="U3134">
        <v>-0.4666901</v>
      </c>
      <c r="V3134">
        <v>8.2001660000000004E-2</v>
      </c>
      <c r="W3134">
        <v>-3.1588749999999999E-2</v>
      </c>
      <c r="X3134">
        <v>0.99613149999999995</v>
      </c>
      <c r="Y3134">
        <v>0.1739898</v>
      </c>
      <c r="Z3134">
        <v>-3.1548729999999997E-2</v>
      </c>
      <c r="AA3134">
        <v>0.98424199999999995</v>
      </c>
      <c r="AB3134">
        <v>32</v>
      </c>
      <c r="AC3134">
        <v>0.60169999999999302</v>
      </c>
      <c r="AD3134">
        <v>-0.26440360000000002</v>
      </c>
      <c r="AE3134">
        <v>-0.154200000000003</v>
      </c>
      <c r="AF3134">
        <v>0.14364819708360901</v>
      </c>
      <c r="AG3134">
        <v>-0.26440360000000002</v>
      </c>
      <c r="AH3134">
        <v>0.50586015524065797</v>
      </c>
      <c r="AI3134">
        <v>116.693330244604</v>
      </c>
      <c r="AJ3134">
        <v>74.147139668324996</v>
      </c>
      <c r="AK3134">
        <v>0.58859032006858103</v>
      </c>
      <c r="AL3134">
        <v>91.810203113400704</v>
      </c>
      <c r="AM3134">
        <v>85.294015871484703</v>
      </c>
      <c r="AN3134">
        <v>1.0000000433307801</v>
      </c>
    </row>
    <row r="3135" spans="1:40" x14ac:dyDescent="0.25">
      <c r="A3135" t="str">
        <f>"20190312161331634"</f>
        <v>20190312161331634</v>
      </c>
      <c r="B3135" t="str">
        <f>"1552378411628601"</f>
        <v>1552378411628601</v>
      </c>
      <c r="C3135" t="s">
        <v>40</v>
      </c>
      <c r="D3135">
        <v>6.0101380000000004</v>
      </c>
      <c r="E3135">
        <v>0.53099099999999999</v>
      </c>
      <c r="F3135" t="s">
        <v>43</v>
      </c>
      <c r="G3135">
        <v>-407.7038</v>
      </c>
      <c r="H3135">
        <v>0.87710239999999995</v>
      </c>
      <c r="I3135">
        <v>213.1679</v>
      </c>
      <c r="J3135">
        <v>-408.27800000000002</v>
      </c>
      <c r="K3135">
        <v>1.1089469999999999</v>
      </c>
      <c r="L3135">
        <v>213.30080000000001</v>
      </c>
      <c r="M3135">
        <v>0.99963709999999995</v>
      </c>
      <c r="N3135">
        <v>0</v>
      </c>
      <c r="O3135">
        <v>2.537828E-2</v>
      </c>
      <c r="P3135">
        <v>0.99753789999999998</v>
      </c>
      <c r="Q3135">
        <v>-4.0793780000000002E-2</v>
      </c>
      <c r="R3135">
        <v>-5.7043679999999999E-2</v>
      </c>
      <c r="S3135">
        <v>2.95343</v>
      </c>
      <c r="T3135">
        <v>-0.75861049999999997</v>
      </c>
      <c r="U3135">
        <v>-0.40803529999999999</v>
      </c>
      <c r="V3135">
        <v>8.2313910000000004E-2</v>
      </c>
      <c r="W3135">
        <v>-3.1873970000000001E-2</v>
      </c>
      <c r="X3135">
        <v>0.9960966</v>
      </c>
      <c r="Y3135">
        <v>0.15616350000000001</v>
      </c>
      <c r="Z3135">
        <v>-2.6034660000000001E-2</v>
      </c>
      <c r="AA3135">
        <v>0.98738809999999999</v>
      </c>
      <c r="AB3135">
        <v>32</v>
      </c>
      <c r="AC3135">
        <v>0.57420000000001803</v>
      </c>
      <c r="AD3135">
        <v>-0.23184460000000001</v>
      </c>
      <c r="AE3135">
        <v>-0.13290000000000601</v>
      </c>
      <c r="AF3135">
        <v>0.12767369842069401</v>
      </c>
      <c r="AG3135">
        <v>-0.23184460000000001</v>
      </c>
      <c r="AH3135">
        <v>0.494173467596351</v>
      </c>
      <c r="AI3135">
        <v>114.42950261249899</v>
      </c>
      <c r="AJ3135">
        <v>75.513938343150997</v>
      </c>
      <c r="AK3135">
        <v>0.560588893837347</v>
      </c>
      <c r="AL3135">
        <v>91.826553358342593</v>
      </c>
      <c r="AM3135">
        <v>85.276012374230902</v>
      </c>
      <c r="AN3135">
        <v>0.99999998313730398</v>
      </c>
    </row>
    <row r="3136" spans="1:40" x14ac:dyDescent="0.25">
      <c r="A3136" t="str">
        <f>"20190312161331655"</f>
        <v>20190312161331655</v>
      </c>
      <c r="B3136" t="str">
        <f>"1552378411649097"</f>
        <v>1552378411649097</v>
      </c>
      <c r="C3136" t="s">
        <v>40</v>
      </c>
      <c r="D3136">
        <v>5.8133569999999999</v>
      </c>
      <c r="E3136">
        <v>0.53055479999999999</v>
      </c>
      <c r="F3136" t="s">
        <v>43</v>
      </c>
      <c r="G3136">
        <v>-407.40449999999998</v>
      </c>
      <c r="H3136">
        <v>0.90220029999999996</v>
      </c>
      <c r="I3136">
        <v>213.1848</v>
      </c>
      <c r="J3136">
        <v>-407.96519999999998</v>
      </c>
      <c r="K3136">
        <v>1.108946</v>
      </c>
      <c r="L3136">
        <v>213.3083</v>
      </c>
      <c r="M3136">
        <v>0.99964730000000002</v>
      </c>
      <c r="N3136">
        <v>0</v>
      </c>
      <c r="O3136">
        <v>2.4972060000000001E-2</v>
      </c>
      <c r="P3136">
        <v>0.99742790000000003</v>
      </c>
      <c r="Q3136">
        <v>-4.1505720000000003E-2</v>
      </c>
      <c r="R3136">
        <v>-5.8439499999999998E-2</v>
      </c>
      <c r="S3136">
        <v>2.9564210000000002</v>
      </c>
      <c r="T3136">
        <v>-0.69974969999999903</v>
      </c>
      <c r="U3136">
        <v>-0.3912506</v>
      </c>
      <c r="V3136">
        <v>8.3300840000000001E-2</v>
      </c>
      <c r="W3136">
        <v>-3.2569189999999998E-2</v>
      </c>
      <c r="X3136">
        <v>0.99599210000000005</v>
      </c>
      <c r="Y3136">
        <v>0.15112509999999901</v>
      </c>
      <c r="Z3136">
        <v>-2.3375409999999999E-2</v>
      </c>
      <c r="AA3136">
        <v>0.98823819999999996</v>
      </c>
      <c r="AB3136">
        <v>32</v>
      </c>
      <c r="AC3136">
        <v>0.56069999999999698</v>
      </c>
      <c r="AD3136">
        <v>-0.20674569999999901</v>
      </c>
      <c r="AE3136">
        <v>-0.12350000000000699</v>
      </c>
      <c r="AF3136">
        <v>0.121685064916654</v>
      </c>
      <c r="AG3136">
        <v>-0.20674569999999901</v>
      </c>
      <c r="AH3136">
        <v>0.49345496697531999</v>
      </c>
      <c r="AI3136">
        <v>112.135989145765</v>
      </c>
      <c r="AJ3136">
        <v>76.147350980686497</v>
      </c>
      <c r="AK3136">
        <v>0.548679181238795</v>
      </c>
      <c r="AL3136">
        <v>91.866407151956693</v>
      </c>
      <c r="AM3136">
        <v>85.219134260310298</v>
      </c>
      <c r="AN3136">
        <v>1.0000000226721799</v>
      </c>
    </row>
    <row r="3137" spans="1:40" x14ac:dyDescent="0.25">
      <c r="A3137" t="str">
        <f>"20190312161331678"</f>
        <v>20190312161331678</v>
      </c>
      <c r="B3137" t="str">
        <f>"1552378411668620"</f>
        <v>1552378411668620</v>
      </c>
      <c r="C3137" t="s">
        <v>40</v>
      </c>
      <c r="D3137">
        <v>5.8911230000000003</v>
      </c>
      <c r="E3137">
        <v>0.52984319999999996</v>
      </c>
      <c r="F3137" t="s">
        <v>43</v>
      </c>
      <c r="G3137">
        <v>-407.11</v>
      </c>
      <c r="H3137">
        <v>0.91393159999999896</v>
      </c>
      <c r="I3137">
        <v>213.19470000000001</v>
      </c>
      <c r="J3137">
        <v>-407.6318</v>
      </c>
      <c r="K3137">
        <v>1.108954</v>
      </c>
      <c r="L3137">
        <v>213.31620000000001</v>
      </c>
      <c r="M3137">
        <v>0.99965749999999998</v>
      </c>
      <c r="N3137">
        <v>0</v>
      </c>
      <c r="O3137">
        <v>2.4540030000000001E-2</v>
      </c>
      <c r="P3137">
        <v>0.99731179999999997</v>
      </c>
      <c r="Q3137">
        <v>-4.1452330000000003E-2</v>
      </c>
      <c r="R3137">
        <v>-6.042401E-2</v>
      </c>
      <c r="S3137">
        <v>2.956696</v>
      </c>
      <c r="T3137">
        <v>-0.67428869999999996</v>
      </c>
      <c r="U3137">
        <v>-0.39283750000000001</v>
      </c>
      <c r="V3137">
        <v>8.4851469999999998E-2</v>
      </c>
      <c r="W3137">
        <v>-3.2464720000000002E-2</v>
      </c>
      <c r="X3137">
        <v>0.99586459999999999</v>
      </c>
      <c r="Y3137">
        <v>0.15154679999999901</v>
      </c>
      <c r="Z3137">
        <v>-2.2493860000000001E-2</v>
      </c>
      <c r="AA3137">
        <v>0.98819409999999996</v>
      </c>
      <c r="AB3137">
        <v>32</v>
      </c>
      <c r="AC3137">
        <v>0.52179999999998405</v>
      </c>
      <c r="AD3137">
        <v>-0.19502240000000001</v>
      </c>
      <c r="AE3137">
        <v>-0.121499999999997</v>
      </c>
      <c r="AF3137">
        <v>0.118559293433923</v>
      </c>
      <c r="AG3137">
        <v>-0.19502240000000001</v>
      </c>
      <c r="AH3137">
        <v>0.45797711629664201</v>
      </c>
      <c r="AI3137">
        <v>112.403646262276</v>
      </c>
      <c r="AJ3137">
        <v>75.486121830981006</v>
      </c>
      <c r="AK3137">
        <v>0.51169627867779099</v>
      </c>
      <c r="AL3137">
        <v>91.860418307847098</v>
      </c>
      <c r="AM3137">
        <v>85.1299429160496</v>
      </c>
      <c r="AN3137">
        <v>1.0000000157694899</v>
      </c>
    </row>
    <row r="3138" spans="1:40" x14ac:dyDescent="0.25">
      <c r="A3138" t="str">
        <f>"20190312161331701"</f>
        <v>20190312161331701</v>
      </c>
      <c r="B3138" t="str">
        <f>"1552378411689120"</f>
        <v>1552378411689120</v>
      </c>
      <c r="C3138" t="s">
        <v>40</v>
      </c>
      <c r="D3138">
        <v>6.0866759999999998</v>
      </c>
      <c r="E3138">
        <v>0.52908809999999995</v>
      </c>
      <c r="F3138" t="s">
        <v>43</v>
      </c>
      <c r="G3138">
        <v>-406.81439999999998</v>
      </c>
      <c r="H3138">
        <v>0.92791299999999999</v>
      </c>
      <c r="I3138">
        <v>213.20660000000001</v>
      </c>
      <c r="J3138">
        <v>-407.29539999999997</v>
      </c>
      <c r="K3138">
        <v>1.108995</v>
      </c>
      <c r="L3138">
        <v>213.32409999999999</v>
      </c>
      <c r="M3138">
        <v>0.99966650000000001</v>
      </c>
      <c r="N3138">
        <v>0</v>
      </c>
      <c r="O3138">
        <v>2.410441E-2</v>
      </c>
      <c r="P3138">
        <v>0.99724049999999997</v>
      </c>
      <c r="Q3138">
        <v>-4.1299809999999999E-2</v>
      </c>
      <c r="R3138">
        <v>-6.1693709999999999E-2</v>
      </c>
      <c r="S3138">
        <v>2.9569399999999999</v>
      </c>
      <c r="T3138">
        <v>-0.65489839999999999</v>
      </c>
      <c r="U3138">
        <v>-0.394455</v>
      </c>
      <c r="V3138">
        <v>8.5685209999999998E-2</v>
      </c>
      <c r="W3138">
        <v>-3.2135980000000001E-2</v>
      </c>
      <c r="X3138">
        <v>0.99580380000000002</v>
      </c>
      <c r="Y3138">
        <v>0.15188929999999901</v>
      </c>
      <c r="Z3138">
        <v>-2.1802200000000001E-2</v>
      </c>
      <c r="AA3138">
        <v>0.98815699999999995</v>
      </c>
      <c r="AB3138">
        <v>32</v>
      </c>
      <c r="AC3138">
        <v>0.48099999999999399</v>
      </c>
      <c r="AD3138">
        <v>-0.18108199999999999</v>
      </c>
      <c r="AE3138">
        <v>-0.117499999999978</v>
      </c>
      <c r="AF3138">
        <v>0.11383530339521</v>
      </c>
      <c r="AG3138">
        <v>-0.18108199999999999</v>
      </c>
      <c r="AH3138">
        <v>0.42163491043593398</v>
      </c>
      <c r="AI3138">
        <v>112.52036115050301</v>
      </c>
      <c r="AJ3138">
        <v>74.891200323922803</v>
      </c>
      <c r="AK3138">
        <v>0.47278448020361002</v>
      </c>
      <c r="AL3138">
        <v>91.841573195616206</v>
      </c>
      <c r="AM3138">
        <v>85.082025090667997</v>
      </c>
      <c r="AN3138">
        <v>0.99999994225887001</v>
      </c>
    </row>
    <row r="3139" spans="1:40" x14ac:dyDescent="0.25">
      <c r="A3139" t="str">
        <f>"20190312161331724"</f>
        <v>20190312161331724</v>
      </c>
      <c r="B3139" t="str">
        <f>"1552378411718393"</f>
        <v>1552378411718393</v>
      </c>
      <c r="C3139" t="s">
        <v>40</v>
      </c>
      <c r="D3139">
        <v>5.8570209999999996</v>
      </c>
      <c r="E3139">
        <v>0.52724159999999998</v>
      </c>
      <c r="F3139" t="s">
        <v>43</v>
      </c>
      <c r="G3139">
        <v>-406.51979999999998</v>
      </c>
      <c r="H3139">
        <v>0.93933009999999995</v>
      </c>
      <c r="I3139">
        <v>213.2208</v>
      </c>
      <c r="J3139">
        <v>-406.96879999999999</v>
      </c>
      <c r="K3139">
        <v>1.109024</v>
      </c>
      <c r="L3139">
        <v>213.33150000000001</v>
      </c>
      <c r="M3139">
        <v>0.99967430000000002</v>
      </c>
      <c r="N3139">
        <v>0</v>
      </c>
      <c r="O3139">
        <v>2.368806E-2</v>
      </c>
      <c r="P3139">
        <v>0.99717849999999997</v>
      </c>
      <c r="Q3139">
        <v>-4.1904209999999997E-2</v>
      </c>
      <c r="R3139">
        <v>-6.2283819999999997E-2</v>
      </c>
      <c r="S3139">
        <v>2.9571839999999998</v>
      </c>
      <c r="T3139">
        <v>-0.64694430000000003</v>
      </c>
      <c r="U3139">
        <v>-0.39291379999999998</v>
      </c>
      <c r="V3139">
        <v>8.5858009999999998E-2</v>
      </c>
      <c r="W3139">
        <v>-3.252596E-2</v>
      </c>
      <c r="X3139">
        <v>0.99577629999999995</v>
      </c>
      <c r="Y3139">
        <v>0.15109</v>
      </c>
      <c r="Z3139">
        <v>-2.1366719999999999E-2</v>
      </c>
      <c r="AA3139">
        <v>0.98828910000000003</v>
      </c>
      <c r="AB3139">
        <v>32</v>
      </c>
      <c r="AC3139">
        <v>0.449000000000012</v>
      </c>
      <c r="AD3139">
        <v>-0.16969390000000001</v>
      </c>
      <c r="AE3139">
        <v>-0.110700000000008</v>
      </c>
      <c r="AF3139">
        <v>0.10690976438229501</v>
      </c>
      <c r="AG3139">
        <v>-0.16969390000000001</v>
      </c>
      <c r="AH3139">
        <v>0.39329389415003502</v>
      </c>
      <c r="AI3139">
        <v>112.604874189463</v>
      </c>
      <c r="AJ3139">
        <v>74.792650033876498</v>
      </c>
      <c r="AK3139">
        <v>0.44148137513737401</v>
      </c>
      <c r="AL3139">
        <v>91.863929007502804</v>
      </c>
      <c r="AM3139">
        <v>85.072020457915102</v>
      </c>
      <c r="AN3139">
        <v>0.99999998779838495</v>
      </c>
    </row>
    <row r="3140" spans="1:40" x14ac:dyDescent="0.25">
      <c r="A3140" t="str">
        <f>"20190312161331746"</f>
        <v>20190312161331746</v>
      </c>
      <c r="B3140" t="str">
        <f>"1552378411738889"</f>
        <v>1552378411738889</v>
      </c>
      <c r="C3140" t="s">
        <v>40</v>
      </c>
      <c r="D3140">
        <v>5.8986960000000002</v>
      </c>
      <c r="E3140">
        <v>0.52702579999999999</v>
      </c>
      <c r="F3140" t="s">
        <v>43</v>
      </c>
      <c r="G3140">
        <v>-406.2253</v>
      </c>
      <c r="H3140">
        <v>0.95046790000000003</v>
      </c>
      <c r="I3140">
        <v>213.2355</v>
      </c>
      <c r="J3140">
        <v>-406.65429999999998</v>
      </c>
      <c r="K3140">
        <v>1.1090519999999999</v>
      </c>
      <c r="L3140">
        <v>213.33850000000001</v>
      </c>
      <c r="M3140">
        <v>0.99968159999999895</v>
      </c>
      <c r="N3140">
        <v>0</v>
      </c>
      <c r="O3140">
        <v>2.3292170000000001E-2</v>
      </c>
      <c r="P3140">
        <v>0.99718989999999996</v>
      </c>
      <c r="Q3140">
        <v>-4.1872369999999999E-2</v>
      </c>
      <c r="R3140">
        <v>-6.2123289999999998E-2</v>
      </c>
      <c r="S3140">
        <v>2.9581909999999998</v>
      </c>
      <c r="T3140">
        <v>-0.63081719999999997</v>
      </c>
      <c r="U3140">
        <v>-0.38096619999999998</v>
      </c>
      <c r="V3140">
        <v>8.5302890000000006E-2</v>
      </c>
      <c r="W3140">
        <v>-3.2290909999999999E-2</v>
      </c>
      <c r="X3140">
        <v>0.99583169999999999</v>
      </c>
      <c r="Y3140">
        <v>0.14702609999999999</v>
      </c>
      <c r="Z3140">
        <v>-2.0334149999999999E-2</v>
      </c>
      <c r="AA3140">
        <v>0.98892360000000001</v>
      </c>
      <c r="AB3140">
        <v>32</v>
      </c>
      <c r="AC3140">
        <v>0.42899999999997301</v>
      </c>
      <c r="AD3140">
        <v>-0.15858410000000001</v>
      </c>
      <c r="AE3140">
        <v>-0.103000000000008</v>
      </c>
      <c r="AF3140">
        <v>0.100039669417472</v>
      </c>
      <c r="AG3140">
        <v>-0.15858410000000001</v>
      </c>
      <c r="AH3140">
        <v>0.37768697283747099</v>
      </c>
      <c r="AI3140">
        <v>112.091522095168</v>
      </c>
      <c r="AJ3140">
        <v>75.164488920184397</v>
      </c>
      <c r="AK3140">
        <v>0.42166847366278198</v>
      </c>
      <c r="AL3140">
        <v>91.850454477612899</v>
      </c>
      <c r="AM3140">
        <v>85.103998269235404</v>
      </c>
      <c r="AN3140">
        <v>1.0000000303179299</v>
      </c>
    </row>
    <row r="3141" spans="1:40" x14ac:dyDescent="0.25">
      <c r="A3141" t="str">
        <f>"20190312161331769"</f>
        <v>20190312161331769</v>
      </c>
      <c r="B3141" t="str">
        <f>"1552378411759385"</f>
        <v>1552378411759385</v>
      </c>
      <c r="C3141" t="s">
        <v>40</v>
      </c>
      <c r="D3141">
        <v>5.6906509999999999</v>
      </c>
      <c r="E3141">
        <v>0.52678440000000004</v>
      </c>
      <c r="F3141" t="s">
        <v>43</v>
      </c>
      <c r="G3141">
        <v>-405.93279999999999</v>
      </c>
      <c r="H3141">
        <v>0.95630230000000005</v>
      </c>
      <c r="I3141">
        <v>213.2458</v>
      </c>
      <c r="J3141">
        <v>-406.32870000000003</v>
      </c>
      <c r="K3141">
        <v>1.109089</v>
      </c>
      <c r="L3141">
        <v>213.34559999999999</v>
      </c>
      <c r="M3141">
        <v>0.99968900000000005</v>
      </c>
      <c r="N3141">
        <v>0</v>
      </c>
      <c r="O3141">
        <v>2.2879440000000001E-2</v>
      </c>
      <c r="P3141">
        <v>0.99719780000000002</v>
      </c>
      <c r="Q3141">
        <v>-4.1901099999999997E-2</v>
      </c>
      <c r="R3141">
        <v>-6.1976690000000001E-2</v>
      </c>
      <c r="S3141">
        <v>2.9585569999999999</v>
      </c>
      <c r="T3141">
        <v>-0.62642109999999995</v>
      </c>
      <c r="U3141">
        <v>-0.37921139999999998</v>
      </c>
      <c r="V3141">
        <v>8.4745299999999996E-2</v>
      </c>
      <c r="W3141">
        <v>-3.2092750000000003E-2</v>
      </c>
      <c r="X3141">
        <v>0.99588569999999998</v>
      </c>
      <c r="Y3141">
        <v>0.14610689999999901</v>
      </c>
      <c r="Z3141">
        <v>-2.00118E-2</v>
      </c>
      <c r="AA3141">
        <v>0.98906640000000001</v>
      </c>
      <c r="AB3141">
        <v>32</v>
      </c>
      <c r="AC3141">
        <v>0.39590000000004</v>
      </c>
      <c r="AD3141">
        <v>-0.152786699999999</v>
      </c>
      <c r="AE3141">
        <v>-9.9799999999987593E-2</v>
      </c>
      <c r="AF3141">
        <v>9.5463797264755498E-2</v>
      </c>
      <c r="AG3141">
        <v>-0.152786699999999</v>
      </c>
      <c r="AH3141">
        <v>0.34517544062439298</v>
      </c>
      <c r="AI3141">
        <v>113.104050577113</v>
      </c>
      <c r="AJ3141">
        <v>74.540364419247794</v>
      </c>
      <c r="AK3141">
        <v>0.38936255225090599</v>
      </c>
      <c r="AL3141">
        <v>91.839094879556995</v>
      </c>
      <c r="AM3141">
        <v>85.136109858806904</v>
      </c>
      <c r="AN3141">
        <v>1.0000000189695699</v>
      </c>
    </row>
    <row r="3142" spans="1:40" x14ac:dyDescent="0.25">
      <c r="A3142" t="str">
        <f>"20190312161331790"</f>
        <v>20190312161331790</v>
      </c>
      <c r="B3142" t="str">
        <f>"1552378411778904"</f>
        <v>1552378411778904</v>
      </c>
      <c r="C3142" t="s">
        <v>40</v>
      </c>
      <c r="D3142">
        <v>5.3641209999999999</v>
      </c>
      <c r="E3142">
        <v>0.52648850000000003</v>
      </c>
      <c r="F3142" t="s">
        <v>43</v>
      </c>
      <c r="G3142">
        <v>-405.3725</v>
      </c>
      <c r="H3142">
        <v>0.90940759999999998</v>
      </c>
      <c r="I3142">
        <v>213.2234</v>
      </c>
      <c r="J3142">
        <v>-406.00920000000002</v>
      </c>
      <c r="K3142">
        <v>1.1091169999999999</v>
      </c>
      <c r="L3142">
        <v>213.35249999999999</v>
      </c>
      <c r="M3142">
        <v>0.99969580000000002</v>
      </c>
      <c r="N3142">
        <v>0</v>
      </c>
      <c r="O3142">
        <v>2.2470159999999999E-2</v>
      </c>
      <c r="P3142">
        <v>0.997193</v>
      </c>
      <c r="Q3142">
        <v>-4.2164970000000003E-2</v>
      </c>
      <c r="R3142">
        <v>-6.1872730000000001E-2</v>
      </c>
      <c r="S3142">
        <v>2.9589840000000001</v>
      </c>
      <c r="T3142">
        <v>-0.61803189999999997</v>
      </c>
      <c r="U3142">
        <v>-0.3772278</v>
      </c>
      <c r="V3142">
        <v>8.4233489999999994E-2</v>
      </c>
      <c r="W3142">
        <v>-3.2129940000000003E-2</v>
      </c>
      <c r="X3142">
        <v>0.99592789999999998</v>
      </c>
      <c r="Y3142">
        <v>0.14515839999999999</v>
      </c>
      <c r="Z3142">
        <v>-1.9565570000000001E-2</v>
      </c>
      <c r="AA3142">
        <v>0.98921499999999996</v>
      </c>
      <c r="AB3142">
        <v>32</v>
      </c>
      <c r="AC3142">
        <v>0.63670000000001803</v>
      </c>
      <c r="AD3142">
        <v>-0.19970940000000001</v>
      </c>
      <c r="AE3142">
        <v>-0.129099999999994</v>
      </c>
      <c r="AF3142">
        <v>0.130995854481329</v>
      </c>
      <c r="AG3142">
        <v>-0.19970940000000001</v>
      </c>
      <c r="AH3142">
        <v>0.57892964249658296</v>
      </c>
      <c r="AI3142">
        <v>108.59589842904801</v>
      </c>
      <c r="AJ3142">
        <v>77.250240014547899</v>
      </c>
      <c r="AK3142">
        <v>0.62626135862024501</v>
      </c>
      <c r="AL3142">
        <v>91.841226847730695</v>
      </c>
      <c r="AM3142">
        <v>85.165549022498894</v>
      </c>
      <c r="AN3142">
        <v>0.99999999794019601</v>
      </c>
    </row>
    <row r="3143" spans="1:40" x14ac:dyDescent="0.25">
      <c r="A3143" t="str">
        <f>"20190312161331811"</f>
        <v>20190312161331811</v>
      </c>
      <c r="B3143" t="str">
        <f>"1552378411799401"</f>
        <v>1552378411799401</v>
      </c>
      <c r="C3143" t="s">
        <v>40</v>
      </c>
      <c r="D3143">
        <v>5.773695</v>
      </c>
      <c r="E3143">
        <v>0.52623529999999996</v>
      </c>
      <c r="F3143" t="s">
        <v>43</v>
      </c>
      <c r="G3143">
        <v>-405.08</v>
      </c>
      <c r="H3143">
        <v>0.91714249999999997</v>
      </c>
      <c r="I3143">
        <v>213.23429999999999</v>
      </c>
      <c r="J3143">
        <v>-405.71010000000001</v>
      </c>
      <c r="K3143">
        <v>1.1091409999999999</v>
      </c>
      <c r="L3143">
        <v>213.3587</v>
      </c>
      <c r="M3143">
        <v>0.9997026</v>
      </c>
      <c r="N3143">
        <v>0</v>
      </c>
      <c r="O3143">
        <v>2.208251E-2</v>
      </c>
      <c r="P3143">
        <v>0.99718580000000001</v>
      </c>
      <c r="Q3143">
        <v>-4.2039760000000002E-2</v>
      </c>
      <c r="R3143">
        <v>-6.2077720000000003E-2</v>
      </c>
      <c r="S3143">
        <v>2.9593509999999998</v>
      </c>
      <c r="T3143">
        <v>-0.61147680000000004</v>
      </c>
      <c r="U3143">
        <v>-0.37460329999999997</v>
      </c>
      <c r="V3143">
        <v>8.4052630000000003E-2</v>
      </c>
      <c r="W3143">
        <v>-3.1804220000000001E-2</v>
      </c>
      <c r="X3143">
        <v>0.99595359999999999</v>
      </c>
      <c r="Y3143">
        <v>0.14400299999999999</v>
      </c>
      <c r="Z3143">
        <v>-1.916437E-2</v>
      </c>
      <c r="AA3143">
        <v>0.98939169999999999</v>
      </c>
      <c r="AB3143">
        <v>32</v>
      </c>
      <c r="AC3143">
        <v>0.63010000000002697</v>
      </c>
      <c r="AD3143">
        <v>-0.19199849999999999</v>
      </c>
      <c r="AE3143">
        <v>-0.124400000000008</v>
      </c>
      <c r="AF3143">
        <v>0.12694048641385799</v>
      </c>
      <c r="AG3143">
        <v>-0.19199849999999999</v>
      </c>
      <c r="AH3143">
        <v>0.575747145985117</v>
      </c>
      <c r="AI3143">
        <v>108.03813878354001</v>
      </c>
      <c r="AJ3143">
        <v>77.566374974726401</v>
      </c>
      <c r="AK3143">
        <v>0.62005006830355602</v>
      </c>
      <c r="AL3143">
        <v>91.822554986864404</v>
      </c>
      <c r="AM3143">
        <v>85.176004058611895</v>
      </c>
      <c r="AN3143">
        <v>0.99999996318634099</v>
      </c>
    </row>
    <row r="3144" spans="1:40" x14ac:dyDescent="0.25">
      <c r="A3144" t="str">
        <f>"20190312161331834"</f>
        <v>20190312161331834</v>
      </c>
      <c r="B3144" t="str">
        <f>"1552378411828681"</f>
        <v>1552378411828681</v>
      </c>
      <c r="C3144" t="s">
        <v>40</v>
      </c>
      <c r="D3144">
        <v>5.5773809999999999</v>
      </c>
      <c r="E3144">
        <v>0.52589180000000002</v>
      </c>
      <c r="F3144" t="s">
        <v>43</v>
      </c>
      <c r="G3144">
        <v>-404.78910000000002</v>
      </c>
      <c r="H3144">
        <v>0.920678</v>
      </c>
      <c r="I3144">
        <v>213.2424</v>
      </c>
      <c r="J3144">
        <v>-405.38299999999998</v>
      </c>
      <c r="K3144">
        <v>1.1091660000000001</v>
      </c>
      <c r="L3144">
        <v>213.3655</v>
      </c>
      <c r="M3144">
        <v>0.99970979999999998</v>
      </c>
      <c r="N3144">
        <v>0</v>
      </c>
      <c r="O3144">
        <v>2.1656060000000001E-2</v>
      </c>
      <c r="P3144">
        <v>0.99718779999999996</v>
      </c>
      <c r="Q3144">
        <v>-4.1768630000000001E-2</v>
      </c>
      <c r="R3144">
        <v>-6.222681E-2</v>
      </c>
      <c r="S3144">
        <v>2.9596559999999998</v>
      </c>
      <c r="T3144">
        <v>-0.60564090000000004</v>
      </c>
      <c r="U3144">
        <v>-0.37321470000000001</v>
      </c>
      <c r="V3144">
        <v>8.3777950000000004E-2</v>
      </c>
      <c r="W3144">
        <v>-3.133176E-2</v>
      </c>
      <c r="X3144">
        <v>0.99599179999999998</v>
      </c>
      <c r="Y3144">
        <v>0.1432021</v>
      </c>
      <c r="Z3144">
        <v>-1.8816909999999999E-2</v>
      </c>
      <c r="AA3144">
        <v>0.98951460000000002</v>
      </c>
      <c r="AB3144">
        <v>32</v>
      </c>
      <c r="AC3144">
        <v>0.59390000000001897</v>
      </c>
      <c r="AD3144">
        <v>-0.18848799999999999</v>
      </c>
      <c r="AE3144">
        <v>-0.12309999999999301</v>
      </c>
      <c r="AF3144">
        <v>0.12396158462288499</v>
      </c>
      <c r="AG3144">
        <v>-0.18848799999999999</v>
      </c>
      <c r="AH3144">
        <v>0.53903637418330497</v>
      </c>
      <c r="AI3144">
        <v>108.81812078208399</v>
      </c>
      <c r="AJ3144">
        <v>77.0489296277824</v>
      </c>
      <c r="AK3144">
        <v>0.58434100771630004</v>
      </c>
      <c r="AL3144">
        <v>91.795471376686507</v>
      </c>
      <c r="AM3144">
        <v>85.191878167069405</v>
      </c>
      <c r="AN3144">
        <v>1.00000004487906</v>
      </c>
    </row>
    <row r="3145" spans="1:40" x14ac:dyDescent="0.25">
      <c r="A3145" t="str">
        <f>"20190312161331856"</f>
        <v>20190312161331856</v>
      </c>
      <c r="B3145" t="str">
        <f>"1552378411849178"</f>
        <v>1552378411849178</v>
      </c>
      <c r="C3145" t="s">
        <v>40</v>
      </c>
      <c r="D3145">
        <v>5.7358200000000004</v>
      </c>
      <c r="E3145">
        <v>0.50110889999999997</v>
      </c>
      <c r="F3145" t="s">
        <v>43</v>
      </c>
      <c r="G3145">
        <v>-404.49619999999999</v>
      </c>
      <c r="H3145">
        <v>0.92896639999999997</v>
      </c>
      <c r="I3145">
        <v>213.25380000000001</v>
      </c>
      <c r="J3145">
        <v>-405.04140000000001</v>
      </c>
      <c r="K3145">
        <v>1.109186</v>
      </c>
      <c r="L3145">
        <v>213.3723</v>
      </c>
      <c r="M3145">
        <v>0.99971739999999998</v>
      </c>
      <c r="N3145">
        <v>0</v>
      </c>
      <c r="O3145">
        <v>2.12094E-2</v>
      </c>
      <c r="P3145">
        <v>0.99718300000000004</v>
      </c>
      <c r="Q3145">
        <v>-4.152434E-2</v>
      </c>
      <c r="R3145">
        <v>-6.2469440000000001E-2</v>
      </c>
      <c r="S3145">
        <v>2.9601139999999999</v>
      </c>
      <c r="T3145">
        <v>-0.60151199999999905</v>
      </c>
      <c r="U3145">
        <v>-0.37110900000000002</v>
      </c>
      <c r="V3145">
        <v>8.3576230000000001E-2</v>
      </c>
      <c r="W3145">
        <v>-3.0897009999999999E-2</v>
      </c>
      <c r="X3145">
        <v>0.99602230000000003</v>
      </c>
      <c r="Y3145">
        <v>0.1421248</v>
      </c>
      <c r="Z3145">
        <v>-1.8491670000000002E-2</v>
      </c>
      <c r="AA3145">
        <v>0.989676</v>
      </c>
      <c r="AB3145">
        <v>32</v>
      </c>
      <c r="AC3145">
        <v>0.545200000000022</v>
      </c>
      <c r="AD3145">
        <v>-0.18021959999999901</v>
      </c>
      <c r="AE3145">
        <v>-0.11849999999998299</v>
      </c>
      <c r="AF3145">
        <v>0.117751349101612</v>
      </c>
      <c r="AG3145">
        <v>-0.18021959999999901</v>
      </c>
      <c r="AH3145">
        <v>0.49130206568614099</v>
      </c>
      <c r="AI3145">
        <v>109.632231966928</v>
      </c>
      <c r="AJ3145">
        <v>76.522037488542097</v>
      </c>
      <c r="AK3145">
        <v>0.53639743118967198</v>
      </c>
      <c r="AL3145">
        <v>91.770550021055897</v>
      </c>
      <c r="AM3145">
        <v>85.203547246678397</v>
      </c>
      <c r="AN3145">
        <v>1.00000001677262</v>
      </c>
    </row>
    <row r="3146" spans="1:40" x14ac:dyDescent="0.25">
      <c r="A3146" t="str">
        <f>"20190312161331879"</f>
        <v>20190312161331879</v>
      </c>
      <c r="B3146" t="str">
        <f>"1552378411868697"</f>
        <v>1552378411868697</v>
      </c>
      <c r="C3146" t="s">
        <v>40</v>
      </c>
      <c r="D3146">
        <v>5.6974229999999997</v>
      </c>
      <c r="E3146">
        <v>0.49738179999999999</v>
      </c>
      <c r="F3146" t="s">
        <v>43</v>
      </c>
      <c r="G3146">
        <v>-404.17079999999999</v>
      </c>
      <c r="H3146">
        <v>1.0084839999999999</v>
      </c>
      <c r="I3146">
        <v>213.31790000000001</v>
      </c>
      <c r="J3146">
        <v>-404.72109999999998</v>
      </c>
      <c r="K3146">
        <v>1.1092010000000001</v>
      </c>
      <c r="L3146">
        <v>213.37860000000001</v>
      </c>
      <c r="M3146">
        <v>0.99972430000000001</v>
      </c>
      <c r="N3146">
        <v>0</v>
      </c>
      <c r="O3146">
        <v>2.0790489999999998E-2</v>
      </c>
      <c r="P3146">
        <v>0.9971411</v>
      </c>
      <c r="Q3146">
        <v>-4.1773570000000003E-2</v>
      </c>
      <c r="R3146">
        <v>-6.2966560000000005E-2</v>
      </c>
      <c r="S3146">
        <v>2.9824519999999999</v>
      </c>
      <c r="T3146">
        <v>-0.34508879999999997</v>
      </c>
      <c r="U3146">
        <v>-0.18595890000000001</v>
      </c>
      <c r="V3146">
        <v>8.3655610000000005E-2</v>
      </c>
      <c r="W3146">
        <v>-3.0986199999999998E-2</v>
      </c>
      <c r="X3146">
        <v>0.99601289999999998</v>
      </c>
      <c r="Y3146">
        <v>8.2282880000000003E-2</v>
      </c>
      <c r="Z3146">
        <v>-7.1356359999999999E-3</v>
      </c>
      <c r="AA3146">
        <v>0.99658349999999996</v>
      </c>
      <c r="AB3146">
        <v>32</v>
      </c>
      <c r="AC3146">
        <v>0.55029999999999202</v>
      </c>
      <c r="AD3146">
        <v>-0.100717</v>
      </c>
      <c r="AE3146">
        <v>-6.0699999999996999E-2</v>
      </c>
      <c r="AF3146">
        <v>6.9817982523176503E-2</v>
      </c>
      <c r="AG3146">
        <v>-0.100717</v>
      </c>
      <c r="AH3146">
        <v>0.531334780768843</v>
      </c>
      <c r="AI3146">
        <v>100.643959256439</v>
      </c>
      <c r="AJ3146">
        <v>82.514158245150497</v>
      </c>
      <c r="AK3146">
        <v>0.545284434059218</v>
      </c>
      <c r="AL3146">
        <v>91.775662618153305</v>
      </c>
      <c r="AM3146">
        <v>85.198967802335801</v>
      </c>
      <c r="AN3146">
        <v>1.00000005132065</v>
      </c>
    </row>
    <row r="3147" spans="1:40" x14ac:dyDescent="0.25">
      <c r="A3147" t="str">
        <f>"20190312161331902"</f>
        <v>20190312161331902</v>
      </c>
      <c r="B3147" t="str">
        <f>"1552378411898953"</f>
        <v>1552378411898953</v>
      </c>
      <c r="C3147" t="s">
        <v>40</v>
      </c>
      <c r="D3147">
        <v>5.5885309999999997</v>
      </c>
      <c r="E3147">
        <v>0.4996912</v>
      </c>
      <c r="F3147" t="s">
        <v>69</v>
      </c>
      <c r="G3147">
        <v>-375.35309999999998</v>
      </c>
      <c r="H3147" s="1">
        <v>1.311883E-6</v>
      </c>
      <c r="I3147">
        <v>211.72479999999999</v>
      </c>
      <c r="J3147">
        <v>-404.3922</v>
      </c>
      <c r="K3147">
        <v>1.109218</v>
      </c>
      <c r="L3147">
        <v>213.38499999999999</v>
      </c>
      <c r="M3147">
        <v>0.9997317</v>
      </c>
      <c r="N3147">
        <v>0</v>
      </c>
      <c r="O3147">
        <v>2.036085E-2</v>
      </c>
      <c r="P3147">
        <v>0.9970888</v>
      </c>
      <c r="Q3147">
        <v>-4.1963920000000002E-2</v>
      </c>
      <c r="R3147">
        <v>-6.3665390000000002E-2</v>
      </c>
      <c r="S3147">
        <v>2.9931950000000001</v>
      </c>
      <c r="T3147">
        <v>-0.1130502</v>
      </c>
      <c r="U3147">
        <v>-0.16856380000000001</v>
      </c>
      <c r="V3147">
        <v>8.3925310000000003E-2</v>
      </c>
      <c r="W3147">
        <v>-3.1030309999999998E-2</v>
      </c>
      <c r="X3147">
        <v>0.99598880000000001</v>
      </c>
      <c r="Y3147">
        <v>7.6475989999999994E-2</v>
      </c>
      <c r="Z3147">
        <v>-2.2108039999999998E-3</v>
      </c>
      <c r="AA3147">
        <v>0.99706899999999998</v>
      </c>
      <c r="AB3147">
        <v>32</v>
      </c>
      <c r="AC3147">
        <v>29.039100000000001</v>
      </c>
      <c r="AD3147">
        <v>-1.109216688117</v>
      </c>
      <c r="AE3147">
        <v>-1.6601999999999999</v>
      </c>
      <c r="AF3147">
        <v>2.2478835497741101</v>
      </c>
      <c r="AG3147">
        <v>-1.109216688117</v>
      </c>
      <c r="AH3147">
        <v>28.957162267238498</v>
      </c>
      <c r="AI3147">
        <v>92.187093737210006</v>
      </c>
      <c r="AJ3147">
        <v>85.561151266073907</v>
      </c>
      <c r="AK3147">
        <v>29.065453526234901</v>
      </c>
      <c r="AL3147">
        <v>91.778191217566501</v>
      </c>
      <c r="AM3147">
        <v>85.183446304624596</v>
      </c>
      <c r="AN3147">
        <v>1.0000000137613601</v>
      </c>
    </row>
    <row r="3148" spans="1:40" x14ac:dyDescent="0.25">
      <c r="A3148" t="str">
        <f>"20190312161331925"</f>
        <v>20190312161331925</v>
      </c>
      <c r="B3148" t="str">
        <f>"1552378411919449"</f>
        <v>1552378411919449</v>
      </c>
      <c r="C3148" t="s">
        <v>40</v>
      </c>
      <c r="D3148">
        <v>5.5689909999999996</v>
      </c>
      <c r="E3148">
        <v>0.50099899999999997</v>
      </c>
      <c r="F3148" t="s">
        <v>69</v>
      </c>
      <c r="G3148">
        <v>-375.67590000000001</v>
      </c>
      <c r="H3148" s="1">
        <v>1.483642E-6</v>
      </c>
      <c r="I3148">
        <v>211.57050000000001</v>
      </c>
      <c r="J3148">
        <v>-404.07049999999998</v>
      </c>
      <c r="K3148">
        <v>1.109226</v>
      </c>
      <c r="L3148">
        <v>213.39109999999999</v>
      </c>
      <c r="M3148">
        <v>0.99973860000000003</v>
      </c>
      <c r="N3148">
        <v>0</v>
      </c>
      <c r="O3148">
        <v>1.9941560000000001E-2</v>
      </c>
      <c r="P3148">
        <v>0.99704190000000004</v>
      </c>
      <c r="Q3148">
        <v>-4.2046100000000003E-2</v>
      </c>
      <c r="R3148">
        <v>-6.4338569999999998E-2</v>
      </c>
      <c r="S3148">
        <v>2.9918520000000002</v>
      </c>
      <c r="T3148">
        <v>-0.11556569999999999</v>
      </c>
      <c r="U3148">
        <v>-0.18904109999999999</v>
      </c>
      <c r="V3148">
        <v>8.4180199999999997E-2</v>
      </c>
      <c r="W3148">
        <v>-3.0986110000000001E-2</v>
      </c>
      <c r="X3148">
        <v>0.99596859999999998</v>
      </c>
      <c r="Y3148">
        <v>8.2873760000000005E-2</v>
      </c>
      <c r="Z3148">
        <v>-2.3677419999999999E-3</v>
      </c>
      <c r="AA3148">
        <v>0.99655720000000003</v>
      </c>
      <c r="AB3148">
        <v>32</v>
      </c>
      <c r="AC3148">
        <v>28.394599999999901</v>
      </c>
      <c r="AD3148">
        <v>-1.1092245163579999</v>
      </c>
      <c r="AE3148">
        <v>-1.82059999999998</v>
      </c>
      <c r="AF3148">
        <v>2.3828844534564899</v>
      </c>
      <c r="AG3148">
        <v>-1.1092245163579999</v>
      </c>
      <c r="AH3148">
        <v>28.309620194906501</v>
      </c>
      <c r="AI3148">
        <v>92.235910708202894</v>
      </c>
      <c r="AJ3148">
        <v>85.188626691893802</v>
      </c>
      <c r="AK3148">
        <v>28.431375501830299</v>
      </c>
      <c r="AL3148">
        <v>91.775657641448205</v>
      </c>
      <c r="AM3148">
        <v>85.168789537067994</v>
      </c>
      <c r="AN3148">
        <v>0.99999994863546404</v>
      </c>
    </row>
    <row r="3149" spans="1:40" x14ac:dyDescent="0.25">
      <c r="A3149" t="str">
        <f>"20190312161331949"</f>
        <v>20190312161331949</v>
      </c>
      <c r="B3149" t="str">
        <f>"1552378411938969"</f>
        <v>1552378411938969</v>
      </c>
      <c r="C3149" t="s">
        <v>40</v>
      </c>
      <c r="D3149">
        <v>5.5085730000000002</v>
      </c>
      <c r="E3149">
        <v>0.50161089999999997</v>
      </c>
      <c r="F3149" t="s">
        <v>69</v>
      </c>
      <c r="G3149">
        <v>-379.82</v>
      </c>
      <c r="H3149" s="1">
        <v>3.6889360000000001E-6</v>
      </c>
      <c r="I3149">
        <v>211.7653</v>
      </c>
      <c r="J3149">
        <v>-403.72370000000001</v>
      </c>
      <c r="K3149">
        <v>1.1092329999999999</v>
      </c>
      <c r="L3149">
        <v>213.39750000000001</v>
      </c>
      <c r="M3149">
        <v>0.99974609999999997</v>
      </c>
      <c r="N3149">
        <v>0</v>
      </c>
      <c r="O3149">
        <v>1.9490170000000001E-2</v>
      </c>
      <c r="P3149">
        <v>0.9969922</v>
      </c>
      <c r="Q3149">
        <v>-4.2152149999999999E-2</v>
      </c>
      <c r="R3149">
        <v>-6.5036319999999995E-2</v>
      </c>
      <c r="S3149">
        <v>2.990173</v>
      </c>
      <c r="T3149">
        <v>-0.13677139999999999</v>
      </c>
      <c r="U3149">
        <v>-0.20047000000000001</v>
      </c>
      <c r="V3149">
        <v>8.4427450000000001E-2</v>
      </c>
      <c r="W3149">
        <v>-3.0972650000000001E-2</v>
      </c>
      <c r="X3149">
        <v>0.9959481</v>
      </c>
      <c r="Y3149">
        <v>8.6217749999999996E-2</v>
      </c>
      <c r="Z3149">
        <v>-2.8587600000000001E-3</v>
      </c>
      <c r="AA3149">
        <v>0.99627220000000005</v>
      </c>
      <c r="AB3149">
        <v>32</v>
      </c>
      <c r="AC3149">
        <v>23.903700000000001</v>
      </c>
      <c r="AD3149">
        <v>-1.1092293110639999</v>
      </c>
      <c r="AE3149">
        <v>-1.6322000000000101</v>
      </c>
      <c r="AF3149">
        <v>2.0933201784642201</v>
      </c>
      <c r="AG3149">
        <v>-1.1092293110639999</v>
      </c>
      <c r="AH3149">
        <v>23.816298426369201</v>
      </c>
      <c r="AI3149">
        <v>92.656362093333897</v>
      </c>
      <c r="AJ3149">
        <v>84.976928221689903</v>
      </c>
      <c r="AK3149">
        <v>23.933834832052401</v>
      </c>
      <c r="AL3149">
        <v>91.774886052139806</v>
      </c>
      <c r="AM3149">
        <v>85.154567740508796</v>
      </c>
      <c r="AN3149">
        <v>0.99999995862756597</v>
      </c>
    </row>
    <row r="3150" spans="1:40" x14ac:dyDescent="0.25">
      <c r="A3150" t="str">
        <f>"20190312161331969"</f>
        <v>20190312161331969</v>
      </c>
      <c r="B3150" t="str">
        <f>"1552378411959466"</f>
        <v>1552378411959466</v>
      </c>
      <c r="C3150" t="s">
        <v>40</v>
      </c>
      <c r="D3150">
        <v>5.5194960000000002</v>
      </c>
      <c r="E3150">
        <v>0.50235600000000002</v>
      </c>
      <c r="F3150" t="s">
        <v>69</v>
      </c>
      <c r="G3150">
        <v>-380.93619999999999</v>
      </c>
      <c r="H3150" s="1">
        <v>-9.1627709999999996E-7</v>
      </c>
      <c r="I3150">
        <v>211.81870000000001</v>
      </c>
      <c r="J3150">
        <v>-403.4221</v>
      </c>
      <c r="K3150">
        <v>1.1092439999999999</v>
      </c>
      <c r="L3150">
        <v>213.40289999999999</v>
      </c>
      <c r="M3150">
        <v>0.9997528</v>
      </c>
      <c r="N3150">
        <v>0</v>
      </c>
      <c r="O3150">
        <v>1.9097780000000002E-2</v>
      </c>
      <c r="P3150">
        <v>0.99695800000000001</v>
      </c>
      <c r="Q3150">
        <v>-4.2185399999999998E-2</v>
      </c>
      <c r="R3150">
        <v>-6.5538600000000002E-2</v>
      </c>
      <c r="S3150">
        <v>2.9893489999999998</v>
      </c>
      <c r="T3150">
        <v>-0.1455138</v>
      </c>
      <c r="U3150">
        <v>-0.2071075</v>
      </c>
      <c r="V3150">
        <v>8.4538429999999998E-2</v>
      </c>
      <c r="W3150">
        <v>-3.091522E-2</v>
      </c>
      <c r="X3150">
        <v>0.99594050000000001</v>
      </c>
      <c r="Y3150">
        <v>8.8030590000000006E-2</v>
      </c>
      <c r="Z3150">
        <v>-3.0668650000000002E-3</v>
      </c>
      <c r="AA3150">
        <v>0.99611309999999997</v>
      </c>
      <c r="AB3150">
        <v>32</v>
      </c>
      <c r="AC3150">
        <v>22.485900000000001</v>
      </c>
      <c r="AD3150">
        <v>-1.1092449162771001</v>
      </c>
      <c r="AE3150">
        <v>-1.5841999999999801</v>
      </c>
      <c r="AF3150">
        <v>2.0085060493392199</v>
      </c>
      <c r="AG3150">
        <v>-1.1092449162771001</v>
      </c>
      <c r="AH3150">
        <v>22.397306823960701</v>
      </c>
      <c r="AI3150">
        <v>92.823989821838495</v>
      </c>
      <c r="AJ3150">
        <v>84.875637546503896</v>
      </c>
      <c r="AK3150">
        <v>22.514525840025001</v>
      </c>
      <c r="AL3150">
        <v>91.771593926374706</v>
      </c>
      <c r="AM3150">
        <v>85.14819195055</v>
      </c>
      <c r="AN3150">
        <v>0.99999998825738101</v>
      </c>
    </row>
    <row r="3151" spans="1:40" x14ac:dyDescent="0.25">
      <c r="A3151" t="str">
        <f>"20190312161331994"</f>
        <v>20190312161331994</v>
      </c>
      <c r="B3151" t="str">
        <f>"1552378411988745"</f>
        <v>1552378411988745</v>
      </c>
      <c r="C3151" t="s">
        <v>40</v>
      </c>
      <c r="D3151">
        <v>5.4926979999999999</v>
      </c>
      <c r="E3151">
        <v>0.50322579999999995</v>
      </c>
      <c r="F3151" t="s">
        <v>69</v>
      </c>
      <c r="G3151">
        <v>-381.50720000000001</v>
      </c>
      <c r="H3151" s="1">
        <v>-6.1302999999999998E-7</v>
      </c>
      <c r="I3151">
        <v>211.83179999999999</v>
      </c>
      <c r="J3151">
        <v>-403.07080000000002</v>
      </c>
      <c r="K3151">
        <v>1.1092489999999999</v>
      </c>
      <c r="L3151">
        <v>213.4091</v>
      </c>
      <c r="M3151">
        <v>0.99976039999999999</v>
      </c>
      <c r="N3151">
        <v>0</v>
      </c>
      <c r="O3151">
        <v>1.8640170000000001E-2</v>
      </c>
      <c r="P3151">
        <v>0.99693849999999995</v>
      </c>
      <c r="Q3151">
        <v>-4.210585E-2</v>
      </c>
      <c r="R3151">
        <v>-6.5887249999999994E-2</v>
      </c>
      <c r="S3151">
        <v>2.9887079999999999</v>
      </c>
      <c r="T3151">
        <v>-0.1512762</v>
      </c>
      <c r="U3151">
        <v>-0.21426390000000001</v>
      </c>
      <c r="V3151">
        <v>8.4431249999999999E-2</v>
      </c>
      <c r="W3151">
        <v>-3.0743349999999999E-2</v>
      </c>
      <c r="X3151">
        <v>0.99595489999999998</v>
      </c>
      <c r="Y3151">
        <v>8.9950509999999997E-2</v>
      </c>
      <c r="Z3151">
        <v>-3.2139550000000001E-3</v>
      </c>
      <c r="AA3151">
        <v>0.99594099999999997</v>
      </c>
      <c r="AB3151">
        <v>32</v>
      </c>
      <c r="AC3151">
        <v>21.563600000000001</v>
      </c>
      <c r="AD3151">
        <v>-1.10924961302999</v>
      </c>
      <c r="AE3151">
        <v>-1.5772999999999999</v>
      </c>
      <c r="AF3151">
        <v>1.9738063468628499</v>
      </c>
      <c r="AG3151">
        <v>-1.10924961302999</v>
      </c>
      <c r="AH3151">
        <v>21.473928871038801</v>
      </c>
      <c r="AI3151">
        <v>92.944631249776606</v>
      </c>
      <c r="AJ3151">
        <v>84.748334526096698</v>
      </c>
      <c r="AK3151">
        <v>21.592961060432501</v>
      </c>
      <c r="AL3151">
        <v>91.761741838832506</v>
      </c>
      <c r="AM3151">
        <v>85.154383617291501</v>
      </c>
      <c r="AN3151">
        <v>0.999999976189897</v>
      </c>
    </row>
    <row r="3152" spans="1:40" x14ac:dyDescent="0.25">
      <c r="A3152" t="str">
        <f>"20190312161332014"</f>
        <v>20190312161332014</v>
      </c>
      <c r="B3152" t="str">
        <f>"1552378412009471"</f>
        <v>1552378412009471</v>
      </c>
      <c r="C3152" t="s">
        <v>40</v>
      </c>
      <c r="D3152">
        <v>5.4894170000000004</v>
      </c>
      <c r="E3152">
        <v>0.50357980000000002</v>
      </c>
      <c r="F3152" t="s">
        <v>69</v>
      </c>
      <c r="G3152">
        <v>-382.69749999999999</v>
      </c>
      <c r="H3152" s="1">
        <v>1.7557E-8</v>
      </c>
      <c r="I3152">
        <v>211.8974</v>
      </c>
      <c r="J3152">
        <v>-402.77569999999997</v>
      </c>
      <c r="K3152">
        <v>1.109256</v>
      </c>
      <c r="L3152">
        <v>213.41419999999999</v>
      </c>
      <c r="M3152">
        <v>0.9997665</v>
      </c>
      <c r="N3152">
        <v>0</v>
      </c>
      <c r="O3152">
        <v>1.825593E-2</v>
      </c>
      <c r="P3152">
        <v>0.99693330000000002</v>
      </c>
      <c r="Q3152">
        <v>-4.2054649999999999E-2</v>
      </c>
      <c r="R3152">
        <v>-6.5995860000000003E-2</v>
      </c>
      <c r="S3152">
        <v>2.9877009999999999</v>
      </c>
      <c r="T3152">
        <v>-0.16266920000000001</v>
      </c>
      <c r="U3152">
        <v>-0.22167970000000001</v>
      </c>
      <c r="V3152">
        <v>8.4157220000000005E-2</v>
      </c>
      <c r="W3152">
        <v>-3.0618719999999999E-2</v>
      </c>
      <c r="X3152">
        <v>0.99598189999999998</v>
      </c>
      <c r="Y3152">
        <v>9.2026259999999999E-2</v>
      </c>
      <c r="Z3152">
        <v>-3.4920250000000002E-3</v>
      </c>
      <c r="AA3152">
        <v>0.99575049999999998</v>
      </c>
      <c r="AB3152">
        <v>32</v>
      </c>
      <c r="AC3152">
        <v>20.078199999999899</v>
      </c>
      <c r="AD3152">
        <v>-1.1092559824429999</v>
      </c>
      <c r="AE3152">
        <v>-1.5167999999999799</v>
      </c>
      <c r="AF3152">
        <v>1.8774201418593</v>
      </c>
      <c r="AG3152">
        <v>-1.1092559824429999</v>
      </c>
      <c r="AH3152">
        <v>19.986504223615299</v>
      </c>
      <c r="AI3152">
        <v>93.162776539140395</v>
      </c>
      <c r="AJ3152">
        <v>84.633702244612493</v>
      </c>
      <c r="AK3152">
        <v>20.105111447197601</v>
      </c>
      <c r="AL3152">
        <v>91.7545977581632</v>
      </c>
      <c r="AM3152">
        <v>85.170166340763302</v>
      </c>
      <c r="AN3152">
        <v>0.99999994441008599</v>
      </c>
    </row>
    <row r="3153" spans="1:40" x14ac:dyDescent="0.25">
      <c r="A3153" t="str">
        <f>"20190312161332035"</f>
        <v>20190312161332035</v>
      </c>
      <c r="B3153" t="str">
        <f>"1552378412028991"</f>
        <v>1552378412028991</v>
      </c>
      <c r="C3153" t="s">
        <v>40</v>
      </c>
      <c r="D3153">
        <v>5.4681759999999997</v>
      </c>
      <c r="E3153">
        <v>0.50394170000000005</v>
      </c>
      <c r="F3153" t="s">
        <v>69</v>
      </c>
      <c r="G3153">
        <v>-382.637</v>
      </c>
      <c r="H3153" s="1">
        <v>-1.477133E-8</v>
      </c>
      <c r="I3153">
        <v>211.89930000000001</v>
      </c>
      <c r="J3153">
        <v>-402.46870000000001</v>
      </c>
      <c r="K3153">
        <v>1.1091839999999999</v>
      </c>
      <c r="L3153">
        <v>213.41929999999999</v>
      </c>
      <c r="M3153">
        <v>0.99977660000000002</v>
      </c>
      <c r="N3153">
        <v>0</v>
      </c>
      <c r="O3153">
        <v>1.7859650000000001E-2</v>
      </c>
      <c r="P3153">
        <v>0.99692670000000005</v>
      </c>
      <c r="Q3153">
        <v>-4.1751469999999999E-2</v>
      </c>
      <c r="R3153">
        <v>-6.6291669999999997E-2</v>
      </c>
      <c r="S3153">
        <v>2.9873959999999999</v>
      </c>
      <c r="T3153">
        <v>-0.16454820000000001</v>
      </c>
      <c r="U3153">
        <v>-0.2247162</v>
      </c>
      <c r="V3153">
        <v>8.4058599999999997E-2</v>
      </c>
      <c r="W3153">
        <v>-3.05583E-2</v>
      </c>
      <c r="X3153">
        <v>0.99599210000000005</v>
      </c>
      <c r="Y3153">
        <v>9.2641429999999997E-2</v>
      </c>
      <c r="Z3153">
        <v>-3.5276449999999998E-3</v>
      </c>
      <c r="AA3153">
        <v>0.9956933</v>
      </c>
      <c r="AB3153">
        <v>32</v>
      </c>
      <c r="AC3153">
        <v>19.831700000000001</v>
      </c>
      <c r="AD3153">
        <v>-1.1091840147713301</v>
      </c>
      <c r="AE3153">
        <v>-1.51999999999998</v>
      </c>
      <c r="AF3153">
        <v>1.8681576424648001</v>
      </c>
      <c r="AG3153">
        <v>-1.1091840147713301</v>
      </c>
      <c r="AH3153">
        <v>19.739999095704999</v>
      </c>
      <c r="AI3153">
        <v>93.201772843988294</v>
      </c>
      <c r="AJ3153">
        <v>84.593733379953605</v>
      </c>
      <c r="AK3153">
        <v>19.8592010527654</v>
      </c>
      <c r="AL3153">
        <v>91.7511342979452</v>
      </c>
      <c r="AM3153">
        <v>85.175848646374504</v>
      </c>
      <c r="AN3153">
        <v>0.99999996059762897</v>
      </c>
    </row>
    <row r="3154" spans="1:40" x14ac:dyDescent="0.25">
      <c r="A3154" t="str">
        <f>"20190312161332058"</f>
        <v>20190312161332058</v>
      </c>
      <c r="B3154" t="str">
        <f>"1552378412049488"</f>
        <v>1552378412049488</v>
      </c>
      <c r="C3154" t="s">
        <v>40</v>
      </c>
      <c r="D3154">
        <v>5.4737770000000001</v>
      </c>
      <c r="E3154">
        <v>0.50418620000000003</v>
      </c>
      <c r="F3154" t="s">
        <v>69</v>
      </c>
      <c r="G3154">
        <v>-382.53140000000002</v>
      </c>
      <c r="H3154" s="1">
        <v>-7.0761219999999998E-8</v>
      </c>
      <c r="I3154">
        <v>211.8956</v>
      </c>
      <c r="J3154">
        <v>-402.12580000000003</v>
      </c>
      <c r="K3154">
        <v>1.1088979999999999</v>
      </c>
      <c r="L3154">
        <v>213.42500000000001</v>
      </c>
      <c r="M3154">
        <v>0.99979649999999998</v>
      </c>
      <c r="N3154">
        <v>0</v>
      </c>
      <c r="O3154">
        <v>1.7429529999999999E-2</v>
      </c>
      <c r="P3154">
        <v>0.99696799999999997</v>
      </c>
      <c r="Q3154">
        <v>-4.0464930000000003E-2</v>
      </c>
      <c r="R3154">
        <v>-6.6465999999999997E-2</v>
      </c>
      <c r="S3154">
        <v>2.9870909999999999</v>
      </c>
      <c r="T3154">
        <v>-0.16618279999999999</v>
      </c>
      <c r="U3154">
        <v>-0.22828670000000001</v>
      </c>
      <c r="V3154">
        <v>8.3806820000000004E-2</v>
      </c>
      <c r="W3154">
        <v>-3.041257E-2</v>
      </c>
      <c r="X3154">
        <v>0.99601779999999995</v>
      </c>
      <c r="Y3154">
        <v>9.3399960000000004E-2</v>
      </c>
      <c r="Z3154">
        <v>-3.559998E-3</v>
      </c>
      <c r="AA3154">
        <v>0.99562229999999996</v>
      </c>
      <c r="AB3154">
        <v>32</v>
      </c>
      <c r="AC3154">
        <v>19.5944</v>
      </c>
      <c r="AD3154">
        <v>-1.1088980707612199</v>
      </c>
      <c r="AE3154">
        <v>-1.5294000000000001</v>
      </c>
      <c r="AF3154">
        <v>1.8647702755971101</v>
      </c>
      <c r="AG3154">
        <v>-1.1088980707612199</v>
      </c>
      <c r="AH3154">
        <v>19.502681641740899</v>
      </c>
      <c r="AI3154">
        <v>93.2395192402589</v>
      </c>
      <c r="AJ3154">
        <v>84.5382055778297</v>
      </c>
      <c r="AK3154">
        <v>19.6229868860779</v>
      </c>
      <c r="AL3154">
        <v>91.742780662461399</v>
      </c>
      <c r="AM3154">
        <v>85.190354018259498</v>
      </c>
      <c r="AN3154">
        <v>0.99999998270467805</v>
      </c>
    </row>
    <row r="3155" spans="1:40" x14ac:dyDescent="0.25">
      <c r="A3155" t="str">
        <f>"20190312161332081"</f>
        <v>20190312161332081</v>
      </c>
      <c r="B3155" t="str">
        <f>"1552378412078769"</f>
        <v>1552378412078769</v>
      </c>
      <c r="C3155" t="s">
        <v>40</v>
      </c>
      <c r="D3155">
        <v>5.4510680000000002</v>
      </c>
      <c r="E3155">
        <v>0.50437889999999996</v>
      </c>
      <c r="F3155" t="s">
        <v>69</v>
      </c>
      <c r="G3155">
        <v>-382.2174</v>
      </c>
      <c r="H3155" s="1">
        <v>-2.3753540000000001E-7</v>
      </c>
      <c r="I3155">
        <v>211.88829999999999</v>
      </c>
      <c r="J3155">
        <v>-401.78219999999999</v>
      </c>
      <c r="K3155">
        <v>1.108625</v>
      </c>
      <c r="L3155">
        <v>213.4306</v>
      </c>
      <c r="M3155">
        <v>0.99981640000000005</v>
      </c>
      <c r="N3155">
        <v>0</v>
      </c>
      <c r="O3155">
        <v>1.7006009999999998E-2</v>
      </c>
      <c r="P3155">
        <v>0.99700129999999998</v>
      </c>
      <c r="Q3155">
        <v>-3.8640500000000001E-2</v>
      </c>
      <c r="R3155">
        <v>-6.7047889999999999E-2</v>
      </c>
      <c r="S3155">
        <v>2.9870000000000001</v>
      </c>
      <c r="T3155">
        <v>-0.166376</v>
      </c>
      <c r="U3155">
        <v>-0.2305603</v>
      </c>
      <c r="V3155">
        <v>8.3969760000000004E-2</v>
      </c>
      <c r="W3155">
        <v>-2.9910019999999999E-2</v>
      </c>
      <c r="X3155">
        <v>0.99601930000000005</v>
      </c>
      <c r="Y3155">
        <v>9.3733440000000001E-2</v>
      </c>
      <c r="Z3155">
        <v>-3.5498499999999998E-3</v>
      </c>
      <c r="AA3155">
        <v>0.995591</v>
      </c>
      <c r="AB3155">
        <v>33</v>
      </c>
      <c r="AC3155">
        <v>19.564799999999899</v>
      </c>
      <c r="AD3155">
        <v>-1.1086252375354</v>
      </c>
      <c r="AE3155">
        <v>-1.54230000000001</v>
      </c>
      <c r="AF3155">
        <v>1.8688455953768901</v>
      </c>
      <c r="AG3155">
        <v>-1.1086252375354</v>
      </c>
      <c r="AH3155">
        <v>19.473600604648901</v>
      </c>
      <c r="AI3155">
        <v>93.243441977434003</v>
      </c>
      <c r="AJ3155">
        <v>84.518217267146795</v>
      </c>
      <c r="AK3155">
        <v>19.594457233770001</v>
      </c>
      <c r="AL3155">
        <v>91.713973552758404</v>
      </c>
      <c r="AM3155">
        <v>85.181054162516304</v>
      </c>
      <c r="AN3155">
        <v>0.99999998793167399</v>
      </c>
    </row>
    <row r="3156" spans="1:40" x14ac:dyDescent="0.25">
      <c r="A3156" t="str">
        <f>"20190312161332107"</f>
        <v>20190312161332107</v>
      </c>
      <c r="B3156" t="str">
        <f>"1552378412099264"</f>
        <v>1552378412099264</v>
      </c>
      <c r="C3156" t="s">
        <v>40</v>
      </c>
      <c r="D3156">
        <v>5.4823529999999998</v>
      </c>
      <c r="E3156">
        <v>0.50448999999999999</v>
      </c>
      <c r="F3156" t="s">
        <v>69</v>
      </c>
      <c r="G3156">
        <v>-381.59399999999999</v>
      </c>
      <c r="H3156" s="1">
        <v>-5.6760399999999998E-7</v>
      </c>
      <c r="I3156">
        <v>211.84950000000001</v>
      </c>
      <c r="J3156">
        <v>-401.4255</v>
      </c>
      <c r="K3156">
        <v>1.1083879999999999</v>
      </c>
      <c r="L3156">
        <v>213.43629999999999</v>
      </c>
      <c r="M3156">
        <v>0.99983480000000002</v>
      </c>
      <c r="N3156">
        <v>0</v>
      </c>
      <c r="O3156">
        <v>1.6574189999999999E-2</v>
      </c>
      <c r="P3156">
        <v>0.99704280000000001</v>
      </c>
      <c r="Q3156">
        <v>-3.6970999999999997E-2</v>
      </c>
      <c r="R3156">
        <v>-6.73705E-2</v>
      </c>
      <c r="S3156">
        <v>2.9869379999999999</v>
      </c>
      <c r="T3156">
        <v>-0.16402600000000001</v>
      </c>
      <c r="U3156">
        <v>-0.23393249999999999</v>
      </c>
      <c r="V3156">
        <v>8.3864670000000002E-2</v>
      </c>
      <c r="W3156">
        <v>-2.9596480000000001E-2</v>
      </c>
      <c r="X3156">
        <v>0.99603750000000002</v>
      </c>
      <c r="Y3156">
        <v>9.4426449999999995E-2</v>
      </c>
      <c r="Z3156">
        <v>-3.4950150000000002E-3</v>
      </c>
      <c r="AA3156">
        <v>0.99552569999999996</v>
      </c>
      <c r="AB3156">
        <v>33</v>
      </c>
      <c r="AC3156">
        <v>19.831499999999998</v>
      </c>
      <c r="AD3156">
        <v>-1.108388567604</v>
      </c>
      <c r="AE3156">
        <v>-1.58679999999998</v>
      </c>
      <c r="AF3156">
        <v>1.9093558586022901</v>
      </c>
      <c r="AG3156">
        <v>-1.108388567604</v>
      </c>
      <c r="AH3156">
        <v>19.7412012955871</v>
      </c>
      <c r="AI3156">
        <v>93.198657143411495</v>
      </c>
      <c r="AJ3156">
        <v>84.4755738727157</v>
      </c>
      <c r="AK3156">
        <v>19.8642692693304</v>
      </c>
      <c r="AL3156">
        <v>91.696001110768904</v>
      </c>
      <c r="AM3156">
        <v>85.187144361409295</v>
      </c>
      <c r="AN3156">
        <v>0.99999996795442403</v>
      </c>
    </row>
    <row r="3157" spans="1:40" x14ac:dyDescent="0.25">
      <c r="A3157" t="str">
        <f>"20190312161332127"</f>
        <v>20190312161332127</v>
      </c>
      <c r="B3157" t="str">
        <f>"1552378412119292"</f>
        <v>1552378412119292</v>
      </c>
      <c r="C3157" t="s">
        <v>40</v>
      </c>
      <c r="D3157">
        <v>5.5872789999999997</v>
      </c>
      <c r="E3157">
        <v>0.50444149999999999</v>
      </c>
      <c r="F3157" t="s">
        <v>69</v>
      </c>
      <c r="G3157">
        <v>-380.66829999999999</v>
      </c>
      <c r="H3157" s="1">
        <v>-1.0580010000000001E-6</v>
      </c>
      <c r="I3157">
        <v>211.79910000000001</v>
      </c>
      <c r="J3157">
        <v>-401.10640000000001</v>
      </c>
      <c r="K3157">
        <v>1.108204</v>
      </c>
      <c r="L3157">
        <v>213.44139999999999</v>
      </c>
      <c r="M3157">
        <v>0.99984899999999999</v>
      </c>
      <c r="N3157">
        <v>0</v>
      </c>
      <c r="O3157">
        <v>1.6202250000000001E-2</v>
      </c>
      <c r="P3157">
        <v>0.99710109999999996</v>
      </c>
      <c r="Q3157">
        <v>-3.5436589999999997E-2</v>
      </c>
      <c r="R3157">
        <v>-6.7333879999999999E-2</v>
      </c>
      <c r="S3157">
        <v>2.9870909999999999</v>
      </c>
      <c r="T3157">
        <v>-0.1595039</v>
      </c>
      <c r="U3157">
        <v>-0.23561099999999999</v>
      </c>
      <c r="V3157">
        <v>8.3459099999999994E-2</v>
      </c>
      <c r="W3157">
        <v>-2.923663E-2</v>
      </c>
      <c r="X3157">
        <v>0.99608220000000003</v>
      </c>
      <c r="Y3157">
        <v>9.4617300000000001E-2</v>
      </c>
      <c r="Z3157">
        <v>-3.3838079999999999E-3</v>
      </c>
      <c r="AA3157">
        <v>0.99550799999999995</v>
      </c>
      <c r="AB3157">
        <v>33</v>
      </c>
      <c r="AC3157">
        <v>20.438099999999999</v>
      </c>
      <c r="AD3157">
        <v>-1.1082050580009899</v>
      </c>
      <c r="AE3157">
        <v>-1.6422999999999699</v>
      </c>
      <c r="AF3157">
        <v>1.967486696508</v>
      </c>
      <c r="AG3157">
        <v>-1.1082050580009899</v>
      </c>
      <c r="AH3157">
        <v>20.349362671509201</v>
      </c>
      <c r="AI3157">
        <v>93.1027490154855</v>
      </c>
      <c r="AJ3157">
        <v>84.477498992482793</v>
      </c>
      <c r="AK3157">
        <v>20.4742688144932</v>
      </c>
      <c r="AL3157">
        <v>91.675374284569799</v>
      </c>
      <c r="AM3157">
        <v>85.210524754480005</v>
      </c>
      <c r="AN3157">
        <v>0.99999997553170294</v>
      </c>
    </row>
    <row r="3158" spans="1:40" x14ac:dyDescent="0.25">
      <c r="A3158" t="str">
        <f>"20190312161332150"</f>
        <v>20190312161332150</v>
      </c>
      <c r="B3158" t="str">
        <f>"1552378412138812"</f>
        <v>1552378412138812</v>
      </c>
      <c r="C3158" t="s">
        <v>40</v>
      </c>
      <c r="D3158">
        <v>5.4931999999999999</v>
      </c>
      <c r="E3158">
        <v>0.50423439999999997</v>
      </c>
      <c r="F3158" t="s">
        <v>69</v>
      </c>
      <c r="G3158">
        <v>-379.68150000000003</v>
      </c>
      <c r="H3158" s="1">
        <v>3.61521E-6</v>
      </c>
      <c r="I3158">
        <v>211.7561</v>
      </c>
      <c r="J3158">
        <v>-400.76089999999999</v>
      </c>
      <c r="K3158">
        <v>1.1080369999999999</v>
      </c>
      <c r="L3158">
        <v>213.44669999999999</v>
      </c>
      <c r="M3158">
        <v>0.99986189999999997</v>
      </c>
      <c r="N3158">
        <v>0</v>
      </c>
      <c r="O3158">
        <v>1.5816259999999999E-2</v>
      </c>
      <c r="P3158">
        <v>0.99716059999999995</v>
      </c>
      <c r="Q3158">
        <v>-3.4229219999999998E-2</v>
      </c>
      <c r="R3158">
        <v>-6.7073720000000003E-2</v>
      </c>
      <c r="S3158">
        <v>2.9873660000000002</v>
      </c>
      <c r="T3158">
        <v>-0.1545212</v>
      </c>
      <c r="U3158">
        <v>-0.23498540000000001</v>
      </c>
      <c r="V3158">
        <v>8.2815130000000001E-2</v>
      </c>
      <c r="W3158">
        <v>-2.9212289999999998E-2</v>
      </c>
      <c r="X3158">
        <v>0.99613669999999999</v>
      </c>
      <c r="Y3158">
        <v>9.4029459999999995E-2</v>
      </c>
      <c r="Z3158">
        <v>-3.2428700000000001E-3</v>
      </c>
      <c r="AA3158">
        <v>0.99556420000000001</v>
      </c>
      <c r="AB3158">
        <v>34</v>
      </c>
      <c r="AC3158">
        <v>21.0793999999999</v>
      </c>
      <c r="AD3158">
        <v>-1.1080333847899999</v>
      </c>
      <c r="AE3158">
        <v>-1.6905999999999799</v>
      </c>
      <c r="AF3158">
        <v>2.0182492469111901</v>
      </c>
      <c r="AG3158">
        <v>-1.1080333847899999</v>
      </c>
      <c r="AH3158">
        <v>20.9923915197421</v>
      </c>
      <c r="AI3158">
        <v>93.007575127177702</v>
      </c>
      <c r="AJ3158">
        <v>84.508351364109998</v>
      </c>
      <c r="AK3158">
        <v>21.1182757279709</v>
      </c>
      <c r="AL3158">
        <v>91.673979044321698</v>
      </c>
      <c r="AM3158">
        <v>85.247569216014895</v>
      </c>
      <c r="AN3158">
        <v>1.00000001436542</v>
      </c>
    </row>
    <row r="3159" spans="1:40" x14ac:dyDescent="0.25">
      <c r="A3159" t="str">
        <f>"20190312161332172"</f>
        <v>20190312161332172</v>
      </c>
      <c r="B3159" t="str">
        <f>"1552378412169067"</f>
        <v>1552378412169067</v>
      </c>
      <c r="C3159" t="s">
        <v>40</v>
      </c>
      <c r="D3159">
        <v>5.4926159999999999</v>
      </c>
      <c r="E3159">
        <v>0.50393399999999999</v>
      </c>
      <c r="F3159" t="s">
        <v>69</v>
      </c>
      <c r="G3159">
        <v>-378.27210000000002</v>
      </c>
      <c r="H3159" s="1">
        <v>2.8652210000000001E-6</v>
      </c>
      <c r="I3159">
        <v>211.6934</v>
      </c>
      <c r="J3159">
        <v>-400.41739999999999</v>
      </c>
      <c r="K3159">
        <v>1.107931</v>
      </c>
      <c r="L3159">
        <v>213.45189999999999</v>
      </c>
      <c r="M3159">
        <v>0.99987230000000005</v>
      </c>
      <c r="N3159">
        <v>0</v>
      </c>
      <c r="O3159">
        <v>1.5446799999999899E-2</v>
      </c>
      <c r="P3159">
        <v>0.99716879999999997</v>
      </c>
      <c r="Q3159">
        <v>-3.3493250000000002E-2</v>
      </c>
      <c r="R3159">
        <v>-6.7327349999999994E-2</v>
      </c>
      <c r="S3159">
        <v>2.9878230000000001</v>
      </c>
      <c r="T3159">
        <v>-0.14721189999999901</v>
      </c>
      <c r="U3159">
        <v>-0.2329407</v>
      </c>
      <c r="V3159">
        <v>8.2698919999999995E-2</v>
      </c>
      <c r="W3159">
        <v>-2.9445820000000001E-2</v>
      </c>
      <c r="X3159">
        <v>0.99613949999999996</v>
      </c>
      <c r="Y3159">
        <v>9.2987609999999998E-2</v>
      </c>
      <c r="Z3159">
        <v>-3.0454869999999999E-3</v>
      </c>
      <c r="AA3159">
        <v>0.99566259999999995</v>
      </c>
      <c r="AB3159">
        <v>34</v>
      </c>
      <c r="AC3159">
        <v>22.145299999999899</v>
      </c>
      <c r="AD3159">
        <v>-1.107928134779</v>
      </c>
      <c r="AE3159">
        <v>-1.75849999999999</v>
      </c>
      <c r="AF3159">
        <v>2.09515577664602</v>
      </c>
      <c r="AG3159">
        <v>-1.107928134779</v>
      </c>
      <c r="AH3159">
        <v>22.060622756065001</v>
      </c>
      <c r="AI3159">
        <v>92.862233977318297</v>
      </c>
      <c r="AJ3159">
        <v>84.574740598835902</v>
      </c>
      <c r="AK3159">
        <v>22.1875699179893</v>
      </c>
      <c r="AL3159">
        <v>91.687365050286601</v>
      </c>
      <c r="AM3159">
        <v>85.254220842717601</v>
      </c>
      <c r="AN3159">
        <v>1.0000000355724401</v>
      </c>
    </row>
    <row r="3160" spans="1:40" x14ac:dyDescent="0.25">
      <c r="A3160" t="str">
        <f>"20190312161332192"</f>
        <v>20190312161332192</v>
      </c>
      <c r="B3160" t="str">
        <f>"1552378412189564"</f>
        <v>1552378412189564</v>
      </c>
      <c r="C3160" t="s">
        <v>40</v>
      </c>
      <c r="D3160">
        <v>5.5299139999999998</v>
      </c>
      <c r="E3160">
        <v>0.50374379999999996</v>
      </c>
      <c r="F3160" t="s">
        <v>69</v>
      </c>
      <c r="G3160">
        <v>-376.93939999999998</v>
      </c>
      <c r="H3160" s="1">
        <v>2.155992E-6</v>
      </c>
      <c r="I3160">
        <v>211.63329999999999</v>
      </c>
      <c r="J3160">
        <v>-400.10539999999997</v>
      </c>
      <c r="K3160">
        <v>1.107909</v>
      </c>
      <c r="L3160">
        <v>213.4564</v>
      </c>
      <c r="M3160">
        <v>0.99987950000000003</v>
      </c>
      <c r="N3160">
        <v>0</v>
      </c>
      <c r="O3160">
        <v>1.512266E-2</v>
      </c>
      <c r="P3160">
        <v>0.99717630000000002</v>
      </c>
      <c r="Q3160">
        <v>-3.2034970000000003E-2</v>
      </c>
      <c r="R3160">
        <v>-6.7923839999999999E-2</v>
      </c>
      <c r="S3160">
        <v>2.9881899999999999</v>
      </c>
      <c r="T3160">
        <v>-0.1410129</v>
      </c>
      <c r="U3160">
        <v>-0.23146059999999999</v>
      </c>
      <c r="V3160">
        <v>8.2971699999999995E-2</v>
      </c>
      <c r="W3160">
        <v>-2.8579230000000001E-2</v>
      </c>
      <c r="X3160">
        <v>0.99614199999999997</v>
      </c>
      <c r="Y3160">
        <v>9.2177179999999997E-2</v>
      </c>
      <c r="Z3160">
        <v>-2.8827359999999999E-3</v>
      </c>
      <c r="AA3160">
        <v>0.99573840000000002</v>
      </c>
      <c r="AB3160">
        <v>34</v>
      </c>
      <c r="AC3160">
        <v>23.166</v>
      </c>
      <c r="AD3160">
        <v>-1.107906844008</v>
      </c>
      <c r="AE3160">
        <v>-1.8231000000000099</v>
      </c>
      <c r="AF3160">
        <v>2.1682964082179002</v>
      </c>
      <c r="AG3160">
        <v>-1.107906844008</v>
      </c>
      <c r="AH3160">
        <v>23.083309345402402</v>
      </c>
      <c r="AI3160">
        <v>92.735835434230793</v>
      </c>
      <c r="AJ3160">
        <v>84.633752050673493</v>
      </c>
      <c r="AK3160">
        <v>23.211379476981399</v>
      </c>
      <c r="AL3160">
        <v>91.637692282444604</v>
      </c>
      <c r="AM3160">
        <v>85.238650773413099</v>
      </c>
      <c r="AN3160">
        <v>0.99999997977614097</v>
      </c>
    </row>
    <row r="3161" spans="1:40" x14ac:dyDescent="0.25">
      <c r="A3161" t="str">
        <f>"20190312161332214"</f>
        <v>20190312161332214</v>
      </c>
      <c r="B3161" t="str">
        <f>"1552378412208615"</f>
        <v>1552378412208615</v>
      </c>
      <c r="C3161" t="s">
        <v>40</v>
      </c>
      <c r="D3161">
        <v>5.5439920000000003</v>
      </c>
      <c r="E3161">
        <v>0.50382550000000004</v>
      </c>
      <c r="F3161" t="s">
        <v>69</v>
      </c>
      <c r="G3161">
        <v>-375.38760000000002</v>
      </c>
      <c r="H3161" s="1">
        <v>1.3302100000000001E-6</v>
      </c>
      <c r="I3161">
        <v>211.53970000000001</v>
      </c>
      <c r="J3161">
        <v>-399.7697</v>
      </c>
      <c r="K3161">
        <v>1.107972</v>
      </c>
      <c r="L3161">
        <v>213.46119999999999</v>
      </c>
      <c r="M3161">
        <v>0.99988529999999998</v>
      </c>
      <c r="N3161">
        <v>0</v>
      </c>
      <c r="O3161">
        <v>1.478134E-2</v>
      </c>
      <c r="P3161">
        <v>0.99716579999999999</v>
      </c>
      <c r="Q3161">
        <v>-3.1505480000000002E-2</v>
      </c>
      <c r="R3161">
        <v>-6.8322759999999996E-2</v>
      </c>
      <c r="S3161">
        <v>2.9884029999999999</v>
      </c>
      <c r="T3161">
        <v>-0.13394679999999901</v>
      </c>
      <c r="U3161">
        <v>-0.2317352</v>
      </c>
      <c r="V3161">
        <v>8.3028699999999997E-2</v>
      </c>
      <c r="W3161">
        <v>-2.8273619999999999E-2</v>
      </c>
      <c r="X3161">
        <v>0.99614599999999998</v>
      </c>
      <c r="Y3161">
        <v>9.1934920000000003E-2</v>
      </c>
      <c r="Z3161">
        <v>-2.7175350000000001E-3</v>
      </c>
      <c r="AA3161">
        <v>0.99576129999999996</v>
      </c>
      <c r="AB3161">
        <v>35</v>
      </c>
      <c r="AC3161">
        <v>24.382099999999902</v>
      </c>
      <c r="AD3161">
        <v>-1.10797066979</v>
      </c>
      <c r="AE3161">
        <v>-1.92149999999998</v>
      </c>
      <c r="AF3161">
        <v>2.27701918767981</v>
      </c>
      <c r="AG3161">
        <v>-1.10797066979</v>
      </c>
      <c r="AH3161">
        <v>24.301162226861099</v>
      </c>
      <c r="AI3161">
        <v>92.599127841326094</v>
      </c>
      <c r="AJ3161">
        <v>84.647014129039405</v>
      </c>
      <c r="AK3161">
        <v>24.432742395449502</v>
      </c>
      <c r="AL3161">
        <v>91.620174994227597</v>
      </c>
      <c r="AM3161">
        <v>85.235413913680205</v>
      </c>
      <c r="AN3161">
        <v>1.0000000079637901</v>
      </c>
    </row>
    <row r="3162" spans="1:40" x14ac:dyDescent="0.25">
      <c r="A3162" t="str">
        <f>"20190312161332236"</f>
        <v>20190312161332236</v>
      </c>
      <c r="B3162" t="str">
        <f>"1552378412229110"</f>
        <v>1552378412229110</v>
      </c>
      <c r="C3162" t="s">
        <v>40</v>
      </c>
      <c r="D3162">
        <v>5.5209609999999998</v>
      </c>
      <c r="E3162">
        <v>0.50383829999999996</v>
      </c>
      <c r="F3162" t="s">
        <v>69</v>
      </c>
      <c r="G3162">
        <v>-374.88200000000001</v>
      </c>
      <c r="H3162" s="1">
        <v>1.061189E-6</v>
      </c>
      <c r="I3162">
        <v>211.51650000000001</v>
      </c>
      <c r="J3162">
        <v>-399.40429999999998</v>
      </c>
      <c r="K3162">
        <v>1.1081160000000001</v>
      </c>
      <c r="L3162">
        <v>213.46610000000001</v>
      </c>
      <c r="M3162">
        <v>0.99989039999999996</v>
      </c>
      <c r="N3162">
        <v>0</v>
      </c>
      <c r="O3162">
        <v>1.439635E-2</v>
      </c>
      <c r="P3162">
        <v>0.9971238</v>
      </c>
      <c r="Q3162">
        <v>-3.1705360000000002E-2</v>
      </c>
      <c r="R3162">
        <v>-6.8839940000000002E-2</v>
      </c>
      <c r="S3162">
        <v>2.9882810000000002</v>
      </c>
      <c r="T3162">
        <v>-0.13303480000000001</v>
      </c>
      <c r="U3162">
        <v>-0.23349</v>
      </c>
      <c r="V3162">
        <v>8.3160109999999995E-2</v>
      </c>
      <c r="W3162">
        <v>-2.834248E-2</v>
      </c>
      <c r="X3162">
        <v>0.99613309999999999</v>
      </c>
      <c r="Y3162">
        <v>9.2137490000000002E-2</v>
      </c>
      <c r="Z3162">
        <v>-2.6864929999999999E-3</v>
      </c>
      <c r="AA3162">
        <v>0.99574269999999998</v>
      </c>
      <c r="AB3162">
        <v>35</v>
      </c>
      <c r="AC3162">
        <v>24.522300000000001</v>
      </c>
      <c r="AD3162">
        <v>-1.1081149388110001</v>
      </c>
      <c r="AE3162">
        <v>-1.9496</v>
      </c>
      <c r="AF3162">
        <v>2.2977691928016499</v>
      </c>
      <c r="AG3162">
        <v>-1.1081149388110001</v>
      </c>
      <c r="AH3162">
        <v>24.4420950700876</v>
      </c>
      <c r="AI3162">
        <v>92.584423583748205</v>
      </c>
      <c r="AJ3162">
        <v>84.629482938929399</v>
      </c>
      <c r="AK3162">
        <v>24.574858563096701</v>
      </c>
      <c r="AL3162">
        <v>91.624121933234903</v>
      </c>
      <c r="AM3162">
        <v>85.227846261099302</v>
      </c>
      <c r="AN3162">
        <v>1.00000002649168</v>
      </c>
    </row>
    <row r="3163" spans="1:40" x14ac:dyDescent="0.25">
      <c r="A3163" t="str">
        <f>"20190312161332259"</f>
        <v>20190312161332259</v>
      </c>
      <c r="B3163" t="str">
        <f>"1552378412249608"</f>
        <v>1552378412249608</v>
      </c>
      <c r="C3163" t="s">
        <v>40</v>
      </c>
      <c r="D3163">
        <v>5.5526920000000004</v>
      </c>
      <c r="E3163">
        <v>0.50384980000000001</v>
      </c>
      <c r="F3163" t="s">
        <v>69</v>
      </c>
      <c r="G3163">
        <v>-374.71409999999997</v>
      </c>
      <c r="H3163" s="1">
        <v>9.7183510000000001E-7</v>
      </c>
      <c r="I3163">
        <v>211.52189999999999</v>
      </c>
      <c r="J3163">
        <v>-399.06529999999998</v>
      </c>
      <c r="K3163">
        <v>1.1082559999999999</v>
      </c>
      <c r="L3163">
        <v>213.47059999999999</v>
      </c>
      <c r="M3163">
        <v>0.99989479999999997</v>
      </c>
      <c r="N3163">
        <v>0</v>
      </c>
      <c r="O3163">
        <v>1.40108E-2</v>
      </c>
      <c r="P3163">
        <v>0.99710659999999895</v>
      </c>
      <c r="Q3163">
        <v>-3.1825949999999999E-2</v>
      </c>
      <c r="R3163">
        <v>-6.9032419999999997E-2</v>
      </c>
      <c r="S3163">
        <v>2.9881289999999998</v>
      </c>
      <c r="T3163">
        <v>-0.1341096</v>
      </c>
      <c r="U3163">
        <v>-0.23530580000000001</v>
      </c>
      <c r="V3163">
        <v>8.2967750000000007E-2</v>
      </c>
      <c r="W3163">
        <v>-2.817149E-2</v>
      </c>
      <c r="X3163">
        <v>0.99615399999999998</v>
      </c>
      <c r="Y3163">
        <v>9.2357369999999994E-2</v>
      </c>
      <c r="Z3163">
        <v>-2.6959029999999999E-3</v>
      </c>
      <c r="AA3163">
        <v>0.99572229999999995</v>
      </c>
      <c r="AB3163">
        <v>35</v>
      </c>
      <c r="AC3163">
        <v>24.351199999999999</v>
      </c>
      <c r="AD3163">
        <v>-1.1082550281649</v>
      </c>
      <c r="AE3163">
        <v>-1.9487000000000001</v>
      </c>
      <c r="AF3163">
        <v>2.2849881837527</v>
      </c>
      <c r="AG3163">
        <v>-1.1082550281649</v>
      </c>
      <c r="AH3163">
        <v>24.271553440436499</v>
      </c>
      <c r="AI3163">
        <v>92.602853992013394</v>
      </c>
      <c r="AJ3163">
        <v>84.621875004232393</v>
      </c>
      <c r="AK3163">
        <v>24.404051028862099</v>
      </c>
      <c r="AL3163">
        <v>91.614320999117098</v>
      </c>
      <c r="AM3163">
        <v>85.238933493387194</v>
      </c>
      <c r="AN3163">
        <v>1.0000000360524399</v>
      </c>
    </row>
    <row r="3164" spans="1:40" x14ac:dyDescent="0.25">
      <c r="A3164" t="str">
        <f>"20190312161332281"</f>
        <v>20190312161332281</v>
      </c>
      <c r="B3164" t="str">
        <f>"1552378412278886"</f>
        <v>1552378412278886</v>
      </c>
      <c r="C3164" t="s">
        <v>40</v>
      </c>
      <c r="D3164">
        <v>5.5436239999999897</v>
      </c>
      <c r="E3164">
        <v>0.50385249999999904</v>
      </c>
      <c r="F3164" t="s">
        <v>69</v>
      </c>
      <c r="G3164">
        <v>-374.5231</v>
      </c>
      <c r="H3164" s="1">
        <v>8.7020259999999995E-7</v>
      </c>
      <c r="I3164">
        <v>211.5317</v>
      </c>
      <c r="J3164">
        <v>-398.71809999999999</v>
      </c>
      <c r="K3164">
        <v>1.108387</v>
      </c>
      <c r="L3164">
        <v>213.47499999999999</v>
      </c>
      <c r="M3164">
        <v>0.99989930000000005</v>
      </c>
      <c r="N3164">
        <v>0</v>
      </c>
      <c r="O3164">
        <v>1.358765E-2</v>
      </c>
      <c r="P3164">
        <v>0.99709049999999999</v>
      </c>
      <c r="Q3164">
        <v>-3.2250330000000001E-2</v>
      </c>
      <c r="R3164">
        <v>-6.9071030000000005E-2</v>
      </c>
      <c r="S3164">
        <v>2.9880680000000002</v>
      </c>
      <c r="T3164">
        <v>-0.13493289999999999</v>
      </c>
      <c r="U3164">
        <v>-0.23606869999999999</v>
      </c>
      <c r="V3164">
        <v>8.2584329999999997E-2</v>
      </c>
      <c r="W3164">
        <v>-2.8232960000000001E-2</v>
      </c>
      <c r="X3164">
        <v>0.99618410000000002</v>
      </c>
      <c r="Y3164">
        <v>9.218954E-2</v>
      </c>
      <c r="Z3164">
        <v>-2.6896099999999998E-3</v>
      </c>
      <c r="AA3164">
        <v>0.99573789999999995</v>
      </c>
      <c r="AB3164">
        <v>35</v>
      </c>
      <c r="AC3164">
        <v>24.195</v>
      </c>
      <c r="AD3164">
        <v>-1.1083861297974</v>
      </c>
      <c r="AE3164">
        <v>-1.94329999999999</v>
      </c>
      <c r="AF3164">
        <v>2.2671491896017599</v>
      </c>
      <c r="AG3164">
        <v>-1.1083861297974</v>
      </c>
      <c r="AH3164">
        <v>24.116075519614299</v>
      </c>
      <c r="AI3164">
        <v>92.619953309959698</v>
      </c>
      <c r="AJ3164">
        <v>84.629415430591493</v>
      </c>
      <c r="AK3164">
        <v>24.247754199685801</v>
      </c>
      <c r="AL3164">
        <v>91.617844403916905</v>
      </c>
      <c r="AM3164">
        <v>85.260977970155494</v>
      </c>
      <c r="AN3164">
        <v>1.0000000163423599</v>
      </c>
    </row>
    <row r="3165" spans="1:40" x14ac:dyDescent="0.25">
      <c r="A3165" t="str">
        <f>"20190312161332314"</f>
        <v>20190312161332314</v>
      </c>
      <c r="B3165" t="str">
        <f>"1552378412309143"</f>
        <v>1552378412309143</v>
      </c>
      <c r="C3165" t="s">
        <v>40</v>
      </c>
      <c r="D3165">
        <v>5.5898329999999996</v>
      </c>
      <c r="E3165">
        <v>0.5038648</v>
      </c>
      <c r="F3165" t="s">
        <v>69</v>
      </c>
      <c r="G3165">
        <v>-374.40410000000003</v>
      </c>
      <c r="H3165" s="1">
        <v>8.0686499999999899E-7</v>
      </c>
      <c r="I3165">
        <v>211.55410000000001</v>
      </c>
      <c r="J3165">
        <v>-398.21449999999999</v>
      </c>
      <c r="K3165">
        <v>1.108533</v>
      </c>
      <c r="L3165">
        <v>213.4812</v>
      </c>
      <c r="M3165">
        <v>0.9999053</v>
      </c>
      <c r="N3165">
        <v>0</v>
      </c>
      <c r="O3165">
        <v>1.29427E-2</v>
      </c>
      <c r="P3165">
        <v>0.99713649999999998</v>
      </c>
      <c r="Q3165">
        <v>-3.2810159999999998E-2</v>
      </c>
      <c r="R3165">
        <v>-6.8135059999999997E-2</v>
      </c>
      <c r="S3165">
        <v>2.9880070000000001</v>
      </c>
      <c r="T3165">
        <v>-0.13621229999999901</v>
      </c>
      <c r="U3165">
        <v>-0.23606869999999999</v>
      </c>
      <c r="V3165">
        <v>8.1006910000000001E-2</v>
      </c>
      <c r="W3165">
        <v>-2.8231119999999998E-2</v>
      </c>
      <c r="X3165">
        <v>0.99631360000000002</v>
      </c>
      <c r="Y3165">
        <v>9.1548169999999998E-2</v>
      </c>
      <c r="Z3165">
        <v>-2.6712089999999999E-3</v>
      </c>
      <c r="AA3165">
        <v>0.99579700000000004</v>
      </c>
      <c r="AB3165">
        <v>35</v>
      </c>
      <c r="AC3165">
        <v>23.810399999999898</v>
      </c>
      <c r="AD3165">
        <v>-1.1085321931350001</v>
      </c>
      <c r="AE3165">
        <v>-1.92709999999999</v>
      </c>
      <c r="AF3165">
        <v>2.2303100349251501</v>
      </c>
      <c r="AG3165">
        <v>-1.1085321931350001</v>
      </c>
      <c r="AH3165">
        <v>23.7323578341665</v>
      </c>
      <c r="AI3165">
        <v>92.662612002423899</v>
      </c>
      <c r="AJ3165">
        <v>84.631248318766794</v>
      </c>
      <c r="AK3165">
        <v>23.862689178800199</v>
      </c>
      <c r="AL3165">
        <v>91.617739040832106</v>
      </c>
      <c r="AM3165">
        <v>85.351697707693504</v>
      </c>
      <c r="AN3165">
        <v>0.99999995257457996</v>
      </c>
    </row>
    <row r="3166" spans="1:40" x14ac:dyDescent="0.25">
      <c r="A3166" t="str">
        <f>"20190312161332338"</f>
        <v>20190312161332338</v>
      </c>
      <c r="B3166" t="str">
        <f>"1552378412328662"</f>
        <v>1552378412328662</v>
      </c>
      <c r="C3166" t="s">
        <v>40</v>
      </c>
      <c r="D3166">
        <v>5.5915369999999998</v>
      </c>
      <c r="E3166">
        <v>0.50387349999999997</v>
      </c>
      <c r="F3166" t="s">
        <v>69</v>
      </c>
      <c r="G3166">
        <v>-374.16019999999997</v>
      </c>
      <c r="H3166" s="1">
        <v>6.7707279999999995E-7</v>
      </c>
      <c r="I3166">
        <v>211.60140000000001</v>
      </c>
      <c r="J3166">
        <v>-397.82850000000002</v>
      </c>
      <c r="K3166">
        <v>1.1086039999999999</v>
      </c>
      <c r="L3166">
        <v>213.48570000000001</v>
      </c>
      <c r="M3166">
        <v>0.99990959999999995</v>
      </c>
      <c r="N3166">
        <v>0</v>
      </c>
      <c r="O3166">
        <v>1.2441229999999999E-2</v>
      </c>
      <c r="P3166">
        <v>0.99718759999999995</v>
      </c>
      <c r="Q3166">
        <v>-3.2363169999999997E-2</v>
      </c>
      <c r="R3166">
        <v>-6.7600670000000002E-2</v>
      </c>
      <c r="S3166">
        <v>2.988159</v>
      </c>
      <c r="T3166">
        <v>-0.13770829999999901</v>
      </c>
      <c r="U3166">
        <v>-0.23352049999999999</v>
      </c>
      <c r="V3166">
        <v>7.997427E-2</v>
      </c>
      <c r="W3166">
        <v>-2.735808E-2</v>
      </c>
      <c r="X3166">
        <v>0.99642140000000001</v>
      </c>
      <c r="Y3166">
        <v>9.0200310000000006E-2</v>
      </c>
      <c r="Z3166">
        <v>-2.6464069999999999E-3</v>
      </c>
      <c r="AA3166">
        <v>0.99592009999999997</v>
      </c>
      <c r="AB3166">
        <v>35</v>
      </c>
      <c r="AC3166">
        <v>23.668299999999999</v>
      </c>
      <c r="AD3166">
        <v>-1.1086033229271901</v>
      </c>
      <c r="AE3166">
        <v>-1.8842999999999901</v>
      </c>
      <c r="AF3166">
        <v>2.1738814982818302</v>
      </c>
      <c r="AG3166">
        <v>-1.1086033229271901</v>
      </c>
      <c r="AH3166">
        <v>23.591593050333302</v>
      </c>
      <c r="AI3166">
        <v>92.679099580387799</v>
      </c>
      <c r="AJ3166">
        <v>84.735264751115494</v>
      </c>
      <c r="AK3166">
        <v>23.7174624432866</v>
      </c>
      <c r="AL3166">
        <v>91.567698157598301</v>
      </c>
      <c r="AM3166">
        <v>85.411191837979104</v>
      </c>
      <c r="AN3166">
        <v>0.99999997739063895</v>
      </c>
    </row>
    <row r="3167" spans="1:40" x14ac:dyDescent="0.25">
      <c r="A3167" t="str">
        <f>"20190312161332360"</f>
        <v>20190312161332360</v>
      </c>
      <c r="B3167" t="str">
        <f>"1552378412349158"</f>
        <v>1552378412349158</v>
      </c>
      <c r="C3167" t="s">
        <v>40</v>
      </c>
      <c r="D3167">
        <v>5.6143739999999998</v>
      </c>
      <c r="E3167">
        <v>0.50388949999999999</v>
      </c>
      <c r="F3167" t="s">
        <v>69</v>
      </c>
      <c r="G3167">
        <v>-373.51490000000001</v>
      </c>
      <c r="H3167" s="1">
        <v>3.3366580000000001E-7</v>
      </c>
      <c r="I3167">
        <v>211.59970000000001</v>
      </c>
      <c r="J3167">
        <v>-397.48050000000001</v>
      </c>
      <c r="K3167">
        <v>1.1086560000000001</v>
      </c>
      <c r="L3167">
        <v>213.4897</v>
      </c>
      <c r="M3167">
        <v>0.99991319999999995</v>
      </c>
      <c r="N3167">
        <v>0</v>
      </c>
      <c r="O3167">
        <v>1.199218E-2</v>
      </c>
      <c r="P3167">
        <v>0.9972048</v>
      </c>
      <c r="Q3167">
        <v>-3.1689219999999997E-2</v>
      </c>
      <c r="R3167">
        <v>-6.7666840000000006E-2</v>
      </c>
      <c r="S3167">
        <v>2.9883120000000001</v>
      </c>
      <c r="T3167">
        <v>-0.1362553</v>
      </c>
      <c r="U3167">
        <v>-0.2318115</v>
      </c>
      <c r="V3167">
        <v>7.9594059999999994E-2</v>
      </c>
      <c r="W3167">
        <v>-2.6320099999999999E-2</v>
      </c>
      <c r="X3167">
        <v>0.99647980000000003</v>
      </c>
      <c r="Y3167">
        <v>8.9186769999999999E-2</v>
      </c>
      <c r="Z3167">
        <v>-2.57494E-3</v>
      </c>
      <c r="AA3167">
        <v>0.9960116</v>
      </c>
      <c r="AB3167">
        <v>35</v>
      </c>
      <c r="AC3167">
        <v>23.965599999999899</v>
      </c>
      <c r="AD3167">
        <v>-1.10865566633419</v>
      </c>
      <c r="AE3167">
        <v>-1.8899999999999799</v>
      </c>
      <c r="AF3167">
        <v>2.1726473978238201</v>
      </c>
      <c r="AG3167">
        <v>-1.10865566633419</v>
      </c>
      <c r="AH3167">
        <v>23.890401250427001</v>
      </c>
      <c r="AI3167">
        <v>92.646052340071606</v>
      </c>
      <c r="AJ3167">
        <v>84.803685475262995</v>
      </c>
      <c r="AK3167">
        <v>24.014595270546799</v>
      </c>
      <c r="AL3167">
        <v>91.508204849583095</v>
      </c>
      <c r="AM3167">
        <v>85.433181755961598</v>
      </c>
      <c r="AN3167">
        <v>0.99999997692966602</v>
      </c>
    </row>
    <row r="3168" spans="1:40" x14ac:dyDescent="0.25">
      <c r="A3168" t="str">
        <f>"20190312161332382"</f>
        <v>20190312161332382</v>
      </c>
      <c r="B3168" t="str">
        <f>"1552378412379416"</f>
        <v>1552378412379416</v>
      </c>
      <c r="C3168" t="s">
        <v>40</v>
      </c>
      <c r="D3168">
        <v>5.6650749999999999</v>
      </c>
      <c r="E3168">
        <v>0.5039167</v>
      </c>
      <c r="F3168" t="s">
        <v>69</v>
      </c>
      <c r="G3168">
        <v>-372.964</v>
      </c>
      <c r="H3168" s="1">
        <v>4.048161E-8</v>
      </c>
      <c r="I3168">
        <v>211.58500000000001</v>
      </c>
      <c r="J3168">
        <v>-397.14120000000003</v>
      </c>
      <c r="K3168">
        <v>1.108684</v>
      </c>
      <c r="L3168">
        <v>213.4933</v>
      </c>
      <c r="M3168">
        <v>0.99991640000000004</v>
      </c>
      <c r="N3168">
        <v>0</v>
      </c>
      <c r="O3168">
        <v>1.155986E-2</v>
      </c>
      <c r="P3168">
        <v>0.99724020000000002</v>
      </c>
      <c r="Q3168">
        <v>-3.1069019999999999E-2</v>
      </c>
      <c r="R3168">
        <v>-6.7429489999999995E-2</v>
      </c>
      <c r="S3168">
        <v>2.9883419999999998</v>
      </c>
      <c r="T3168">
        <v>-0.1351348</v>
      </c>
      <c r="U3168">
        <v>-0.23216249999999999</v>
      </c>
      <c r="V3168">
        <v>7.8927199999999906E-2</v>
      </c>
      <c r="W3168">
        <v>-2.5369880000000001E-2</v>
      </c>
      <c r="X3168">
        <v>0.99655749999999999</v>
      </c>
      <c r="Y3168">
        <v>8.8874090000000003E-2</v>
      </c>
      <c r="Z3168">
        <v>-2.5271809999999999E-3</v>
      </c>
      <c r="AA3168">
        <v>0.99603969999999997</v>
      </c>
      <c r="AB3168">
        <v>35</v>
      </c>
      <c r="AC3168">
        <v>24.177199999999999</v>
      </c>
      <c r="AD3168">
        <v>-1.1086839595183899</v>
      </c>
      <c r="AE3168">
        <v>-1.9082999999999899</v>
      </c>
      <c r="AF3168">
        <v>2.1830999666037099</v>
      </c>
      <c r="AG3168">
        <v>-1.1086839595183899</v>
      </c>
      <c r="AH3168">
        <v>24.103153483614101</v>
      </c>
      <c r="AI3168">
        <v>92.622882938497</v>
      </c>
      <c r="AJ3168">
        <v>84.824658522451202</v>
      </c>
      <c r="AK3168">
        <v>24.2271978041403</v>
      </c>
      <c r="AL3168">
        <v>91.453743036091396</v>
      </c>
      <c r="AM3168">
        <v>85.471635560626595</v>
      </c>
      <c r="AN3168">
        <v>0.99999999225865199</v>
      </c>
    </row>
    <row r="3169" spans="1:40" x14ac:dyDescent="0.25">
      <c r="A3169" t="str">
        <f>"20190312161332403"</f>
        <v>20190312161332403</v>
      </c>
      <c r="B3169" t="str">
        <f>"1552378412398935"</f>
        <v>1552378412398935</v>
      </c>
      <c r="C3169" t="s">
        <v>40</v>
      </c>
      <c r="D3169">
        <v>5.9228569999999996</v>
      </c>
      <c r="E3169">
        <v>0.5039072</v>
      </c>
      <c r="F3169" t="s">
        <v>69</v>
      </c>
      <c r="G3169">
        <v>-372.80169999999998</v>
      </c>
      <c r="H3169" s="1">
        <v>-4.5843819999999999E-8</v>
      </c>
      <c r="I3169">
        <v>211.60820000000001</v>
      </c>
      <c r="J3169">
        <v>-396.80770000000001</v>
      </c>
      <c r="K3169">
        <v>1.1086990000000001</v>
      </c>
      <c r="L3169">
        <v>213.49680000000001</v>
      </c>
      <c r="M3169">
        <v>0.99991949999999996</v>
      </c>
      <c r="N3169">
        <v>0</v>
      </c>
      <c r="O3169">
        <v>1.1139049999999999E-2</v>
      </c>
      <c r="P3169">
        <v>0.99724539999999995</v>
      </c>
      <c r="Q3169">
        <v>-3.0688799999999999E-2</v>
      </c>
      <c r="R3169">
        <v>-6.7526649999999994E-2</v>
      </c>
      <c r="S3169">
        <v>2.9883730000000002</v>
      </c>
      <c r="T3169">
        <v>-0.13612279999999999</v>
      </c>
      <c r="U3169">
        <v>-0.23146059999999999</v>
      </c>
      <c r="V3169">
        <v>7.8605670000000002E-2</v>
      </c>
      <c r="W3169">
        <v>-2.4693030000000001E-2</v>
      </c>
      <c r="X3169">
        <v>0.99659989999999998</v>
      </c>
      <c r="Y3169">
        <v>8.8221190000000005E-2</v>
      </c>
      <c r="Z3169">
        <v>-2.5116629999999999E-3</v>
      </c>
      <c r="AA3169">
        <v>0.99609769999999997</v>
      </c>
      <c r="AB3169">
        <v>35</v>
      </c>
      <c r="AC3169">
        <v>24.006</v>
      </c>
      <c r="AD3169">
        <v>-1.10869904584382</v>
      </c>
      <c r="AE3169">
        <v>-1.8885999999999901</v>
      </c>
      <c r="AF3169">
        <v>2.1513312645341198</v>
      </c>
      <c r="AG3169">
        <v>-1.10869904584382</v>
      </c>
      <c r="AH3169">
        <v>23.932738829112001</v>
      </c>
      <c r="AI3169">
        <v>92.641730018938901</v>
      </c>
      <c r="AJ3169">
        <v>84.863446145024199</v>
      </c>
      <c r="AK3169">
        <v>24.054800511467601</v>
      </c>
      <c r="AL3169">
        <v>91.414950250434003</v>
      </c>
      <c r="AM3169">
        <v>85.490197828509906</v>
      </c>
      <c r="AN3169">
        <v>0.999999978883369</v>
      </c>
    </row>
    <row r="3170" spans="1:40" x14ac:dyDescent="0.25">
      <c r="A3170" t="str">
        <f>"20190312161332426"</f>
        <v>20190312161332426</v>
      </c>
      <c r="B3170" t="str">
        <f>"1552378412418962"</f>
        <v>1552378412418962</v>
      </c>
      <c r="C3170" t="s">
        <v>40</v>
      </c>
      <c r="D3170">
        <v>5.4908210000000004</v>
      </c>
      <c r="E3170">
        <v>0.46448220000000001</v>
      </c>
      <c r="F3170" t="s">
        <v>69</v>
      </c>
      <c r="G3170">
        <v>-372.36649999999997</v>
      </c>
      <c r="H3170" s="1">
        <v>-2.7742369999999998E-7</v>
      </c>
      <c r="I3170">
        <v>211.60140000000001</v>
      </c>
      <c r="J3170">
        <v>-396.44380000000001</v>
      </c>
      <c r="K3170">
        <v>1.1087039999999999</v>
      </c>
      <c r="L3170">
        <v>213.50040000000001</v>
      </c>
      <c r="M3170">
        <v>0.99992259999999999</v>
      </c>
      <c r="N3170">
        <v>0</v>
      </c>
      <c r="O3170">
        <v>1.0686559999999999E-2</v>
      </c>
      <c r="P3170">
        <v>0.99721939999999998</v>
      </c>
      <c r="Q3170">
        <v>-3.0136690000000001E-2</v>
      </c>
      <c r="R3170">
        <v>-6.8156750000000002E-2</v>
      </c>
      <c r="S3170">
        <v>2.988464</v>
      </c>
      <c r="T3170">
        <v>-0.1355625</v>
      </c>
      <c r="U3170">
        <v>-0.2317505</v>
      </c>
      <c r="V3170">
        <v>7.8785279999999999E-2</v>
      </c>
      <c r="W3170">
        <v>-2.3847859999999999E-2</v>
      </c>
      <c r="X3170">
        <v>0.99660629999999994</v>
      </c>
      <c r="Y3170">
        <v>8.7865860000000004E-2</v>
      </c>
      <c r="Z3170">
        <v>-2.4727199999999999E-3</v>
      </c>
      <c r="AA3170">
        <v>0.9961293</v>
      </c>
      <c r="AB3170">
        <v>35</v>
      </c>
      <c r="AC3170">
        <v>24.077300000000001</v>
      </c>
      <c r="AD3170">
        <v>-1.1087042774236999</v>
      </c>
      <c r="AE3170">
        <v>-1.899</v>
      </c>
      <c r="AF3170">
        <v>2.1516661232476002</v>
      </c>
      <c r="AG3170">
        <v>-1.1087042774236999</v>
      </c>
      <c r="AH3170">
        <v>24.005045470276102</v>
      </c>
      <c r="AI3170">
        <v>92.633856526727897</v>
      </c>
      <c r="AJ3170">
        <v>84.878042907465201</v>
      </c>
      <c r="AK3170">
        <v>24.126771443994102</v>
      </c>
      <c r="AL3170">
        <v>91.366511305164593</v>
      </c>
      <c r="AM3170">
        <v>85.479964717596403</v>
      </c>
      <c r="AN3170">
        <v>0.99999997898547299</v>
      </c>
    </row>
    <row r="3171" spans="1:40" x14ac:dyDescent="0.25">
      <c r="A3171" t="str">
        <f>"20190312161332450"</f>
        <v>20190312161332450</v>
      </c>
      <c r="B3171" t="str">
        <f>"1552378412439460"</f>
        <v>1552378412439460</v>
      </c>
      <c r="C3171" t="s">
        <v>40</v>
      </c>
      <c r="D3171">
        <v>5.4644059999999897</v>
      </c>
      <c r="E3171">
        <v>0.4575323</v>
      </c>
      <c r="F3171" t="s">
        <v>69</v>
      </c>
      <c r="G3171">
        <v>-331.98750000000001</v>
      </c>
      <c r="H3171" s="1">
        <v>-5.0205639999999995E-7</v>
      </c>
      <c r="I3171">
        <v>215.14089999999999</v>
      </c>
      <c r="J3171">
        <v>-396.07659999999998</v>
      </c>
      <c r="K3171">
        <v>1.1087119999999999</v>
      </c>
      <c r="L3171">
        <v>213.50389999999999</v>
      </c>
      <c r="M3171">
        <v>0.99992530000000002</v>
      </c>
      <c r="N3171">
        <v>0</v>
      </c>
      <c r="O3171">
        <v>1.0248470000000001E-2</v>
      </c>
      <c r="P3171">
        <v>0.99719089999999999</v>
      </c>
      <c r="Q3171">
        <v>-2.9144130000000001E-2</v>
      </c>
      <c r="R3171">
        <v>-6.9000350000000002E-2</v>
      </c>
      <c r="S3171">
        <v>3.0120239999999998</v>
      </c>
      <c r="T3171">
        <v>-5.1809429999999997E-2</v>
      </c>
      <c r="U3171">
        <v>7.6660160000000005E-2</v>
      </c>
      <c r="V3171">
        <v>7.9193440000000004E-2</v>
      </c>
      <c r="W3171">
        <v>-2.259164E-2</v>
      </c>
      <c r="X3171">
        <v>0.99660329999999997</v>
      </c>
      <c r="Y3171">
        <v>-1.519569E-2</v>
      </c>
      <c r="Z3171" s="1">
        <v>-4.5578229999999999E-5</v>
      </c>
      <c r="AA3171">
        <v>0.99988449999999995</v>
      </c>
      <c r="AB3171">
        <v>35</v>
      </c>
      <c r="AC3171">
        <v>64.089099999999902</v>
      </c>
      <c r="AD3171">
        <v>-1.1087125020563999</v>
      </c>
      <c r="AE3171">
        <v>1.637</v>
      </c>
      <c r="AF3171">
        <v>-0.979791202316592</v>
      </c>
      <c r="AG3171">
        <v>-1.1087125020563999</v>
      </c>
      <c r="AH3171">
        <v>64.083345205048303</v>
      </c>
      <c r="AI3171">
        <v>90.991065438766498</v>
      </c>
      <c r="AJ3171">
        <v>90.875945642345499</v>
      </c>
      <c r="AK3171">
        <v>64.100424077237903</v>
      </c>
      <c r="AL3171">
        <v>91.294515678363894</v>
      </c>
      <c r="AM3171">
        <v>85.456632105703704</v>
      </c>
      <c r="AN3171">
        <v>1.0000000603539001</v>
      </c>
    </row>
    <row r="3172" spans="1:40" x14ac:dyDescent="0.25">
      <c r="A3172" t="str">
        <f>"20190312161332471"</f>
        <v>20190312161332471</v>
      </c>
      <c r="B3172" t="str">
        <f>"1552378412468738"</f>
        <v>1552378412468738</v>
      </c>
      <c r="C3172" t="s">
        <v>40</v>
      </c>
      <c r="D3172">
        <v>5.4567949999999996</v>
      </c>
      <c r="E3172">
        <v>0.45431890000000003</v>
      </c>
      <c r="F3172" t="s">
        <v>69</v>
      </c>
      <c r="G3172">
        <v>-335.81639999999999</v>
      </c>
      <c r="H3172" s="1">
        <v>1.4937579999999999E-6</v>
      </c>
      <c r="I3172">
        <v>216.09520000000001</v>
      </c>
      <c r="J3172">
        <v>-395.72980000000001</v>
      </c>
      <c r="K3172">
        <v>1.108724</v>
      </c>
      <c r="L3172">
        <v>213.50710000000001</v>
      </c>
      <c r="M3172">
        <v>0.99992760000000003</v>
      </c>
      <c r="N3172">
        <v>0</v>
      </c>
      <c r="O3172">
        <v>9.8651050000000007E-3</v>
      </c>
      <c r="P3172">
        <v>0.99714910000000001</v>
      </c>
      <c r="Q3172">
        <v>-2.7998229999999999E-2</v>
      </c>
      <c r="R3172">
        <v>-7.0066439999999994E-2</v>
      </c>
      <c r="S3172">
        <v>3.0157780000000001</v>
      </c>
      <c r="T3172">
        <v>-5.5486439999999998E-2</v>
      </c>
      <c r="U3172">
        <v>0.12968440000000001</v>
      </c>
      <c r="V3172">
        <v>7.9879710000000007E-2</v>
      </c>
      <c r="W3172">
        <v>-2.1224300000000001E-2</v>
      </c>
      <c r="X3172">
        <v>0.99657850000000003</v>
      </c>
      <c r="Y3172">
        <v>-3.3100039999999997E-2</v>
      </c>
      <c r="Z3172">
        <v>1.2293420000000001E-4</v>
      </c>
      <c r="AA3172">
        <v>0.99945209999999995</v>
      </c>
      <c r="AB3172">
        <v>35</v>
      </c>
      <c r="AC3172">
        <v>59.913400000000003</v>
      </c>
      <c r="AD3172">
        <v>-1.1087225062420001</v>
      </c>
      <c r="AE3172">
        <v>2.5880999999999901</v>
      </c>
      <c r="AF3172">
        <v>-1.99622570605135</v>
      </c>
      <c r="AG3172">
        <v>-1.1087225062420001</v>
      </c>
      <c r="AH3172">
        <v>59.915536990585402</v>
      </c>
      <c r="AI3172">
        <v>91.059535766107402</v>
      </c>
      <c r="AJ3172">
        <v>91.908236515269195</v>
      </c>
      <c r="AK3172">
        <v>59.959033977671503</v>
      </c>
      <c r="AL3172">
        <v>91.216154164844397</v>
      </c>
      <c r="AM3172">
        <v>85.417313870534898</v>
      </c>
      <c r="AN3172">
        <v>0.999999972821211</v>
      </c>
    </row>
    <row r="3173" spans="1:40" x14ac:dyDescent="0.25">
      <c r="A3173" t="str">
        <f>"20190312161332494"</f>
        <v>20190312161332494</v>
      </c>
      <c r="B3173" t="str">
        <f>"1552378412489235"</f>
        <v>1552378412489235</v>
      </c>
      <c r="C3173" t="s">
        <v>40</v>
      </c>
      <c r="D3173">
        <v>5.4565849999999996</v>
      </c>
      <c r="E3173">
        <v>0.45354549999999999</v>
      </c>
      <c r="F3173" t="s">
        <v>69</v>
      </c>
      <c r="G3173">
        <v>-338.31220000000002</v>
      </c>
      <c r="H3173" s="1">
        <v>2.808288E-6</v>
      </c>
      <c r="I3173">
        <v>216.40700000000001</v>
      </c>
      <c r="J3173">
        <v>-395.3766</v>
      </c>
      <c r="K3173">
        <v>1.1087530000000001</v>
      </c>
      <c r="L3173">
        <v>213.5103</v>
      </c>
      <c r="M3173">
        <v>0.99992999999999999</v>
      </c>
      <c r="N3173">
        <v>0</v>
      </c>
      <c r="O3173">
        <v>9.5036870000000002E-3</v>
      </c>
      <c r="P3173">
        <v>0.99711430000000001</v>
      </c>
      <c r="Q3173">
        <v>-2.7523880000000001E-2</v>
      </c>
      <c r="R3173">
        <v>-7.0753070000000001E-2</v>
      </c>
      <c r="S3173">
        <v>3.017639</v>
      </c>
      <c r="T3173">
        <v>-5.8269979999999999E-2</v>
      </c>
      <c r="U3173">
        <v>0.15240479999999901</v>
      </c>
      <c r="V3173">
        <v>8.0207299999999995E-2</v>
      </c>
      <c r="W3173">
        <v>-2.054804E-2</v>
      </c>
      <c r="X3173">
        <v>0.99656639999999996</v>
      </c>
      <c r="Y3173">
        <v>-4.0940400000000002E-2</v>
      </c>
      <c r="Z3173">
        <v>2.1161509999999999E-4</v>
      </c>
      <c r="AA3173">
        <v>0.99916150000000004</v>
      </c>
      <c r="AB3173">
        <v>35</v>
      </c>
      <c r="AC3173">
        <v>57.0643999999999</v>
      </c>
      <c r="AD3173">
        <v>-1.108750191712</v>
      </c>
      <c r="AE3173">
        <v>2.8967000000000001</v>
      </c>
      <c r="AF3173">
        <v>-2.3533473625580501</v>
      </c>
      <c r="AG3173">
        <v>-1.108750191712</v>
      </c>
      <c r="AH3173">
        <v>57.067864060847803</v>
      </c>
      <c r="AI3173">
        <v>91.1120932986111</v>
      </c>
      <c r="AJ3173">
        <v>92.361408115262904</v>
      </c>
      <c r="AK3173">
        <v>57.127127350006702</v>
      </c>
      <c r="AL3173">
        <v>91.177398819852698</v>
      </c>
      <c r="AM3173">
        <v>85.398544996764798</v>
      </c>
      <c r="AN3173">
        <v>1.00000001126504</v>
      </c>
    </row>
    <row r="3174" spans="1:40" x14ac:dyDescent="0.25">
      <c r="A3174" t="str">
        <f>"20190312161332515"</f>
        <v>20190312161332515</v>
      </c>
      <c r="B3174" t="str">
        <f>"1552378412509261"</f>
        <v>1552378412509261</v>
      </c>
      <c r="C3174" t="s">
        <v>40</v>
      </c>
      <c r="D3174">
        <v>5.4646400000000002</v>
      </c>
      <c r="E3174">
        <v>0.45301019999999997</v>
      </c>
      <c r="F3174" t="s">
        <v>69</v>
      </c>
      <c r="G3174">
        <v>-340.25839999999999</v>
      </c>
      <c r="H3174" s="1">
        <v>-1.3992699999999999E-6</v>
      </c>
      <c r="I3174">
        <v>216.36959999999999</v>
      </c>
      <c r="J3174">
        <v>-395.03609999999998</v>
      </c>
      <c r="K3174">
        <v>1.108778</v>
      </c>
      <c r="L3174">
        <v>213.51320000000001</v>
      </c>
      <c r="M3174">
        <v>0.99993149999999997</v>
      </c>
      <c r="N3174">
        <v>0</v>
      </c>
      <c r="O3174">
        <v>9.1943549999999995E-3</v>
      </c>
      <c r="P3174">
        <v>0.99707449999999997</v>
      </c>
      <c r="Q3174">
        <v>-2.6057670000000002E-2</v>
      </c>
      <c r="R3174">
        <v>-7.1858229999999995E-2</v>
      </c>
      <c r="S3174">
        <v>3.0181269999999998</v>
      </c>
      <c r="T3174">
        <v>-6.0712460000000003E-2</v>
      </c>
      <c r="U3174">
        <v>0.1565704</v>
      </c>
      <c r="V3174">
        <v>8.1006679999999998E-2</v>
      </c>
      <c r="W3174">
        <v>-1.8907940000000002E-2</v>
      </c>
      <c r="X3174">
        <v>0.99653420000000004</v>
      </c>
      <c r="Y3174">
        <v>-4.2615840000000002E-2</v>
      </c>
      <c r="Z3174">
        <v>2.4349549999999999E-4</v>
      </c>
      <c r="AA3174">
        <v>0.99909150000000002</v>
      </c>
      <c r="AB3174">
        <v>35</v>
      </c>
      <c r="AC3174">
        <v>54.777699999999903</v>
      </c>
      <c r="AD3174">
        <v>-1.1087793992699999</v>
      </c>
      <c r="AE3174">
        <v>2.8563999999999701</v>
      </c>
      <c r="AF3174">
        <v>-2.3516595265053799</v>
      </c>
      <c r="AG3174">
        <v>-1.1087793992699999</v>
      </c>
      <c r="AH3174">
        <v>54.779264858103197</v>
      </c>
      <c r="AI3174">
        <v>91.158490737103094</v>
      </c>
      <c r="AJ3174">
        <v>92.458183471226803</v>
      </c>
      <c r="AK3174">
        <v>54.840929538794903</v>
      </c>
      <c r="AL3174">
        <v>91.083409720571595</v>
      </c>
      <c r="AM3174">
        <v>85.352735318884299</v>
      </c>
      <c r="AN3174">
        <v>1.00000000208465</v>
      </c>
    </row>
    <row r="3175" spans="1:40" x14ac:dyDescent="0.25">
      <c r="A3175" t="str">
        <f>"20190312161332539"</f>
        <v>20190312161332539</v>
      </c>
      <c r="B3175" t="str">
        <f>"1552378412529758"</f>
        <v>1552378412529758</v>
      </c>
      <c r="C3175" t="s">
        <v>40</v>
      </c>
      <c r="D3175">
        <v>5.4937329999999998</v>
      </c>
      <c r="E3175">
        <v>0.45271149999999999</v>
      </c>
      <c r="F3175" t="s">
        <v>69</v>
      </c>
      <c r="G3175">
        <v>-338.09980000000002</v>
      </c>
      <c r="H3175" s="1">
        <v>2.6918129999999999E-6</v>
      </c>
      <c r="I3175">
        <v>216.48509999999999</v>
      </c>
      <c r="J3175">
        <v>-394.64879999999999</v>
      </c>
      <c r="K3175">
        <v>1.108824</v>
      </c>
      <c r="L3175">
        <v>213.51650000000001</v>
      </c>
      <c r="M3175">
        <v>0.99993299999999996</v>
      </c>
      <c r="N3175">
        <v>0</v>
      </c>
      <c r="O3175">
        <v>8.90261E-3</v>
      </c>
      <c r="P3175">
        <v>0.99705929999999998</v>
      </c>
      <c r="Q3175">
        <v>-2.515133E-2</v>
      </c>
      <c r="R3175">
        <v>-7.2389369999999995E-2</v>
      </c>
      <c r="S3175">
        <v>3.0186160000000002</v>
      </c>
      <c r="T3175">
        <v>-5.8784370000000002E-2</v>
      </c>
      <c r="U3175">
        <v>0.15756229999999999</v>
      </c>
      <c r="V3175">
        <v>8.1249790000000002E-2</v>
      </c>
      <c r="W3175">
        <v>-1.7824690000000001E-2</v>
      </c>
      <c r="X3175">
        <v>0.99653429999999998</v>
      </c>
      <c r="Y3175">
        <v>-4.3226599999999997E-2</v>
      </c>
      <c r="Z3175">
        <v>2.4734259999999999E-4</v>
      </c>
      <c r="AA3175">
        <v>0.99906530000000004</v>
      </c>
      <c r="AB3175">
        <v>36</v>
      </c>
      <c r="AC3175">
        <v>56.5489999999999</v>
      </c>
      <c r="AD3175">
        <v>-1.108821308187</v>
      </c>
      <c r="AE3175">
        <v>2.9685999999999799</v>
      </c>
      <c r="AF3175">
        <v>-2.4640900900476299</v>
      </c>
      <c r="AG3175">
        <v>-1.108821308187</v>
      </c>
      <c r="AH3175">
        <v>56.551504764385498</v>
      </c>
      <c r="AI3175">
        <v>91.122206071276906</v>
      </c>
      <c r="AJ3175">
        <v>92.494941861390203</v>
      </c>
      <c r="AK3175">
        <v>56.616021723375098</v>
      </c>
      <c r="AL3175">
        <v>91.021333667942997</v>
      </c>
      <c r="AM3175">
        <v>85.338850192888799</v>
      </c>
      <c r="AN3175">
        <v>0.999999929512562</v>
      </c>
    </row>
    <row r="3176" spans="1:40" x14ac:dyDescent="0.25">
      <c r="A3176" t="str">
        <f>"20190312161332562"</f>
        <v>20190312161332562</v>
      </c>
      <c r="B3176" t="str">
        <f>"1552378412549277"</f>
        <v>1552378412549277</v>
      </c>
      <c r="C3176" t="s">
        <v>40</v>
      </c>
      <c r="D3176">
        <v>5.5075139999999996</v>
      </c>
      <c r="E3176">
        <v>0.45236209999999999</v>
      </c>
      <c r="F3176" t="s">
        <v>69</v>
      </c>
      <c r="G3176">
        <v>-340.02629999999999</v>
      </c>
      <c r="H3176" s="1">
        <v>-1.522775E-6</v>
      </c>
      <c r="I3176">
        <v>216.3854</v>
      </c>
      <c r="J3176">
        <v>-394.2876</v>
      </c>
      <c r="K3176">
        <v>1.1088639999999901</v>
      </c>
      <c r="L3176">
        <v>213.51949999999999</v>
      </c>
      <c r="M3176">
        <v>0.99993370000000004</v>
      </c>
      <c r="N3176">
        <v>0</v>
      </c>
      <c r="O3176">
        <v>8.6941769999999904E-3</v>
      </c>
      <c r="P3176">
        <v>0.997058</v>
      </c>
      <c r="Q3176">
        <v>-2.4520409999999999E-2</v>
      </c>
      <c r="R3176">
        <v>-7.2624300000000003E-2</v>
      </c>
      <c r="S3176">
        <v>3.018799</v>
      </c>
      <c r="T3176">
        <v>-6.1281090000000003E-2</v>
      </c>
      <c r="U3176">
        <v>0.1585541</v>
      </c>
      <c r="V3176">
        <v>8.1279379999999998E-2</v>
      </c>
      <c r="W3176">
        <v>-1.7046809999999999E-2</v>
      </c>
      <c r="X3176">
        <v>0.99654560000000003</v>
      </c>
      <c r="Y3176">
        <v>-4.37583E-2</v>
      </c>
      <c r="Z3176">
        <v>2.6744749999999998E-4</v>
      </c>
      <c r="AA3176">
        <v>0.99904210000000004</v>
      </c>
      <c r="AB3176">
        <v>36</v>
      </c>
      <c r="AC3176">
        <v>54.261299999999999</v>
      </c>
      <c r="AD3176">
        <v>-1.1088655227749999</v>
      </c>
      <c r="AE3176">
        <v>2.8659000000000101</v>
      </c>
      <c r="AF3176">
        <v>-2.3930242974760798</v>
      </c>
      <c r="AG3176">
        <v>-1.1088655227749999</v>
      </c>
      <c r="AH3176">
        <v>54.261568951327803</v>
      </c>
      <c r="AI3176">
        <v>91.169571850692293</v>
      </c>
      <c r="AJ3176">
        <v>92.525201679771001</v>
      </c>
      <c r="AK3176">
        <v>54.3256294311958</v>
      </c>
      <c r="AL3176">
        <v>90.9767575462932</v>
      </c>
      <c r="AM3176">
        <v>85.337212792921093</v>
      </c>
      <c r="AN3176">
        <v>1.0000000321118501</v>
      </c>
    </row>
    <row r="3177" spans="1:40" x14ac:dyDescent="0.25">
      <c r="A3177" t="str">
        <f>"20190312161332584"</f>
        <v>20190312161332584</v>
      </c>
      <c r="B3177" t="str">
        <f>"1552378412579534"</f>
        <v>1552378412579534</v>
      </c>
      <c r="C3177" t="s">
        <v>40</v>
      </c>
      <c r="D3177">
        <v>5.483301</v>
      </c>
      <c r="E3177">
        <v>0.45224930000000002</v>
      </c>
      <c r="F3177" t="s">
        <v>69</v>
      </c>
      <c r="G3177">
        <v>-340.69569999999999</v>
      </c>
      <c r="H3177" s="1">
        <v>-1.1665589999999999E-6</v>
      </c>
      <c r="I3177">
        <v>216.37569999999999</v>
      </c>
      <c r="J3177">
        <v>-393.93579999999997</v>
      </c>
      <c r="K3177">
        <v>1.1089070000000001</v>
      </c>
      <c r="L3177">
        <v>213.5224</v>
      </c>
      <c r="M3177">
        <v>0.99993410000000005</v>
      </c>
      <c r="N3177">
        <v>0</v>
      </c>
      <c r="O3177">
        <v>8.5503379999999993E-3</v>
      </c>
      <c r="P3177">
        <v>0.99706439999999996</v>
      </c>
      <c r="Q3177">
        <v>-2.429245E-2</v>
      </c>
      <c r="R3177">
        <v>-7.2611819999999994E-2</v>
      </c>
      <c r="S3177">
        <v>3.0190429999999999</v>
      </c>
      <c r="T3177">
        <v>-6.246674E-2</v>
      </c>
      <c r="U3177">
        <v>0.16090389999999999</v>
      </c>
      <c r="V3177">
        <v>8.1125879999999997E-2</v>
      </c>
      <c r="W3177">
        <v>-1.669108E-2</v>
      </c>
      <c r="X3177">
        <v>0.99656409999999995</v>
      </c>
      <c r="Y3177">
        <v>-4.4672690000000001E-2</v>
      </c>
      <c r="Z3177">
        <v>2.850188E-4</v>
      </c>
      <c r="AA3177">
        <v>0.99900160000000005</v>
      </c>
      <c r="AB3177">
        <v>36</v>
      </c>
      <c r="AC3177">
        <v>53.240099999999899</v>
      </c>
      <c r="AD3177">
        <v>-1.1089081665589999</v>
      </c>
      <c r="AE3177">
        <v>2.8532999999999902</v>
      </c>
      <c r="AF3177">
        <v>-2.3969246184436499</v>
      </c>
      <c r="AG3177">
        <v>-1.1089081665589999</v>
      </c>
      <c r="AH3177">
        <v>53.239520673240897</v>
      </c>
      <c r="AI3177">
        <v>91.1920149820386</v>
      </c>
      <c r="AJ3177">
        <v>92.577802851184501</v>
      </c>
      <c r="AK3177">
        <v>53.3049855685639</v>
      </c>
      <c r="AL3177">
        <v>90.956372846495995</v>
      </c>
      <c r="AM3177">
        <v>85.346065987108204</v>
      </c>
      <c r="AN3177">
        <v>1.00000000298307</v>
      </c>
    </row>
    <row r="3178" spans="1:40" x14ac:dyDescent="0.25">
      <c r="A3178" t="str">
        <f>"20190312161332604"</f>
        <v>20190312161332604</v>
      </c>
      <c r="B3178" t="str">
        <f>"1552378412599053"</f>
        <v>1552378412599053</v>
      </c>
      <c r="C3178" t="s">
        <v>40</v>
      </c>
      <c r="D3178">
        <v>5.5290339999999896</v>
      </c>
      <c r="E3178">
        <v>0.4519396</v>
      </c>
      <c r="F3178" t="s">
        <v>69</v>
      </c>
      <c r="G3178">
        <v>-343.52640000000002</v>
      </c>
      <c r="H3178" s="1">
        <v>3.3978139999999999E-7</v>
      </c>
      <c r="I3178">
        <v>216.2287</v>
      </c>
      <c r="J3178">
        <v>-393.60469999999998</v>
      </c>
      <c r="K3178">
        <v>1.1089359999999999</v>
      </c>
      <c r="L3178">
        <v>213.52510000000001</v>
      </c>
      <c r="M3178">
        <v>0.99993410000000005</v>
      </c>
      <c r="N3178">
        <v>0</v>
      </c>
      <c r="O3178">
        <v>8.4617219999999996E-3</v>
      </c>
      <c r="P3178">
        <v>0.99710350000000003</v>
      </c>
      <c r="Q3178">
        <v>-2.436108E-2</v>
      </c>
      <c r="R3178">
        <v>-7.2050829999999996E-2</v>
      </c>
      <c r="S3178">
        <v>3.019012</v>
      </c>
      <c r="T3178">
        <v>-6.6412330000000006E-2</v>
      </c>
      <c r="U3178">
        <v>0.1620789</v>
      </c>
      <c r="V3178">
        <v>8.0478590000000003E-2</v>
      </c>
      <c r="W3178">
        <v>-1.6652799999999999E-2</v>
      </c>
      <c r="X3178">
        <v>0.99661719999999998</v>
      </c>
      <c r="Y3178">
        <v>-4.5148279999999999E-2</v>
      </c>
      <c r="Z3178">
        <v>3.1019119999999999E-4</v>
      </c>
      <c r="AA3178">
        <v>0.99898019999999998</v>
      </c>
      <c r="AB3178">
        <v>36</v>
      </c>
      <c r="AC3178">
        <v>50.078299999999899</v>
      </c>
      <c r="AD3178">
        <v>-1.1089356602186</v>
      </c>
      <c r="AE3178">
        <v>2.70359999999999</v>
      </c>
      <c r="AF3178">
        <v>-2.27862769855445</v>
      </c>
      <c r="AG3178">
        <v>-1.1089356602186</v>
      </c>
      <c r="AH3178">
        <v>50.0749015542617</v>
      </c>
      <c r="AI3178">
        <v>91.267327539023995</v>
      </c>
      <c r="AJ3178">
        <v>92.605412017326103</v>
      </c>
      <c r="AK3178">
        <v>50.138983317934603</v>
      </c>
      <c r="AL3178">
        <v>90.954179279907606</v>
      </c>
      <c r="AM3178">
        <v>85.383282710650207</v>
      </c>
      <c r="AN3178">
        <v>0.99999998126603296</v>
      </c>
    </row>
    <row r="3179" spans="1:40" x14ac:dyDescent="0.25">
      <c r="A3179" t="str">
        <f>"20190312161332628"</f>
        <v>20190312161332628</v>
      </c>
      <c r="B3179" t="str">
        <f>"1552378412618574"</f>
        <v>1552378412618574</v>
      </c>
      <c r="C3179" t="s">
        <v>40</v>
      </c>
      <c r="D3179">
        <v>5.5274869999999998</v>
      </c>
      <c r="E3179">
        <v>0.45169769999999998</v>
      </c>
      <c r="F3179" t="s">
        <v>69</v>
      </c>
      <c r="G3179">
        <v>-344.46510000000001</v>
      </c>
      <c r="H3179" s="1">
        <v>8.3928630000000002E-7</v>
      </c>
      <c r="I3179">
        <v>216.23150000000001</v>
      </c>
      <c r="J3179">
        <v>-393.22809999999998</v>
      </c>
      <c r="K3179">
        <v>1.1089690000000001</v>
      </c>
      <c r="L3179">
        <v>213.5283</v>
      </c>
      <c r="M3179">
        <v>0.99993379999999998</v>
      </c>
      <c r="N3179">
        <v>0</v>
      </c>
      <c r="O3179">
        <v>8.4009199999999992E-3</v>
      </c>
      <c r="P3179">
        <v>0.99713790000000002</v>
      </c>
      <c r="Q3179">
        <v>-2.4324439999999999E-2</v>
      </c>
      <c r="R3179">
        <v>-7.1584969999999998E-2</v>
      </c>
      <c r="S3179">
        <v>3.0190730000000001</v>
      </c>
      <c r="T3179">
        <v>-6.8131449999999996E-2</v>
      </c>
      <c r="U3179">
        <v>0.16627500000000001</v>
      </c>
      <c r="V3179">
        <v>7.9954140000000007E-2</v>
      </c>
      <c r="W3179">
        <v>-1.6509220000000002E-2</v>
      </c>
      <c r="X3179">
        <v>0.99666180000000004</v>
      </c>
      <c r="Y3179">
        <v>-4.659141E-2</v>
      </c>
      <c r="Z3179">
        <v>3.3584020000000002E-4</v>
      </c>
      <c r="AA3179">
        <v>0.99891399999999997</v>
      </c>
      <c r="AB3179">
        <v>36</v>
      </c>
      <c r="AC3179">
        <v>48.762999999999899</v>
      </c>
      <c r="AD3179">
        <v>-1.1089681607136901</v>
      </c>
      <c r="AE3179">
        <v>2.7031999999999998</v>
      </c>
      <c r="AF3179">
        <v>-2.2922559582700099</v>
      </c>
      <c r="AG3179">
        <v>-1.1089681607136901</v>
      </c>
      <c r="AH3179">
        <v>48.758848449428797</v>
      </c>
      <c r="AI3179">
        <v>91.301470027264202</v>
      </c>
      <c r="AJ3179">
        <v>92.6916132544698</v>
      </c>
      <c r="AK3179">
        <v>48.825296208769402</v>
      </c>
      <c r="AL3179">
        <v>90.945951620680901</v>
      </c>
      <c r="AM3179">
        <v>85.413443782417701</v>
      </c>
      <c r="AN3179">
        <v>0.99999998121369305</v>
      </c>
    </row>
    <row r="3180" spans="1:40" x14ac:dyDescent="0.25">
      <c r="A3180" t="str">
        <f>"20190312161332651"</f>
        <v>20190312161332651</v>
      </c>
      <c r="B3180" t="str">
        <f>"1552378412639069"</f>
        <v>1552378412639069</v>
      </c>
      <c r="C3180" t="s">
        <v>40</v>
      </c>
      <c r="D3180">
        <v>5.5181389999999997</v>
      </c>
      <c r="E3180">
        <v>0.45149729999999999</v>
      </c>
      <c r="F3180" t="s">
        <v>69</v>
      </c>
      <c r="G3180">
        <v>-345.32870000000003</v>
      </c>
      <c r="H3180" s="1">
        <v>1.2988590000000001E-6</v>
      </c>
      <c r="I3180">
        <v>216.22200000000001</v>
      </c>
      <c r="J3180">
        <v>-392.86450000000002</v>
      </c>
      <c r="K3180">
        <v>1.1089990000000001</v>
      </c>
      <c r="L3180">
        <v>213.53129999999999</v>
      </c>
      <c r="M3180">
        <v>0.99993339999999997</v>
      </c>
      <c r="N3180">
        <v>0</v>
      </c>
      <c r="O3180">
        <v>8.3743369999999904E-3</v>
      </c>
      <c r="P3180">
        <v>0.99719690000000005</v>
      </c>
      <c r="Q3180">
        <v>-2.422829E-2</v>
      </c>
      <c r="R3180">
        <v>-7.0793629999999996E-2</v>
      </c>
      <c r="S3180">
        <v>3.019104</v>
      </c>
      <c r="T3180">
        <v>-6.9898249999999995E-2</v>
      </c>
      <c r="U3180">
        <v>0.1697845</v>
      </c>
      <c r="V3180">
        <v>7.9137879999999994E-2</v>
      </c>
      <c r="W3180">
        <v>-1.632455E-2</v>
      </c>
      <c r="X3180">
        <v>0.99673</v>
      </c>
      <c r="Y3180">
        <v>-4.777414E-2</v>
      </c>
      <c r="Z3180">
        <v>3.5882600000000002E-4</v>
      </c>
      <c r="AA3180">
        <v>0.99885809999999997</v>
      </c>
      <c r="AB3180">
        <v>36</v>
      </c>
      <c r="AC3180">
        <v>47.535800000000002</v>
      </c>
      <c r="AD3180">
        <v>-1.1089977011409999</v>
      </c>
      <c r="AE3180">
        <v>2.6907000000000201</v>
      </c>
      <c r="AF3180">
        <v>-2.2912691802200702</v>
      </c>
      <c r="AG3180">
        <v>-1.1089977011409999</v>
      </c>
      <c r="AH3180">
        <v>47.530879249062103</v>
      </c>
      <c r="AI3180">
        <v>91.335041602887401</v>
      </c>
      <c r="AJ3180">
        <v>92.7598585894103</v>
      </c>
      <c r="AK3180">
        <v>47.598994448898601</v>
      </c>
      <c r="AL3180">
        <v>90.935369370830401</v>
      </c>
      <c r="AM3180">
        <v>85.460380997249601</v>
      </c>
      <c r="AN3180">
        <v>0.99999999394179795</v>
      </c>
    </row>
    <row r="3181" spans="1:40" x14ac:dyDescent="0.25">
      <c r="A3181" t="str">
        <f>"20190312161332672"</f>
        <v>20190312161332672</v>
      </c>
      <c r="B3181" t="str">
        <f>"1552378412669325"</f>
        <v>1552378412669325</v>
      </c>
      <c r="C3181" t="s">
        <v>40</v>
      </c>
      <c r="D3181">
        <v>5.5535949999999996</v>
      </c>
      <c r="E3181">
        <v>0.47757690000000003</v>
      </c>
      <c r="F3181" t="s">
        <v>69</v>
      </c>
      <c r="G3181">
        <v>-345.88299999999998</v>
      </c>
      <c r="H3181" s="1">
        <v>1.5938540000000001E-6</v>
      </c>
      <c r="I3181">
        <v>216.23779999999999</v>
      </c>
      <c r="J3181">
        <v>-392.51569999999998</v>
      </c>
      <c r="K3181">
        <v>1.1090249999999999</v>
      </c>
      <c r="L3181">
        <v>213.5342</v>
      </c>
      <c r="M3181">
        <v>0.99993279999999995</v>
      </c>
      <c r="N3181">
        <v>0</v>
      </c>
      <c r="O3181">
        <v>8.3658389999999999E-3</v>
      </c>
      <c r="P3181">
        <v>0.99728030000000001</v>
      </c>
      <c r="Q3181">
        <v>-2.3738740000000001E-2</v>
      </c>
      <c r="R3181">
        <v>-6.9774799999999998E-2</v>
      </c>
      <c r="S3181">
        <v>3.0190429999999999</v>
      </c>
      <c r="T3181">
        <v>-7.1264510000000003E-2</v>
      </c>
      <c r="U3181">
        <v>0.17391970000000001</v>
      </c>
      <c r="V3181">
        <v>7.8112269999999998E-2</v>
      </c>
      <c r="W3181">
        <v>-1.5760509999999998E-2</v>
      </c>
      <c r="X3181">
        <v>0.99682000000000004</v>
      </c>
      <c r="Y3181">
        <v>-4.9146620000000002E-2</v>
      </c>
      <c r="Z3181">
        <v>3.8221460000000001E-4</v>
      </c>
      <c r="AA3181">
        <v>0.99879150000000005</v>
      </c>
      <c r="AB3181">
        <v>36</v>
      </c>
      <c r="AC3181">
        <v>46.6326999999999</v>
      </c>
      <c r="AD3181">
        <v>-1.109023406146</v>
      </c>
      <c r="AE3181">
        <v>2.70359999999999</v>
      </c>
      <c r="AF3181">
        <v>-2.3120678615611499</v>
      </c>
      <c r="AG3181">
        <v>-1.109023406146</v>
      </c>
      <c r="AH3181">
        <v>46.627403069181398</v>
      </c>
      <c r="AI3181">
        <v>91.360840358778404</v>
      </c>
      <c r="AJ3181">
        <v>92.838745220444096</v>
      </c>
      <c r="AK3181">
        <v>46.697861917734002</v>
      </c>
      <c r="AL3181">
        <v>90.903048079033098</v>
      </c>
      <c r="AM3181">
        <v>85.519375247675598</v>
      </c>
      <c r="AN3181">
        <v>1.0000000164</v>
      </c>
    </row>
    <row r="3182" spans="1:40" x14ac:dyDescent="0.25">
      <c r="A3182" t="str">
        <f>"20190312161332693"</f>
        <v>20190312161332693</v>
      </c>
      <c r="B3182" t="str">
        <f>"1552378412688846"</f>
        <v>1552378412688846</v>
      </c>
      <c r="C3182" t="s">
        <v>40</v>
      </c>
      <c r="D3182">
        <v>5.8178710000000002</v>
      </c>
      <c r="E3182">
        <v>0.48116510000000001</v>
      </c>
      <c r="F3182" t="s">
        <v>69</v>
      </c>
      <c r="G3182">
        <v>-332.41050000000001</v>
      </c>
      <c r="H3182" s="1">
        <v>-1.7910429999999999E-7</v>
      </c>
      <c r="I3182">
        <v>212.9024</v>
      </c>
      <c r="J3182">
        <v>-392.17340000000002</v>
      </c>
      <c r="K3182">
        <v>1.1090450000000001</v>
      </c>
      <c r="L3182">
        <v>213.53710000000001</v>
      </c>
      <c r="M3182">
        <v>0.9999323</v>
      </c>
      <c r="N3182">
        <v>0</v>
      </c>
      <c r="O3182">
        <v>8.3667380000000003E-3</v>
      </c>
      <c r="P3182">
        <v>0.99740580000000001</v>
      </c>
      <c r="Q3182">
        <v>-2.2232780000000001E-2</v>
      </c>
      <c r="R3182">
        <v>-6.8464999999999998E-2</v>
      </c>
      <c r="S3182">
        <v>3.0046390000000001</v>
      </c>
      <c r="T3182">
        <v>-5.5439830000000002E-2</v>
      </c>
      <c r="U3182">
        <v>-3.158569E-2</v>
      </c>
      <c r="V3182">
        <v>7.6805319999999996E-2</v>
      </c>
      <c r="W3182">
        <v>-1.418992E-2</v>
      </c>
      <c r="X3182">
        <v>0.99694510000000003</v>
      </c>
      <c r="Y3182">
        <v>1.8873270000000001E-2</v>
      </c>
      <c r="Z3182">
        <v>-3.2846580000000001E-4</v>
      </c>
      <c r="AA3182">
        <v>0.99982179999999998</v>
      </c>
      <c r="AB3182">
        <v>36</v>
      </c>
      <c r="AC3182">
        <v>59.762900000000002</v>
      </c>
      <c r="AD3182">
        <v>-1.1090451791042999</v>
      </c>
      <c r="AE3182">
        <v>-0.63470000000000903</v>
      </c>
      <c r="AF3182">
        <v>1.1343240671244399</v>
      </c>
      <c r="AG3182">
        <v>-1.1090451791042999</v>
      </c>
      <c r="AH3182">
        <v>59.734928450617701</v>
      </c>
      <c r="AI3182">
        <v>91.063445799395495</v>
      </c>
      <c r="AJ3182">
        <v>88.912124394695894</v>
      </c>
      <c r="AK3182">
        <v>59.755990070443701</v>
      </c>
      <c r="AL3182">
        <v>90.813049837301804</v>
      </c>
      <c r="AM3182">
        <v>85.594596662979598</v>
      </c>
      <c r="AN3182">
        <v>0.99999997171195898</v>
      </c>
    </row>
    <row r="3183" spans="1:40" x14ac:dyDescent="0.25">
      <c r="A3183" t="str">
        <f>"20190312161332716"</f>
        <v>20190312161332716</v>
      </c>
      <c r="B3183" t="str">
        <f>"1552378412709341"</f>
        <v>1552378412709341</v>
      </c>
      <c r="C3183" t="s">
        <v>40</v>
      </c>
      <c r="D3183">
        <v>5.6781410000000001</v>
      </c>
      <c r="E3183">
        <v>0.48514829999999998</v>
      </c>
      <c r="F3183" t="s">
        <v>69</v>
      </c>
      <c r="G3183">
        <v>-341.70600000000002</v>
      </c>
      <c r="H3183" s="1">
        <v>-6.2894799999999998E-7</v>
      </c>
      <c r="I3183">
        <v>212.6045</v>
      </c>
      <c r="J3183">
        <v>-391.80410000000001</v>
      </c>
      <c r="K3183">
        <v>1.109056</v>
      </c>
      <c r="L3183">
        <v>213.5401</v>
      </c>
      <c r="M3183">
        <v>0.99993200000000004</v>
      </c>
      <c r="N3183">
        <v>0</v>
      </c>
      <c r="O3183">
        <v>8.3715000000000005E-3</v>
      </c>
      <c r="P3183">
        <v>0.99747319999999995</v>
      </c>
      <c r="Q3183">
        <v>-2.209477E-2</v>
      </c>
      <c r="R3183">
        <v>-6.7524589999999995E-2</v>
      </c>
      <c r="S3183">
        <v>3.0025330000000001</v>
      </c>
      <c r="T3183">
        <v>-6.5982100000000002E-2</v>
      </c>
      <c r="U3183">
        <v>-5.5480960000000003E-2</v>
      </c>
      <c r="V3183">
        <v>7.5870690000000005E-2</v>
      </c>
      <c r="W3183">
        <v>-1.399106E-2</v>
      </c>
      <c r="X3183">
        <v>0.99701949999999995</v>
      </c>
      <c r="Y3183">
        <v>2.6836100000000002E-2</v>
      </c>
      <c r="Z3183">
        <v>-4.7874510000000002E-4</v>
      </c>
      <c r="AA3183">
        <v>0.99963970000000002</v>
      </c>
      <c r="AB3183">
        <v>36</v>
      </c>
      <c r="AC3183">
        <v>50.098100000000002</v>
      </c>
      <c r="AD3183">
        <v>-1.1090566289479999</v>
      </c>
      <c r="AE3183">
        <v>-0.93559999999999299</v>
      </c>
      <c r="AF3183">
        <v>1.3543137920686901</v>
      </c>
      <c r="AG3183">
        <v>-1.1090566289479999</v>
      </c>
      <c r="AH3183">
        <v>50.063985044100903</v>
      </c>
      <c r="AI3183">
        <v>91.268589504781403</v>
      </c>
      <c r="AJ3183">
        <v>88.450432092094005</v>
      </c>
      <c r="AK3183">
        <v>50.0945782590248</v>
      </c>
      <c r="AL3183">
        <v>90.801654846430196</v>
      </c>
      <c r="AM3183">
        <v>85.648321509284003</v>
      </c>
      <c r="AN3183">
        <v>0.99999999737062395</v>
      </c>
    </row>
    <row r="3184" spans="1:40" x14ac:dyDescent="0.25">
      <c r="A3184" t="str">
        <f>"20190312161332741"</f>
        <v>20190312161332741</v>
      </c>
      <c r="B3184" t="str">
        <f>"1552378412728862"</f>
        <v>1552378412728862</v>
      </c>
      <c r="C3184" t="s">
        <v>40</v>
      </c>
      <c r="D3184">
        <v>5.7478759999999998</v>
      </c>
      <c r="E3184">
        <v>0.48661149999999997</v>
      </c>
      <c r="F3184" t="s">
        <v>69</v>
      </c>
      <c r="G3184">
        <v>-364.73790000000002</v>
      </c>
      <c r="H3184" s="1">
        <v>9.8450700000000004E-7</v>
      </c>
      <c r="I3184">
        <v>212.80430000000001</v>
      </c>
      <c r="J3184">
        <v>-391.40910000000002</v>
      </c>
      <c r="K3184">
        <v>1.109059</v>
      </c>
      <c r="L3184">
        <v>213.54339999999999</v>
      </c>
      <c r="M3184">
        <v>0.99993129999999997</v>
      </c>
      <c r="N3184">
        <v>0</v>
      </c>
      <c r="O3184">
        <v>8.3767379999999999E-3</v>
      </c>
      <c r="P3184">
        <v>0.99744250000000001</v>
      </c>
      <c r="Q3184">
        <v>-2.378713E-2</v>
      </c>
      <c r="R3184">
        <v>-6.740003E-2</v>
      </c>
      <c r="S3184">
        <v>2.9993590000000001</v>
      </c>
      <c r="T3184">
        <v>-0.122901</v>
      </c>
      <c r="U3184">
        <v>-8.1542970000000006E-2</v>
      </c>
      <c r="V3184">
        <v>7.5751170000000007E-2</v>
      </c>
      <c r="W3184">
        <v>-1.5626930000000001E-2</v>
      </c>
      <c r="X3184">
        <v>0.99700429999999995</v>
      </c>
      <c r="Y3184">
        <v>3.5512929999999998E-2</v>
      </c>
      <c r="Z3184">
        <v>-1.070199E-3</v>
      </c>
      <c r="AA3184">
        <v>0.9993687</v>
      </c>
      <c r="AB3184">
        <v>36</v>
      </c>
      <c r="AC3184">
        <v>26.671199999999999</v>
      </c>
      <c r="AD3184">
        <v>-1.1090580154930001</v>
      </c>
      <c r="AE3184">
        <v>-0.739099999999979</v>
      </c>
      <c r="AF3184">
        <v>0.96083910649362503</v>
      </c>
      <c r="AG3184">
        <v>-1.1090580154930001</v>
      </c>
      <c r="AH3184">
        <v>26.6180823506111</v>
      </c>
      <c r="AI3184">
        <v>92.3843311505386</v>
      </c>
      <c r="AJ3184">
        <v>87.932678529277794</v>
      </c>
      <c r="AK3184">
        <v>26.658498260296099</v>
      </c>
      <c r="AL3184">
        <v>90.895393574248899</v>
      </c>
      <c r="AM3184">
        <v>85.655084502620397</v>
      </c>
      <c r="AN3184">
        <v>1.00000000745804</v>
      </c>
    </row>
    <row r="3185" spans="1:40" x14ac:dyDescent="0.25">
      <c r="A3185" t="str">
        <f>"20190312161332763"</f>
        <v>20190312161332763</v>
      </c>
      <c r="B3185" t="str">
        <f>"1552378412759118"</f>
        <v>1552378412759118</v>
      </c>
      <c r="C3185" t="s">
        <v>40</v>
      </c>
      <c r="D3185">
        <v>5.753933</v>
      </c>
      <c r="E3185">
        <v>0.4873343</v>
      </c>
      <c r="F3185" t="s">
        <v>69</v>
      </c>
      <c r="G3185">
        <v>-367.36700000000002</v>
      </c>
      <c r="H3185" s="1">
        <v>2.3835799999999998E-6</v>
      </c>
      <c r="I3185">
        <v>212.8022</v>
      </c>
      <c r="J3185">
        <v>-391.04899999999998</v>
      </c>
      <c r="K3185">
        <v>1.109064</v>
      </c>
      <c r="L3185">
        <v>213.54640000000001</v>
      </c>
      <c r="M3185">
        <v>0.99993100000000001</v>
      </c>
      <c r="N3185">
        <v>0</v>
      </c>
      <c r="O3185">
        <v>8.379315E-3</v>
      </c>
      <c r="P3185">
        <v>0.99729990000000002</v>
      </c>
      <c r="Q3185">
        <v>-2.5213490000000002E-2</v>
      </c>
      <c r="R3185">
        <v>-6.8975830000000002E-2</v>
      </c>
      <c r="S3185">
        <v>2.998138</v>
      </c>
      <c r="T3185">
        <v>-0.13830339999999999</v>
      </c>
      <c r="U3185">
        <v>-9.2437740000000004E-2</v>
      </c>
      <c r="V3185">
        <v>7.7328499999999994E-2</v>
      </c>
      <c r="W3185">
        <v>-1.700869E-2</v>
      </c>
      <c r="X3185">
        <v>0.99686059999999999</v>
      </c>
      <c r="Y3185">
        <v>3.9141120000000001E-2</v>
      </c>
      <c r="Z3185">
        <v>-1.288352E-3</v>
      </c>
      <c r="AA3185">
        <v>0.99923289999999998</v>
      </c>
      <c r="AB3185">
        <v>36</v>
      </c>
      <c r="AC3185">
        <v>23.681999999999999</v>
      </c>
      <c r="AD3185">
        <v>-1.10906161642</v>
      </c>
      <c r="AE3185">
        <v>-0.74420000000000597</v>
      </c>
      <c r="AF3185">
        <v>0.94055875392111199</v>
      </c>
      <c r="AG3185">
        <v>-1.10906161642</v>
      </c>
      <c r="AH3185">
        <v>23.623173642637799</v>
      </c>
      <c r="AI3185">
        <v>92.685825770629606</v>
      </c>
      <c r="AJ3185">
        <v>87.719967748175506</v>
      </c>
      <c r="AK3185">
        <v>23.6678896691025</v>
      </c>
      <c r="AL3185">
        <v>90.974573122313402</v>
      </c>
      <c r="AM3185">
        <v>85.564332952310096</v>
      </c>
      <c r="AN3185">
        <v>1.00000002414006</v>
      </c>
    </row>
    <row r="3186" spans="1:40" x14ac:dyDescent="0.25">
      <c r="A3186" t="str">
        <f>"20190312161332785"</f>
        <v>20190312161332785</v>
      </c>
      <c r="B3186" t="str">
        <f>"1552378412778639"</f>
        <v>1552378412778639</v>
      </c>
      <c r="C3186" t="s">
        <v>40</v>
      </c>
      <c r="D3186">
        <v>5.6856879999999999</v>
      </c>
      <c r="E3186">
        <v>0.48807519999999999</v>
      </c>
      <c r="F3186" t="s">
        <v>69</v>
      </c>
      <c r="G3186">
        <v>-368.92270000000002</v>
      </c>
      <c r="H3186" s="1">
        <v>3.2114190000000002E-6</v>
      </c>
      <c r="I3186">
        <v>212.78960000000001</v>
      </c>
      <c r="J3186">
        <v>-390.6927</v>
      </c>
      <c r="K3186">
        <v>1.10907</v>
      </c>
      <c r="L3186">
        <v>213.54939999999999</v>
      </c>
      <c r="M3186">
        <v>0.99993069999999895</v>
      </c>
      <c r="N3186">
        <v>0</v>
      </c>
      <c r="O3186">
        <v>8.3800539999999996E-3</v>
      </c>
      <c r="P3186">
        <v>0.99713949999999996</v>
      </c>
      <c r="Q3186">
        <v>-2.5953759999999999E-2</v>
      </c>
      <c r="R3186">
        <v>-7.0987869999999995E-2</v>
      </c>
      <c r="S3186">
        <v>2.997223</v>
      </c>
      <c r="T3186">
        <v>-0.1502329</v>
      </c>
      <c r="U3186">
        <v>-0.1025238</v>
      </c>
      <c r="V3186">
        <v>7.9340320000000006E-2</v>
      </c>
      <c r="W3186">
        <v>-1.7709920000000001E-2</v>
      </c>
      <c r="X3186">
        <v>0.99669030000000003</v>
      </c>
      <c r="Y3186">
        <v>4.249671E-2</v>
      </c>
      <c r="Z3186">
        <v>-1.4837559999999999E-3</v>
      </c>
      <c r="AA3186">
        <v>0.99909550000000003</v>
      </c>
      <c r="AB3186">
        <v>36</v>
      </c>
      <c r="AC3186">
        <v>21.7699999999999</v>
      </c>
      <c r="AD3186">
        <v>-1.1090667885809999</v>
      </c>
      <c r="AE3186">
        <v>-0.75979999999998404</v>
      </c>
      <c r="AF3186">
        <v>0.93977723340970198</v>
      </c>
      <c r="AG3186">
        <v>-1.1090667885809999</v>
      </c>
      <c r="AH3186">
        <v>21.706600125966698</v>
      </c>
      <c r="AI3186">
        <v>92.922167458406705</v>
      </c>
      <c r="AJ3186">
        <v>87.520953820493503</v>
      </c>
      <c r="AK3186">
        <v>21.755222348176201</v>
      </c>
      <c r="AL3186">
        <v>91.014756679672701</v>
      </c>
      <c r="AM3186">
        <v>85.448636551513204</v>
      </c>
      <c r="AN3186">
        <v>1.0000000408790899</v>
      </c>
    </row>
    <row r="3187" spans="1:40" x14ac:dyDescent="0.25">
      <c r="A3187" t="str">
        <f>"20190312161332806"</f>
        <v>20190312161332806</v>
      </c>
      <c r="B3187" t="str">
        <f>"1552378412799133"</f>
        <v>1552378412799133</v>
      </c>
      <c r="C3187" t="s">
        <v>40</v>
      </c>
      <c r="D3187">
        <v>5.682652</v>
      </c>
      <c r="E3187">
        <v>0.48847040000000003</v>
      </c>
      <c r="F3187" t="s">
        <v>69</v>
      </c>
      <c r="G3187">
        <v>-370.21390000000002</v>
      </c>
      <c r="H3187" s="1">
        <v>-1.422984E-6</v>
      </c>
      <c r="I3187">
        <v>212.7704</v>
      </c>
      <c r="J3187">
        <v>-390.33390000000003</v>
      </c>
      <c r="K3187">
        <v>1.1090799999999901</v>
      </c>
      <c r="L3187">
        <v>213.55240000000001</v>
      </c>
      <c r="M3187">
        <v>0.99993050000000006</v>
      </c>
      <c r="N3187">
        <v>0</v>
      </c>
      <c r="O3187">
        <v>8.3796640000000002E-3</v>
      </c>
      <c r="P3187">
        <v>0.99703730000000002</v>
      </c>
      <c r="Q3187">
        <v>-2.5836580000000001E-2</v>
      </c>
      <c r="R3187">
        <v>-7.2455779999999997E-2</v>
      </c>
      <c r="S3187">
        <v>2.996216</v>
      </c>
      <c r="T3187">
        <v>-0.16226579999999999</v>
      </c>
      <c r="U3187">
        <v>-0.113967899999999</v>
      </c>
      <c r="V3187">
        <v>8.080677E-2</v>
      </c>
      <c r="W3187">
        <v>-1.755746E-2</v>
      </c>
      <c r="X3187">
        <v>0.99657510000000005</v>
      </c>
      <c r="Y3187">
        <v>4.6302330000000003E-2</v>
      </c>
      <c r="Z3187">
        <v>-1.705776E-3</v>
      </c>
      <c r="AA3187">
        <v>0.99892599999999998</v>
      </c>
      <c r="AB3187">
        <v>36</v>
      </c>
      <c r="AC3187">
        <v>20.12</v>
      </c>
      <c r="AD3187">
        <v>-1.10908142298399</v>
      </c>
      <c r="AE3187">
        <v>-0.78200000000001002</v>
      </c>
      <c r="AF3187">
        <v>0.94770185397659301</v>
      </c>
      <c r="AG3187">
        <v>-1.10908142298399</v>
      </c>
      <c r="AH3187">
        <v>20.051902974149201</v>
      </c>
      <c r="AI3187">
        <v>93.162311574584393</v>
      </c>
      <c r="AJ3187">
        <v>87.294075256250593</v>
      </c>
      <c r="AK3187">
        <v>20.104900230827699</v>
      </c>
      <c r="AL3187">
        <v>91.006020084188904</v>
      </c>
      <c r="AM3187">
        <v>85.364343316366899</v>
      </c>
      <c r="AN3187">
        <v>0.99999996420974602</v>
      </c>
    </row>
    <row r="3188" spans="1:40" x14ac:dyDescent="0.25">
      <c r="A3188" t="str">
        <f>"20190312161332830"</f>
        <v>20190312161332830</v>
      </c>
      <c r="B3188" t="str">
        <f>"1552378412818654"</f>
        <v>1552378412818654</v>
      </c>
      <c r="C3188" t="s">
        <v>40</v>
      </c>
      <c r="D3188">
        <v>5.7277129999999996</v>
      </c>
      <c r="E3188">
        <v>0.48874659999999898</v>
      </c>
      <c r="F3188" t="s">
        <v>69</v>
      </c>
      <c r="G3188">
        <v>-370.93189999999998</v>
      </c>
      <c r="H3188" s="1">
        <v>-1.040896E-6</v>
      </c>
      <c r="I3188">
        <v>212.7688</v>
      </c>
      <c r="J3188">
        <v>-389.96510000000001</v>
      </c>
      <c r="K3188">
        <v>1.1090819999999999</v>
      </c>
      <c r="L3188">
        <v>213.55549999999999</v>
      </c>
      <c r="M3188">
        <v>0.99992999999999999</v>
      </c>
      <c r="N3188">
        <v>0</v>
      </c>
      <c r="O3188">
        <v>8.379035E-3</v>
      </c>
      <c r="P3188">
        <v>0.99693600000000004</v>
      </c>
      <c r="Q3188">
        <v>-2.5839040000000001E-2</v>
      </c>
      <c r="R3188">
        <v>-7.3829880000000001E-2</v>
      </c>
      <c r="S3188">
        <v>2.9956670000000001</v>
      </c>
      <c r="T3188">
        <v>-0.17124200000000001</v>
      </c>
      <c r="U3188">
        <v>-0.12098689999999999</v>
      </c>
      <c r="V3188">
        <v>8.2179840000000004E-2</v>
      </c>
      <c r="W3188">
        <v>-1.7527569999999999E-2</v>
      </c>
      <c r="X3188">
        <v>0.9964634</v>
      </c>
      <c r="Y3188">
        <v>4.8632590000000003E-2</v>
      </c>
      <c r="Z3188">
        <v>-1.866721E-3</v>
      </c>
      <c r="AA3188">
        <v>0.99881500000000001</v>
      </c>
      <c r="AB3188">
        <v>36</v>
      </c>
      <c r="AC3188">
        <v>19.033200000000001</v>
      </c>
      <c r="AD3188">
        <v>-1.109083040896</v>
      </c>
      <c r="AE3188">
        <v>-0.78669999999999596</v>
      </c>
      <c r="AF3188">
        <v>0.94296142477003198</v>
      </c>
      <c r="AG3188">
        <v>-1.109083040896</v>
      </c>
      <c r="AH3188">
        <v>18.9616651408401</v>
      </c>
      <c r="AI3188">
        <v>93.343340073500002</v>
      </c>
      <c r="AJ3188">
        <v>87.153032842650404</v>
      </c>
      <c r="AK3188">
        <v>19.017465297813999</v>
      </c>
      <c r="AL3188">
        <v>91.004307188970998</v>
      </c>
      <c r="AM3188">
        <v>85.2854001629143</v>
      </c>
      <c r="AN3188">
        <v>1.0000000246760401</v>
      </c>
    </row>
    <row r="3189" spans="1:40" x14ac:dyDescent="0.25">
      <c r="A3189" t="str">
        <f>"20190312161332851"</f>
        <v>20190312161332851</v>
      </c>
      <c r="B3189" t="str">
        <f>"1552378412839149"</f>
        <v>1552378412839149</v>
      </c>
      <c r="C3189" t="s">
        <v>40</v>
      </c>
      <c r="D3189">
        <v>5.7708769999999996</v>
      </c>
      <c r="E3189">
        <v>0.48879139999999999</v>
      </c>
      <c r="F3189" t="s">
        <v>43</v>
      </c>
      <c r="G3189">
        <v>-388.92439999999999</v>
      </c>
      <c r="H3189">
        <v>1.0482940000000001</v>
      </c>
      <c r="I3189">
        <v>213.5111</v>
      </c>
      <c r="J3189">
        <v>-389.60820000000001</v>
      </c>
      <c r="K3189">
        <v>1.1090850000000001</v>
      </c>
      <c r="L3189">
        <v>213.55850000000001</v>
      </c>
      <c r="M3189">
        <v>0.99992990000000004</v>
      </c>
      <c r="N3189">
        <v>0</v>
      </c>
      <c r="O3189">
        <v>8.378468E-3</v>
      </c>
      <c r="P3189">
        <v>0.99688350000000003</v>
      </c>
      <c r="Q3189">
        <v>-2.6202710000000001E-2</v>
      </c>
      <c r="R3189">
        <v>-7.4410100000000007E-2</v>
      </c>
      <c r="S3189">
        <v>2.9952999999999999</v>
      </c>
      <c r="T3189">
        <v>-0.17506830000000001</v>
      </c>
      <c r="U3189">
        <v>-0.12727359999999999</v>
      </c>
      <c r="V3189">
        <v>8.2759070000000004E-2</v>
      </c>
      <c r="W3189">
        <v>-1.7862820000000001E-2</v>
      </c>
      <c r="X3189">
        <v>0.99640949999999995</v>
      </c>
      <c r="Y3189">
        <v>5.0721809999999999E-2</v>
      </c>
      <c r="Z3189">
        <v>-1.9694539999999998E-3</v>
      </c>
      <c r="AA3189">
        <v>0.99871089999999996</v>
      </c>
      <c r="AB3189">
        <v>37</v>
      </c>
      <c r="AC3189">
        <v>0.68380000000001895</v>
      </c>
      <c r="AD3189">
        <v>-6.0790999999999998E-2</v>
      </c>
      <c r="AE3189">
        <v>-4.7400000000010302E-2</v>
      </c>
      <c r="AF3189">
        <v>5.2713106465430398E-2</v>
      </c>
      <c r="AG3189">
        <v>-6.0790999999999998E-2</v>
      </c>
      <c r="AH3189">
        <v>0.678045526337132</v>
      </c>
      <c r="AI3189">
        <v>95.107894446655905</v>
      </c>
      <c r="AJ3189">
        <v>85.554611490951402</v>
      </c>
      <c r="AK3189">
        <v>0.68280301190023596</v>
      </c>
      <c r="AL3189">
        <v>91.023518613632405</v>
      </c>
      <c r="AM3189">
        <v>85.252065868920198</v>
      </c>
      <c r="AN3189">
        <v>1.00000001784793</v>
      </c>
    </row>
    <row r="3190" spans="1:40" x14ac:dyDescent="0.25">
      <c r="A3190" t="str">
        <f>"20190312161332872"</f>
        <v>20190312161332872</v>
      </c>
      <c r="B3190" t="str">
        <f>"1552378412869406"</f>
        <v>1552378412869406</v>
      </c>
      <c r="C3190" t="s">
        <v>40</v>
      </c>
      <c r="D3190">
        <v>5.7462489999999997</v>
      </c>
      <c r="E3190">
        <v>0.45481339999999998</v>
      </c>
      <c r="F3190" t="s">
        <v>43</v>
      </c>
      <c r="G3190">
        <v>-388.59530000000001</v>
      </c>
      <c r="H3190">
        <v>1.0496970000000001</v>
      </c>
      <c r="I3190">
        <v>213.5145</v>
      </c>
      <c r="J3190">
        <v>-389.26499999999999</v>
      </c>
      <c r="K3190">
        <v>1.1090960000000001</v>
      </c>
      <c r="L3190">
        <v>213.56139999999999</v>
      </c>
      <c r="M3190">
        <v>0.99992959999999997</v>
      </c>
      <c r="N3190">
        <v>0</v>
      </c>
      <c r="O3190">
        <v>8.3783820000000002E-3</v>
      </c>
      <c r="P3190">
        <v>0.99693509999999996</v>
      </c>
      <c r="Q3190">
        <v>-2.5418E-2</v>
      </c>
      <c r="R3190">
        <v>-7.3987159999999996E-2</v>
      </c>
      <c r="S3190">
        <v>2.9950559999999999</v>
      </c>
      <c r="T3190">
        <v>-0.17573329999999901</v>
      </c>
      <c r="U3190">
        <v>-0.12950130000000001</v>
      </c>
      <c r="V3190">
        <v>8.2336820000000005E-2</v>
      </c>
      <c r="W3190">
        <v>-1.7052310000000001E-2</v>
      </c>
      <c r="X3190">
        <v>0.99645859999999997</v>
      </c>
      <c r="Y3190">
        <v>5.1464610000000001E-2</v>
      </c>
      <c r="Z3190">
        <v>-1.9988110000000001E-3</v>
      </c>
      <c r="AA3190">
        <v>0.99867280000000003</v>
      </c>
      <c r="AB3190">
        <v>37</v>
      </c>
      <c r="AC3190">
        <v>0.66969999999997698</v>
      </c>
      <c r="AD3190">
        <v>-5.9398999999999903E-2</v>
      </c>
      <c r="AE3190">
        <v>-4.6899999999993697E-2</v>
      </c>
      <c r="AF3190">
        <v>5.2101681500949903E-2</v>
      </c>
      <c r="AG3190">
        <v>-5.9398999999999903E-2</v>
      </c>
      <c r="AH3190">
        <v>0.66408481183158397</v>
      </c>
      <c r="AI3190">
        <v>95.095637723736701</v>
      </c>
      <c r="AJ3190">
        <v>85.513970690663797</v>
      </c>
      <c r="AK3190">
        <v>0.66876861747664096</v>
      </c>
      <c r="AL3190">
        <v>90.977072811471501</v>
      </c>
      <c r="AM3190">
        <v>85.276412391870807</v>
      </c>
      <c r="AN3190">
        <v>0.99999993735900194</v>
      </c>
    </row>
    <row r="3191" spans="1:40" x14ac:dyDescent="0.25">
      <c r="A3191" t="str">
        <f>"20190312161332895"</f>
        <v>20190312161332895</v>
      </c>
      <c r="B3191" t="str">
        <f>"1552378412888926"</f>
        <v>1552378412888926</v>
      </c>
      <c r="C3191" t="s">
        <v>40</v>
      </c>
      <c r="D3191">
        <v>5.6872379999999998</v>
      </c>
      <c r="E3191">
        <v>0.44111149999999999</v>
      </c>
      <c r="F3191" t="s">
        <v>74</v>
      </c>
      <c r="G3191">
        <v>-317.44760000000002</v>
      </c>
      <c r="H3191" s="1">
        <v>4.2083519999999998E-6</v>
      </c>
      <c r="I3191">
        <v>216.8073</v>
      </c>
      <c r="J3191">
        <v>-388.89210000000003</v>
      </c>
      <c r="K3191">
        <v>1.109102</v>
      </c>
      <c r="L3191">
        <v>213.56450000000001</v>
      </c>
      <c r="M3191">
        <v>0.99992950000000003</v>
      </c>
      <c r="N3191">
        <v>0</v>
      </c>
      <c r="O3191">
        <v>8.3782919999999903E-3</v>
      </c>
      <c r="P3191">
        <v>0.99704040000000005</v>
      </c>
      <c r="Q3191">
        <v>-2.4536349999999998E-2</v>
      </c>
      <c r="R3191">
        <v>-7.2861309999999999E-2</v>
      </c>
      <c r="S3191">
        <v>3.0181580000000001</v>
      </c>
      <c r="T3191">
        <v>-4.6610119999999998E-2</v>
      </c>
      <c r="U3191">
        <v>0.1364136</v>
      </c>
      <c r="V3191">
        <v>8.1211580000000005E-2</v>
      </c>
      <c r="W3191">
        <v>-1.614467E-2</v>
      </c>
      <c r="X3191">
        <v>0.99656610000000001</v>
      </c>
      <c r="Y3191">
        <v>-3.677652E-2</v>
      </c>
      <c r="Z3191">
        <v>1.545009E-4</v>
      </c>
      <c r="AA3191">
        <v>0.99932350000000003</v>
      </c>
      <c r="AB3191">
        <v>37</v>
      </c>
      <c r="AC3191">
        <v>71.444500000000005</v>
      </c>
      <c r="AD3191">
        <v>-1.109097791648</v>
      </c>
      <c r="AE3191">
        <v>3.2427999999999799</v>
      </c>
      <c r="AF3191">
        <v>-2.6434463620875901</v>
      </c>
      <c r="AG3191">
        <v>-1.109097791648</v>
      </c>
      <c r="AH3191">
        <v>71.451978382793001</v>
      </c>
      <c r="AI3191">
        <v>90.888681986580707</v>
      </c>
      <c r="AJ3191">
        <v>92.118755547847599</v>
      </c>
      <c r="AK3191">
        <v>71.509461761334705</v>
      </c>
      <c r="AL3191">
        <v>90.925061659099995</v>
      </c>
      <c r="AM3191">
        <v>85.341180588977494</v>
      </c>
      <c r="AN3191">
        <v>0.99999998138235702</v>
      </c>
    </row>
    <row r="3192" spans="1:40" x14ac:dyDescent="0.25">
      <c r="A3192" t="str">
        <f>"20190312161332918"</f>
        <v>20190312161332918</v>
      </c>
      <c r="B3192" t="str">
        <f>"1552378412909422"</f>
        <v>1552378412909422</v>
      </c>
      <c r="C3192" t="s">
        <v>40</v>
      </c>
      <c r="D3192">
        <v>5.6531770000000003</v>
      </c>
      <c r="E3192">
        <v>0.43635059999999898</v>
      </c>
      <c r="F3192" t="s">
        <v>74</v>
      </c>
      <c r="G3192">
        <v>-312.3073</v>
      </c>
      <c r="H3192">
        <v>7.9999329999999994E-2</v>
      </c>
      <c r="I3192">
        <v>219.86060000000001</v>
      </c>
      <c r="J3192">
        <v>-388.50850000000003</v>
      </c>
      <c r="K3192">
        <v>1.109105</v>
      </c>
      <c r="L3192">
        <v>213.5677</v>
      </c>
      <c r="M3192">
        <v>0.99992919999999996</v>
      </c>
      <c r="N3192">
        <v>0</v>
      </c>
      <c r="O3192">
        <v>8.3786799999999995E-3</v>
      </c>
      <c r="P3192">
        <v>0.99715010000000004</v>
      </c>
      <c r="Q3192">
        <v>-2.375646E-2</v>
      </c>
      <c r="R3192">
        <v>-7.1607530000000003E-2</v>
      </c>
      <c r="S3192">
        <v>3.0260929999999999</v>
      </c>
      <c r="T3192">
        <v>-4.0662879999999998E-2</v>
      </c>
      <c r="U3192">
        <v>0.24877929999999901</v>
      </c>
      <c r="V3192">
        <v>7.9959409999999995E-2</v>
      </c>
      <c r="W3192">
        <v>-1.534015E-2</v>
      </c>
      <c r="X3192">
        <v>0.99668009999999996</v>
      </c>
      <c r="Y3192">
        <v>-7.3575450000000001E-2</v>
      </c>
      <c r="Z3192">
        <v>3.8109109999999999E-4</v>
      </c>
      <c r="AA3192">
        <v>0.9972896</v>
      </c>
      <c r="AB3192">
        <v>37</v>
      </c>
      <c r="AC3192">
        <v>76.2012</v>
      </c>
      <c r="AD3192">
        <v>-1.0291056700000001</v>
      </c>
      <c r="AE3192">
        <v>6.2929000000000004</v>
      </c>
      <c r="AF3192">
        <v>-5.6531667441110303</v>
      </c>
      <c r="AG3192">
        <v>-1.0291056700000001</v>
      </c>
      <c r="AH3192">
        <v>76.237442481157402</v>
      </c>
      <c r="AI3192">
        <v>90.771253826539507</v>
      </c>
      <c r="AJ3192">
        <v>94.240841147194999</v>
      </c>
      <c r="AK3192">
        <v>76.453678713221706</v>
      </c>
      <c r="AL3192">
        <v>90.878960305632106</v>
      </c>
      <c r="AM3192">
        <v>85.413226619416804</v>
      </c>
      <c r="AN3192">
        <v>1.00000002459279</v>
      </c>
    </row>
    <row r="3193" spans="1:40" x14ac:dyDescent="0.25">
      <c r="A3193" t="str">
        <f>"20190312161332941"</f>
        <v>20190312161332941</v>
      </c>
      <c r="B3193" t="str">
        <f>"1552378412938702"</f>
        <v>1552378412938702</v>
      </c>
      <c r="C3193" t="s">
        <v>40</v>
      </c>
      <c r="D3193">
        <v>5.7229369999999999</v>
      </c>
      <c r="E3193">
        <v>0.433589</v>
      </c>
      <c r="F3193" t="s">
        <v>74</v>
      </c>
      <c r="G3193">
        <v>-317.97460000000001</v>
      </c>
      <c r="H3193">
        <v>7.9999710000000002E-2</v>
      </c>
      <c r="I3193">
        <v>220.33690000000001</v>
      </c>
      <c r="J3193">
        <v>-388.1275</v>
      </c>
      <c r="K3193">
        <v>1.1091150000000001</v>
      </c>
      <c r="L3193">
        <v>213.57089999999999</v>
      </c>
      <c r="M3193">
        <v>0.99992910000000002</v>
      </c>
      <c r="N3193">
        <v>0</v>
      </c>
      <c r="O3193">
        <v>8.3789529999999997E-3</v>
      </c>
      <c r="P3193">
        <v>0.99727390000000005</v>
      </c>
      <c r="Q3193">
        <v>-2.337912E-2</v>
      </c>
      <c r="R3193">
        <v>-6.9989380000000004E-2</v>
      </c>
      <c r="S3193">
        <v>3.0283509999999998</v>
      </c>
      <c r="T3193">
        <v>-4.4184330000000001E-2</v>
      </c>
      <c r="U3193">
        <v>0.29063420000000001</v>
      </c>
      <c r="V3193">
        <v>7.8342449999999994E-2</v>
      </c>
      <c r="W3193">
        <v>-1.4939879999999999E-2</v>
      </c>
      <c r="X3193">
        <v>0.99681450000000005</v>
      </c>
      <c r="Y3193">
        <v>-8.7179580000000007E-2</v>
      </c>
      <c r="Z3193">
        <v>5.1253849999999897E-4</v>
      </c>
      <c r="AA3193">
        <v>0.99619250000000004</v>
      </c>
      <c r="AB3193">
        <v>37</v>
      </c>
      <c r="AC3193">
        <v>70.152899999999903</v>
      </c>
      <c r="AD3193">
        <v>-1.02911529</v>
      </c>
      <c r="AE3193">
        <v>6.7660000000000098</v>
      </c>
      <c r="AF3193">
        <v>-6.1766166348730103</v>
      </c>
      <c r="AG3193">
        <v>-1.02911529</v>
      </c>
      <c r="AH3193">
        <v>70.192165246799206</v>
      </c>
      <c r="AI3193">
        <v>90.836743207862398</v>
      </c>
      <c r="AJ3193">
        <v>95.028835517837194</v>
      </c>
      <c r="AK3193">
        <v>70.470914094882204</v>
      </c>
      <c r="AL3193">
        <v>90.856023964950893</v>
      </c>
      <c r="AM3193">
        <v>85.506201121744397</v>
      </c>
      <c r="AN3193">
        <v>0.99999994344833099</v>
      </c>
    </row>
    <row r="3194" spans="1:40" x14ac:dyDescent="0.25">
      <c r="A3194" t="str">
        <f>"20190312161332964"</f>
        <v>20190312161332964</v>
      </c>
      <c r="B3194" t="str">
        <f>"1552378412959197"</f>
        <v>1552378412959197</v>
      </c>
      <c r="C3194" t="s">
        <v>40</v>
      </c>
      <c r="D3194">
        <v>5.6629500000000004</v>
      </c>
      <c r="E3194">
        <v>0.43271579999999898</v>
      </c>
      <c r="F3194" t="s">
        <v>74</v>
      </c>
      <c r="G3194">
        <v>-319.47500000000002</v>
      </c>
      <c r="H3194">
        <v>7.9999929999999997E-2</v>
      </c>
      <c r="I3194">
        <v>220.7671</v>
      </c>
      <c r="J3194">
        <v>-387.76229999999998</v>
      </c>
      <c r="K3194">
        <v>1.109121</v>
      </c>
      <c r="L3194">
        <v>213.57400000000001</v>
      </c>
      <c r="M3194">
        <v>0.99992879999999995</v>
      </c>
      <c r="N3194">
        <v>0</v>
      </c>
      <c r="O3194">
        <v>8.3793530000000008E-3</v>
      </c>
      <c r="P3194">
        <v>0.99733629999999995</v>
      </c>
      <c r="Q3194">
        <v>-2.3019939999999999E-2</v>
      </c>
      <c r="R3194">
        <v>-6.9214499999999998E-2</v>
      </c>
      <c r="S3194">
        <v>3.0294490000000001</v>
      </c>
      <c r="T3194">
        <v>-4.5412059999999997E-2</v>
      </c>
      <c r="U3194">
        <v>0.31755070000000002</v>
      </c>
      <c r="V3194">
        <v>7.7568670000000006E-2</v>
      </c>
      <c r="W3194">
        <v>-1.4560999999999999E-2</v>
      </c>
      <c r="X3194">
        <v>0.99688069999999895</v>
      </c>
      <c r="Y3194">
        <v>-9.5902699999999994E-2</v>
      </c>
      <c r="Z3194">
        <v>5.9154909999999995E-4</v>
      </c>
      <c r="AA3194">
        <v>0.99539049999999996</v>
      </c>
      <c r="AB3194">
        <v>37</v>
      </c>
      <c r="AC3194">
        <v>68.287299999999902</v>
      </c>
      <c r="AD3194">
        <v>-1.02912107</v>
      </c>
      <c r="AE3194">
        <v>7.1930999999999798</v>
      </c>
      <c r="AF3194">
        <v>-6.6191365734243597</v>
      </c>
      <c r="AG3194">
        <v>-1.02912107</v>
      </c>
      <c r="AH3194">
        <v>68.329829452839206</v>
      </c>
      <c r="AI3194">
        <v>90.858851455163204</v>
      </c>
      <c r="AJ3194">
        <v>95.533000069386205</v>
      </c>
      <c r="AK3194">
        <v>68.657393281484701</v>
      </c>
      <c r="AL3194">
        <v>90.834313308082002</v>
      </c>
      <c r="AM3194">
        <v>85.550701063948196</v>
      </c>
      <c r="AN3194">
        <v>1.0000000256595201</v>
      </c>
    </row>
    <row r="3195" spans="1:40" x14ac:dyDescent="0.25">
      <c r="A3195" t="str">
        <f>"20190312161332986"</f>
        <v>20190312161332986</v>
      </c>
      <c r="B3195" t="str">
        <f>"1552378412978717"</f>
        <v>1552378412978717</v>
      </c>
      <c r="C3195" t="s">
        <v>40</v>
      </c>
      <c r="D3195">
        <v>5.6467549999999997</v>
      </c>
      <c r="E3195">
        <v>0.43203809999999898</v>
      </c>
      <c r="F3195" t="s">
        <v>69</v>
      </c>
      <c r="G3195">
        <v>-321.30250000000001</v>
      </c>
      <c r="H3195">
        <v>8.0000399999999902E-2</v>
      </c>
      <c r="I3195">
        <v>220.7518</v>
      </c>
      <c r="J3195">
        <v>-387.38670000000002</v>
      </c>
      <c r="K3195">
        <v>1.1091219999999999</v>
      </c>
      <c r="L3195">
        <v>213.5771</v>
      </c>
      <c r="M3195">
        <v>0.9999287</v>
      </c>
      <c r="N3195">
        <v>0</v>
      </c>
      <c r="O3195">
        <v>8.3796369999999901E-3</v>
      </c>
      <c r="P3195">
        <v>0.99734250000000002</v>
      </c>
      <c r="Q3195">
        <v>-2.268825E-2</v>
      </c>
      <c r="R3195">
        <v>-6.9232050000000003E-2</v>
      </c>
      <c r="S3195">
        <v>3.029633</v>
      </c>
      <c r="T3195">
        <v>-4.6913389999999999E-2</v>
      </c>
      <c r="U3195">
        <v>0.32720949999999999</v>
      </c>
      <c r="V3195">
        <v>7.7586769999999999E-2</v>
      </c>
      <c r="W3195">
        <v>-1.421095E-2</v>
      </c>
      <c r="X3195">
        <v>0.99688429999999995</v>
      </c>
      <c r="Y3195">
        <v>-9.903257E-2</v>
      </c>
      <c r="Z3195">
        <v>6.3512110000000003E-4</v>
      </c>
      <c r="AA3195">
        <v>0.99508399999999997</v>
      </c>
      <c r="AB3195">
        <v>37</v>
      </c>
      <c r="AC3195">
        <v>66.084199999999996</v>
      </c>
      <c r="AD3195">
        <v>-1.0291216000000001</v>
      </c>
      <c r="AE3195">
        <v>7.1746999999999996</v>
      </c>
      <c r="AF3195">
        <v>-6.6190799078473201</v>
      </c>
      <c r="AG3195">
        <v>-1.0291216000000001</v>
      </c>
      <c r="AH3195">
        <v>66.126153446908205</v>
      </c>
      <c r="AI3195">
        <v>90.887189638915203</v>
      </c>
      <c r="AJ3195">
        <v>95.716138921822903</v>
      </c>
      <c r="AK3195">
        <v>66.464573118151506</v>
      </c>
      <c r="AL3195">
        <v>90.814254880070905</v>
      </c>
      <c r="AM3195">
        <v>85.549683034196704</v>
      </c>
      <c r="AN3195">
        <v>0.99999998278271196</v>
      </c>
    </row>
    <row r="3196" spans="1:40" x14ac:dyDescent="0.25">
      <c r="A3196" t="str">
        <f>"20190312161333021"</f>
        <v>20190312161333021</v>
      </c>
      <c r="B3196" t="str">
        <f>"1552378413008974"</f>
        <v>1552378413008974</v>
      </c>
      <c r="C3196" t="s">
        <v>40</v>
      </c>
      <c r="D3196">
        <v>5.648231</v>
      </c>
      <c r="E3196">
        <v>0.43164059999999999</v>
      </c>
      <c r="F3196" t="s">
        <v>74</v>
      </c>
      <c r="G3196">
        <v>-319.81330000000003</v>
      </c>
      <c r="H3196">
        <v>7.9999979999999998E-2</v>
      </c>
      <c r="I3196">
        <v>220.9933</v>
      </c>
      <c r="J3196">
        <v>-386.81290000000001</v>
      </c>
      <c r="K3196">
        <v>1.1091200000000001</v>
      </c>
      <c r="L3196">
        <v>213.58189999999999</v>
      </c>
      <c r="M3196">
        <v>0.9999287</v>
      </c>
      <c r="N3196">
        <v>0</v>
      </c>
      <c r="O3196">
        <v>8.3800079999999996E-3</v>
      </c>
      <c r="P3196">
        <v>0.9972879</v>
      </c>
      <c r="Q3196">
        <v>-2.270428E-2</v>
      </c>
      <c r="R3196">
        <v>-7.001259E-2</v>
      </c>
      <c r="S3196">
        <v>3.0300600000000002</v>
      </c>
      <c r="T3196">
        <v>-4.614687E-2</v>
      </c>
      <c r="U3196">
        <v>0.33255000000000001</v>
      </c>
      <c r="V3196">
        <v>7.8367179999999995E-2</v>
      </c>
      <c r="W3196">
        <v>-1.420163E-2</v>
      </c>
      <c r="X3196">
        <v>0.99682340000000003</v>
      </c>
      <c r="Y3196">
        <v>-0.1007506</v>
      </c>
      <c r="Z3196">
        <v>6.3763480000000004E-4</v>
      </c>
      <c r="AA3196">
        <v>0.99491149999999995</v>
      </c>
      <c r="AB3196">
        <v>37</v>
      </c>
      <c r="AC3196">
        <v>66.999599999999901</v>
      </c>
      <c r="AD3196">
        <v>-1.0291200199999999</v>
      </c>
      <c r="AE3196">
        <v>7.4114000000000102</v>
      </c>
      <c r="AF3196">
        <v>-6.84806609439027</v>
      </c>
      <c r="AG3196">
        <v>-1.0291200199999999</v>
      </c>
      <c r="AH3196">
        <v>67.043730543455297</v>
      </c>
      <c r="AI3196">
        <v>90.874868780371997</v>
      </c>
      <c r="AJ3196">
        <v>95.832151829497107</v>
      </c>
      <c r="AK3196">
        <v>67.400422123545695</v>
      </c>
      <c r="AL3196">
        <v>90.813720818754106</v>
      </c>
      <c r="AM3196">
        <v>85.504828368371506</v>
      </c>
      <c r="AN3196">
        <v>0.99999999599168399</v>
      </c>
    </row>
    <row r="3197" spans="1:40" x14ac:dyDescent="0.25">
      <c r="A3197" t="str">
        <f>"20190312161333041"</f>
        <v>20190312161333041</v>
      </c>
      <c r="B3197" t="str">
        <f>"1552378413029473"</f>
        <v>1552378413029473</v>
      </c>
      <c r="C3197" t="s">
        <v>40</v>
      </c>
      <c r="D3197">
        <v>5.6320329999999998</v>
      </c>
      <c r="E3197">
        <v>0.43141439999999998</v>
      </c>
      <c r="F3197" t="s">
        <v>69</v>
      </c>
      <c r="G3197">
        <v>-323.09359999999998</v>
      </c>
      <c r="H3197">
        <v>8.0000920000000003E-2</v>
      </c>
      <c r="I3197">
        <v>220.59100000000001</v>
      </c>
      <c r="J3197">
        <v>-386.47949999999997</v>
      </c>
      <c r="K3197">
        <v>1.109124</v>
      </c>
      <c r="L3197">
        <v>213.5847</v>
      </c>
      <c r="M3197">
        <v>0.99992840000000005</v>
      </c>
      <c r="N3197">
        <v>0</v>
      </c>
      <c r="O3197">
        <v>8.3804859999999995E-3</v>
      </c>
      <c r="P3197">
        <v>0.99724199999999996</v>
      </c>
      <c r="Q3197">
        <v>-2.2806380000000001E-2</v>
      </c>
      <c r="R3197">
        <v>-7.0627910000000002E-2</v>
      </c>
      <c r="S3197">
        <v>3.0304259999999998</v>
      </c>
      <c r="T3197">
        <v>-4.8943880000000002E-2</v>
      </c>
      <c r="U3197">
        <v>0.33334350000000001</v>
      </c>
      <c r="V3197">
        <v>7.8982570000000002E-2</v>
      </c>
      <c r="W3197">
        <v>-1.429004E-2</v>
      </c>
      <c r="X3197">
        <v>0.99677349999999998</v>
      </c>
      <c r="Y3197">
        <v>-0.1009931</v>
      </c>
      <c r="Z3197">
        <v>6.7813149999999996E-4</v>
      </c>
      <c r="AA3197">
        <v>0.99488690000000002</v>
      </c>
      <c r="AB3197">
        <v>37</v>
      </c>
      <c r="AC3197">
        <v>63.3858999999999</v>
      </c>
      <c r="AD3197">
        <v>-1.02912308</v>
      </c>
      <c r="AE3197">
        <v>7.00629999999998</v>
      </c>
      <c r="AF3197">
        <v>-6.4731441748480698</v>
      </c>
      <c r="AG3197">
        <v>-1.02912308</v>
      </c>
      <c r="AH3197">
        <v>63.4258748580325</v>
      </c>
      <c r="AI3197">
        <v>90.924774144694297</v>
      </c>
      <c r="AJ3197">
        <v>95.8273398922898</v>
      </c>
      <c r="AK3197">
        <v>63.763643962127503</v>
      </c>
      <c r="AL3197">
        <v>90.818786905984197</v>
      </c>
      <c r="AM3197">
        <v>85.469449881980907</v>
      </c>
      <c r="AN3197">
        <v>0.99999993095462503</v>
      </c>
    </row>
    <row r="3198" spans="1:40" x14ac:dyDescent="0.25">
      <c r="A3198" t="str">
        <f>"20190312161333062"</f>
        <v>20190312161333062</v>
      </c>
      <c r="B3198" t="str">
        <f>"1552378413058749"</f>
        <v>1552378413058749</v>
      </c>
      <c r="C3198" t="s">
        <v>40</v>
      </c>
      <c r="D3198">
        <v>5.6731040000000004</v>
      </c>
      <c r="E3198">
        <v>0.43105640000000001</v>
      </c>
      <c r="F3198" t="s">
        <v>69</v>
      </c>
      <c r="G3198">
        <v>-325.10539999999997</v>
      </c>
      <c r="H3198">
        <v>8.0000050000000003E-2</v>
      </c>
      <c r="I3198">
        <v>220.33779999999999</v>
      </c>
      <c r="J3198">
        <v>-386.12819999999999</v>
      </c>
      <c r="K3198">
        <v>1.1091260000000001</v>
      </c>
      <c r="L3198">
        <v>213.58760000000001</v>
      </c>
      <c r="M3198">
        <v>0.99992840000000005</v>
      </c>
      <c r="N3198">
        <v>0</v>
      </c>
      <c r="O3198">
        <v>8.3807229999999996E-3</v>
      </c>
      <c r="P3198">
        <v>0.99719139999999995</v>
      </c>
      <c r="Q3198">
        <v>-2.333882E-2</v>
      </c>
      <c r="R3198">
        <v>-7.1168499999999996E-2</v>
      </c>
      <c r="S3198">
        <v>3.0307620000000002</v>
      </c>
      <c r="T3198">
        <v>-5.0819990000000002E-2</v>
      </c>
      <c r="U3198">
        <v>0.33348080000000002</v>
      </c>
      <c r="V3198">
        <v>7.9522949999999995E-2</v>
      </c>
      <c r="W3198">
        <v>-1.4808709999999999E-2</v>
      </c>
      <c r="X3198">
        <v>0.99672309999999997</v>
      </c>
      <c r="Y3198">
        <v>-0.1010245</v>
      </c>
      <c r="Z3198">
        <v>7.0430139999999998E-4</v>
      </c>
      <c r="AA3198">
        <v>0.99488370000000004</v>
      </c>
      <c r="AB3198">
        <v>37</v>
      </c>
      <c r="AC3198">
        <v>61.022799999999997</v>
      </c>
      <c r="AD3198">
        <v>-1.0291259500000001</v>
      </c>
      <c r="AE3198">
        <v>6.7501999999999702</v>
      </c>
      <c r="AF3198">
        <v>-6.2367766914253799</v>
      </c>
      <c r="AG3198">
        <v>-1.0291259500000001</v>
      </c>
      <c r="AH3198">
        <v>61.060073930136198</v>
      </c>
      <c r="AI3198">
        <v>90.960592960297802</v>
      </c>
      <c r="AJ3198">
        <v>95.832059771254706</v>
      </c>
      <c r="AK3198">
        <v>61.386391912812201</v>
      </c>
      <c r="AL3198">
        <v>90.848507540106397</v>
      </c>
      <c r="AM3198">
        <v>85.438353621114203</v>
      </c>
      <c r="AN3198">
        <v>1.0000000677710801</v>
      </c>
    </row>
    <row r="3199" spans="1:40" x14ac:dyDescent="0.25">
      <c r="A3199" t="str">
        <f>"20190312161333085"</f>
        <v>20190312161333085</v>
      </c>
      <c r="B3199" t="str">
        <f>"1552378413079246"</f>
        <v>1552378413079246</v>
      </c>
      <c r="C3199" t="s">
        <v>40</v>
      </c>
      <c r="D3199">
        <v>5.7086119999999996</v>
      </c>
      <c r="E3199">
        <v>0.43086239999999998</v>
      </c>
      <c r="F3199" t="s">
        <v>69</v>
      </c>
      <c r="G3199">
        <v>-325.45240000000001</v>
      </c>
      <c r="H3199">
        <v>8.0000150000000006E-2</v>
      </c>
      <c r="I3199">
        <v>220.28569999999999</v>
      </c>
      <c r="J3199">
        <v>-385.73950000000002</v>
      </c>
      <c r="K3199">
        <v>1.1091249999999999</v>
      </c>
      <c r="L3199">
        <v>213.5909</v>
      </c>
      <c r="M3199">
        <v>0.99992809999999999</v>
      </c>
      <c r="N3199">
        <v>0</v>
      </c>
      <c r="O3199">
        <v>8.3813749999999999E-3</v>
      </c>
      <c r="P3199">
        <v>0.99715109999999996</v>
      </c>
      <c r="Q3199">
        <v>-2.3244399999999998E-2</v>
      </c>
      <c r="R3199">
        <v>-7.1761119999999998E-2</v>
      </c>
      <c r="S3199">
        <v>3.0311279999999998</v>
      </c>
      <c r="T3199">
        <v>-5.1411150000000003E-2</v>
      </c>
      <c r="U3199">
        <v>0.33461000000000002</v>
      </c>
      <c r="V3199">
        <v>8.0115710000000007E-2</v>
      </c>
      <c r="W3199">
        <v>-1.469964E-2</v>
      </c>
      <c r="X3199">
        <v>0.99667720000000004</v>
      </c>
      <c r="Y3199">
        <v>-0.1013766</v>
      </c>
      <c r="Z3199">
        <v>7.1535860000000002E-4</v>
      </c>
      <c r="AA3199">
        <v>0.99484790000000001</v>
      </c>
      <c r="AB3199">
        <v>37</v>
      </c>
      <c r="AC3199">
        <v>60.287100000000002</v>
      </c>
      <c r="AD3199">
        <v>-1.0291248500000001</v>
      </c>
      <c r="AE3199">
        <v>6.6947999999999803</v>
      </c>
      <c r="AF3199">
        <v>-6.1874763993227004</v>
      </c>
      <c r="AG3199">
        <v>-1.0291248500000001</v>
      </c>
      <c r="AH3199">
        <v>60.323731877043798</v>
      </c>
      <c r="AI3199">
        <v>90.972272872601906</v>
      </c>
      <c r="AJ3199">
        <v>95.856414907428203</v>
      </c>
      <c r="AK3199">
        <v>60.648961983883403</v>
      </c>
      <c r="AL3199">
        <v>90.842257646678107</v>
      </c>
      <c r="AM3199">
        <v>85.404285716438594</v>
      </c>
      <c r="AN3199">
        <v>1.0000000237023801</v>
      </c>
    </row>
    <row r="3200" spans="1:40" x14ac:dyDescent="0.25">
      <c r="A3200" t="str">
        <f>"20190312161333108"</f>
        <v>20190312161333108</v>
      </c>
      <c r="B3200" t="str">
        <f>"1552378413099742"</f>
        <v>1552378413099742</v>
      </c>
      <c r="C3200" t="s">
        <v>40</v>
      </c>
      <c r="D3200">
        <v>5.6899649999999999</v>
      </c>
      <c r="E3200">
        <v>0.43061830000000001</v>
      </c>
      <c r="F3200" t="s">
        <v>69</v>
      </c>
      <c r="G3200">
        <v>-325.71409999999997</v>
      </c>
      <c r="H3200">
        <v>8.0000230000000006E-2</v>
      </c>
      <c r="I3200">
        <v>220.2099</v>
      </c>
      <c r="J3200">
        <v>-385.35809999999998</v>
      </c>
      <c r="K3200">
        <v>1.1091299999999999</v>
      </c>
      <c r="L3200">
        <v>213.5941</v>
      </c>
      <c r="M3200">
        <v>0.99992809999999999</v>
      </c>
      <c r="N3200">
        <v>0</v>
      </c>
      <c r="O3200">
        <v>8.3816120000000001E-3</v>
      </c>
      <c r="P3200">
        <v>0.99714729999999996</v>
      </c>
      <c r="Q3200">
        <v>-2.3172310000000002E-2</v>
      </c>
      <c r="R3200">
        <v>-7.1837579999999998E-2</v>
      </c>
      <c r="S3200">
        <v>3.0314030000000001</v>
      </c>
      <c r="T3200">
        <v>-5.1972869999999997E-2</v>
      </c>
      <c r="U3200">
        <v>0.33427430000000002</v>
      </c>
      <c r="V3200">
        <v>8.0192540000000007E-2</v>
      </c>
      <c r="W3200">
        <v>-1.461338E-2</v>
      </c>
      <c r="X3200">
        <v>0.99667229999999996</v>
      </c>
      <c r="Y3200">
        <v>-0.1012574</v>
      </c>
      <c r="Z3200">
        <v>7.2209039999999905E-4</v>
      </c>
      <c r="AA3200">
        <v>0.99485999999999997</v>
      </c>
      <c r="AB3200">
        <v>37</v>
      </c>
      <c r="AC3200">
        <v>59.643999999999998</v>
      </c>
      <c r="AD3200">
        <v>-1.0291297699999999</v>
      </c>
      <c r="AE3200">
        <v>6.6158000000000001</v>
      </c>
      <c r="AF3200">
        <v>-6.1138382605329298</v>
      </c>
      <c r="AG3200">
        <v>-1.0291297699999999</v>
      </c>
      <c r="AH3200">
        <v>59.679806009100602</v>
      </c>
      <c r="AI3200">
        <v>90.982778710725</v>
      </c>
      <c r="AJ3200">
        <v>95.849203969785904</v>
      </c>
      <c r="AK3200">
        <v>60.0009780890557</v>
      </c>
      <c r="AL3200">
        <v>90.837314773332594</v>
      </c>
      <c r="AM3200">
        <v>85.399874869081799</v>
      </c>
      <c r="AN3200">
        <v>1.0000000339669799</v>
      </c>
    </row>
    <row r="3201" spans="1:40" x14ac:dyDescent="0.25">
      <c r="A3201" t="str">
        <f>"20190312161333131"</f>
        <v>20190312161333131</v>
      </c>
      <c r="B3201" t="str">
        <f>"1552378413129023"</f>
        <v>1552378413129023</v>
      </c>
      <c r="C3201" t="s">
        <v>40</v>
      </c>
      <c r="D3201">
        <v>5.7102919999999999</v>
      </c>
      <c r="E3201">
        <v>0.43035830000000003</v>
      </c>
      <c r="F3201" t="s">
        <v>69</v>
      </c>
      <c r="G3201">
        <v>-326.8175</v>
      </c>
      <c r="H3201">
        <v>8.0000559999999998E-2</v>
      </c>
      <c r="I3201">
        <v>220.08590000000001</v>
      </c>
      <c r="J3201">
        <v>-384.96960000000001</v>
      </c>
      <c r="K3201">
        <v>1.1091329999999999</v>
      </c>
      <c r="L3201">
        <v>213.59739999999999</v>
      </c>
      <c r="M3201">
        <v>0.99992789999999998</v>
      </c>
      <c r="N3201">
        <v>0</v>
      </c>
      <c r="O3201">
        <v>8.3820890000000006E-3</v>
      </c>
      <c r="P3201">
        <v>0.99715659999999895</v>
      </c>
      <c r="Q3201">
        <v>-2.3109439999999998E-2</v>
      </c>
      <c r="R3201">
        <v>-7.1728470000000003E-2</v>
      </c>
      <c r="S3201">
        <v>3.0315859999999999</v>
      </c>
      <c r="T3201">
        <v>-5.3294540000000001E-2</v>
      </c>
      <c r="U3201">
        <v>0.33618160000000002</v>
      </c>
      <c r="V3201">
        <v>8.0084000000000002E-2</v>
      </c>
      <c r="W3201">
        <v>-1.4536479999999999E-2</v>
      </c>
      <c r="X3201">
        <v>0.99668210000000002</v>
      </c>
      <c r="Y3201">
        <v>-0.1018679</v>
      </c>
      <c r="Z3201">
        <v>7.4572199999999999E-4</v>
      </c>
      <c r="AA3201">
        <v>0.99479759999999995</v>
      </c>
      <c r="AB3201">
        <v>37</v>
      </c>
      <c r="AC3201">
        <v>58.152099999999997</v>
      </c>
      <c r="AD3201">
        <v>-1.0291324399999999</v>
      </c>
      <c r="AE3201">
        <v>6.4885000000000099</v>
      </c>
      <c r="AF3201">
        <v>-5.9989622135068696</v>
      </c>
      <c r="AG3201">
        <v>-1.0291324399999999</v>
      </c>
      <c r="AH3201">
        <v>58.186446655051299</v>
      </c>
      <c r="AI3201">
        <v>91.0079321486308</v>
      </c>
      <c r="AJ3201">
        <v>95.886338073585407</v>
      </c>
      <c r="AK3201">
        <v>58.503924958581003</v>
      </c>
      <c r="AL3201">
        <v>90.832908302944304</v>
      </c>
      <c r="AM3201">
        <v>85.406119412851297</v>
      </c>
      <c r="AN3201">
        <v>0.99999998238359999</v>
      </c>
    </row>
    <row r="3202" spans="1:40" x14ac:dyDescent="0.25">
      <c r="A3202" t="str">
        <f>"20190312161333153"</f>
        <v>20190312161333153</v>
      </c>
      <c r="B3202" t="str">
        <f>"1552378413149517"</f>
        <v>1552378413149517</v>
      </c>
      <c r="C3202" t="s">
        <v>40</v>
      </c>
      <c r="D3202">
        <v>5.7172150000000004</v>
      </c>
      <c r="E3202">
        <v>0.43020459999999999</v>
      </c>
      <c r="F3202" t="s">
        <v>69</v>
      </c>
      <c r="G3202">
        <v>-327.57729999999998</v>
      </c>
      <c r="H3202">
        <v>8.0000769999999999E-2</v>
      </c>
      <c r="I3202">
        <v>220.0052</v>
      </c>
      <c r="J3202">
        <v>-384.60520000000002</v>
      </c>
      <c r="K3202">
        <v>1.109137</v>
      </c>
      <c r="L3202">
        <v>213.60040000000001</v>
      </c>
      <c r="M3202">
        <v>0.99992789999999998</v>
      </c>
      <c r="N3202">
        <v>0</v>
      </c>
      <c r="O3202">
        <v>8.3825099999999993E-3</v>
      </c>
      <c r="P3202">
        <v>0.99714400000000003</v>
      </c>
      <c r="Q3202">
        <v>-2.3393279999999999E-2</v>
      </c>
      <c r="R3202">
        <v>-7.1811009999999995E-2</v>
      </c>
      <c r="S3202">
        <v>3.031647</v>
      </c>
      <c r="T3202">
        <v>-5.4362059999999997E-2</v>
      </c>
      <c r="U3202">
        <v>0.3384857</v>
      </c>
      <c r="V3202">
        <v>8.0166730000000005E-2</v>
      </c>
      <c r="W3202">
        <v>-1.480777E-2</v>
      </c>
      <c r="X3202">
        <v>0.99667150000000004</v>
      </c>
      <c r="Y3202">
        <v>-0.10261140000000001</v>
      </c>
      <c r="Z3202">
        <v>7.6724669999999999E-4</v>
      </c>
      <c r="AA3202">
        <v>0.99472119999999997</v>
      </c>
      <c r="AB3202">
        <v>37</v>
      </c>
      <c r="AC3202">
        <v>57.027900000000002</v>
      </c>
      <c r="AD3202">
        <v>-1.02913623</v>
      </c>
      <c r="AE3202">
        <v>6.4047999999999901</v>
      </c>
      <c r="AF3202">
        <v>-5.9246149394477197</v>
      </c>
      <c r="AG3202">
        <v>-1.02913623</v>
      </c>
      <c r="AH3202">
        <v>57.061235159591099</v>
      </c>
      <c r="AI3202">
        <v>91.027730696675206</v>
      </c>
      <c r="AJ3202">
        <v>95.9277271154061</v>
      </c>
      <c r="AK3202">
        <v>57.377214480129503</v>
      </c>
      <c r="AL3202">
        <v>90.848453710951304</v>
      </c>
      <c r="AM3202">
        <v>85.401345394527397</v>
      </c>
      <c r="AN3202">
        <v>1.0000000267817499</v>
      </c>
    </row>
    <row r="3203" spans="1:40" x14ac:dyDescent="0.25">
      <c r="A3203" t="str">
        <f>"20190312161333175"</f>
        <v>20190312161333175</v>
      </c>
      <c r="B3203" t="str">
        <f>"1552378413169038"</f>
        <v>1552378413169038</v>
      </c>
      <c r="C3203" t="s">
        <v>40</v>
      </c>
      <c r="D3203">
        <v>5.7211239999999997</v>
      </c>
      <c r="E3203">
        <v>0.43012889999999998</v>
      </c>
      <c r="F3203" t="s">
        <v>69</v>
      </c>
      <c r="G3203">
        <v>-328.50439999999998</v>
      </c>
      <c r="H3203">
        <v>8.0001039999999995E-2</v>
      </c>
      <c r="I3203">
        <v>219.88570000000001</v>
      </c>
      <c r="J3203">
        <v>-384.22899999999998</v>
      </c>
      <c r="K3203">
        <v>1.109135</v>
      </c>
      <c r="L3203">
        <v>213.6036</v>
      </c>
      <c r="M3203">
        <v>0.99992769999999997</v>
      </c>
      <c r="N3203">
        <v>0</v>
      </c>
      <c r="O3203">
        <v>8.3829919999999902E-3</v>
      </c>
      <c r="P3203">
        <v>0.99712480000000003</v>
      </c>
      <c r="Q3203">
        <v>-2.3659489999999998E-2</v>
      </c>
      <c r="R3203">
        <v>-7.199026E-2</v>
      </c>
      <c r="S3203">
        <v>3.0317080000000001</v>
      </c>
      <c r="T3203">
        <v>-5.5614829999999997E-2</v>
      </c>
      <c r="U3203">
        <v>0.33966059999999998</v>
      </c>
      <c r="V3203">
        <v>8.0346440000000005E-2</v>
      </c>
      <c r="W3203">
        <v>-1.506147E-2</v>
      </c>
      <c r="X3203">
        <v>0.99665320000000002</v>
      </c>
      <c r="Y3203">
        <v>-0.1029887</v>
      </c>
      <c r="Z3203">
        <v>7.88333E-4</v>
      </c>
      <c r="AA3203">
        <v>0.99468219999999996</v>
      </c>
      <c r="AB3203">
        <v>37</v>
      </c>
      <c r="AC3203">
        <v>55.724600000000002</v>
      </c>
      <c r="AD3203">
        <v>-1.02913396</v>
      </c>
      <c r="AE3203">
        <v>6.2821000000000096</v>
      </c>
      <c r="AF3203">
        <v>-5.8127652997085404</v>
      </c>
      <c r="AG3203">
        <v>-1.02913396</v>
      </c>
      <c r="AH3203">
        <v>55.7565280604829</v>
      </c>
      <c r="AI3203">
        <v>91.051726172444404</v>
      </c>
      <c r="AJ3203">
        <v>95.951736097177502</v>
      </c>
      <c r="AK3203">
        <v>56.068152979178201</v>
      </c>
      <c r="AL3203">
        <v>90.862991294589705</v>
      </c>
      <c r="AM3203">
        <v>85.390996678309705</v>
      </c>
      <c r="AN3203">
        <v>0.99999999968473696</v>
      </c>
    </row>
    <row r="3204" spans="1:40" x14ac:dyDescent="0.25">
      <c r="A3204" t="str">
        <f>"20190312161333198"</f>
        <v>20190312161333198</v>
      </c>
      <c r="B3204" t="str">
        <f>"1552378413189533"</f>
        <v>1552378413189533</v>
      </c>
      <c r="C3204" t="s">
        <v>40</v>
      </c>
      <c r="D3204">
        <v>5.7545960000000003</v>
      </c>
      <c r="E3204">
        <v>0.43010920000000002</v>
      </c>
      <c r="F3204" t="s">
        <v>69</v>
      </c>
      <c r="G3204">
        <v>-329.2955</v>
      </c>
      <c r="H3204">
        <v>8.0001279999999994E-2</v>
      </c>
      <c r="I3204">
        <v>219.75790000000001</v>
      </c>
      <c r="J3204">
        <v>-383.8451</v>
      </c>
      <c r="K3204">
        <v>1.1091260000000001</v>
      </c>
      <c r="L3204">
        <v>213.60679999999999</v>
      </c>
      <c r="M3204">
        <v>0.99992760000000003</v>
      </c>
      <c r="N3204">
        <v>0</v>
      </c>
      <c r="O3204">
        <v>8.3834129999999993E-3</v>
      </c>
      <c r="P3204">
        <v>0.99712000000000001</v>
      </c>
      <c r="Q3204">
        <v>-2.388444E-2</v>
      </c>
      <c r="R3204">
        <v>-7.1982660000000004E-2</v>
      </c>
      <c r="S3204">
        <v>3.0317989999999999</v>
      </c>
      <c r="T3204">
        <v>-5.6798220000000003E-2</v>
      </c>
      <c r="U3204">
        <v>0.33966059999999998</v>
      </c>
      <c r="V3204">
        <v>8.0339309999999997E-2</v>
      </c>
      <c r="W3204">
        <v>-1.527384E-2</v>
      </c>
      <c r="X3204">
        <v>0.99665049999999999</v>
      </c>
      <c r="Y3204">
        <v>-0.102984199999999</v>
      </c>
      <c r="Z3204">
        <v>8.0503119999999996E-4</v>
      </c>
      <c r="AA3204">
        <v>0.99468270000000003</v>
      </c>
      <c r="AB3204">
        <v>38</v>
      </c>
      <c r="AC3204">
        <v>54.549599999999998</v>
      </c>
      <c r="AD3204">
        <v>-1.02912472</v>
      </c>
      <c r="AE3204">
        <v>6.1511000000000102</v>
      </c>
      <c r="AF3204">
        <v>-5.69155465471282</v>
      </c>
      <c r="AG3204">
        <v>-1.02912472</v>
      </c>
      <c r="AH3204">
        <v>54.580069785092498</v>
      </c>
      <c r="AI3204">
        <v>91.074378017336898</v>
      </c>
      <c r="AJ3204">
        <v>95.953229658849295</v>
      </c>
      <c r="AK3204">
        <v>54.885671261472801</v>
      </c>
      <c r="AL3204">
        <v>90.875160636541906</v>
      </c>
      <c r="AM3204">
        <v>85.391391491355805</v>
      </c>
      <c r="AN3204">
        <v>0.99999995703493405</v>
      </c>
    </row>
    <row r="3205" spans="1:40" x14ac:dyDescent="0.25">
      <c r="A3205" t="str">
        <f>"20190312161333220"</f>
        <v>20190312161333220</v>
      </c>
      <c r="B3205" t="str">
        <f>"1552378413209054"</f>
        <v>1552378413209054</v>
      </c>
      <c r="C3205" t="s">
        <v>40</v>
      </c>
      <c r="D3205">
        <v>5.7514529999999997</v>
      </c>
      <c r="E3205">
        <v>0.42998690000000001</v>
      </c>
      <c r="F3205" t="s">
        <v>69</v>
      </c>
      <c r="G3205">
        <v>-330.04199999999997</v>
      </c>
      <c r="H3205">
        <v>7.3532249999999993E-2</v>
      </c>
      <c r="I3205">
        <v>219.63980000000001</v>
      </c>
      <c r="J3205">
        <v>-383.47289999999998</v>
      </c>
      <c r="K3205">
        <v>1.109121</v>
      </c>
      <c r="L3205">
        <v>213.60990000000001</v>
      </c>
      <c r="M3205">
        <v>0.99992749999999997</v>
      </c>
      <c r="N3205">
        <v>0</v>
      </c>
      <c r="O3205">
        <v>8.3838379999999994E-3</v>
      </c>
      <c r="P3205">
        <v>0.99711989999999995</v>
      </c>
      <c r="Q3205">
        <v>-2.363063E-2</v>
      </c>
      <c r="R3205">
        <v>-7.2068179999999996E-2</v>
      </c>
      <c r="S3205">
        <v>3.0318299999999998</v>
      </c>
      <c r="T3205">
        <v>-5.8356169999999999E-2</v>
      </c>
      <c r="U3205">
        <v>0.33996579999999998</v>
      </c>
      <c r="V3205">
        <v>8.0425109999999994E-2</v>
      </c>
      <c r="W3205">
        <v>-1.500809E-2</v>
      </c>
      <c r="X3205">
        <v>0.99664770000000003</v>
      </c>
      <c r="Y3205">
        <v>-0.1030807</v>
      </c>
      <c r="Z3205">
        <v>8.2801309999999998E-4</v>
      </c>
      <c r="AA3205">
        <v>0.99467269999999997</v>
      </c>
      <c r="AB3205">
        <v>38</v>
      </c>
      <c r="AC3205">
        <v>53.430900000000001</v>
      </c>
      <c r="AD3205">
        <v>-1.0355887500000001</v>
      </c>
      <c r="AE3205">
        <v>6.0298999999999898</v>
      </c>
      <c r="AF3205">
        <v>-5.5796456553803901</v>
      </c>
      <c r="AG3205">
        <v>-1.0355887500000001</v>
      </c>
      <c r="AH3205">
        <v>53.4597477349187</v>
      </c>
      <c r="AI3205">
        <v>91.1037651136389</v>
      </c>
      <c r="AJ3205">
        <v>95.958442801012794</v>
      </c>
      <c r="AK3205">
        <v>53.7601108404724</v>
      </c>
      <c r="AL3205">
        <v>90.8599324659057</v>
      </c>
      <c r="AM3205">
        <v>85.386477964321898</v>
      </c>
      <c r="AN3205">
        <v>1.00000003949962</v>
      </c>
    </row>
    <row r="3206" spans="1:40" x14ac:dyDescent="0.25">
      <c r="A3206" t="str">
        <f>"20190312161333241"</f>
        <v>20190312161333241</v>
      </c>
      <c r="B3206" t="str">
        <f>"1552378413229551"</f>
        <v>1552378413229551</v>
      </c>
      <c r="C3206" t="s">
        <v>40</v>
      </c>
      <c r="D3206">
        <v>5.8235320000000002</v>
      </c>
      <c r="E3206">
        <v>0.42988340000000003</v>
      </c>
      <c r="F3206" t="s">
        <v>69</v>
      </c>
      <c r="G3206">
        <v>-329.76119999999997</v>
      </c>
      <c r="H3206">
        <v>7.8989939999999995E-2</v>
      </c>
      <c r="I3206">
        <v>219.64529999999999</v>
      </c>
      <c r="J3206">
        <v>-383.12</v>
      </c>
      <c r="K3206">
        <v>1.1091279999999999</v>
      </c>
      <c r="L3206">
        <v>213.6129</v>
      </c>
      <c r="M3206">
        <v>0.99992729999999996</v>
      </c>
      <c r="N3206">
        <v>0</v>
      </c>
      <c r="O3206">
        <v>8.3845039999999992E-3</v>
      </c>
      <c r="P3206">
        <v>0.99713940000000001</v>
      </c>
      <c r="Q3206">
        <v>-2.3200510000000001E-2</v>
      </c>
      <c r="R3206">
        <v>-7.1936959999999994E-2</v>
      </c>
      <c r="S3206">
        <v>3.0318909999999999</v>
      </c>
      <c r="T3206">
        <v>-5.814838E-2</v>
      </c>
      <c r="U3206">
        <v>0.34068300000000001</v>
      </c>
      <c r="V3206">
        <v>8.0294580000000004E-2</v>
      </c>
      <c r="W3206">
        <v>-1.456666E-2</v>
      </c>
      <c r="X3206">
        <v>0.99666480000000002</v>
      </c>
      <c r="Y3206">
        <v>-0.1033102</v>
      </c>
      <c r="Z3206">
        <v>8.2721929999999904E-4</v>
      </c>
      <c r="AA3206">
        <v>0.9946488</v>
      </c>
      <c r="AB3206">
        <v>38</v>
      </c>
      <c r="AC3206">
        <v>53.358800000000002</v>
      </c>
      <c r="AD3206">
        <v>-1.0301380600000001</v>
      </c>
      <c r="AE3206">
        <v>6.0323999999999902</v>
      </c>
      <c r="AF3206">
        <v>-5.5827295534622001</v>
      </c>
      <c r="AG3206">
        <v>-1.0301380600000001</v>
      </c>
      <c r="AH3206">
        <v>53.387857421908002</v>
      </c>
      <c r="AI3206">
        <v>91.099412596193901</v>
      </c>
      <c r="AJ3206">
        <v>95.969682259535304</v>
      </c>
      <c r="AK3206">
        <v>53.6888384470342</v>
      </c>
      <c r="AL3206">
        <v>90.8346376034456</v>
      </c>
      <c r="AM3206">
        <v>85.394012155384701</v>
      </c>
      <c r="AN3206">
        <v>1.0000000653599801</v>
      </c>
    </row>
    <row r="3207" spans="1:40" x14ac:dyDescent="0.25">
      <c r="A3207" t="str">
        <f>"20190312161333264"</f>
        <v>20190312161333264</v>
      </c>
      <c r="B3207" t="str">
        <f>"1552378413258831"</f>
        <v>1552378413258831</v>
      </c>
      <c r="C3207" t="s">
        <v>40</v>
      </c>
      <c r="D3207">
        <v>5.9997689999999997</v>
      </c>
      <c r="E3207">
        <v>0.46323379999999997</v>
      </c>
      <c r="F3207" t="s">
        <v>69</v>
      </c>
      <c r="G3207">
        <v>-327.59910000000002</v>
      </c>
      <c r="H3207">
        <v>8.0000779999999994E-2</v>
      </c>
      <c r="I3207">
        <v>219.87270000000001</v>
      </c>
      <c r="J3207">
        <v>-382.71879999999999</v>
      </c>
      <c r="K3207">
        <v>1.1091310000000001</v>
      </c>
      <c r="L3207">
        <v>213.6163</v>
      </c>
      <c r="M3207">
        <v>0.99992720000000002</v>
      </c>
      <c r="N3207">
        <v>0</v>
      </c>
      <c r="O3207">
        <v>8.3849259999999991E-3</v>
      </c>
      <c r="P3207">
        <v>0.99717710000000004</v>
      </c>
      <c r="Q3207">
        <v>-2.3193100000000001E-2</v>
      </c>
      <c r="R3207">
        <v>-7.1414549999999993E-2</v>
      </c>
      <c r="S3207">
        <v>3.031952</v>
      </c>
      <c r="T3207">
        <v>-5.6199789999999999E-2</v>
      </c>
      <c r="U3207">
        <v>0.3418427</v>
      </c>
      <c r="V3207">
        <v>7.9773109999999994E-2</v>
      </c>
      <c r="W3207">
        <v>-1.4546399999999999E-2</v>
      </c>
      <c r="X3207">
        <v>0.99670689999999995</v>
      </c>
      <c r="Y3207">
        <v>-0.10368429999999999</v>
      </c>
      <c r="Z3207">
        <v>8.0291830000000001E-4</v>
      </c>
      <c r="AA3207">
        <v>0.99460999999999999</v>
      </c>
      <c r="AB3207">
        <v>38</v>
      </c>
      <c r="AC3207">
        <v>55.119699999999902</v>
      </c>
      <c r="AD3207">
        <v>-1.0291302200000001</v>
      </c>
      <c r="AE3207">
        <v>6.25640000000001</v>
      </c>
      <c r="AF3207">
        <v>-5.79199463530919</v>
      </c>
      <c r="AG3207">
        <v>-1.0291302200000001</v>
      </c>
      <c r="AH3207">
        <v>55.151242435689298</v>
      </c>
      <c r="AI3207">
        <v>91.063177934460199</v>
      </c>
      <c r="AJ3207">
        <v>95.995237828435705</v>
      </c>
      <c r="AK3207">
        <v>55.464095170347299</v>
      </c>
      <c r="AL3207">
        <v>90.833476726114398</v>
      </c>
      <c r="AM3207">
        <v>85.423990570822895</v>
      </c>
      <c r="AN3207">
        <v>0.99999999566982001</v>
      </c>
    </row>
    <row r="3208" spans="1:40" x14ac:dyDescent="0.25">
      <c r="A3208" t="str">
        <f>"20190312161333287"</f>
        <v>20190312161333287</v>
      </c>
      <c r="B3208" t="str">
        <f>"1552378413279327"</f>
        <v>1552378413279327</v>
      </c>
      <c r="C3208" t="s">
        <v>40</v>
      </c>
      <c r="D3208">
        <v>5.8857410000000003</v>
      </c>
      <c r="E3208">
        <v>0.47464220000000001</v>
      </c>
      <c r="F3208" t="s">
        <v>69</v>
      </c>
      <c r="G3208">
        <v>-342.02420000000001</v>
      </c>
      <c r="H3208" s="1">
        <v>-4.5959439999999997E-7</v>
      </c>
      <c r="I3208">
        <v>214.68510000000001</v>
      </c>
      <c r="J3208">
        <v>-382.3485</v>
      </c>
      <c r="K3208">
        <v>1.109129</v>
      </c>
      <c r="L3208">
        <v>213.61940000000001</v>
      </c>
      <c r="M3208">
        <v>0.99992720000000002</v>
      </c>
      <c r="N3208">
        <v>0</v>
      </c>
      <c r="O3208">
        <v>8.3854120000000001E-3</v>
      </c>
      <c r="P3208">
        <v>0.99723039999999996</v>
      </c>
      <c r="Q3208">
        <v>-2.3067500000000001E-2</v>
      </c>
      <c r="R3208">
        <v>-7.0709090000000002E-2</v>
      </c>
      <c r="S3208">
        <v>3.012238</v>
      </c>
      <c r="T3208">
        <v>-8.2098599999999994E-2</v>
      </c>
      <c r="U3208">
        <v>7.9116820000000004E-2</v>
      </c>
      <c r="V3208">
        <v>7.9068749999999993E-2</v>
      </c>
      <c r="W3208">
        <v>-1.440895E-2</v>
      </c>
      <c r="X3208">
        <v>0.99676500000000001</v>
      </c>
      <c r="Y3208">
        <v>-1.78687999999999E-2</v>
      </c>
      <c r="Z3208" s="1">
        <v>1.495701E-5</v>
      </c>
      <c r="AA3208">
        <v>0.99984030000000002</v>
      </c>
      <c r="AB3208">
        <v>38</v>
      </c>
      <c r="AC3208">
        <v>40.324300000000001</v>
      </c>
      <c r="AD3208">
        <v>-1.1091294595943999</v>
      </c>
      <c r="AE3208">
        <v>1.0656999999999901</v>
      </c>
      <c r="AF3208">
        <v>-0.726964339549939</v>
      </c>
      <c r="AG3208">
        <v>-1.1091294595943999</v>
      </c>
      <c r="AH3208">
        <v>40.301350607163499</v>
      </c>
      <c r="AI3208">
        <v>91.576177254037205</v>
      </c>
      <c r="AJ3208">
        <v>91.033401393062505</v>
      </c>
      <c r="AK3208">
        <v>40.323163393645601</v>
      </c>
      <c r="AL3208">
        <v>90.825600612651996</v>
      </c>
      <c r="AM3208">
        <v>85.464488575664205</v>
      </c>
      <c r="AN3208">
        <v>0.99999997514583205</v>
      </c>
    </row>
    <row r="3209" spans="1:40" x14ac:dyDescent="0.25">
      <c r="A3209" t="str">
        <f>"20190312161333309"</f>
        <v>20190312161333309</v>
      </c>
      <c r="B3209" t="str">
        <f>"1552378413298849"</f>
        <v>1552378413298849</v>
      </c>
      <c r="C3209" t="s">
        <v>40</v>
      </c>
      <c r="D3209">
        <v>5.9195419999999999</v>
      </c>
      <c r="E3209">
        <v>0.47899120000000001</v>
      </c>
      <c r="F3209" t="s">
        <v>69</v>
      </c>
      <c r="G3209">
        <v>-354.6302</v>
      </c>
      <c r="H3209" s="1">
        <v>9.7392140000000002E-7</v>
      </c>
      <c r="I3209">
        <v>213.54730000000001</v>
      </c>
      <c r="J3209">
        <v>-381.97680000000003</v>
      </c>
      <c r="K3209">
        <v>1.109129</v>
      </c>
      <c r="L3209">
        <v>213.6225</v>
      </c>
      <c r="M3209">
        <v>0.99992689999999995</v>
      </c>
      <c r="N3209">
        <v>0</v>
      </c>
      <c r="O3209">
        <v>8.3860199999999992E-3</v>
      </c>
      <c r="P3209">
        <v>0.99725090000000005</v>
      </c>
      <c r="Q3209">
        <v>-2.324493E-2</v>
      </c>
      <c r="R3209">
        <v>-7.0360770000000003E-2</v>
      </c>
      <c r="S3209">
        <v>3.0049739999999998</v>
      </c>
      <c r="T3209">
        <v>-0.120242</v>
      </c>
      <c r="U3209">
        <v>-7.8125E-3</v>
      </c>
      <c r="V3209">
        <v>7.8720960000000006E-2</v>
      </c>
      <c r="W3209">
        <v>-1.457513E-2</v>
      </c>
      <c r="X3209">
        <v>0.99679010000000001</v>
      </c>
      <c r="Y3209">
        <v>1.0970580000000001E-2</v>
      </c>
      <c r="Z3209">
        <v>-5.5483870000000001E-4</v>
      </c>
      <c r="AA3209">
        <v>0.99993969999999999</v>
      </c>
      <c r="AB3209">
        <v>38</v>
      </c>
      <c r="AC3209">
        <v>27.346599999999999</v>
      </c>
      <c r="AD3209">
        <v>-1.1091280260786001</v>
      </c>
      <c r="AE3209">
        <v>-7.5199999999995201E-2</v>
      </c>
      <c r="AF3209">
        <v>0.304035066785381</v>
      </c>
      <c r="AG3209">
        <v>-1.1091280260786001</v>
      </c>
      <c r="AH3209">
        <v>27.3001003061113</v>
      </c>
      <c r="AI3209">
        <v>92.326346458184702</v>
      </c>
      <c r="AJ3209">
        <v>89.3619361898199</v>
      </c>
      <c r="AK3209">
        <v>27.324312965266099</v>
      </c>
      <c r="AL3209">
        <v>90.835123035089296</v>
      </c>
      <c r="AM3209">
        <v>85.484468919995507</v>
      </c>
      <c r="AN3209">
        <v>0.99999996370792299</v>
      </c>
    </row>
    <row r="3210" spans="1:40" x14ac:dyDescent="0.25">
      <c r="A3210" t="str">
        <f>"20190312161333331"</f>
        <v>20190312161333331</v>
      </c>
      <c r="B3210" t="str">
        <f>"1552378413319342"</f>
        <v>1552378413319342</v>
      </c>
      <c r="C3210" t="s">
        <v>40</v>
      </c>
      <c r="D3210">
        <v>5.7302999999999997</v>
      </c>
      <c r="E3210">
        <v>0.48166530000000002</v>
      </c>
      <c r="F3210" t="s">
        <v>69</v>
      </c>
      <c r="G3210">
        <v>-348.48169999999999</v>
      </c>
      <c r="H3210" s="1">
        <v>2.976759E-6</v>
      </c>
      <c r="I3210">
        <v>213.14850000000001</v>
      </c>
      <c r="J3210">
        <v>-381.5976</v>
      </c>
      <c r="K3210">
        <v>1.109137</v>
      </c>
      <c r="L3210">
        <v>213.62569999999999</v>
      </c>
      <c r="M3210">
        <v>0.99992689999999995</v>
      </c>
      <c r="N3210">
        <v>0</v>
      </c>
      <c r="O3210">
        <v>8.386447E-3</v>
      </c>
      <c r="P3210">
        <v>0.99724469999999998</v>
      </c>
      <c r="Q3210">
        <v>-2.3239360000000001E-2</v>
      </c>
      <c r="R3210">
        <v>-7.0449319999999996E-2</v>
      </c>
      <c r="S3210">
        <v>3.0029300000000001</v>
      </c>
      <c r="T3210">
        <v>-9.9436280000000002E-2</v>
      </c>
      <c r="U3210">
        <v>-4.2495730000000002E-2</v>
      </c>
      <c r="V3210">
        <v>7.8810050000000006E-2</v>
      </c>
      <c r="W3210">
        <v>-1.455856E-2</v>
      </c>
      <c r="X3210">
        <v>0.99678330000000004</v>
      </c>
      <c r="Y3210">
        <v>2.25185E-2</v>
      </c>
      <c r="Z3210">
        <v>-6.5033110000000001E-4</v>
      </c>
      <c r="AA3210">
        <v>0.99974620000000003</v>
      </c>
      <c r="AB3210">
        <v>38</v>
      </c>
      <c r="AC3210">
        <v>33.115900000000003</v>
      </c>
      <c r="AD3210">
        <v>-1.1091340232410001</v>
      </c>
      <c r="AE3210">
        <v>-0.47719999999998203</v>
      </c>
      <c r="AF3210">
        <v>0.75407278899835695</v>
      </c>
      <c r="AG3210">
        <v>-1.1091340232410001</v>
      </c>
      <c r="AH3210">
        <v>33.073640608834701</v>
      </c>
      <c r="AI3210">
        <v>91.920211939079707</v>
      </c>
      <c r="AJ3210">
        <v>88.693893284118701</v>
      </c>
      <c r="AK3210">
        <v>33.100823360982702</v>
      </c>
      <c r="AL3210">
        <v>90.834173545166706</v>
      </c>
      <c r="AM3210">
        <v>85.479349066509101</v>
      </c>
      <c r="AN3210">
        <v>0.99999996140458203</v>
      </c>
    </row>
    <row r="3211" spans="1:40" x14ac:dyDescent="0.25">
      <c r="A3211" t="str">
        <f>"20190312161333365"</f>
        <v>20190312161333365</v>
      </c>
      <c r="B3211" t="str">
        <f>"1552378413359358"</f>
        <v>1552378413359358</v>
      </c>
      <c r="C3211" t="s">
        <v>40</v>
      </c>
      <c r="D3211">
        <v>5.8957839999999999</v>
      </c>
      <c r="E3211">
        <v>0.48467670000000002</v>
      </c>
      <c r="F3211" t="s">
        <v>69</v>
      </c>
      <c r="G3211">
        <v>-344.6739</v>
      </c>
      <c r="H3211" s="1">
        <v>9.5039830000000001E-7</v>
      </c>
      <c r="I3211">
        <v>212.83320000000001</v>
      </c>
      <c r="J3211">
        <v>-381.02420000000001</v>
      </c>
      <c r="K3211">
        <v>1.1091420000000001</v>
      </c>
      <c r="L3211">
        <v>213.63050000000001</v>
      </c>
      <c r="M3211">
        <v>0.9999268</v>
      </c>
      <c r="N3211">
        <v>0</v>
      </c>
      <c r="O3211">
        <v>8.3872080000000002E-3</v>
      </c>
      <c r="P3211">
        <v>0.99728360000000005</v>
      </c>
      <c r="Q3211">
        <v>-2.1912339999999999E-2</v>
      </c>
      <c r="R3211">
        <v>-7.0324499999999998E-2</v>
      </c>
      <c r="S3211">
        <v>3.0016780000000001</v>
      </c>
      <c r="T3211">
        <v>-9.0165969999999998E-2</v>
      </c>
      <c r="U3211">
        <v>-6.4422610000000005E-2</v>
      </c>
      <c r="V3211">
        <v>7.8686190000000003E-2</v>
      </c>
      <c r="W3211">
        <v>-1.321455E-2</v>
      </c>
      <c r="X3211">
        <v>0.99681189999999997</v>
      </c>
      <c r="Y3211">
        <v>2.982487E-2</v>
      </c>
      <c r="Z3211">
        <v>-6.996614E-4</v>
      </c>
      <c r="AA3211">
        <v>0.99955490000000002</v>
      </c>
      <c r="AB3211">
        <v>38</v>
      </c>
      <c r="AC3211">
        <v>36.350299999999997</v>
      </c>
      <c r="AD3211">
        <v>-1.1091410496017</v>
      </c>
      <c r="AE3211">
        <v>-0.797300000000007</v>
      </c>
      <c r="AF3211">
        <v>1.1011363911244501</v>
      </c>
      <c r="AG3211">
        <v>-1.1091410496017</v>
      </c>
      <c r="AH3211">
        <v>36.308546354510597</v>
      </c>
      <c r="AI3211">
        <v>91.748904166830897</v>
      </c>
      <c r="AJ3211">
        <v>88.262912106687693</v>
      </c>
      <c r="AK3211">
        <v>36.342168807012797</v>
      </c>
      <c r="AL3211">
        <v>90.7571599409996</v>
      </c>
      <c r="AM3211">
        <v>85.486553429207206</v>
      </c>
      <c r="AN3211">
        <v>1.0000000524050101</v>
      </c>
    </row>
    <row r="3212" spans="1:40" x14ac:dyDescent="0.25">
      <c r="A3212" t="str">
        <f>"20190312161333387"</f>
        <v>20190312161333387</v>
      </c>
      <c r="B3212" t="str">
        <f>"1552378413378879"</f>
        <v>1552378413378879</v>
      </c>
      <c r="C3212" t="s">
        <v>40</v>
      </c>
      <c r="D3212">
        <v>6.0994390000000003</v>
      </c>
      <c r="E3212">
        <v>0.48510019999999998</v>
      </c>
      <c r="F3212" t="s">
        <v>69</v>
      </c>
      <c r="G3212">
        <v>-342.1123</v>
      </c>
      <c r="H3212" s="1">
        <v>-4.1271879999999999E-7</v>
      </c>
      <c r="I3212">
        <v>212.48580000000001</v>
      </c>
      <c r="J3212">
        <v>-380.63170000000002</v>
      </c>
      <c r="K3212">
        <v>1.109146</v>
      </c>
      <c r="L3212">
        <v>213.63380000000001</v>
      </c>
      <c r="M3212">
        <v>0.9999266</v>
      </c>
      <c r="N3212">
        <v>0</v>
      </c>
      <c r="O3212">
        <v>8.3878730000000006E-3</v>
      </c>
      <c r="P3212">
        <v>0.99733870000000002</v>
      </c>
      <c r="Q3212">
        <v>-2.1263730000000002E-2</v>
      </c>
      <c r="R3212">
        <v>-6.9737809999999997E-2</v>
      </c>
      <c r="S3212">
        <v>3.0000309999999999</v>
      </c>
      <c r="T3212">
        <v>-8.5512640000000001E-2</v>
      </c>
      <c r="U3212">
        <v>-8.8256840000000003E-2</v>
      </c>
      <c r="V3212">
        <v>7.8100699999999995E-2</v>
      </c>
      <c r="W3212">
        <v>-1.255416E-2</v>
      </c>
      <c r="X3212">
        <v>0.99686640000000004</v>
      </c>
      <c r="Y3212">
        <v>3.7770730000000002E-2</v>
      </c>
      <c r="Z3212">
        <v>-7.7708300000000003E-4</v>
      </c>
      <c r="AA3212">
        <v>0.99928609999999896</v>
      </c>
      <c r="AB3212">
        <v>38</v>
      </c>
      <c r="AC3212">
        <v>38.519399999999997</v>
      </c>
      <c r="AD3212">
        <v>-1.1091464127188</v>
      </c>
      <c r="AE3212">
        <v>-1.1479999999999899</v>
      </c>
      <c r="AF3212">
        <v>1.4698501915594999</v>
      </c>
      <c r="AG3212">
        <v>-1.1091464127188</v>
      </c>
      <c r="AH3212">
        <v>38.476541725184703</v>
      </c>
      <c r="AI3212">
        <v>91.649980246410607</v>
      </c>
      <c r="AJ3212">
        <v>87.812296061907304</v>
      </c>
      <c r="AK3212">
        <v>38.520577987361001</v>
      </c>
      <c r="AL3212">
        <v>90.719319298648998</v>
      </c>
      <c r="AM3212">
        <v>85.5202438914868</v>
      </c>
      <c r="AN3212">
        <v>0.99999997286137698</v>
      </c>
    </row>
    <row r="3213" spans="1:40" x14ac:dyDescent="0.25">
      <c r="A3213" t="str">
        <f>"20190312161333410"</f>
        <v>20190312161333410</v>
      </c>
      <c r="B3213" t="str">
        <f>"1552378413399374"</f>
        <v>1552378413399374</v>
      </c>
      <c r="C3213" t="s">
        <v>40</v>
      </c>
      <c r="D3213">
        <v>5.9725109999999999</v>
      </c>
      <c r="E3213">
        <v>0.48615360000000002</v>
      </c>
      <c r="F3213" t="s">
        <v>69</v>
      </c>
      <c r="G3213">
        <v>-340.51870000000002</v>
      </c>
      <c r="H3213" s="1">
        <v>-1.260776E-6</v>
      </c>
      <c r="I3213">
        <v>212.43289999999999</v>
      </c>
      <c r="J3213">
        <v>-380.24810000000002</v>
      </c>
      <c r="K3213">
        <v>1.109138</v>
      </c>
      <c r="L3213">
        <v>213.637</v>
      </c>
      <c r="M3213">
        <v>0.9999266</v>
      </c>
      <c r="N3213">
        <v>0</v>
      </c>
      <c r="O3213">
        <v>8.3883029999999997E-3</v>
      </c>
      <c r="P3213">
        <v>0.99733899999999998</v>
      </c>
      <c r="Q3213">
        <v>-2.1595469999999999E-2</v>
      </c>
      <c r="R3213">
        <v>-6.9632749999999993E-2</v>
      </c>
      <c r="S3213">
        <v>2.9999690000000001</v>
      </c>
      <c r="T3213">
        <v>-8.2950830000000003E-2</v>
      </c>
      <c r="U3213">
        <v>-8.9813229999999994E-2</v>
      </c>
      <c r="V3213">
        <v>7.7996099999999999E-2</v>
      </c>
      <c r="W3213">
        <v>-1.2875279999999999E-2</v>
      </c>
      <c r="X3213">
        <v>0.99687049999999999</v>
      </c>
      <c r="Y3213">
        <v>3.8290629999999999E-2</v>
      </c>
      <c r="Z3213">
        <v>-7.6101819999999998E-4</v>
      </c>
      <c r="AA3213">
        <v>0.99926630000000005</v>
      </c>
      <c r="AB3213">
        <v>38</v>
      </c>
      <c r="AC3213">
        <v>39.729399999999998</v>
      </c>
      <c r="AD3213">
        <v>-1.109139260776</v>
      </c>
      <c r="AE3213">
        <v>-1.2041000000000099</v>
      </c>
      <c r="AF3213">
        <v>1.5361364830320201</v>
      </c>
      <c r="AG3213">
        <v>-1.109139260776</v>
      </c>
      <c r="AH3213">
        <v>39.686998586495299</v>
      </c>
      <c r="AI3213">
        <v>91.599640949647593</v>
      </c>
      <c r="AJ3213">
        <v>87.783399444338997</v>
      </c>
      <c r="AK3213">
        <v>39.7322005682894</v>
      </c>
      <c r="AL3213">
        <v>90.737719602729399</v>
      </c>
      <c r="AM3213">
        <v>85.526237566186296</v>
      </c>
      <c r="AN3213">
        <v>0.99999997911026905</v>
      </c>
    </row>
    <row r="3214" spans="1:40" x14ac:dyDescent="0.25">
      <c r="A3214" t="str">
        <f>"20190312161333431"</f>
        <v>20190312161333431</v>
      </c>
      <c r="B3214" t="str">
        <f>"1552378413418898"</f>
        <v>1552378413418898</v>
      </c>
      <c r="C3214" t="s">
        <v>40</v>
      </c>
      <c r="D3214">
        <v>6.0072869999999998</v>
      </c>
      <c r="E3214">
        <v>0.48668729999999899</v>
      </c>
      <c r="F3214" t="s">
        <v>69</v>
      </c>
      <c r="G3214">
        <v>-345.23680000000002</v>
      </c>
      <c r="H3214" s="1">
        <v>1.2499760000000001E-6</v>
      </c>
      <c r="I3214">
        <v>212.5009</v>
      </c>
      <c r="J3214">
        <v>-379.89190000000002</v>
      </c>
      <c r="K3214">
        <v>1.109138</v>
      </c>
      <c r="L3214">
        <v>213.64</v>
      </c>
      <c r="M3214">
        <v>0.99992630000000005</v>
      </c>
      <c r="N3214">
        <v>0</v>
      </c>
      <c r="O3214">
        <v>8.3889159999999997E-3</v>
      </c>
      <c r="P3214">
        <v>0.99732100000000001</v>
      </c>
      <c r="Q3214">
        <v>-2.1623469999999999E-2</v>
      </c>
      <c r="R3214">
        <v>-6.9880910000000004E-2</v>
      </c>
      <c r="S3214">
        <v>2.9991460000000001</v>
      </c>
      <c r="T3214">
        <v>-9.5010999999999998E-2</v>
      </c>
      <c r="U3214">
        <v>-9.732056E-2</v>
      </c>
      <c r="V3214">
        <v>7.8244720000000004E-2</v>
      </c>
      <c r="W3214">
        <v>-1.289379E-2</v>
      </c>
      <c r="X3214">
        <v>0.99685080000000004</v>
      </c>
      <c r="Y3214">
        <v>4.0791399999999998E-2</v>
      </c>
      <c r="Z3214">
        <v>-9.1142640000000004E-4</v>
      </c>
      <c r="AA3214">
        <v>0.99916729999999998</v>
      </c>
      <c r="AB3214">
        <v>38</v>
      </c>
      <c r="AC3214">
        <v>34.655099999999997</v>
      </c>
      <c r="AD3214">
        <v>-1.1091367500239999</v>
      </c>
      <c r="AE3214">
        <v>-1.13909999999998</v>
      </c>
      <c r="AF3214">
        <v>1.4283283468936501</v>
      </c>
      <c r="AG3214">
        <v>-1.1091367500239999</v>
      </c>
      <c r="AH3214">
        <v>34.608911935757099</v>
      </c>
      <c r="AI3214">
        <v>91.834010746539093</v>
      </c>
      <c r="AJ3214">
        <v>87.636713620003107</v>
      </c>
      <c r="AK3214">
        <v>34.656126320951998</v>
      </c>
      <c r="AL3214">
        <v>90.738780218949898</v>
      </c>
      <c r="AM3214">
        <v>85.511946859691705</v>
      </c>
      <c r="AN3214">
        <v>1.0000000017445401</v>
      </c>
    </row>
    <row r="3215" spans="1:40" x14ac:dyDescent="0.25">
      <c r="A3215" t="str">
        <f>"20190312161333453"</f>
        <v>20190312161333453</v>
      </c>
      <c r="B3215" t="str">
        <f>"1552378413449150"</f>
        <v>1552378413449150</v>
      </c>
      <c r="C3215" t="s">
        <v>40</v>
      </c>
      <c r="D3215">
        <v>5.9692439999999998</v>
      </c>
      <c r="E3215">
        <v>0.4873305</v>
      </c>
      <c r="F3215" t="s">
        <v>69</v>
      </c>
      <c r="G3215">
        <v>-344.47489999999999</v>
      </c>
      <c r="H3215" s="1">
        <v>8.445199E-7</v>
      </c>
      <c r="I3215">
        <v>212.4308</v>
      </c>
      <c r="J3215">
        <v>-379.51179999999999</v>
      </c>
      <c r="K3215">
        <v>1.1091359999999999</v>
      </c>
      <c r="L3215">
        <v>213.64320000000001</v>
      </c>
      <c r="M3215">
        <v>0.99992639999999999</v>
      </c>
      <c r="N3215">
        <v>0</v>
      </c>
      <c r="O3215">
        <v>8.3892289999999998E-3</v>
      </c>
      <c r="P3215">
        <v>0.99730589999999997</v>
      </c>
      <c r="Q3215">
        <v>-2.114717E-2</v>
      </c>
      <c r="R3215">
        <v>-7.0243050000000001E-2</v>
      </c>
      <c r="S3215">
        <v>2.9988709999999998</v>
      </c>
      <c r="T3215">
        <v>-9.3914150000000002E-2</v>
      </c>
      <c r="U3215">
        <v>-0.10238650000000001</v>
      </c>
      <c r="V3215">
        <v>7.8607099999999999E-2</v>
      </c>
      <c r="W3215">
        <v>-1.240744E-2</v>
      </c>
      <c r="X3215">
        <v>0.99682839999999995</v>
      </c>
      <c r="Y3215">
        <v>4.248035E-2</v>
      </c>
      <c r="Z3215">
        <v>-9.2740919999999998E-4</v>
      </c>
      <c r="AA3215">
        <v>0.99909689999999995</v>
      </c>
      <c r="AB3215">
        <v>38</v>
      </c>
      <c r="AC3215">
        <v>35.036900000000003</v>
      </c>
      <c r="AD3215">
        <v>-1.1091351554801001</v>
      </c>
      <c r="AE3215">
        <v>-1.2123999999999999</v>
      </c>
      <c r="AF3215">
        <v>1.50479502532112</v>
      </c>
      <c r="AG3215">
        <v>-1.1091351554801001</v>
      </c>
      <c r="AH3215">
        <v>34.990472913594097</v>
      </c>
      <c r="AI3215">
        <v>91.813889901670095</v>
      </c>
      <c r="AJ3215">
        <v>87.537463715705798</v>
      </c>
      <c r="AK3215">
        <v>35.040373622127902</v>
      </c>
      <c r="AL3215">
        <v>90.710912230269201</v>
      </c>
      <c r="AM3215">
        <v>85.4911456483092</v>
      </c>
      <c r="AN3215">
        <v>0.99999993989215996</v>
      </c>
    </row>
    <row r="3216" spans="1:40" x14ac:dyDescent="0.25">
      <c r="A3216" t="str">
        <f>"20190312161333476"</f>
        <v>20190312161333476</v>
      </c>
      <c r="B3216" t="str">
        <f>"1552378413468670"</f>
        <v>1552378413468670</v>
      </c>
      <c r="C3216" t="s">
        <v>40</v>
      </c>
      <c r="D3216">
        <v>6.0553400000000002</v>
      </c>
      <c r="E3216">
        <v>0.4876992</v>
      </c>
      <c r="F3216" t="s">
        <v>69</v>
      </c>
      <c r="G3216">
        <v>-342.26589999999999</v>
      </c>
      <c r="H3216" s="1">
        <v>-3.3099140000000002E-7</v>
      </c>
      <c r="I3216">
        <v>212.29320000000001</v>
      </c>
      <c r="J3216">
        <v>-379.10719999999998</v>
      </c>
      <c r="K3216">
        <v>1.1091359999999999</v>
      </c>
      <c r="L3216">
        <v>213.64660000000001</v>
      </c>
      <c r="M3216">
        <v>0.99992639999999999</v>
      </c>
      <c r="N3216">
        <v>0</v>
      </c>
      <c r="O3216">
        <v>8.3898359999999995E-3</v>
      </c>
      <c r="P3216">
        <v>0.99727080000000001</v>
      </c>
      <c r="Q3216">
        <v>-2.1462129999999999E-2</v>
      </c>
      <c r="R3216">
        <v>-7.0642679999999999E-2</v>
      </c>
      <c r="S3216">
        <v>2.9985659999999998</v>
      </c>
      <c r="T3216">
        <v>-8.9293600000000001E-2</v>
      </c>
      <c r="U3216">
        <v>-0.1086884</v>
      </c>
      <c r="V3216">
        <v>7.9007149999999998E-2</v>
      </c>
      <c r="W3216">
        <v>-1.271186E-2</v>
      </c>
      <c r="X3216">
        <v>0.99679300000000004</v>
      </c>
      <c r="Y3216">
        <v>4.4582919999999998E-2</v>
      </c>
      <c r="Z3216">
        <v>-9.1316599999999998E-4</v>
      </c>
      <c r="AA3216">
        <v>0.99900529999999998</v>
      </c>
      <c r="AB3216">
        <v>38</v>
      </c>
      <c r="AC3216">
        <v>36.841299999999897</v>
      </c>
      <c r="AD3216">
        <v>-1.1091363309914</v>
      </c>
      <c r="AE3216">
        <v>-1.3533999999999899</v>
      </c>
      <c r="AF3216">
        <v>1.6609533085686401</v>
      </c>
      <c r="AG3216">
        <v>-1.1091363309914</v>
      </c>
      <c r="AH3216">
        <v>36.795343196953702</v>
      </c>
      <c r="AI3216">
        <v>91.7248108224898</v>
      </c>
      <c r="AJ3216">
        <v>87.415405124839594</v>
      </c>
      <c r="AK3216">
        <v>36.849507870195197</v>
      </c>
      <c r="AL3216">
        <v>90.728355542476507</v>
      </c>
      <c r="AM3216">
        <v>85.468134099630802</v>
      </c>
      <c r="AN3216">
        <v>1.0000000029923899</v>
      </c>
    </row>
    <row r="3217" spans="1:40" x14ac:dyDescent="0.25">
      <c r="A3217" t="str">
        <f>"20190312161333498"</f>
        <v>20190312161333498</v>
      </c>
      <c r="B3217" t="str">
        <f>"1552378413489170"</f>
        <v>1552378413489170</v>
      </c>
      <c r="C3217" t="s">
        <v>40</v>
      </c>
      <c r="D3217">
        <v>6.0203319999999998</v>
      </c>
      <c r="E3217">
        <v>0.48800840000000001</v>
      </c>
      <c r="F3217" t="s">
        <v>69</v>
      </c>
      <c r="G3217">
        <v>-341.85980000000001</v>
      </c>
      <c r="H3217" s="1">
        <v>-5.4709609999999996E-7</v>
      </c>
      <c r="I3217">
        <v>212.24359999999999</v>
      </c>
      <c r="J3217">
        <v>-378.7242</v>
      </c>
      <c r="K3217">
        <v>1.1091409999999999</v>
      </c>
      <c r="L3217">
        <v>213.6498</v>
      </c>
      <c r="M3217">
        <v>0.99992619999999999</v>
      </c>
      <c r="N3217">
        <v>0</v>
      </c>
      <c r="O3217">
        <v>8.3905059999999903E-3</v>
      </c>
      <c r="P3217">
        <v>0.99721269999999995</v>
      </c>
      <c r="Q3217">
        <v>-2.176637E-2</v>
      </c>
      <c r="R3217">
        <v>-7.1366529999999997E-2</v>
      </c>
      <c r="S3217">
        <v>2.9982600000000001</v>
      </c>
      <c r="T3217">
        <v>-8.9280960000000006E-2</v>
      </c>
      <c r="U3217">
        <v>-0.1129303</v>
      </c>
      <c r="V3217">
        <v>7.9730969999999998E-2</v>
      </c>
      <c r="W3217">
        <v>-1.300638E-2</v>
      </c>
      <c r="X3217">
        <v>0.99673160000000005</v>
      </c>
      <c r="Y3217">
        <v>4.5998070000000002E-2</v>
      </c>
      <c r="Z3217">
        <v>-9.3418410000000005E-4</v>
      </c>
      <c r="AA3217">
        <v>0.99894110000000003</v>
      </c>
      <c r="AB3217">
        <v>38</v>
      </c>
      <c r="AC3217">
        <v>36.864399999999897</v>
      </c>
      <c r="AD3217">
        <v>-1.1091415470960999</v>
      </c>
      <c r="AE3217">
        <v>-1.4062000000000101</v>
      </c>
      <c r="AF3217">
        <v>1.71392416147564</v>
      </c>
      <c r="AG3217">
        <v>-1.1091415470960999</v>
      </c>
      <c r="AH3217">
        <v>36.8180226490907</v>
      </c>
      <c r="AI3217">
        <v>91.723645907221496</v>
      </c>
      <c r="AJ3217">
        <v>87.334735226063799</v>
      </c>
      <c r="AK3217">
        <v>36.874578272730602</v>
      </c>
      <c r="AL3217">
        <v>90.745231664754698</v>
      </c>
      <c r="AM3217">
        <v>85.426510438983598</v>
      </c>
      <c r="AN3217">
        <v>1.0000000379681999</v>
      </c>
    </row>
    <row r="3218" spans="1:40" x14ac:dyDescent="0.25">
      <c r="A3218" t="str">
        <f>"20190312161333522"</f>
        <v>20190312161333522</v>
      </c>
      <c r="B3218" t="str">
        <f>"1552378413519421"</f>
        <v>1552378413519421</v>
      </c>
      <c r="C3218" t="s">
        <v>40</v>
      </c>
      <c r="D3218">
        <v>6.0734399999999997</v>
      </c>
      <c r="E3218">
        <v>0.48851480000000003</v>
      </c>
      <c r="F3218" t="s">
        <v>69</v>
      </c>
      <c r="G3218">
        <v>-341.5659</v>
      </c>
      <c r="H3218" s="1">
        <v>-7.0346839999999995E-7</v>
      </c>
      <c r="I3218">
        <v>212.19110000000001</v>
      </c>
      <c r="J3218">
        <v>-378.33940000000001</v>
      </c>
      <c r="K3218">
        <v>1.109143</v>
      </c>
      <c r="L3218">
        <v>213.65299999999999</v>
      </c>
      <c r="M3218">
        <v>0.99992610000000004</v>
      </c>
      <c r="N3218">
        <v>0</v>
      </c>
      <c r="O3218">
        <v>8.3909359999999999E-3</v>
      </c>
      <c r="P3218">
        <v>0.99719230000000003</v>
      </c>
      <c r="Q3218">
        <v>-2.17024E-2</v>
      </c>
      <c r="R3218">
        <v>-7.1669940000000001E-2</v>
      </c>
      <c r="S3218">
        <v>2.997986</v>
      </c>
      <c r="T3218">
        <v>-8.9487199999999906E-2</v>
      </c>
      <c r="U3218">
        <v>-0.117691</v>
      </c>
      <c r="V3218">
        <v>8.0034679999999997E-2</v>
      </c>
      <c r="W3218">
        <v>-1.293216E-2</v>
      </c>
      <c r="X3218">
        <v>0.99670820000000004</v>
      </c>
      <c r="Y3218">
        <v>4.7585019999999999E-2</v>
      </c>
      <c r="Z3218">
        <v>-9.6008149999999995E-4</v>
      </c>
      <c r="AA3218">
        <v>0.9988667</v>
      </c>
      <c r="AB3218">
        <v>38</v>
      </c>
      <c r="AC3218">
        <v>36.773499999999999</v>
      </c>
      <c r="AD3218">
        <v>-1.1091437034684</v>
      </c>
      <c r="AE3218">
        <v>-1.46189999999998</v>
      </c>
      <c r="AF3218">
        <v>1.7688179731022999</v>
      </c>
      <c r="AG3218">
        <v>-1.1091437034684</v>
      </c>
      <c r="AH3218">
        <v>36.726580093602102</v>
      </c>
      <c r="AI3218">
        <v>91.727806821843302</v>
      </c>
      <c r="AJ3218">
        <v>87.242663105777595</v>
      </c>
      <c r="AK3218">
        <v>36.785875035788997</v>
      </c>
      <c r="AL3218">
        <v>90.740978832713907</v>
      </c>
      <c r="AM3218">
        <v>85.409056179956707</v>
      </c>
      <c r="AN3218">
        <v>1.0000000133561</v>
      </c>
    </row>
    <row r="3219" spans="1:40" x14ac:dyDescent="0.25">
      <c r="A3219" t="str">
        <f>"20190312161333541"</f>
        <v>20190312161333541</v>
      </c>
      <c r="B3219" t="str">
        <f>"1552378413538943"</f>
        <v>1552378413538943</v>
      </c>
      <c r="C3219" t="s">
        <v>40</v>
      </c>
      <c r="D3219">
        <v>6.0124269999999997</v>
      </c>
      <c r="E3219">
        <v>0.48912670000000003</v>
      </c>
      <c r="F3219" t="s">
        <v>69</v>
      </c>
      <c r="G3219">
        <v>-340.83359999999999</v>
      </c>
      <c r="H3219" s="1">
        <v>-1.0931679999999999E-6</v>
      </c>
      <c r="I3219">
        <v>212.1215</v>
      </c>
      <c r="J3219">
        <v>-377.97620000000001</v>
      </c>
      <c r="K3219">
        <v>1.109138</v>
      </c>
      <c r="L3219">
        <v>213.65610000000001</v>
      </c>
      <c r="M3219">
        <v>0.99992599999999998</v>
      </c>
      <c r="N3219">
        <v>0</v>
      </c>
      <c r="O3219">
        <v>8.3913679999999997E-3</v>
      </c>
      <c r="P3219">
        <v>0.99722</v>
      </c>
      <c r="Q3219">
        <v>-2.1663120000000001E-2</v>
      </c>
      <c r="R3219">
        <v>-7.1294869999999996E-2</v>
      </c>
      <c r="S3219">
        <v>2.9977109999999998</v>
      </c>
      <c r="T3219">
        <v>-8.8650350000000003E-2</v>
      </c>
      <c r="U3219">
        <v>-0.122406</v>
      </c>
      <c r="V3219">
        <v>7.9660330000000001E-2</v>
      </c>
      <c r="W3219">
        <v>-1.2882680000000001E-2</v>
      </c>
      <c r="X3219">
        <v>0.99673880000000004</v>
      </c>
      <c r="Y3219">
        <v>4.9157310000000003E-2</v>
      </c>
      <c r="Z3219">
        <v>-9.7441119999999997E-4</v>
      </c>
      <c r="AA3219">
        <v>0.99879059999999997</v>
      </c>
      <c r="AB3219">
        <v>39</v>
      </c>
      <c r="AC3219">
        <v>37.142600000000002</v>
      </c>
      <c r="AD3219">
        <v>-1.1091390931680001</v>
      </c>
      <c r="AE3219">
        <v>-1.53460000000001</v>
      </c>
      <c r="AF3219">
        <v>1.8445932275382799</v>
      </c>
      <c r="AG3219">
        <v>-1.1091390931680001</v>
      </c>
      <c r="AH3219">
        <v>37.095392033663302</v>
      </c>
      <c r="AI3219">
        <v>91.710501133548803</v>
      </c>
      <c r="AJ3219">
        <v>87.153273735008</v>
      </c>
      <c r="AK3219">
        <v>37.157782816447003</v>
      </c>
      <c r="AL3219">
        <v>90.738143623417102</v>
      </c>
      <c r="AM3219">
        <v>85.4305781573198</v>
      </c>
      <c r="AN3219">
        <v>0.99999998352256503</v>
      </c>
    </row>
    <row r="3220" spans="1:40" x14ac:dyDescent="0.25">
      <c r="A3220" t="str">
        <f>"20190312161333566"</f>
        <v>20190312161333566</v>
      </c>
      <c r="B3220" t="str">
        <f>"1552378413559438"</f>
        <v>1552378413559438</v>
      </c>
      <c r="C3220" t="s">
        <v>40</v>
      </c>
      <c r="D3220">
        <v>6.0502390000000004</v>
      </c>
      <c r="E3220">
        <v>0.48930849999999998</v>
      </c>
      <c r="F3220" t="s">
        <v>69</v>
      </c>
      <c r="G3220">
        <v>-343.34379999999999</v>
      </c>
      <c r="H3220" s="1">
        <v>2.4261820000000002E-7</v>
      </c>
      <c r="I3220">
        <v>212.202</v>
      </c>
      <c r="J3220">
        <v>-377.56939999999997</v>
      </c>
      <c r="K3220">
        <v>1.10914</v>
      </c>
      <c r="L3220">
        <v>213.65950000000001</v>
      </c>
      <c r="M3220">
        <v>0.99992590000000003</v>
      </c>
      <c r="N3220">
        <v>0</v>
      </c>
      <c r="O3220">
        <v>8.3920339999999996E-3</v>
      </c>
      <c r="P3220">
        <v>0.9972067</v>
      </c>
      <c r="Q3220">
        <v>-2.1506669999999999E-2</v>
      </c>
      <c r="R3220">
        <v>-7.1528850000000005E-2</v>
      </c>
      <c r="S3220">
        <v>2.9972840000000001</v>
      </c>
      <c r="T3220">
        <v>-9.5991129999999994E-2</v>
      </c>
      <c r="U3220">
        <v>-0.12583920000000001</v>
      </c>
      <c r="V3220">
        <v>7.9894679999999996E-2</v>
      </c>
      <c r="W3220">
        <v>-1.27154E-2</v>
      </c>
      <c r="X3220">
        <v>0.9967222</v>
      </c>
      <c r="Y3220">
        <v>5.0300930000000001E-2</v>
      </c>
      <c r="Z3220">
        <v>-1.0735059999999999E-3</v>
      </c>
      <c r="AA3220">
        <v>0.99873350000000005</v>
      </c>
      <c r="AB3220">
        <v>39</v>
      </c>
      <c r="AC3220">
        <v>34.225599999999901</v>
      </c>
      <c r="AD3220">
        <v>-1.1091397573818</v>
      </c>
      <c r="AE3220">
        <v>-1.45750000000001</v>
      </c>
      <c r="AF3220">
        <v>1.74285521343107</v>
      </c>
      <c r="AG3220">
        <v>-1.1091397573818</v>
      </c>
      <c r="AH3220">
        <v>34.176335946398801</v>
      </c>
      <c r="AI3220">
        <v>91.856382314623204</v>
      </c>
      <c r="AJ3220">
        <v>87.080675365337299</v>
      </c>
      <c r="AK3220">
        <v>34.238716010059399</v>
      </c>
      <c r="AL3220">
        <v>90.728558393478593</v>
      </c>
      <c r="AM3220">
        <v>85.417116708926898</v>
      </c>
      <c r="AN3220">
        <v>0.99999999263115102</v>
      </c>
    </row>
    <row r="3221" spans="1:40" x14ac:dyDescent="0.25">
      <c r="A3221" t="str">
        <f>"20190312161333632"</f>
        <v>20190312161333632</v>
      </c>
      <c r="B3221" t="str">
        <f>"1552378413628737"</f>
        <v>1552378413628737</v>
      </c>
      <c r="C3221" t="s">
        <v>40</v>
      </c>
      <c r="D3221">
        <v>6.0534480000000004</v>
      </c>
      <c r="E3221">
        <v>0.45794580000000001</v>
      </c>
      <c r="F3221" t="s">
        <v>69</v>
      </c>
      <c r="G3221">
        <v>-343.88569999999999</v>
      </c>
      <c r="H3221" s="1">
        <v>5.3100619999999896E-7</v>
      </c>
      <c r="I3221">
        <v>212.2217</v>
      </c>
      <c r="J3221">
        <v>-376.41500000000002</v>
      </c>
      <c r="K3221">
        <v>1.1091359999999999</v>
      </c>
      <c r="L3221">
        <v>213.66909999999999</v>
      </c>
      <c r="M3221">
        <v>0.99992570000000003</v>
      </c>
      <c r="N3221">
        <v>0</v>
      </c>
      <c r="O3221">
        <v>8.3933849999999997E-3</v>
      </c>
      <c r="P3221">
        <v>0.99717900000000004</v>
      </c>
      <c r="Q3221">
        <v>-2.1729160000000001E-2</v>
      </c>
      <c r="R3221">
        <v>-7.1849999999999997E-2</v>
      </c>
      <c r="S3221">
        <v>2.9971009999999998</v>
      </c>
      <c r="T3221">
        <v>-9.868884E-2</v>
      </c>
      <c r="U3221">
        <v>-0.12792970000000001</v>
      </c>
      <c r="V3221">
        <v>8.021702E-2</v>
      </c>
      <c r="W3221">
        <v>-1.2907299999999899E-2</v>
      </c>
      <c r="X3221">
        <v>0.99669379999999996</v>
      </c>
      <c r="Y3221">
        <v>5.0998099999999998E-2</v>
      </c>
      <c r="Z3221">
        <v>-1.1152250000000001E-3</v>
      </c>
      <c r="AA3221">
        <v>0.99869810000000003</v>
      </c>
      <c r="AB3221">
        <v>39</v>
      </c>
      <c r="AC3221">
        <v>32.529299999999999</v>
      </c>
      <c r="AD3221">
        <v>-1.1091354689938</v>
      </c>
      <c r="AE3221">
        <v>-1.44739999999998</v>
      </c>
      <c r="AF3221">
        <v>1.7183968065115001</v>
      </c>
      <c r="AG3221">
        <v>-1.1091354689938</v>
      </c>
      <c r="AH3221">
        <v>32.478321233065998</v>
      </c>
      <c r="AI3221">
        <v>91.953162401964704</v>
      </c>
      <c r="AJ3221">
        <v>86.971359278831002</v>
      </c>
      <c r="AK3221">
        <v>32.542655380153597</v>
      </c>
      <c r="AL3221">
        <v>90.739554387749095</v>
      </c>
      <c r="AM3221">
        <v>85.398575474753102</v>
      </c>
      <c r="AN3221">
        <v>0.99999994982470297</v>
      </c>
    </row>
    <row r="3222" spans="1:40" x14ac:dyDescent="0.25">
      <c r="A3222" t="str">
        <f>"20190312161333653"</f>
        <v>20190312161333653</v>
      </c>
      <c r="B3222" t="str">
        <f>"1552378413649230"</f>
        <v>1552378413649230</v>
      </c>
      <c r="C3222" t="s">
        <v>40</v>
      </c>
      <c r="D3222">
        <v>5.8124840000000004</v>
      </c>
      <c r="E3222">
        <v>0.45740229999999998</v>
      </c>
      <c r="F3222" t="s">
        <v>69</v>
      </c>
      <c r="G3222">
        <v>-272.05349999999999</v>
      </c>
      <c r="H3222" s="1">
        <v>-5.8083439999999997E-7</v>
      </c>
      <c r="I3222">
        <v>217.74590000000001</v>
      </c>
      <c r="J3222">
        <v>-376.04899999999998</v>
      </c>
      <c r="K3222">
        <v>1.109137</v>
      </c>
      <c r="L3222">
        <v>213.6722</v>
      </c>
      <c r="M3222">
        <v>0.99992559999999997</v>
      </c>
      <c r="N3222">
        <v>0</v>
      </c>
      <c r="O3222">
        <v>8.3938780000000004E-3</v>
      </c>
      <c r="P3222">
        <v>0.99715390000000004</v>
      </c>
      <c r="Q3222">
        <v>-2.1592549999999999E-2</v>
      </c>
      <c r="R3222">
        <v>-7.2239529999999996E-2</v>
      </c>
      <c r="S3222">
        <v>3.0162960000000001</v>
      </c>
      <c r="T3222">
        <v>-3.2056689999999999E-2</v>
      </c>
      <c r="U3222">
        <v>0.1178284</v>
      </c>
      <c r="V3222">
        <v>8.0606720000000007E-2</v>
      </c>
      <c r="W3222">
        <v>-1.2761110000000001E-2</v>
      </c>
      <c r="X3222">
        <v>0.99666429999999995</v>
      </c>
      <c r="Y3222">
        <v>-3.0643719999999999E-2</v>
      </c>
      <c r="Z3222" s="1">
        <v>7.3600210000000001E-5</v>
      </c>
      <c r="AA3222">
        <v>0.99953040000000004</v>
      </c>
      <c r="AB3222">
        <v>39</v>
      </c>
      <c r="AC3222">
        <v>103.99550000000001</v>
      </c>
      <c r="AD3222">
        <v>-1.1091375808343999</v>
      </c>
      <c r="AE3222">
        <v>4.0736999999999997</v>
      </c>
      <c r="AF3222">
        <v>-3.2002332819100401</v>
      </c>
      <c r="AG3222">
        <v>-1.1091375808343999</v>
      </c>
      <c r="AH3222">
        <v>104.014218285867</v>
      </c>
      <c r="AI3222">
        <v>90.610651515938002</v>
      </c>
      <c r="AJ3222">
        <v>91.762278645267898</v>
      </c>
      <c r="AK3222">
        <v>104.069348440604</v>
      </c>
      <c r="AL3222">
        <v>90.731177584802097</v>
      </c>
      <c r="AM3222">
        <v>85.376181855766106</v>
      </c>
      <c r="AN3222">
        <v>1.0000000080660401</v>
      </c>
    </row>
    <row r="3223" spans="1:40" x14ac:dyDescent="0.25">
      <c r="A3223" t="str">
        <f>"20190312161333676"</f>
        <v>20190312161333676</v>
      </c>
      <c r="B3223" t="str">
        <f>"1552378413668751"</f>
        <v>1552378413668751</v>
      </c>
      <c r="C3223" t="s">
        <v>40</v>
      </c>
      <c r="D3223">
        <v>5.8274280000000003</v>
      </c>
      <c r="E3223">
        <v>0.45768540000000002</v>
      </c>
      <c r="F3223" t="s">
        <v>74</v>
      </c>
      <c r="G3223">
        <v>-280.02839999999998</v>
      </c>
      <c r="H3223" s="1">
        <v>6.7313630000000001E-6</v>
      </c>
      <c r="I3223">
        <v>217.52670000000001</v>
      </c>
      <c r="J3223">
        <v>-375.63959999999997</v>
      </c>
      <c r="K3223">
        <v>1.10914</v>
      </c>
      <c r="L3223">
        <v>213.6756</v>
      </c>
      <c r="M3223">
        <v>0.99992539999999996</v>
      </c>
      <c r="N3223">
        <v>0</v>
      </c>
      <c r="O3223">
        <v>8.3946619999999902E-3</v>
      </c>
      <c r="P3223">
        <v>0.99715560000000003</v>
      </c>
      <c r="Q3223">
        <v>-2.1575069999999998E-2</v>
      </c>
      <c r="R3223">
        <v>-7.2216039999999995E-2</v>
      </c>
      <c r="S3223">
        <v>3.0165709999999999</v>
      </c>
      <c r="T3223">
        <v>-3.4844279999999998E-2</v>
      </c>
      <c r="U3223">
        <v>0.1210938</v>
      </c>
      <c r="V3223">
        <v>8.0584149999999993E-2</v>
      </c>
      <c r="W3223">
        <v>-1.273258E-2</v>
      </c>
      <c r="X3223">
        <v>0.99666650000000001</v>
      </c>
      <c r="Y3223">
        <v>-3.1719339999999999E-2</v>
      </c>
      <c r="Z3223" s="1">
        <v>8.6191479999999995E-5</v>
      </c>
      <c r="AA3223">
        <v>0.99949679999999996</v>
      </c>
      <c r="AB3223">
        <v>39</v>
      </c>
      <c r="AC3223">
        <v>95.611199999999997</v>
      </c>
      <c r="AD3223">
        <v>-1.1091332686369999</v>
      </c>
      <c r="AE3223">
        <v>3.8511000000000002</v>
      </c>
      <c r="AF3223">
        <v>-3.0478994974909601</v>
      </c>
      <c r="AG3223">
        <v>-1.1091332686369999</v>
      </c>
      <c r="AH3223">
        <v>95.627312980294803</v>
      </c>
      <c r="AI3223">
        <v>90.664177986478506</v>
      </c>
      <c r="AJ3223">
        <v>91.825552489883506</v>
      </c>
      <c r="AK3223">
        <v>95.682301685241995</v>
      </c>
      <c r="AL3223">
        <v>90.729542796144301</v>
      </c>
      <c r="AM3223">
        <v>85.377481079498494</v>
      </c>
      <c r="AN3223">
        <v>1.0000000180234601</v>
      </c>
    </row>
    <row r="3224" spans="1:40" x14ac:dyDescent="0.25">
      <c r="A3224" t="str">
        <f>"20190312161333699"</f>
        <v>20190312161333699</v>
      </c>
      <c r="B3224" t="str">
        <f>"1552378413689246"</f>
        <v>1552378413689246</v>
      </c>
      <c r="C3224" t="s">
        <v>40</v>
      </c>
      <c r="D3224">
        <v>5.8474919999999999</v>
      </c>
      <c r="E3224">
        <v>0.45795970000000003</v>
      </c>
      <c r="F3224" t="s">
        <v>74</v>
      </c>
      <c r="G3224">
        <v>-296.94229999999999</v>
      </c>
      <c r="H3224" s="1">
        <v>2.1258609999999998E-6</v>
      </c>
      <c r="I3224">
        <v>216.7885</v>
      </c>
      <c r="J3224">
        <v>-375.24919999999997</v>
      </c>
      <c r="K3224">
        <v>1.1091340000000001</v>
      </c>
      <c r="L3224">
        <v>213.679</v>
      </c>
      <c r="M3224">
        <v>0.99992530000000002</v>
      </c>
      <c r="N3224">
        <v>0</v>
      </c>
      <c r="O3224">
        <v>8.3950919999999998E-3</v>
      </c>
      <c r="P3224">
        <v>0.99719480000000005</v>
      </c>
      <c r="Q3224">
        <v>-2.1481859999999998E-2</v>
      </c>
      <c r="R3224">
        <v>-7.1701829999999994E-2</v>
      </c>
      <c r="S3224">
        <v>3.0162659999999999</v>
      </c>
      <c r="T3224">
        <v>-4.2510390000000002E-2</v>
      </c>
      <c r="U3224">
        <v>0.1193085</v>
      </c>
      <c r="V3224">
        <v>8.0070619999999995E-2</v>
      </c>
      <c r="W3224">
        <v>-1.2628479999999999E-2</v>
      </c>
      <c r="X3224">
        <v>0.99670919999999996</v>
      </c>
      <c r="Y3224">
        <v>-3.1131610000000001E-2</v>
      </c>
      <c r="Z3224">
        <v>1.010188E-4</v>
      </c>
      <c r="AA3224">
        <v>0.9995153</v>
      </c>
      <c r="AB3224">
        <v>39</v>
      </c>
      <c r="AC3224">
        <v>78.306899999999899</v>
      </c>
      <c r="AD3224">
        <v>-1.1091318741389999</v>
      </c>
      <c r="AE3224">
        <v>3.1094999999999899</v>
      </c>
      <c r="AF3224">
        <v>-2.45147981078579</v>
      </c>
      <c r="AG3224">
        <v>-1.1091318741389999</v>
      </c>
      <c r="AH3224">
        <v>78.314559416398396</v>
      </c>
      <c r="AI3224">
        <v>90.811001449800401</v>
      </c>
      <c r="AJ3224">
        <v>91.792943701056004</v>
      </c>
      <c r="AK3224">
        <v>78.360769160093895</v>
      </c>
      <c r="AL3224">
        <v>90.723577834690303</v>
      </c>
      <c r="AM3224">
        <v>85.407007999248094</v>
      </c>
      <c r="AN3224">
        <v>1.00000000602946</v>
      </c>
    </row>
    <row r="3225" spans="1:40" x14ac:dyDescent="0.25">
      <c r="A3225" t="str">
        <f>"20190312161334191"</f>
        <v>20190312161334191</v>
      </c>
      <c r="B3225" t="str">
        <f>"1552378414188825"</f>
        <v>1552378414188825</v>
      </c>
      <c r="C3225" t="s">
        <v>40</v>
      </c>
      <c r="D3225">
        <v>6.1254960000000001</v>
      </c>
      <c r="E3225">
        <v>0.45302710000000002</v>
      </c>
      <c r="F3225" t="s">
        <v>74</v>
      </c>
      <c r="G3225">
        <v>-298.08960000000002</v>
      </c>
      <c r="H3225" s="1">
        <v>2.3293709999999999E-6</v>
      </c>
      <c r="I3225">
        <v>216.71680000000001</v>
      </c>
      <c r="J3225">
        <v>-366.49299999999999</v>
      </c>
      <c r="K3225">
        <v>1.1090990000000001</v>
      </c>
      <c r="L3225">
        <v>213.7525</v>
      </c>
      <c r="M3225">
        <v>0.99992309999999995</v>
      </c>
      <c r="N3225">
        <v>0</v>
      </c>
      <c r="O3225">
        <v>8.409494E-3</v>
      </c>
      <c r="P3225">
        <v>0.99706790000000001</v>
      </c>
      <c r="Q3225">
        <v>-2.6296679999999999E-2</v>
      </c>
      <c r="R3225">
        <v>-7.1861469999999997E-2</v>
      </c>
      <c r="S3225">
        <v>3.0160830000000001</v>
      </c>
      <c r="T3225">
        <v>-4.3354749999999997E-2</v>
      </c>
      <c r="U3225">
        <v>0.1187439</v>
      </c>
      <c r="V3225">
        <v>8.0243460000000003E-2</v>
      </c>
      <c r="W3225">
        <v>-1.721754E-2</v>
      </c>
      <c r="X3225">
        <v>0.99662660000000003</v>
      </c>
      <c r="Y3225">
        <v>-3.093272E-2</v>
      </c>
      <c r="Z3225">
        <v>1.013956E-4</v>
      </c>
      <c r="AA3225">
        <v>0.9995214</v>
      </c>
      <c r="AB3225">
        <v>40</v>
      </c>
      <c r="AC3225">
        <v>68.403400000000005</v>
      </c>
      <c r="AD3225">
        <v>-1.109096670629</v>
      </c>
      <c r="AE3225">
        <v>2.9643000000000002</v>
      </c>
      <c r="AF3225">
        <v>-2.3883065966975301</v>
      </c>
      <c r="AG3225">
        <v>-1.109096670629</v>
      </c>
      <c r="AH3225">
        <v>68.4079598789763</v>
      </c>
      <c r="AI3225">
        <v>90.928288294435106</v>
      </c>
      <c r="AJ3225">
        <v>91.999538228421201</v>
      </c>
      <c r="AK3225">
        <v>68.458623113733907</v>
      </c>
      <c r="AL3225">
        <v>90.986541104057395</v>
      </c>
      <c r="AM3225">
        <v>85.396756303970307</v>
      </c>
      <c r="AN3225">
        <v>1.0000000181919899</v>
      </c>
    </row>
    <row r="3226" spans="1:40" x14ac:dyDescent="0.25">
      <c r="A3226" t="str">
        <f>"20190312161334214"</f>
        <v>20190312161334214</v>
      </c>
      <c r="B3226" t="str">
        <f>"1552378414209321"</f>
        <v>1552378414209321</v>
      </c>
      <c r="C3226" t="s">
        <v>40</v>
      </c>
      <c r="D3226">
        <v>6.0024790000000001</v>
      </c>
      <c r="E3226">
        <v>0.4547638</v>
      </c>
      <c r="F3226" t="s">
        <v>74</v>
      </c>
      <c r="G3226">
        <v>-293.26260000000002</v>
      </c>
      <c r="H3226" s="1">
        <v>1.473141E-6</v>
      </c>
      <c r="I3226">
        <v>217.56039999999999</v>
      </c>
      <c r="J3226">
        <v>-366.08370000000002</v>
      </c>
      <c r="K3226">
        <v>1.1090990000000001</v>
      </c>
      <c r="L3226">
        <v>213.756</v>
      </c>
      <c r="M3226">
        <v>0.99992309999999995</v>
      </c>
      <c r="N3226">
        <v>0</v>
      </c>
      <c r="O3226">
        <v>8.4102819999999998E-3</v>
      </c>
      <c r="P3226">
        <v>0.99712540000000005</v>
      </c>
      <c r="Q3226">
        <v>-2.6018889999999999E-2</v>
      </c>
      <c r="R3226">
        <v>-7.1161500000000003E-2</v>
      </c>
      <c r="S3226">
        <v>3.0189509999999999</v>
      </c>
      <c r="T3226">
        <v>-4.572296E-2</v>
      </c>
      <c r="U3226">
        <v>0.15698239999999999</v>
      </c>
      <c r="V3226">
        <v>7.9544909999999996E-2</v>
      </c>
      <c r="W3226">
        <v>-1.6928950000000002E-2</v>
      </c>
      <c r="X3226">
        <v>0.99668749999999995</v>
      </c>
      <c r="Y3226">
        <v>-4.3523689999999997E-2</v>
      </c>
      <c r="Z3226">
        <v>2.0206830000000001E-4</v>
      </c>
      <c r="AA3226">
        <v>0.9990523</v>
      </c>
      <c r="AB3226">
        <v>40</v>
      </c>
      <c r="AC3226">
        <v>72.821100000000001</v>
      </c>
      <c r="AD3226">
        <v>-1.109097526859</v>
      </c>
      <c r="AE3226">
        <v>3.80440000000001</v>
      </c>
      <c r="AF3226">
        <v>-3.1910558122441701</v>
      </c>
      <c r="AG3226">
        <v>-1.109097526859</v>
      </c>
      <c r="AH3226">
        <v>72.833672749321707</v>
      </c>
      <c r="AI3226">
        <v>90.871585963131196</v>
      </c>
      <c r="AJ3226">
        <v>92.508690969473804</v>
      </c>
      <c r="AK3226">
        <v>72.911979953065597</v>
      </c>
      <c r="AL3226">
        <v>90.970003744440305</v>
      </c>
      <c r="AM3226">
        <v>85.436936965243802</v>
      </c>
      <c r="AN3226">
        <v>0.99999997735562995</v>
      </c>
    </row>
    <row r="3227" spans="1:40" x14ac:dyDescent="0.25">
      <c r="A3227" t="str">
        <f>"20190312161334234"</f>
        <v>20190312161334234</v>
      </c>
      <c r="B3227" t="str">
        <f>"1552378414229349"</f>
        <v>1552378414229349</v>
      </c>
      <c r="C3227" t="s">
        <v>40</v>
      </c>
      <c r="D3227">
        <v>5.8216269999999897</v>
      </c>
      <c r="E3227">
        <v>0.45581389999999999</v>
      </c>
      <c r="F3227" t="s">
        <v>74</v>
      </c>
      <c r="G3227">
        <v>-292.25869999999998</v>
      </c>
      <c r="H3227" s="1">
        <v>1.295064E-6</v>
      </c>
      <c r="I3227">
        <v>217.3107</v>
      </c>
      <c r="J3227">
        <v>-365.71629999999999</v>
      </c>
      <c r="K3227">
        <v>1.109092</v>
      </c>
      <c r="L3227">
        <v>213.75909999999999</v>
      </c>
      <c r="M3227">
        <v>0.99992309999999995</v>
      </c>
      <c r="N3227">
        <v>0</v>
      </c>
      <c r="O3227">
        <v>8.410954E-3</v>
      </c>
      <c r="P3227">
        <v>0.99716769999999999</v>
      </c>
      <c r="Q3227">
        <v>-2.5495429999999999E-2</v>
      </c>
      <c r="R3227">
        <v>-7.076027E-2</v>
      </c>
      <c r="S3227">
        <v>3.017792</v>
      </c>
      <c r="T3227">
        <v>-4.533732E-2</v>
      </c>
      <c r="U3227">
        <v>0.14530940000000001</v>
      </c>
      <c r="V3227">
        <v>7.9144489999999998E-2</v>
      </c>
      <c r="W3227">
        <v>-1.6395799999999999E-2</v>
      </c>
      <c r="X3227">
        <v>0.99672830000000001</v>
      </c>
      <c r="Y3227">
        <v>-3.9688399999999999E-2</v>
      </c>
      <c r="Z3227">
        <v>1.7165869999999901E-4</v>
      </c>
      <c r="AA3227">
        <v>0.99921210000000005</v>
      </c>
      <c r="AB3227">
        <v>40</v>
      </c>
      <c r="AC3227">
        <v>73.457599999999999</v>
      </c>
      <c r="AD3227">
        <v>-1.1090907049359999</v>
      </c>
      <c r="AE3227">
        <v>3.5516000000000001</v>
      </c>
      <c r="AF3227">
        <v>-2.93293317233123</v>
      </c>
      <c r="AG3227">
        <v>-1.1090907049359999</v>
      </c>
      <c r="AH3227">
        <v>73.468166153506701</v>
      </c>
      <c r="AI3227">
        <v>90.864195043999999</v>
      </c>
      <c r="AJ3227">
        <v>92.286099076866506</v>
      </c>
      <c r="AK3227">
        <v>73.535050262744804</v>
      </c>
      <c r="AL3227">
        <v>90.939452246895996</v>
      </c>
      <c r="AM3227">
        <v>85.4599956991905</v>
      </c>
      <c r="AN3227">
        <v>0.99999998828794501</v>
      </c>
    </row>
    <row r="3228" spans="1:40" x14ac:dyDescent="0.25">
      <c r="A3228" t="str">
        <f>"20190312161334323"</f>
        <v>20190312161334323</v>
      </c>
      <c r="B3228" t="str">
        <f>"1552378414319411"</f>
        <v>1552378414319411</v>
      </c>
      <c r="C3228" t="s">
        <v>40</v>
      </c>
      <c r="D3228">
        <v>4.5631789999999999</v>
      </c>
      <c r="E3228">
        <v>0.4707266</v>
      </c>
      <c r="F3228" t="s">
        <v>74</v>
      </c>
      <c r="G3228">
        <v>-296.48829999999998</v>
      </c>
      <c r="H3228" s="1">
        <v>2.0453149999999999E-6</v>
      </c>
      <c r="I3228">
        <v>216.93289999999999</v>
      </c>
      <c r="J3228">
        <v>-364.10180000000003</v>
      </c>
      <c r="K3228">
        <v>1.10911</v>
      </c>
      <c r="L3228">
        <v>213.77260000000001</v>
      </c>
      <c r="M3228">
        <v>0.99992259999999999</v>
      </c>
      <c r="N3228">
        <v>0</v>
      </c>
      <c r="O3228">
        <v>8.4137459999999997E-3</v>
      </c>
      <c r="P3228">
        <v>0.99716760000000004</v>
      </c>
      <c r="Q3228">
        <v>-2.421251E-2</v>
      </c>
      <c r="R3228">
        <v>-7.1206699999999998E-2</v>
      </c>
      <c r="S3228">
        <v>3.0171199999999998</v>
      </c>
      <c r="T3228">
        <v>-4.8336740000000003E-2</v>
      </c>
      <c r="U3228">
        <v>0.1383209</v>
      </c>
      <c r="V3228">
        <v>7.959405E-2</v>
      </c>
      <c r="W3228">
        <v>-1.507212E-2</v>
      </c>
      <c r="X3228">
        <v>0.99671339999999997</v>
      </c>
      <c r="Y3228">
        <v>-3.7386639999999999E-2</v>
      </c>
      <c r="Z3228">
        <v>1.6459229999999999E-4</v>
      </c>
      <c r="AA3228">
        <v>0.99930079999999999</v>
      </c>
      <c r="AB3228">
        <v>41</v>
      </c>
      <c r="AC3228">
        <v>67.613500000000002</v>
      </c>
      <c r="AD3228">
        <v>-1.109107954685</v>
      </c>
      <c r="AE3228">
        <v>3.1602999999999701</v>
      </c>
      <c r="AF3228">
        <v>-2.5905858631674601</v>
      </c>
      <c r="AG3228">
        <v>-1.109107954685</v>
      </c>
      <c r="AH3228">
        <v>67.619542240368901</v>
      </c>
      <c r="AI3228">
        <v>90.939002735886703</v>
      </c>
      <c r="AJ3228">
        <v>92.193997124045296</v>
      </c>
      <c r="AK3228">
        <v>67.678236888726801</v>
      </c>
      <c r="AL3228">
        <v>90.863601570837403</v>
      </c>
      <c r="AM3228">
        <v>85.434248127758593</v>
      </c>
      <c r="AN3228">
        <v>0.99999999166812803</v>
      </c>
    </row>
    <row r="3229" spans="1:40" x14ac:dyDescent="0.25">
      <c r="A3229" t="str">
        <f>"20190312161334347"</f>
        <v>20190312161334347</v>
      </c>
      <c r="B3229" t="str">
        <f>"1552378414338932"</f>
        <v>1552378414338932</v>
      </c>
      <c r="C3229" t="s">
        <v>40</v>
      </c>
      <c r="D3229">
        <v>6.0850160000000004</v>
      </c>
      <c r="E3229">
        <v>0.47496329999999998</v>
      </c>
      <c r="F3229" t="s">
        <v>43</v>
      </c>
      <c r="G3229">
        <v>-363.3836</v>
      </c>
      <c r="H3229">
        <v>0.81110819999999995</v>
      </c>
      <c r="I3229">
        <v>213.7884</v>
      </c>
      <c r="J3229">
        <v>-363.65370000000001</v>
      </c>
      <c r="K3229">
        <v>1.1091120000000001</v>
      </c>
      <c r="L3229">
        <v>213.7764</v>
      </c>
      <c r="M3229">
        <v>0.99992259999999999</v>
      </c>
      <c r="N3229">
        <v>0</v>
      </c>
      <c r="O3229">
        <v>8.4143489999999998E-3</v>
      </c>
      <c r="P3229">
        <v>0.99717500000000003</v>
      </c>
      <c r="Q3229">
        <v>-2.409153E-2</v>
      </c>
      <c r="R3229">
        <v>-7.1148160000000002E-2</v>
      </c>
      <c r="S3229">
        <v>2.983215</v>
      </c>
      <c r="T3229">
        <v>-1.2377830000000001</v>
      </c>
      <c r="U3229">
        <v>6.6772460000000006E-2</v>
      </c>
      <c r="V3229">
        <v>7.9535830000000002E-2</v>
      </c>
      <c r="W3229">
        <v>-1.493978E-2</v>
      </c>
      <c r="X3229">
        <v>0.9967201</v>
      </c>
      <c r="Y3229">
        <v>-1.354025E-2</v>
      </c>
      <c r="Z3229">
        <v>-6.5509789999999997E-4</v>
      </c>
      <c r="AA3229">
        <v>0.99990809999999997</v>
      </c>
      <c r="AB3229">
        <v>41</v>
      </c>
      <c r="AC3229">
        <v>0.270100000000013</v>
      </c>
      <c r="AD3229">
        <v>-0.29800379999999999</v>
      </c>
      <c r="AE3229">
        <v>1.2000000000000399E-2</v>
      </c>
      <c r="AF3229">
        <v>-4.3915276191894403E-3</v>
      </c>
      <c r="AG3229">
        <v>-0.29800379999999999</v>
      </c>
      <c r="AH3229">
        <v>0.121988469337672</v>
      </c>
      <c r="AI3229">
        <v>157.72514853054301</v>
      </c>
      <c r="AJ3229">
        <v>92.061730823621701</v>
      </c>
      <c r="AK3229">
        <v>0.32203530393517099</v>
      </c>
      <c r="AL3229">
        <v>90.8560181422216</v>
      </c>
      <c r="AM3229">
        <v>85.437604235028104</v>
      </c>
      <c r="AN3229">
        <v>1.0000000515121199</v>
      </c>
    </row>
    <row r="3230" spans="1:40" x14ac:dyDescent="0.25">
      <c r="A3230" t="str">
        <f>"20190312161334369"</f>
        <v>20190312161334369</v>
      </c>
      <c r="B3230" t="str">
        <f>"1552378414359431"</f>
        <v>1552378414359431</v>
      </c>
      <c r="C3230" t="s">
        <v>40</v>
      </c>
      <c r="D3230">
        <v>8.3205600000000004</v>
      </c>
      <c r="E3230">
        <v>0.48296679999999997</v>
      </c>
      <c r="F3230" t="s">
        <v>43</v>
      </c>
      <c r="G3230">
        <v>-362.94690000000003</v>
      </c>
      <c r="H3230">
        <v>0.97686949999999995</v>
      </c>
      <c r="I3230">
        <v>213.7775</v>
      </c>
      <c r="J3230">
        <v>-363.26650000000001</v>
      </c>
      <c r="K3230">
        <v>1.109113</v>
      </c>
      <c r="L3230">
        <v>213.77969999999999</v>
      </c>
      <c r="M3230">
        <v>0.99992230000000004</v>
      </c>
      <c r="N3230">
        <v>0</v>
      </c>
      <c r="O3230">
        <v>8.4151969999999993E-3</v>
      </c>
      <c r="P3230">
        <v>0.99714320000000001</v>
      </c>
      <c r="Q3230">
        <v>-2.3865870000000001E-2</v>
      </c>
      <c r="R3230">
        <v>-7.1665640000000003E-2</v>
      </c>
      <c r="S3230">
        <v>2.9953609999999999</v>
      </c>
      <c r="T3230">
        <v>-0.56055690000000002</v>
      </c>
      <c r="U3230">
        <v>5.4016109999999997E-3</v>
      </c>
      <c r="V3230">
        <v>8.0054100000000003E-2</v>
      </c>
      <c r="W3230">
        <v>-1.4704760000000001E-2</v>
      </c>
      <c r="X3230">
        <v>0.99668199999999996</v>
      </c>
      <c r="Y3230">
        <v>6.3558499999999997E-3</v>
      </c>
      <c r="Z3230">
        <v>-2.1509340000000002E-3</v>
      </c>
      <c r="AA3230">
        <v>0.99997749999999996</v>
      </c>
      <c r="AB3230">
        <v>41</v>
      </c>
      <c r="AC3230">
        <v>0.31959999999997901</v>
      </c>
      <c r="AD3230">
        <v>-0.13224350000000001</v>
      </c>
      <c r="AE3230">
        <v>-2.1999999999877599E-3</v>
      </c>
      <c r="AF3230">
        <v>4.1747908491386798E-3</v>
      </c>
      <c r="AG3230">
        <v>-0.13224350000000001</v>
      </c>
      <c r="AH3230">
        <v>0.272856051661099</v>
      </c>
      <c r="AI3230">
        <v>115.855165216976</v>
      </c>
      <c r="AJ3230">
        <v>89.123423388541298</v>
      </c>
      <c r="AK3230">
        <v>0.30324280222120398</v>
      </c>
      <c r="AL3230">
        <v>90.842551095710107</v>
      </c>
      <c r="AM3230">
        <v>85.407826778871794</v>
      </c>
      <c r="AN3230">
        <v>0.99999994900873201</v>
      </c>
    </row>
    <row r="3231" spans="1:40" x14ac:dyDescent="0.25">
      <c r="A3231" t="str">
        <f>"20190312161334403"</f>
        <v>20190312161334403</v>
      </c>
      <c r="B3231" t="str">
        <f>"1552378414399443"</f>
        <v>1552378414399443</v>
      </c>
      <c r="C3231" t="s">
        <v>40</v>
      </c>
      <c r="D3231">
        <v>5.9790349999999997</v>
      </c>
      <c r="E3231">
        <v>0.47695720000000003</v>
      </c>
      <c r="F3231" t="s">
        <v>69</v>
      </c>
      <c r="G3231">
        <v>-324.89519999999999</v>
      </c>
      <c r="H3231" s="1">
        <v>1.068216E-6</v>
      </c>
      <c r="I3231">
        <v>212.7713</v>
      </c>
      <c r="J3231">
        <v>-362.64440000000002</v>
      </c>
      <c r="K3231">
        <v>1.1091059999999999</v>
      </c>
      <c r="L3231">
        <v>213.78489999999999</v>
      </c>
      <c r="M3231">
        <v>0.99992219999999998</v>
      </c>
      <c r="N3231">
        <v>0</v>
      </c>
      <c r="O3231">
        <v>8.4164319999999997E-3</v>
      </c>
      <c r="P3231">
        <v>0.99714550000000002</v>
      </c>
      <c r="Q3231">
        <v>-2.3892509999999999E-2</v>
      </c>
      <c r="R3231">
        <v>-7.1625480000000005E-2</v>
      </c>
      <c r="S3231">
        <v>3.0008240000000002</v>
      </c>
      <c r="T3231">
        <v>-8.6737990000000001E-2</v>
      </c>
      <c r="U3231">
        <v>-7.8857419999999998E-2</v>
      </c>
      <c r="V3231">
        <v>8.0015089999999997E-2</v>
      </c>
      <c r="W3231">
        <v>-1.471562E-2</v>
      </c>
      <c r="X3231">
        <v>0.99668500000000004</v>
      </c>
      <c r="Y3231">
        <v>3.4664500000000001E-2</v>
      </c>
      <c r="Z3231">
        <v>-7.4398970000000004E-4</v>
      </c>
      <c r="AA3231">
        <v>0.99939869999999997</v>
      </c>
      <c r="AB3231">
        <v>41</v>
      </c>
      <c r="AC3231">
        <v>37.749200000000002</v>
      </c>
      <c r="AD3231">
        <v>-1.1091049317839901</v>
      </c>
      <c r="AE3231">
        <v>-1.0135999999999901</v>
      </c>
      <c r="AF3231">
        <v>1.3301437351952401</v>
      </c>
      <c r="AG3231">
        <v>-1.1091049317839901</v>
      </c>
      <c r="AH3231">
        <v>37.706805160725203</v>
      </c>
      <c r="AI3231">
        <v>91.683760970756595</v>
      </c>
      <c r="AJ3231">
        <v>87.979674145862205</v>
      </c>
      <c r="AK3231">
        <v>37.746556816945201</v>
      </c>
      <c r="AL3231">
        <v>90.843173371922106</v>
      </c>
      <c r="AM3231">
        <v>85.410068716726698</v>
      </c>
      <c r="AN3231">
        <v>0.99999997666234597</v>
      </c>
    </row>
    <row r="3232" spans="1:40" x14ac:dyDescent="0.25">
      <c r="A3232" t="str">
        <f>"20190312161334425"</f>
        <v>20190312161334425</v>
      </c>
      <c r="B3232" t="str">
        <f>"1552378414419470"</f>
        <v>1552378414419470</v>
      </c>
      <c r="C3232" t="s">
        <v>40</v>
      </c>
      <c r="D3232">
        <v>5.986103</v>
      </c>
      <c r="E3232">
        <v>0.47837619999999997</v>
      </c>
      <c r="F3232" t="s">
        <v>69</v>
      </c>
      <c r="G3232">
        <v>-335.08539999999999</v>
      </c>
      <c r="H3232" s="1">
        <v>1.217537E-6</v>
      </c>
      <c r="I3232">
        <v>213.51570000000001</v>
      </c>
      <c r="J3232">
        <v>-362.2466</v>
      </c>
      <c r="K3232">
        <v>1.1091059999999999</v>
      </c>
      <c r="L3232">
        <v>213.78819999999999</v>
      </c>
      <c r="M3232">
        <v>0.99992210000000004</v>
      </c>
      <c r="N3232">
        <v>0</v>
      </c>
      <c r="O3232">
        <v>8.4170410000000001E-3</v>
      </c>
      <c r="P3232">
        <v>0.99714740000000002</v>
      </c>
      <c r="Q3232">
        <v>-2.3577219999999999E-2</v>
      </c>
      <c r="R3232">
        <v>-7.1704569999999995E-2</v>
      </c>
      <c r="S3232">
        <v>3.003571</v>
      </c>
      <c r="T3232">
        <v>-0.1208779</v>
      </c>
      <c r="U3232">
        <v>-2.9342650000000001E-2</v>
      </c>
      <c r="V3232">
        <v>8.009484E-2</v>
      </c>
      <c r="W3232">
        <v>-1.439035E-2</v>
      </c>
      <c r="X3232">
        <v>0.9966834</v>
      </c>
      <c r="Y3232">
        <v>1.8163929999999998E-2</v>
      </c>
      <c r="Z3232">
        <v>-7.0395579999999998E-4</v>
      </c>
      <c r="AA3232">
        <v>0.99983480000000002</v>
      </c>
      <c r="AB3232">
        <v>41</v>
      </c>
      <c r="AC3232">
        <v>27.161200000000001</v>
      </c>
      <c r="AD3232">
        <v>-1.10910478246299</v>
      </c>
      <c r="AE3232">
        <v>-0.27249999999997898</v>
      </c>
      <c r="AF3232">
        <v>0.50028288894614803</v>
      </c>
      <c r="AG3232">
        <v>-1.10910478246299</v>
      </c>
      <c r="AH3232">
        <v>27.112740012666599</v>
      </c>
      <c r="AI3232">
        <v>92.342102455756802</v>
      </c>
      <c r="AJ3232">
        <v>88.942901174149497</v>
      </c>
      <c r="AK3232">
        <v>27.140027033551601</v>
      </c>
      <c r="AL3232">
        <v>90.824534753162794</v>
      </c>
      <c r="AM3232">
        <v>85.405506224053994</v>
      </c>
      <c r="AN3232">
        <v>1.0000000327016501</v>
      </c>
    </row>
    <row r="3233" spans="1:40" x14ac:dyDescent="0.25">
      <c r="A3233" t="str">
        <f>"20190312161334446"</f>
        <v>20190312161334446</v>
      </c>
      <c r="B3233" t="str">
        <f>"1552378414438991"</f>
        <v>1552378414438991</v>
      </c>
      <c r="C3233" t="s">
        <v>40</v>
      </c>
      <c r="D3233">
        <v>5.8550870000000002</v>
      </c>
      <c r="E3233">
        <v>0.47849069999999999</v>
      </c>
      <c r="F3233" t="s">
        <v>69</v>
      </c>
      <c r="G3233">
        <v>-337.47250000000003</v>
      </c>
      <c r="H3233" s="1">
        <v>2.4905140000000001E-6</v>
      </c>
      <c r="I3233">
        <v>213.4537</v>
      </c>
      <c r="J3233">
        <v>-361.84339999999997</v>
      </c>
      <c r="K3233">
        <v>1.1091070000000001</v>
      </c>
      <c r="L3233">
        <v>213.79159999999999</v>
      </c>
      <c r="M3233">
        <v>0.99992199999999998</v>
      </c>
      <c r="N3233">
        <v>0</v>
      </c>
      <c r="O3233">
        <v>8.4177090000000006E-3</v>
      </c>
      <c r="P3233">
        <v>0.99715140000000002</v>
      </c>
      <c r="Q3233">
        <v>-2.380465E-2</v>
      </c>
      <c r="R3233">
        <v>-7.1573170000000005E-2</v>
      </c>
      <c r="S3233">
        <v>3.0025019999999998</v>
      </c>
      <c r="T3233">
        <v>-0.134417799999999</v>
      </c>
      <c r="U3233">
        <v>-4.0542599999999998E-2</v>
      </c>
      <c r="V3233">
        <v>7.9964250000000001E-2</v>
      </c>
      <c r="W3233">
        <v>-1.460763E-2</v>
      </c>
      <c r="X3233">
        <v>0.99669070000000004</v>
      </c>
      <c r="Y3233">
        <v>2.188818E-2</v>
      </c>
      <c r="Z3233">
        <v>-8.6634509999999995E-4</v>
      </c>
      <c r="AA3233">
        <v>0.99975999999999998</v>
      </c>
      <c r="AB3233">
        <v>41</v>
      </c>
      <c r="AC3233">
        <v>24.370899999999899</v>
      </c>
      <c r="AD3233">
        <v>-1.1091045094859999</v>
      </c>
      <c r="AE3233">
        <v>-0.33789999999998999</v>
      </c>
      <c r="AF3233">
        <v>0.54192174456383202</v>
      </c>
      <c r="AG3233">
        <v>-1.1091045094859999</v>
      </c>
      <c r="AH3233">
        <v>24.316839000520702</v>
      </c>
      <c r="AI3233">
        <v>92.610834996129299</v>
      </c>
      <c r="AJ3233">
        <v>88.723325432182904</v>
      </c>
      <c r="AK3233">
        <v>24.348150873679</v>
      </c>
      <c r="AL3233">
        <v>90.836985309346005</v>
      </c>
      <c r="AM3233">
        <v>85.412998739542104</v>
      </c>
      <c r="AN3233">
        <v>1.00000000779938</v>
      </c>
    </row>
    <row r="3234" spans="1:40" x14ac:dyDescent="0.25">
      <c r="A3234" t="str">
        <f>"20190312161334470"</f>
        <v>20190312161334470</v>
      </c>
      <c r="B3234" t="str">
        <f>"1552378414459487"</f>
        <v>1552378414459487</v>
      </c>
      <c r="C3234" t="s">
        <v>40</v>
      </c>
      <c r="D3234">
        <v>5.9737450000000001</v>
      </c>
      <c r="E3234">
        <v>0.47881590000000002</v>
      </c>
      <c r="F3234" t="s">
        <v>69</v>
      </c>
      <c r="G3234">
        <v>-333.27519999999998</v>
      </c>
      <c r="H3234" s="1">
        <v>2.5948829999999998E-7</v>
      </c>
      <c r="I3234">
        <v>213.39519999999999</v>
      </c>
      <c r="J3234">
        <v>-361.41449999999998</v>
      </c>
      <c r="K3234">
        <v>1.1091070000000001</v>
      </c>
      <c r="L3234">
        <v>213.79519999999999</v>
      </c>
      <c r="M3234">
        <v>0.99992199999999998</v>
      </c>
      <c r="N3234">
        <v>0</v>
      </c>
      <c r="O3234">
        <v>8.4183150000000009E-3</v>
      </c>
      <c r="P3234">
        <v>0.99713929999999995</v>
      </c>
      <c r="Q3234">
        <v>-2.4103909999999999E-2</v>
      </c>
      <c r="R3234">
        <v>-7.1639659999999994E-2</v>
      </c>
      <c r="S3234">
        <v>3.0028380000000001</v>
      </c>
      <c r="T3234">
        <v>-0.11657969999999999</v>
      </c>
      <c r="U3234">
        <v>-4.167175E-2</v>
      </c>
      <c r="V3234">
        <v>8.0031229999999995E-2</v>
      </c>
      <c r="W3234">
        <v>-1.489627E-2</v>
      </c>
      <c r="X3234">
        <v>0.99668100000000004</v>
      </c>
      <c r="Y3234">
        <v>2.2270379999999999E-2</v>
      </c>
      <c r="Z3234">
        <v>-7.5882219999999999E-4</v>
      </c>
      <c r="AA3234">
        <v>0.99975170000000002</v>
      </c>
      <c r="AB3234">
        <v>41</v>
      </c>
      <c r="AC3234">
        <v>28.139299999999899</v>
      </c>
      <c r="AD3234">
        <v>-1.1091067405116899</v>
      </c>
      <c r="AE3234">
        <v>-0.40000000000000502</v>
      </c>
      <c r="AF3234">
        <v>0.63589371795347904</v>
      </c>
      <c r="AG3234">
        <v>-1.1091067405116899</v>
      </c>
      <c r="AH3234">
        <v>28.091303426873399</v>
      </c>
      <c r="AI3234">
        <v>92.260411177779702</v>
      </c>
      <c r="AJ3234">
        <v>88.703235501274193</v>
      </c>
      <c r="AK3234">
        <v>28.120380630479598</v>
      </c>
      <c r="AL3234">
        <v>90.8535250068972</v>
      </c>
      <c r="AM3234">
        <v>85.409128484111804</v>
      </c>
      <c r="AN3234">
        <v>0.99999995619811199</v>
      </c>
    </row>
    <row r="3235" spans="1:40" x14ac:dyDescent="0.25">
      <c r="A3235" t="str">
        <f>"20190312161334492"</f>
        <v>20190312161334492</v>
      </c>
      <c r="B3235" t="str">
        <f>"1552378414488767"</f>
        <v>1552378414488767</v>
      </c>
      <c r="C3235" t="s">
        <v>40</v>
      </c>
      <c r="D3235">
        <v>6.0275220000000003</v>
      </c>
      <c r="E3235">
        <v>0.48003780000000001</v>
      </c>
      <c r="F3235" t="s">
        <v>69</v>
      </c>
      <c r="G3235">
        <v>-335.29989999999998</v>
      </c>
      <c r="H3235" s="1">
        <v>1.336206E-6</v>
      </c>
      <c r="I3235">
        <v>213.4119</v>
      </c>
      <c r="J3235">
        <v>-361.00420000000003</v>
      </c>
      <c r="K3235">
        <v>1.1090960000000001</v>
      </c>
      <c r="L3235">
        <v>213.7987</v>
      </c>
      <c r="M3235">
        <v>0.99992190000000003</v>
      </c>
      <c r="N3235">
        <v>0</v>
      </c>
      <c r="O3235">
        <v>8.4187429999999994E-3</v>
      </c>
      <c r="P3235">
        <v>0.997085</v>
      </c>
      <c r="Q3235">
        <v>-2.421889E-2</v>
      </c>
      <c r="R3235">
        <v>-7.2357450000000004E-2</v>
      </c>
      <c r="S3235">
        <v>3.002319</v>
      </c>
      <c r="T3235">
        <v>-0.1275105</v>
      </c>
      <c r="U3235">
        <v>-4.4067380000000003E-2</v>
      </c>
      <c r="V3235">
        <v>8.0748699999999896E-2</v>
      </c>
      <c r="W3235">
        <v>-1.5001499999999999E-2</v>
      </c>
      <c r="X3235">
        <v>0.9966216</v>
      </c>
      <c r="Y3235">
        <v>2.3065499999999999E-2</v>
      </c>
      <c r="Z3235">
        <v>-8.4694380000000001E-4</v>
      </c>
      <c r="AA3235">
        <v>0.9997336</v>
      </c>
      <c r="AB3235">
        <v>41</v>
      </c>
      <c r="AC3235">
        <v>25.7043</v>
      </c>
      <c r="AD3235">
        <v>-1.10909466379399</v>
      </c>
      <c r="AE3235">
        <v>-0.38679999999999298</v>
      </c>
      <c r="AF3235">
        <v>0.60207275269921301</v>
      </c>
      <c r="AG3235">
        <v>-1.10909466379399</v>
      </c>
      <c r="AH3235">
        <v>25.652384510112899</v>
      </c>
      <c r="AI3235">
        <v>92.474991313926196</v>
      </c>
      <c r="AJ3235">
        <v>88.655489685435896</v>
      </c>
      <c r="AK3235">
        <v>25.683407360151399</v>
      </c>
      <c r="AL3235">
        <v>90.859554873388007</v>
      </c>
      <c r="AM3235">
        <v>85.367875318749597</v>
      </c>
      <c r="AN3235">
        <v>1.00000000557025</v>
      </c>
    </row>
    <row r="3236" spans="1:40" x14ac:dyDescent="0.25">
      <c r="A3236" t="str">
        <f>"20190312161334513"</f>
        <v>20190312161334513</v>
      </c>
      <c r="B3236" t="str">
        <f>"1552378414509263"</f>
        <v>1552378414509263</v>
      </c>
      <c r="C3236" t="s">
        <v>40</v>
      </c>
      <c r="D3236">
        <v>5.9957079999999996</v>
      </c>
      <c r="E3236">
        <v>0.4809466</v>
      </c>
      <c r="F3236" t="s">
        <v>69</v>
      </c>
      <c r="G3236">
        <v>-337.48099999999999</v>
      </c>
      <c r="H3236" s="1">
        <v>2.4989139999999999E-6</v>
      </c>
      <c r="I3236">
        <v>213.3648</v>
      </c>
      <c r="J3236">
        <v>-360.62139999999999</v>
      </c>
      <c r="K3236">
        <v>1.1090949999999999</v>
      </c>
      <c r="L3236">
        <v>213.80189999999999</v>
      </c>
      <c r="M3236">
        <v>0.99992170000000002</v>
      </c>
      <c r="N3236">
        <v>0</v>
      </c>
      <c r="O3236">
        <v>8.4194130000000006E-3</v>
      </c>
      <c r="P3236">
        <v>0.99709720000000002</v>
      </c>
      <c r="Q3236">
        <v>-2.4269499999999999E-2</v>
      </c>
      <c r="R3236">
        <v>-7.2167309999999998E-2</v>
      </c>
      <c r="S3236">
        <v>3.0012819999999998</v>
      </c>
      <c r="T3236">
        <v>-0.1415071</v>
      </c>
      <c r="U3236">
        <v>-5.5358890000000001E-2</v>
      </c>
      <c r="V3236">
        <v>8.0559560000000002E-2</v>
      </c>
      <c r="W3236">
        <v>-1.5042069999999999E-2</v>
      </c>
      <c r="X3236">
        <v>0.99663630000000003</v>
      </c>
      <c r="Y3236">
        <v>2.6820500000000001E-2</v>
      </c>
      <c r="Z3236">
        <v>-1.028607E-3</v>
      </c>
      <c r="AA3236">
        <v>0.99963970000000002</v>
      </c>
      <c r="AB3236">
        <v>41</v>
      </c>
      <c r="AC3236">
        <v>23.1404</v>
      </c>
      <c r="AD3236">
        <v>-1.109092501086</v>
      </c>
      <c r="AE3236">
        <v>-0.437099999999986</v>
      </c>
      <c r="AF3236">
        <v>0.63047364954320295</v>
      </c>
      <c r="AG3236">
        <v>-1.109092501086</v>
      </c>
      <c r="AH3236">
        <v>23.0828929613314</v>
      </c>
      <c r="AI3236">
        <v>92.7498221143085</v>
      </c>
      <c r="AJ3236">
        <v>88.435443066618902</v>
      </c>
      <c r="AK3236">
        <v>23.118121261534501</v>
      </c>
      <c r="AL3236">
        <v>90.861879621186802</v>
      </c>
      <c r="AM3236">
        <v>85.378746094380205</v>
      </c>
      <c r="AN3236">
        <v>1.00000001052748</v>
      </c>
    </row>
    <row r="3237" spans="1:40" x14ac:dyDescent="0.25">
      <c r="A3237" t="str">
        <f>"20190312161334537"</f>
        <v>20190312161334537</v>
      </c>
      <c r="B3237" t="str">
        <f>"1552378414529290"</f>
        <v>1552378414529290</v>
      </c>
      <c r="C3237" t="s">
        <v>40</v>
      </c>
      <c r="D3237">
        <v>5.9326840000000001</v>
      </c>
      <c r="E3237">
        <v>0.48116920000000002</v>
      </c>
      <c r="F3237" t="s">
        <v>69</v>
      </c>
      <c r="G3237">
        <v>-338.17680000000001</v>
      </c>
      <c r="H3237" s="1">
        <v>2.8702839999999998E-6</v>
      </c>
      <c r="I3237">
        <v>213.3399</v>
      </c>
      <c r="J3237">
        <v>-360.18470000000002</v>
      </c>
      <c r="K3237">
        <v>1.1091</v>
      </c>
      <c r="L3237">
        <v>213.8056</v>
      </c>
      <c r="M3237">
        <v>0.99992159999999997</v>
      </c>
      <c r="N3237">
        <v>0</v>
      </c>
      <c r="O3237">
        <v>8.4200170000000001E-3</v>
      </c>
      <c r="P3237">
        <v>0.99706410000000001</v>
      </c>
      <c r="Q3237">
        <v>-2.4346360000000001E-2</v>
      </c>
      <c r="R3237">
        <v>-7.2600059999999994E-2</v>
      </c>
      <c r="S3237">
        <v>3.0006710000000001</v>
      </c>
      <c r="T3237">
        <v>-0.14827699999999999</v>
      </c>
      <c r="U3237">
        <v>-6.1767580000000002E-2</v>
      </c>
      <c r="V3237">
        <v>8.0992499999999995E-2</v>
      </c>
      <c r="W3237">
        <v>-1.5108399999999999E-2</v>
      </c>
      <c r="X3237">
        <v>0.99660020000000005</v>
      </c>
      <c r="Y3237">
        <v>2.8952510000000001E-2</v>
      </c>
      <c r="Z3237">
        <v>-1.130624E-3</v>
      </c>
      <c r="AA3237">
        <v>0.99958009999999997</v>
      </c>
      <c r="AB3237">
        <v>41</v>
      </c>
      <c r="AC3237">
        <v>22.007899999999999</v>
      </c>
      <c r="AD3237">
        <v>-1.1090971297159999</v>
      </c>
      <c r="AE3237">
        <v>-0.465699999999998</v>
      </c>
      <c r="AF3237">
        <v>0.64934992717530804</v>
      </c>
      <c r="AG3237">
        <v>-1.1090971297159999</v>
      </c>
      <c r="AH3237">
        <v>21.94748338878</v>
      </c>
      <c r="AI3237">
        <v>92.891668676264899</v>
      </c>
      <c r="AJ3237">
        <v>88.305310940131506</v>
      </c>
      <c r="AK3237">
        <v>21.985080824773899</v>
      </c>
      <c r="AL3237">
        <v>90.865680488014704</v>
      </c>
      <c r="AM3237">
        <v>85.353851612675797</v>
      </c>
      <c r="AN3237">
        <v>1.00000000372342</v>
      </c>
    </row>
    <row r="3238" spans="1:40" x14ac:dyDescent="0.25">
      <c r="A3238" t="str">
        <f>"20190312161334559"</f>
        <v>20190312161334559</v>
      </c>
      <c r="B3238" t="str">
        <f>"1552378414548809"</f>
        <v>1552378414548809</v>
      </c>
      <c r="C3238" t="s">
        <v>40</v>
      </c>
      <c r="D3238">
        <v>5.9752780000000003</v>
      </c>
      <c r="E3238">
        <v>0.48142439999999997</v>
      </c>
      <c r="F3238" t="s">
        <v>69</v>
      </c>
      <c r="G3238">
        <v>-338.11849999999998</v>
      </c>
      <c r="H3238" s="1">
        <v>2.8397239999999999E-6</v>
      </c>
      <c r="I3238">
        <v>213.32919999999999</v>
      </c>
      <c r="J3238">
        <v>-359.7663</v>
      </c>
      <c r="K3238">
        <v>1.1091</v>
      </c>
      <c r="L3238">
        <v>213.8091</v>
      </c>
      <c r="M3238">
        <v>0.99992150000000002</v>
      </c>
      <c r="N3238">
        <v>0</v>
      </c>
      <c r="O3238">
        <v>8.4208040000000005E-3</v>
      </c>
      <c r="P3238">
        <v>0.99708459999999999</v>
      </c>
      <c r="Q3238">
        <v>-2.4014250000000001E-2</v>
      </c>
      <c r="R3238">
        <v>-7.2428309999999996E-2</v>
      </c>
      <c r="S3238">
        <v>3.0004270000000002</v>
      </c>
      <c r="T3238">
        <v>-0.15080829999999901</v>
      </c>
      <c r="U3238">
        <v>-6.4773559999999994E-2</v>
      </c>
      <c r="V3238">
        <v>8.0821749999999998E-2</v>
      </c>
      <c r="W3238">
        <v>-1.476595E-2</v>
      </c>
      <c r="X3238">
        <v>0.99661920000000004</v>
      </c>
      <c r="Y3238">
        <v>2.9953110000000002E-2</v>
      </c>
      <c r="Z3238">
        <v>-1.17515E-3</v>
      </c>
      <c r="AA3238">
        <v>0.99955059999999996</v>
      </c>
      <c r="AB3238">
        <v>41</v>
      </c>
      <c r="AC3238">
        <v>21.6478</v>
      </c>
      <c r="AD3238">
        <v>-1.109097160276</v>
      </c>
      <c r="AE3238">
        <v>-0.47990000000001398</v>
      </c>
      <c r="AF3238">
        <v>0.66044995183535804</v>
      </c>
      <c r="AG3238">
        <v>-1.109097160276</v>
      </c>
      <c r="AH3238">
        <v>21.586357029143201</v>
      </c>
      <c r="AI3238">
        <v>92.939871367659194</v>
      </c>
      <c r="AJ3238">
        <v>88.247541547879607</v>
      </c>
      <c r="AK3238">
        <v>21.624918507117101</v>
      </c>
      <c r="AL3238">
        <v>90.846057354409695</v>
      </c>
      <c r="AM3238">
        <v>85.363691971742597</v>
      </c>
      <c r="AN3238">
        <v>1.0000000091805501</v>
      </c>
    </row>
    <row r="3239" spans="1:40" x14ac:dyDescent="0.25">
      <c r="A3239" t="str">
        <f>"20190312161334581"</f>
        <v>20190312161334581</v>
      </c>
      <c r="B3239" t="str">
        <f>"1552378414569305"</f>
        <v>1552378414569305</v>
      </c>
      <c r="C3239" t="s">
        <v>40</v>
      </c>
      <c r="D3239">
        <v>5.9641849999999996</v>
      </c>
      <c r="E3239">
        <v>0.4815142</v>
      </c>
      <c r="F3239" t="s">
        <v>69</v>
      </c>
      <c r="G3239">
        <v>-338.06790000000001</v>
      </c>
      <c r="H3239" s="1">
        <v>2.8127650000000001E-6</v>
      </c>
      <c r="I3239">
        <v>213.3306</v>
      </c>
      <c r="J3239">
        <v>-359.363</v>
      </c>
      <c r="K3239">
        <v>1.1091</v>
      </c>
      <c r="L3239">
        <v>213.8125</v>
      </c>
      <c r="M3239">
        <v>0.99992139999999996</v>
      </c>
      <c r="N3239">
        <v>0</v>
      </c>
      <c r="O3239">
        <v>8.4215920000000003E-3</v>
      </c>
      <c r="P3239">
        <v>0.99710259999999995</v>
      </c>
      <c r="Q3239">
        <v>-2.411659E-2</v>
      </c>
      <c r="R3239">
        <v>-7.2145200000000007E-2</v>
      </c>
      <c r="S3239">
        <v>3.0002439999999999</v>
      </c>
      <c r="T3239">
        <v>-0.1533552</v>
      </c>
      <c r="U3239">
        <v>-6.6162109999999996E-2</v>
      </c>
      <c r="V3239">
        <v>8.053958E-2</v>
      </c>
      <c r="W3239">
        <v>-1.4858379999999999E-2</v>
      </c>
      <c r="X3239">
        <v>0.99664070000000005</v>
      </c>
      <c r="Y3239">
        <v>3.0415339999999999E-2</v>
      </c>
      <c r="Z3239">
        <v>-1.206883E-3</v>
      </c>
      <c r="AA3239">
        <v>0.9995366</v>
      </c>
      <c r="AB3239">
        <v>41</v>
      </c>
      <c r="AC3239">
        <v>21.295100000000001</v>
      </c>
      <c r="AD3239">
        <v>-1.1090971872349999</v>
      </c>
      <c r="AE3239">
        <v>-0.481899999999996</v>
      </c>
      <c r="AF3239">
        <v>0.65944142851785803</v>
      </c>
      <c r="AG3239">
        <v>-1.1090971872349999</v>
      </c>
      <c r="AH3239">
        <v>21.232720608905399</v>
      </c>
      <c r="AI3239">
        <v>92.988705249535201</v>
      </c>
      <c r="AJ3239">
        <v>88.221091398474698</v>
      </c>
      <c r="AK3239">
        <v>21.271891876939701</v>
      </c>
      <c r="AL3239">
        <v>90.851353757946598</v>
      </c>
      <c r="AM3239">
        <v>85.3799075821277</v>
      </c>
      <c r="AN3239">
        <v>1.0000000401496401</v>
      </c>
    </row>
    <row r="3240" spans="1:40" x14ac:dyDescent="0.25">
      <c r="A3240" t="str">
        <f>"20190312161334605"</f>
        <v>20190312161334605</v>
      </c>
      <c r="B3240" t="str">
        <f>"1552378414599562"</f>
        <v>1552378414599562</v>
      </c>
      <c r="C3240" t="s">
        <v>40</v>
      </c>
      <c r="D3240">
        <v>5.9417350000000004</v>
      </c>
      <c r="E3240">
        <v>0.4812459</v>
      </c>
      <c r="F3240" t="s">
        <v>69</v>
      </c>
      <c r="G3240">
        <v>-338.1388</v>
      </c>
      <c r="H3240" s="1">
        <v>2.8498319999999998E-6</v>
      </c>
      <c r="I3240">
        <v>213.34569999999999</v>
      </c>
      <c r="J3240">
        <v>-358.93729999999999</v>
      </c>
      <c r="K3240">
        <v>1.1090990000000001</v>
      </c>
      <c r="L3240">
        <v>213.81610000000001</v>
      </c>
      <c r="M3240">
        <v>0.99992139999999996</v>
      </c>
      <c r="N3240">
        <v>0</v>
      </c>
      <c r="O3240">
        <v>8.4221999999999995E-3</v>
      </c>
      <c r="P3240">
        <v>0.99714380000000002</v>
      </c>
      <c r="Q3240">
        <v>-2.421338E-2</v>
      </c>
      <c r="R3240">
        <v>-7.1542499999999995E-2</v>
      </c>
      <c r="S3240">
        <v>3.0001220000000002</v>
      </c>
      <c r="T3240">
        <v>-0.15677559999999999</v>
      </c>
      <c r="U3240">
        <v>-6.5978999999999996E-2</v>
      </c>
      <c r="V3240">
        <v>7.9937880000000003E-2</v>
      </c>
      <c r="W3240">
        <v>-1.494447E-2</v>
      </c>
      <c r="X3240">
        <v>0.99668780000000001</v>
      </c>
      <c r="Y3240">
        <v>3.0353649999999999E-2</v>
      </c>
      <c r="Z3240">
        <v>-1.2322360000000001E-3</v>
      </c>
      <c r="AA3240">
        <v>0.9995385</v>
      </c>
      <c r="AB3240">
        <v>41</v>
      </c>
      <c r="AC3240">
        <v>20.798499999999901</v>
      </c>
      <c r="AD3240">
        <v>-1.1090961501679999</v>
      </c>
      <c r="AE3240">
        <v>-0.47040000000001198</v>
      </c>
      <c r="AF3240">
        <v>0.64373039641779695</v>
      </c>
      <c r="AG3240">
        <v>-1.1090961501679999</v>
      </c>
      <c r="AH3240">
        <v>20.734867974130299</v>
      </c>
      <c r="AI3240">
        <v>93.060328750198806</v>
      </c>
      <c r="AJ3240">
        <v>88.221778312889697</v>
      </c>
      <c r="AK3240">
        <v>20.774485143998199</v>
      </c>
      <c r="AL3240">
        <v>90.856286945299004</v>
      </c>
      <c r="AM3240">
        <v>85.414491668585001</v>
      </c>
      <c r="AN3240">
        <v>0.999999986255657</v>
      </c>
    </row>
    <row r="3241" spans="1:40" x14ac:dyDescent="0.25">
      <c r="A3241" t="str">
        <f>"20190312161334626"</f>
        <v>20190312161334626</v>
      </c>
      <c r="B3241" t="str">
        <f>"1552378414619588"</f>
        <v>1552378414619588</v>
      </c>
      <c r="C3241" t="s">
        <v>40</v>
      </c>
      <c r="D3241">
        <v>5.9820820000000001</v>
      </c>
      <c r="E3241">
        <v>0.48160170000000002</v>
      </c>
      <c r="F3241" t="s">
        <v>69</v>
      </c>
      <c r="G3241">
        <v>-337.27100000000002</v>
      </c>
      <c r="H3241" s="1">
        <v>2.3870420000000001E-6</v>
      </c>
      <c r="I3241">
        <v>213.36799999999999</v>
      </c>
      <c r="J3241">
        <v>-358.5249</v>
      </c>
      <c r="K3241">
        <v>1.1090960000000001</v>
      </c>
      <c r="L3241">
        <v>213.81960000000001</v>
      </c>
      <c r="M3241">
        <v>0.99992130000000001</v>
      </c>
      <c r="N3241">
        <v>0</v>
      </c>
      <c r="O3241">
        <v>8.4229879999999993E-3</v>
      </c>
      <c r="P3241">
        <v>0.99718949999999995</v>
      </c>
      <c r="Q3241">
        <v>-2.40164E-2</v>
      </c>
      <c r="R3241">
        <v>-7.0970809999999995E-2</v>
      </c>
      <c r="S3241">
        <v>3.0004270000000002</v>
      </c>
      <c r="T3241">
        <v>-0.15359159999999999</v>
      </c>
      <c r="U3241">
        <v>-6.2057500000000002E-2</v>
      </c>
      <c r="V3241">
        <v>7.9367370000000007E-2</v>
      </c>
      <c r="W3241">
        <v>-1.473708E-2</v>
      </c>
      <c r="X3241">
        <v>0.99673650000000003</v>
      </c>
      <c r="Y3241">
        <v>2.9050240000000001E-2</v>
      </c>
      <c r="Z3241">
        <v>-1.173842E-3</v>
      </c>
      <c r="AA3241">
        <v>0.9995773</v>
      </c>
      <c r="AB3241">
        <v>41</v>
      </c>
      <c r="AC3241">
        <v>21.253900000000002</v>
      </c>
      <c r="AD3241">
        <v>-1.10909361295799</v>
      </c>
      <c r="AE3241">
        <v>-0.45160000000001299</v>
      </c>
      <c r="AF3241">
        <v>0.62890129089922397</v>
      </c>
      <c r="AG3241">
        <v>-1.10909361295799</v>
      </c>
      <c r="AH3241">
        <v>21.191661606601699</v>
      </c>
      <c r="AI3241">
        <v>92.994600962105295</v>
      </c>
      <c r="AJ3241">
        <v>88.300141934008593</v>
      </c>
      <c r="AK3241">
        <v>21.229981797559699</v>
      </c>
      <c r="AL3241">
        <v>90.844403048213394</v>
      </c>
      <c r="AM3241">
        <v>85.447301494925199</v>
      </c>
      <c r="AN3241">
        <v>1.0000000056899401</v>
      </c>
    </row>
    <row r="3242" spans="1:40" x14ac:dyDescent="0.25">
      <c r="A3242" t="str">
        <f>"20190312161334648"</f>
        <v>20190312161334648</v>
      </c>
      <c r="B3242" t="str">
        <f>"1552378414639107"</f>
        <v>1552378414639107</v>
      </c>
      <c r="C3242" t="s">
        <v>40</v>
      </c>
      <c r="D3242">
        <v>5.9234609999999996</v>
      </c>
      <c r="E3242">
        <v>0.48200789999999999</v>
      </c>
      <c r="F3242" t="s">
        <v>69</v>
      </c>
      <c r="G3242">
        <v>-336.79309999999998</v>
      </c>
      <c r="H3242" s="1">
        <v>2.1329540000000002E-6</v>
      </c>
      <c r="I3242">
        <v>213.36250000000001</v>
      </c>
      <c r="J3242">
        <v>-358.11090000000002</v>
      </c>
      <c r="K3242">
        <v>1.1090949999999999</v>
      </c>
      <c r="L3242">
        <v>213.82310000000001</v>
      </c>
      <c r="M3242">
        <v>0.99992099999999995</v>
      </c>
      <c r="N3242">
        <v>0</v>
      </c>
      <c r="O3242">
        <v>8.4239529999999996E-3</v>
      </c>
      <c r="P3242">
        <v>0.99720050000000005</v>
      </c>
      <c r="Q3242">
        <v>-2.43167E-2</v>
      </c>
      <c r="R3242">
        <v>-7.0708569999999998E-2</v>
      </c>
      <c r="S3242">
        <v>3.0002749999999998</v>
      </c>
      <c r="T3242">
        <v>-0.1531206</v>
      </c>
      <c r="U3242">
        <v>-6.3110349999999996E-2</v>
      </c>
      <c r="V3242">
        <v>7.9106460000000003E-2</v>
      </c>
      <c r="W3242">
        <v>-1.502714E-2</v>
      </c>
      <c r="X3242">
        <v>0.99675290000000005</v>
      </c>
      <c r="Y3242">
        <v>2.9402709999999999E-2</v>
      </c>
      <c r="Z3242">
        <v>-1.179339E-3</v>
      </c>
      <c r="AA3242">
        <v>0.99956699999999998</v>
      </c>
      <c r="AB3242">
        <v>41</v>
      </c>
      <c r="AC3242">
        <v>21.317799999999998</v>
      </c>
      <c r="AD3242">
        <v>-1.1090928670460001</v>
      </c>
      <c r="AE3242">
        <v>-0.46059999999999901</v>
      </c>
      <c r="AF3242">
        <v>0.63844430145491105</v>
      </c>
      <c r="AG3242">
        <v>-1.1090928670460001</v>
      </c>
      <c r="AH3242">
        <v>21.255656005498398</v>
      </c>
      <c r="AI3242">
        <v>92.985567480105004</v>
      </c>
      <c r="AJ3242">
        <v>88.279555844249401</v>
      </c>
      <c r="AK3242">
        <v>21.294144977854199</v>
      </c>
      <c r="AL3242">
        <v>90.861024111619798</v>
      </c>
      <c r="AM3242">
        <v>85.462279645961203</v>
      </c>
      <c r="AN3242">
        <v>0.99999999530436001</v>
      </c>
    </row>
    <row r="3243" spans="1:40" x14ac:dyDescent="0.25">
      <c r="A3243" t="str">
        <f>"20190312161334671"</f>
        <v>20190312161334671</v>
      </c>
      <c r="B3243" t="str">
        <f>"1552378414659603"</f>
        <v>1552378414659603</v>
      </c>
      <c r="C3243" t="s">
        <v>40</v>
      </c>
      <c r="D3243">
        <v>5.96509</v>
      </c>
      <c r="E3243">
        <v>0.48209010000000002</v>
      </c>
      <c r="F3243" t="s">
        <v>43</v>
      </c>
      <c r="G3243">
        <v>-357.00619999999998</v>
      </c>
      <c r="H3243">
        <v>1.0518890000000001</v>
      </c>
      <c r="I3243">
        <v>213.7988</v>
      </c>
      <c r="J3243">
        <v>-357.69049999999999</v>
      </c>
      <c r="K3243">
        <v>1.109097</v>
      </c>
      <c r="L3243">
        <v>213.82660000000001</v>
      </c>
      <c r="M3243">
        <v>0.99992099999999995</v>
      </c>
      <c r="N3243">
        <v>0</v>
      </c>
      <c r="O3243">
        <v>8.4244419999999903E-3</v>
      </c>
      <c r="P3243">
        <v>0.99718099999999998</v>
      </c>
      <c r="Q3243">
        <v>-2.4563060000000001E-2</v>
      </c>
      <c r="R3243">
        <v>-7.0899459999999997E-2</v>
      </c>
      <c r="S3243">
        <v>2.9999690000000001</v>
      </c>
      <c r="T3243">
        <v>-0.15538679999999999</v>
      </c>
      <c r="U3243">
        <v>-6.5658569999999999E-2</v>
      </c>
      <c r="V3243">
        <v>7.9297419999999993E-2</v>
      </c>
      <c r="W3243">
        <v>-1.526369E-2</v>
      </c>
      <c r="X3243">
        <v>0.99673409999999996</v>
      </c>
      <c r="Y3243">
        <v>3.025137E-2</v>
      </c>
      <c r="Z3243">
        <v>-1.2188679999999999E-3</v>
      </c>
      <c r="AA3243">
        <v>0.99954160000000003</v>
      </c>
      <c r="AB3243">
        <v>42</v>
      </c>
      <c r="AC3243">
        <v>0.68430000000000701</v>
      </c>
      <c r="AD3243">
        <v>-5.7208000000000099E-2</v>
      </c>
      <c r="AE3243">
        <v>-2.78000000000133E-2</v>
      </c>
      <c r="AF3243">
        <v>3.3331536742569202E-2</v>
      </c>
      <c r="AG3243">
        <v>-5.7208000000000099E-2</v>
      </c>
      <c r="AH3243">
        <v>0.679301629568691</v>
      </c>
      <c r="AI3243">
        <v>94.808099416736198</v>
      </c>
      <c r="AJ3243">
        <v>87.190900388868698</v>
      </c>
      <c r="AK3243">
        <v>0.68252065942380202</v>
      </c>
      <c r="AL3243">
        <v>90.8745790108309</v>
      </c>
      <c r="AM3243">
        <v>85.451286238335598</v>
      </c>
      <c r="AN3243">
        <v>0.99999996357693999</v>
      </c>
    </row>
    <row r="3244" spans="1:40" x14ac:dyDescent="0.25">
      <c r="A3244" t="str">
        <f>"20190312161334692"</f>
        <v>20190312161334692</v>
      </c>
      <c r="B3244" t="str">
        <f>"1552378414688884"</f>
        <v>1552378414688884</v>
      </c>
      <c r="C3244" t="s">
        <v>40</v>
      </c>
      <c r="D3244">
        <v>5.7975529999999997</v>
      </c>
      <c r="E3244">
        <v>0.48219529999999999</v>
      </c>
      <c r="F3244" t="s">
        <v>69</v>
      </c>
      <c r="G3244">
        <v>-335.65339999999998</v>
      </c>
      <c r="H3244" s="1">
        <v>1.527724E-6</v>
      </c>
      <c r="I3244">
        <v>213.3339</v>
      </c>
      <c r="J3244">
        <v>-357.2826</v>
      </c>
      <c r="K3244">
        <v>1.109091</v>
      </c>
      <c r="L3244">
        <v>213.83</v>
      </c>
      <c r="M3244">
        <v>0.99992099999999995</v>
      </c>
      <c r="N3244">
        <v>0</v>
      </c>
      <c r="O3244">
        <v>8.4248729999999994E-3</v>
      </c>
      <c r="P3244">
        <v>0.99715010000000004</v>
      </c>
      <c r="Q3244">
        <v>-2.5116719999999999E-2</v>
      </c>
      <c r="R3244">
        <v>-7.1140830000000002E-2</v>
      </c>
      <c r="S3244">
        <v>3.0000309999999999</v>
      </c>
      <c r="T3244">
        <v>-0.15098699999999901</v>
      </c>
      <c r="U3244">
        <v>-6.7077639999999994E-2</v>
      </c>
      <c r="V3244">
        <v>7.9538960000000006E-2</v>
      </c>
      <c r="W3244">
        <v>-1.5807910000000001E-2</v>
      </c>
      <c r="X3244">
        <v>0.99670639999999999</v>
      </c>
      <c r="Y3244">
        <v>3.072621E-2</v>
      </c>
      <c r="Z3244">
        <v>-1.196332E-3</v>
      </c>
      <c r="AA3244">
        <v>0.9995271</v>
      </c>
      <c r="AB3244">
        <v>42</v>
      </c>
      <c r="AC3244">
        <v>21.629200000000001</v>
      </c>
      <c r="AD3244">
        <v>-1.1090894722759901</v>
      </c>
      <c r="AE3244">
        <v>-0.49610000000001198</v>
      </c>
      <c r="AF3244">
        <v>0.676535654197151</v>
      </c>
      <c r="AG3244">
        <v>-1.1090894722759901</v>
      </c>
      <c r="AH3244">
        <v>21.567573170987099</v>
      </c>
      <c r="AI3244">
        <v>92.942336705604504</v>
      </c>
      <c r="AJ3244">
        <v>88.203324444505398</v>
      </c>
      <c r="AK3244">
        <v>21.606665463111</v>
      </c>
      <c r="AL3244">
        <v>90.905764259425098</v>
      </c>
      <c r="AM3244">
        <v>85.437362998566201</v>
      </c>
      <c r="AN3244">
        <v>0.99999999198870404</v>
      </c>
    </row>
    <row r="3245" spans="1:40" x14ac:dyDescent="0.25">
      <c r="A3245" t="str">
        <f>"20190312161334716"</f>
        <v>20190312161334716</v>
      </c>
      <c r="B3245" t="str">
        <f>"1552378414709379"</f>
        <v>1552378414709379</v>
      </c>
      <c r="C3245" t="s">
        <v>40</v>
      </c>
      <c r="D3245">
        <v>5.7756800000000004</v>
      </c>
      <c r="E3245">
        <v>0.4824483</v>
      </c>
      <c r="F3245" t="s">
        <v>69</v>
      </c>
      <c r="G3245">
        <v>-335.1429</v>
      </c>
      <c r="H3245" s="1">
        <v>1.256472E-6</v>
      </c>
      <c r="I3245">
        <v>213.32380000000001</v>
      </c>
      <c r="J3245">
        <v>-356.8494</v>
      </c>
      <c r="K3245">
        <v>1.109092</v>
      </c>
      <c r="L3245">
        <v>213.83369999999999</v>
      </c>
      <c r="M3245">
        <v>0.99992080000000005</v>
      </c>
      <c r="N3245">
        <v>0</v>
      </c>
      <c r="O3245">
        <v>8.4254800000000008E-3</v>
      </c>
      <c r="P3245">
        <v>0.99715949999999998</v>
      </c>
      <c r="Q3245">
        <v>-2.454539E-2</v>
      </c>
      <c r="R3245">
        <v>-7.1208560000000004E-2</v>
      </c>
      <c r="S3245">
        <v>2.999908</v>
      </c>
      <c r="T3245">
        <v>-0.15028050000000001</v>
      </c>
      <c r="U3245">
        <v>-6.8588259999999998E-2</v>
      </c>
      <c r="V3245">
        <v>7.960739E-2</v>
      </c>
      <c r="W3245">
        <v>-1.522628E-2</v>
      </c>
      <c r="X3245">
        <v>0.99670999999999998</v>
      </c>
      <c r="Y3245">
        <v>3.1230620000000001E-2</v>
      </c>
      <c r="Z3245">
        <v>-1.2034369999999999E-3</v>
      </c>
      <c r="AA3245">
        <v>0.9995115</v>
      </c>
      <c r="AB3245">
        <v>42</v>
      </c>
      <c r="AC3245">
        <v>21.706499999999998</v>
      </c>
      <c r="AD3245">
        <v>-1.109090743528</v>
      </c>
      <c r="AE3245">
        <v>-0.50989999999998703</v>
      </c>
      <c r="AF3245">
        <v>0.69097465169058903</v>
      </c>
      <c r="AG3245">
        <v>-1.109090743528</v>
      </c>
      <c r="AH3245">
        <v>21.644956112385501</v>
      </c>
      <c r="AI3245">
        <v>92.931787944126995</v>
      </c>
      <c r="AJ3245">
        <v>88.1715605802178</v>
      </c>
      <c r="AK3245">
        <v>21.684364259847499</v>
      </c>
      <c r="AL3245">
        <v>90.872435294634101</v>
      </c>
      <c r="AM3245">
        <v>85.433470630276702</v>
      </c>
      <c r="AN3245">
        <v>1.0000000001226199</v>
      </c>
    </row>
    <row r="3246" spans="1:40" x14ac:dyDescent="0.25">
      <c r="A3246" t="str">
        <f>"20190312161334738"</f>
        <v>20190312161334738</v>
      </c>
      <c r="B3246" t="str">
        <f>"1552378414729408"</f>
        <v>1552378414729408</v>
      </c>
      <c r="C3246" t="s">
        <v>40</v>
      </c>
      <c r="D3246">
        <v>5.7129279999999998</v>
      </c>
      <c r="E3246">
        <v>0.48260039999999998</v>
      </c>
      <c r="F3246" t="s">
        <v>69</v>
      </c>
      <c r="G3246">
        <v>-334.65870000000001</v>
      </c>
      <c r="H3246" s="1">
        <v>9.9941410000000002E-7</v>
      </c>
      <c r="I3246">
        <v>213.31049999999999</v>
      </c>
      <c r="J3246">
        <v>-356.4436</v>
      </c>
      <c r="K3246">
        <v>1.1090949999999999</v>
      </c>
      <c r="L3246">
        <v>213.83709999999999</v>
      </c>
      <c r="M3246">
        <v>0.9999207</v>
      </c>
      <c r="N3246">
        <v>0</v>
      </c>
      <c r="O3246">
        <v>8.4261490000000008E-3</v>
      </c>
      <c r="P3246">
        <v>0.99718850000000003</v>
      </c>
      <c r="Q3246">
        <v>-2.3782370000000001E-2</v>
      </c>
      <c r="R3246">
        <v>-7.1059789999999998E-2</v>
      </c>
      <c r="S3246">
        <v>2.9998170000000002</v>
      </c>
      <c r="T3246">
        <v>-0.1499306</v>
      </c>
      <c r="U3246">
        <v>-7.0724490000000001E-2</v>
      </c>
      <c r="V3246">
        <v>7.9459559999999999E-2</v>
      </c>
      <c r="W3246">
        <v>-1.44534E-2</v>
      </c>
      <c r="X3246">
        <v>0.99673330000000004</v>
      </c>
      <c r="Y3246">
        <v>3.1942699999999997E-2</v>
      </c>
      <c r="Z3246">
        <v>-1.218481E-3</v>
      </c>
      <c r="AA3246">
        <v>0.99948890000000001</v>
      </c>
      <c r="AB3246">
        <v>42</v>
      </c>
      <c r="AC3246">
        <v>21.7849</v>
      </c>
      <c r="AD3246">
        <v>-1.1090940005859</v>
      </c>
      <c r="AE3246">
        <v>-0.52660000000000196</v>
      </c>
      <c r="AF3246">
        <v>0.70831731060498604</v>
      </c>
      <c r="AG3246">
        <v>-1.1090940005859</v>
      </c>
      <c r="AH3246">
        <v>21.723416159186499</v>
      </c>
      <c r="AI3246">
        <v>92.921161730473202</v>
      </c>
      <c r="AJ3246">
        <v>88.132465952312003</v>
      </c>
      <c r="AK3246">
        <v>21.763239936641899</v>
      </c>
      <c r="AL3246">
        <v>90.828147657345895</v>
      </c>
      <c r="AM3246">
        <v>85.442020958443905</v>
      </c>
      <c r="AN3246">
        <v>0.99999999688792096</v>
      </c>
    </row>
    <row r="3247" spans="1:40" x14ac:dyDescent="0.25">
      <c r="A3247" t="str">
        <f>"20190312161334759"</f>
        <v>20190312161334759</v>
      </c>
      <c r="B3247" t="str">
        <f>"1552378414748931"</f>
        <v>1552378414748931</v>
      </c>
      <c r="C3247" t="s">
        <v>40</v>
      </c>
      <c r="D3247">
        <v>5.6348820000000002</v>
      </c>
      <c r="E3247">
        <v>0.48285349999999999</v>
      </c>
      <c r="F3247" t="s">
        <v>69</v>
      </c>
      <c r="G3247">
        <v>-333.7586</v>
      </c>
      <c r="H3247" s="1">
        <v>5.2113919999999998E-7</v>
      </c>
      <c r="I3247">
        <v>213.2945</v>
      </c>
      <c r="J3247">
        <v>-356.03879999999998</v>
      </c>
      <c r="K3247">
        <v>1.109089</v>
      </c>
      <c r="L3247">
        <v>213.84049999999999</v>
      </c>
      <c r="M3247">
        <v>0.99992049999999999</v>
      </c>
      <c r="N3247">
        <v>0</v>
      </c>
      <c r="O3247">
        <v>8.4269369999999903E-3</v>
      </c>
      <c r="P3247">
        <v>0.99720980000000004</v>
      </c>
      <c r="Q3247">
        <v>-2.4033909999999999E-2</v>
      </c>
      <c r="R3247">
        <v>-7.0672949999999998E-2</v>
      </c>
      <c r="S3247">
        <v>2.9998170000000002</v>
      </c>
      <c r="T3247">
        <v>-0.1466645</v>
      </c>
      <c r="U3247">
        <v>-7.1746829999999998E-2</v>
      </c>
      <c r="V3247">
        <v>7.9073790000000005E-2</v>
      </c>
      <c r="W3247">
        <v>-1.4695089999999999E-2</v>
      </c>
      <c r="X3247">
        <v>0.99676039999999999</v>
      </c>
      <c r="Y3247">
        <v>3.2285679999999997E-2</v>
      </c>
      <c r="Z3247">
        <v>-1.2003809999999999E-3</v>
      </c>
      <c r="AA3247">
        <v>0.99947799999999998</v>
      </c>
      <c r="AB3247">
        <v>42</v>
      </c>
      <c r="AC3247">
        <v>22.280199999999901</v>
      </c>
      <c r="AD3247">
        <v>-1.1090884788608</v>
      </c>
      <c r="AE3247">
        <v>-0.54599999999999205</v>
      </c>
      <c r="AF3247">
        <v>0.73193010828228799</v>
      </c>
      <c r="AG3247">
        <v>-1.1090884788608</v>
      </c>
      <c r="AH3247">
        <v>22.219780838768202</v>
      </c>
      <c r="AI3247">
        <v>92.855970163453094</v>
      </c>
      <c r="AJ3247">
        <v>88.113332071427806</v>
      </c>
      <c r="AK3247">
        <v>22.259480215410299</v>
      </c>
      <c r="AL3247">
        <v>90.841996982706505</v>
      </c>
      <c r="AM3247">
        <v>85.464179834294498</v>
      </c>
      <c r="AN3247">
        <v>0.999999952471614</v>
      </c>
    </row>
    <row r="3248" spans="1:40" x14ac:dyDescent="0.25">
      <c r="A3248" t="str">
        <f>"20190312161334783"</f>
        <v>20190312161334783</v>
      </c>
      <c r="B3248" t="str">
        <f>"1552378414769428"</f>
        <v>1552378414769428</v>
      </c>
      <c r="C3248" t="s">
        <v>40</v>
      </c>
      <c r="D3248">
        <v>5.6480620000000004</v>
      </c>
      <c r="E3248">
        <v>0.48310720000000001</v>
      </c>
      <c r="F3248" t="s">
        <v>69</v>
      </c>
      <c r="G3248">
        <v>-333.39010000000002</v>
      </c>
      <c r="H3248" s="1">
        <v>3.2509429999999999E-7</v>
      </c>
      <c r="I3248">
        <v>213.29259999999999</v>
      </c>
      <c r="J3248">
        <v>-355.6146</v>
      </c>
      <c r="K3248">
        <v>1.109086</v>
      </c>
      <c r="L3248">
        <v>213.8441</v>
      </c>
      <c r="M3248">
        <v>0.99992060000000005</v>
      </c>
      <c r="N3248">
        <v>0</v>
      </c>
      <c r="O3248">
        <v>8.4275440000000004E-3</v>
      </c>
      <c r="P3248">
        <v>0.99718439999999997</v>
      </c>
      <c r="Q3248">
        <v>-2.4469390000000001E-2</v>
      </c>
      <c r="R3248">
        <v>-7.0886630000000006E-2</v>
      </c>
      <c r="S3248">
        <v>2.9997250000000002</v>
      </c>
      <c r="T3248">
        <v>-0.146894</v>
      </c>
      <c r="U3248">
        <v>-7.2570800000000005E-2</v>
      </c>
      <c r="V3248">
        <v>7.9287679999999999E-2</v>
      </c>
      <c r="W3248">
        <v>-1.5120730000000001E-2</v>
      </c>
      <c r="X3248">
        <v>0.99673710000000004</v>
      </c>
      <c r="Y3248">
        <v>3.2560909999999998E-2</v>
      </c>
      <c r="Z3248">
        <v>-1.209054E-3</v>
      </c>
      <c r="AA3248">
        <v>0.99946900000000005</v>
      </c>
      <c r="AB3248">
        <v>42</v>
      </c>
      <c r="AC3248">
        <v>22.2244999999999</v>
      </c>
      <c r="AD3248">
        <v>-1.1090856749056901</v>
      </c>
      <c r="AE3248">
        <v>-0.55150000000000399</v>
      </c>
      <c r="AF3248">
        <v>0.73695242041432796</v>
      </c>
      <c r="AG3248">
        <v>-1.1090856749056901</v>
      </c>
      <c r="AH3248">
        <v>22.163900053180701</v>
      </c>
      <c r="AI3248">
        <v>92.863122331708098</v>
      </c>
      <c r="AJ3248">
        <v>88.095609844489999</v>
      </c>
      <c r="AK3248">
        <v>22.2038653272717</v>
      </c>
      <c r="AL3248">
        <v>90.866387020594104</v>
      </c>
      <c r="AM3248">
        <v>85.451856238455505</v>
      </c>
      <c r="AN3248">
        <v>1.00000000959596</v>
      </c>
    </row>
    <row r="3249" spans="1:40" x14ac:dyDescent="0.25">
      <c r="A3249" t="str">
        <f>"20190312161334805"</f>
        <v>20190312161334805</v>
      </c>
      <c r="B3249" t="str">
        <f>"1552378414798704"</f>
        <v>1552378414798704</v>
      </c>
      <c r="C3249" t="s">
        <v>40</v>
      </c>
      <c r="D3249">
        <v>5.5937780000000004</v>
      </c>
      <c r="E3249">
        <v>0.48345539999999998</v>
      </c>
      <c r="F3249" t="s">
        <v>69</v>
      </c>
      <c r="G3249">
        <v>-333.22379999999998</v>
      </c>
      <c r="H3249" s="1">
        <v>2.369995E-7</v>
      </c>
      <c r="I3249">
        <v>213.28450000000001</v>
      </c>
      <c r="J3249">
        <v>-355.19630000000001</v>
      </c>
      <c r="K3249">
        <v>1.109091</v>
      </c>
      <c r="L3249">
        <v>213.8476</v>
      </c>
      <c r="M3249">
        <v>0.99992040000000004</v>
      </c>
      <c r="N3249">
        <v>0</v>
      </c>
      <c r="O3249">
        <v>8.4285090000000007E-3</v>
      </c>
      <c r="P3249">
        <v>0.99715869999999995</v>
      </c>
      <c r="Q3249">
        <v>-2.4500109999999999E-2</v>
      </c>
      <c r="R3249">
        <v>-7.1234829999999999E-2</v>
      </c>
      <c r="S3249">
        <v>2.9994809999999998</v>
      </c>
      <c r="T3249">
        <v>-0.14857400000000001</v>
      </c>
      <c r="U3249">
        <v>-7.4966430000000001E-2</v>
      </c>
      <c r="V3249">
        <v>7.9636709999999999E-2</v>
      </c>
      <c r="W3249">
        <v>-1.5141750000000001E-2</v>
      </c>
      <c r="X3249">
        <v>0.99670890000000001</v>
      </c>
      <c r="Y3249">
        <v>3.3359489999999999E-2</v>
      </c>
      <c r="Z3249">
        <v>-1.242763E-3</v>
      </c>
      <c r="AA3249">
        <v>0.99944259999999996</v>
      </c>
      <c r="AB3249">
        <v>42</v>
      </c>
      <c r="AC3249">
        <v>21.9725</v>
      </c>
      <c r="AD3249">
        <v>-1.1090907630005</v>
      </c>
      <c r="AE3249">
        <v>-0.56309999999999105</v>
      </c>
      <c r="AF3249">
        <v>0.74638314385868199</v>
      </c>
      <c r="AG3249">
        <v>-1.1090907630005</v>
      </c>
      <c r="AH3249">
        <v>21.911183210367099</v>
      </c>
      <c r="AI3249">
        <v>92.896022959964498</v>
      </c>
      <c r="AJ3249">
        <v>88.049029375126807</v>
      </c>
      <c r="AK3249">
        <v>21.951927473374301</v>
      </c>
      <c r="AL3249">
        <v>90.867591563345499</v>
      </c>
      <c r="AM3249">
        <v>85.431790840286595</v>
      </c>
      <c r="AN3249">
        <v>0.99999995475594705</v>
      </c>
    </row>
    <row r="3250" spans="1:40" x14ac:dyDescent="0.25">
      <c r="A3250" t="str">
        <f>"20190312161334828"</f>
        <v>20190312161334828</v>
      </c>
      <c r="B3250" t="str">
        <f>"1552378414819707"</f>
        <v>1552378414819707</v>
      </c>
      <c r="C3250" t="s">
        <v>40</v>
      </c>
      <c r="D3250">
        <v>5.6359009999999996</v>
      </c>
      <c r="E3250">
        <v>0.51403690000000002</v>
      </c>
      <c r="F3250" t="s">
        <v>69</v>
      </c>
      <c r="G3250">
        <v>-333.06369999999998</v>
      </c>
      <c r="H3250" s="1">
        <v>1.526041E-7</v>
      </c>
      <c r="I3250">
        <v>213.26589999999999</v>
      </c>
      <c r="J3250">
        <v>-354.75580000000002</v>
      </c>
      <c r="K3250">
        <v>1.1090869999999999</v>
      </c>
      <c r="L3250">
        <v>213.85130000000001</v>
      </c>
      <c r="M3250">
        <v>0.99992029999999998</v>
      </c>
      <c r="N3250">
        <v>0</v>
      </c>
      <c r="O3250">
        <v>8.4292940000000004E-3</v>
      </c>
      <c r="P3250">
        <v>0.9971428</v>
      </c>
      <c r="Q3250">
        <v>-2.4032629999999999E-2</v>
      </c>
      <c r="R3250">
        <v>-7.1619420000000003E-2</v>
      </c>
      <c r="S3250">
        <v>2.9992679999999998</v>
      </c>
      <c r="T3250">
        <v>-0.1502974</v>
      </c>
      <c r="U3250">
        <v>-7.8826899999999894E-2</v>
      </c>
      <c r="V3250">
        <v>8.0021670000000003E-2</v>
      </c>
      <c r="W3250">
        <v>-1.466396E-2</v>
      </c>
      <c r="X3250">
        <v>0.9966853</v>
      </c>
      <c r="Y3250">
        <v>3.4644790000000002E-2</v>
      </c>
      <c r="Z3250">
        <v>-1.2894479999999999E-3</v>
      </c>
      <c r="AA3250">
        <v>0.99939880000000003</v>
      </c>
      <c r="AB3250">
        <v>42</v>
      </c>
      <c r="AC3250">
        <v>21.6921</v>
      </c>
      <c r="AD3250">
        <v>-1.1090868473958999</v>
      </c>
      <c r="AE3250">
        <v>-0.58540000000002101</v>
      </c>
      <c r="AF3250">
        <v>0.76623478300766801</v>
      </c>
      <c r="AG3250">
        <v>-1.1090868473958999</v>
      </c>
      <c r="AH3250">
        <v>21.629892251339701</v>
      </c>
      <c r="AI3250">
        <v>92.933470970383198</v>
      </c>
      <c r="AJ3250">
        <v>87.971156396721</v>
      </c>
      <c r="AK3250">
        <v>21.671857977163</v>
      </c>
      <c r="AL3250">
        <v>90.840213096467195</v>
      </c>
      <c r="AM3250">
        <v>85.409694254833397</v>
      </c>
      <c r="AN3250">
        <v>1.0000000433142699</v>
      </c>
    </row>
    <row r="3251" spans="1:40" x14ac:dyDescent="0.25">
      <c r="A3251" t="str">
        <f>"20190312161334849"</f>
        <v>20190312161334849</v>
      </c>
      <c r="B3251" t="str">
        <f>"1552378414839227"</f>
        <v>1552378414839227</v>
      </c>
      <c r="C3251" t="s">
        <v>40</v>
      </c>
      <c r="D3251">
        <v>5.4972899999999996</v>
      </c>
      <c r="E3251">
        <v>0.51495670000000004</v>
      </c>
      <c r="F3251" t="s">
        <v>81</v>
      </c>
      <c r="G3251">
        <v>-168.4151</v>
      </c>
      <c r="H3251">
        <v>0.60242180000000001</v>
      </c>
      <c r="I3251">
        <v>193.3032</v>
      </c>
      <c r="J3251">
        <v>-354.33859999999999</v>
      </c>
      <c r="K3251">
        <v>1.109083</v>
      </c>
      <c r="L3251">
        <v>213.85489999999999</v>
      </c>
      <c r="M3251">
        <v>0.99992020000000004</v>
      </c>
      <c r="N3251">
        <v>0</v>
      </c>
      <c r="O3251">
        <v>8.4300799999999995E-3</v>
      </c>
      <c r="P3251">
        <v>0.99712160000000005</v>
      </c>
      <c r="Q3251">
        <v>-2.4097E-2</v>
      </c>
      <c r="R3251">
        <v>-7.1889939999999999E-2</v>
      </c>
      <c r="S3251">
        <v>2.9847410000000001</v>
      </c>
      <c r="T3251">
        <v>-8.1150530000000005E-3</v>
      </c>
      <c r="U3251">
        <v>-0.32913209999999998</v>
      </c>
      <c r="V3251">
        <v>8.0292999999999906E-2</v>
      </c>
      <c r="W3251">
        <v>-1.471831E-2</v>
      </c>
      <c r="X3251">
        <v>0.99666259999999995</v>
      </c>
      <c r="Y3251">
        <v>0.1179825</v>
      </c>
      <c r="Z3251">
        <v>-1.8275750000000001E-4</v>
      </c>
      <c r="AA3251">
        <v>0.9930156</v>
      </c>
      <c r="AB3251">
        <v>42</v>
      </c>
      <c r="AC3251">
        <v>185.92349999999999</v>
      </c>
      <c r="AD3251">
        <v>-0.50666119999999903</v>
      </c>
      <c r="AE3251">
        <v>-20.551699999999901</v>
      </c>
      <c r="AF3251">
        <v>22.118226744789901</v>
      </c>
      <c r="AG3251">
        <v>-0.50666119999999903</v>
      </c>
      <c r="AH3251">
        <v>185.74227000150699</v>
      </c>
      <c r="AI3251">
        <v>90.1551925709404</v>
      </c>
      <c r="AJ3251">
        <v>83.209184742334699</v>
      </c>
      <c r="AK3251">
        <v>187.05524190788699</v>
      </c>
      <c r="AL3251">
        <v>90.843327522948002</v>
      </c>
      <c r="AM3251">
        <v>85.394092276776504</v>
      </c>
      <c r="AN3251">
        <v>0.99999996636850697</v>
      </c>
    </row>
    <row r="3252" spans="1:40" x14ac:dyDescent="0.25">
      <c r="A3252" t="str">
        <f>"20190312161334872"</f>
        <v>20190312161334872</v>
      </c>
      <c r="B3252" t="str">
        <f>"1552378414858747"</f>
        <v>1552378414858747</v>
      </c>
      <c r="C3252" t="s">
        <v>40</v>
      </c>
      <c r="D3252">
        <v>5.4455609999999997</v>
      </c>
      <c r="E3252">
        <v>0.51607570000000003</v>
      </c>
      <c r="F3252" t="s">
        <v>81</v>
      </c>
      <c r="G3252">
        <v>-168.4153</v>
      </c>
      <c r="H3252">
        <v>0.84558199999999994</v>
      </c>
      <c r="I3252">
        <v>192.83</v>
      </c>
      <c r="J3252">
        <v>-353.93009999999998</v>
      </c>
      <c r="K3252">
        <v>1.1090869999999999</v>
      </c>
      <c r="L3252">
        <v>213.85830000000001</v>
      </c>
      <c r="M3252">
        <v>0.99992000000000003</v>
      </c>
      <c r="N3252">
        <v>0</v>
      </c>
      <c r="O3252">
        <v>8.4308500000000001E-3</v>
      </c>
      <c r="P3252">
        <v>0.99712999999999996</v>
      </c>
      <c r="Q3252">
        <v>-2.4289109999999999E-2</v>
      </c>
      <c r="R3252">
        <v>-7.1707969999999996E-2</v>
      </c>
      <c r="S3252">
        <v>2.9841920000000002</v>
      </c>
      <c r="T3252">
        <v>-4.2288300000000003E-3</v>
      </c>
      <c r="U3252">
        <v>-0.33746340000000002</v>
      </c>
      <c r="V3252">
        <v>8.0111829999999995E-2</v>
      </c>
      <c r="W3252">
        <v>-1.489682E-2</v>
      </c>
      <c r="X3252">
        <v>0.99667450000000002</v>
      </c>
      <c r="Y3252">
        <v>0.12074120000000001</v>
      </c>
      <c r="Z3252" s="1">
        <v>-9.7189049999999997E-5</v>
      </c>
      <c r="AA3252">
        <v>0.99268400000000001</v>
      </c>
      <c r="AB3252">
        <v>42</v>
      </c>
      <c r="AC3252">
        <v>185.51480000000001</v>
      </c>
      <c r="AD3252">
        <v>-0.26350499999999999</v>
      </c>
      <c r="AE3252">
        <v>-21.028300000000002</v>
      </c>
      <c r="AF3252">
        <v>22.5916245707736</v>
      </c>
      <c r="AG3252">
        <v>-0.26350499999999999</v>
      </c>
      <c r="AH3252">
        <v>185.33054267936501</v>
      </c>
      <c r="AI3252">
        <v>90.0808651264785</v>
      </c>
      <c r="AJ3252">
        <v>83.049985561225299</v>
      </c>
      <c r="AK3252">
        <v>186.70260037144601</v>
      </c>
      <c r="AL3252">
        <v>90.853556537113803</v>
      </c>
      <c r="AM3252">
        <v>85.404494937417297</v>
      </c>
      <c r="AN3252">
        <v>0.99999993975115298</v>
      </c>
    </row>
    <row r="3253" spans="1:40" x14ac:dyDescent="0.25">
      <c r="A3253" t="str">
        <f>"20190312161334892"</f>
        <v>20190312161334892</v>
      </c>
      <c r="B3253" t="str">
        <f>"1552378414889003"</f>
        <v>1552378414889003</v>
      </c>
      <c r="C3253" t="s">
        <v>40</v>
      </c>
      <c r="D3253">
        <v>5.4007750000000003</v>
      </c>
      <c r="E3253">
        <v>0.5212118</v>
      </c>
      <c r="F3253" t="s">
        <v>81</v>
      </c>
      <c r="G3253">
        <v>-168.41540000000001</v>
      </c>
      <c r="H3253">
        <v>0.64929059999999905</v>
      </c>
      <c r="I3253">
        <v>192.37180000000001</v>
      </c>
      <c r="J3253">
        <v>-353.53710000000001</v>
      </c>
      <c r="K3253">
        <v>1.109081</v>
      </c>
      <c r="L3253">
        <v>213.86160000000001</v>
      </c>
      <c r="M3253">
        <v>0.99991980000000003</v>
      </c>
      <c r="N3253">
        <v>0</v>
      </c>
      <c r="O3253">
        <v>8.4314300000000002E-3</v>
      </c>
      <c r="P3253">
        <v>0.99719389999999997</v>
      </c>
      <c r="Q3253">
        <v>-2.3969480000000001E-2</v>
      </c>
      <c r="R3253">
        <v>-7.092126E-2</v>
      </c>
      <c r="S3253">
        <v>2.9836119999999999</v>
      </c>
      <c r="T3253">
        <v>-7.3943139999999999E-3</v>
      </c>
      <c r="U3253">
        <v>-0.34556579999999998</v>
      </c>
      <c r="V3253">
        <v>7.9326430000000003E-2</v>
      </c>
      <c r="W3253">
        <v>-1.4560679999999999E-2</v>
      </c>
      <c r="X3253">
        <v>0.99674240000000003</v>
      </c>
      <c r="Y3253">
        <v>0.12342350000000001</v>
      </c>
      <c r="Z3253">
        <v>-1.7326040000000001E-4</v>
      </c>
      <c r="AA3253">
        <v>0.99235410000000002</v>
      </c>
      <c r="AB3253">
        <v>42</v>
      </c>
      <c r="AC3253">
        <v>185.1217</v>
      </c>
      <c r="AD3253">
        <v>-0.45979039999999999</v>
      </c>
      <c r="AE3253">
        <v>-21.489799999999999</v>
      </c>
      <c r="AF3253">
        <v>23.049806128208701</v>
      </c>
      <c r="AG3253">
        <v>-0.45979039999999999</v>
      </c>
      <c r="AH3253">
        <v>184.932795744342</v>
      </c>
      <c r="AI3253">
        <v>90.141357970882893</v>
      </c>
      <c r="AJ3253">
        <v>82.895360065382604</v>
      </c>
      <c r="AK3253">
        <v>186.36427745568199</v>
      </c>
      <c r="AL3253">
        <v>90.834294947903004</v>
      </c>
      <c r="AM3253">
        <v>85.449666866194505</v>
      </c>
      <c r="AN3253">
        <v>1.0000000539281799</v>
      </c>
    </row>
    <row r="3254" spans="1:40" x14ac:dyDescent="0.25">
      <c r="A3254" t="str">
        <f>"20190312161334915"</f>
        <v>20190312161334915</v>
      </c>
      <c r="B3254" t="str">
        <f>"1552378414909499"</f>
        <v>1552378414909499</v>
      </c>
      <c r="C3254" t="s">
        <v>40</v>
      </c>
      <c r="D3254">
        <v>5.3785780000000001</v>
      </c>
      <c r="E3254">
        <v>0.51923599999999903</v>
      </c>
      <c r="F3254" t="s">
        <v>74</v>
      </c>
      <c r="G3254">
        <v>-301.69310000000002</v>
      </c>
      <c r="H3254" s="1">
        <v>2.9149249999999999E-6</v>
      </c>
      <c r="I3254">
        <v>207.2149</v>
      </c>
      <c r="J3254">
        <v>-353.10219999999998</v>
      </c>
      <c r="K3254">
        <v>1.109083</v>
      </c>
      <c r="L3254">
        <v>213.86529999999999</v>
      </c>
      <c r="M3254">
        <v>0.99991969999999997</v>
      </c>
      <c r="N3254">
        <v>0</v>
      </c>
      <c r="O3254">
        <v>8.4318710000000005E-3</v>
      </c>
      <c r="P3254">
        <v>0.99722569999999999</v>
      </c>
      <c r="Q3254">
        <v>-2.4510089999999998E-2</v>
      </c>
      <c r="R3254">
        <v>-7.0286310000000005E-2</v>
      </c>
      <c r="S3254">
        <v>2.9797359999999999</v>
      </c>
      <c r="T3254">
        <v>-6.3744309999999998E-2</v>
      </c>
      <c r="U3254">
        <v>-0.382019</v>
      </c>
      <c r="V3254">
        <v>7.8692049999999999E-2</v>
      </c>
      <c r="W3254">
        <v>-1.5080980000000001E-2</v>
      </c>
      <c r="X3254">
        <v>0.99678489999999997</v>
      </c>
      <c r="Y3254">
        <v>0.13549169999999999</v>
      </c>
      <c r="Z3254">
        <v>-1.6228449999999999E-3</v>
      </c>
      <c r="AA3254">
        <v>0.99077709999999997</v>
      </c>
      <c r="AB3254">
        <v>42</v>
      </c>
      <c r="AC3254">
        <v>51.409099999999903</v>
      </c>
      <c r="AD3254">
        <v>-1.109080085075</v>
      </c>
      <c r="AE3254">
        <v>-6.6503999999999897</v>
      </c>
      <c r="AF3254">
        <v>7.0804167285389301</v>
      </c>
      <c r="AG3254">
        <v>-1.109080085075</v>
      </c>
      <c r="AH3254">
        <v>51.327698690238599</v>
      </c>
      <c r="AI3254">
        <v>91.226236326273707</v>
      </c>
      <c r="AJ3254">
        <v>82.145882486453601</v>
      </c>
      <c r="AK3254">
        <v>51.825621197635499</v>
      </c>
      <c r="AL3254">
        <v>90.864109256957306</v>
      </c>
      <c r="AM3254">
        <v>85.486096928172103</v>
      </c>
      <c r="AN3254">
        <v>1.00000000577948</v>
      </c>
    </row>
    <row r="3255" spans="1:40" x14ac:dyDescent="0.25">
      <c r="A3255" t="str">
        <f>"20190312161334938"</f>
        <v>20190312161334938</v>
      </c>
      <c r="B3255" t="str">
        <f>"1552378414929530"</f>
        <v>1552378414929530</v>
      </c>
      <c r="C3255" t="s">
        <v>40</v>
      </c>
      <c r="D3255">
        <v>5.457897</v>
      </c>
      <c r="E3255">
        <v>0.529541699999999</v>
      </c>
      <c r="F3255" t="s">
        <v>43</v>
      </c>
      <c r="G3255">
        <v>-352.13810000000001</v>
      </c>
      <c r="H3255">
        <v>1.035285</v>
      </c>
      <c r="I3255">
        <v>213.7491</v>
      </c>
      <c r="J3255">
        <v>-352.6678</v>
      </c>
      <c r="K3255">
        <v>1.1090899999999999</v>
      </c>
      <c r="L3255">
        <v>213.869</v>
      </c>
      <c r="M3255">
        <v>0.99991960000000002</v>
      </c>
      <c r="N3255">
        <v>0</v>
      </c>
      <c r="O3255">
        <v>8.4322359999999992E-3</v>
      </c>
      <c r="P3255">
        <v>0.997224</v>
      </c>
      <c r="Q3255">
        <v>-2.5151639999999999E-2</v>
      </c>
      <c r="R3255">
        <v>-7.0084030000000005E-2</v>
      </c>
      <c r="S3255">
        <v>2.977509</v>
      </c>
      <c r="T3255">
        <v>-0.22804669999999999</v>
      </c>
      <c r="U3255">
        <v>-0.35783389999999998</v>
      </c>
      <c r="V3255">
        <v>7.8490270000000001E-2</v>
      </c>
      <c r="W3255">
        <v>-1.569889E-2</v>
      </c>
      <c r="X3255">
        <v>0.99679119999999999</v>
      </c>
      <c r="Y3255">
        <v>0.12729660000000001</v>
      </c>
      <c r="Z3255">
        <v>-5.4929840000000002E-3</v>
      </c>
      <c r="AA3255">
        <v>0.99184950000000005</v>
      </c>
      <c r="AB3255">
        <v>42</v>
      </c>
      <c r="AC3255">
        <v>0.52969999999999096</v>
      </c>
      <c r="AD3255">
        <v>-7.3804999999999898E-2</v>
      </c>
      <c r="AE3255">
        <v>-0.119900000000029</v>
      </c>
      <c r="AF3255">
        <v>0.122107456932327</v>
      </c>
      <c r="AG3255">
        <v>-7.3804999999999898E-2</v>
      </c>
      <c r="AH3255">
        <v>0.51908384590214196</v>
      </c>
      <c r="AI3255">
        <v>97.879980040224694</v>
      </c>
      <c r="AJ3255">
        <v>76.7626092579508</v>
      </c>
      <c r="AK3255">
        <v>0.53833581354024596</v>
      </c>
      <c r="AL3255">
        <v>90.899517147717702</v>
      </c>
      <c r="AM3255">
        <v>85.497652043957302</v>
      </c>
      <c r="AN3255">
        <v>0.99999993701467005</v>
      </c>
    </row>
    <row r="3256" spans="1:40" x14ac:dyDescent="0.25">
      <c r="A3256" t="str">
        <f>"20190312161334959"</f>
        <v>20190312161334959</v>
      </c>
      <c r="B3256" t="str">
        <f>"1552378414949046"</f>
        <v>1552378414949046</v>
      </c>
      <c r="C3256" t="s">
        <v>40</v>
      </c>
      <c r="D3256">
        <v>5.437379</v>
      </c>
      <c r="E3256">
        <v>0.53045419999999999</v>
      </c>
      <c r="F3256" t="s">
        <v>43</v>
      </c>
      <c r="G3256">
        <v>-351.8005</v>
      </c>
      <c r="H3256">
        <v>0.95023930000000001</v>
      </c>
      <c r="I3256">
        <v>213.74430000000001</v>
      </c>
      <c r="J3256">
        <v>-352.25920000000002</v>
      </c>
      <c r="K3256">
        <v>1.1090990000000001</v>
      </c>
      <c r="L3256">
        <v>213.8724</v>
      </c>
      <c r="M3256">
        <v>0.99991929999999996</v>
      </c>
      <c r="N3256">
        <v>0</v>
      </c>
      <c r="O3256">
        <v>8.4328330000000007E-3</v>
      </c>
      <c r="P3256">
        <v>0.99719959999999996</v>
      </c>
      <c r="Q3256">
        <v>-2.4836730000000001E-2</v>
      </c>
      <c r="R3256">
        <v>-7.0542190000000005E-2</v>
      </c>
      <c r="S3256">
        <v>2.9647220000000001</v>
      </c>
      <c r="T3256">
        <v>-0.54295789999999999</v>
      </c>
      <c r="U3256">
        <v>-0.42640689999999998</v>
      </c>
      <c r="V3256">
        <v>7.8948770000000001E-2</v>
      </c>
      <c r="W3256">
        <v>-1.535999E-2</v>
      </c>
      <c r="X3256">
        <v>0.99676030000000004</v>
      </c>
      <c r="Y3256">
        <v>0.14815159999999999</v>
      </c>
      <c r="Z3256">
        <v>-1.49114E-2</v>
      </c>
      <c r="AA3256">
        <v>0.98885230000000002</v>
      </c>
      <c r="AB3256">
        <v>42</v>
      </c>
      <c r="AC3256">
        <v>0.45870000000002098</v>
      </c>
      <c r="AD3256">
        <v>-0.15885969999999999</v>
      </c>
      <c r="AE3256">
        <v>-0.128099999999989</v>
      </c>
      <c r="AF3256">
        <v>0.11875103112936</v>
      </c>
      <c r="AG3256">
        <v>-0.15885969999999999</v>
      </c>
      <c r="AH3256">
        <v>0.41178634898362598</v>
      </c>
      <c r="AI3256">
        <v>110.33855093736101</v>
      </c>
      <c r="AJ3256">
        <v>73.913485909414405</v>
      </c>
      <c r="AK3256">
        <v>0.45706258749501799</v>
      </c>
      <c r="AL3256">
        <v>90.880097238844996</v>
      </c>
      <c r="AM3256">
        <v>85.471320907984406</v>
      </c>
      <c r="AN3256">
        <v>0.99999996661670099</v>
      </c>
    </row>
    <row r="3257" spans="1:40" x14ac:dyDescent="0.25">
      <c r="A3257" t="str">
        <f>"20190312161334983"</f>
        <v>20190312161334983</v>
      </c>
      <c r="B3257" t="str">
        <f>"1552378414979303"</f>
        <v>1552378414979303</v>
      </c>
      <c r="C3257" t="s">
        <v>40</v>
      </c>
      <c r="D3257">
        <v>5.3937169999999997</v>
      </c>
      <c r="E3257">
        <v>0.53545180000000003</v>
      </c>
      <c r="F3257" t="s">
        <v>43</v>
      </c>
      <c r="G3257">
        <v>-351.42140000000001</v>
      </c>
      <c r="H3257">
        <v>0.95145539999999995</v>
      </c>
      <c r="I3257">
        <v>213.7491</v>
      </c>
      <c r="J3257">
        <v>-351.83179999999999</v>
      </c>
      <c r="K3257">
        <v>1.1091009999999999</v>
      </c>
      <c r="L3257">
        <v>213.876</v>
      </c>
      <c r="M3257">
        <v>0.999919</v>
      </c>
      <c r="N3257">
        <v>0</v>
      </c>
      <c r="O3257">
        <v>8.4333659999999994E-3</v>
      </c>
      <c r="P3257">
        <v>0.99717060000000002</v>
      </c>
      <c r="Q3257">
        <v>-2.462806E-2</v>
      </c>
      <c r="R3257">
        <v>-7.1024050000000005E-2</v>
      </c>
      <c r="S3257">
        <v>2.9638059999999999</v>
      </c>
      <c r="T3257">
        <v>-0.55774690000000005</v>
      </c>
      <c r="U3257">
        <v>-0.4346313</v>
      </c>
      <c r="V3257">
        <v>7.9430749999999994E-2</v>
      </c>
      <c r="W3257">
        <v>-1.5125909999999999E-2</v>
      </c>
      <c r="X3257">
        <v>0.99672559999999999</v>
      </c>
      <c r="Y3257">
        <v>0.1506981</v>
      </c>
      <c r="Z3257">
        <v>-1.554879E-2</v>
      </c>
      <c r="AA3257">
        <v>0.98845760000000005</v>
      </c>
      <c r="AB3257">
        <v>42</v>
      </c>
      <c r="AC3257">
        <v>0.410399999999981</v>
      </c>
      <c r="AD3257">
        <v>-0.1576456</v>
      </c>
      <c r="AE3257">
        <v>-0.126899999999977</v>
      </c>
      <c r="AF3257">
        <v>0.114884437276023</v>
      </c>
      <c r="AG3257">
        <v>-0.1576456</v>
      </c>
      <c r="AH3257">
        <v>0.36073284220639001</v>
      </c>
      <c r="AI3257">
        <v>112.607205867676</v>
      </c>
      <c r="AJ3257">
        <v>72.334616740159802</v>
      </c>
      <c r="AK3257">
        <v>0.41009602847856202</v>
      </c>
      <c r="AL3257">
        <v>90.866683872806803</v>
      </c>
      <c r="AM3257">
        <v>85.443631554280202</v>
      </c>
      <c r="AN3257">
        <v>0.99999997944712504</v>
      </c>
    </row>
    <row r="3258" spans="1:40" x14ac:dyDescent="0.25">
      <c r="A3258" t="str">
        <f>"20190312161335006"</f>
        <v>20190312161335006</v>
      </c>
      <c r="B3258" t="str">
        <f>"1552378414998823"</f>
        <v>1552378414998823</v>
      </c>
      <c r="C3258" t="s">
        <v>40</v>
      </c>
      <c r="D3258">
        <v>5.3878050000000002</v>
      </c>
      <c r="E3258">
        <v>0.53787430000000003</v>
      </c>
      <c r="F3258" t="s">
        <v>43</v>
      </c>
      <c r="G3258">
        <v>-351.05180000000001</v>
      </c>
      <c r="H3258">
        <v>0.93096049999999997</v>
      </c>
      <c r="I3258">
        <v>213.7517</v>
      </c>
      <c r="J3258">
        <v>-351.38830000000002</v>
      </c>
      <c r="K3258">
        <v>1.1090979999999999</v>
      </c>
      <c r="L3258">
        <v>213.87979999999999</v>
      </c>
      <c r="M3258">
        <v>0.9999188</v>
      </c>
      <c r="N3258">
        <v>0</v>
      </c>
      <c r="O3258">
        <v>8.4338950000000003E-3</v>
      </c>
      <c r="P3258">
        <v>0.99713839999999998</v>
      </c>
      <c r="Q3258">
        <v>-2.5039619999999999E-2</v>
      </c>
      <c r="R3258">
        <v>-7.1331480000000003E-2</v>
      </c>
      <c r="S3258">
        <v>2.958221</v>
      </c>
      <c r="T3258">
        <v>-0.67558940000000001</v>
      </c>
      <c r="U3258">
        <v>-0.47169489999999997</v>
      </c>
      <c r="V3258">
        <v>7.9738439999999994E-2</v>
      </c>
      <c r="W3258">
        <v>-1.5512110000000001E-2</v>
      </c>
      <c r="X3258">
        <v>0.99669509999999994</v>
      </c>
      <c r="Y3258">
        <v>0.16151660000000001</v>
      </c>
      <c r="Z3258">
        <v>-1.9989369999999999E-2</v>
      </c>
      <c r="AA3258">
        <v>0.98666750000000003</v>
      </c>
      <c r="AB3258">
        <v>42</v>
      </c>
      <c r="AC3258">
        <v>0.33650000000000002</v>
      </c>
      <c r="AD3258">
        <v>-0.178137499999999</v>
      </c>
      <c r="AE3258">
        <v>-0.128099999999989</v>
      </c>
      <c r="AF3258">
        <v>0.10518661926989401</v>
      </c>
      <c r="AG3258">
        <v>-0.178137499999999</v>
      </c>
      <c r="AH3258">
        <v>0.26945258675575301</v>
      </c>
      <c r="AI3258">
        <v>121.626739793154</v>
      </c>
      <c r="AJ3258">
        <v>68.675741791892094</v>
      </c>
      <c r="AK3258">
        <v>0.33970853726252798</v>
      </c>
      <c r="AL3258">
        <v>90.888814096788394</v>
      </c>
      <c r="AM3258">
        <v>85.425916975743505</v>
      </c>
      <c r="AN3258">
        <v>0.99999998336714702</v>
      </c>
    </row>
    <row r="3259" spans="1:40" x14ac:dyDescent="0.25">
      <c r="A3259" t="str">
        <f>"20190312161335030"</f>
        <v>20190312161335030</v>
      </c>
      <c r="B3259" t="str">
        <f>"1552378415019318"</f>
        <v>1552378415019318</v>
      </c>
      <c r="C3259" t="s">
        <v>40</v>
      </c>
      <c r="D3259">
        <v>5.4147460000000001</v>
      </c>
      <c r="E3259">
        <v>0.53857769999999905</v>
      </c>
      <c r="F3259" t="s">
        <v>43</v>
      </c>
      <c r="G3259">
        <v>-350.67189999999999</v>
      </c>
      <c r="H3259">
        <v>0.93262279999999997</v>
      </c>
      <c r="I3259">
        <v>213.76060000000001</v>
      </c>
      <c r="J3259">
        <v>-350.95519999999999</v>
      </c>
      <c r="K3259">
        <v>1.1090949999999999</v>
      </c>
      <c r="L3259">
        <v>213.88339999999999</v>
      </c>
      <c r="M3259">
        <v>0.99991859999999999</v>
      </c>
      <c r="N3259">
        <v>0</v>
      </c>
      <c r="O3259">
        <v>8.4341360000000001E-3</v>
      </c>
      <c r="P3259">
        <v>0.99708620000000003</v>
      </c>
      <c r="Q3259">
        <v>-2.4976160000000001E-2</v>
      </c>
      <c r="R3259">
        <v>-7.2079790000000005E-2</v>
      </c>
      <c r="S3259">
        <v>2.9553219999999998</v>
      </c>
      <c r="T3259">
        <v>-0.72806999999999999</v>
      </c>
      <c r="U3259">
        <v>-0.48988340000000002</v>
      </c>
      <c r="V3259">
        <v>8.0486600000000005E-2</v>
      </c>
      <c r="W3259">
        <v>-1.542518E-2</v>
      </c>
      <c r="X3259">
        <v>0.99663630000000003</v>
      </c>
      <c r="Y3259">
        <v>0.16674530000000001</v>
      </c>
      <c r="Z3259">
        <v>-2.2140139999999999E-2</v>
      </c>
      <c r="AA3259">
        <v>0.98575140000000006</v>
      </c>
      <c r="AB3259">
        <v>42</v>
      </c>
      <c r="AC3259">
        <v>0.283299999999997</v>
      </c>
      <c r="AD3259">
        <v>-0.1764722</v>
      </c>
      <c r="AE3259">
        <v>-0.12279999999998301</v>
      </c>
      <c r="AF3259">
        <v>9.4361807032002296E-2</v>
      </c>
      <c r="AG3259">
        <v>-0.1764722</v>
      </c>
      <c r="AH3259">
        <v>0.212756997943232</v>
      </c>
      <c r="AI3259">
        <v>127.170315205832</v>
      </c>
      <c r="AJ3259">
        <v>66.081795938621397</v>
      </c>
      <c r="AK3259">
        <v>0.292082399628942</v>
      </c>
      <c r="AL3259">
        <v>90.883832788889904</v>
      </c>
      <c r="AM3259">
        <v>85.382913300464494</v>
      </c>
      <c r="AN3259">
        <v>0.99999997171763999</v>
      </c>
    </row>
    <row r="3260" spans="1:40" x14ac:dyDescent="0.25">
      <c r="A3260" t="str">
        <f>"20190312161335050"</f>
        <v>20190312161335050</v>
      </c>
      <c r="B3260" t="str">
        <f>"1552378415038838"</f>
        <v>1552378415038838</v>
      </c>
      <c r="C3260" t="s">
        <v>40</v>
      </c>
      <c r="D3260">
        <v>5.3625259999999999</v>
      </c>
      <c r="E3260">
        <v>0.54001109999999997</v>
      </c>
      <c r="F3260" t="s">
        <v>43</v>
      </c>
      <c r="G3260">
        <v>-349.94450000000001</v>
      </c>
      <c r="H3260">
        <v>0.84948639999999997</v>
      </c>
      <c r="I3260">
        <v>213.7131</v>
      </c>
      <c r="J3260">
        <v>-350.54680000000002</v>
      </c>
      <c r="K3260">
        <v>1.1090960000000001</v>
      </c>
      <c r="L3260">
        <v>213.8869</v>
      </c>
      <c r="M3260">
        <v>0.99991839999999999</v>
      </c>
      <c r="N3260">
        <v>0</v>
      </c>
      <c r="O3260">
        <v>8.4346879999999992E-3</v>
      </c>
      <c r="P3260">
        <v>0.99710520000000002</v>
      </c>
      <c r="Q3260">
        <v>-2.4740479999999999E-2</v>
      </c>
      <c r="R3260">
        <v>-7.1897310000000006E-2</v>
      </c>
      <c r="S3260">
        <v>2.9538880000000001</v>
      </c>
      <c r="T3260">
        <v>-0.75876929999999998</v>
      </c>
      <c r="U3260">
        <v>-0.49636839999999999</v>
      </c>
      <c r="V3260">
        <v>8.0305039999999994E-2</v>
      </c>
      <c r="W3260">
        <v>-1.516812E-2</v>
      </c>
      <c r="X3260">
        <v>0.99665490000000001</v>
      </c>
      <c r="Y3260">
        <v>0.16843929999999999</v>
      </c>
      <c r="Z3260">
        <v>-2.3265029999999999E-2</v>
      </c>
      <c r="AA3260">
        <v>0.98543749999999997</v>
      </c>
      <c r="AB3260">
        <v>42</v>
      </c>
      <c r="AC3260">
        <v>0.60230000000001305</v>
      </c>
      <c r="AD3260">
        <v>-0.259609599999999</v>
      </c>
      <c r="AE3260">
        <v>-0.17379999999999901</v>
      </c>
      <c r="AF3260">
        <v>0.15268740485725801</v>
      </c>
      <c r="AG3260">
        <v>-0.259609599999999</v>
      </c>
      <c r="AH3260">
        <v>0.51285471893203904</v>
      </c>
      <c r="AI3260">
        <v>115.880793427973</v>
      </c>
      <c r="AJ3260">
        <v>73.420648322875905</v>
      </c>
      <c r="AK3260">
        <v>0.59475251218054104</v>
      </c>
      <c r="AL3260">
        <v>90.869102604274801</v>
      </c>
      <c r="AM3260">
        <v>85.393369152853595</v>
      </c>
      <c r="AN3260">
        <v>0.99999998050387295</v>
      </c>
    </row>
    <row r="3261" spans="1:40" x14ac:dyDescent="0.25">
      <c r="A3261" t="str">
        <f>"20190312161335072"</f>
        <v>20190312161335072</v>
      </c>
      <c r="B3261" t="str">
        <f>"1552378415069095"</f>
        <v>1552378415069095</v>
      </c>
      <c r="C3261" t="s">
        <v>40</v>
      </c>
      <c r="D3261">
        <v>5.2784050000000002</v>
      </c>
      <c r="E3261">
        <v>0.54204049999999904</v>
      </c>
      <c r="F3261" t="s">
        <v>43</v>
      </c>
      <c r="G3261">
        <v>-349.56349999999998</v>
      </c>
      <c r="H3261">
        <v>0.85039159999999903</v>
      </c>
      <c r="I3261">
        <v>213.71799999999999</v>
      </c>
      <c r="J3261">
        <v>-350.13420000000002</v>
      </c>
      <c r="K3261">
        <v>1.109094</v>
      </c>
      <c r="L3261">
        <v>213.8904</v>
      </c>
      <c r="M3261">
        <v>0.99991810000000003</v>
      </c>
      <c r="N3261">
        <v>0</v>
      </c>
      <c r="O3261">
        <v>8.4351259999999994E-3</v>
      </c>
      <c r="P3261">
        <v>0.99715410000000004</v>
      </c>
      <c r="Q3261">
        <v>-2.4539689999999999E-2</v>
      </c>
      <c r="R3261">
        <v>-7.1288610000000002E-2</v>
      </c>
      <c r="S3261">
        <v>2.9528810000000001</v>
      </c>
      <c r="T3261">
        <v>-0.77696309999999902</v>
      </c>
      <c r="U3261">
        <v>-0.50662229999999997</v>
      </c>
      <c r="V3261">
        <v>7.969677E-2</v>
      </c>
      <c r="W3261">
        <v>-1.4946849999999999E-2</v>
      </c>
      <c r="X3261">
        <v>0.99670709999999996</v>
      </c>
      <c r="Y3261">
        <v>0.17145339999999901</v>
      </c>
      <c r="Z3261">
        <v>-2.4193610000000001E-2</v>
      </c>
      <c r="AA3261">
        <v>0.98489510000000002</v>
      </c>
      <c r="AB3261">
        <v>43</v>
      </c>
      <c r="AC3261">
        <v>0.57070000000004395</v>
      </c>
      <c r="AD3261">
        <v>-0.2587024</v>
      </c>
      <c r="AE3261">
        <v>-0.17240000000000999</v>
      </c>
      <c r="AF3261">
        <v>0.14912687922432599</v>
      </c>
      <c r="AG3261">
        <v>-0.2587024</v>
      </c>
      <c r="AH3261">
        <v>0.47902353050583801</v>
      </c>
      <c r="AI3261">
        <v>117.277990802993</v>
      </c>
      <c r="AJ3261">
        <v>72.707887300303497</v>
      </c>
      <c r="AK3261">
        <v>0.56447258627078101</v>
      </c>
      <c r="AL3261">
        <v>90.856423301298193</v>
      </c>
      <c r="AM3261">
        <v>85.428351989463295</v>
      </c>
      <c r="AN3261">
        <v>1.00000001333188</v>
      </c>
    </row>
    <row r="3262" spans="1:40" x14ac:dyDescent="0.25">
      <c r="A3262" t="str">
        <f>"20190312161335094"</f>
        <v>20190312161335094</v>
      </c>
      <c r="B3262" t="str">
        <f>"1552378415089591"</f>
        <v>1552378415089591</v>
      </c>
      <c r="C3262" t="s">
        <v>40</v>
      </c>
      <c r="D3262">
        <v>5.3924339999999997</v>
      </c>
      <c r="E3262">
        <v>0.5424004</v>
      </c>
      <c r="F3262" t="s">
        <v>43</v>
      </c>
      <c r="G3262">
        <v>-349.18119999999999</v>
      </c>
      <c r="H3262">
        <v>0.85355910000000002</v>
      </c>
      <c r="I3262">
        <v>213.72190000000001</v>
      </c>
      <c r="J3262">
        <v>-349.71359999999999</v>
      </c>
      <c r="K3262">
        <v>1.109086</v>
      </c>
      <c r="L3262">
        <v>213.8939</v>
      </c>
      <c r="M3262">
        <v>0.99991799999999997</v>
      </c>
      <c r="N3262">
        <v>0</v>
      </c>
      <c r="O3262">
        <v>8.4355049999999994E-3</v>
      </c>
      <c r="P3262">
        <v>0.99719659999999999</v>
      </c>
      <c r="Q3262">
        <v>-2.453617E-2</v>
      </c>
      <c r="R3262">
        <v>-7.0692260000000007E-2</v>
      </c>
      <c r="S3262">
        <v>2.9518740000000001</v>
      </c>
      <c r="T3262">
        <v>-0.79153980000000002</v>
      </c>
      <c r="U3262">
        <v>-0.52058409999999999</v>
      </c>
      <c r="V3262">
        <v>7.9101389999999994E-2</v>
      </c>
      <c r="W3262">
        <v>-1.492305E-2</v>
      </c>
      <c r="X3262">
        <v>0.9967549</v>
      </c>
      <c r="Y3262">
        <v>0.17566519999999999</v>
      </c>
      <c r="Z3262">
        <v>-2.5182039999999999E-2</v>
      </c>
      <c r="AA3262">
        <v>0.9841278</v>
      </c>
      <c r="AB3262">
        <v>43</v>
      </c>
      <c r="AC3262">
        <v>0.53239999999999499</v>
      </c>
      <c r="AD3262">
        <v>-0.2555269</v>
      </c>
      <c r="AE3262">
        <v>-0.17199999999999699</v>
      </c>
      <c r="AF3262">
        <v>0.146026321001614</v>
      </c>
      <c r="AG3262">
        <v>-0.2555269</v>
      </c>
      <c r="AH3262">
        <v>0.43929909132846501</v>
      </c>
      <c r="AI3262">
        <v>118.897524736457</v>
      </c>
      <c r="AJ3262">
        <v>71.612805163324097</v>
      </c>
      <c r="AK3262">
        <v>0.52877346254411395</v>
      </c>
      <c r="AL3262">
        <v>90.855059496260594</v>
      </c>
      <c r="AM3262">
        <v>85.462578324220303</v>
      </c>
      <c r="AN3262">
        <v>1.0000000289976201</v>
      </c>
    </row>
    <row r="3263" spans="1:40" x14ac:dyDescent="0.25">
      <c r="A3263" t="str">
        <f>"20190312161335118"</f>
        <v>20190312161335118</v>
      </c>
      <c r="B3263" t="str">
        <f>"1552378415109111"</f>
        <v>1552378415109111</v>
      </c>
      <c r="C3263" t="s">
        <v>40</v>
      </c>
      <c r="D3263">
        <v>5.4060439999999996</v>
      </c>
      <c r="E3263">
        <v>0.54213540000000005</v>
      </c>
      <c r="F3263" t="s">
        <v>43</v>
      </c>
      <c r="G3263">
        <v>-348.79629999999997</v>
      </c>
      <c r="H3263">
        <v>0.86275089999999999</v>
      </c>
      <c r="I3263">
        <v>213.7319</v>
      </c>
      <c r="J3263">
        <v>-349.25729999999999</v>
      </c>
      <c r="K3263">
        <v>1.1090869999999999</v>
      </c>
      <c r="L3263">
        <v>213.89779999999999</v>
      </c>
      <c r="M3263">
        <v>0.99991770000000002</v>
      </c>
      <c r="N3263">
        <v>0</v>
      </c>
      <c r="O3263">
        <v>8.4360349999999997E-3</v>
      </c>
      <c r="P3263">
        <v>0.99722279999999996</v>
      </c>
      <c r="Q3263">
        <v>-2.497487E-2</v>
      </c>
      <c r="R3263">
        <v>-7.0164550000000006E-2</v>
      </c>
      <c r="S3263">
        <v>2.951965</v>
      </c>
      <c r="T3263">
        <v>-0.79271099999999906</v>
      </c>
      <c r="U3263">
        <v>-0.52145390000000003</v>
      </c>
      <c r="V3263">
        <v>7.8574560000000002E-2</v>
      </c>
      <c r="W3263">
        <v>-1.533584E-2</v>
      </c>
      <c r="X3263">
        <v>0.99679030000000002</v>
      </c>
      <c r="Y3263">
        <v>0.1759155</v>
      </c>
      <c r="Z3263">
        <v>-2.524962E-2</v>
      </c>
      <c r="AA3263">
        <v>0.9840814</v>
      </c>
      <c r="AB3263">
        <v>43</v>
      </c>
      <c r="AC3263">
        <v>0.46100000000001201</v>
      </c>
      <c r="AD3263">
        <v>-0.2463361</v>
      </c>
      <c r="AE3263">
        <v>-0.165899999999993</v>
      </c>
      <c r="AF3263">
        <v>0.13552378175063301</v>
      </c>
      <c r="AG3263">
        <v>-0.2463361</v>
      </c>
      <c r="AH3263">
        <v>0.36684741172149898</v>
      </c>
      <c r="AI3263">
        <v>122.206268430438</v>
      </c>
      <c r="AJ3263">
        <v>69.724347989333296</v>
      </c>
      <c r="AK3263">
        <v>0.462196054797059</v>
      </c>
      <c r="AL3263">
        <v>90.878713330696797</v>
      </c>
      <c r="AM3263">
        <v>85.492832871286794</v>
      </c>
      <c r="AN3263">
        <v>1.0000000258208901</v>
      </c>
    </row>
    <row r="3264" spans="1:40" x14ac:dyDescent="0.25">
      <c r="A3264" t="str">
        <f>"20190312161335140"</f>
        <v>20190312161335140</v>
      </c>
      <c r="B3264" t="str">
        <f>"1552378415129606"</f>
        <v>1552378415129606</v>
      </c>
      <c r="C3264" t="s">
        <v>40</v>
      </c>
      <c r="D3264">
        <v>5.3665430000000001</v>
      </c>
      <c r="E3264">
        <v>0.54128189999999998</v>
      </c>
      <c r="F3264" t="s">
        <v>43</v>
      </c>
      <c r="G3264">
        <v>-348.40800000000002</v>
      </c>
      <c r="H3264">
        <v>0.8798937</v>
      </c>
      <c r="I3264">
        <v>213.74850000000001</v>
      </c>
      <c r="J3264">
        <v>-348.834</v>
      </c>
      <c r="K3264">
        <v>1.1090949999999999</v>
      </c>
      <c r="L3264">
        <v>213.90129999999999</v>
      </c>
      <c r="M3264">
        <v>0.99991730000000001</v>
      </c>
      <c r="N3264">
        <v>0</v>
      </c>
      <c r="O3264">
        <v>8.4367009999999996E-3</v>
      </c>
      <c r="P3264">
        <v>0.99726159999999997</v>
      </c>
      <c r="Q3264">
        <v>-2.5220989999999999E-2</v>
      </c>
      <c r="R3264">
        <v>-6.9519819999999996E-2</v>
      </c>
      <c r="S3264">
        <v>2.952026</v>
      </c>
      <c r="T3264">
        <v>-0.79663050000000002</v>
      </c>
      <c r="U3264">
        <v>-0.51759339999999998</v>
      </c>
      <c r="V3264">
        <v>7.7930929999999995E-2</v>
      </c>
      <c r="W3264">
        <v>-1.5547210000000001E-2</v>
      </c>
      <c r="X3264">
        <v>0.99683759999999999</v>
      </c>
      <c r="Y3264">
        <v>0.1746451</v>
      </c>
      <c r="Z3264">
        <v>-2.5205439999999999E-2</v>
      </c>
      <c r="AA3264">
        <v>0.98430879999999998</v>
      </c>
      <c r="AB3264">
        <v>43</v>
      </c>
      <c r="AC3264">
        <v>0.425999999999987</v>
      </c>
      <c r="AD3264">
        <v>-0.2292013</v>
      </c>
      <c r="AE3264">
        <v>-0.152799999999984</v>
      </c>
      <c r="AF3264">
        <v>0.124465773227522</v>
      </c>
      <c r="AG3264">
        <v>-0.2292013</v>
      </c>
      <c r="AH3264">
        <v>0.33800428178855502</v>
      </c>
      <c r="AI3264">
        <v>122.46982265925401</v>
      </c>
      <c r="AJ3264">
        <v>69.784412742383907</v>
      </c>
      <c r="AK3264">
        <v>0.42693308507799199</v>
      </c>
      <c r="AL3264">
        <v>90.890825341217905</v>
      </c>
      <c r="AM3264">
        <v>85.529813550017096</v>
      </c>
      <c r="AN3264">
        <v>1.0000000731815999</v>
      </c>
    </row>
    <row r="3265" spans="1:40" x14ac:dyDescent="0.25">
      <c r="A3265" t="str">
        <f>"20190312161335160"</f>
        <v>20190312161335160</v>
      </c>
      <c r="B3265" t="str">
        <f>"1552378415149126"</f>
        <v>1552378415149126</v>
      </c>
      <c r="C3265" t="s">
        <v>40</v>
      </c>
      <c r="D3265">
        <v>5.2649879999999998</v>
      </c>
      <c r="E3265">
        <v>0.54037959999999996</v>
      </c>
      <c r="F3265" t="s">
        <v>43</v>
      </c>
      <c r="G3265">
        <v>-348.02190000000002</v>
      </c>
      <c r="H3265">
        <v>0.89050149999999995</v>
      </c>
      <c r="I3265">
        <v>213.761</v>
      </c>
      <c r="J3265">
        <v>-348.44150000000002</v>
      </c>
      <c r="K3265">
        <v>1.109108</v>
      </c>
      <c r="L3265">
        <v>213.90459999999999</v>
      </c>
      <c r="M3265">
        <v>0.9999169</v>
      </c>
      <c r="N3265">
        <v>0</v>
      </c>
      <c r="O3265">
        <v>8.4371819999999997E-3</v>
      </c>
      <c r="P3265">
        <v>0.99728410000000001</v>
      </c>
      <c r="Q3265">
        <v>-2.5097729999999999E-2</v>
      </c>
      <c r="R3265">
        <v>-6.9243529999999998E-2</v>
      </c>
      <c r="S3265">
        <v>2.9526370000000002</v>
      </c>
      <c r="T3265">
        <v>-0.79482909999999996</v>
      </c>
      <c r="U3265">
        <v>-0.50921629999999996</v>
      </c>
      <c r="V3265">
        <v>7.7655039999999995E-2</v>
      </c>
      <c r="W3265">
        <v>-1.5376229999999999E-2</v>
      </c>
      <c r="X3265">
        <v>0.99686169999999996</v>
      </c>
      <c r="Y3265">
        <v>0.17201759999999999</v>
      </c>
      <c r="Z3265">
        <v>-2.480626E-2</v>
      </c>
      <c r="AA3265">
        <v>0.98478149999999998</v>
      </c>
      <c r="AB3265">
        <v>43</v>
      </c>
      <c r="AC3265">
        <v>0.41960000000000203</v>
      </c>
      <c r="AD3265">
        <v>-0.21860650000000001</v>
      </c>
      <c r="AE3265">
        <v>-0.14359999999999201</v>
      </c>
      <c r="AF3265">
        <v>0.118373867973303</v>
      </c>
      <c r="AG3265">
        <v>-0.21860650000000001</v>
      </c>
      <c r="AH3265">
        <v>0.33659143271248898</v>
      </c>
      <c r="AI3265">
        <v>121.49524168190899</v>
      </c>
      <c r="AJ3265">
        <v>70.624035473390506</v>
      </c>
      <c r="AK3265">
        <v>0.41844350519115198</v>
      </c>
      <c r="AL3265">
        <v>90.881027810480802</v>
      </c>
      <c r="AM3265">
        <v>85.545682295704694</v>
      </c>
      <c r="AN3265">
        <v>0.99999999130665196</v>
      </c>
    </row>
    <row r="3266" spans="1:40" x14ac:dyDescent="0.25">
      <c r="A3266" t="str">
        <f>"20190312161335184"</f>
        <v>20190312161335184</v>
      </c>
      <c r="B3266" t="str">
        <f>"1552378415179383"</f>
        <v>1552378415179383</v>
      </c>
      <c r="C3266" t="s">
        <v>40</v>
      </c>
      <c r="D3266">
        <v>5.2036949999999997</v>
      </c>
      <c r="E3266">
        <v>0.54042209999999902</v>
      </c>
      <c r="F3266" t="s">
        <v>43</v>
      </c>
      <c r="G3266">
        <v>-347.6379</v>
      </c>
      <c r="H3266">
        <v>0.89487299999999903</v>
      </c>
      <c r="I3266">
        <v>213.76769999999999</v>
      </c>
      <c r="J3266">
        <v>-348.00850000000003</v>
      </c>
      <c r="K3266">
        <v>1.1091169999999999</v>
      </c>
      <c r="L3266">
        <v>213.9083</v>
      </c>
      <c r="M3266">
        <v>0.99991629999999998</v>
      </c>
      <c r="N3266">
        <v>0</v>
      </c>
      <c r="O3266">
        <v>8.4374979999999999E-3</v>
      </c>
      <c r="P3266">
        <v>0.99731610000000004</v>
      </c>
      <c r="Q3266">
        <v>-2.4843400000000002E-2</v>
      </c>
      <c r="R3266">
        <v>-6.8876709999999994E-2</v>
      </c>
      <c r="S3266">
        <v>2.9534609999999999</v>
      </c>
      <c r="T3266">
        <v>-0.7873559</v>
      </c>
      <c r="U3266">
        <v>-0.5020905</v>
      </c>
      <c r="V3266">
        <v>7.7288930000000006E-2</v>
      </c>
      <c r="W3266">
        <v>-1.5053220000000001E-2</v>
      </c>
      <c r="X3266">
        <v>0.99689510000000003</v>
      </c>
      <c r="Y3266">
        <v>0.1698519</v>
      </c>
      <c r="Z3266">
        <v>-2.4297240000000001E-2</v>
      </c>
      <c r="AA3266">
        <v>0.98516999999999999</v>
      </c>
      <c r="AB3266">
        <v>43</v>
      </c>
      <c r="AC3266">
        <v>0.37060000000002402</v>
      </c>
      <c r="AD3266">
        <v>-0.21424399999999999</v>
      </c>
      <c r="AE3266">
        <v>-0.140600000000006</v>
      </c>
      <c r="AF3266">
        <v>0.111227082381795</v>
      </c>
      <c r="AG3266">
        <v>-0.21424399999999999</v>
      </c>
      <c r="AH3266">
        <v>0.28588044619223901</v>
      </c>
      <c r="AI3266">
        <v>124.93117397737301</v>
      </c>
      <c r="AJ3266">
        <v>68.740554927172397</v>
      </c>
      <c r="AK3266">
        <v>0.37416518398461401</v>
      </c>
      <c r="AL3266">
        <v>90.862518542547704</v>
      </c>
      <c r="AM3266">
        <v>85.566746506753901</v>
      </c>
      <c r="AN3266">
        <v>1.00000000926846</v>
      </c>
    </row>
    <row r="3267" spans="1:40" x14ac:dyDescent="0.25">
      <c r="A3267" t="str">
        <f>"20190312161335207"</f>
        <v>20190312161335207</v>
      </c>
      <c r="B3267" t="str">
        <f>"1552378415198902"</f>
        <v>1552378415198902</v>
      </c>
      <c r="C3267" t="s">
        <v>40</v>
      </c>
      <c r="D3267">
        <v>5.1001729999999998</v>
      </c>
      <c r="E3267">
        <v>0.54072279999999995</v>
      </c>
      <c r="F3267" t="s">
        <v>43</v>
      </c>
      <c r="G3267">
        <v>-347.25049999999999</v>
      </c>
      <c r="H3267">
        <v>0.90728220000000004</v>
      </c>
      <c r="I3267">
        <v>213.77950000000001</v>
      </c>
      <c r="J3267">
        <v>-347.55500000000001</v>
      </c>
      <c r="K3267">
        <v>1.109127</v>
      </c>
      <c r="L3267">
        <v>213.91210000000001</v>
      </c>
      <c r="M3267">
        <v>0.99991529999999995</v>
      </c>
      <c r="N3267">
        <v>0</v>
      </c>
      <c r="O3267">
        <v>8.4380640000000003E-3</v>
      </c>
      <c r="P3267">
        <v>0.99730620000000003</v>
      </c>
      <c r="Q3267">
        <v>-2.5218839999999999E-2</v>
      </c>
      <c r="R3267">
        <v>-6.888002E-2</v>
      </c>
      <c r="S3267">
        <v>2.9538880000000001</v>
      </c>
      <c r="T3267">
        <v>-0.78655390000000003</v>
      </c>
      <c r="U3267">
        <v>-0.50085449999999998</v>
      </c>
      <c r="V3267">
        <v>7.729279E-2</v>
      </c>
      <c r="W3267">
        <v>-1.5339429999999999E-2</v>
      </c>
      <c r="X3267">
        <v>0.99689039999999995</v>
      </c>
      <c r="Y3267">
        <v>0.16945499999999999</v>
      </c>
      <c r="Z3267">
        <v>-2.4219319999999999E-2</v>
      </c>
      <c r="AA3267">
        <v>0.98524029999999996</v>
      </c>
      <c r="AB3267">
        <v>43</v>
      </c>
      <c r="AC3267">
        <v>0.30450000000001798</v>
      </c>
      <c r="AD3267">
        <v>-0.20184479999999999</v>
      </c>
      <c r="AE3267">
        <v>-0.132599999999996</v>
      </c>
      <c r="AF3267">
        <v>9.8706674143162504E-2</v>
      </c>
      <c r="AG3267">
        <v>-0.20184479999999999</v>
      </c>
      <c r="AH3267">
        <v>0.22154189608192201</v>
      </c>
      <c r="AI3267">
        <v>129.76808645178801</v>
      </c>
      <c r="AJ3267">
        <v>65.984921839996204</v>
      </c>
      <c r="AK3267">
        <v>0.31553944686364899</v>
      </c>
      <c r="AL3267">
        <v>90.878919094436696</v>
      </c>
      <c r="AM3267">
        <v>85.566505162838595</v>
      </c>
      <c r="AN3267">
        <v>0.99999997155543396</v>
      </c>
    </row>
    <row r="3268" spans="1:40" x14ac:dyDescent="0.25">
      <c r="A3268" t="str">
        <f>"20190312161335230"</f>
        <v>20190312161335230</v>
      </c>
      <c r="B3268" t="str">
        <f>"1552378415219399"</f>
        <v>1552378415219399</v>
      </c>
      <c r="C3268" t="s">
        <v>40</v>
      </c>
      <c r="D3268">
        <v>5.0728109999999997</v>
      </c>
      <c r="E3268">
        <v>0.54148809999999903</v>
      </c>
      <c r="F3268" t="s">
        <v>43</v>
      </c>
      <c r="G3268">
        <v>-346.8612</v>
      </c>
      <c r="H3268">
        <v>0.92379199999999995</v>
      </c>
      <c r="I3268">
        <v>213.79349999999999</v>
      </c>
      <c r="J3268">
        <v>-347.12259999999998</v>
      </c>
      <c r="K3268">
        <v>1.109145</v>
      </c>
      <c r="L3268">
        <v>213.91579999999999</v>
      </c>
      <c r="M3268">
        <v>0.99991419999999998</v>
      </c>
      <c r="N3268">
        <v>0</v>
      </c>
      <c r="O3268">
        <v>8.4383340000000005E-3</v>
      </c>
      <c r="P3268">
        <v>0.99731230000000004</v>
      </c>
      <c r="Q3268">
        <v>-2.442805E-2</v>
      </c>
      <c r="R3268">
        <v>-6.9076029999999997E-2</v>
      </c>
      <c r="S3268">
        <v>2.9534910000000001</v>
      </c>
      <c r="T3268">
        <v>-0.78903080000000003</v>
      </c>
      <c r="U3268">
        <v>-0.50242609999999999</v>
      </c>
      <c r="V3268">
        <v>7.7489150000000007E-2</v>
      </c>
      <c r="W3268">
        <v>-1.4437139999999999E-2</v>
      </c>
      <c r="X3268">
        <v>0.99688860000000001</v>
      </c>
      <c r="Y3268">
        <v>0.169932</v>
      </c>
      <c r="Z3268">
        <v>-2.4357420000000001E-2</v>
      </c>
      <c r="AA3268">
        <v>0.98515469999999905</v>
      </c>
      <c r="AB3268">
        <v>43</v>
      </c>
      <c r="AC3268">
        <v>0.26139999999997998</v>
      </c>
      <c r="AD3268">
        <v>-0.18535299999999999</v>
      </c>
      <c r="AE3268">
        <v>-0.122299999999995</v>
      </c>
      <c r="AF3268">
        <v>8.81428725265688E-2</v>
      </c>
      <c r="AG3268">
        <v>-0.18535299999999999</v>
      </c>
      <c r="AH3268">
        <v>0.184325096556961</v>
      </c>
      <c r="AI3268">
        <v>132.213975615007</v>
      </c>
      <c r="AJ3268">
        <v>64.443224553159297</v>
      </c>
      <c r="AK3268">
        <v>0.27586344775444299</v>
      </c>
      <c r="AL3268">
        <v>90.827215977736998</v>
      </c>
      <c r="AM3268">
        <v>85.555279085312307</v>
      </c>
      <c r="AN3268">
        <v>0.99999994009452897</v>
      </c>
    </row>
    <row r="3269" spans="1:40" x14ac:dyDescent="0.25">
      <c r="A3269" t="str">
        <f>"20190312161335251"</f>
        <v>20190312161335251</v>
      </c>
      <c r="B3269" t="str">
        <f>"1552378415238918"</f>
        <v>1552378415238918</v>
      </c>
      <c r="C3269" t="s">
        <v>40</v>
      </c>
      <c r="D3269">
        <v>4.9540870000000004</v>
      </c>
      <c r="E3269">
        <v>0.54174869999999997</v>
      </c>
      <c r="F3269" t="s">
        <v>43</v>
      </c>
      <c r="G3269">
        <v>-346.12619999999998</v>
      </c>
      <c r="H3269">
        <v>0.8426167</v>
      </c>
      <c r="I3269">
        <v>213.74350000000001</v>
      </c>
      <c r="J3269">
        <v>-346.70749999999998</v>
      </c>
      <c r="K3269">
        <v>1.10917</v>
      </c>
      <c r="L3269">
        <v>213.91929999999999</v>
      </c>
      <c r="M3269">
        <v>0.99991280000000005</v>
      </c>
      <c r="N3269">
        <v>0</v>
      </c>
      <c r="O3269">
        <v>8.4388169999999995E-3</v>
      </c>
      <c r="P3269">
        <v>0.99730600000000003</v>
      </c>
      <c r="Q3269">
        <v>-2.4574740000000001E-2</v>
      </c>
      <c r="R3269">
        <v>-6.9113350000000004E-2</v>
      </c>
      <c r="S3269">
        <v>2.9533999999999998</v>
      </c>
      <c r="T3269">
        <v>-0.79009019999999996</v>
      </c>
      <c r="U3269">
        <v>-0.50949100000000003</v>
      </c>
      <c r="V3269">
        <v>7.7526869999999998E-2</v>
      </c>
      <c r="W3269">
        <v>-1.444552E-2</v>
      </c>
      <c r="X3269">
        <v>0.99688560000000004</v>
      </c>
      <c r="Y3269">
        <v>0.1721376</v>
      </c>
      <c r="Z3269">
        <v>-2.467314E-2</v>
      </c>
      <c r="AA3269">
        <v>0.98476390000000003</v>
      </c>
      <c r="AB3269">
        <v>43</v>
      </c>
      <c r="AC3269">
        <v>0.58129999999999804</v>
      </c>
      <c r="AD3269">
        <v>-0.26655329999999999</v>
      </c>
      <c r="AE3269">
        <v>-0.175799999999981</v>
      </c>
      <c r="AF3269">
        <v>0.15151145686051201</v>
      </c>
      <c r="AG3269">
        <v>-0.26655329999999999</v>
      </c>
      <c r="AH3269">
        <v>0.48614245834276698</v>
      </c>
      <c r="AI3269">
        <v>117.630665216075</v>
      </c>
      <c r="AJ3269">
        <v>72.689800363419394</v>
      </c>
      <c r="AK3269">
        <v>0.57475288003143898</v>
      </c>
      <c r="AL3269">
        <v>90.827696121807904</v>
      </c>
      <c r="AM3269">
        <v>85.553110841117999</v>
      </c>
      <c r="AN3269">
        <v>0.99999999405371298</v>
      </c>
    </row>
    <row r="3270" spans="1:40" x14ac:dyDescent="0.25">
      <c r="A3270" t="str">
        <f>"20190312161335272"</f>
        <v>20190312161335272</v>
      </c>
      <c r="B3270" t="str">
        <f>"1552378415269175"</f>
        <v>1552378415269175</v>
      </c>
      <c r="C3270" t="s">
        <v>40</v>
      </c>
      <c r="D3270">
        <v>5.0746630000000001</v>
      </c>
      <c r="E3270">
        <v>0.54089799999999999</v>
      </c>
      <c r="F3270" t="s">
        <v>43</v>
      </c>
      <c r="G3270">
        <v>-345.7396</v>
      </c>
      <c r="H3270">
        <v>0.85114840000000003</v>
      </c>
      <c r="I3270">
        <v>213.75139999999999</v>
      </c>
      <c r="J3270">
        <v>-346.3143</v>
      </c>
      <c r="K3270">
        <v>1.1092040000000001</v>
      </c>
      <c r="L3270">
        <v>213.92259999999999</v>
      </c>
      <c r="M3270">
        <v>0.9999112</v>
      </c>
      <c r="N3270">
        <v>0</v>
      </c>
      <c r="O3270">
        <v>8.4388759999999997E-3</v>
      </c>
      <c r="P3270">
        <v>0.99727929999999998</v>
      </c>
      <c r="Q3270">
        <v>-2.4569830000000001E-2</v>
      </c>
      <c r="R3270">
        <v>-6.9500740000000005E-2</v>
      </c>
      <c r="S3270">
        <v>2.9531860000000001</v>
      </c>
      <c r="T3270">
        <v>-0.78725239999999996</v>
      </c>
      <c r="U3270">
        <v>-0.51214599999999999</v>
      </c>
      <c r="V3270">
        <v>7.7914129999999998E-2</v>
      </c>
      <c r="W3270">
        <v>-1.4291750000000001E-2</v>
      </c>
      <c r="X3270">
        <v>0.99685760000000001</v>
      </c>
      <c r="Y3270">
        <v>0.17302290000000001</v>
      </c>
      <c r="Z3270">
        <v>-2.470255E-2</v>
      </c>
      <c r="AA3270">
        <v>0.98460800000000004</v>
      </c>
      <c r="AB3270">
        <v>43</v>
      </c>
      <c r="AC3270">
        <v>0.57470000000000698</v>
      </c>
      <c r="AD3270">
        <v>-0.2580556</v>
      </c>
      <c r="AE3270">
        <v>-0.17119999999999799</v>
      </c>
      <c r="AF3270">
        <v>0.14853640024874401</v>
      </c>
      <c r="AG3270">
        <v>-0.2580556</v>
      </c>
      <c r="AH3270">
        <v>0.48366448226587799</v>
      </c>
      <c r="AI3270">
        <v>117.02307054036901</v>
      </c>
      <c r="AJ3270">
        <v>72.9279490095809</v>
      </c>
      <c r="AK3270">
        <v>0.56796750461248702</v>
      </c>
      <c r="AL3270">
        <v>90.818884859620297</v>
      </c>
      <c r="AM3270">
        <v>85.530862611231697</v>
      </c>
      <c r="AN3270">
        <v>0.99999997022473897</v>
      </c>
    </row>
    <row r="3271" spans="1:40" x14ac:dyDescent="0.25">
      <c r="A3271" t="str">
        <f>"20190312161335295"</f>
        <v>20190312161335295</v>
      </c>
      <c r="B3271" t="str">
        <f>"1552378415289670"</f>
        <v>1552378415289670</v>
      </c>
      <c r="C3271" t="s">
        <v>40</v>
      </c>
      <c r="D3271">
        <v>5.042243</v>
      </c>
      <c r="E3271">
        <v>0.5415065</v>
      </c>
      <c r="F3271" t="s">
        <v>43</v>
      </c>
      <c r="G3271">
        <v>-345.35359999999997</v>
      </c>
      <c r="H3271">
        <v>0.857774699999999</v>
      </c>
      <c r="I3271">
        <v>213.75739999999999</v>
      </c>
      <c r="J3271">
        <v>-345.87270000000001</v>
      </c>
      <c r="K3271">
        <v>1.1092390000000001</v>
      </c>
      <c r="L3271">
        <v>213.9263</v>
      </c>
      <c r="M3271">
        <v>0.99990919999999905</v>
      </c>
      <c r="N3271">
        <v>0</v>
      </c>
      <c r="O3271">
        <v>8.4393539999999996E-3</v>
      </c>
      <c r="P3271">
        <v>0.9972742</v>
      </c>
      <c r="Q3271">
        <v>-2.44429E-2</v>
      </c>
      <c r="R3271">
        <v>-6.9619239999999999E-2</v>
      </c>
      <c r="S3271">
        <v>2.953827</v>
      </c>
      <c r="T3271">
        <v>-0.77315970000000001</v>
      </c>
      <c r="U3271">
        <v>-0.50663760000000002</v>
      </c>
      <c r="V3271">
        <v>7.8033130000000006E-2</v>
      </c>
      <c r="W3271">
        <v>-1.397317E-2</v>
      </c>
      <c r="X3271">
        <v>0.99685279999999998</v>
      </c>
      <c r="Y3271">
        <v>0.17147019999999999</v>
      </c>
      <c r="Z3271">
        <v>-2.407486E-2</v>
      </c>
      <c r="AA3271">
        <v>0.98489510000000002</v>
      </c>
      <c r="AB3271">
        <v>43</v>
      </c>
      <c r="AC3271">
        <v>0.51910000000003698</v>
      </c>
      <c r="AD3271">
        <v>-0.25146429999999997</v>
      </c>
      <c r="AE3271">
        <v>-0.16890000000000699</v>
      </c>
      <c r="AF3271">
        <v>0.14294250867600899</v>
      </c>
      <c r="AG3271">
        <v>-0.25146429999999997</v>
      </c>
      <c r="AH3271">
        <v>0.427038005998017</v>
      </c>
      <c r="AI3271">
        <v>119.179179439843</v>
      </c>
      <c r="AJ3271">
        <v>71.493051302646705</v>
      </c>
      <c r="AK3271">
        <v>0.51577932638662705</v>
      </c>
      <c r="AL3271">
        <v>90.800629753152293</v>
      </c>
      <c r="AM3271">
        <v>85.524043048351103</v>
      </c>
      <c r="AN3271">
        <v>0.99999996186264195</v>
      </c>
    </row>
    <row r="3272" spans="1:40" x14ac:dyDescent="0.25">
      <c r="A3272" t="str">
        <f>"20190312161335317"</f>
        <v>20190312161335317</v>
      </c>
      <c r="B3272" t="str">
        <f>"1552378415309191"</f>
        <v>1552378415309191</v>
      </c>
      <c r="C3272" t="s">
        <v>40</v>
      </c>
      <c r="D3272">
        <v>4.7930590000000004</v>
      </c>
      <c r="E3272">
        <v>0.54138069999999905</v>
      </c>
      <c r="F3272" t="s">
        <v>43</v>
      </c>
      <c r="G3272">
        <v>-344.96530000000001</v>
      </c>
      <c r="H3272">
        <v>0.87072629999999995</v>
      </c>
      <c r="I3272">
        <v>213.7689</v>
      </c>
      <c r="J3272">
        <v>-345.42720000000003</v>
      </c>
      <c r="K3272">
        <v>1.1092789999999999</v>
      </c>
      <c r="L3272">
        <v>213.93010000000001</v>
      </c>
      <c r="M3272">
        <v>0.99990679999999998</v>
      </c>
      <c r="N3272">
        <v>0</v>
      </c>
      <c r="O3272">
        <v>8.4395110000000002E-3</v>
      </c>
      <c r="P3272">
        <v>0.99727730000000003</v>
      </c>
      <c r="Q3272">
        <v>-2.427613E-2</v>
      </c>
      <c r="R3272">
        <v>-6.9634109999999999E-2</v>
      </c>
      <c r="S3272">
        <v>2.95343</v>
      </c>
      <c r="T3272">
        <v>-0.77633359999999996</v>
      </c>
      <c r="U3272">
        <v>-0.51184079999999998</v>
      </c>
      <c r="V3272">
        <v>7.8048000000000006E-2</v>
      </c>
      <c r="W3272">
        <v>-1.358125E-2</v>
      </c>
      <c r="X3272">
        <v>0.99685710000000005</v>
      </c>
      <c r="Y3272">
        <v>0.17307700000000001</v>
      </c>
      <c r="Z3272">
        <v>-2.4376439999999999E-2</v>
      </c>
      <c r="AA3272">
        <v>0.9846066</v>
      </c>
      <c r="AB3272">
        <v>43</v>
      </c>
      <c r="AC3272">
        <v>0.46190000000001402</v>
      </c>
      <c r="AD3272">
        <v>-0.23855270000000001</v>
      </c>
      <c r="AE3272">
        <v>-0.161200000000008</v>
      </c>
      <c r="AF3272">
        <v>0.13337903675580401</v>
      </c>
      <c r="AG3272">
        <v>-0.23855270000000001</v>
      </c>
      <c r="AH3272">
        <v>0.37205836168059397</v>
      </c>
      <c r="AI3272">
        <v>121.11345415009799</v>
      </c>
      <c r="AJ3272">
        <v>70.277773533748501</v>
      </c>
      <c r="AK3272">
        <v>0.46165439737929898</v>
      </c>
      <c r="AL3272">
        <v>90.778172221930006</v>
      </c>
      <c r="AM3272">
        <v>85.523212809008996</v>
      </c>
      <c r="AN3272">
        <v>1.0000000092379799</v>
      </c>
    </row>
    <row r="3273" spans="1:40" x14ac:dyDescent="0.25">
      <c r="A3273" t="str">
        <f>"20190312161335340"</f>
        <v>20190312161335340</v>
      </c>
      <c r="B3273" t="str">
        <f>"1552378415329688"</f>
        <v>1552378415329688</v>
      </c>
      <c r="C3273" t="s">
        <v>40</v>
      </c>
      <c r="D3273">
        <v>4.7335929999999999</v>
      </c>
      <c r="E3273">
        <v>0.54104569999999996</v>
      </c>
      <c r="F3273" t="s">
        <v>43</v>
      </c>
      <c r="G3273">
        <v>-344.57600000000002</v>
      </c>
      <c r="H3273">
        <v>0.88649299999999998</v>
      </c>
      <c r="I3273">
        <v>213.7825</v>
      </c>
      <c r="J3273">
        <v>-345.0111</v>
      </c>
      <c r="K3273">
        <v>1.109321</v>
      </c>
      <c r="L3273">
        <v>213.93360000000001</v>
      </c>
      <c r="M3273">
        <v>0.99990429999999997</v>
      </c>
      <c r="N3273">
        <v>0</v>
      </c>
      <c r="O3273">
        <v>8.4393219999999904E-3</v>
      </c>
      <c r="P3273">
        <v>0.99727690000000002</v>
      </c>
      <c r="Q3273">
        <v>-2.4835610000000001E-2</v>
      </c>
      <c r="R3273">
        <v>-6.9443669999999999E-2</v>
      </c>
      <c r="S3273">
        <v>2.9537049999999998</v>
      </c>
      <c r="T3273">
        <v>-0.77317069999999999</v>
      </c>
      <c r="U3273">
        <v>-0.51058959999999998</v>
      </c>
      <c r="V3273">
        <v>7.7857590000000004E-2</v>
      </c>
      <c r="W3273">
        <v>-1.390041E-2</v>
      </c>
      <c r="X3273">
        <v>0.99686759999999996</v>
      </c>
      <c r="Y3273">
        <v>0.172716799999999</v>
      </c>
      <c r="Z3273">
        <v>-2.423289E-2</v>
      </c>
      <c r="AA3273">
        <v>0.98467340000000003</v>
      </c>
      <c r="AB3273">
        <v>43</v>
      </c>
      <c r="AC3273">
        <v>0.43510000000003302</v>
      </c>
      <c r="AD3273">
        <v>-0.222828</v>
      </c>
      <c r="AE3273">
        <v>-0.151100000000013</v>
      </c>
      <c r="AF3273">
        <v>0.125413615043733</v>
      </c>
      <c r="AG3273">
        <v>-0.222828</v>
      </c>
      <c r="AH3273">
        <v>0.35153269231980799</v>
      </c>
      <c r="AI3273">
        <v>120.83801070217</v>
      </c>
      <c r="AJ3273">
        <v>70.365515575142297</v>
      </c>
      <c r="AK3273">
        <v>0.43469083978380602</v>
      </c>
      <c r="AL3273">
        <v>90.796460461779802</v>
      </c>
      <c r="AM3273">
        <v>85.534137227125598</v>
      </c>
      <c r="AN3273">
        <v>1.0000000188242599</v>
      </c>
    </row>
    <row r="3274" spans="1:40" x14ac:dyDescent="0.25">
      <c r="A3274" t="str">
        <f>"20190312161335360"</f>
        <v>20190312161335360</v>
      </c>
      <c r="B3274" t="str">
        <f>"1552378415349207"</f>
        <v>1552378415349207</v>
      </c>
      <c r="C3274" t="s">
        <v>40</v>
      </c>
      <c r="D3274">
        <v>4.6430600000000002</v>
      </c>
      <c r="E3274">
        <v>0.54066269999999905</v>
      </c>
      <c r="F3274" t="s">
        <v>43</v>
      </c>
      <c r="G3274">
        <v>-344.18959999999998</v>
      </c>
      <c r="H3274">
        <v>0.8953333</v>
      </c>
      <c r="I3274">
        <v>213.79239999999999</v>
      </c>
      <c r="J3274">
        <v>-344.6087</v>
      </c>
      <c r="K3274">
        <v>1.109353</v>
      </c>
      <c r="L3274">
        <v>213.93700000000001</v>
      </c>
      <c r="M3274">
        <v>0.99990120000000005</v>
      </c>
      <c r="N3274">
        <v>0</v>
      </c>
      <c r="O3274">
        <v>8.4393579999999992E-3</v>
      </c>
      <c r="P3274">
        <v>0.99726669999999995</v>
      </c>
      <c r="Q3274">
        <v>-2.489744E-2</v>
      </c>
      <c r="R3274">
        <v>-6.9566370000000002E-2</v>
      </c>
      <c r="S3274">
        <v>2.953735</v>
      </c>
      <c r="T3274">
        <v>-0.76943760000000005</v>
      </c>
      <c r="U3274">
        <v>-0.50750729999999999</v>
      </c>
      <c r="V3274">
        <v>7.7980229999999998E-2</v>
      </c>
      <c r="W3274">
        <v>-1.369388E-2</v>
      </c>
      <c r="X3274">
        <v>0.99686090000000005</v>
      </c>
      <c r="Y3274">
        <v>0.17180190000000001</v>
      </c>
      <c r="Z3274">
        <v>-2.4004999999999999E-2</v>
      </c>
      <c r="AA3274">
        <v>0.98483900000000002</v>
      </c>
      <c r="AB3274">
        <v>43</v>
      </c>
      <c r="AC3274">
        <v>0.41910000000001402</v>
      </c>
      <c r="AD3274">
        <v>-0.21401970000000001</v>
      </c>
      <c r="AE3274">
        <v>-0.14460000000002499</v>
      </c>
      <c r="AF3274">
        <v>0.12013585695454999</v>
      </c>
      <c r="AG3274">
        <v>-0.21401970000000001</v>
      </c>
      <c r="AH3274">
        <v>0.33889049491587098</v>
      </c>
      <c r="AI3274">
        <v>120.76262575944099</v>
      </c>
      <c r="AJ3274">
        <v>70.480706977228806</v>
      </c>
      <c r="AK3274">
        <v>0.41843018970745599</v>
      </c>
      <c r="AL3274">
        <v>90.784626016630099</v>
      </c>
      <c r="AM3274">
        <v>85.527101256215204</v>
      </c>
      <c r="AN3274">
        <v>1.00000004628455</v>
      </c>
    </row>
    <row r="3275" spans="1:40" x14ac:dyDescent="0.25">
      <c r="A3275" t="str">
        <f>"20190312161335384"</f>
        <v>20190312161335384</v>
      </c>
      <c r="B3275" t="str">
        <f>"1552378415379463"</f>
        <v>1552378415379463</v>
      </c>
      <c r="C3275" t="s">
        <v>40</v>
      </c>
      <c r="D3275">
        <v>4.637912</v>
      </c>
      <c r="E3275">
        <v>0.49537579999999998</v>
      </c>
      <c r="F3275" t="s">
        <v>43</v>
      </c>
      <c r="G3275">
        <v>-343.80470000000003</v>
      </c>
      <c r="H3275">
        <v>0.90109830000000002</v>
      </c>
      <c r="I3275">
        <v>213.79929999999999</v>
      </c>
      <c r="J3275">
        <v>-344.1628</v>
      </c>
      <c r="K3275">
        <v>1.1094109999999999</v>
      </c>
      <c r="L3275">
        <v>213.94069999999999</v>
      </c>
      <c r="M3275">
        <v>0.99989720000000004</v>
      </c>
      <c r="N3275">
        <v>0</v>
      </c>
      <c r="O3275">
        <v>8.4396560000000002E-3</v>
      </c>
      <c r="P3275">
        <v>0.99727529999999998</v>
      </c>
      <c r="Q3275">
        <v>-2.515117E-2</v>
      </c>
      <c r="R3275">
        <v>-6.9352319999999995E-2</v>
      </c>
      <c r="S3275">
        <v>2.9538570000000002</v>
      </c>
      <c r="T3275">
        <v>-0.76513039999999999</v>
      </c>
      <c r="U3275">
        <v>-0.50511170000000005</v>
      </c>
      <c r="V3275">
        <v>7.7766459999999996E-2</v>
      </c>
      <c r="W3275">
        <v>-1.359812E-2</v>
      </c>
      <c r="X3275">
        <v>0.99687890000000001</v>
      </c>
      <c r="Y3275">
        <v>0.1711056</v>
      </c>
      <c r="Z3275">
        <v>-2.378742E-2</v>
      </c>
      <c r="AA3275">
        <v>0.98496550000000005</v>
      </c>
      <c r="AB3275">
        <v>43</v>
      </c>
      <c r="AC3275">
        <v>0.35809999999997899</v>
      </c>
      <c r="AD3275">
        <v>-0.20831269999999999</v>
      </c>
      <c r="AE3275">
        <v>-0.14140000000000399</v>
      </c>
      <c r="AF3275">
        <v>0.111713344900427</v>
      </c>
      <c r="AG3275">
        <v>-0.20831269999999999</v>
      </c>
      <c r="AH3275">
        <v>0.27607336680057498</v>
      </c>
      <c r="AI3275">
        <v>124.97124557894401</v>
      </c>
      <c r="AJ3275">
        <v>67.969236539494702</v>
      </c>
      <c r="AK3275">
        <v>0.36344264508548801</v>
      </c>
      <c r="AL3275">
        <v>90.779138869966005</v>
      </c>
      <c r="AM3275">
        <v>85.539393637930701</v>
      </c>
      <c r="AN3275">
        <v>1.00000003621683</v>
      </c>
    </row>
    <row r="3276" spans="1:40" x14ac:dyDescent="0.25">
      <c r="A3276" t="str">
        <f>"20190312161335407"</f>
        <v>20190312161335407</v>
      </c>
      <c r="B3276" t="str">
        <f>"1552378415398983"</f>
        <v>1552378415398983</v>
      </c>
      <c r="C3276" t="s">
        <v>40</v>
      </c>
      <c r="D3276">
        <v>4.606922</v>
      </c>
      <c r="E3276">
        <v>0.49165910000000002</v>
      </c>
      <c r="F3276" t="s">
        <v>69</v>
      </c>
      <c r="G3276">
        <v>-323.0489</v>
      </c>
      <c r="H3276" s="1">
        <v>8.5697369999999995E-8</v>
      </c>
      <c r="I3276">
        <v>212.755</v>
      </c>
      <c r="J3276">
        <v>-343.71870000000001</v>
      </c>
      <c r="K3276">
        <v>1.109477</v>
      </c>
      <c r="L3276">
        <v>213.94450000000001</v>
      </c>
      <c r="M3276">
        <v>0.99989269999999997</v>
      </c>
      <c r="N3276">
        <v>0</v>
      </c>
      <c r="O3276">
        <v>8.4398419999999995E-3</v>
      </c>
      <c r="P3276">
        <v>0.99726709999999996</v>
      </c>
      <c r="Q3276">
        <v>-2.5495259999999999E-2</v>
      </c>
      <c r="R3276">
        <v>-6.9342989999999993E-2</v>
      </c>
      <c r="S3276">
        <v>2.9925540000000002</v>
      </c>
      <c r="T3276">
        <v>-0.157241299999999</v>
      </c>
      <c r="U3276">
        <v>-0.1680603</v>
      </c>
      <c r="V3276">
        <v>7.7757309999999996E-2</v>
      </c>
      <c r="W3276">
        <v>-1.3555340000000001E-2</v>
      </c>
      <c r="X3276">
        <v>0.99688019999999999</v>
      </c>
      <c r="Y3276">
        <v>6.4396140000000004E-2</v>
      </c>
      <c r="Z3276">
        <v>-2.1321920000000002E-3</v>
      </c>
      <c r="AA3276">
        <v>0.99792210000000003</v>
      </c>
      <c r="AB3276">
        <v>43</v>
      </c>
      <c r="AC3276">
        <v>20.669799999999999</v>
      </c>
      <c r="AD3276">
        <v>-1.10947691430262</v>
      </c>
      <c r="AE3276">
        <v>-1.1895</v>
      </c>
      <c r="AF3276">
        <v>1.3600145253932101</v>
      </c>
      <c r="AG3276">
        <v>-1.10947691430262</v>
      </c>
      <c r="AH3276">
        <v>20.599868656659101</v>
      </c>
      <c r="AI3276">
        <v>93.076199138492797</v>
      </c>
      <c r="AJ3276">
        <v>86.222783064053104</v>
      </c>
      <c r="AK3276">
        <v>20.674505246903902</v>
      </c>
      <c r="AL3276">
        <v>90.776687527868205</v>
      </c>
      <c r="AM3276">
        <v>85.539922147832598</v>
      </c>
      <c r="AN3276">
        <v>1.0000000398264901</v>
      </c>
    </row>
    <row r="3277" spans="1:40" x14ac:dyDescent="0.25">
      <c r="A3277" t="str">
        <f>"20190312161335443"</f>
        <v>20190312161335443</v>
      </c>
      <c r="B3277" t="str">
        <f>"1552378415439001"</f>
        <v>1552378415439001</v>
      </c>
      <c r="C3277" t="s">
        <v>40</v>
      </c>
      <c r="D3277">
        <v>4.5912600000000001</v>
      </c>
      <c r="E3277">
        <v>0.49018810000000002</v>
      </c>
      <c r="F3277" t="s">
        <v>74</v>
      </c>
      <c r="G3277">
        <v>-287.3777</v>
      </c>
      <c r="H3277" s="1">
        <v>4.2183069999999999E-6</v>
      </c>
      <c r="I3277">
        <v>211.26820000000001</v>
      </c>
      <c r="J3277">
        <v>-343.03829999999999</v>
      </c>
      <c r="K3277">
        <v>1.1095489999999999</v>
      </c>
      <c r="L3277">
        <v>213.9502</v>
      </c>
      <c r="M3277">
        <v>0.99988540000000004</v>
      </c>
      <c r="N3277">
        <v>0</v>
      </c>
      <c r="O3277">
        <v>8.4400729999999993E-3</v>
      </c>
      <c r="P3277">
        <v>0.99726649999999994</v>
      </c>
      <c r="Q3277">
        <v>-2.5878040000000001E-2</v>
      </c>
      <c r="R3277">
        <v>-6.9212090000000004E-2</v>
      </c>
      <c r="S3277">
        <v>2.9967959999999998</v>
      </c>
      <c r="T3277">
        <v>-5.9013250000000003E-2</v>
      </c>
      <c r="U3277">
        <v>-0.14234920000000001</v>
      </c>
      <c r="V3277">
        <v>7.7626710000000002E-2</v>
      </c>
      <c r="W3277">
        <v>-1.3353530000000001E-2</v>
      </c>
      <c r="X3277">
        <v>0.99689300000000003</v>
      </c>
      <c r="Y3277">
        <v>5.5864099999999903E-2</v>
      </c>
      <c r="Z3277">
        <v>-7.1579119999999998E-4</v>
      </c>
      <c r="AA3277">
        <v>0.9984381</v>
      </c>
      <c r="AB3277">
        <v>43</v>
      </c>
      <c r="AC3277">
        <v>55.660599999999903</v>
      </c>
      <c r="AD3277">
        <v>-1.109544781693</v>
      </c>
      <c r="AE3277">
        <v>-2.68199999999998</v>
      </c>
      <c r="AF3277">
        <v>3.15047209042711</v>
      </c>
      <c r="AG3277">
        <v>-1.109544781693</v>
      </c>
      <c r="AH3277">
        <v>55.6139310437541</v>
      </c>
      <c r="AI3277">
        <v>91.141118413453</v>
      </c>
      <c r="AJ3277">
        <v>86.757718233104399</v>
      </c>
      <c r="AK3277">
        <v>55.7141444352741</v>
      </c>
      <c r="AL3277">
        <v>90.765123698131305</v>
      </c>
      <c r="AM3277">
        <v>85.547440018990898</v>
      </c>
      <c r="AN3277">
        <v>0.99999993815893995</v>
      </c>
    </row>
    <row r="3278" spans="1:40" x14ac:dyDescent="0.25">
      <c r="A3278" t="str">
        <f>"20190312161335462"</f>
        <v>20190312161335462</v>
      </c>
      <c r="B3278" t="str">
        <f>"1552378415448759"</f>
        <v>1552378415448759</v>
      </c>
      <c r="C3278" t="s">
        <v>40</v>
      </c>
      <c r="D3278">
        <v>4.5716900000000003</v>
      </c>
      <c r="E3278">
        <v>0.49017149999999998</v>
      </c>
      <c r="F3278" t="s">
        <v>81</v>
      </c>
      <c r="G3278">
        <v>-168.41099999999901</v>
      </c>
      <c r="H3278">
        <v>1.2876989999999999</v>
      </c>
      <c r="I3278">
        <v>206.2269</v>
      </c>
      <c r="J3278">
        <v>-342.678</v>
      </c>
      <c r="K3278">
        <v>1.109588</v>
      </c>
      <c r="L3278">
        <v>213.95330000000001</v>
      </c>
      <c r="M3278">
        <v>0.99988189999999999</v>
      </c>
      <c r="N3278">
        <v>0</v>
      </c>
      <c r="O3278">
        <v>8.4401000000000007E-3</v>
      </c>
      <c r="P3278">
        <v>0.99726250000000005</v>
      </c>
      <c r="Q3278">
        <v>-2.6124040000000001E-2</v>
      </c>
      <c r="R3278">
        <v>-6.9175490000000006E-2</v>
      </c>
      <c r="S3278">
        <v>2.9991460000000001</v>
      </c>
      <c r="T3278">
        <v>3.060222E-3</v>
      </c>
      <c r="U3278">
        <v>-0.1326447</v>
      </c>
      <c r="V3278">
        <v>7.7590320000000004E-2</v>
      </c>
      <c r="W3278">
        <v>-1.3317300000000001E-2</v>
      </c>
      <c r="X3278">
        <v>0.99689640000000002</v>
      </c>
      <c r="Y3278">
        <v>5.2615240000000001E-2</v>
      </c>
      <c r="Z3278" s="1">
        <v>3.5439050000000001E-5</v>
      </c>
      <c r="AA3278">
        <v>0.99861480000000002</v>
      </c>
      <c r="AB3278">
        <v>43</v>
      </c>
      <c r="AC3278">
        <v>174.267</v>
      </c>
      <c r="AD3278">
        <v>0.17811099999999899</v>
      </c>
      <c r="AE3278">
        <v>-7.7264000000000097</v>
      </c>
      <c r="AF3278">
        <v>9.1970673941480694</v>
      </c>
      <c r="AG3278">
        <v>0.17811099999999899</v>
      </c>
      <c r="AH3278">
        <v>174.19539330978299</v>
      </c>
      <c r="AI3278">
        <v>89.941497814941499</v>
      </c>
      <c r="AJ3278">
        <v>86.977736817700404</v>
      </c>
      <c r="AK3278">
        <v>174.438105993303</v>
      </c>
      <c r="AL3278">
        <v>90.763047624641104</v>
      </c>
      <c r="AM3278">
        <v>85.549534028927397</v>
      </c>
      <c r="AN3278">
        <v>1.0000000202849699</v>
      </c>
    </row>
    <row r="3279" spans="1:40" x14ac:dyDescent="0.25">
      <c r="A3279" t="str">
        <f>"20190312161335484"</f>
        <v>20190312161335484</v>
      </c>
      <c r="B3279" t="str">
        <f>"1552378415479015"</f>
        <v>1552378415479015</v>
      </c>
      <c r="C3279" t="s">
        <v>40</v>
      </c>
      <c r="D3279">
        <v>4.580063</v>
      </c>
      <c r="E3279">
        <v>0.49018420000000001</v>
      </c>
      <c r="F3279" t="s">
        <v>81</v>
      </c>
      <c r="G3279">
        <v>-168.4111</v>
      </c>
      <c r="H3279">
        <v>1.6142729999999901</v>
      </c>
      <c r="I3279">
        <v>206.24090000000001</v>
      </c>
      <c r="J3279">
        <v>-342.24599999999998</v>
      </c>
      <c r="K3279">
        <v>1.1096159999999999</v>
      </c>
      <c r="L3279">
        <v>213.95689999999999</v>
      </c>
      <c r="M3279">
        <v>0.99987789999999999</v>
      </c>
      <c r="N3279">
        <v>0</v>
      </c>
      <c r="O3279">
        <v>8.4402650000000006E-3</v>
      </c>
      <c r="P3279">
        <v>0.99728479999999997</v>
      </c>
      <c r="Q3279">
        <v>-2.6287250000000002E-2</v>
      </c>
      <c r="R3279">
        <v>-6.8793969999999996E-2</v>
      </c>
      <c r="S3279">
        <v>2.9992679999999998</v>
      </c>
      <c r="T3279">
        <v>8.6865429999999997E-3</v>
      </c>
      <c r="U3279">
        <v>-0.1327362</v>
      </c>
      <c r="V3279">
        <v>7.7209020000000003E-2</v>
      </c>
      <c r="W3279">
        <v>-1.317108E-2</v>
      </c>
      <c r="X3279">
        <v>0.99692789999999998</v>
      </c>
      <c r="Y3279">
        <v>5.2643849999999999E-2</v>
      </c>
      <c r="Z3279">
        <v>1.006326E-4</v>
      </c>
      <c r="AA3279">
        <v>0.99861339999999998</v>
      </c>
      <c r="AB3279">
        <v>43</v>
      </c>
      <c r="AC3279">
        <v>173.83489999999901</v>
      </c>
      <c r="AD3279">
        <v>0.50465699999999902</v>
      </c>
      <c r="AE3279">
        <v>-7.7159999999999798</v>
      </c>
      <c r="AF3279">
        <v>9.1829873838166201</v>
      </c>
      <c r="AG3279">
        <v>0.50465699999999902</v>
      </c>
      <c r="AH3279">
        <v>173.76211470216899</v>
      </c>
      <c r="AI3279">
        <v>89.833828326171997</v>
      </c>
      <c r="AJ3279">
        <v>86.974844527987699</v>
      </c>
      <c r="AK3279">
        <v>174.00532877400201</v>
      </c>
      <c r="AL3279">
        <v>90.754669136022102</v>
      </c>
      <c r="AM3279">
        <v>85.571456988262696</v>
      </c>
      <c r="AN3279">
        <v>0.99999997395806794</v>
      </c>
    </row>
    <row r="3280" spans="1:40" x14ac:dyDescent="0.25">
      <c r="A3280" t="str">
        <f>"20190312161335509"</f>
        <v>20190312161335509</v>
      </c>
      <c r="B3280" t="str">
        <f>"1552378415499514"</f>
        <v>1552378415499514</v>
      </c>
      <c r="C3280" t="s">
        <v>40</v>
      </c>
      <c r="D3280">
        <v>4.5675730000000003</v>
      </c>
      <c r="E3280">
        <v>0.49030230000000002</v>
      </c>
      <c r="F3280" t="s">
        <v>81</v>
      </c>
      <c r="G3280">
        <v>-168.41130000000001</v>
      </c>
      <c r="H3280">
        <v>2.364204</v>
      </c>
      <c r="I3280">
        <v>206.30260000000001</v>
      </c>
      <c r="J3280">
        <v>-341.79739999999998</v>
      </c>
      <c r="K3280">
        <v>1.1096410000000001</v>
      </c>
      <c r="L3280">
        <v>213.9607</v>
      </c>
      <c r="M3280">
        <v>0.99987389999999998</v>
      </c>
      <c r="N3280">
        <v>0</v>
      </c>
      <c r="O3280">
        <v>8.4406519999999999E-3</v>
      </c>
      <c r="P3280">
        <v>0.99729270000000003</v>
      </c>
      <c r="Q3280">
        <v>-2.7043310000000001E-2</v>
      </c>
      <c r="R3280">
        <v>-6.8381730000000002E-2</v>
      </c>
      <c r="S3280">
        <v>2.9996339999999999</v>
      </c>
      <c r="T3280">
        <v>2.1649359999999999E-2</v>
      </c>
      <c r="U3280">
        <v>-0.13208010000000001</v>
      </c>
      <c r="V3280">
        <v>7.6797249999999997E-2</v>
      </c>
      <c r="W3280">
        <v>-1.3639750000000001E-2</v>
      </c>
      <c r="X3280">
        <v>0.99695339999999999</v>
      </c>
      <c r="Y3280">
        <v>5.2419550000000002E-2</v>
      </c>
      <c r="Z3280">
        <v>2.4996719999999999E-4</v>
      </c>
      <c r="AA3280">
        <v>0.99862510000000004</v>
      </c>
      <c r="AB3280">
        <v>43</v>
      </c>
      <c r="AC3280">
        <v>173.386099999999</v>
      </c>
      <c r="AD3280">
        <v>1.2545629999999901</v>
      </c>
      <c r="AE3280">
        <v>-7.6580999999999904</v>
      </c>
      <c r="AF3280">
        <v>9.1209747011065705</v>
      </c>
      <c r="AG3280">
        <v>1.2545629999999901</v>
      </c>
      <c r="AH3280">
        <v>173.30622140993401</v>
      </c>
      <c r="AI3280">
        <v>89.585816534086206</v>
      </c>
      <c r="AJ3280">
        <v>86.9873461437016</v>
      </c>
      <c r="AK3280">
        <v>173.55060497505701</v>
      </c>
      <c r="AL3280">
        <v>90.781524365321303</v>
      </c>
      <c r="AM3280">
        <v>85.595094248966603</v>
      </c>
      <c r="AN3280">
        <v>0.99999997107959204</v>
      </c>
    </row>
    <row r="3281" spans="1:40" x14ac:dyDescent="0.25">
      <c r="A3281" t="str">
        <f>"20190312161335529"</f>
        <v>20190312161335529</v>
      </c>
      <c r="B3281" t="str">
        <f>"1552378415519032"</f>
        <v>1552378415519032</v>
      </c>
      <c r="C3281" t="s">
        <v>40</v>
      </c>
      <c r="D3281">
        <v>4.6038350000000001</v>
      </c>
      <c r="E3281">
        <v>0.49045159999999999</v>
      </c>
      <c r="F3281" t="s">
        <v>81</v>
      </c>
      <c r="G3281">
        <v>-168.41139999999999</v>
      </c>
      <c r="H3281">
        <v>2.5530680000000001</v>
      </c>
      <c r="I3281">
        <v>206.3229</v>
      </c>
      <c r="J3281">
        <v>-341.3999</v>
      </c>
      <c r="K3281">
        <v>1.1096520000000001</v>
      </c>
      <c r="L3281">
        <v>213.964</v>
      </c>
      <c r="M3281">
        <v>0.99987099999999995</v>
      </c>
      <c r="N3281">
        <v>0</v>
      </c>
      <c r="O3281">
        <v>8.4404760000000006E-3</v>
      </c>
      <c r="P3281">
        <v>0.99732639999999995</v>
      </c>
      <c r="Q3281">
        <v>-2.6890339999999999E-2</v>
      </c>
      <c r="R3281">
        <v>-6.7950350000000007E-2</v>
      </c>
      <c r="S3281">
        <v>2.9997560000000001</v>
      </c>
      <c r="T3281">
        <v>2.4973390000000002E-2</v>
      </c>
      <c r="U3281">
        <v>-0.13214110000000001</v>
      </c>
      <c r="V3281">
        <v>7.6366000000000003E-2</v>
      </c>
      <c r="W3281">
        <v>-1.326134E-2</v>
      </c>
      <c r="X3281">
        <v>0.99699159999999998</v>
      </c>
      <c r="Y3281">
        <v>5.2437369999999997E-2</v>
      </c>
      <c r="Z3281">
        <v>2.8840689999999998E-4</v>
      </c>
      <c r="AA3281">
        <v>0.99862410000000001</v>
      </c>
      <c r="AB3281">
        <v>42</v>
      </c>
      <c r="AC3281">
        <v>172.98849999999999</v>
      </c>
      <c r="AD3281">
        <v>1.443416</v>
      </c>
      <c r="AE3281">
        <v>-7.6411000000000202</v>
      </c>
      <c r="AF3281">
        <v>9.1004370351404695</v>
      </c>
      <c r="AG3281">
        <v>1.443416</v>
      </c>
      <c r="AH3281">
        <v>172.90582153880001</v>
      </c>
      <c r="AI3281">
        <v>89.522367610360703</v>
      </c>
      <c r="AJ3281">
        <v>86.987169325786098</v>
      </c>
      <c r="AK3281">
        <v>173.15116091434999</v>
      </c>
      <c r="AL3281">
        <v>90.759841130895893</v>
      </c>
      <c r="AM3281">
        <v>85.619900353808205</v>
      </c>
      <c r="AN3281">
        <v>0.99999993978257595</v>
      </c>
    </row>
    <row r="3282" spans="1:40" x14ac:dyDescent="0.25">
      <c r="A3282" t="str">
        <f>"20190312161335551"</f>
        <v>20190312161335551</v>
      </c>
      <c r="B3282" t="str">
        <f>"1552378415539527"</f>
        <v>1552378415539527</v>
      </c>
      <c r="C3282" t="s">
        <v>40</v>
      </c>
      <c r="D3282">
        <v>4.58955</v>
      </c>
      <c r="E3282">
        <v>0.49060979999999998</v>
      </c>
      <c r="F3282" t="s">
        <v>81</v>
      </c>
      <c r="G3282">
        <v>-168.41149999999999</v>
      </c>
      <c r="H3282">
        <v>2.812935</v>
      </c>
      <c r="I3282">
        <v>206.34829999999999</v>
      </c>
      <c r="J3282">
        <v>-340.99529999999999</v>
      </c>
      <c r="K3282">
        <v>1.109664</v>
      </c>
      <c r="L3282">
        <v>213.9675</v>
      </c>
      <c r="M3282">
        <v>0.99986810000000004</v>
      </c>
      <c r="N3282">
        <v>0</v>
      </c>
      <c r="O3282">
        <v>8.4407230000000007E-3</v>
      </c>
      <c r="P3282">
        <v>0.9973708</v>
      </c>
      <c r="Q3282">
        <v>-2.6626529999999999E-2</v>
      </c>
      <c r="R3282">
        <v>-6.7398680000000002E-2</v>
      </c>
      <c r="S3282">
        <v>2.9998170000000002</v>
      </c>
      <c r="T3282">
        <v>2.9537440000000002E-2</v>
      </c>
      <c r="U3282">
        <v>-0.13206479999999901</v>
      </c>
      <c r="V3282">
        <v>7.5815209999999994E-2</v>
      </c>
      <c r="W3282">
        <v>-1.279341E-2</v>
      </c>
      <c r="X3282">
        <v>0.99703980000000003</v>
      </c>
      <c r="Y3282">
        <v>5.241055E-2</v>
      </c>
      <c r="Z3282">
        <v>3.4097659999999998E-4</v>
      </c>
      <c r="AA3282">
        <v>0.9986256</v>
      </c>
      <c r="AB3282">
        <v>42</v>
      </c>
      <c r="AC3282">
        <v>172.5838</v>
      </c>
      <c r="AD3282">
        <v>1.703271</v>
      </c>
      <c r="AE3282">
        <v>-7.6192000000000002</v>
      </c>
      <c r="AF3282">
        <v>9.0749186375450996</v>
      </c>
      <c r="AG3282">
        <v>1.703271</v>
      </c>
      <c r="AH3282">
        <v>172.49656421091899</v>
      </c>
      <c r="AI3282">
        <v>89.435047825830594</v>
      </c>
      <c r="AJ3282">
        <v>86.988487069905801</v>
      </c>
      <c r="AK3282">
        <v>172.74350912537699</v>
      </c>
      <c r="AL3282">
        <v>90.733028402725097</v>
      </c>
      <c r="AM3282">
        <v>85.651579635898202</v>
      </c>
      <c r="AN3282">
        <v>0.99999999009540597</v>
      </c>
    </row>
    <row r="3283" spans="1:40" x14ac:dyDescent="0.25">
      <c r="A3283" t="str">
        <f>"20190312161335573"</f>
        <v>20190312161335573</v>
      </c>
      <c r="B3283" t="str">
        <f>"1552378415568806"</f>
        <v>1552378415568806</v>
      </c>
      <c r="C3283" t="s">
        <v>40</v>
      </c>
      <c r="D3283">
        <v>4.6339750000000004</v>
      </c>
      <c r="E3283">
        <v>0.49058020000000002</v>
      </c>
      <c r="F3283" t="s">
        <v>81</v>
      </c>
      <c r="G3283">
        <v>-168.41149999999999</v>
      </c>
      <c r="H3283">
        <v>2.9813580000000002</v>
      </c>
      <c r="I3283">
        <v>206.3819</v>
      </c>
      <c r="J3283">
        <v>-340.57080000000002</v>
      </c>
      <c r="K3283">
        <v>1.109683</v>
      </c>
      <c r="L3283">
        <v>213.97110000000001</v>
      </c>
      <c r="M3283">
        <v>0.99986540000000002</v>
      </c>
      <c r="N3283">
        <v>0</v>
      </c>
      <c r="O3283">
        <v>8.4410560000000006E-3</v>
      </c>
      <c r="P3283">
        <v>0.99736740000000002</v>
      </c>
      <c r="Q3283">
        <v>-2.690915E-2</v>
      </c>
      <c r="R3283">
        <v>-6.7335140000000002E-2</v>
      </c>
      <c r="S3283">
        <v>2.9998170000000002</v>
      </c>
      <c r="T3283">
        <v>3.2534E-2</v>
      </c>
      <c r="U3283">
        <v>-0.1318512</v>
      </c>
      <c r="V3283">
        <v>7.575192E-2</v>
      </c>
      <c r="W3283">
        <v>-1.288798E-2</v>
      </c>
      <c r="X3283">
        <v>0.99704340000000002</v>
      </c>
      <c r="Y3283">
        <v>5.2339299999999998E-2</v>
      </c>
      <c r="Z3283">
        <v>3.7518490000000001E-4</v>
      </c>
      <c r="AA3283">
        <v>0.99862930000000005</v>
      </c>
      <c r="AB3283">
        <v>42</v>
      </c>
      <c r="AC3283">
        <v>172.1593</v>
      </c>
      <c r="AD3283">
        <v>1.871675</v>
      </c>
      <c r="AE3283">
        <v>-7.5891999999999999</v>
      </c>
      <c r="AF3283">
        <v>9.0412131459046297</v>
      </c>
      <c r="AG3283">
        <v>1.871675</v>
      </c>
      <c r="AH3283">
        <v>172.068799911366</v>
      </c>
      <c r="AI3283">
        <v>89.377649320498804</v>
      </c>
      <c r="AJ3283">
        <v>86.992206558336505</v>
      </c>
      <c r="AK3283">
        <v>172.31633296177401</v>
      </c>
      <c r="AL3283">
        <v>90.738447305982206</v>
      </c>
      <c r="AM3283">
        <v>85.655211388239906</v>
      </c>
      <c r="AN3283">
        <v>0.99999999744786305</v>
      </c>
    </row>
    <row r="3284" spans="1:40" x14ac:dyDescent="0.25">
      <c r="A3284" t="str">
        <f>"20190312161335597"</f>
        <v>20190312161335597</v>
      </c>
      <c r="B3284" t="str">
        <f>"1552378415589305"</f>
        <v>1552378415589305</v>
      </c>
      <c r="C3284" t="s">
        <v>40</v>
      </c>
      <c r="D3284">
        <v>4.6351259999999996</v>
      </c>
      <c r="E3284">
        <v>0.49072519999999997</v>
      </c>
      <c r="F3284" t="s">
        <v>81</v>
      </c>
      <c r="G3284">
        <v>-168.41139999999999</v>
      </c>
      <c r="H3284">
        <v>2.8419629999999998</v>
      </c>
      <c r="I3284">
        <v>206.4367</v>
      </c>
      <c r="J3284">
        <v>-340.12419999999997</v>
      </c>
      <c r="K3284">
        <v>1.109693</v>
      </c>
      <c r="L3284">
        <v>213.97479999999999</v>
      </c>
      <c r="M3284">
        <v>0.99986299999999995</v>
      </c>
      <c r="N3284">
        <v>0</v>
      </c>
      <c r="O3284">
        <v>8.4411319999999901E-3</v>
      </c>
      <c r="P3284">
        <v>0.99737500000000001</v>
      </c>
      <c r="Q3284">
        <v>-2.7250030000000001E-2</v>
      </c>
      <c r="R3284">
        <v>-6.7089079999999995E-2</v>
      </c>
      <c r="S3284">
        <v>2.9998779999999998</v>
      </c>
      <c r="T3284">
        <v>3.018558E-2</v>
      </c>
      <c r="U3284">
        <v>-0.1312866</v>
      </c>
      <c r="V3284">
        <v>7.550598E-2</v>
      </c>
      <c r="W3284">
        <v>-1.3056460000000001E-2</v>
      </c>
      <c r="X3284">
        <v>0.9970599</v>
      </c>
      <c r="Y3284">
        <v>5.2151429999999999E-2</v>
      </c>
      <c r="Z3284">
        <v>3.4715469999999998E-4</v>
      </c>
      <c r="AA3284">
        <v>0.9986391</v>
      </c>
      <c r="AB3284">
        <v>42</v>
      </c>
      <c r="AC3284">
        <v>171.71279999999999</v>
      </c>
      <c r="AD3284">
        <v>1.73227</v>
      </c>
      <c r="AE3284">
        <v>-7.5380999999999796</v>
      </c>
      <c r="AF3284">
        <v>8.9865159300980206</v>
      </c>
      <c r="AG3284">
        <v>1.73227</v>
      </c>
      <c r="AH3284">
        <v>171.62561161572199</v>
      </c>
      <c r="AI3284">
        <v>89.422506798654098</v>
      </c>
      <c r="AJ3284">
        <v>87.002663838264496</v>
      </c>
      <c r="AK3284">
        <v>171.869452755239</v>
      </c>
      <c r="AL3284">
        <v>90.748101283787804</v>
      </c>
      <c r="AM3284">
        <v>85.669335040725898</v>
      </c>
      <c r="AN3284">
        <v>1.00000003417575</v>
      </c>
    </row>
    <row r="3285" spans="1:40" x14ac:dyDescent="0.25">
      <c r="A3285" t="str">
        <f>"20190312161335620"</f>
        <v>20190312161335620</v>
      </c>
      <c r="B3285" t="str">
        <f>"1552378415608824"</f>
        <v>1552378415608824</v>
      </c>
      <c r="C3285" t="s">
        <v>40</v>
      </c>
      <c r="D3285">
        <v>4.6668729999999998</v>
      </c>
      <c r="E3285">
        <v>0.49090329999999899</v>
      </c>
      <c r="F3285" t="s">
        <v>81</v>
      </c>
      <c r="G3285">
        <v>-168.41149999999999</v>
      </c>
      <c r="H3285">
        <v>2.8600690000000002</v>
      </c>
      <c r="I3285">
        <v>206.42670000000001</v>
      </c>
      <c r="J3285">
        <v>-339.68560000000002</v>
      </c>
      <c r="K3285">
        <v>1.109701</v>
      </c>
      <c r="L3285">
        <v>213.9785</v>
      </c>
      <c r="M3285">
        <v>0.99986090000000005</v>
      </c>
      <c r="N3285">
        <v>0</v>
      </c>
      <c r="O3285">
        <v>8.4412619999999997E-3</v>
      </c>
      <c r="P3285">
        <v>0.99736959999999997</v>
      </c>
      <c r="Q3285">
        <v>-2.7210700000000001E-2</v>
      </c>
      <c r="R3285">
        <v>-6.7181439999999995E-2</v>
      </c>
      <c r="S3285">
        <v>2.9998469999999999</v>
      </c>
      <c r="T3285">
        <v>3.057992E-2</v>
      </c>
      <c r="U3285">
        <v>-0.1318665</v>
      </c>
      <c r="V3285">
        <v>7.5598460000000006E-2</v>
      </c>
      <c r="W3285">
        <v>-1.2870980000000001E-2</v>
      </c>
      <c r="X3285">
        <v>0.99705529999999998</v>
      </c>
      <c r="Y3285">
        <v>5.2344590000000003E-2</v>
      </c>
      <c r="Z3285">
        <v>3.526774E-4</v>
      </c>
      <c r="AA3285">
        <v>0.99862899999999999</v>
      </c>
      <c r="AB3285">
        <v>42</v>
      </c>
      <c r="AC3285">
        <v>171.2741</v>
      </c>
      <c r="AD3285">
        <v>1.7503679999999899</v>
      </c>
      <c r="AE3285">
        <v>-7.5517999999999796</v>
      </c>
      <c r="AF3285">
        <v>8.99651225580347</v>
      </c>
      <c r="AG3285">
        <v>1.7503679999999899</v>
      </c>
      <c r="AH3285">
        <v>171.18639888431301</v>
      </c>
      <c r="AI3285">
        <v>89.414982666812307</v>
      </c>
      <c r="AJ3285">
        <v>86.991651106181195</v>
      </c>
      <c r="AK3285">
        <v>171.43157289100401</v>
      </c>
      <c r="AL3285">
        <v>90.737473172725302</v>
      </c>
      <c r="AM3285">
        <v>85.664031114305502</v>
      </c>
      <c r="AN3285">
        <v>1.0000000302693099</v>
      </c>
    </row>
    <row r="3286" spans="1:40" x14ac:dyDescent="0.25">
      <c r="A3286" t="str">
        <f>"20190312161335642"</f>
        <v>20190312161335642</v>
      </c>
      <c r="B3286" t="str">
        <f>"1552378415629319"</f>
        <v>1552378415629319</v>
      </c>
      <c r="C3286" t="s">
        <v>40</v>
      </c>
      <c r="D3286">
        <v>4.6939440000000001</v>
      </c>
      <c r="E3286">
        <v>0.49108639999999998</v>
      </c>
      <c r="F3286" t="s">
        <v>81</v>
      </c>
      <c r="G3286">
        <v>-168.41149999999999</v>
      </c>
      <c r="H3286">
        <v>2.8613909999999998</v>
      </c>
      <c r="I3286">
        <v>206.36240000000001</v>
      </c>
      <c r="J3286">
        <v>-339.26990000000001</v>
      </c>
      <c r="K3286">
        <v>1.1097049999999999</v>
      </c>
      <c r="L3286">
        <v>213.982</v>
      </c>
      <c r="M3286">
        <v>0.99985919999999895</v>
      </c>
      <c r="N3286">
        <v>0</v>
      </c>
      <c r="O3286">
        <v>8.4412189999999998E-3</v>
      </c>
      <c r="P3286">
        <v>0.99739060000000002</v>
      </c>
      <c r="Q3286">
        <v>-2.718841E-2</v>
      </c>
      <c r="R3286">
        <v>-6.688405E-2</v>
      </c>
      <c r="S3286">
        <v>2.9997560000000001</v>
      </c>
      <c r="T3286">
        <v>3.0680300000000001E-2</v>
      </c>
      <c r="U3286">
        <v>-0.13339229999999899</v>
      </c>
      <c r="V3286">
        <v>7.5301160000000006E-2</v>
      </c>
      <c r="W3286">
        <v>-1.2728430000000001E-2</v>
      </c>
      <c r="X3286">
        <v>0.99707959999999995</v>
      </c>
      <c r="Y3286">
        <v>5.2852839999999998E-2</v>
      </c>
      <c r="Z3286">
        <v>3.5643920000000002E-4</v>
      </c>
      <c r="AA3286">
        <v>0.99860230000000005</v>
      </c>
      <c r="AB3286">
        <v>42</v>
      </c>
      <c r="AC3286">
        <v>170.85839999999999</v>
      </c>
      <c r="AD3286">
        <v>1.7516860000000001</v>
      </c>
      <c r="AE3286">
        <v>-7.6195999999999904</v>
      </c>
      <c r="AF3286">
        <v>9.0607828624873203</v>
      </c>
      <c r="AG3286">
        <v>1.7516860000000001</v>
      </c>
      <c r="AH3286">
        <v>170.770072104126</v>
      </c>
      <c r="AI3286">
        <v>89.413130568221703</v>
      </c>
      <c r="AJ3286">
        <v>86.962826869344994</v>
      </c>
      <c r="AK3286">
        <v>171.01924954920199</v>
      </c>
      <c r="AL3286">
        <v>90.729305010217999</v>
      </c>
      <c r="AM3286">
        <v>85.681123044198898</v>
      </c>
      <c r="AN3286">
        <v>1.0000000031818801</v>
      </c>
    </row>
    <row r="3287" spans="1:40" x14ac:dyDescent="0.25">
      <c r="A3287" t="str">
        <f>"20190312161335663"</f>
        <v>20190312161335663</v>
      </c>
      <c r="B3287" t="str">
        <f>"1552378415659575"</f>
        <v>1552378415659575</v>
      </c>
      <c r="C3287" t="s">
        <v>40</v>
      </c>
      <c r="D3287">
        <v>4.7489869999999996</v>
      </c>
      <c r="E3287">
        <v>0.49135420000000002</v>
      </c>
      <c r="F3287" t="s">
        <v>81</v>
      </c>
      <c r="G3287">
        <v>-168.41149999999999</v>
      </c>
      <c r="H3287">
        <v>2.8460160000000001</v>
      </c>
      <c r="I3287">
        <v>206.3451</v>
      </c>
      <c r="J3287">
        <v>-338.87470000000002</v>
      </c>
      <c r="K3287">
        <v>1.1097170000000001</v>
      </c>
      <c r="L3287">
        <v>213.9854</v>
      </c>
      <c r="M3287">
        <v>0.99985769999999996</v>
      </c>
      <c r="N3287">
        <v>0</v>
      </c>
      <c r="O3287">
        <v>8.4413219999999994E-3</v>
      </c>
      <c r="P3287">
        <v>0.99740119999999999</v>
      </c>
      <c r="Q3287">
        <v>-2.7342700000000001E-2</v>
      </c>
      <c r="R3287">
        <v>-6.6658469999999997E-2</v>
      </c>
      <c r="S3287">
        <v>2.999695</v>
      </c>
      <c r="T3287">
        <v>3.0484319999999999E-2</v>
      </c>
      <c r="U3287">
        <v>-0.134079</v>
      </c>
      <c r="V3287">
        <v>7.5075799999999998E-2</v>
      </c>
      <c r="W3287">
        <v>-1.278343E-2</v>
      </c>
      <c r="X3287">
        <v>0.99709590000000003</v>
      </c>
      <c r="Y3287">
        <v>5.3081999999999997E-2</v>
      </c>
      <c r="Z3287">
        <v>3.5533279999999998E-4</v>
      </c>
      <c r="AA3287">
        <v>0.99859010000000004</v>
      </c>
      <c r="AB3287">
        <v>42</v>
      </c>
      <c r="AC3287">
        <v>170.4632</v>
      </c>
      <c r="AD3287">
        <v>1.736299</v>
      </c>
      <c r="AE3287">
        <v>-7.6402999999999901</v>
      </c>
      <c r="AF3287">
        <v>9.0781760215351905</v>
      </c>
      <c r="AG3287">
        <v>1.736299</v>
      </c>
      <c r="AH3287">
        <v>170.37498327613099</v>
      </c>
      <c r="AI3287">
        <v>89.416943429835996</v>
      </c>
      <c r="AJ3287">
        <v>86.949964432643498</v>
      </c>
      <c r="AK3287">
        <v>170.62550495291501</v>
      </c>
      <c r="AL3287">
        <v>90.732456527435801</v>
      </c>
      <c r="AM3287">
        <v>85.694069944250302</v>
      </c>
      <c r="AN3287">
        <v>1.0000000128124999</v>
      </c>
    </row>
    <row r="3288" spans="1:40" x14ac:dyDescent="0.25">
      <c r="A3288" t="str">
        <f>"20190312161335686"</f>
        <v>20190312161335686</v>
      </c>
      <c r="B3288" t="str">
        <f>"1552378415679095"</f>
        <v>1552378415679095</v>
      </c>
      <c r="C3288" t="s">
        <v>40</v>
      </c>
      <c r="D3288">
        <v>4.7927999999999997</v>
      </c>
      <c r="E3288">
        <v>0.49149579999999998</v>
      </c>
      <c r="F3288" t="s">
        <v>81</v>
      </c>
      <c r="G3288">
        <v>-168.41149999999999</v>
      </c>
      <c r="H3288">
        <v>2.768545</v>
      </c>
      <c r="I3288">
        <v>206.2894</v>
      </c>
      <c r="J3288">
        <v>-338.44279999999998</v>
      </c>
      <c r="K3288">
        <v>1.109721</v>
      </c>
      <c r="L3288">
        <v>213.989</v>
      </c>
      <c r="M3288">
        <v>0.99985639999999998</v>
      </c>
      <c r="N3288">
        <v>0</v>
      </c>
      <c r="O3288">
        <v>8.4413400000000003E-3</v>
      </c>
      <c r="P3288">
        <v>0.99742640000000005</v>
      </c>
      <c r="Q3288">
        <v>-2.697227E-2</v>
      </c>
      <c r="R3288">
        <v>-6.6433220000000001E-2</v>
      </c>
      <c r="S3288">
        <v>2.9995419999999999</v>
      </c>
      <c r="T3288">
        <v>2.919006E-2</v>
      </c>
      <c r="U3288">
        <v>-0.13542179999999901</v>
      </c>
      <c r="V3288">
        <v>7.4850860000000005E-2</v>
      </c>
      <c r="W3288">
        <v>-1.2318819999999999E-2</v>
      </c>
      <c r="X3288">
        <v>0.99711870000000002</v>
      </c>
      <c r="Y3288">
        <v>5.3530670000000002E-2</v>
      </c>
      <c r="Z3288">
        <v>3.4244350000000001E-4</v>
      </c>
      <c r="AA3288">
        <v>0.99856619999999996</v>
      </c>
      <c r="AB3288">
        <v>42</v>
      </c>
      <c r="AC3288">
        <v>170.03129999999999</v>
      </c>
      <c r="AD3288">
        <v>1.6588240000000001</v>
      </c>
      <c r="AE3288">
        <v>-7.6996000000000002</v>
      </c>
      <c r="AF3288">
        <v>9.1339050287352297</v>
      </c>
      <c r="AG3288">
        <v>1.6588240000000001</v>
      </c>
      <c r="AH3288">
        <v>169.944096657275</v>
      </c>
      <c r="AI3288">
        <v>89.441559714648506</v>
      </c>
      <c r="AJ3288">
        <v>86.923510884602607</v>
      </c>
      <c r="AK3288">
        <v>170.19746151689299</v>
      </c>
      <c r="AL3288">
        <v>90.705834209891805</v>
      </c>
      <c r="AM3288">
        <v>85.707020743432906</v>
      </c>
      <c r="AN3288">
        <v>1.0000000532293001</v>
      </c>
    </row>
    <row r="3289" spans="1:40" x14ac:dyDescent="0.25">
      <c r="A3289" t="str">
        <f>"20190312161335708"</f>
        <v>20190312161335708</v>
      </c>
      <c r="B3289" t="str">
        <f>"1552378415699591"</f>
        <v>1552378415699591</v>
      </c>
      <c r="C3289" t="s">
        <v>40</v>
      </c>
      <c r="D3289">
        <v>4.7767119999999998</v>
      </c>
      <c r="E3289">
        <v>0.4634569</v>
      </c>
      <c r="F3289" t="s">
        <v>81</v>
      </c>
      <c r="G3289">
        <v>-168.41149999999999</v>
      </c>
      <c r="H3289">
        <v>2.7755529999999999</v>
      </c>
      <c r="I3289">
        <v>206.28469999999999</v>
      </c>
      <c r="J3289">
        <v>-338.02760000000001</v>
      </c>
      <c r="K3289">
        <v>1.1097300000000001</v>
      </c>
      <c r="L3289">
        <v>213.99250000000001</v>
      </c>
      <c r="M3289">
        <v>0.9998553</v>
      </c>
      <c r="N3289">
        <v>0</v>
      </c>
      <c r="O3289">
        <v>8.4414169999999997E-3</v>
      </c>
      <c r="P3289">
        <v>0.99741519999999995</v>
      </c>
      <c r="Q3289">
        <v>-2.7152969999999998E-2</v>
      </c>
      <c r="R3289">
        <v>-6.6528050000000005E-2</v>
      </c>
      <c r="S3289">
        <v>2.9994809999999998</v>
      </c>
      <c r="T3289">
        <v>2.9387119999999999E-2</v>
      </c>
      <c r="U3289">
        <v>-0.13591</v>
      </c>
      <c r="V3289">
        <v>7.4945629999999999E-2</v>
      </c>
      <c r="W3289">
        <v>-1.2422259999999999E-2</v>
      </c>
      <c r="X3289">
        <v>0.99711019999999995</v>
      </c>
      <c r="Y3289">
        <v>5.3693829999999998E-2</v>
      </c>
      <c r="Z3289">
        <v>3.4556050000000003E-4</v>
      </c>
      <c r="AA3289">
        <v>0.99855740000000004</v>
      </c>
      <c r="AB3289">
        <v>42</v>
      </c>
      <c r="AC3289">
        <v>169.61609999999999</v>
      </c>
      <c r="AD3289">
        <v>1.6658230000000001</v>
      </c>
      <c r="AE3289">
        <v>-7.7078000000000104</v>
      </c>
      <c r="AF3289">
        <v>9.1386020796653593</v>
      </c>
      <c r="AG3289">
        <v>1.6658230000000001</v>
      </c>
      <c r="AH3289">
        <v>169.52866536595801</v>
      </c>
      <c r="AI3289">
        <v>89.437834325202502</v>
      </c>
      <c r="AJ3289">
        <v>86.914403589895699</v>
      </c>
      <c r="AK3289">
        <v>169.782971451794</v>
      </c>
      <c r="AL3289">
        <v>90.7117614081277</v>
      </c>
      <c r="AM3289">
        <v>85.701569179984205</v>
      </c>
      <c r="AN3289">
        <v>0.99999995547182097</v>
      </c>
    </row>
    <row r="3290" spans="1:40" x14ac:dyDescent="0.25">
      <c r="A3290" t="str">
        <f>"20190312161335730"</f>
        <v>20190312161335730</v>
      </c>
      <c r="B3290" t="str">
        <f>"1552378415719112"</f>
        <v>1552378415719112</v>
      </c>
      <c r="C3290" t="s">
        <v>40</v>
      </c>
      <c r="D3290">
        <v>4.8662660000000004</v>
      </c>
      <c r="E3290">
        <v>0.44857580000000002</v>
      </c>
      <c r="F3290" t="s">
        <v>59</v>
      </c>
      <c r="G3290">
        <v>-157.8382</v>
      </c>
      <c r="H3290">
        <v>3.2979470000000002</v>
      </c>
      <c r="I3290">
        <v>219.18119999999999</v>
      </c>
      <c r="J3290">
        <v>-337.61689999999999</v>
      </c>
      <c r="K3290">
        <v>1.1097269999999999</v>
      </c>
      <c r="L3290">
        <v>213.99600000000001</v>
      </c>
      <c r="M3290">
        <v>0.99985429999999997</v>
      </c>
      <c r="N3290">
        <v>0</v>
      </c>
      <c r="O3290">
        <v>8.4415810000000001E-3</v>
      </c>
      <c r="P3290">
        <v>0.9974075</v>
      </c>
      <c r="Q3290">
        <v>-2.700309E-2</v>
      </c>
      <c r="R3290">
        <v>-6.6703609999999997E-2</v>
      </c>
      <c r="S3290">
        <v>3.0145569999999999</v>
      </c>
      <c r="T3290">
        <v>3.6609650000000001E-2</v>
      </c>
      <c r="U3290">
        <v>8.6807250000000002E-2</v>
      </c>
      <c r="V3290">
        <v>7.5121430000000003E-2</v>
      </c>
      <c r="W3290">
        <v>-1.2207239999999999E-2</v>
      </c>
      <c r="X3290">
        <v>0.99709970000000003</v>
      </c>
      <c r="Y3290">
        <v>-2.0343179999999999E-2</v>
      </c>
      <c r="Z3290" s="1">
        <v>-2.0997339999999999E-5</v>
      </c>
      <c r="AA3290">
        <v>0.99979309999999999</v>
      </c>
      <c r="AB3290">
        <v>42</v>
      </c>
      <c r="AC3290">
        <v>179.77869999999999</v>
      </c>
      <c r="AD3290">
        <v>2.1882199999999998</v>
      </c>
      <c r="AE3290">
        <v>5.1852</v>
      </c>
      <c r="AF3290">
        <v>-3.6666889199350399</v>
      </c>
      <c r="AG3290">
        <v>2.1882199999999998</v>
      </c>
      <c r="AH3290">
        <v>179.789455134473</v>
      </c>
      <c r="AI3290">
        <v>89.302831645124201</v>
      </c>
      <c r="AJ3290">
        <v>91.168348166194093</v>
      </c>
      <c r="AK3290">
        <v>179.84015428139099</v>
      </c>
      <c r="AL3290">
        <v>90.699440683451002</v>
      </c>
      <c r="AM3290">
        <v>85.6914790714996</v>
      </c>
      <c r="AN3290">
        <v>1.00000002884687</v>
      </c>
    </row>
    <row r="3291" spans="1:40" x14ac:dyDescent="0.25">
      <c r="A3291" t="str">
        <f>"20190312161335752"</f>
        <v>20190312161335752</v>
      </c>
      <c r="B3291" t="str">
        <f>"1552378415749368"</f>
        <v>1552378415749368</v>
      </c>
      <c r="C3291" t="s">
        <v>40</v>
      </c>
      <c r="D3291">
        <v>4.7436740000000004</v>
      </c>
      <c r="E3291">
        <v>0.4403648</v>
      </c>
      <c r="F3291" t="s">
        <v>59</v>
      </c>
      <c r="G3291">
        <v>-157.25</v>
      </c>
      <c r="H3291">
        <v>3.0557889999999999</v>
      </c>
      <c r="I3291">
        <v>226.23070000000001</v>
      </c>
      <c r="J3291">
        <v>-337.20870000000002</v>
      </c>
      <c r="K3291">
        <v>1.1097349999999999</v>
      </c>
      <c r="L3291">
        <v>213.99940000000001</v>
      </c>
      <c r="M3291">
        <v>0.99985349999999995</v>
      </c>
      <c r="N3291">
        <v>0</v>
      </c>
      <c r="O3291">
        <v>8.4416999999999999E-3</v>
      </c>
      <c r="P3291">
        <v>0.99739770000000005</v>
      </c>
      <c r="Q3291">
        <v>-2.6969110000000001E-2</v>
      </c>
      <c r="R3291">
        <v>-6.6865820000000006E-2</v>
      </c>
      <c r="S3291">
        <v>3.0224000000000002</v>
      </c>
      <c r="T3291">
        <v>3.2611010000000003E-2</v>
      </c>
      <c r="U3291">
        <v>0.20501710000000001</v>
      </c>
      <c r="V3291">
        <v>7.5283470000000005E-2</v>
      </c>
      <c r="W3291">
        <v>-1.211803E-2</v>
      </c>
      <c r="X3291">
        <v>0.99708859999999999</v>
      </c>
      <c r="Y3291">
        <v>-5.92484E-2</v>
      </c>
      <c r="Z3291">
        <v>-2.282827E-4</v>
      </c>
      <c r="AA3291">
        <v>0.99824329999999994</v>
      </c>
      <c r="AB3291">
        <v>42</v>
      </c>
      <c r="AC3291">
        <v>179.95869999999999</v>
      </c>
      <c r="AD3291">
        <v>1.946054</v>
      </c>
      <c r="AE3291">
        <v>12.231299999999999</v>
      </c>
      <c r="AF3291">
        <v>-10.710291578439399</v>
      </c>
      <c r="AG3291">
        <v>1.946054</v>
      </c>
      <c r="AH3291">
        <v>180.034594257967</v>
      </c>
      <c r="AI3291">
        <v>89.381787821939199</v>
      </c>
      <c r="AJ3291">
        <v>93.4045240920059</v>
      </c>
      <c r="AK3291">
        <v>180.36339041362299</v>
      </c>
      <c r="AL3291">
        <v>90.694328926068096</v>
      </c>
      <c r="AM3291">
        <v>85.682172638499395</v>
      </c>
      <c r="AN3291">
        <v>1.00000006187813</v>
      </c>
    </row>
    <row r="3292" spans="1:40" x14ac:dyDescent="0.25">
      <c r="A3292" t="str">
        <f>"20190312161335774"</f>
        <v>20190312161335774</v>
      </c>
      <c r="B3292" t="str">
        <f>"1552378415768887"</f>
        <v>1552378415768887</v>
      </c>
      <c r="C3292" t="s">
        <v>40</v>
      </c>
      <c r="D3292">
        <v>4.8931800000000001</v>
      </c>
      <c r="E3292">
        <v>0.437944</v>
      </c>
      <c r="F3292" t="s">
        <v>59</v>
      </c>
      <c r="G3292">
        <v>-157.25</v>
      </c>
      <c r="H3292">
        <v>3.2731370000000002</v>
      </c>
      <c r="I3292">
        <v>230.0376</v>
      </c>
      <c r="J3292">
        <v>-336.78129999999999</v>
      </c>
      <c r="K3292">
        <v>1.109747</v>
      </c>
      <c r="L3292">
        <v>214.00299999999999</v>
      </c>
      <c r="M3292">
        <v>0.99985259999999998</v>
      </c>
      <c r="N3292">
        <v>0</v>
      </c>
      <c r="O3292">
        <v>8.4418010000000005E-3</v>
      </c>
      <c r="P3292">
        <v>0.99735870000000004</v>
      </c>
      <c r="Q3292">
        <v>-2.6686950000000001E-2</v>
      </c>
      <c r="R3292">
        <v>-6.7553660000000001E-2</v>
      </c>
      <c r="S3292">
        <v>3.0268860000000002</v>
      </c>
      <c r="T3292">
        <v>3.6389110000000002E-2</v>
      </c>
      <c r="U3292">
        <v>0.269760099999999</v>
      </c>
      <c r="V3292">
        <v>7.5971259999999999E-2</v>
      </c>
      <c r="W3292">
        <v>-1.1786960000000001E-2</v>
      </c>
      <c r="X3292">
        <v>0.99704029999999999</v>
      </c>
      <c r="Y3292">
        <v>-8.0351770000000003E-2</v>
      </c>
      <c r="Z3292">
        <v>-3.8073680000000001E-4</v>
      </c>
      <c r="AA3292">
        <v>0.9967665</v>
      </c>
      <c r="AB3292">
        <v>42</v>
      </c>
      <c r="AC3292">
        <v>179.53129999999999</v>
      </c>
      <c r="AD3292">
        <v>2.1633900000000001</v>
      </c>
      <c r="AE3292">
        <v>16.034600000000001</v>
      </c>
      <c r="AF3292">
        <v>-14.5162004243226</v>
      </c>
      <c r="AG3292">
        <v>2.1633900000000001</v>
      </c>
      <c r="AH3292">
        <v>179.634399578169</v>
      </c>
      <c r="AI3292">
        <v>89.312245124239197</v>
      </c>
      <c r="AJ3292">
        <v>94.620015172468698</v>
      </c>
      <c r="AK3292">
        <v>180.23295437533201</v>
      </c>
      <c r="AL3292">
        <v>90.675358725572394</v>
      </c>
      <c r="AM3292">
        <v>85.642665919495002</v>
      </c>
      <c r="AN3292">
        <v>0.99999996229805799</v>
      </c>
    </row>
    <row r="3293" spans="1:40" x14ac:dyDescent="0.25">
      <c r="A3293" t="str">
        <f>"20190312161335798"</f>
        <v>20190312161335798</v>
      </c>
      <c r="B3293" t="str">
        <f>"1552378415789401"</f>
        <v>1552378415789401</v>
      </c>
      <c r="C3293" t="s">
        <v>40</v>
      </c>
      <c r="D3293">
        <v>4.9326109999999996</v>
      </c>
      <c r="E3293">
        <v>0.43661519999999998</v>
      </c>
      <c r="F3293" t="s">
        <v>59</v>
      </c>
      <c r="G3293">
        <v>-157.25</v>
      </c>
      <c r="H3293">
        <v>3.0487700000000002</v>
      </c>
      <c r="I3293">
        <v>231.0172</v>
      </c>
      <c r="J3293">
        <v>-336.34890000000001</v>
      </c>
      <c r="K3293">
        <v>1.10975</v>
      </c>
      <c r="L3293">
        <v>214.0067</v>
      </c>
      <c r="M3293">
        <v>0.99985190000000002</v>
      </c>
      <c r="N3293">
        <v>0</v>
      </c>
      <c r="O3293">
        <v>8.4419539999999998E-3</v>
      </c>
      <c r="P3293">
        <v>0.99733269999999996</v>
      </c>
      <c r="Q3293">
        <v>-2.6590590000000001E-2</v>
      </c>
      <c r="R3293">
        <v>-6.7972829999999998E-2</v>
      </c>
      <c r="S3293">
        <v>3.0282589999999998</v>
      </c>
      <c r="T3293">
        <v>3.2707569999999998E-2</v>
      </c>
      <c r="U3293">
        <v>0.2869873</v>
      </c>
      <c r="V3293">
        <v>7.6390429999999995E-2</v>
      </c>
      <c r="W3293">
        <v>-1.164835E-2</v>
      </c>
      <c r="X3293">
        <v>0.9970099</v>
      </c>
      <c r="Y3293">
        <v>-8.5933910000000002E-2</v>
      </c>
      <c r="Z3293">
        <v>-3.7205229999999999E-4</v>
      </c>
      <c r="AA3293">
        <v>0.99630079999999999</v>
      </c>
      <c r="AB3293">
        <v>42</v>
      </c>
      <c r="AC3293">
        <v>179.09889999999999</v>
      </c>
      <c r="AD3293">
        <v>1.93902</v>
      </c>
      <c r="AE3293">
        <v>17.0105</v>
      </c>
      <c r="AF3293">
        <v>-15.4959788778561</v>
      </c>
      <c r="AG3293">
        <v>1.93902</v>
      </c>
      <c r="AH3293">
        <v>179.215315871814</v>
      </c>
      <c r="AI3293">
        <v>89.382416682651694</v>
      </c>
      <c r="AJ3293">
        <v>94.941828942674803</v>
      </c>
      <c r="AK3293">
        <v>179.89445406397999</v>
      </c>
      <c r="AL3293">
        <v>90.667416412678506</v>
      </c>
      <c r="AM3293">
        <v>85.618584694530398</v>
      </c>
      <c r="AN3293">
        <v>0.99999996127565705</v>
      </c>
    </row>
    <row r="3294" spans="1:40" x14ac:dyDescent="0.25">
      <c r="A3294" t="str">
        <f>"20190312161335821"</f>
        <v>20190312161335821</v>
      </c>
      <c r="B3294" t="str">
        <f>"1552378415808903"</f>
        <v>1552378415808903</v>
      </c>
      <c r="C3294" t="s">
        <v>40</v>
      </c>
      <c r="D3294">
        <v>4.9502839999999999</v>
      </c>
      <c r="E3294">
        <v>0.4360289</v>
      </c>
      <c r="F3294" t="s">
        <v>59</v>
      </c>
      <c r="G3294">
        <v>-157.25</v>
      </c>
      <c r="H3294">
        <v>2.75468</v>
      </c>
      <c r="I3294">
        <v>231.53710000000001</v>
      </c>
      <c r="J3294">
        <v>-335.92309999999998</v>
      </c>
      <c r="K3294">
        <v>1.1097649999999999</v>
      </c>
      <c r="L3294">
        <v>214.0103</v>
      </c>
      <c r="M3294">
        <v>0.9998515</v>
      </c>
      <c r="N3294">
        <v>0</v>
      </c>
      <c r="O3294">
        <v>8.4418619999999996E-3</v>
      </c>
      <c r="P3294">
        <v>0.99732460000000001</v>
      </c>
      <c r="Q3294">
        <v>-2.6030879999999999E-2</v>
      </c>
      <c r="R3294">
        <v>-6.8307670000000001E-2</v>
      </c>
      <c r="S3294">
        <v>3.0289609999999998</v>
      </c>
      <c r="T3294">
        <v>2.7820350000000001E-2</v>
      </c>
      <c r="U3294">
        <v>0.29647829999999997</v>
      </c>
      <c r="V3294">
        <v>7.6725070000000006E-2</v>
      </c>
      <c r="W3294">
        <v>-1.105332E-2</v>
      </c>
      <c r="X3294">
        <v>0.99699099999999996</v>
      </c>
      <c r="Y3294">
        <v>-8.9006130000000003E-2</v>
      </c>
      <c r="Z3294">
        <v>-3.3041770000000003E-4</v>
      </c>
      <c r="AA3294">
        <v>0.996031</v>
      </c>
      <c r="AB3294">
        <v>42</v>
      </c>
      <c r="AC3294">
        <v>178.67309999999901</v>
      </c>
      <c r="AD3294">
        <v>1.6449149999999999</v>
      </c>
      <c r="AE3294">
        <v>17.526800000000001</v>
      </c>
      <c r="AF3294">
        <v>-16.016326880378099</v>
      </c>
      <c r="AG3294">
        <v>1.6449149999999999</v>
      </c>
      <c r="AH3294">
        <v>178.79969755495799</v>
      </c>
      <c r="AI3294">
        <v>89.475009170046206</v>
      </c>
      <c r="AJ3294">
        <v>95.118717939672607</v>
      </c>
      <c r="AK3294">
        <v>179.523147025226</v>
      </c>
      <c r="AL3294">
        <v>90.633321492818098</v>
      </c>
      <c r="AM3294">
        <v>85.599383365931999</v>
      </c>
      <c r="AN3294">
        <v>0.99999998316526295</v>
      </c>
    </row>
    <row r="3295" spans="1:40" x14ac:dyDescent="0.25">
      <c r="A3295" t="str">
        <f>"20190312161335843"</f>
        <v>20190312161335843</v>
      </c>
      <c r="B3295" t="str">
        <f>"1552378415839160"</f>
        <v>1552378415839160</v>
      </c>
      <c r="C3295" t="s">
        <v>40</v>
      </c>
      <c r="D3295">
        <v>4.9874890000000001</v>
      </c>
      <c r="E3295">
        <v>0.43505850000000001</v>
      </c>
      <c r="F3295" t="s">
        <v>59</v>
      </c>
      <c r="G3295">
        <v>-157.25</v>
      </c>
      <c r="H3295">
        <v>2.5510060000000001</v>
      </c>
      <c r="I3295">
        <v>231.7302</v>
      </c>
      <c r="J3295">
        <v>-335.52589999999998</v>
      </c>
      <c r="K3295">
        <v>1.1097729999999999</v>
      </c>
      <c r="L3295">
        <v>214.0137</v>
      </c>
      <c r="M3295">
        <v>0.99985109999999999</v>
      </c>
      <c r="N3295">
        <v>0</v>
      </c>
      <c r="O3295">
        <v>8.4418259999999995E-3</v>
      </c>
      <c r="P3295">
        <v>0.99733559999999999</v>
      </c>
      <c r="Q3295">
        <v>-2.6207020000000001E-2</v>
      </c>
      <c r="R3295">
        <v>-6.8083190000000002E-2</v>
      </c>
      <c r="S3295">
        <v>3.0292970000000001</v>
      </c>
      <c r="T3295">
        <v>2.4436349999999999E-2</v>
      </c>
      <c r="U3295">
        <v>0.30043029999999998</v>
      </c>
      <c r="V3295">
        <v>7.6500659999999998E-2</v>
      </c>
      <c r="W3295">
        <v>-1.120112E-2</v>
      </c>
      <c r="X3295">
        <v>0.99700659999999997</v>
      </c>
      <c r="Y3295">
        <v>-9.0283050000000004E-2</v>
      </c>
      <c r="Z3295">
        <v>-2.9531529999999998E-4</v>
      </c>
      <c r="AA3295">
        <v>0.99591609999999997</v>
      </c>
      <c r="AB3295">
        <v>42</v>
      </c>
      <c r="AC3295">
        <v>178.27589999999901</v>
      </c>
      <c r="AD3295">
        <v>1.441233</v>
      </c>
      <c r="AE3295">
        <v>17.7164999999999</v>
      </c>
      <c r="AF3295">
        <v>-16.209674928668498</v>
      </c>
      <c r="AG3295">
        <v>1.441233</v>
      </c>
      <c r="AH3295">
        <v>178.4075767166</v>
      </c>
      <c r="AI3295">
        <v>89.539055164238505</v>
      </c>
      <c r="AJ3295">
        <v>95.191499897853703</v>
      </c>
      <c r="AK3295">
        <v>179.14824627593501</v>
      </c>
      <c r="AL3295">
        <v>90.641790330213794</v>
      </c>
      <c r="AM3295">
        <v>85.612272597237194</v>
      </c>
      <c r="AN3295">
        <v>0.99999998825662495</v>
      </c>
    </row>
    <row r="3296" spans="1:40" x14ac:dyDescent="0.25">
      <c r="A3296" t="str">
        <f>"20190312161335865"</f>
        <v>20190312161335865</v>
      </c>
      <c r="B3296" t="str">
        <f>"1552378415858680"</f>
        <v>1552378415858680</v>
      </c>
      <c r="C3296" t="s">
        <v>40</v>
      </c>
      <c r="D3296">
        <v>5.0100709999999999</v>
      </c>
      <c r="E3296">
        <v>0.43466569999999999</v>
      </c>
      <c r="F3296" t="s">
        <v>59</v>
      </c>
      <c r="G3296">
        <v>-157.25</v>
      </c>
      <c r="H3296">
        <v>2.1948859999999999</v>
      </c>
      <c r="I3296">
        <v>232.19720000000001</v>
      </c>
      <c r="J3296">
        <v>-335.1071</v>
      </c>
      <c r="K3296">
        <v>1.1097760000000001</v>
      </c>
      <c r="L3296">
        <v>214.0172</v>
      </c>
      <c r="M3296">
        <v>0.99985069999999998</v>
      </c>
      <c r="N3296">
        <v>0</v>
      </c>
      <c r="O3296">
        <v>8.4418140000000006E-3</v>
      </c>
      <c r="P3296">
        <v>0.99733830000000001</v>
      </c>
      <c r="Q3296">
        <v>-2.6872090000000001E-2</v>
      </c>
      <c r="R3296">
        <v>-6.7782549999999997E-2</v>
      </c>
      <c r="S3296">
        <v>3.0295719999999999</v>
      </c>
      <c r="T3296">
        <v>1.8441079999999999E-2</v>
      </c>
      <c r="U3296">
        <v>0.30900569999999999</v>
      </c>
      <c r="V3296">
        <v>7.6199899999999904E-2</v>
      </c>
      <c r="W3296">
        <v>-1.1841040000000001E-2</v>
      </c>
      <c r="X3296">
        <v>0.99702230000000003</v>
      </c>
      <c r="Y3296">
        <v>-9.3065720000000005E-2</v>
      </c>
      <c r="Z3296">
        <v>-2.3125930000000001E-4</v>
      </c>
      <c r="AA3296">
        <v>0.99565990000000004</v>
      </c>
      <c r="AB3296">
        <v>42</v>
      </c>
      <c r="AC3296">
        <v>177.8571</v>
      </c>
      <c r="AD3296">
        <v>1.08510999999999</v>
      </c>
      <c r="AE3296">
        <v>18.18</v>
      </c>
      <c r="AF3296">
        <v>-16.6771304700776</v>
      </c>
      <c r="AG3296">
        <v>1.08510999999999</v>
      </c>
      <c r="AH3296">
        <v>177.99769364345099</v>
      </c>
      <c r="AI3296">
        <v>89.652240655051202</v>
      </c>
      <c r="AJ3296">
        <v>95.352585245865896</v>
      </c>
      <c r="AK3296">
        <v>178.78054448629501</v>
      </c>
      <c r="AL3296">
        <v>90.678457437625298</v>
      </c>
      <c r="AM3296">
        <v>85.629524399745904</v>
      </c>
      <c r="AN3296">
        <v>1.00000005084278</v>
      </c>
    </row>
    <row r="3297" spans="1:40" x14ac:dyDescent="0.25">
      <c r="A3297" t="str">
        <f>"20190312161335886"</f>
        <v>20190312161335886</v>
      </c>
      <c r="B3297" t="str">
        <f>"1552378415879175"</f>
        <v>1552378415879175</v>
      </c>
      <c r="C3297" t="s">
        <v>40</v>
      </c>
      <c r="D3297">
        <v>5.3550120000000003</v>
      </c>
      <c r="E3297">
        <v>0.434616</v>
      </c>
      <c r="F3297" t="s">
        <v>59</v>
      </c>
      <c r="G3297">
        <v>-157.25</v>
      </c>
      <c r="H3297">
        <v>2.0259339999999999</v>
      </c>
      <c r="I3297">
        <v>232.4007</v>
      </c>
      <c r="J3297">
        <v>-334.69369999999998</v>
      </c>
      <c r="K3297">
        <v>1.1097889999999999</v>
      </c>
      <c r="L3297">
        <v>214.02070000000001</v>
      </c>
      <c r="M3297">
        <v>0.99985049999999998</v>
      </c>
      <c r="N3297">
        <v>0</v>
      </c>
      <c r="O3297">
        <v>8.4420119999999901E-3</v>
      </c>
      <c r="P3297">
        <v>0.99730370000000002</v>
      </c>
      <c r="Q3297">
        <v>-2.6792079999999999E-2</v>
      </c>
      <c r="R3297">
        <v>-6.8321389999999996E-2</v>
      </c>
      <c r="S3297">
        <v>3.0297239999999999</v>
      </c>
      <c r="T3297">
        <v>1.5607360000000001E-2</v>
      </c>
      <c r="U3297">
        <v>0.31315609999999999</v>
      </c>
      <c r="V3297">
        <v>7.6738609999999999E-2</v>
      </c>
      <c r="W3297">
        <v>-1.174087E-2</v>
      </c>
      <c r="X3297">
        <v>0.99698209999999998</v>
      </c>
      <c r="Y3297">
        <v>-9.4410510000000003E-2</v>
      </c>
      <c r="Z3297">
        <v>-1.9915380000000001E-4</v>
      </c>
      <c r="AA3297">
        <v>0.99553329999999995</v>
      </c>
      <c r="AB3297">
        <v>42</v>
      </c>
      <c r="AC3297">
        <v>177.44369999999901</v>
      </c>
      <c r="AD3297">
        <v>0.91614499999999999</v>
      </c>
      <c r="AE3297">
        <v>18.3799999999999</v>
      </c>
      <c r="AF3297">
        <v>-16.880747254413802</v>
      </c>
      <c r="AG3297">
        <v>0.91614499999999999</v>
      </c>
      <c r="AH3297">
        <v>177.58787364261701</v>
      </c>
      <c r="AI3297">
        <v>89.705749994579094</v>
      </c>
      <c r="AJ3297">
        <v>95.4299777468283</v>
      </c>
      <c r="AK3297">
        <v>178.39072793851901</v>
      </c>
      <c r="AL3297">
        <v>90.672717764971495</v>
      </c>
      <c r="AM3297">
        <v>85.598570685127896</v>
      </c>
      <c r="AN3297">
        <v>0.99999998500674903</v>
      </c>
    </row>
    <row r="3298" spans="1:40" x14ac:dyDescent="0.25">
      <c r="A3298" t="str">
        <f>"20190312161335909"</f>
        <v>20190312161335909</v>
      </c>
      <c r="B3298" t="str">
        <f>"1552378415898699"</f>
        <v>1552378415898699</v>
      </c>
      <c r="C3298" t="s">
        <v>40</v>
      </c>
      <c r="D3298">
        <v>5.2282900000000003</v>
      </c>
      <c r="E3298">
        <v>0.4379614</v>
      </c>
      <c r="F3298" t="s">
        <v>59</v>
      </c>
      <c r="G3298">
        <v>-157.25</v>
      </c>
      <c r="H3298">
        <v>1.9218729999999999</v>
      </c>
      <c r="I3298">
        <v>232.27780000000001</v>
      </c>
      <c r="J3298">
        <v>-334.27940000000001</v>
      </c>
      <c r="K3298">
        <v>1.1097980000000001</v>
      </c>
      <c r="L3298">
        <v>214.0241</v>
      </c>
      <c r="M3298">
        <v>0.99985020000000002</v>
      </c>
      <c r="N3298">
        <v>0</v>
      </c>
      <c r="O3298">
        <v>8.4419990000000004E-3</v>
      </c>
      <c r="P3298">
        <v>0.99729369999999995</v>
      </c>
      <c r="Q3298">
        <v>-2.603747E-2</v>
      </c>
      <c r="R3298">
        <v>-6.8756090000000006E-2</v>
      </c>
      <c r="S3298">
        <v>3.0298159999999998</v>
      </c>
      <c r="T3298">
        <v>1.386714E-2</v>
      </c>
      <c r="U3298">
        <v>0.31173709999999999</v>
      </c>
      <c r="V3298">
        <v>7.7173279999999997E-2</v>
      </c>
      <c r="W3298">
        <v>-1.0969319999999999E-2</v>
      </c>
      <c r="X3298">
        <v>0.99695739999999999</v>
      </c>
      <c r="Y3298">
        <v>-9.3946290000000002E-2</v>
      </c>
      <c r="Z3298">
        <v>-1.75887799999999E-4</v>
      </c>
      <c r="AA3298">
        <v>0.9955773</v>
      </c>
      <c r="AB3298">
        <v>42</v>
      </c>
      <c r="AC3298">
        <v>177.02940000000001</v>
      </c>
      <c r="AD3298">
        <v>0.81207499999999899</v>
      </c>
      <c r="AE3298">
        <v>18.253699999999998</v>
      </c>
      <c r="AF3298">
        <v>-16.758047818881899</v>
      </c>
      <c r="AG3298">
        <v>0.81207499999999899</v>
      </c>
      <c r="AH3298">
        <v>177.173516561958</v>
      </c>
      <c r="AI3298">
        <v>89.738553457986697</v>
      </c>
      <c r="AJ3298">
        <v>95.403275594206207</v>
      </c>
      <c r="AK3298">
        <v>177.966138923774</v>
      </c>
      <c r="AL3298">
        <v>90.628508313903595</v>
      </c>
      <c r="AM3298">
        <v>85.573629268242698</v>
      </c>
      <c r="AN3298">
        <v>1.00000004927098</v>
      </c>
    </row>
    <row r="3299" spans="1:40" x14ac:dyDescent="0.25">
      <c r="A3299" t="str">
        <f>"20190312161335930"</f>
        <v>20190312161335930</v>
      </c>
      <c r="B3299" t="str">
        <f>"1552378415919192"</f>
        <v>1552378415919192</v>
      </c>
      <c r="C3299" t="s">
        <v>40</v>
      </c>
      <c r="D3299">
        <v>5.327337</v>
      </c>
      <c r="E3299">
        <v>0.51480420000000005</v>
      </c>
      <c r="F3299" t="s">
        <v>59</v>
      </c>
      <c r="G3299">
        <v>-157.25</v>
      </c>
      <c r="H3299">
        <v>1.6774979999999999</v>
      </c>
      <c r="I3299">
        <v>230.63669999999999</v>
      </c>
      <c r="J3299">
        <v>-333.88600000000002</v>
      </c>
      <c r="K3299">
        <v>1.1098059999999901</v>
      </c>
      <c r="L3299">
        <v>214.0275</v>
      </c>
      <c r="M3299">
        <v>0.99985000000000002</v>
      </c>
      <c r="N3299">
        <v>0</v>
      </c>
      <c r="O3299">
        <v>8.4420729999999996E-3</v>
      </c>
      <c r="P3299">
        <v>0.99725799999999998</v>
      </c>
      <c r="Q3299">
        <v>-2.6620069999999999E-2</v>
      </c>
      <c r="R3299">
        <v>-6.9050979999999998E-2</v>
      </c>
      <c r="S3299">
        <v>3.0279850000000001</v>
      </c>
      <c r="T3299">
        <v>9.7111460000000004E-3</v>
      </c>
      <c r="U3299">
        <v>0.28414919999999999</v>
      </c>
      <c r="V3299">
        <v>7.7468079999999995E-2</v>
      </c>
      <c r="W3299">
        <v>-1.153879E-2</v>
      </c>
      <c r="X3299">
        <v>0.99692800000000004</v>
      </c>
      <c r="Y3299">
        <v>-8.5020709999999999E-2</v>
      </c>
      <c r="Z3299">
        <v>-1.0902150000000001E-4</v>
      </c>
      <c r="AA3299">
        <v>0.99637920000000002</v>
      </c>
      <c r="AB3299">
        <v>42</v>
      </c>
      <c r="AC3299">
        <v>176.635999999999</v>
      </c>
      <c r="AD3299">
        <v>0.56769199999999997</v>
      </c>
      <c r="AE3299">
        <v>16.609199999999898</v>
      </c>
      <c r="AF3299">
        <v>-15.1171086595318</v>
      </c>
      <c r="AG3299">
        <v>0.56769199999999997</v>
      </c>
      <c r="AH3299">
        <v>176.76812639132899</v>
      </c>
      <c r="AI3299">
        <v>89.816664054431499</v>
      </c>
      <c r="AJ3299">
        <v>94.888009044274199</v>
      </c>
      <c r="AK3299">
        <v>177.41426029587299</v>
      </c>
      <c r="AL3299">
        <v>90.661138677568502</v>
      </c>
      <c r="AM3299">
        <v>85.556657715021203</v>
      </c>
      <c r="AN3299">
        <v>0.99999994213877297</v>
      </c>
    </row>
    <row r="3300" spans="1:40" x14ac:dyDescent="0.25">
      <c r="A3300" t="str">
        <f>"20190312161335953"</f>
        <v>20190312161335953</v>
      </c>
      <c r="B3300" t="str">
        <f>"1552378415949448"</f>
        <v>1552378415949448</v>
      </c>
      <c r="C3300" t="s">
        <v>40</v>
      </c>
      <c r="D3300">
        <v>5.1748469999999998</v>
      </c>
      <c r="E3300">
        <v>0.51816209999999996</v>
      </c>
      <c r="F3300" t="s">
        <v>43</v>
      </c>
      <c r="G3300">
        <v>-332.82769999999999</v>
      </c>
      <c r="H3300">
        <v>1.0382359999999999</v>
      </c>
      <c r="I3300">
        <v>213.91370000000001</v>
      </c>
      <c r="J3300">
        <v>-333.46870000000001</v>
      </c>
      <c r="K3300">
        <v>1.1098059999999901</v>
      </c>
      <c r="L3300">
        <v>214.03100000000001</v>
      </c>
      <c r="M3300">
        <v>0.99984969999999995</v>
      </c>
      <c r="N3300">
        <v>0</v>
      </c>
      <c r="O3300">
        <v>8.4421630000000008E-3</v>
      </c>
      <c r="P3300">
        <v>0.99723640000000002</v>
      </c>
      <c r="Q3300">
        <v>-2.662171E-2</v>
      </c>
      <c r="R3300">
        <v>-6.9362010000000002E-2</v>
      </c>
      <c r="S3300">
        <v>2.9806819999999998</v>
      </c>
      <c r="T3300">
        <v>-0.2015642</v>
      </c>
      <c r="U3300">
        <v>-0.3203125</v>
      </c>
      <c r="V3300">
        <v>7.7778829999999993E-2</v>
      </c>
      <c r="W3300">
        <v>-1.152914E-2</v>
      </c>
      <c r="X3300">
        <v>0.99690400000000001</v>
      </c>
      <c r="Y3300">
        <v>0.1149599</v>
      </c>
      <c r="Z3300">
        <v>-4.440187E-3</v>
      </c>
      <c r="AA3300">
        <v>0.99336020000000003</v>
      </c>
      <c r="AB3300">
        <v>41</v>
      </c>
      <c r="AC3300">
        <v>0.641000000000019</v>
      </c>
      <c r="AD3300">
        <v>-7.1569999999999606E-2</v>
      </c>
      <c r="AE3300">
        <v>-0.117299999999971</v>
      </c>
      <c r="AF3300">
        <v>0.121245332361062</v>
      </c>
      <c r="AG3300">
        <v>-7.1569999999999606E-2</v>
      </c>
      <c r="AH3300">
        <v>0.63235888233225201</v>
      </c>
      <c r="AI3300">
        <v>96.342658193588704</v>
      </c>
      <c r="AJ3300">
        <v>79.146118759672305</v>
      </c>
      <c r="AK3300">
        <v>0.64784292199871996</v>
      </c>
      <c r="AL3300">
        <v>90.660585680858404</v>
      </c>
      <c r="AM3300">
        <v>85.538798844547003</v>
      </c>
      <c r="AN3300">
        <v>1.0000000263406501</v>
      </c>
    </row>
    <row r="3301" spans="1:40" x14ac:dyDescent="0.25">
      <c r="A3301" t="str">
        <f>"20190312161335967"</f>
        <v>20190312161335967</v>
      </c>
      <c r="B3301" t="str">
        <f>"1552378415959208"</f>
        <v>1552378415959208</v>
      </c>
      <c r="C3301" t="s">
        <v>40</v>
      </c>
      <c r="D3301">
        <v>5.2253360000000004</v>
      </c>
      <c r="E3301">
        <v>0.51909099999999997</v>
      </c>
      <c r="F3301" t="s">
        <v>74</v>
      </c>
      <c r="G3301">
        <v>-312.15690000000001</v>
      </c>
      <c r="H3301" s="1">
        <v>1.862155E-6</v>
      </c>
      <c r="I3301">
        <v>211.52940000000001</v>
      </c>
      <c r="J3301">
        <v>-333.19349999999997</v>
      </c>
      <c r="K3301">
        <v>1.10981</v>
      </c>
      <c r="L3301">
        <v>214.0333</v>
      </c>
      <c r="M3301">
        <v>0.99984960000000001</v>
      </c>
      <c r="N3301">
        <v>0</v>
      </c>
      <c r="O3301">
        <v>8.4422909999999993E-3</v>
      </c>
      <c r="P3301">
        <v>0.99722710000000003</v>
      </c>
      <c r="Q3301">
        <v>-2.6604570000000001E-2</v>
      </c>
      <c r="R3301">
        <v>-6.9501899999999894E-2</v>
      </c>
      <c r="S3301">
        <v>2.9798580000000001</v>
      </c>
      <c r="T3301">
        <v>-0.1551756</v>
      </c>
      <c r="U3301">
        <v>-0.34977720000000001</v>
      </c>
      <c r="V3301">
        <v>7.7918810000000005E-2</v>
      </c>
      <c r="W3301">
        <v>-1.150557E-2</v>
      </c>
      <c r="X3301">
        <v>0.99689329999999998</v>
      </c>
      <c r="Y3301">
        <v>0.12478350000000001</v>
      </c>
      <c r="Z3301">
        <v>-3.673688E-3</v>
      </c>
      <c r="AA3301">
        <v>0.99217719999999998</v>
      </c>
      <c r="AB3301">
        <v>41</v>
      </c>
      <c r="AC3301">
        <v>21.0365999999999</v>
      </c>
      <c r="AD3301">
        <v>-1.109808137845</v>
      </c>
      <c r="AE3301">
        <v>-2.5038999999999798</v>
      </c>
      <c r="AF3301">
        <v>2.67408966588357</v>
      </c>
      <c r="AG3301">
        <v>-1.109808137845</v>
      </c>
      <c r="AH3301">
        <v>20.957195766106501</v>
      </c>
      <c r="AI3301">
        <v>93.006986233401506</v>
      </c>
      <c r="AJ3301">
        <v>82.728484206624302</v>
      </c>
      <c r="AK3301">
        <v>21.156239836580699</v>
      </c>
      <c r="AL3301">
        <v>90.659235156823996</v>
      </c>
      <c r="AM3301">
        <v>85.530754661609507</v>
      </c>
      <c r="AN3301">
        <v>0.99999998533886503</v>
      </c>
    </row>
    <row r="3302" spans="1:40" x14ac:dyDescent="0.25">
      <c r="A3302" t="str">
        <f>"20190312161335989"</f>
        <v>20190312161335989</v>
      </c>
      <c r="B3302" t="str">
        <f>"1552378415978727"</f>
        <v>1552378415978727</v>
      </c>
      <c r="C3302" t="s">
        <v>40</v>
      </c>
      <c r="D3302">
        <v>5.2417680000000004</v>
      </c>
      <c r="E3302">
        <v>0.51927979999999996</v>
      </c>
      <c r="F3302" t="s">
        <v>74</v>
      </c>
      <c r="G3302">
        <v>-310.39339999999999</v>
      </c>
      <c r="H3302" s="1">
        <v>1.0801090000000001E-6</v>
      </c>
      <c r="I3302">
        <v>211.29349999999999</v>
      </c>
      <c r="J3302">
        <v>-332.80919999999998</v>
      </c>
      <c r="K3302">
        <v>1.1098059999999901</v>
      </c>
      <c r="L3302">
        <v>214.03659999999999</v>
      </c>
      <c r="M3302">
        <v>0.99984960000000001</v>
      </c>
      <c r="N3302">
        <v>0</v>
      </c>
      <c r="O3302">
        <v>8.4422330000000004E-3</v>
      </c>
      <c r="P3302">
        <v>0.99724860000000004</v>
      </c>
      <c r="Q3302">
        <v>-2.6556719999999999E-2</v>
      </c>
      <c r="R3302">
        <v>-6.921252E-2</v>
      </c>
      <c r="S3302">
        <v>2.9795530000000001</v>
      </c>
      <c r="T3302">
        <v>-0.14503160000000001</v>
      </c>
      <c r="U3302">
        <v>-0.35804750000000002</v>
      </c>
      <c r="V3302">
        <v>7.7629550000000005E-2</v>
      </c>
      <c r="W3302">
        <v>-1.1449859999999999E-2</v>
      </c>
      <c r="X3302">
        <v>0.99691649999999998</v>
      </c>
      <c r="Y3302">
        <v>0.1275298</v>
      </c>
      <c r="Z3302">
        <v>-3.5001730000000001E-3</v>
      </c>
      <c r="AA3302">
        <v>0.99182859999999995</v>
      </c>
      <c r="AB3302">
        <v>41</v>
      </c>
      <c r="AC3302">
        <v>22.415799999999901</v>
      </c>
      <c r="AD3302">
        <v>-1.1098049198909901</v>
      </c>
      <c r="AE3302">
        <v>-2.7430999999999899</v>
      </c>
      <c r="AF3302">
        <v>2.9251987960186199</v>
      </c>
      <c r="AG3302">
        <v>-1.1098049198909901</v>
      </c>
      <c r="AH3302">
        <v>22.337892925760599</v>
      </c>
      <c r="AI3302">
        <v>92.820226253914299</v>
      </c>
      <c r="AJ3302">
        <v>82.539437575883895</v>
      </c>
      <c r="AK3302">
        <v>22.555928606891499</v>
      </c>
      <c r="AL3302">
        <v>90.656043004001603</v>
      </c>
      <c r="AM3302">
        <v>85.547382316163393</v>
      </c>
      <c r="AN3302">
        <v>0.99999997714973499</v>
      </c>
    </row>
    <row r="3303" spans="1:40" x14ac:dyDescent="0.25">
      <c r="A3303" t="str">
        <f>"20190312161336009"</f>
        <v>20190312161336009</v>
      </c>
      <c r="B3303" t="str">
        <f>"1552378415999223"</f>
        <v>1552378415999223</v>
      </c>
      <c r="C3303" t="s">
        <v>40</v>
      </c>
      <c r="D3303">
        <v>5.3211559999999896</v>
      </c>
      <c r="E3303">
        <v>0.51919470000000001</v>
      </c>
      <c r="F3303" t="s">
        <v>74</v>
      </c>
      <c r="G3303">
        <v>-308.31849999999997</v>
      </c>
      <c r="H3303" s="1">
        <v>1.177701E-6</v>
      </c>
      <c r="I3303">
        <v>211.0857</v>
      </c>
      <c r="J3303">
        <v>-332.41809999999998</v>
      </c>
      <c r="K3303">
        <v>1.109807</v>
      </c>
      <c r="L3303">
        <v>214.03989999999999</v>
      </c>
      <c r="M3303">
        <v>0.99984949999999995</v>
      </c>
      <c r="N3303">
        <v>0</v>
      </c>
      <c r="O3303">
        <v>8.4423659999999998E-3</v>
      </c>
      <c r="P3303">
        <v>0.99730099999999999</v>
      </c>
      <c r="Q3303">
        <v>-2.662658E-2</v>
      </c>
      <c r="R3303">
        <v>-6.8426109999999998E-2</v>
      </c>
      <c r="S3303">
        <v>2.979797</v>
      </c>
      <c r="T3303">
        <v>-0.13503039999999999</v>
      </c>
      <c r="U3303">
        <v>-0.35903930000000001</v>
      </c>
      <c r="V3303">
        <v>7.684357E-2</v>
      </c>
      <c r="W3303">
        <v>-1.151274E-2</v>
      </c>
      <c r="X3303">
        <v>0.99697670000000005</v>
      </c>
      <c r="Y3303">
        <v>0.12786649999999999</v>
      </c>
      <c r="Z3303">
        <v>-3.266335E-3</v>
      </c>
      <c r="AA3303">
        <v>0.99178599999999995</v>
      </c>
      <c r="AB3303">
        <v>41</v>
      </c>
      <c r="AC3303">
        <v>24.099599999999999</v>
      </c>
      <c r="AD3303">
        <v>-1.1098058222989999</v>
      </c>
      <c r="AE3303">
        <v>-2.9541999999999802</v>
      </c>
      <c r="AF3303">
        <v>3.1509924014997099</v>
      </c>
      <c r="AG3303">
        <v>-1.1098058222989999</v>
      </c>
      <c r="AH3303">
        <v>24.023605583230701</v>
      </c>
      <c r="AI3303">
        <v>92.622551725225307</v>
      </c>
      <c r="AJ3303">
        <v>82.5276070583879</v>
      </c>
      <c r="AK3303">
        <v>24.254773701194399</v>
      </c>
      <c r="AL3303">
        <v>90.659645979245298</v>
      </c>
      <c r="AM3303">
        <v>85.592550512391099</v>
      </c>
      <c r="AN3303">
        <v>1.0000000088877701</v>
      </c>
    </row>
    <row r="3304" spans="1:40" x14ac:dyDescent="0.25">
      <c r="A3304" t="str">
        <f>"20190312161336033"</f>
        <v>20190312161336033</v>
      </c>
      <c r="B3304" t="str">
        <f>"1552378416029480"</f>
        <v>1552378416029480</v>
      </c>
      <c r="C3304" t="s">
        <v>40</v>
      </c>
      <c r="D3304">
        <v>5.3555590000000004</v>
      </c>
      <c r="E3304">
        <v>0.5196326</v>
      </c>
      <c r="F3304" t="s">
        <v>74</v>
      </c>
      <c r="G3304">
        <v>-308.9667</v>
      </c>
      <c r="H3304" s="1">
        <v>1.062709E-6</v>
      </c>
      <c r="I3304">
        <v>211.24100000000001</v>
      </c>
      <c r="J3304">
        <v>-331.99880000000002</v>
      </c>
      <c r="K3304">
        <v>1.1098049999999999</v>
      </c>
      <c r="L3304">
        <v>214.04339999999999</v>
      </c>
      <c r="M3304">
        <v>0.9998494</v>
      </c>
      <c r="N3304">
        <v>0</v>
      </c>
      <c r="O3304">
        <v>8.4424469999999901E-3</v>
      </c>
      <c r="P3304">
        <v>0.99733340000000004</v>
      </c>
      <c r="Q3304">
        <v>-2.6810690000000002E-2</v>
      </c>
      <c r="R3304">
        <v>-6.7878279999999999E-2</v>
      </c>
      <c r="S3304">
        <v>2.9799500000000001</v>
      </c>
      <c r="T3304">
        <v>-0.1410226</v>
      </c>
      <c r="U3304">
        <v>-0.35565190000000002</v>
      </c>
      <c r="V3304">
        <v>7.6296390000000006E-2</v>
      </c>
      <c r="W3304">
        <v>-1.169132E-2</v>
      </c>
      <c r="X3304">
        <v>0.99701660000000003</v>
      </c>
      <c r="Y3304">
        <v>0.12673770000000001</v>
      </c>
      <c r="Z3304">
        <v>-3.3845860000000002E-3</v>
      </c>
      <c r="AA3304">
        <v>0.99193050000000005</v>
      </c>
      <c r="AB3304">
        <v>41</v>
      </c>
      <c r="AC3304">
        <v>23.0321</v>
      </c>
      <c r="AD3304">
        <v>-1.109803937291</v>
      </c>
      <c r="AE3304">
        <v>-2.8024</v>
      </c>
      <c r="AF3304">
        <v>2.9899289906328099</v>
      </c>
      <c r="AG3304">
        <v>-1.109803937291</v>
      </c>
      <c r="AH3304">
        <v>22.955097460516502</v>
      </c>
      <c r="AI3304">
        <v>92.744759335647402</v>
      </c>
      <c r="AJ3304">
        <v>82.578934820027996</v>
      </c>
      <c r="AK3304">
        <v>23.175587146177399</v>
      </c>
      <c r="AL3304">
        <v>90.6698785786689</v>
      </c>
      <c r="AM3304">
        <v>85.623986739677804</v>
      </c>
      <c r="AN3304">
        <v>0.99999996338296604</v>
      </c>
    </row>
    <row r="3305" spans="1:40" x14ac:dyDescent="0.25">
      <c r="A3305" t="str">
        <f>"20190312161336055"</f>
        <v>20190312161336055</v>
      </c>
      <c r="B3305" t="str">
        <f>"1552378416049000"</f>
        <v>1552378416049000</v>
      </c>
      <c r="C3305" t="s">
        <v>40</v>
      </c>
      <c r="D3305">
        <v>5.3210329999999999</v>
      </c>
      <c r="E3305">
        <v>0.51990040000000004</v>
      </c>
      <c r="F3305" t="s">
        <v>74</v>
      </c>
      <c r="G3305">
        <v>-308.93990000000002</v>
      </c>
      <c r="H3305" s="1">
        <v>1.0674679999999999E-6</v>
      </c>
      <c r="I3305">
        <v>211.2756</v>
      </c>
      <c r="J3305">
        <v>-331.57889999999998</v>
      </c>
      <c r="K3305">
        <v>1.1098140000000001</v>
      </c>
      <c r="L3305">
        <v>214.047</v>
      </c>
      <c r="M3305">
        <v>0.99984930000000005</v>
      </c>
      <c r="N3305">
        <v>0</v>
      </c>
      <c r="O3305">
        <v>8.4424200000000008E-3</v>
      </c>
      <c r="P3305">
        <v>0.99736259999999999</v>
      </c>
      <c r="Q3305">
        <v>-2.6670010000000001E-2</v>
      </c>
      <c r="R3305">
        <v>-6.7506319999999995E-2</v>
      </c>
      <c r="S3305">
        <v>2.9798279999999999</v>
      </c>
      <c r="T3305">
        <v>-0.14341660000000001</v>
      </c>
      <c r="U3305">
        <v>-0.35768129999999998</v>
      </c>
      <c r="V3305">
        <v>7.5924459999999999E-2</v>
      </c>
      <c r="W3305">
        <v>-1.1546539999999999E-2</v>
      </c>
      <c r="X3305">
        <v>0.99704669999999895</v>
      </c>
      <c r="Y3305">
        <v>0.1274026</v>
      </c>
      <c r="Z3305">
        <v>-3.4579139999999999E-3</v>
      </c>
      <c r="AA3305">
        <v>0.99184510000000004</v>
      </c>
      <c r="AB3305">
        <v>41</v>
      </c>
      <c r="AC3305">
        <v>22.6389999999999</v>
      </c>
      <c r="AD3305">
        <v>-1.1098129325320001</v>
      </c>
      <c r="AE3305">
        <v>-2.7713999999999999</v>
      </c>
      <c r="AF3305">
        <v>2.9554535488841598</v>
      </c>
      <c r="AG3305">
        <v>-1.1098129325320001</v>
      </c>
      <c r="AH3305">
        <v>22.561374625667501</v>
      </c>
      <c r="AI3305">
        <v>92.792339323050498</v>
      </c>
      <c r="AJ3305">
        <v>82.536967551314305</v>
      </c>
      <c r="AK3305">
        <v>22.781176778747401</v>
      </c>
      <c r="AL3305">
        <v>90.661582721709195</v>
      </c>
      <c r="AM3305">
        <v>85.645367651765199</v>
      </c>
      <c r="AN3305">
        <v>0.99999998409657598</v>
      </c>
    </row>
    <row r="3306" spans="1:40" x14ac:dyDescent="0.25">
      <c r="A3306" t="str">
        <f>"20190312161336078"</f>
        <v>20190312161336078</v>
      </c>
      <c r="B3306" t="str">
        <f>"1552378416069496"</f>
        <v>1552378416069496</v>
      </c>
      <c r="C3306" t="s">
        <v>40</v>
      </c>
      <c r="D3306">
        <v>5.3122389999999999</v>
      </c>
      <c r="E3306">
        <v>0.52008549999999998</v>
      </c>
      <c r="F3306" t="s">
        <v>74</v>
      </c>
      <c r="G3306">
        <v>-309.19349999999997</v>
      </c>
      <c r="H3306" s="1">
        <v>1.0224890000000001E-6</v>
      </c>
      <c r="I3306">
        <v>211.35509999999999</v>
      </c>
      <c r="J3306">
        <v>-331.17290000000003</v>
      </c>
      <c r="K3306">
        <v>1.1098170000000001</v>
      </c>
      <c r="L3306">
        <v>214.0504</v>
      </c>
      <c r="M3306">
        <v>0.99984930000000005</v>
      </c>
      <c r="N3306">
        <v>0</v>
      </c>
      <c r="O3306">
        <v>8.4425790000000004E-3</v>
      </c>
      <c r="P3306">
        <v>0.99735649999999998</v>
      </c>
      <c r="Q3306">
        <v>-2.6836240000000001E-2</v>
      </c>
      <c r="R3306">
        <v>-6.7528669999999999E-2</v>
      </c>
      <c r="S3306">
        <v>2.9797359999999999</v>
      </c>
      <c r="T3306">
        <v>-0.147728</v>
      </c>
      <c r="U3306">
        <v>-0.35832209999999998</v>
      </c>
      <c r="V3306">
        <v>7.5947039999999993E-2</v>
      </c>
      <c r="W3306">
        <v>-1.17103E-2</v>
      </c>
      <c r="X3306">
        <v>0.99704309999999996</v>
      </c>
      <c r="Y3306">
        <v>0.1276069</v>
      </c>
      <c r="Z3306">
        <v>-3.5668549999999999E-3</v>
      </c>
      <c r="AA3306">
        <v>0.99181839999999999</v>
      </c>
      <c r="AB3306">
        <v>41</v>
      </c>
      <c r="AC3306">
        <v>21.979399999999998</v>
      </c>
      <c r="AD3306">
        <v>-1.1098159775109999</v>
      </c>
      <c r="AE3306">
        <v>-2.6953</v>
      </c>
      <c r="AF3306">
        <v>2.8735702090350399</v>
      </c>
      <c r="AG3306">
        <v>-1.1098159775109999</v>
      </c>
      <c r="AH3306">
        <v>21.900847656245901</v>
      </c>
      <c r="AI3306">
        <v>92.876345992827098</v>
      </c>
      <c r="AJ3306">
        <v>82.525025629780103</v>
      </c>
      <c r="AK3306">
        <v>22.116424333790601</v>
      </c>
      <c r="AL3306">
        <v>90.670966093335593</v>
      </c>
      <c r="AM3306">
        <v>85.644061896742102</v>
      </c>
      <c r="AN3306">
        <v>1.00000001363423</v>
      </c>
    </row>
    <row r="3307" spans="1:40" x14ac:dyDescent="0.25">
      <c r="A3307" t="str">
        <f>"20190312161336101"</f>
        <v>20190312161336101</v>
      </c>
      <c r="B3307" t="str">
        <f>"1552378416089016"</f>
        <v>1552378416089016</v>
      </c>
      <c r="C3307" t="s">
        <v>40</v>
      </c>
      <c r="D3307">
        <v>5.323124</v>
      </c>
      <c r="E3307">
        <v>0.51979109999999995</v>
      </c>
      <c r="F3307" t="s">
        <v>74</v>
      </c>
      <c r="G3307">
        <v>-309.42070000000001</v>
      </c>
      <c r="H3307" s="1">
        <v>9.8218369999999899E-7</v>
      </c>
      <c r="I3307">
        <v>211.42400000000001</v>
      </c>
      <c r="J3307">
        <v>-330.74509999999998</v>
      </c>
      <c r="K3307">
        <v>1.109823</v>
      </c>
      <c r="L3307">
        <v>214.054</v>
      </c>
      <c r="M3307">
        <v>0.99984919999999999</v>
      </c>
      <c r="N3307">
        <v>0</v>
      </c>
      <c r="O3307">
        <v>8.4427440000000003E-3</v>
      </c>
      <c r="P3307">
        <v>0.9973379</v>
      </c>
      <c r="Q3307">
        <v>-2.7271480000000001E-2</v>
      </c>
      <c r="R3307">
        <v>-6.7628880000000002E-2</v>
      </c>
      <c r="S3307">
        <v>2.979492</v>
      </c>
      <c r="T3307">
        <v>-0.15201589999999901</v>
      </c>
      <c r="U3307">
        <v>-0.35974119999999998</v>
      </c>
      <c r="V3307">
        <v>7.6047169999999997E-2</v>
      </c>
      <c r="W3307">
        <v>-1.214402E-2</v>
      </c>
      <c r="X3307">
        <v>0.99703030000000004</v>
      </c>
      <c r="Y3307">
        <v>0.12807199999999999</v>
      </c>
      <c r="Z3307">
        <v>-3.6822729999999998E-3</v>
      </c>
      <c r="AA3307">
        <v>0.99175800000000003</v>
      </c>
      <c r="AB3307">
        <v>41</v>
      </c>
      <c r="AC3307">
        <v>21.324399999999901</v>
      </c>
      <c r="AD3307">
        <v>-1.1098220178163001</v>
      </c>
      <c r="AE3307">
        <v>-2.6299999999999901</v>
      </c>
      <c r="AF3307">
        <v>2.8024862076169801</v>
      </c>
      <c r="AG3307">
        <v>-1.1098220178163001</v>
      </c>
      <c r="AH3307">
        <v>21.244750421024602</v>
      </c>
      <c r="AI3307">
        <v>92.964765298925997</v>
      </c>
      <c r="AJ3307">
        <v>82.485256343984105</v>
      </c>
      <c r="AK3307">
        <v>21.457517431118099</v>
      </c>
      <c r="AL3307">
        <v>90.695818172126394</v>
      </c>
      <c r="AM3307">
        <v>85.638285313893206</v>
      </c>
      <c r="AN3307">
        <v>1.00000003420242</v>
      </c>
    </row>
    <row r="3308" spans="1:40" x14ac:dyDescent="0.25">
      <c r="A3308" t="str">
        <f>"20190312161336122"</f>
        <v>20190312161336122</v>
      </c>
      <c r="B3308" t="str">
        <f>"1552378416119272"</f>
        <v>1552378416119272</v>
      </c>
      <c r="C3308" t="s">
        <v>40</v>
      </c>
      <c r="D3308">
        <v>5.2974399999999999</v>
      </c>
      <c r="E3308">
        <v>0.51916739999999995</v>
      </c>
      <c r="F3308" t="s">
        <v>74</v>
      </c>
      <c r="G3308">
        <v>-308.4479</v>
      </c>
      <c r="H3308" s="1">
        <v>1.154748E-6</v>
      </c>
      <c r="I3308">
        <v>211.37520000000001</v>
      </c>
      <c r="J3308">
        <v>-330.36</v>
      </c>
      <c r="K3308">
        <v>1.1098300000000001</v>
      </c>
      <c r="L3308">
        <v>214.0573</v>
      </c>
      <c r="M3308">
        <v>0.99984910000000005</v>
      </c>
      <c r="N3308">
        <v>0</v>
      </c>
      <c r="O3308">
        <v>8.4429190000000001E-3</v>
      </c>
      <c r="P3308">
        <v>0.99732359999999998</v>
      </c>
      <c r="Q3308">
        <v>-2.6824959999999998E-2</v>
      </c>
      <c r="R3308">
        <v>-6.8014539999999998E-2</v>
      </c>
      <c r="S3308">
        <v>2.9796749999999999</v>
      </c>
      <c r="T3308">
        <v>-0.14830989999999999</v>
      </c>
      <c r="U3308">
        <v>-0.35797119999999999</v>
      </c>
      <c r="V3308">
        <v>7.6432879999999995E-2</v>
      </c>
      <c r="W3308">
        <v>-1.1697259999999999E-2</v>
      </c>
      <c r="X3308">
        <v>0.99700610000000001</v>
      </c>
      <c r="Y3308">
        <v>0.12749340000000001</v>
      </c>
      <c r="Z3308">
        <v>-3.5781889999999998E-3</v>
      </c>
      <c r="AA3308">
        <v>0.99183299999999996</v>
      </c>
      <c r="AB3308">
        <v>41</v>
      </c>
      <c r="AC3308">
        <v>21.912099999999999</v>
      </c>
      <c r="AD3308">
        <v>-1.10982884525199</v>
      </c>
      <c r="AE3308">
        <v>-2.6820999999999899</v>
      </c>
      <c r="AF3308">
        <v>2.8597997429365098</v>
      </c>
      <c r="AG3308">
        <v>-1.10982884525199</v>
      </c>
      <c r="AH3308">
        <v>21.833488043371499</v>
      </c>
      <c r="AI3308">
        <v>92.885322243112796</v>
      </c>
      <c r="AJ3308">
        <v>82.537750450187801</v>
      </c>
      <c r="AK3308">
        <v>22.047933571550399</v>
      </c>
      <c r="AL3308">
        <v>90.670218922897604</v>
      </c>
      <c r="AM3308">
        <v>85.616142796354396</v>
      </c>
      <c r="AN3308">
        <v>0.99999998723690597</v>
      </c>
    </row>
    <row r="3309" spans="1:40" x14ac:dyDescent="0.25">
      <c r="A3309" t="str">
        <f>"20190312161336144"</f>
        <v>20190312161336144</v>
      </c>
      <c r="B3309" t="str">
        <f>"1552378416138793"</f>
        <v>1552378416138793</v>
      </c>
      <c r="C3309" t="s">
        <v>40</v>
      </c>
      <c r="D3309">
        <v>5.3698040000000002</v>
      </c>
      <c r="E3309">
        <v>0.51920159999999904</v>
      </c>
      <c r="F3309" t="s">
        <v>74</v>
      </c>
      <c r="G3309">
        <v>-305.24130000000002</v>
      </c>
      <c r="H3309" s="1">
        <v>1.7235460000000001E-6</v>
      </c>
      <c r="I3309">
        <v>211.06870000000001</v>
      </c>
      <c r="J3309">
        <v>-329.94869999999997</v>
      </c>
      <c r="K3309">
        <v>1.1098349999999999</v>
      </c>
      <c r="L3309">
        <v>214.0607</v>
      </c>
      <c r="M3309">
        <v>0.99984919999999999</v>
      </c>
      <c r="N3309">
        <v>0</v>
      </c>
      <c r="O3309">
        <v>8.4429209999999904E-3</v>
      </c>
      <c r="P3309">
        <v>0.99728859999999997</v>
      </c>
      <c r="Q3309">
        <v>-2.6680240000000001E-2</v>
      </c>
      <c r="R3309">
        <v>-6.8583560000000002E-2</v>
      </c>
      <c r="S3309">
        <v>2.9803160000000002</v>
      </c>
      <c r="T3309">
        <v>-0.13167989999999999</v>
      </c>
      <c r="U3309">
        <v>-0.3545837</v>
      </c>
      <c r="V3309">
        <v>7.7001639999999996E-2</v>
      </c>
      <c r="W3309">
        <v>-1.155348E-2</v>
      </c>
      <c r="X3309">
        <v>0.99696399999999996</v>
      </c>
      <c r="Y3309">
        <v>0.1263928</v>
      </c>
      <c r="Z3309">
        <v>-3.1526950000000001E-3</v>
      </c>
      <c r="AA3309">
        <v>0.99197519999999995</v>
      </c>
      <c r="AB3309">
        <v>41</v>
      </c>
      <c r="AC3309">
        <v>24.7073999999999</v>
      </c>
      <c r="AD3309">
        <v>-1.109833276454</v>
      </c>
      <c r="AE3309">
        <v>-2.9919999999999898</v>
      </c>
      <c r="AF3309">
        <v>3.1941681867434801</v>
      </c>
      <c r="AG3309">
        <v>-1.109833276454</v>
      </c>
      <c r="AH3309">
        <v>24.632272270884702</v>
      </c>
      <c r="AI3309">
        <v>92.558386034226402</v>
      </c>
      <c r="AJ3309">
        <v>82.611449979155907</v>
      </c>
      <c r="AK3309">
        <v>24.863291767859799</v>
      </c>
      <c r="AL3309">
        <v>90.661980386059497</v>
      </c>
      <c r="AM3309">
        <v>85.583464025268498</v>
      </c>
      <c r="AN3309">
        <v>0.99999997637939897</v>
      </c>
    </row>
    <row r="3310" spans="1:40" x14ac:dyDescent="0.25">
      <c r="A3310" t="str">
        <f>"20190312161336168"</f>
        <v>20190312161336168</v>
      </c>
      <c r="B3310" t="str">
        <f>"1552378416159288"</f>
        <v>1552378416159288</v>
      </c>
      <c r="C3310" t="s">
        <v>40</v>
      </c>
      <c r="D3310">
        <v>5.4961609999999999</v>
      </c>
      <c r="E3310">
        <v>0.5190787</v>
      </c>
      <c r="F3310" t="s">
        <v>74</v>
      </c>
      <c r="G3310">
        <v>-303.87939999999998</v>
      </c>
      <c r="H3310" s="1">
        <v>1.9651119999999999E-6</v>
      </c>
      <c r="I3310">
        <v>210.9401</v>
      </c>
      <c r="J3310">
        <v>-329.51900000000001</v>
      </c>
      <c r="K3310">
        <v>1.109845</v>
      </c>
      <c r="L3310">
        <v>214.0643</v>
      </c>
      <c r="M3310">
        <v>0.99984919999999999</v>
      </c>
      <c r="N3310">
        <v>0</v>
      </c>
      <c r="O3310">
        <v>8.443107E-3</v>
      </c>
      <c r="P3310">
        <v>0.99726979999999998</v>
      </c>
      <c r="Q3310">
        <v>-2.623781E-2</v>
      </c>
      <c r="R3310">
        <v>-6.9026000000000004E-2</v>
      </c>
      <c r="S3310">
        <v>2.9802249999999999</v>
      </c>
      <c r="T3310">
        <v>-0.12687560000000001</v>
      </c>
      <c r="U3310">
        <v>-0.35675050000000003</v>
      </c>
      <c r="V3310">
        <v>7.7444020000000002E-2</v>
      </c>
      <c r="W3310">
        <v>-1.1112459999999999E-2</v>
      </c>
      <c r="X3310">
        <v>0.99693480000000001</v>
      </c>
      <c r="Y3310">
        <v>0.12711629999999999</v>
      </c>
      <c r="Z3310">
        <v>-3.053086E-3</v>
      </c>
      <c r="AA3310">
        <v>0.99188310000000002</v>
      </c>
      <c r="AB3310">
        <v>41</v>
      </c>
      <c r="AC3310">
        <v>25.639600000000002</v>
      </c>
      <c r="AD3310">
        <v>-1.109843034888</v>
      </c>
      <c r="AE3310">
        <v>-3.1242000000000001</v>
      </c>
      <c r="AF3310">
        <v>3.3344351006687001</v>
      </c>
      <c r="AG3310">
        <v>-1.109843034888</v>
      </c>
      <c r="AH3310">
        <v>25.565104321888199</v>
      </c>
      <c r="AI3310">
        <v>92.464935643443297</v>
      </c>
      <c r="AJ3310">
        <v>82.568908750544196</v>
      </c>
      <c r="AK3310">
        <v>25.805518169408799</v>
      </c>
      <c r="AL3310">
        <v>90.636710144070406</v>
      </c>
      <c r="AM3310">
        <v>85.558062379331901</v>
      </c>
      <c r="AN3310">
        <v>1.00000002922602</v>
      </c>
    </row>
    <row r="3311" spans="1:40" x14ac:dyDescent="0.25">
      <c r="A3311" t="str">
        <f>"20190312161336189"</f>
        <v>20190312161336189</v>
      </c>
      <c r="B3311" t="str">
        <f>"1552378416178811"</f>
        <v>1552378416178811</v>
      </c>
      <c r="C3311" t="s">
        <v>40</v>
      </c>
      <c r="D3311">
        <v>5.3938959999999998</v>
      </c>
      <c r="E3311">
        <v>0.51900170000000001</v>
      </c>
      <c r="F3311" t="s">
        <v>74</v>
      </c>
      <c r="G3311">
        <v>-302.07889999999998</v>
      </c>
      <c r="H3311" s="1">
        <v>2.2844920000000001E-6</v>
      </c>
      <c r="I3311">
        <v>210.7741</v>
      </c>
      <c r="J3311">
        <v>-329.12959999999998</v>
      </c>
      <c r="K3311">
        <v>1.1098460000000001</v>
      </c>
      <c r="L3311">
        <v>214.0676</v>
      </c>
      <c r="M3311">
        <v>0.99984919999999999</v>
      </c>
      <c r="N3311">
        <v>0</v>
      </c>
      <c r="O3311">
        <v>8.4432989999999996E-3</v>
      </c>
      <c r="P3311">
        <v>0.99724820000000003</v>
      </c>
      <c r="Q3311">
        <v>-2.621246E-2</v>
      </c>
      <c r="R3311">
        <v>-6.9346969999999994E-2</v>
      </c>
      <c r="S3311">
        <v>2.9803470000000001</v>
      </c>
      <c r="T3311">
        <v>-0.1205435</v>
      </c>
      <c r="U3311">
        <v>-0.35736079999999998</v>
      </c>
      <c r="V3311">
        <v>7.7765109999999998E-2</v>
      </c>
      <c r="W3311">
        <v>-1.1089079999999999E-2</v>
      </c>
      <c r="X3311">
        <v>0.99690999999999996</v>
      </c>
      <c r="Y3311">
        <v>0.12732349999999901</v>
      </c>
      <c r="Z3311">
        <v>-2.9048670000000002E-3</v>
      </c>
      <c r="AA3311">
        <v>0.99185699999999999</v>
      </c>
      <c r="AB3311">
        <v>41</v>
      </c>
      <c r="AC3311">
        <v>27.050699999999999</v>
      </c>
      <c r="AD3311">
        <v>-1.1098437155080001</v>
      </c>
      <c r="AE3311">
        <v>-3.2934999999999901</v>
      </c>
      <c r="AF3311">
        <v>3.5159739708649198</v>
      </c>
      <c r="AG3311">
        <v>-1.1098437155080001</v>
      </c>
      <c r="AH3311">
        <v>26.977176456111199</v>
      </c>
      <c r="AI3311">
        <v>92.336090536103498</v>
      </c>
      <c r="AJ3311">
        <v>82.5744147421874</v>
      </c>
      <c r="AK3311">
        <v>27.227961282123399</v>
      </c>
      <c r="AL3311">
        <v>90.635370527644497</v>
      </c>
      <c r="AM3311">
        <v>85.539609350982005</v>
      </c>
      <c r="AN3311">
        <v>0.99999996406427805</v>
      </c>
    </row>
    <row r="3312" spans="1:40" x14ac:dyDescent="0.25">
      <c r="A3312" t="str">
        <f>"20190312161336210"</f>
        <v>20190312161336210</v>
      </c>
      <c r="B3312" t="str">
        <f>"1552378416199304"</f>
        <v>1552378416199304</v>
      </c>
      <c r="C3312" t="s">
        <v>40</v>
      </c>
      <c r="D3312">
        <v>5.3389430000000004</v>
      </c>
      <c r="E3312">
        <v>0.51897979999999999</v>
      </c>
      <c r="F3312" t="s">
        <v>74</v>
      </c>
      <c r="G3312">
        <v>-300.7312</v>
      </c>
      <c r="H3312" s="1">
        <v>2.5235539999999999E-6</v>
      </c>
      <c r="I3312">
        <v>210.65889999999999</v>
      </c>
      <c r="J3312">
        <v>-328.74259999999998</v>
      </c>
      <c r="K3312">
        <v>1.1098479999999999</v>
      </c>
      <c r="L3312">
        <v>214.07089999999999</v>
      </c>
      <c r="M3312">
        <v>0.9998494</v>
      </c>
      <c r="N3312">
        <v>0</v>
      </c>
      <c r="O3312">
        <v>8.4431339999999997E-3</v>
      </c>
      <c r="P3312">
        <v>0.99722339999999998</v>
      </c>
      <c r="Q3312">
        <v>-2.5767399999999999E-2</v>
      </c>
      <c r="R3312">
        <v>-6.9869979999999998E-2</v>
      </c>
      <c r="S3312">
        <v>2.980286</v>
      </c>
      <c r="T3312">
        <v>-0.1164731</v>
      </c>
      <c r="U3312">
        <v>-0.35772710000000002</v>
      </c>
      <c r="V3312">
        <v>7.8287720000000005E-2</v>
      </c>
      <c r="W3312">
        <v>-1.0646330000000001E-2</v>
      </c>
      <c r="X3312">
        <v>0.99687400000000004</v>
      </c>
      <c r="Y3312">
        <v>0.12745310000000001</v>
      </c>
      <c r="Z3312">
        <v>-2.809406E-3</v>
      </c>
      <c r="AA3312">
        <v>0.99184059999999996</v>
      </c>
      <c r="AB3312">
        <v>41</v>
      </c>
      <c r="AC3312">
        <v>28.011399999999899</v>
      </c>
      <c r="AD3312">
        <v>-1.109845476446</v>
      </c>
      <c r="AE3312">
        <v>-3.4119999999999999</v>
      </c>
      <c r="AF3312">
        <v>3.64277458159627</v>
      </c>
      <c r="AG3312">
        <v>-1.109845476446</v>
      </c>
      <c r="AH3312">
        <v>27.9383724964522</v>
      </c>
      <c r="AI3312">
        <v>92.255791618702204</v>
      </c>
      <c r="AJ3312">
        <v>82.571336403813604</v>
      </c>
      <c r="AK3312">
        <v>28.1967058605155</v>
      </c>
      <c r="AL3312">
        <v>90.610001274625603</v>
      </c>
      <c r="AM3312">
        <v>85.509594578913294</v>
      </c>
      <c r="AN3312">
        <v>1.0000000416606301</v>
      </c>
    </row>
    <row r="3313" spans="1:40" x14ac:dyDescent="0.25">
      <c r="A3313" t="str">
        <f>"20190312161336234"</f>
        <v>20190312161336234</v>
      </c>
      <c r="B3313" t="str">
        <f>"1552378416229561"</f>
        <v>1552378416229561</v>
      </c>
      <c r="C3313" t="s">
        <v>40</v>
      </c>
      <c r="D3313">
        <v>5.3644910000000001</v>
      </c>
      <c r="E3313">
        <v>0.51974860000000001</v>
      </c>
      <c r="F3313" t="s">
        <v>74</v>
      </c>
      <c r="G3313">
        <v>-299.21559999999999</v>
      </c>
      <c r="H3313" s="1">
        <v>2.5291029999999999E-6</v>
      </c>
      <c r="I3313">
        <v>210.511</v>
      </c>
      <c r="J3313">
        <v>-328.3134</v>
      </c>
      <c r="K3313">
        <v>1.1098539999999999</v>
      </c>
      <c r="L3313">
        <v>214.0745</v>
      </c>
      <c r="M3313">
        <v>0.99984930000000005</v>
      </c>
      <c r="N3313">
        <v>0</v>
      </c>
      <c r="O3313">
        <v>8.4433289999999994E-3</v>
      </c>
      <c r="P3313">
        <v>0.99720030000000004</v>
      </c>
      <c r="Q3313">
        <v>-2.5776919999999998E-2</v>
      </c>
      <c r="R3313">
        <v>-7.019628E-2</v>
      </c>
      <c r="S3313">
        <v>2.9803160000000002</v>
      </c>
      <c r="T3313">
        <v>-0.1120225</v>
      </c>
      <c r="U3313">
        <v>-0.35931400000000002</v>
      </c>
      <c r="V3313">
        <v>7.8613769999999999E-2</v>
      </c>
      <c r="W3313">
        <v>-1.065843E-2</v>
      </c>
      <c r="X3313">
        <v>0.99684819999999996</v>
      </c>
      <c r="Y3313">
        <v>0.12797990000000001</v>
      </c>
      <c r="Z3313">
        <v>-2.711888E-3</v>
      </c>
      <c r="AA3313">
        <v>0.99177309999999996</v>
      </c>
      <c r="AB3313">
        <v>41</v>
      </c>
      <c r="AC3313">
        <v>29.097799999999999</v>
      </c>
      <c r="AD3313">
        <v>-1.109851470897</v>
      </c>
      <c r="AE3313">
        <v>-3.5634999999999999</v>
      </c>
      <c r="AF3313">
        <v>3.80363168077238</v>
      </c>
      <c r="AG3313">
        <v>-1.109851470897</v>
      </c>
      <c r="AH3313">
        <v>29.025068975352202</v>
      </c>
      <c r="AI3313">
        <v>92.171244972482299</v>
      </c>
      <c r="AJ3313">
        <v>82.534136151910104</v>
      </c>
      <c r="AK3313">
        <v>29.294265877034402</v>
      </c>
      <c r="AL3313">
        <v>90.610694599741393</v>
      </c>
      <c r="AM3313">
        <v>85.490853834812398</v>
      </c>
      <c r="AN3313">
        <v>1.00000003040345</v>
      </c>
    </row>
    <row r="3314" spans="1:40" x14ac:dyDescent="0.25">
      <c r="A3314" t="str">
        <f>"20190312161336257"</f>
        <v>20190312161336257</v>
      </c>
      <c r="B3314" t="str">
        <f>"1552378416249079"</f>
        <v>1552378416249079</v>
      </c>
      <c r="C3314" t="s">
        <v>40</v>
      </c>
      <c r="D3314">
        <v>5.3346439999999999</v>
      </c>
      <c r="E3314">
        <v>0.52047069999999995</v>
      </c>
      <c r="F3314" t="s">
        <v>74</v>
      </c>
      <c r="G3314">
        <v>-296.01299999999998</v>
      </c>
      <c r="H3314" s="1">
        <v>1.961009E-6</v>
      </c>
      <c r="I3314">
        <v>210.09909999999999</v>
      </c>
      <c r="J3314">
        <v>-327.89319999999998</v>
      </c>
      <c r="K3314">
        <v>1.1098539999999999</v>
      </c>
      <c r="L3314">
        <v>214.078</v>
      </c>
      <c r="M3314">
        <v>0.9998494</v>
      </c>
      <c r="N3314">
        <v>0</v>
      </c>
      <c r="O3314">
        <v>8.4433489999999993E-3</v>
      </c>
      <c r="P3314">
        <v>0.99716079999999996</v>
      </c>
      <c r="Q3314">
        <v>-2.601386E-2</v>
      </c>
      <c r="R3314">
        <v>-7.0668610000000007E-2</v>
      </c>
      <c r="S3314">
        <v>2.9799500000000001</v>
      </c>
      <c r="T3314">
        <v>-0.1023917</v>
      </c>
      <c r="U3314">
        <v>-0.36676029999999998</v>
      </c>
      <c r="V3314">
        <v>7.9085950000000002E-2</v>
      </c>
      <c r="W3314">
        <v>-1.089852E-2</v>
      </c>
      <c r="X3314">
        <v>0.99680820000000003</v>
      </c>
      <c r="Y3314">
        <v>0.13045019999999999</v>
      </c>
      <c r="Z3314">
        <v>-2.5210829999999999E-3</v>
      </c>
      <c r="AA3314">
        <v>0.99145170000000005</v>
      </c>
      <c r="AB3314">
        <v>41</v>
      </c>
      <c r="AC3314">
        <v>31.880199999999999</v>
      </c>
      <c r="AD3314">
        <v>-1.109852038991</v>
      </c>
      <c r="AE3314">
        <v>-3.9788999999999999</v>
      </c>
      <c r="AF3314">
        <v>4.2429013842155703</v>
      </c>
      <c r="AG3314">
        <v>-1.109852038991</v>
      </c>
      <c r="AH3314">
        <v>31.807506108926301</v>
      </c>
      <c r="AI3314">
        <v>91.980866165654405</v>
      </c>
      <c r="AJ3314">
        <v>82.401992906677705</v>
      </c>
      <c r="AK3314">
        <v>32.108432359335403</v>
      </c>
      <c r="AL3314">
        <v>90.624451575912602</v>
      </c>
      <c r="AM3314">
        <v>85.463701857083507</v>
      </c>
      <c r="AN3314">
        <v>0.99999997640641602</v>
      </c>
    </row>
    <row r="3315" spans="1:40" x14ac:dyDescent="0.25">
      <c r="A3315" t="str">
        <f>"20190312161336278"</f>
        <v>20190312161336278</v>
      </c>
      <c r="B3315" t="str">
        <f>"1552378416268600"</f>
        <v>1552378416268600</v>
      </c>
      <c r="C3315" t="s">
        <v>40</v>
      </c>
      <c r="D3315">
        <v>5.3233249999999996</v>
      </c>
      <c r="E3315">
        <v>0.52107020000000004</v>
      </c>
      <c r="F3315" t="s">
        <v>74</v>
      </c>
      <c r="G3315">
        <v>-293.59309999999999</v>
      </c>
      <c r="H3315" s="1">
        <v>1.5317679999999899E-6</v>
      </c>
      <c r="I3315">
        <v>209.76929999999999</v>
      </c>
      <c r="J3315">
        <v>-327.5018</v>
      </c>
      <c r="K3315">
        <v>1.1098520000000001</v>
      </c>
      <c r="L3315">
        <v>214.0813</v>
      </c>
      <c r="M3315">
        <v>0.9998494</v>
      </c>
      <c r="N3315">
        <v>0</v>
      </c>
      <c r="O3315">
        <v>8.4433700000000004E-3</v>
      </c>
      <c r="P3315">
        <v>0.99712219999999996</v>
      </c>
      <c r="Q3315">
        <v>-2.655395E-2</v>
      </c>
      <c r="R3315">
        <v>-7.1009340000000004E-2</v>
      </c>
      <c r="S3315">
        <v>2.979492</v>
      </c>
      <c r="T3315">
        <v>-9.6407770000000004E-2</v>
      </c>
      <c r="U3315">
        <v>-0.37428280000000003</v>
      </c>
      <c r="V3315">
        <v>7.9426419999999998E-2</v>
      </c>
      <c r="W3315">
        <v>-1.144184E-2</v>
      </c>
      <c r="X3315">
        <v>0.99677510000000002</v>
      </c>
      <c r="Y3315">
        <v>0.13294129999999901</v>
      </c>
      <c r="Z3315">
        <v>-2.4139529999999999E-3</v>
      </c>
      <c r="AA3315">
        <v>0.99112100000000003</v>
      </c>
      <c r="AB3315">
        <v>41</v>
      </c>
      <c r="AC3315">
        <v>33.908700000000003</v>
      </c>
      <c r="AD3315">
        <v>-1.1098504682320001</v>
      </c>
      <c r="AE3315">
        <v>-4.31200000000001</v>
      </c>
      <c r="AF3315">
        <v>4.5933403867093503</v>
      </c>
      <c r="AG3315">
        <v>-1.1098504682320001</v>
      </c>
      <c r="AH3315">
        <v>33.835408345849103</v>
      </c>
      <c r="AI3315">
        <v>91.861646926602504</v>
      </c>
      <c r="AJ3315">
        <v>82.269048294338205</v>
      </c>
      <c r="AK3315">
        <v>34.1638025093865</v>
      </c>
      <c r="AL3315">
        <v>90.655583423194201</v>
      </c>
      <c r="AM3315">
        <v>85.444104194470597</v>
      </c>
      <c r="AN3315">
        <v>1.0000000359382999</v>
      </c>
    </row>
    <row r="3316" spans="1:40" x14ac:dyDescent="0.25">
      <c r="A3316" t="str">
        <f>"20190312161336300"</f>
        <v>20190312161336300</v>
      </c>
      <c r="B3316" t="str">
        <f>"1552378416289095"</f>
        <v>1552378416289095</v>
      </c>
      <c r="C3316" t="s">
        <v>40</v>
      </c>
      <c r="D3316">
        <v>5.3512459999999997</v>
      </c>
      <c r="E3316">
        <v>0.52172419999999997</v>
      </c>
      <c r="F3316" t="s">
        <v>74</v>
      </c>
      <c r="G3316">
        <v>-291.44060000000002</v>
      </c>
      <c r="H3316" s="1">
        <v>1.1866889999999999E-6</v>
      </c>
      <c r="I3316">
        <v>209.47819999999999</v>
      </c>
      <c r="J3316">
        <v>-327.10669999999999</v>
      </c>
      <c r="K3316">
        <v>1.1098460000000001</v>
      </c>
      <c r="L3316">
        <v>214.0847</v>
      </c>
      <c r="M3316">
        <v>0.9998494</v>
      </c>
      <c r="N3316">
        <v>0</v>
      </c>
      <c r="O3316">
        <v>8.4435109999999904E-3</v>
      </c>
      <c r="P3316">
        <v>0.99708149999999995</v>
      </c>
      <c r="Q3316">
        <v>-2.7251669999999999E-2</v>
      </c>
      <c r="R3316">
        <v>-7.1316740000000003E-2</v>
      </c>
      <c r="S3316">
        <v>2.9791259999999999</v>
      </c>
      <c r="T3316">
        <v>-9.1688039999999998E-2</v>
      </c>
      <c r="U3316">
        <v>-0.38027949999999999</v>
      </c>
      <c r="V3316">
        <v>7.9733529999999997E-2</v>
      </c>
      <c r="W3316">
        <v>-1.2143080000000001E-2</v>
      </c>
      <c r="X3316">
        <v>0.99674220000000002</v>
      </c>
      <c r="Y3316">
        <v>0.13492579999999901</v>
      </c>
      <c r="Z3316">
        <v>-2.3262370000000001E-3</v>
      </c>
      <c r="AA3316">
        <v>0.99085299999999998</v>
      </c>
      <c r="AB3316">
        <v>41</v>
      </c>
      <c r="AC3316">
        <v>35.666099999999901</v>
      </c>
      <c r="AD3316">
        <v>-1.1098448133109999</v>
      </c>
      <c r="AE3316">
        <v>-4.6065000000000103</v>
      </c>
      <c r="AF3316">
        <v>4.9028479127276103</v>
      </c>
      <c r="AG3316">
        <v>-1.1098448133109999</v>
      </c>
      <c r="AH3316">
        <v>35.592030256314303</v>
      </c>
      <c r="AI3316">
        <v>91.769343648703</v>
      </c>
      <c r="AJ3316">
        <v>82.156793538144598</v>
      </c>
      <c r="AK3316">
        <v>35.945267990813001</v>
      </c>
      <c r="AL3316">
        <v>90.695764367508403</v>
      </c>
      <c r="AM3316">
        <v>85.426412649135301</v>
      </c>
      <c r="AN3316">
        <v>0.99999995172949196</v>
      </c>
    </row>
    <row r="3317" spans="1:40" x14ac:dyDescent="0.25">
      <c r="A3317" t="str">
        <f>"20190312161336322"</f>
        <v>20190312161336322</v>
      </c>
      <c r="B3317" t="str">
        <f>"1552378416319352"</f>
        <v>1552378416319352</v>
      </c>
      <c r="C3317" t="s">
        <v>40</v>
      </c>
      <c r="D3317">
        <v>5.332643</v>
      </c>
      <c r="E3317">
        <v>0.52265660000000003</v>
      </c>
      <c r="F3317" t="s">
        <v>74</v>
      </c>
      <c r="G3317">
        <v>-289.19819999999999</v>
      </c>
      <c r="H3317" s="1">
        <v>3.641646E-6</v>
      </c>
      <c r="I3317">
        <v>209.1635</v>
      </c>
      <c r="J3317">
        <v>-326.71359999999999</v>
      </c>
      <c r="K3317">
        <v>1.1098490000000001</v>
      </c>
      <c r="L3317">
        <v>214.08799999999999</v>
      </c>
      <c r="M3317">
        <v>0.9998494</v>
      </c>
      <c r="N3317">
        <v>0</v>
      </c>
      <c r="O3317">
        <v>8.4435340000000008E-3</v>
      </c>
      <c r="P3317">
        <v>0.99707319999999999</v>
      </c>
      <c r="Q3317">
        <v>-2.7365489999999999E-2</v>
      </c>
      <c r="R3317">
        <v>-7.1388770000000004E-2</v>
      </c>
      <c r="S3317">
        <v>2.978729</v>
      </c>
      <c r="T3317">
        <v>-8.7207670000000001E-2</v>
      </c>
      <c r="U3317">
        <v>-0.38668819999999998</v>
      </c>
      <c r="V3317">
        <v>7.9805280000000006E-2</v>
      </c>
      <c r="W3317">
        <v>-1.2260099999999999E-2</v>
      </c>
      <c r="X3317">
        <v>0.99673509999999998</v>
      </c>
      <c r="Y3317">
        <v>0.13704459999999999</v>
      </c>
      <c r="Z3317">
        <v>-2.2434849999999999E-3</v>
      </c>
      <c r="AA3317">
        <v>0.99056230000000001</v>
      </c>
      <c r="AB3317">
        <v>41</v>
      </c>
      <c r="AC3317">
        <v>37.5154</v>
      </c>
      <c r="AD3317">
        <v>-1.109845358354</v>
      </c>
      <c r="AE3317">
        <v>-4.9244999999999903</v>
      </c>
      <c r="AF3317">
        <v>5.2366179461013802</v>
      </c>
      <c r="AG3317">
        <v>-1.109845358354</v>
      </c>
      <c r="AH3317">
        <v>37.440264851112602</v>
      </c>
      <c r="AI3317">
        <v>91.681568439948904</v>
      </c>
      <c r="AJ3317">
        <v>82.037922998151799</v>
      </c>
      <c r="AK3317">
        <v>37.820990948867902</v>
      </c>
      <c r="AL3317">
        <v>90.702469566813306</v>
      </c>
      <c r="AM3317">
        <v>85.422282019005394</v>
      </c>
      <c r="AN3317">
        <v>1.00000002616994</v>
      </c>
    </row>
    <row r="3318" spans="1:40" x14ac:dyDescent="0.25">
      <c r="A3318" t="str">
        <f>"20190312161336335"</f>
        <v>20190312161336335</v>
      </c>
      <c r="B3318" t="str">
        <f>"1552378416329112"</f>
        <v>1552378416329112</v>
      </c>
      <c r="C3318" t="s">
        <v>40</v>
      </c>
      <c r="D3318">
        <v>5.3126049999999996</v>
      </c>
      <c r="E3318">
        <v>0.5229684</v>
      </c>
      <c r="F3318" t="s">
        <v>74</v>
      </c>
      <c r="G3318">
        <v>-287.85660000000001</v>
      </c>
      <c r="H3318">
        <v>7.9999500000000001E-2</v>
      </c>
      <c r="I3318">
        <v>208.93639999999999</v>
      </c>
      <c r="J3318">
        <v>-326.46409999999997</v>
      </c>
      <c r="K3318">
        <v>1.1098490000000001</v>
      </c>
      <c r="L3318">
        <v>214.09010000000001</v>
      </c>
      <c r="M3318">
        <v>0.99984960000000001</v>
      </c>
      <c r="N3318">
        <v>0</v>
      </c>
      <c r="O3318">
        <v>8.4434309999999995E-3</v>
      </c>
      <c r="P3318">
        <v>0.99710069999999995</v>
      </c>
      <c r="Q3318">
        <v>-2.7231439999999999E-2</v>
      </c>
      <c r="R3318">
        <v>-7.105773E-2</v>
      </c>
      <c r="S3318">
        <v>2.9783330000000001</v>
      </c>
      <c r="T3318">
        <v>-7.893646E-2</v>
      </c>
      <c r="U3318">
        <v>-0.39486690000000002</v>
      </c>
      <c r="V3318">
        <v>7.9474589999999998E-2</v>
      </c>
      <c r="W3318">
        <v>-1.212763E-2</v>
      </c>
      <c r="X3318">
        <v>0.99676310000000001</v>
      </c>
      <c r="Y3318">
        <v>0.13974510000000001</v>
      </c>
      <c r="Z3318">
        <v>-2.0663080000000002E-3</v>
      </c>
      <c r="AA3318">
        <v>0.99018539999999999</v>
      </c>
      <c r="AB3318">
        <v>41</v>
      </c>
      <c r="AC3318">
        <v>38.607499999999902</v>
      </c>
      <c r="AD3318">
        <v>-1.0298495000000001</v>
      </c>
      <c r="AE3318">
        <v>-5.1537000000000104</v>
      </c>
      <c r="AF3318">
        <v>5.4757054059299701</v>
      </c>
      <c r="AG3318">
        <v>-1.0298495000000001</v>
      </c>
      <c r="AH3318">
        <v>38.535663644678799</v>
      </c>
      <c r="AI3318">
        <v>91.515624186087607</v>
      </c>
      <c r="AJ3318">
        <v>81.912725161637496</v>
      </c>
      <c r="AK3318">
        <v>38.936375180812597</v>
      </c>
      <c r="AL3318">
        <v>90.694879060271205</v>
      </c>
      <c r="AM3318">
        <v>85.441298157732305</v>
      </c>
      <c r="AN3318">
        <v>0.99999998369334697</v>
      </c>
    </row>
    <row r="3319" spans="1:40" x14ac:dyDescent="0.25">
      <c r="A3319" t="str">
        <f>"20190312161336355"</f>
        <v>20190312161336355</v>
      </c>
      <c r="B3319" t="str">
        <f>"1552378416349608"</f>
        <v>1552378416349608</v>
      </c>
      <c r="C3319" t="s">
        <v>40</v>
      </c>
      <c r="D3319">
        <v>5.3134870000000003</v>
      </c>
      <c r="E3319">
        <v>0.52357759999999998</v>
      </c>
      <c r="F3319" t="s">
        <v>74</v>
      </c>
      <c r="G3319">
        <v>-286.13569999999999</v>
      </c>
      <c r="H3319">
        <v>7.9999290000000001E-2</v>
      </c>
      <c r="I3319">
        <v>208.7253</v>
      </c>
      <c r="J3319">
        <v>-326.10739999999998</v>
      </c>
      <c r="K3319">
        <v>1.1098479999999999</v>
      </c>
      <c r="L3319">
        <v>214.09309999999999</v>
      </c>
      <c r="M3319">
        <v>0.99984960000000001</v>
      </c>
      <c r="N3319">
        <v>0</v>
      </c>
      <c r="O3319">
        <v>8.4435729999999994E-3</v>
      </c>
      <c r="P3319">
        <v>0.99711939999999999</v>
      </c>
      <c r="Q3319">
        <v>-2.7369330000000001E-2</v>
      </c>
      <c r="R3319">
        <v>-7.0739159999999995E-2</v>
      </c>
      <c r="S3319">
        <v>2.9783629999999999</v>
      </c>
      <c r="T3319">
        <v>-7.6057310000000003E-2</v>
      </c>
      <c r="U3319">
        <v>-0.3962097</v>
      </c>
      <c r="V3319">
        <v>7.9156439999999995E-2</v>
      </c>
      <c r="W3319">
        <v>-1.226819E-2</v>
      </c>
      <c r="X3319">
        <v>0.99678670000000003</v>
      </c>
      <c r="Y3319">
        <v>0.14018620000000001</v>
      </c>
      <c r="Z3319">
        <v>-1.9964969999999999E-3</v>
      </c>
      <c r="AA3319">
        <v>0.99012319999999998</v>
      </c>
      <c r="AB3319">
        <v>41</v>
      </c>
      <c r="AC3319">
        <v>39.971699999999998</v>
      </c>
      <c r="AD3319">
        <v>-1.02984871</v>
      </c>
      <c r="AE3319">
        <v>-5.3677999999999804</v>
      </c>
      <c r="AF3319">
        <v>5.7014336990603596</v>
      </c>
      <c r="AG3319">
        <v>-1.02984871</v>
      </c>
      <c r="AH3319">
        <v>39.898930156520102</v>
      </c>
      <c r="AI3319">
        <v>91.463696184855706</v>
      </c>
      <c r="AJ3319">
        <v>81.867664925239893</v>
      </c>
      <c r="AK3319">
        <v>40.317385359484</v>
      </c>
      <c r="AL3319">
        <v>90.702933151431296</v>
      </c>
      <c r="AM3319">
        <v>85.459577990400604</v>
      </c>
      <c r="AN3319">
        <v>0.99999998788811895</v>
      </c>
    </row>
    <row r="3320" spans="1:40" x14ac:dyDescent="0.25">
      <c r="A3320" t="str">
        <f>"20190312161336378"</f>
        <v>20190312161336378</v>
      </c>
      <c r="B3320" t="str">
        <f>"1552378416369127"</f>
        <v>1552378416369127</v>
      </c>
      <c r="C3320" t="s">
        <v>40</v>
      </c>
      <c r="D3320">
        <v>5.5345309999999897</v>
      </c>
      <c r="E3320">
        <v>0.52351990000000004</v>
      </c>
      <c r="F3320" t="s">
        <v>74</v>
      </c>
      <c r="G3320">
        <v>-283.44690000000003</v>
      </c>
      <c r="H3320">
        <v>7.9999479999999998E-2</v>
      </c>
      <c r="I3320">
        <v>208.35849999999999</v>
      </c>
      <c r="J3320">
        <v>-325.68110000000001</v>
      </c>
      <c r="K3320">
        <v>1.109845</v>
      </c>
      <c r="L3320">
        <v>214.0967</v>
      </c>
      <c r="M3320">
        <v>0.99984960000000001</v>
      </c>
      <c r="N3320">
        <v>0</v>
      </c>
      <c r="O3320">
        <v>8.4437799999999997E-3</v>
      </c>
      <c r="P3320">
        <v>0.99715330000000002</v>
      </c>
      <c r="Q3320">
        <v>-2.7153549999999999E-2</v>
      </c>
      <c r="R3320">
        <v>-7.0341329999999994E-2</v>
      </c>
      <c r="S3320">
        <v>2.9783019999999998</v>
      </c>
      <c r="T3320">
        <v>-7.189798E-2</v>
      </c>
      <c r="U3320">
        <v>-0.4003601</v>
      </c>
      <c r="V3320">
        <v>7.8758990000000001E-2</v>
      </c>
      <c r="W3320">
        <v>-1.2055629999999999E-2</v>
      </c>
      <c r="X3320">
        <v>0.99682079999999995</v>
      </c>
      <c r="Y3320">
        <v>0.14154910000000001</v>
      </c>
      <c r="Z3320">
        <v>-1.903592E-3</v>
      </c>
      <c r="AA3320">
        <v>0.98992939999999996</v>
      </c>
      <c r="AB3320">
        <v>41</v>
      </c>
      <c r="AC3320">
        <v>42.234199999999902</v>
      </c>
      <c r="AD3320">
        <v>-1.0298455200000001</v>
      </c>
      <c r="AE3320">
        <v>-5.7382</v>
      </c>
      <c r="AF3320">
        <v>6.0910965630723704</v>
      </c>
      <c r="AG3320">
        <v>-1.0298455200000001</v>
      </c>
      <c r="AH3320">
        <v>42.1596231486986</v>
      </c>
      <c r="AI3320">
        <v>91.384928700781799</v>
      </c>
      <c r="AJ3320">
        <v>81.778962668316893</v>
      </c>
      <c r="AK3320">
        <v>42.609809471247601</v>
      </c>
      <c r="AL3320">
        <v>90.690753442905006</v>
      </c>
      <c r="AM3320">
        <v>85.482435060487106</v>
      </c>
      <c r="AN3320">
        <v>1.00000001201657</v>
      </c>
    </row>
    <row r="3321" spans="1:40" x14ac:dyDescent="0.25">
      <c r="A3321" t="str">
        <f>"20190312161336401"</f>
        <v>20190312161336401</v>
      </c>
      <c r="B3321" t="str">
        <f>"1552378416389628"</f>
        <v>1552378416389628</v>
      </c>
      <c r="C3321" t="s">
        <v>40</v>
      </c>
      <c r="D3321">
        <v>5.2642910000000001</v>
      </c>
      <c r="E3321">
        <v>0.48704439999999999</v>
      </c>
      <c r="F3321" t="s">
        <v>74</v>
      </c>
      <c r="G3321">
        <v>-281.72750000000002</v>
      </c>
      <c r="H3321">
        <v>7.999974E-2</v>
      </c>
      <c r="I3321">
        <v>208.2123</v>
      </c>
      <c r="J3321">
        <v>-325.29199999999997</v>
      </c>
      <c r="K3321">
        <v>1.1098479999999999</v>
      </c>
      <c r="L3321">
        <v>214.1</v>
      </c>
      <c r="M3321">
        <v>0.99984960000000001</v>
      </c>
      <c r="N3321">
        <v>0</v>
      </c>
      <c r="O3321">
        <v>8.4438069999999994E-3</v>
      </c>
      <c r="P3321">
        <v>0.99716550000000004</v>
      </c>
      <c r="Q3321">
        <v>-2.7407520000000001E-2</v>
      </c>
      <c r="R3321">
        <v>-7.006983E-2</v>
      </c>
      <c r="S3321">
        <v>2.9785159999999999</v>
      </c>
      <c r="T3321">
        <v>-6.9787379999999996E-2</v>
      </c>
      <c r="U3321">
        <v>-0.3987579</v>
      </c>
      <c r="V3321">
        <v>7.8487650000000006E-2</v>
      </c>
      <c r="W3321">
        <v>-1.231287E-2</v>
      </c>
      <c r="X3321">
        <v>0.99683900000000003</v>
      </c>
      <c r="Y3321">
        <v>0.14101920000000001</v>
      </c>
      <c r="Z3321">
        <v>-1.8414830000000001E-3</v>
      </c>
      <c r="AA3321">
        <v>0.99000509999999997</v>
      </c>
      <c r="AB3321">
        <v>40</v>
      </c>
      <c r="AC3321">
        <v>43.564500000000002</v>
      </c>
      <c r="AD3321">
        <v>-1.0298482599999901</v>
      </c>
      <c r="AE3321">
        <v>-5.8876999999999899</v>
      </c>
      <c r="AF3321">
        <v>6.2519513840155003</v>
      </c>
      <c r="AG3321">
        <v>-1.0298482599999901</v>
      </c>
      <c r="AH3321">
        <v>43.489358991056498</v>
      </c>
      <c r="AI3321">
        <v>91.342738484971804</v>
      </c>
      <c r="AJ3321">
        <v>81.819310558012802</v>
      </c>
      <c r="AK3321">
        <v>43.948513387823503</v>
      </c>
      <c r="AL3321">
        <v>90.705493343506305</v>
      </c>
      <c r="AM3321">
        <v>85.498016714136796</v>
      </c>
      <c r="AN3321">
        <v>0.99999995494557803</v>
      </c>
    </row>
    <row r="3322" spans="1:40" x14ac:dyDescent="0.25">
      <c r="A3322" t="str">
        <f>"20190312161336422"</f>
        <v>20190312161336422</v>
      </c>
      <c r="B3322" t="str">
        <f>"1552378416409144"</f>
        <v>1552378416409144</v>
      </c>
      <c r="C3322" t="s">
        <v>40</v>
      </c>
      <c r="D3322">
        <v>5.1371370000000001</v>
      </c>
      <c r="E3322">
        <v>0.48574830000000002</v>
      </c>
      <c r="F3322" t="s">
        <v>74</v>
      </c>
      <c r="G3322">
        <v>-292.94630000000001</v>
      </c>
      <c r="H3322" s="1">
        <v>1.4170369999999999E-6</v>
      </c>
      <c r="I3322">
        <v>212.95500000000001</v>
      </c>
      <c r="J3322">
        <v>-324.90260000000001</v>
      </c>
      <c r="K3322">
        <v>1.1098600000000001</v>
      </c>
      <c r="L3322">
        <v>214.10329999999999</v>
      </c>
      <c r="M3322">
        <v>0.99984969999999995</v>
      </c>
      <c r="N3322">
        <v>0</v>
      </c>
      <c r="O3322">
        <v>8.4438359999999997E-3</v>
      </c>
      <c r="P3322">
        <v>0.9971911</v>
      </c>
      <c r="Q3322">
        <v>-2.7194300000000001E-2</v>
      </c>
      <c r="R3322">
        <v>-6.9787669999999996E-2</v>
      </c>
      <c r="S3322">
        <v>2.9982600000000001</v>
      </c>
      <c r="T3322">
        <v>-0.10287640000000001</v>
      </c>
      <c r="U3322">
        <v>-0.1061401</v>
      </c>
      <c r="V3322">
        <v>7.8205880000000005E-2</v>
      </c>
      <c r="W3322">
        <v>-1.210288E-2</v>
      </c>
      <c r="X3322">
        <v>0.99686379999999997</v>
      </c>
      <c r="Y3322">
        <v>4.378597E-2</v>
      </c>
      <c r="Z3322">
        <v>-1.0403280000000001E-3</v>
      </c>
      <c r="AA3322">
        <v>0.99904040000000005</v>
      </c>
      <c r="AB3322">
        <v>40</v>
      </c>
      <c r="AC3322">
        <v>31.956299999999999</v>
      </c>
      <c r="AD3322">
        <v>-1.1098585829629899</v>
      </c>
      <c r="AE3322">
        <v>-1.1482999999999699</v>
      </c>
      <c r="AF3322">
        <v>1.4164174579228099</v>
      </c>
      <c r="AG3322">
        <v>-1.1098585829629899</v>
      </c>
      <c r="AH3322">
        <v>31.907026444042401</v>
      </c>
      <c r="AI3322">
        <v>91.990222923837607</v>
      </c>
      <c r="AJ3322">
        <v>87.458193222444393</v>
      </c>
      <c r="AK3322">
        <v>31.957727719443799</v>
      </c>
      <c r="AL3322">
        <v>90.693460848265104</v>
      </c>
      <c r="AM3322">
        <v>85.514223855791002</v>
      </c>
      <c r="AN3322">
        <v>1.0000000375606499</v>
      </c>
    </row>
    <row r="3323" spans="1:40" x14ac:dyDescent="0.25">
      <c r="A3323" t="str">
        <f>"20190312161336458"</f>
        <v>20190312161336458</v>
      </c>
      <c r="B3323" t="str">
        <f>"1552378416449159"</f>
        <v>1552378416449159</v>
      </c>
      <c r="C3323" t="s">
        <v>40</v>
      </c>
      <c r="D3323">
        <v>5.1807129999999999</v>
      </c>
      <c r="E3323">
        <v>0.48582940000000002</v>
      </c>
      <c r="F3323" t="s">
        <v>74</v>
      </c>
      <c r="G3323">
        <v>-281.05689999999998</v>
      </c>
      <c r="H3323" s="1">
        <v>6.850897E-6</v>
      </c>
      <c r="I3323">
        <v>212.69820000000001</v>
      </c>
      <c r="J3323">
        <v>-324.24860000000001</v>
      </c>
      <c r="K3323">
        <v>1.1098629999999901</v>
      </c>
      <c r="L3323">
        <v>214.10890000000001</v>
      </c>
      <c r="M3323">
        <v>0.99984969999999995</v>
      </c>
      <c r="N3323">
        <v>0</v>
      </c>
      <c r="O3323">
        <v>8.4438849999999999E-3</v>
      </c>
      <c r="P3323">
        <v>0.99719310000000005</v>
      </c>
      <c r="Q3323">
        <v>-2.699261E-2</v>
      </c>
      <c r="R3323">
        <v>-6.9838220000000006E-2</v>
      </c>
      <c r="S3323">
        <v>2.9996339999999999</v>
      </c>
      <c r="T3323">
        <v>-7.5928809999999999E-2</v>
      </c>
      <c r="U3323">
        <v>-9.6130370000000007E-2</v>
      </c>
      <c r="V3323">
        <v>7.8256500000000007E-2</v>
      </c>
      <c r="W3323">
        <v>-1.190752E-2</v>
      </c>
      <c r="X3323">
        <v>0.99686209999999997</v>
      </c>
      <c r="Y3323">
        <v>4.0454669999999998E-2</v>
      </c>
      <c r="Z3323">
        <v>-7.2547330000000002E-4</v>
      </c>
      <c r="AA3323">
        <v>0.99918110000000004</v>
      </c>
      <c r="AB3323">
        <v>40</v>
      </c>
      <c r="AC3323">
        <v>43.191699999999997</v>
      </c>
      <c r="AD3323">
        <v>-1.1098561491029999</v>
      </c>
      <c r="AE3323">
        <v>-1.4106999999999901</v>
      </c>
      <c r="AF3323">
        <v>1.7742270104084601</v>
      </c>
      <c r="AG3323">
        <v>-1.1098561491029999</v>
      </c>
      <c r="AH3323">
        <v>43.149785814031098</v>
      </c>
      <c r="AI3323">
        <v>91.472137180063498</v>
      </c>
      <c r="AJ3323">
        <v>87.645446282792193</v>
      </c>
      <c r="AK3323">
        <v>43.200505528904699</v>
      </c>
      <c r="AL3323">
        <v>90.682266793021498</v>
      </c>
      <c r="AM3323">
        <v>85.511324604020999</v>
      </c>
      <c r="AN3323">
        <v>0.99999995762060401</v>
      </c>
    </row>
    <row r="3324" spans="1:40" x14ac:dyDescent="0.25">
      <c r="A3324" t="str">
        <f>"20190312161336478"</f>
        <v>20190312161336478</v>
      </c>
      <c r="B3324" t="str">
        <f>"1552378416469656"</f>
        <v>1552378416469656</v>
      </c>
      <c r="C3324" t="s">
        <v>40</v>
      </c>
      <c r="D3324">
        <v>5.1524409999999996</v>
      </c>
      <c r="E3324">
        <v>0.48588969999999998</v>
      </c>
      <c r="F3324" t="s">
        <v>74</v>
      </c>
      <c r="G3324">
        <v>-285.64679999999998</v>
      </c>
      <c r="H3324" s="1">
        <v>4.795135E-6</v>
      </c>
      <c r="I3324">
        <v>212.86850000000001</v>
      </c>
      <c r="J3324">
        <v>-323.88720000000001</v>
      </c>
      <c r="K3324">
        <v>1.109864</v>
      </c>
      <c r="L3324">
        <v>214.11189999999999</v>
      </c>
      <c r="M3324">
        <v>0.99984989999999996</v>
      </c>
      <c r="N3324">
        <v>0</v>
      </c>
      <c r="O3324">
        <v>8.4439119999999996E-3</v>
      </c>
      <c r="P3324">
        <v>0.9972162</v>
      </c>
      <c r="Q3324">
        <v>-2.7196020000000001E-2</v>
      </c>
      <c r="R3324">
        <v>-6.9430629999999993E-2</v>
      </c>
      <c r="S3324">
        <v>2.9993590000000001</v>
      </c>
      <c r="T3324">
        <v>-8.6235999999999993E-2</v>
      </c>
      <c r="U3324">
        <v>-9.6374509999999997E-2</v>
      </c>
      <c r="V3324">
        <v>7.7848929999999997E-2</v>
      </c>
      <c r="W3324">
        <v>-1.2114069999999999E-2</v>
      </c>
      <c r="X3324">
        <v>0.99689159999999999</v>
      </c>
      <c r="Y3324">
        <v>4.0534290000000001E-2</v>
      </c>
      <c r="Z3324">
        <v>-8.2513569999999997E-4</v>
      </c>
      <c r="AA3324">
        <v>0.9991778</v>
      </c>
      <c r="AB3324">
        <v>40</v>
      </c>
      <c r="AC3324">
        <v>38.240400000000001</v>
      </c>
      <c r="AD3324">
        <v>-1.109859204865</v>
      </c>
      <c r="AE3324">
        <v>-1.2433999999999801</v>
      </c>
      <c r="AF3324">
        <v>1.56497433416303</v>
      </c>
      <c r="AG3324">
        <v>-1.109859204865</v>
      </c>
      <c r="AH3324">
        <v>38.196395407790398</v>
      </c>
      <c r="AI3324">
        <v>91.662960561519299</v>
      </c>
      <c r="AJ3324">
        <v>87.653802146395904</v>
      </c>
      <c r="AK3324">
        <v>38.244549340650899</v>
      </c>
      <c r="AL3324">
        <v>90.694102037232497</v>
      </c>
      <c r="AM3324">
        <v>85.534739018473104</v>
      </c>
      <c r="AN3324">
        <v>1.0000000343723301</v>
      </c>
    </row>
    <row r="3325" spans="1:40" x14ac:dyDescent="0.25">
      <c r="A3325" t="str">
        <f>"20190312161336500"</f>
        <v>20190312161336500</v>
      </c>
      <c r="B3325" t="str">
        <f>"1552378416489176"</f>
        <v>1552378416489176</v>
      </c>
      <c r="C3325" t="s">
        <v>40</v>
      </c>
      <c r="D3325">
        <v>5.2954730000000003</v>
      </c>
      <c r="E3325">
        <v>0.48580139999999999</v>
      </c>
      <c r="F3325" t="s">
        <v>74</v>
      </c>
      <c r="G3325">
        <v>-281.57080000000002</v>
      </c>
      <c r="H3325" s="1">
        <v>6.6161360000000002E-6</v>
      </c>
      <c r="I3325">
        <v>212.75579999999999</v>
      </c>
      <c r="J3325">
        <v>-323.49130000000002</v>
      </c>
      <c r="K3325">
        <v>1.109864</v>
      </c>
      <c r="L3325">
        <v>214.11529999999999</v>
      </c>
      <c r="M3325">
        <v>0.99984989999999996</v>
      </c>
      <c r="N3325">
        <v>0</v>
      </c>
      <c r="O3325">
        <v>8.4439419999999994E-3</v>
      </c>
      <c r="P3325">
        <v>0.99723640000000002</v>
      </c>
      <c r="Q3325">
        <v>-2.7575990000000002E-2</v>
      </c>
      <c r="R3325">
        <v>-6.8987010000000001E-2</v>
      </c>
      <c r="S3325">
        <v>2.9995729999999998</v>
      </c>
      <c r="T3325">
        <v>-7.8671569999999996E-2</v>
      </c>
      <c r="U3325">
        <v>-9.6130370000000007E-2</v>
      </c>
      <c r="V3325">
        <v>7.740561E-2</v>
      </c>
      <c r="W3325">
        <v>-1.2497609999999999E-2</v>
      </c>
      <c r="X3325">
        <v>0.99692139999999996</v>
      </c>
      <c r="Y3325">
        <v>4.0454219999999999E-2</v>
      </c>
      <c r="Z3325">
        <v>-7.5168149999999998E-4</v>
      </c>
      <c r="AA3325">
        <v>0.99918110000000004</v>
      </c>
      <c r="AB3325">
        <v>40</v>
      </c>
      <c r="AC3325">
        <v>41.920499999999997</v>
      </c>
      <c r="AD3325">
        <v>-1.109857383864</v>
      </c>
      <c r="AE3325">
        <v>-1.3594999999999899</v>
      </c>
      <c r="AF3325">
        <v>1.71226737028025</v>
      </c>
      <c r="AG3325">
        <v>-1.109857383864</v>
      </c>
      <c r="AH3325">
        <v>41.878201002610602</v>
      </c>
      <c r="AI3325">
        <v>91.516832431047206</v>
      </c>
      <c r="AJ3325">
        <v>87.658660657126603</v>
      </c>
      <c r="AK3325">
        <v>41.927882872557397</v>
      </c>
      <c r="AL3325">
        <v>90.716078914034298</v>
      </c>
      <c r="AM3325">
        <v>85.560197204221197</v>
      </c>
      <c r="AN3325">
        <v>1.0000000482465701</v>
      </c>
    </row>
    <row r="3326" spans="1:40" x14ac:dyDescent="0.25">
      <c r="A3326" t="str">
        <f>"20190312161336523"</f>
        <v>20190312161336523</v>
      </c>
      <c r="B3326" t="str">
        <f>"1552378416519432"</f>
        <v>1552378416519432</v>
      </c>
      <c r="C3326" t="s">
        <v>40</v>
      </c>
      <c r="D3326">
        <v>5.1655670000000002</v>
      </c>
      <c r="E3326">
        <v>0.48625810000000003</v>
      </c>
      <c r="F3326" t="s">
        <v>69</v>
      </c>
      <c r="G3326">
        <v>-279.54669999999999</v>
      </c>
      <c r="H3326" s="1">
        <v>3.6257260000000002E-6</v>
      </c>
      <c r="I3326">
        <v>212.7354</v>
      </c>
      <c r="J3326">
        <v>-323.09309999999999</v>
      </c>
      <c r="K3326">
        <v>1.1098669999999999</v>
      </c>
      <c r="L3326">
        <v>214.11859999999999</v>
      </c>
      <c r="M3326">
        <v>0.99985000000000002</v>
      </c>
      <c r="N3326">
        <v>0</v>
      </c>
      <c r="O3326">
        <v>8.4437939999999993E-3</v>
      </c>
      <c r="P3326">
        <v>0.99725620000000004</v>
      </c>
      <c r="Q3326">
        <v>-2.7647359999999999E-2</v>
      </c>
      <c r="R3326">
        <v>-6.8676409999999993E-2</v>
      </c>
      <c r="S3326">
        <v>2.9996640000000001</v>
      </c>
      <c r="T3326">
        <v>-7.5759290000000007E-2</v>
      </c>
      <c r="U3326">
        <v>-9.4192499999999998E-2</v>
      </c>
      <c r="V3326">
        <v>7.7094850000000006E-2</v>
      </c>
      <c r="W3326">
        <v>-1.2572689999999999E-2</v>
      </c>
      <c r="X3326">
        <v>0.99694450000000001</v>
      </c>
      <c r="Y3326">
        <v>3.9809659999999997E-2</v>
      </c>
      <c r="Z3326">
        <v>-7.1570979999999998E-4</v>
      </c>
      <c r="AA3326">
        <v>0.99920699999999996</v>
      </c>
      <c r="AB3326">
        <v>40</v>
      </c>
      <c r="AC3326">
        <v>43.546399999999998</v>
      </c>
      <c r="AD3326">
        <v>-1.1098633742739901</v>
      </c>
      <c r="AE3326">
        <v>-1.38319999999998</v>
      </c>
      <c r="AF3326">
        <v>1.7497540944944601</v>
      </c>
      <c r="AG3326">
        <v>-1.1098633742739901</v>
      </c>
      <c r="AH3326">
        <v>43.504934873631498</v>
      </c>
      <c r="AI3326">
        <v>91.460187457256097</v>
      </c>
      <c r="AJ3326">
        <v>87.6968240483898</v>
      </c>
      <c r="AK3326">
        <v>43.554251164033097</v>
      </c>
      <c r="AL3326">
        <v>90.720381044890502</v>
      </c>
      <c r="AM3326">
        <v>85.578052879198594</v>
      </c>
      <c r="AN3326">
        <v>1.0000000122553001</v>
      </c>
    </row>
    <row r="3327" spans="1:40" x14ac:dyDescent="0.25">
      <c r="A3327" t="str">
        <f>"20190312161336546"</f>
        <v>20190312161336546</v>
      </c>
      <c r="B3327" t="str">
        <f>"1552378416538953"</f>
        <v>1552378416538953</v>
      </c>
      <c r="C3327" t="s">
        <v>40</v>
      </c>
      <c r="D3327">
        <v>5.1318409999999997</v>
      </c>
      <c r="E3327">
        <v>0.48652610000000002</v>
      </c>
      <c r="F3327" t="s">
        <v>69</v>
      </c>
      <c r="G3327">
        <v>-278.64409999999998</v>
      </c>
      <c r="H3327" s="1">
        <v>3.1476569999999998E-6</v>
      </c>
      <c r="I3327">
        <v>212.68350000000001</v>
      </c>
      <c r="J3327">
        <v>-322.67649999999998</v>
      </c>
      <c r="K3327">
        <v>1.1098699999999999</v>
      </c>
      <c r="L3327">
        <v>214.12209999999999</v>
      </c>
      <c r="M3327">
        <v>0.99985000000000002</v>
      </c>
      <c r="N3327">
        <v>0</v>
      </c>
      <c r="O3327">
        <v>8.4440060000000004E-3</v>
      </c>
      <c r="P3327">
        <v>0.99730129999999995</v>
      </c>
      <c r="Q3327">
        <v>-2.6898680000000001E-2</v>
      </c>
      <c r="R3327">
        <v>-6.8312949999999997E-2</v>
      </c>
      <c r="S3327">
        <v>2.9995120000000002</v>
      </c>
      <c r="T3327">
        <v>-7.4895980000000001E-2</v>
      </c>
      <c r="U3327">
        <v>-9.6847530000000001E-2</v>
      </c>
      <c r="V3327">
        <v>7.6732300000000003E-2</v>
      </c>
      <c r="W3327">
        <v>-1.182769E-2</v>
      </c>
      <c r="X3327">
        <v>0.99698160000000002</v>
      </c>
      <c r="Y3327">
        <v>4.069507E-2</v>
      </c>
      <c r="Z3327">
        <v>-7.1863750000000001E-4</v>
      </c>
      <c r="AA3327">
        <v>0.99917140000000004</v>
      </c>
      <c r="AB3327">
        <v>40</v>
      </c>
      <c r="AC3327">
        <v>44.032400000000003</v>
      </c>
      <c r="AD3327">
        <v>-1.109866852343</v>
      </c>
      <c r="AE3327">
        <v>-1.4385999999999699</v>
      </c>
      <c r="AF3327">
        <v>1.8092528286913401</v>
      </c>
      <c r="AG3327">
        <v>-1.109866852343</v>
      </c>
      <c r="AH3327">
        <v>43.990762193556002</v>
      </c>
      <c r="AI3327">
        <v>91.444019516797496</v>
      </c>
      <c r="AJ3327">
        <v>87.644865504487399</v>
      </c>
      <c r="AK3327">
        <v>44.041938633512103</v>
      </c>
      <c r="AL3327">
        <v>90.677692502664598</v>
      </c>
      <c r="AM3327">
        <v>85.598928981770101</v>
      </c>
      <c r="AN3327">
        <v>1.00000002542629</v>
      </c>
    </row>
    <row r="3328" spans="1:40" x14ac:dyDescent="0.25">
      <c r="A3328" t="str">
        <f>"20190312161336569"</f>
        <v>20190312161336569</v>
      </c>
      <c r="B3328" t="str">
        <f>"1552378416559450"</f>
        <v>1552378416559450</v>
      </c>
      <c r="C3328" t="s">
        <v>40</v>
      </c>
      <c r="D3328">
        <v>5.1335449999999998</v>
      </c>
      <c r="E3328">
        <v>0.48674770000000001</v>
      </c>
      <c r="F3328" t="s">
        <v>69</v>
      </c>
      <c r="G3328">
        <v>-275.80259999999998</v>
      </c>
      <c r="H3328" s="1">
        <v>1.6396430000000001E-6</v>
      </c>
      <c r="I3328">
        <v>212.58930000000001</v>
      </c>
      <c r="J3328">
        <v>-322.27190000000002</v>
      </c>
      <c r="K3328">
        <v>1.1098779999999999</v>
      </c>
      <c r="L3328">
        <v>214.12559999999999</v>
      </c>
      <c r="M3328">
        <v>0.99985009999999996</v>
      </c>
      <c r="N3328">
        <v>0</v>
      </c>
      <c r="O3328">
        <v>8.4438589999999997E-3</v>
      </c>
      <c r="P3328">
        <v>0.99731930000000002</v>
      </c>
      <c r="Q3328">
        <v>-2.6477250000000001E-2</v>
      </c>
      <c r="R3328">
        <v>-6.8216089999999993E-2</v>
      </c>
      <c r="S3328">
        <v>2.9994809999999998</v>
      </c>
      <c r="T3328">
        <v>-7.1020840000000002E-2</v>
      </c>
      <c r="U3328">
        <v>-9.8083500000000004E-2</v>
      </c>
      <c r="V3328">
        <v>7.6635179999999997E-2</v>
      </c>
      <c r="W3328">
        <v>-1.141025E-2</v>
      </c>
      <c r="X3328">
        <v>0.99699389999999999</v>
      </c>
      <c r="Y3328">
        <v>4.1107959999999999E-2</v>
      </c>
      <c r="Z3328">
        <v>-6.8635089999999897E-4</v>
      </c>
      <c r="AA3328">
        <v>0.9991544</v>
      </c>
      <c r="AB3328">
        <v>40</v>
      </c>
      <c r="AC3328">
        <v>46.469299999999997</v>
      </c>
      <c r="AD3328">
        <v>-1.1098763603569901</v>
      </c>
      <c r="AE3328">
        <v>-1.53629999999998</v>
      </c>
      <c r="AF3328">
        <v>1.9275718871296399</v>
      </c>
      <c r="AG3328">
        <v>-1.1098763603569901</v>
      </c>
      <c r="AH3328">
        <v>46.428213188862998</v>
      </c>
      <c r="AI3328">
        <v>91.368228803027407</v>
      </c>
      <c r="AJ3328">
        <v>87.622601941429195</v>
      </c>
      <c r="AK3328">
        <v>46.481462313763799</v>
      </c>
      <c r="AL3328">
        <v>90.653773361046703</v>
      </c>
      <c r="AM3328">
        <v>85.604531584481506</v>
      </c>
      <c r="AN3328">
        <v>0.99999999062795197</v>
      </c>
    </row>
    <row r="3329" spans="1:40" x14ac:dyDescent="0.25">
      <c r="A3329" t="str">
        <f>"20190312161336590"</f>
        <v>20190312161336590</v>
      </c>
      <c r="B3329" t="str">
        <f>"1552378416578968"</f>
        <v>1552378416578968</v>
      </c>
      <c r="C3329" t="s">
        <v>40</v>
      </c>
      <c r="D3329">
        <v>5.1119870000000001</v>
      </c>
      <c r="E3329">
        <v>0.48682700000000001</v>
      </c>
      <c r="F3329" t="s">
        <v>69</v>
      </c>
      <c r="G3329">
        <v>-274.62119999999999</v>
      </c>
      <c r="H3329" s="1">
        <v>1.013029E-6</v>
      </c>
      <c r="I3329">
        <v>212.5421</v>
      </c>
      <c r="J3329">
        <v>-321.89280000000002</v>
      </c>
      <c r="K3329">
        <v>1.1098840000000001</v>
      </c>
      <c r="L3329">
        <v>214.12880000000001</v>
      </c>
      <c r="M3329">
        <v>0.99985029999999997</v>
      </c>
      <c r="N3329">
        <v>0</v>
      </c>
      <c r="O3329">
        <v>8.4437709999999992E-3</v>
      </c>
      <c r="P3329">
        <v>0.99730750000000001</v>
      </c>
      <c r="Q3329">
        <v>-2.669593E-2</v>
      </c>
      <c r="R3329">
        <v>-6.8306759999999994E-2</v>
      </c>
      <c r="S3329">
        <v>2.99939</v>
      </c>
      <c r="T3329">
        <v>-6.9861530000000005E-2</v>
      </c>
      <c r="U3329">
        <v>-9.9670410000000001E-2</v>
      </c>
      <c r="V3329">
        <v>7.672561E-2</v>
      </c>
      <c r="W3329">
        <v>-1.16331E-2</v>
      </c>
      <c r="X3329">
        <v>0.99698439999999999</v>
      </c>
      <c r="Y3329">
        <v>4.1637220000000003E-2</v>
      </c>
      <c r="Z3329">
        <v>-6.8132419999999895E-4</v>
      </c>
      <c r="AA3329">
        <v>0.99913260000000004</v>
      </c>
      <c r="AB3329">
        <v>40</v>
      </c>
      <c r="AC3329">
        <v>47.271599999999999</v>
      </c>
      <c r="AD3329">
        <v>-1.1098829869710001</v>
      </c>
      <c r="AE3329">
        <v>-1.5867</v>
      </c>
      <c r="AF3329">
        <v>1.98474664123064</v>
      </c>
      <c r="AG3329">
        <v>-1.1098829869710001</v>
      </c>
      <c r="AH3329">
        <v>47.230508330158202</v>
      </c>
      <c r="AI3329">
        <v>91.344975286243894</v>
      </c>
      <c r="AJ3329">
        <v>87.593700703043993</v>
      </c>
      <c r="AK3329">
        <v>47.285219430597799</v>
      </c>
      <c r="AL3329">
        <v>90.666542552960706</v>
      </c>
      <c r="AM3329">
        <v>85.599323497851003</v>
      </c>
      <c r="AN3329">
        <v>1.00000002104442</v>
      </c>
    </row>
    <row r="3330" spans="1:40" x14ac:dyDescent="0.25">
      <c r="A3330" t="str">
        <f>"20190312161336612"</f>
        <v>20190312161336612</v>
      </c>
      <c r="B3330" t="str">
        <f>"1552378416599464"</f>
        <v>1552378416599464</v>
      </c>
      <c r="C3330" t="s">
        <v>40</v>
      </c>
      <c r="D3330">
        <v>5.126938</v>
      </c>
      <c r="E3330">
        <v>0.4869346</v>
      </c>
      <c r="F3330" t="s">
        <v>69</v>
      </c>
      <c r="G3330">
        <v>-267.80590000000001</v>
      </c>
      <c r="H3330" s="1">
        <v>2.7179330000000001E-6</v>
      </c>
      <c r="I3330">
        <v>212.31039999999999</v>
      </c>
      <c r="J3330">
        <v>-321.5052</v>
      </c>
      <c r="K3330">
        <v>1.109888</v>
      </c>
      <c r="L3330">
        <v>214.13200000000001</v>
      </c>
      <c r="M3330">
        <v>0.99985029999999997</v>
      </c>
      <c r="N3330">
        <v>0</v>
      </c>
      <c r="O3330">
        <v>8.4438029999999997E-3</v>
      </c>
      <c r="P3330">
        <v>0.99727790000000005</v>
      </c>
      <c r="Q3330">
        <v>-2.692808E-2</v>
      </c>
      <c r="R3330">
        <v>-6.864315E-2</v>
      </c>
      <c r="S3330">
        <v>2.9995729999999998</v>
      </c>
      <c r="T3330">
        <v>-6.1552290000000003E-2</v>
      </c>
      <c r="U3330">
        <v>-0.1008453</v>
      </c>
      <c r="V3330">
        <v>7.7061969999999994E-2</v>
      </c>
      <c r="W3330">
        <v>-1.186984E-2</v>
      </c>
      <c r="X3330">
        <v>0.99695560000000005</v>
      </c>
      <c r="Y3330">
        <v>4.2029110000000001E-2</v>
      </c>
      <c r="Z3330">
        <v>-6.0428599999999999E-4</v>
      </c>
      <c r="AA3330">
        <v>0.99911620000000001</v>
      </c>
      <c r="AB3330">
        <v>40</v>
      </c>
      <c r="AC3330">
        <v>53.699300000000001</v>
      </c>
      <c r="AD3330">
        <v>-1.109885282067</v>
      </c>
      <c r="AE3330">
        <v>-1.8216000000000101</v>
      </c>
      <c r="AF3330">
        <v>2.2740427469973401</v>
      </c>
      <c r="AG3330">
        <v>-1.109885282067</v>
      </c>
      <c r="AH3330">
        <v>53.659106048584</v>
      </c>
      <c r="AI3330">
        <v>91.183874944805495</v>
      </c>
      <c r="AJ3330">
        <v>87.573289185400697</v>
      </c>
      <c r="AK3330">
        <v>53.7187376777201</v>
      </c>
      <c r="AL3330">
        <v>90.680107737597794</v>
      </c>
      <c r="AM3330">
        <v>85.579980327428601</v>
      </c>
      <c r="AN3330">
        <v>0.99999995434663203</v>
      </c>
    </row>
    <row r="3331" spans="1:40" x14ac:dyDescent="0.25">
      <c r="A3331" t="str">
        <f>"20190312161336636"</f>
        <v>20190312161336636</v>
      </c>
      <c r="B3331" t="str">
        <f>"1552378416629252"</f>
        <v>1552378416629252</v>
      </c>
      <c r="C3331" t="s">
        <v>40</v>
      </c>
      <c r="D3331">
        <v>5.1429479999999996</v>
      </c>
      <c r="E3331">
        <v>0.48725200000000002</v>
      </c>
      <c r="F3331" t="s">
        <v>69</v>
      </c>
      <c r="G3331">
        <v>-260.9015</v>
      </c>
      <c r="H3331" s="1">
        <v>-9.4498669999999999E-7</v>
      </c>
      <c r="I3331">
        <v>212.05199999999999</v>
      </c>
      <c r="J3331">
        <v>-321.07470000000001</v>
      </c>
      <c r="K3331">
        <v>1.1098809999999999</v>
      </c>
      <c r="L3331">
        <v>214.13570000000001</v>
      </c>
      <c r="M3331">
        <v>0.99985029999999997</v>
      </c>
      <c r="N3331">
        <v>0</v>
      </c>
      <c r="O3331">
        <v>8.4438359999999997E-3</v>
      </c>
      <c r="P3331">
        <v>0.99729869999999998</v>
      </c>
      <c r="Q3331">
        <v>-2.6529799999999999E-2</v>
      </c>
      <c r="R3331">
        <v>-6.8497329999999995E-2</v>
      </c>
      <c r="S3331">
        <v>2.9995729999999998</v>
      </c>
      <c r="T3331">
        <v>-5.4933790000000003E-2</v>
      </c>
      <c r="U3331">
        <v>-0.102951</v>
      </c>
      <c r="V3331">
        <v>7.691634E-2</v>
      </c>
      <c r="W3331">
        <v>-1.147565E-2</v>
      </c>
      <c r="X3331">
        <v>0.99697150000000001</v>
      </c>
      <c r="Y3331">
        <v>4.2731739999999997E-2</v>
      </c>
      <c r="Z3331">
        <v>-5.4574660000000004E-4</v>
      </c>
      <c r="AA3331">
        <v>0.99908640000000004</v>
      </c>
      <c r="AB3331">
        <v>40</v>
      </c>
      <c r="AC3331">
        <v>60.173200000000001</v>
      </c>
      <c r="AD3331">
        <v>-1.1098819449866999</v>
      </c>
      <c r="AE3331">
        <v>-2.0836999999999901</v>
      </c>
      <c r="AF3331">
        <v>2.5908958909580999</v>
      </c>
      <c r="AG3331">
        <v>-1.1098819449866999</v>
      </c>
      <c r="AH3331">
        <v>60.133024551619499</v>
      </c>
      <c r="AI3331">
        <v>91.056414643050104</v>
      </c>
      <c r="AJ3331">
        <v>87.532875765565393</v>
      </c>
      <c r="AK3331">
        <v>60.199046679953902</v>
      </c>
      <c r="AL3331">
        <v>90.657520748948599</v>
      </c>
      <c r="AM3331">
        <v>85.588370257002595</v>
      </c>
      <c r="AN3331">
        <v>0.99999999285708396</v>
      </c>
    </row>
    <row r="3332" spans="1:40" x14ac:dyDescent="0.25">
      <c r="A3332" t="str">
        <f>"20190312161336659"</f>
        <v>20190312161336659</v>
      </c>
      <c r="B3332" t="str">
        <f>"1552378416649746"</f>
        <v>1552378416649746</v>
      </c>
      <c r="C3332" t="s">
        <v>40</v>
      </c>
      <c r="D3332">
        <v>5.1963499999999998</v>
      </c>
      <c r="E3332">
        <v>0.48742980000000002</v>
      </c>
      <c r="F3332" t="s">
        <v>69</v>
      </c>
      <c r="G3332">
        <v>-247.55289999999999</v>
      </c>
      <c r="H3332" s="1">
        <v>2.6163420000000001E-6</v>
      </c>
      <c r="I3332">
        <v>211.55369999999999</v>
      </c>
      <c r="J3332">
        <v>-320.65910000000002</v>
      </c>
      <c r="K3332">
        <v>1.1098790000000001</v>
      </c>
      <c r="L3332">
        <v>214.13919999999999</v>
      </c>
      <c r="M3332">
        <v>0.99985049999999998</v>
      </c>
      <c r="N3332">
        <v>0</v>
      </c>
      <c r="O3332">
        <v>8.4438669999999903E-3</v>
      </c>
      <c r="P3332">
        <v>0.99732279999999995</v>
      </c>
      <c r="Q3332">
        <v>-2.6347430000000002E-2</v>
      </c>
      <c r="R3332">
        <v>-6.8216180000000001E-2</v>
      </c>
      <c r="S3332">
        <v>2.999695</v>
      </c>
      <c r="T3332">
        <v>-4.5283080000000003E-2</v>
      </c>
      <c r="U3332">
        <v>-0.1053467</v>
      </c>
      <c r="V3332">
        <v>7.6635300000000003E-2</v>
      </c>
      <c r="W3332">
        <v>-1.12969E-2</v>
      </c>
      <c r="X3332">
        <v>0.99699519999999997</v>
      </c>
      <c r="Y3332">
        <v>4.3529959999999999E-2</v>
      </c>
      <c r="Z3332">
        <v>-4.5588120000000001E-4</v>
      </c>
      <c r="AA3332">
        <v>0.99905200000000005</v>
      </c>
      <c r="AB3332">
        <v>40</v>
      </c>
      <c r="AC3332">
        <v>73.106200000000001</v>
      </c>
      <c r="AD3332">
        <v>-1.1098763836579999</v>
      </c>
      <c r="AE3332">
        <v>-2.5854999999999899</v>
      </c>
      <c r="AF3332">
        <v>3.20204002326465</v>
      </c>
      <c r="AG3332">
        <v>-1.1098763836579999</v>
      </c>
      <c r="AH3332">
        <v>73.064939797611999</v>
      </c>
      <c r="AI3332">
        <v>90.869437212071304</v>
      </c>
      <c r="AJ3332">
        <v>87.490642406900704</v>
      </c>
      <c r="AK3332">
        <v>73.143491258800694</v>
      </c>
      <c r="AL3332">
        <v>90.647278453867699</v>
      </c>
      <c r="AM3332">
        <v>85.604530437642694</v>
      </c>
      <c r="AN3332">
        <v>1.0000000089893699</v>
      </c>
    </row>
    <row r="3333" spans="1:40" x14ac:dyDescent="0.25">
      <c r="A3333" t="str">
        <f>"20190312161336680"</f>
        <v>20190312161336680</v>
      </c>
      <c r="B3333" t="str">
        <f>"1552378416669266"</f>
        <v>1552378416669266</v>
      </c>
      <c r="C3333" t="s">
        <v>40</v>
      </c>
      <c r="D3333">
        <v>5.0800380000000001</v>
      </c>
      <c r="E3333">
        <v>0.48758020000000002</v>
      </c>
      <c r="F3333" t="s">
        <v>69</v>
      </c>
      <c r="G3333">
        <v>-241.89080000000001</v>
      </c>
      <c r="H3333" s="1">
        <v>-3.8810850000000001E-7</v>
      </c>
      <c r="I3333">
        <v>211.35650000000001</v>
      </c>
      <c r="J3333">
        <v>-320.27569999999997</v>
      </c>
      <c r="K3333">
        <v>1.1098809999999999</v>
      </c>
      <c r="L3333">
        <v>214.14250000000001</v>
      </c>
      <c r="M3333">
        <v>0.99985040000000003</v>
      </c>
      <c r="N3333">
        <v>0</v>
      </c>
      <c r="O3333">
        <v>8.443898E-3</v>
      </c>
      <c r="P3333">
        <v>0.99736029999999998</v>
      </c>
      <c r="Q3333">
        <v>-2.6101470000000002E-2</v>
      </c>
      <c r="R3333">
        <v>-6.776045E-2</v>
      </c>
      <c r="S3333">
        <v>2.999695</v>
      </c>
      <c r="T3333">
        <v>-4.2266959999999999E-2</v>
      </c>
      <c r="U3333">
        <v>-0.10597230000000001</v>
      </c>
      <c r="V3333">
        <v>7.6179940000000002E-2</v>
      </c>
      <c r="W3333">
        <v>-1.1054359999999999E-2</v>
      </c>
      <c r="X3333">
        <v>0.99703280000000005</v>
      </c>
      <c r="Y3333">
        <v>4.3738829999999999E-2</v>
      </c>
      <c r="Z3333">
        <v>-4.2698999999999998E-4</v>
      </c>
      <c r="AA3333">
        <v>0.99904289999999996</v>
      </c>
      <c r="AB3333">
        <v>40</v>
      </c>
      <c r="AC3333">
        <v>78.384899999999902</v>
      </c>
      <c r="AD3333">
        <v>-1.1098813881084999</v>
      </c>
      <c r="AE3333">
        <v>-2.786</v>
      </c>
      <c r="AF3333">
        <v>3.4471599399441999</v>
      </c>
      <c r="AG3333">
        <v>-1.1098813881084999</v>
      </c>
      <c r="AH3333">
        <v>78.342890543687005</v>
      </c>
      <c r="AI3333">
        <v>90.810868828177703</v>
      </c>
      <c r="AJ3333">
        <v>87.480557601767003</v>
      </c>
      <c r="AK3333">
        <v>78.426546826233107</v>
      </c>
      <c r="AL3333">
        <v>90.633381077711505</v>
      </c>
      <c r="AM3333">
        <v>85.630710616014397</v>
      </c>
      <c r="AN3333">
        <v>0.99999999320462596</v>
      </c>
    </row>
    <row r="3334" spans="1:40" x14ac:dyDescent="0.25">
      <c r="A3334" t="str">
        <f>"20190312161336701"</f>
        <v>20190312161336701</v>
      </c>
      <c r="B3334" t="str">
        <f>"1552378416689762"</f>
        <v>1552378416689762</v>
      </c>
      <c r="C3334" t="s">
        <v>40</v>
      </c>
      <c r="D3334">
        <v>5.0702319999999999</v>
      </c>
      <c r="E3334">
        <v>0.48772789999999999</v>
      </c>
      <c r="F3334" t="s">
        <v>69</v>
      </c>
      <c r="G3334">
        <v>-232.52070000000001</v>
      </c>
      <c r="H3334" s="1">
        <v>-3.9181389999999997E-8</v>
      </c>
      <c r="I3334">
        <v>211.0428</v>
      </c>
      <c r="J3334">
        <v>-319.9126</v>
      </c>
      <c r="K3334">
        <v>1.10988</v>
      </c>
      <c r="L3334">
        <v>214.1455</v>
      </c>
      <c r="M3334">
        <v>0.99985060000000003</v>
      </c>
      <c r="N3334">
        <v>0</v>
      </c>
      <c r="O3334">
        <v>8.4433890000000008E-3</v>
      </c>
      <c r="P3334">
        <v>0.99736579999999997</v>
      </c>
      <c r="Q3334">
        <v>-2.6690370000000001E-2</v>
      </c>
      <c r="R3334">
        <v>-6.7451449999999996E-2</v>
      </c>
      <c r="S3334">
        <v>2.9997560000000001</v>
      </c>
      <c r="T3334">
        <v>-3.7939430000000003E-2</v>
      </c>
      <c r="U3334">
        <v>-0.105957</v>
      </c>
      <c r="V3334">
        <v>7.5870439999999997E-2</v>
      </c>
      <c r="W3334">
        <v>-1.164718E-2</v>
      </c>
      <c r="X3334">
        <v>0.99704959999999998</v>
      </c>
      <c r="Y3334">
        <v>4.373353E-2</v>
      </c>
      <c r="Z3334">
        <v>-3.8322820000000001E-4</v>
      </c>
      <c r="AA3334">
        <v>0.99904320000000002</v>
      </c>
      <c r="AB3334">
        <v>40</v>
      </c>
      <c r="AC3334">
        <v>87.391899999999893</v>
      </c>
      <c r="AD3334">
        <v>-1.1098800391813901</v>
      </c>
      <c r="AE3334">
        <v>-3.1026999999999898</v>
      </c>
      <c r="AF3334">
        <v>3.8399385595166802</v>
      </c>
      <c r="AG3334">
        <v>-1.1098800391813901</v>
      </c>
      <c r="AH3334">
        <v>87.348513052762797</v>
      </c>
      <c r="AI3334">
        <v>90.727278219811097</v>
      </c>
      <c r="AJ3334">
        <v>87.482834005634999</v>
      </c>
      <c r="AK3334">
        <v>87.439920484701403</v>
      </c>
      <c r="AL3334">
        <v>90.667349384487096</v>
      </c>
      <c r="AM3334">
        <v>85.648466661414105</v>
      </c>
      <c r="AN3334">
        <v>0.99999994266395098</v>
      </c>
    </row>
    <row r="3335" spans="1:40" x14ac:dyDescent="0.25">
      <c r="A3335" t="str">
        <f>"20190312161336723"</f>
        <v>20190312161336723</v>
      </c>
      <c r="B3335" t="str">
        <f>"1552378416719043"</f>
        <v>1552378416719043</v>
      </c>
      <c r="C3335" t="s">
        <v>40</v>
      </c>
      <c r="D3335">
        <v>5.0462259999999999</v>
      </c>
      <c r="E3335">
        <v>0.48798160000000002</v>
      </c>
      <c r="F3335" t="s">
        <v>69</v>
      </c>
      <c r="G3335">
        <v>-228.37549999999999</v>
      </c>
      <c r="H3335" s="1">
        <v>3.0826930000000002E-6</v>
      </c>
      <c r="I3335">
        <v>210.90020000000001</v>
      </c>
      <c r="J3335">
        <v>-319.51949999999999</v>
      </c>
      <c r="K3335">
        <v>1.1098760000000001</v>
      </c>
      <c r="L3335">
        <v>214.1489</v>
      </c>
      <c r="M3335">
        <v>0.99985060000000003</v>
      </c>
      <c r="N3335">
        <v>0</v>
      </c>
      <c r="O3335">
        <v>8.4422219999999992E-3</v>
      </c>
      <c r="P3335">
        <v>0.99734219999999896</v>
      </c>
      <c r="Q3335">
        <v>-2.731461E-2</v>
      </c>
      <c r="R3335">
        <v>-6.7549709999999999E-2</v>
      </c>
      <c r="S3335">
        <v>2.9997859999999998</v>
      </c>
      <c r="T3335">
        <v>-3.6372069999999999E-2</v>
      </c>
      <c r="U3335">
        <v>-0.1063538</v>
      </c>
      <c r="V3335">
        <v>7.596733E-2</v>
      </c>
      <c r="W3335">
        <v>-1.227632E-2</v>
      </c>
      <c r="X3335">
        <v>0.99703470000000005</v>
      </c>
      <c r="Y3335">
        <v>4.3864300000000002E-2</v>
      </c>
      <c r="Z3335">
        <v>-3.681712E-4</v>
      </c>
      <c r="AA3335">
        <v>0.99903739999999996</v>
      </c>
      <c r="AB3335">
        <v>40</v>
      </c>
      <c r="AC3335">
        <v>91.143999999999906</v>
      </c>
      <c r="AD3335">
        <v>-1.1098729173070001</v>
      </c>
      <c r="AE3335">
        <v>-3.2486999999999799</v>
      </c>
      <c r="AF3335">
        <v>4.0175346528369698</v>
      </c>
      <c r="AG3335">
        <v>-1.1098729173070001</v>
      </c>
      <c r="AH3335">
        <v>91.099830484948896</v>
      </c>
      <c r="AI3335">
        <v>90.697324568881299</v>
      </c>
      <c r="AJ3335">
        <v>87.474872059551004</v>
      </c>
      <c r="AK3335">
        <v>91.195128800642294</v>
      </c>
      <c r="AL3335">
        <v>90.703399015103201</v>
      </c>
      <c r="AM3335">
        <v>85.642866078604399</v>
      </c>
      <c r="AN3335">
        <v>0.99999996813208003</v>
      </c>
    </row>
    <row r="3336" spans="1:40" x14ac:dyDescent="0.25">
      <c r="A3336" t="str">
        <f>"20190312161336746"</f>
        <v>20190312161336746</v>
      </c>
      <c r="B3336" t="str">
        <f>"1552378416739538"</f>
        <v>1552378416739538</v>
      </c>
      <c r="C3336" t="s">
        <v>40</v>
      </c>
      <c r="D3336">
        <v>5.0320010000000002</v>
      </c>
      <c r="E3336">
        <v>0.4882109</v>
      </c>
      <c r="F3336" t="s">
        <v>69</v>
      </c>
      <c r="G3336">
        <v>-229.53020000000001</v>
      </c>
      <c r="H3336" s="1">
        <v>3.6976270000000001E-6</v>
      </c>
      <c r="I3336">
        <v>210.88910000000001</v>
      </c>
      <c r="J3336">
        <v>-319.11450000000002</v>
      </c>
      <c r="K3336">
        <v>1.1098749999999999</v>
      </c>
      <c r="L3336">
        <v>214.1523</v>
      </c>
      <c r="M3336">
        <v>0.99985060000000003</v>
      </c>
      <c r="N3336">
        <v>0</v>
      </c>
      <c r="O3336">
        <v>8.4399139999999997E-3</v>
      </c>
      <c r="P3336">
        <v>0.99730649999999998</v>
      </c>
      <c r="Q3336">
        <v>-2.726845E-2</v>
      </c>
      <c r="R3336">
        <v>-6.8089460000000004E-2</v>
      </c>
      <c r="S3336">
        <v>2.9996640000000001</v>
      </c>
      <c r="T3336">
        <v>-3.6996010000000003E-2</v>
      </c>
      <c r="U3336">
        <v>-0.1086578</v>
      </c>
      <c r="V3336">
        <v>7.6504569999999994E-2</v>
      </c>
      <c r="W3336">
        <v>-1.2235609999999999E-2</v>
      </c>
      <c r="X3336">
        <v>0.99699409999999999</v>
      </c>
      <c r="Y3336">
        <v>4.4629620000000002E-2</v>
      </c>
      <c r="Z3336">
        <v>-3.7918590000000002E-4</v>
      </c>
      <c r="AA3336">
        <v>0.99900350000000004</v>
      </c>
      <c r="AB3336">
        <v>40</v>
      </c>
      <c r="AC3336">
        <v>89.584299999999999</v>
      </c>
      <c r="AD3336">
        <v>-1.109871302373</v>
      </c>
      <c r="AE3336">
        <v>-3.2631999999999799</v>
      </c>
      <c r="AF3336">
        <v>4.0186375680345803</v>
      </c>
      <c r="AG3336">
        <v>-1.109871302373</v>
      </c>
      <c r="AH3336">
        <v>89.539839013475103</v>
      </c>
      <c r="AI3336">
        <v>90.709446725827306</v>
      </c>
      <c r="AJ3336">
        <v>87.430232590858296</v>
      </c>
      <c r="AK3336">
        <v>89.636845285686405</v>
      </c>
      <c r="AL3336">
        <v>90.7010663431723</v>
      </c>
      <c r="AM3336">
        <v>85.611994413485704</v>
      </c>
      <c r="AN3336">
        <v>0.99999994740888198</v>
      </c>
    </row>
    <row r="3337" spans="1:40" x14ac:dyDescent="0.25">
      <c r="A3337" t="str">
        <f>"20190312161336769"</f>
        <v>20190312161336769</v>
      </c>
      <c r="B3337" t="str">
        <f>"1552378416759062"</f>
        <v>1552378416759062</v>
      </c>
      <c r="C3337" t="s">
        <v>40</v>
      </c>
      <c r="D3337">
        <v>5.0594549999999998</v>
      </c>
      <c r="E3337">
        <v>0.48841210000000002</v>
      </c>
      <c r="F3337" t="s">
        <v>69</v>
      </c>
      <c r="G3337">
        <v>-233.4187</v>
      </c>
      <c r="H3337" s="1">
        <v>4.4301370000000002E-7</v>
      </c>
      <c r="I3337">
        <v>210.9435</v>
      </c>
      <c r="J3337">
        <v>-318.70909999999998</v>
      </c>
      <c r="K3337">
        <v>1.109882</v>
      </c>
      <c r="L3337">
        <v>214.1557</v>
      </c>
      <c r="M3337">
        <v>0.99985069999999998</v>
      </c>
      <c r="N3337">
        <v>0</v>
      </c>
      <c r="O3337">
        <v>8.4353929999999994E-3</v>
      </c>
      <c r="P3337">
        <v>0.99730220000000003</v>
      </c>
      <c r="Q3337">
        <v>-2.688227E-2</v>
      </c>
      <c r="R3337">
        <v>-6.8303939999999994E-2</v>
      </c>
      <c r="S3337">
        <v>2.9993289999999999</v>
      </c>
      <c r="T3337">
        <v>-3.8845299999999999E-2</v>
      </c>
      <c r="U3337">
        <v>-0.11230469999999999</v>
      </c>
      <c r="V3337">
        <v>7.6714589999999999E-2</v>
      </c>
      <c r="W3337">
        <v>-1.1854399999999999E-2</v>
      </c>
      <c r="X3337">
        <v>0.99698260000000005</v>
      </c>
      <c r="Y3337">
        <v>4.5841630000000001E-2</v>
      </c>
      <c r="Z3337">
        <v>-4.0596129999999998E-4</v>
      </c>
      <c r="AA3337">
        <v>0.99894859999999996</v>
      </c>
      <c r="AB3337">
        <v>40</v>
      </c>
      <c r="AC3337">
        <v>85.290399999999906</v>
      </c>
      <c r="AD3337">
        <v>-1.1098815569863001</v>
      </c>
      <c r="AE3337">
        <v>-3.21219999999999</v>
      </c>
      <c r="AF3337">
        <v>3.93096083991191</v>
      </c>
      <c r="AG3337">
        <v>-1.1098815569863001</v>
      </c>
      <c r="AH3337">
        <v>85.245850681984095</v>
      </c>
      <c r="AI3337">
        <v>90.745144112313497</v>
      </c>
      <c r="AJ3337">
        <v>87.359777353294007</v>
      </c>
      <c r="AK3337">
        <v>85.343654413732395</v>
      </c>
      <c r="AL3337">
        <v>90.679223011111503</v>
      </c>
      <c r="AM3337">
        <v>85.599945166141197</v>
      </c>
      <c r="AN3337">
        <v>0.99999997991049405</v>
      </c>
    </row>
    <row r="3338" spans="1:40" x14ac:dyDescent="0.25">
      <c r="A3338" t="str">
        <f>"20190312161336790"</f>
        <v>20190312161336790</v>
      </c>
      <c r="B3338" t="str">
        <f>"1552378416779555"</f>
        <v>1552378416779555</v>
      </c>
      <c r="C3338" t="s">
        <v>40</v>
      </c>
      <c r="D3338">
        <v>5.0306839999999999</v>
      </c>
      <c r="E3338">
        <v>0.48864550000000001</v>
      </c>
      <c r="F3338" t="s">
        <v>69</v>
      </c>
      <c r="G3338">
        <v>-226.36699999999999</v>
      </c>
      <c r="H3338" s="1">
        <v>2.025543E-6</v>
      </c>
      <c r="I3338">
        <v>210.6328</v>
      </c>
      <c r="J3338">
        <v>-318.33679999999998</v>
      </c>
      <c r="K3338">
        <v>1.109883</v>
      </c>
      <c r="L3338">
        <v>214.15880000000001</v>
      </c>
      <c r="M3338">
        <v>0.99985100000000005</v>
      </c>
      <c r="N3338">
        <v>0</v>
      </c>
      <c r="O3338">
        <v>8.4293130000000008E-3</v>
      </c>
      <c r="P3338">
        <v>0.99727580000000005</v>
      </c>
      <c r="Q3338">
        <v>-2.6949020000000001E-2</v>
      </c>
      <c r="R3338">
        <v>-6.8669519999999998E-2</v>
      </c>
      <c r="S3338">
        <v>2.9993289999999999</v>
      </c>
      <c r="T3338">
        <v>-3.6049600000000001E-2</v>
      </c>
      <c r="U3338">
        <v>-0.11442570000000001</v>
      </c>
      <c r="V3338">
        <v>7.7073660000000002E-2</v>
      </c>
      <c r="W3338">
        <v>-1.192586E-2</v>
      </c>
      <c r="X3338">
        <v>0.99695409999999995</v>
      </c>
      <c r="Y3338">
        <v>4.6541520000000003E-2</v>
      </c>
      <c r="Z3338">
        <v>-3.808727E-4</v>
      </c>
      <c r="AA3338">
        <v>0.99891629999999998</v>
      </c>
      <c r="AB3338">
        <v>40</v>
      </c>
      <c r="AC3338">
        <v>91.969799999999907</v>
      </c>
      <c r="AD3338">
        <v>-1.109880974457</v>
      </c>
      <c r="AE3338">
        <v>-3.52600000000001</v>
      </c>
      <c r="AF3338">
        <v>4.3005795180655397</v>
      </c>
      <c r="AG3338">
        <v>-1.109880974457</v>
      </c>
      <c r="AH3338">
        <v>91.923439174079704</v>
      </c>
      <c r="AI3338">
        <v>90.690998255325894</v>
      </c>
      <c r="AJ3338">
        <v>87.321406612112298</v>
      </c>
      <c r="AK3338">
        <v>92.030676893954194</v>
      </c>
      <c r="AL3338">
        <v>90.683317625311901</v>
      </c>
      <c r="AM3338">
        <v>85.579305860388899</v>
      </c>
      <c r="AN3338">
        <v>1.00000002635467</v>
      </c>
    </row>
    <row r="3339" spans="1:40" x14ac:dyDescent="0.25">
      <c r="A3339" t="str">
        <f>"20190312161336812"</f>
        <v>20190312161336812</v>
      </c>
      <c r="B3339" t="str">
        <f>"1552378416799075"</f>
        <v>1552378416799075</v>
      </c>
      <c r="C3339" t="s">
        <v>40</v>
      </c>
      <c r="D3339">
        <v>5.3928690000000001</v>
      </c>
      <c r="E3339">
        <v>0.48883670000000001</v>
      </c>
      <c r="F3339" t="s">
        <v>69</v>
      </c>
      <c r="G3339">
        <v>-230.98920000000001</v>
      </c>
      <c r="H3339" s="1">
        <v>-8.4111809999999904E-7</v>
      </c>
      <c r="I3339">
        <v>210.74350000000001</v>
      </c>
      <c r="J3339">
        <v>-317.9452</v>
      </c>
      <c r="K3339">
        <v>1.109883</v>
      </c>
      <c r="L3339">
        <v>214.16210000000001</v>
      </c>
      <c r="M3339">
        <v>0.99985109999999999</v>
      </c>
      <c r="N3339">
        <v>0</v>
      </c>
      <c r="O3339">
        <v>8.4209669999999997E-3</v>
      </c>
      <c r="P3339">
        <v>0.99728470000000002</v>
      </c>
      <c r="Q3339">
        <v>-2.7106069999999999E-2</v>
      </c>
      <c r="R3339">
        <v>-6.847673E-2</v>
      </c>
      <c r="S3339">
        <v>2.9990540000000001</v>
      </c>
      <c r="T3339">
        <v>-3.8107509999999997E-2</v>
      </c>
      <c r="U3339">
        <v>-0.1172638</v>
      </c>
      <c r="V3339">
        <v>7.6872650000000001E-2</v>
      </c>
      <c r="W3339">
        <v>-1.2087260000000001E-2</v>
      </c>
      <c r="X3339">
        <v>0.99696770000000001</v>
      </c>
      <c r="Y3339">
        <v>4.7480010000000003E-2</v>
      </c>
      <c r="Z3339">
        <v>-4.0849689999999998E-4</v>
      </c>
      <c r="AA3339">
        <v>0.99887210000000004</v>
      </c>
      <c r="AB3339">
        <v>40</v>
      </c>
      <c r="AC3339">
        <v>86.955999999999904</v>
      </c>
      <c r="AD3339">
        <v>-1.1098838411181</v>
      </c>
      <c r="AE3339">
        <v>-3.4185999999999899</v>
      </c>
      <c r="AF3339">
        <v>4.15014037253433</v>
      </c>
      <c r="AG3339">
        <v>-1.1098838411181</v>
      </c>
      <c r="AH3339">
        <v>86.909987996529196</v>
      </c>
      <c r="AI3339">
        <v>90.730823201926796</v>
      </c>
      <c r="AJ3339">
        <v>87.266079058120795</v>
      </c>
      <c r="AK3339">
        <v>87.016099204741195</v>
      </c>
      <c r="AL3339">
        <v>90.692565813786203</v>
      </c>
      <c r="AM3339">
        <v>85.5908495262331</v>
      </c>
      <c r="AN3339">
        <v>1.0000000505077999</v>
      </c>
    </row>
    <row r="3340" spans="1:40" x14ac:dyDescent="0.25">
      <c r="A3340" t="str">
        <f>"20190312161336836"</f>
        <v>20190312161336836</v>
      </c>
      <c r="B3340" t="str">
        <f>"1552378416829331"</f>
        <v>1552378416829331</v>
      </c>
      <c r="C3340" t="s">
        <v>40</v>
      </c>
      <c r="D3340">
        <v>5.2825319999999998</v>
      </c>
      <c r="E3340">
        <v>0.48481010000000002</v>
      </c>
      <c r="F3340" t="s">
        <v>69</v>
      </c>
      <c r="G3340">
        <v>-230.66370000000001</v>
      </c>
      <c r="H3340" s="1">
        <v>-1.0134159999999999E-6</v>
      </c>
      <c r="I3340">
        <v>210.7227</v>
      </c>
      <c r="J3340">
        <v>-317.52679999999998</v>
      </c>
      <c r="K3340">
        <v>1.109883</v>
      </c>
      <c r="L3340">
        <v>214.16560000000001</v>
      </c>
      <c r="M3340">
        <v>0.99985119999999905</v>
      </c>
      <c r="N3340">
        <v>0</v>
      </c>
      <c r="O3340">
        <v>8.4100649999999996E-3</v>
      </c>
      <c r="P3340">
        <v>0.99725079999999999</v>
      </c>
      <c r="Q3340">
        <v>-2.811727E-2</v>
      </c>
      <c r="R3340">
        <v>-6.855986E-2</v>
      </c>
      <c r="S3340">
        <v>2.9990230000000002</v>
      </c>
      <c r="T3340">
        <v>-3.8136009999999998E-2</v>
      </c>
      <c r="U3340">
        <v>-0.1181793</v>
      </c>
      <c r="V3340">
        <v>7.694455E-2</v>
      </c>
      <c r="W3340">
        <v>-1.310385E-2</v>
      </c>
      <c r="X3340">
        <v>0.99694930000000004</v>
      </c>
      <c r="Y3340">
        <v>4.7773940000000001E-2</v>
      </c>
      <c r="Z3340">
        <v>-4.1053340000000001E-4</v>
      </c>
      <c r="AA3340">
        <v>0.99885809999999997</v>
      </c>
      <c r="AB3340">
        <v>39</v>
      </c>
      <c r="AC3340">
        <v>86.863099999999903</v>
      </c>
      <c r="AD3340">
        <v>-1.109884013416</v>
      </c>
      <c r="AE3340">
        <v>-3.4428999999999998</v>
      </c>
      <c r="AF3340">
        <v>4.1727052291361</v>
      </c>
      <c r="AG3340">
        <v>-1.109884013416</v>
      </c>
      <c r="AH3340">
        <v>86.816917419967297</v>
      </c>
      <c r="AI3340">
        <v>90.731595818888707</v>
      </c>
      <c r="AJ3340">
        <v>87.248294871262999</v>
      </c>
      <c r="AK3340">
        <v>86.924222526048098</v>
      </c>
      <c r="AL3340">
        <v>90.750816758082493</v>
      </c>
      <c r="AM3340">
        <v>85.586660743799001</v>
      </c>
      <c r="AN3340">
        <v>1.000000040715</v>
      </c>
    </row>
    <row r="3341" spans="1:40" x14ac:dyDescent="0.25">
      <c r="A3341" t="str">
        <f>"20190312161336859"</f>
        <v>20190312161336859</v>
      </c>
      <c r="B3341" t="str">
        <f>"1552378416848851"</f>
        <v>1552378416848851</v>
      </c>
      <c r="C3341" t="s">
        <v>40</v>
      </c>
      <c r="D3341">
        <v>5.0499109999999998</v>
      </c>
      <c r="E3341">
        <v>0.49387530000000002</v>
      </c>
      <c r="F3341" t="s">
        <v>74</v>
      </c>
      <c r="G3341">
        <v>-298.83429999999998</v>
      </c>
      <c r="H3341" s="1">
        <v>2.4614619999999999E-6</v>
      </c>
      <c r="I3341">
        <v>213.6602</v>
      </c>
      <c r="J3341">
        <v>-317.1259</v>
      </c>
      <c r="K3341">
        <v>1.1098870000000001</v>
      </c>
      <c r="L3341">
        <v>214.16900000000001</v>
      </c>
      <c r="M3341">
        <v>0.9998513</v>
      </c>
      <c r="N3341">
        <v>0</v>
      </c>
      <c r="O3341">
        <v>8.3984530000000002E-3</v>
      </c>
      <c r="P3341">
        <v>0.99727730000000003</v>
      </c>
      <c r="Q3341">
        <v>-2.8087839999999999E-2</v>
      </c>
      <c r="R3341">
        <v>-6.8184720000000004E-2</v>
      </c>
      <c r="S3341">
        <v>2.997681</v>
      </c>
      <c r="T3341">
        <v>-0.17798910000000001</v>
      </c>
      <c r="U3341">
        <v>-8.1054689999999999E-2</v>
      </c>
      <c r="V3341">
        <v>7.6557940000000005E-2</v>
      </c>
      <c r="W3341">
        <v>-1.307872E-2</v>
      </c>
      <c r="X3341">
        <v>0.99697939999999996</v>
      </c>
      <c r="Y3341">
        <v>3.534764E-2</v>
      </c>
      <c r="Z3341">
        <v>-1.54648E-3</v>
      </c>
      <c r="AA3341">
        <v>0.99937390000000004</v>
      </c>
      <c r="AB3341">
        <v>39</v>
      </c>
      <c r="AC3341">
        <v>18.291599999999999</v>
      </c>
      <c r="AD3341">
        <v>-1.1098845385380001</v>
      </c>
      <c r="AE3341">
        <v>-0.50880000000000702</v>
      </c>
      <c r="AF3341">
        <v>0.65999258424127005</v>
      </c>
      <c r="AG3341">
        <v>-1.1098845385380001</v>
      </c>
      <c r="AH3341">
        <v>18.219653110451901</v>
      </c>
      <c r="AI3341">
        <v>93.483693497835105</v>
      </c>
      <c r="AJ3341">
        <v>87.925412615702896</v>
      </c>
      <c r="AK3341">
        <v>18.265355002444899</v>
      </c>
      <c r="AL3341">
        <v>90.749376786675597</v>
      </c>
      <c r="AM3341">
        <v>85.608880794199493</v>
      </c>
      <c r="AN3341">
        <v>1.00000004755912</v>
      </c>
    </row>
    <row r="3342" spans="1:40" x14ac:dyDescent="0.25">
      <c r="A3342" t="str">
        <f>"20190312161336882"</f>
        <v>20190312161336882</v>
      </c>
      <c r="B3342" t="str">
        <f>"1552378416869347"</f>
        <v>1552378416869347</v>
      </c>
      <c r="C3342" t="s">
        <v>40</v>
      </c>
      <c r="D3342">
        <v>5.3308179999999998</v>
      </c>
      <c r="E3342">
        <v>0.49430420000000003</v>
      </c>
      <c r="F3342" t="s">
        <v>69</v>
      </c>
      <c r="G3342">
        <v>-271.6705</v>
      </c>
      <c r="H3342" s="1">
        <v>-5.2467709999999997E-7</v>
      </c>
      <c r="I3342">
        <v>211.79929999999999</v>
      </c>
      <c r="J3342">
        <v>-316.733</v>
      </c>
      <c r="K3342">
        <v>1.1098889999999999</v>
      </c>
      <c r="L3342">
        <v>214.17230000000001</v>
      </c>
      <c r="M3342">
        <v>0.99985139999999995</v>
      </c>
      <c r="N3342">
        <v>0</v>
      </c>
      <c r="O3342">
        <v>8.3862499999999996E-3</v>
      </c>
      <c r="P3342">
        <v>0.99728700000000003</v>
      </c>
      <c r="Q3342">
        <v>-2.755384E-2</v>
      </c>
      <c r="R3342">
        <v>-6.8260360000000006E-2</v>
      </c>
      <c r="S3342">
        <v>2.995514</v>
      </c>
      <c r="T3342">
        <v>-7.3141689999999995E-2</v>
      </c>
      <c r="U3342">
        <v>-0.156158399999999</v>
      </c>
      <c r="V3342">
        <v>7.6621529999999993E-2</v>
      </c>
      <c r="W3342">
        <v>-1.254919E-2</v>
      </c>
      <c r="X3342">
        <v>0.99698129999999996</v>
      </c>
      <c r="Y3342">
        <v>6.0413620000000001E-2</v>
      </c>
      <c r="Z3342">
        <v>-9.415828E-4</v>
      </c>
      <c r="AA3342">
        <v>0.99817299999999998</v>
      </c>
      <c r="AB3342">
        <v>39</v>
      </c>
      <c r="AC3342">
        <v>45.0625</v>
      </c>
      <c r="AD3342">
        <v>-1.1098895246770999</v>
      </c>
      <c r="AE3342">
        <v>-2.37300000000001</v>
      </c>
      <c r="AF3342">
        <v>2.7492016400930801</v>
      </c>
      <c r="AG3342">
        <v>-1.1098895246770999</v>
      </c>
      <c r="AH3342">
        <v>45.013780667065902</v>
      </c>
      <c r="AI3342">
        <v>91.409810553712106</v>
      </c>
      <c r="AJ3342">
        <v>86.505020621101593</v>
      </c>
      <c r="AK3342">
        <v>45.111311379271498</v>
      </c>
      <c r="AL3342">
        <v>90.719034477405103</v>
      </c>
      <c r="AM3342">
        <v>85.605256100047399</v>
      </c>
      <c r="AN3342">
        <v>1.00000002678944</v>
      </c>
    </row>
    <row r="3343" spans="1:40" x14ac:dyDescent="0.25">
      <c r="A3343" t="str">
        <f>"20190312161336902"</f>
        <v>20190312161336902</v>
      </c>
      <c r="B3343" t="str">
        <f>"1552378416899603"</f>
        <v>1552378416899603</v>
      </c>
      <c r="C3343" t="s">
        <v>40</v>
      </c>
      <c r="D3343">
        <v>5.337326</v>
      </c>
      <c r="E3343">
        <v>0.49240279999999997</v>
      </c>
      <c r="F3343" t="s">
        <v>69</v>
      </c>
      <c r="G3343">
        <v>-270.84969999999998</v>
      </c>
      <c r="H3343" s="1">
        <v>-9.5816589999999996E-7</v>
      </c>
      <c r="I3343">
        <v>211.72380000000001</v>
      </c>
      <c r="J3343">
        <v>-316.36259999999999</v>
      </c>
      <c r="K3343">
        <v>1.1098779999999999</v>
      </c>
      <c r="L3343">
        <v>214.17529999999999</v>
      </c>
      <c r="M3343">
        <v>0.99985179999999996</v>
      </c>
      <c r="N3343">
        <v>0</v>
      </c>
      <c r="O3343">
        <v>8.3733309999999995E-3</v>
      </c>
      <c r="P3343">
        <v>0.99724729999999995</v>
      </c>
      <c r="Q3343">
        <v>-2.848705E-2</v>
      </c>
      <c r="R3343">
        <v>-6.8458950000000005E-2</v>
      </c>
      <c r="S3343">
        <v>2.995209</v>
      </c>
      <c r="T3343">
        <v>-7.2452310000000006E-2</v>
      </c>
      <c r="U3343">
        <v>-0.1598358</v>
      </c>
      <c r="V3343">
        <v>7.6806890000000003E-2</v>
      </c>
      <c r="W3343">
        <v>-1.348716E-2</v>
      </c>
      <c r="X3343">
        <v>0.99695469999999997</v>
      </c>
      <c r="Y3343">
        <v>6.162811E-2</v>
      </c>
      <c r="Z3343">
        <v>-9.4713969999999997E-4</v>
      </c>
      <c r="AA3343">
        <v>0.99809870000000001</v>
      </c>
      <c r="AB3343">
        <v>39</v>
      </c>
      <c r="AC3343">
        <v>45.512900000000002</v>
      </c>
      <c r="AD3343">
        <v>-1.1098789581658901</v>
      </c>
      <c r="AE3343">
        <v>-2.4514999999999798</v>
      </c>
      <c r="AF3343">
        <v>2.8308731472676998</v>
      </c>
      <c r="AG3343">
        <v>-1.1098789581658901</v>
      </c>
      <c r="AH3343">
        <v>45.4638164128624</v>
      </c>
      <c r="AI3343">
        <v>91.395745267793203</v>
      </c>
      <c r="AJ3343">
        <v>86.436991795817093</v>
      </c>
      <c r="AK3343">
        <v>45.565384634612201</v>
      </c>
      <c r="AL3343">
        <v>90.772780823446993</v>
      </c>
      <c r="AM3343">
        <v>85.594549220270196</v>
      </c>
      <c r="AN3343">
        <v>0.99999993784421104</v>
      </c>
    </row>
    <row r="3344" spans="1:40" x14ac:dyDescent="0.25">
      <c r="A3344" t="str">
        <f>"20190312161336924"</f>
        <v>20190312161336924</v>
      </c>
      <c r="B3344" t="str">
        <f>"1552378416919122"</f>
        <v>1552378416919122</v>
      </c>
      <c r="C3344" t="s">
        <v>40</v>
      </c>
      <c r="D3344">
        <v>5.1462450000000004</v>
      </c>
      <c r="E3344">
        <v>0.45785609999999999</v>
      </c>
      <c r="F3344" t="s">
        <v>81</v>
      </c>
      <c r="G3344">
        <v>-168.4109</v>
      </c>
      <c r="H3344">
        <v>1.49231</v>
      </c>
      <c r="I3344">
        <v>206.84229999999999</v>
      </c>
      <c r="J3344">
        <v>-315.96820000000002</v>
      </c>
      <c r="K3344">
        <v>1.1098760000000001</v>
      </c>
      <c r="L3344">
        <v>214.17859999999999</v>
      </c>
      <c r="M3344">
        <v>0.99985190000000002</v>
      </c>
      <c r="N3344">
        <v>0</v>
      </c>
      <c r="O3344">
        <v>8.3587360000000003E-3</v>
      </c>
      <c r="P3344">
        <v>0.99719720000000001</v>
      </c>
      <c r="Q3344">
        <v>-2.9447790000000001E-2</v>
      </c>
      <c r="R3344">
        <v>-6.87831E-2</v>
      </c>
      <c r="S3344">
        <v>2.998291</v>
      </c>
      <c r="T3344">
        <v>7.7507499999999998E-3</v>
      </c>
      <c r="U3344">
        <v>-0.1486053</v>
      </c>
      <c r="V3344">
        <v>7.7115870000000003E-2</v>
      </c>
      <c r="W3344">
        <v>-1.4453199999999999E-2</v>
      </c>
      <c r="X3344">
        <v>0.99691739999999995</v>
      </c>
      <c r="Y3344">
        <v>5.7850070000000003E-2</v>
      </c>
      <c r="Z3344" s="1">
        <v>9.6324710000000004E-5</v>
      </c>
      <c r="AA3344">
        <v>0.99832529999999997</v>
      </c>
      <c r="AB3344">
        <v>39</v>
      </c>
      <c r="AC3344">
        <v>147.5573</v>
      </c>
      <c r="AD3344">
        <v>0.382434</v>
      </c>
      <c r="AE3344">
        <v>-7.3362999999999898</v>
      </c>
      <c r="AF3344">
        <v>8.5695183313706593</v>
      </c>
      <c r="AG3344">
        <v>0.382434</v>
      </c>
      <c r="AH3344">
        <v>147.489826523593</v>
      </c>
      <c r="AI3344">
        <v>89.851685277947396</v>
      </c>
      <c r="AJ3344">
        <v>86.674714163049302</v>
      </c>
      <c r="AK3344">
        <v>147.73906669583201</v>
      </c>
      <c r="AL3344">
        <v>90.828136171715201</v>
      </c>
      <c r="AM3344">
        <v>85.576732253187103</v>
      </c>
      <c r="AN3344">
        <v>1.0000000274094201</v>
      </c>
    </row>
    <row r="3345" spans="1:40" x14ac:dyDescent="0.25">
      <c r="A3345" t="str">
        <f>"20190312161336948"</f>
        <v>20190312161336948</v>
      </c>
      <c r="B3345" t="str">
        <f>"1552378416939622"</f>
        <v>1552378416939622</v>
      </c>
      <c r="C3345" t="s">
        <v>40</v>
      </c>
      <c r="D3345">
        <v>5.1407889999999998</v>
      </c>
      <c r="E3345">
        <v>0.4490228</v>
      </c>
      <c r="F3345" t="s">
        <v>59</v>
      </c>
      <c r="G3345">
        <v>-157.8382</v>
      </c>
      <c r="H3345">
        <v>0.90181259999999996</v>
      </c>
      <c r="I3345">
        <v>220.77510000000001</v>
      </c>
      <c r="J3345">
        <v>-315.56540000000001</v>
      </c>
      <c r="K3345">
        <v>1.1098730000000001</v>
      </c>
      <c r="L3345">
        <v>214.18199999999999</v>
      </c>
      <c r="M3345">
        <v>0.99985210000000002</v>
      </c>
      <c r="N3345">
        <v>0</v>
      </c>
      <c r="O3345">
        <v>8.3421119999999901E-3</v>
      </c>
      <c r="P3345">
        <v>0.99718169999999995</v>
      </c>
      <c r="Q3345">
        <v>-2.9494739999999998E-2</v>
      </c>
      <c r="R3345">
        <v>-6.8984420000000005E-2</v>
      </c>
      <c r="S3345">
        <v>3.0169980000000001</v>
      </c>
      <c r="T3345">
        <v>-3.9685959999999996E-3</v>
      </c>
      <c r="U3345">
        <v>0.12585450000000001</v>
      </c>
      <c r="V3345">
        <v>7.7300460000000001E-2</v>
      </c>
      <c r="W3345">
        <v>-1.450514E-2</v>
      </c>
      <c r="X3345">
        <v>0.99690230000000002</v>
      </c>
      <c r="Y3345">
        <v>-3.3341610000000001E-2</v>
      </c>
      <c r="Z3345" s="1">
        <v>1.0950229999999999E-5</v>
      </c>
      <c r="AA3345">
        <v>0.999444</v>
      </c>
      <c r="AB3345">
        <v>39</v>
      </c>
      <c r="AC3345">
        <v>157.72720000000001</v>
      </c>
      <c r="AD3345">
        <v>-0.20806039999999901</v>
      </c>
      <c r="AE3345">
        <v>6.59309999999999</v>
      </c>
      <c r="AF3345">
        <v>-5.2769345690259097</v>
      </c>
      <c r="AG3345">
        <v>-0.20806039999999901</v>
      </c>
      <c r="AH3345">
        <v>157.776443016597</v>
      </c>
      <c r="AI3345">
        <v>90.075513896717297</v>
      </c>
      <c r="AJ3345">
        <v>91.915580130412295</v>
      </c>
      <c r="AK3345">
        <v>157.86480069523199</v>
      </c>
      <c r="AL3345">
        <v>90.831112467508007</v>
      </c>
      <c r="AM3345">
        <v>85.5661196845803</v>
      </c>
      <c r="AN3345">
        <v>0.99999997797396001</v>
      </c>
    </row>
    <row r="3346" spans="1:40" x14ac:dyDescent="0.25">
      <c r="A3346" t="str">
        <f>"20190312161336969"</f>
        <v>20190312161336969</v>
      </c>
      <c r="B3346" t="str">
        <f>"1552378416959139"</f>
        <v>1552378416959139</v>
      </c>
      <c r="C3346" t="s">
        <v>40</v>
      </c>
      <c r="D3346">
        <v>5.2068820000000002</v>
      </c>
      <c r="E3346">
        <v>0.44593379999999999</v>
      </c>
      <c r="F3346" t="s">
        <v>59</v>
      </c>
      <c r="G3346">
        <v>-168.35059999999999</v>
      </c>
      <c r="H3346">
        <v>0.80136490000000005</v>
      </c>
      <c r="I3346">
        <v>223.71639999999999</v>
      </c>
      <c r="J3346">
        <v>-315.1934</v>
      </c>
      <c r="K3346">
        <v>1.1098600000000001</v>
      </c>
      <c r="L3346">
        <v>214.18510000000001</v>
      </c>
      <c r="M3346">
        <v>0.99985219999999997</v>
      </c>
      <c r="N3346">
        <v>0</v>
      </c>
      <c r="O3346">
        <v>8.3242790000000004E-3</v>
      </c>
      <c r="P3346">
        <v>0.99716680000000002</v>
      </c>
      <c r="Q3346">
        <v>-3.000651E-2</v>
      </c>
      <c r="R3346">
        <v>-6.8981760000000003E-2</v>
      </c>
      <c r="S3346">
        <v>3.02182</v>
      </c>
      <c r="T3346">
        <v>-6.3314440000000003E-3</v>
      </c>
      <c r="U3346">
        <v>0.1957092</v>
      </c>
      <c r="V3346">
        <v>7.7279689999999998E-2</v>
      </c>
      <c r="W3346">
        <v>-1.502159E-2</v>
      </c>
      <c r="X3346">
        <v>0.99689629999999996</v>
      </c>
      <c r="Y3346">
        <v>-5.631978E-2</v>
      </c>
      <c r="Z3346" s="1">
        <v>4.1516220000000002E-5</v>
      </c>
      <c r="AA3346">
        <v>0.99841279999999999</v>
      </c>
      <c r="AB3346">
        <v>39</v>
      </c>
      <c r="AC3346">
        <v>146.84280000000001</v>
      </c>
      <c r="AD3346">
        <v>-0.30849509999999902</v>
      </c>
      <c r="AE3346">
        <v>9.5312999999999803</v>
      </c>
      <c r="AF3346">
        <v>-8.30843441382763</v>
      </c>
      <c r="AG3346">
        <v>-0.30849509999999902</v>
      </c>
      <c r="AH3346">
        <v>146.91641559717701</v>
      </c>
      <c r="AI3346">
        <v>90.120117582454199</v>
      </c>
      <c r="AJ3346">
        <v>93.236750070667398</v>
      </c>
      <c r="AK3346">
        <v>147.15148121428501</v>
      </c>
      <c r="AL3346">
        <v>90.860706066500796</v>
      </c>
      <c r="AM3346">
        <v>85.567279710534194</v>
      </c>
      <c r="AN3346">
        <v>1.0000000158031499</v>
      </c>
    </row>
    <row r="3347" spans="1:40" x14ac:dyDescent="0.25">
      <c r="A3347" t="str">
        <f>"20190312161336992"</f>
        <v>20190312161336992</v>
      </c>
      <c r="B3347" t="str">
        <f>"1552378416979634"</f>
        <v>1552378416979634</v>
      </c>
      <c r="C3347" t="s">
        <v>40</v>
      </c>
      <c r="D3347">
        <v>5.1757410000000004</v>
      </c>
      <c r="E3347">
        <v>0.4444921</v>
      </c>
      <c r="F3347" t="s">
        <v>59</v>
      </c>
      <c r="G3347">
        <v>-157.25</v>
      </c>
      <c r="H3347">
        <v>0.70909119999999903</v>
      </c>
      <c r="I3347">
        <v>225.6951</v>
      </c>
      <c r="J3347">
        <v>-314.79289999999997</v>
      </c>
      <c r="K3347">
        <v>1.109864</v>
      </c>
      <c r="L3347">
        <v>214.1884</v>
      </c>
      <c r="M3347">
        <v>0.99985250000000003</v>
      </c>
      <c r="N3347">
        <v>0</v>
      </c>
      <c r="O3347">
        <v>8.3016069999999904E-3</v>
      </c>
      <c r="P3347">
        <v>0.9971951</v>
      </c>
      <c r="Q3347">
        <v>-2.9998489999999999E-2</v>
      </c>
      <c r="R3347">
        <v>-6.8569290000000005E-2</v>
      </c>
      <c r="S3347">
        <v>3.0235289999999999</v>
      </c>
      <c r="T3347">
        <v>-7.6708790000000002E-3</v>
      </c>
      <c r="U3347">
        <v>0.2203369</v>
      </c>
      <c r="V3347">
        <v>7.6845010000000005E-2</v>
      </c>
      <c r="W3347">
        <v>-1.501801E-2</v>
      </c>
      <c r="X3347">
        <v>0.99692990000000004</v>
      </c>
      <c r="Y3347">
        <v>-6.4398070000000002E-2</v>
      </c>
      <c r="Z3347" s="1">
        <v>6.054824E-5</v>
      </c>
      <c r="AA3347">
        <v>0.99792429999999999</v>
      </c>
      <c r="AB3347">
        <v>39</v>
      </c>
      <c r="AC3347">
        <v>157.54289999999901</v>
      </c>
      <c r="AD3347">
        <v>-0.40077279999999998</v>
      </c>
      <c r="AE3347">
        <v>11.506699999999899</v>
      </c>
      <c r="AF3347">
        <v>-10.1982306601604</v>
      </c>
      <c r="AG3347">
        <v>-0.40077279999999998</v>
      </c>
      <c r="AH3347">
        <v>157.631990224476</v>
      </c>
      <c r="AI3347">
        <v>90.145367920900696</v>
      </c>
      <c r="AJ3347">
        <v>93.701674848127794</v>
      </c>
      <c r="AK3347">
        <v>157.962048826813</v>
      </c>
      <c r="AL3347">
        <v>90.860500971763301</v>
      </c>
      <c r="AM3347">
        <v>85.592262152658293</v>
      </c>
      <c r="AN3347">
        <v>0.99999996085013398</v>
      </c>
    </row>
    <row r="3348" spans="1:40" x14ac:dyDescent="0.25">
      <c r="A3348" t="str">
        <f>"20190312161337014"</f>
        <v>20190312161337014</v>
      </c>
      <c r="B3348" t="str">
        <f>"1552378416999154"</f>
        <v>1552378416999154</v>
      </c>
      <c r="C3348" t="s">
        <v>40</v>
      </c>
      <c r="D3348">
        <v>5.2043889999999999</v>
      </c>
      <c r="E3348">
        <v>0.44347360000000002</v>
      </c>
      <c r="F3348" t="s">
        <v>59</v>
      </c>
      <c r="G3348">
        <v>-157.25</v>
      </c>
      <c r="H3348">
        <v>0.67669769999999996</v>
      </c>
      <c r="I3348">
        <v>226.32490000000001</v>
      </c>
      <c r="J3348">
        <v>-314.39870000000002</v>
      </c>
      <c r="K3348">
        <v>1.1098629999999901</v>
      </c>
      <c r="L3348">
        <v>214.1917</v>
      </c>
      <c r="M3348">
        <v>0.99985279999999999</v>
      </c>
      <c r="N3348">
        <v>0</v>
      </c>
      <c r="O3348">
        <v>8.275892E-3</v>
      </c>
      <c r="P3348">
        <v>0.99719860000000005</v>
      </c>
      <c r="Q3348">
        <v>-3.0042180000000002E-2</v>
      </c>
      <c r="R3348">
        <v>-6.8501950000000006E-2</v>
      </c>
      <c r="S3348">
        <v>3.0241699999999998</v>
      </c>
      <c r="T3348">
        <v>-8.3138940000000005E-3</v>
      </c>
      <c r="U3348">
        <v>0.23297119999999999</v>
      </c>
      <c r="V3348">
        <v>7.6751689999999997E-2</v>
      </c>
      <c r="W3348">
        <v>-1.5066390000000001E-2</v>
      </c>
      <c r="X3348">
        <v>0.99693639999999994</v>
      </c>
      <c r="Y3348">
        <v>-6.8553600000000006E-2</v>
      </c>
      <c r="Z3348" s="1">
        <v>7.1373949999999994E-5</v>
      </c>
      <c r="AA3348">
        <v>0.99764739999999996</v>
      </c>
      <c r="AB3348">
        <v>39</v>
      </c>
      <c r="AC3348">
        <v>157.14869999999999</v>
      </c>
      <c r="AD3348">
        <v>-0.43316529999999898</v>
      </c>
      <c r="AE3348">
        <v>12.1332</v>
      </c>
      <c r="AF3348">
        <v>-10.832010001035201</v>
      </c>
      <c r="AG3348">
        <v>-0.43316529999999898</v>
      </c>
      <c r="AH3348">
        <v>157.242553887822</v>
      </c>
      <c r="AI3348">
        <v>90.157462478731205</v>
      </c>
      <c r="AJ3348">
        <v>93.940724095027605</v>
      </c>
      <c r="AK3348">
        <v>157.61580132082</v>
      </c>
      <c r="AL3348">
        <v>90.863273219958003</v>
      </c>
      <c r="AM3348">
        <v>85.597622411342996</v>
      </c>
      <c r="AN3348">
        <v>1.00000000183522</v>
      </c>
    </row>
    <row r="3349" spans="1:40" x14ac:dyDescent="0.25">
      <c r="A3349" t="str">
        <f>"20190312161337037"</f>
        <v>20190312161337037</v>
      </c>
      <c r="B3349" t="str">
        <f>"1552378417029411"</f>
        <v>1552378417029411</v>
      </c>
      <c r="C3349" t="s">
        <v>40</v>
      </c>
      <c r="D3349">
        <v>5.2359850000000003</v>
      </c>
      <c r="E3349">
        <v>0.44228289999999998</v>
      </c>
      <c r="F3349" t="s">
        <v>59</v>
      </c>
      <c r="G3349">
        <v>-157.25</v>
      </c>
      <c r="H3349">
        <v>0.51907060000000005</v>
      </c>
      <c r="I3349">
        <v>226.73519999999999</v>
      </c>
      <c r="J3349">
        <v>-314.00310000000002</v>
      </c>
      <c r="K3349">
        <v>1.109861</v>
      </c>
      <c r="L3349">
        <v>214.19489999999999</v>
      </c>
      <c r="M3349">
        <v>0.9998532</v>
      </c>
      <c r="N3349">
        <v>0</v>
      </c>
      <c r="O3349">
        <v>8.2444400000000004E-3</v>
      </c>
      <c r="P3349">
        <v>0.99721029999999999</v>
      </c>
      <c r="Q3349">
        <v>-2.9929509999999999E-2</v>
      </c>
      <c r="R3349">
        <v>-6.8383340000000001E-2</v>
      </c>
      <c r="S3349">
        <v>3.0246279999999999</v>
      </c>
      <c r="T3349">
        <v>-1.1369819999999999E-2</v>
      </c>
      <c r="U3349">
        <v>0.24142459999999999</v>
      </c>
      <c r="V3349">
        <v>7.6601760000000005E-2</v>
      </c>
      <c r="W3349">
        <v>-1.4958590000000001E-2</v>
      </c>
      <c r="X3349">
        <v>0.99694959999999999</v>
      </c>
      <c r="Y3349">
        <v>-7.1344149999999995E-2</v>
      </c>
      <c r="Z3349">
        <v>1.02938E-4</v>
      </c>
      <c r="AA3349">
        <v>0.9974518</v>
      </c>
      <c r="AB3349">
        <v>39</v>
      </c>
      <c r="AC3349">
        <v>156.75309999999999</v>
      </c>
      <c r="AD3349">
        <v>-0.59079039999999905</v>
      </c>
      <c r="AE3349">
        <v>12.5403</v>
      </c>
      <c r="AF3349">
        <v>-11.247227627596301</v>
      </c>
      <c r="AG3349">
        <v>-0.59079039999999905</v>
      </c>
      <c r="AH3349">
        <v>156.84895697000499</v>
      </c>
      <c r="AI3349">
        <v>90.215257694603807</v>
      </c>
      <c r="AJ3349">
        <v>94.101509881851996</v>
      </c>
      <c r="AK3349">
        <v>157.252804315796</v>
      </c>
      <c r="AL3349">
        <v>90.857096000095794</v>
      </c>
      <c r="AM3349">
        <v>85.606246441058502</v>
      </c>
      <c r="AN3349">
        <v>1.0000000469950201</v>
      </c>
    </row>
    <row r="3350" spans="1:40" x14ac:dyDescent="0.25">
      <c r="A3350" t="str">
        <f>"20190312161337060"</f>
        <v>20190312161337060</v>
      </c>
      <c r="B3350" t="str">
        <f>"1552378417048931"</f>
        <v>1552378417048931</v>
      </c>
      <c r="C3350" t="s">
        <v>40</v>
      </c>
      <c r="D3350">
        <v>5.2483940000000002</v>
      </c>
      <c r="E3350">
        <v>0.44190770000000001</v>
      </c>
      <c r="F3350" t="s">
        <v>59</v>
      </c>
      <c r="G3350">
        <v>-157.25</v>
      </c>
      <c r="H3350">
        <v>0.36075499999999999</v>
      </c>
      <c r="I3350">
        <v>227.2192</v>
      </c>
      <c r="J3350">
        <v>-313.59829999999999</v>
      </c>
      <c r="K3350">
        <v>1.1098570000000001</v>
      </c>
      <c r="L3350">
        <v>214.19820000000001</v>
      </c>
      <c r="M3350">
        <v>0.99985360000000001</v>
      </c>
      <c r="N3350">
        <v>0</v>
      </c>
      <c r="O3350">
        <v>8.2058119999999998E-3</v>
      </c>
      <c r="P3350">
        <v>0.99721800000000005</v>
      </c>
      <c r="Q3350">
        <v>-3.0231000000000001E-2</v>
      </c>
      <c r="R3350">
        <v>-6.8137879999999998E-2</v>
      </c>
      <c r="S3350">
        <v>3.0252080000000001</v>
      </c>
      <c r="T3350">
        <v>-1.445603E-2</v>
      </c>
      <c r="U3350">
        <v>0.25135800000000003</v>
      </c>
      <c r="V3350">
        <v>7.6317499999999996E-2</v>
      </c>
      <c r="W3350">
        <v>-1.5265300000000001E-2</v>
      </c>
      <c r="X3350">
        <v>0.99696669999999998</v>
      </c>
      <c r="Y3350">
        <v>-7.462046E-2</v>
      </c>
      <c r="Z3350">
        <v>1.388355E-4</v>
      </c>
      <c r="AA3350">
        <v>0.99721199999999999</v>
      </c>
      <c r="AB3350">
        <v>39</v>
      </c>
      <c r="AC3350">
        <v>156.34829999999999</v>
      </c>
      <c r="AD3350">
        <v>-0.74910199999999905</v>
      </c>
      <c r="AE3350">
        <v>13.0209999999999</v>
      </c>
      <c r="AF3350">
        <v>-11.7371845258421</v>
      </c>
      <c r="AG3350">
        <v>-0.74910199999999905</v>
      </c>
      <c r="AH3350">
        <v>156.44632812585101</v>
      </c>
      <c r="AI3350">
        <v>90.2735748155783</v>
      </c>
      <c r="AJ3350">
        <v>94.290504419666206</v>
      </c>
      <c r="AK3350">
        <v>156.887782310993</v>
      </c>
      <c r="AL3350">
        <v>90.874671239820302</v>
      </c>
      <c r="AM3350">
        <v>85.622562434970604</v>
      </c>
      <c r="AN3350">
        <v>0.99999999554961405</v>
      </c>
    </row>
    <row r="3351" spans="1:40" x14ac:dyDescent="0.25">
      <c r="A3351" t="str">
        <f>"20190312161337083"</f>
        <v>20190312161337083</v>
      </c>
      <c r="B3351" t="str">
        <f>"1552378417079187"</f>
        <v>1552378417079187</v>
      </c>
      <c r="C3351" t="s">
        <v>40</v>
      </c>
      <c r="D3351">
        <v>5.219017</v>
      </c>
      <c r="E3351">
        <v>0.44146859999999999</v>
      </c>
      <c r="F3351" t="s">
        <v>59</v>
      </c>
      <c r="G3351">
        <v>-157.25</v>
      </c>
      <c r="H3351">
        <v>0.1097288</v>
      </c>
      <c r="I3351">
        <v>227.39150000000001</v>
      </c>
      <c r="J3351">
        <v>-313.2081</v>
      </c>
      <c r="K3351">
        <v>1.1098509999999999</v>
      </c>
      <c r="L3351">
        <v>214.20140000000001</v>
      </c>
      <c r="M3351">
        <v>0.99985400000000002</v>
      </c>
      <c r="N3351">
        <v>0</v>
      </c>
      <c r="O3351">
        <v>8.1607369999999995E-3</v>
      </c>
      <c r="P3351">
        <v>0.99719860000000005</v>
      </c>
      <c r="Q3351">
        <v>-3.0321170000000001E-2</v>
      </c>
      <c r="R3351">
        <v>-6.8378839999999996E-2</v>
      </c>
      <c r="S3351">
        <v>3.0252080000000001</v>
      </c>
      <c r="T3351">
        <v>-1.9350530000000001E-2</v>
      </c>
      <c r="U3351">
        <v>0.25527949999999999</v>
      </c>
      <c r="V3351">
        <v>7.6513349999999994E-2</v>
      </c>
      <c r="W3351">
        <v>-1.536121E-2</v>
      </c>
      <c r="X3351">
        <v>0.99695020000000001</v>
      </c>
      <c r="Y3351">
        <v>-7.5948370000000001E-2</v>
      </c>
      <c r="Z3351">
        <v>1.9035849999999999E-4</v>
      </c>
      <c r="AA3351">
        <v>0.99711170000000005</v>
      </c>
      <c r="AB3351">
        <v>39</v>
      </c>
      <c r="AC3351">
        <v>155.9581</v>
      </c>
      <c r="AD3351">
        <v>-1.0001222000000001</v>
      </c>
      <c r="AE3351">
        <v>13.190099999999999</v>
      </c>
      <c r="AF3351">
        <v>-11.916297632870201</v>
      </c>
      <c r="AG3351">
        <v>-1.0001222000000001</v>
      </c>
      <c r="AH3351">
        <v>156.05418667255401</v>
      </c>
      <c r="AI3351">
        <v>90.366127110601695</v>
      </c>
      <c r="AJ3351">
        <v>94.366631799700201</v>
      </c>
      <c r="AK3351">
        <v>156.511685096425</v>
      </c>
      <c r="AL3351">
        <v>90.880167135822106</v>
      </c>
      <c r="AM3351">
        <v>85.611300304002697</v>
      </c>
      <c r="AN3351">
        <v>0.99999998039046301</v>
      </c>
    </row>
    <row r="3352" spans="1:40" x14ac:dyDescent="0.25">
      <c r="A3352" t="str">
        <f>"20190312161337104"</f>
        <v>20190312161337104</v>
      </c>
      <c r="B3352" t="str">
        <f>"1552378417099683"</f>
        <v>1552378417099683</v>
      </c>
      <c r="C3352" t="s">
        <v>40</v>
      </c>
      <c r="D3352">
        <v>5.2670519999999996</v>
      </c>
      <c r="E3352">
        <v>0.441137</v>
      </c>
      <c r="F3352" t="s">
        <v>59</v>
      </c>
      <c r="G3352">
        <v>-157.25</v>
      </c>
      <c r="H3352">
        <v>4.5007709999999999E-2</v>
      </c>
      <c r="I3352">
        <v>227.5138</v>
      </c>
      <c r="J3352">
        <v>-312.83350000000002</v>
      </c>
      <c r="K3352">
        <v>1.1098440000000001</v>
      </c>
      <c r="L3352">
        <v>214.20439999999999</v>
      </c>
      <c r="M3352">
        <v>0.99985440000000003</v>
      </c>
      <c r="N3352">
        <v>0</v>
      </c>
      <c r="O3352">
        <v>8.1101070000000001E-3</v>
      </c>
      <c r="P3352">
        <v>0.99716870000000002</v>
      </c>
      <c r="Q3352">
        <v>-3.0300190000000001E-2</v>
      </c>
      <c r="R3352">
        <v>-6.8824099999999999E-2</v>
      </c>
      <c r="S3352">
        <v>3.0255130000000001</v>
      </c>
      <c r="T3352">
        <v>-2.065635E-2</v>
      </c>
      <c r="U3352">
        <v>0.25825500000000001</v>
      </c>
      <c r="V3352">
        <v>7.690756E-2</v>
      </c>
      <c r="W3352">
        <v>-1.534611E-2</v>
      </c>
      <c r="X3352">
        <v>0.99692009999999998</v>
      </c>
      <c r="Y3352">
        <v>-7.6963790000000004E-2</v>
      </c>
      <c r="Z3352">
        <v>2.0698019999999999E-4</v>
      </c>
      <c r="AA3352">
        <v>0.99703390000000003</v>
      </c>
      <c r="AB3352">
        <v>39</v>
      </c>
      <c r="AC3352">
        <v>155.58349999999999</v>
      </c>
      <c r="AD3352">
        <v>-1.0648362899999999</v>
      </c>
      <c r="AE3352">
        <v>13.3094</v>
      </c>
      <c r="AF3352">
        <v>-12.046460939582801</v>
      </c>
      <c r="AG3352">
        <v>-1.0648362899999999</v>
      </c>
      <c r="AH3352">
        <v>155.67909552976201</v>
      </c>
      <c r="AI3352">
        <v>90.390725822057206</v>
      </c>
      <c r="AJ3352">
        <v>94.424734792271906</v>
      </c>
      <c r="AK3352">
        <v>156.14810880205499</v>
      </c>
      <c r="AL3352">
        <v>90.879301867154396</v>
      </c>
      <c r="AM3352">
        <v>85.588645322090301</v>
      </c>
      <c r="AN3352">
        <v>0.99999998083064701</v>
      </c>
    </row>
    <row r="3353" spans="1:40" x14ac:dyDescent="0.25">
      <c r="A3353" t="str">
        <f>"20190312161337127"</f>
        <v>20190312161337127</v>
      </c>
      <c r="B3353" t="str">
        <f>"1552378417119203"</f>
        <v>1552378417119203</v>
      </c>
      <c r="C3353" t="s">
        <v>40</v>
      </c>
      <c r="D3353">
        <v>5.1994629999999997</v>
      </c>
      <c r="E3353">
        <v>0.44082080000000001</v>
      </c>
      <c r="F3353" t="s">
        <v>59</v>
      </c>
      <c r="G3353">
        <v>-157.25</v>
      </c>
      <c r="H3353">
        <v>0.1012125</v>
      </c>
      <c r="I3353">
        <v>227.5367</v>
      </c>
      <c r="J3353">
        <v>-312.44990000000001</v>
      </c>
      <c r="K3353">
        <v>1.109842</v>
      </c>
      <c r="L3353">
        <v>214.20740000000001</v>
      </c>
      <c r="M3353">
        <v>0.99985489999999999</v>
      </c>
      <c r="N3353">
        <v>0</v>
      </c>
      <c r="O3353">
        <v>8.0505869999999997E-3</v>
      </c>
      <c r="P3353">
        <v>0.99712480000000003</v>
      </c>
      <c r="Q3353">
        <v>-3.0379679999999999E-2</v>
      </c>
      <c r="R3353">
        <v>-6.9419610000000007E-2</v>
      </c>
      <c r="S3353">
        <v>3.0258479999999999</v>
      </c>
      <c r="T3353">
        <v>-1.9615170000000001E-2</v>
      </c>
      <c r="U3353">
        <v>0.25929259999999998</v>
      </c>
      <c r="V3353">
        <v>7.7443200000000004E-2</v>
      </c>
      <c r="W3353">
        <v>-1.543192E-2</v>
      </c>
      <c r="X3353">
        <v>0.99687729999999997</v>
      </c>
      <c r="Y3353">
        <v>-7.7353309999999995E-2</v>
      </c>
      <c r="Z3353">
        <v>1.981684E-4</v>
      </c>
      <c r="AA3353">
        <v>0.99700370000000005</v>
      </c>
      <c r="AB3353">
        <v>39</v>
      </c>
      <c r="AC3353">
        <v>155.19990000000001</v>
      </c>
      <c r="AD3353">
        <v>-1.0086295000000001</v>
      </c>
      <c r="AE3353">
        <v>13.3292999999999</v>
      </c>
      <c r="AF3353">
        <v>-12.0787704123218</v>
      </c>
      <c r="AG3353">
        <v>-1.0086295000000001</v>
      </c>
      <c r="AH3353">
        <v>155.295679157027</v>
      </c>
      <c r="AI3353">
        <v>90.371004484981</v>
      </c>
      <c r="AJ3353">
        <v>94.447464646039606</v>
      </c>
      <c r="AK3353">
        <v>155.76797486320501</v>
      </c>
      <c r="AL3353">
        <v>90.884219007894302</v>
      </c>
      <c r="AM3353">
        <v>85.557854040298395</v>
      </c>
      <c r="AN3353">
        <v>0.99999997231820703</v>
      </c>
    </row>
    <row r="3354" spans="1:40" x14ac:dyDescent="0.25">
      <c r="A3354" t="str">
        <f>"20190312161337149"</f>
        <v>20190312161337149</v>
      </c>
      <c r="B3354" t="str">
        <f>"1552378417139699"</f>
        <v>1552378417139699</v>
      </c>
      <c r="C3354" t="s">
        <v>40</v>
      </c>
      <c r="D3354">
        <v>5.2891309999999896</v>
      </c>
      <c r="E3354">
        <v>0.4406293</v>
      </c>
      <c r="F3354" t="s">
        <v>59</v>
      </c>
      <c r="G3354">
        <v>-157.25</v>
      </c>
      <c r="H3354">
        <v>0.1090317</v>
      </c>
      <c r="I3354">
        <v>227.5455</v>
      </c>
      <c r="J3354">
        <v>-312.05900000000003</v>
      </c>
      <c r="K3354">
        <v>1.1098349999999999</v>
      </c>
      <c r="L3354">
        <v>214.2105</v>
      </c>
      <c r="M3354">
        <v>0.99985570000000001</v>
      </c>
      <c r="N3354">
        <v>0</v>
      </c>
      <c r="O3354">
        <v>7.9824969999999999E-3</v>
      </c>
      <c r="P3354">
        <v>0.99710929999999998</v>
      </c>
      <c r="Q3354">
        <v>-3.0306199999999998E-2</v>
      </c>
      <c r="R3354">
        <v>-6.9677489999999995E-2</v>
      </c>
      <c r="S3354">
        <v>3.026154</v>
      </c>
      <c r="T3354">
        <v>-1.951313E-2</v>
      </c>
      <c r="U3354">
        <v>0.26007079999999999</v>
      </c>
      <c r="V3354">
        <v>7.7632870000000007E-2</v>
      </c>
      <c r="W3354">
        <v>-1.5364239999999999E-2</v>
      </c>
      <c r="X3354">
        <v>0.99686359999999996</v>
      </c>
      <c r="Y3354">
        <v>-7.7667169999999994E-2</v>
      </c>
      <c r="Z3354">
        <v>1.985639E-4</v>
      </c>
      <c r="AA3354">
        <v>0.99697930000000001</v>
      </c>
      <c r="AB3354">
        <v>39</v>
      </c>
      <c r="AC3354">
        <v>154.809</v>
      </c>
      <c r="AD3354">
        <v>-1.0008033000000001</v>
      </c>
      <c r="AE3354">
        <v>13.335000000000001</v>
      </c>
      <c r="AF3354">
        <v>-12.0981718085922</v>
      </c>
      <c r="AG3354">
        <v>-1.0008033000000001</v>
      </c>
      <c r="AH3354">
        <v>154.90409889686001</v>
      </c>
      <c r="AI3354">
        <v>90.369047204451704</v>
      </c>
      <c r="AJ3354">
        <v>94.465794794969</v>
      </c>
      <c r="AK3354">
        <v>155.37904370732801</v>
      </c>
      <c r="AL3354">
        <v>90.880340763144403</v>
      </c>
      <c r="AM3354">
        <v>85.546957311652605</v>
      </c>
      <c r="AN3354">
        <v>0.99999997969008703</v>
      </c>
    </row>
    <row r="3355" spans="1:40" x14ac:dyDescent="0.25">
      <c r="A3355" t="str">
        <f>"20190312161337962"</f>
        <v>20190312161337962</v>
      </c>
      <c r="B3355" t="str">
        <f>"1552378417958996"</f>
        <v>1552378417958996</v>
      </c>
      <c r="C3355" t="s">
        <v>40</v>
      </c>
      <c r="D3355">
        <v>5.8112370000000002</v>
      </c>
      <c r="E3355">
        <v>0.4413012</v>
      </c>
      <c r="F3355" t="s">
        <v>59</v>
      </c>
      <c r="G3355">
        <v>-157.25</v>
      </c>
      <c r="H3355">
        <v>0.15160179999999901</v>
      </c>
      <c r="I3355">
        <v>227.54849999999999</v>
      </c>
      <c r="J3355">
        <v>-298.31259999999997</v>
      </c>
      <c r="K3355">
        <v>1.109837</v>
      </c>
      <c r="L3355">
        <v>214.29920000000001</v>
      </c>
      <c r="M3355">
        <v>0.99987619999999999</v>
      </c>
      <c r="N3355">
        <v>0</v>
      </c>
      <c r="O3355">
        <v>5.2056419999999999E-3</v>
      </c>
      <c r="P3355">
        <v>0.99661440000000001</v>
      </c>
      <c r="Q3355">
        <v>-3.5895139999999999E-2</v>
      </c>
      <c r="R3355">
        <v>-7.3967420000000006E-2</v>
      </c>
      <c r="S3355">
        <v>3.0263369999999998</v>
      </c>
      <c r="T3355">
        <v>-1.873124E-2</v>
      </c>
      <c r="U3355">
        <v>0.26074219999999998</v>
      </c>
      <c r="V3355">
        <v>7.9150170000000006E-2</v>
      </c>
      <c r="W3355">
        <v>-2.11159E-2</v>
      </c>
      <c r="X3355">
        <v>0.99663900000000005</v>
      </c>
      <c r="Y3355">
        <v>-8.0650100000000002E-2</v>
      </c>
      <c r="Z3355">
        <v>2.1696279999999999E-4</v>
      </c>
      <c r="AA3355">
        <v>0.99674240000000003</v>
      </c>
      <c r="AB3355">
        <v>37</v>
      </c>
      <c r="AC3355">
        <v>141.06259999999901</v>
      </c>
      <c r="AD3355">
        <v>-0.95823519999999995</v>
      </c>
      <c r="AE3355">
        <v>13.2492999999999</v>
      </c>
      <c r="AF3355">
        <v>-12.5141456674205</v>
      </c>
      <c r="AG3355">
        <v>-0.95823519999999995</v>
      </c>
      <c r="AH3355">
        <v>141.12321185425199</v>
      </c>
      <c r="AI3355">
        <v>90.387515305423904</v>
      </c>
      <c r="AJ3355">
        <v>95.067466839700401</v>
      </c>
      <c r="AK3355">
        <v>141.68021379340101</v>
      </c>
      <c r="AL3355">
        <v>91.209941921235497</v>
      </c>
      <c r="AM3355">
        <v>85.459266119329598</v>
      </c>
      <c r="AN3355">
        <v>0.99999996348241804</v>
      </c>
    </row>
    <row r="3356" spans="1:40" x14ac:dyDescent="0.25">
      <c r="A3356" t="str">
        <f>"20190312161337976"</f>
        <v>20190312161337976</v>
      </c>
      <c r="B3356" t="str">
        <f>"1552378417968756"</f>
        <v>1552378417968756</v>
      </c>
      <c r="C3356" t="s">
        <v>40</v>
      </c>
      <c r="D3356">
        <v>5.6778570000000004</v>
      </c>
      <c r="E3356">
        <v>0.47782180000000002</v>
      </c>
      <c r="F3356" t="s">
        <v>69</v>
      </c>
      <c r="G3356">
        <v>-222.46870000000001</v>
      </c>
      <c r="H3356">
        <v>8.0000489999999994E-2</v>
      </c>
      <c r="I3356">
        <v>220.38470000000001</v>
      </c>
      <c r="J3356">
        <v>-298.06740000000002</v>
      </c>
      <c r="K3356">
        <v>1.109839</v>
      </c>
      <c r="L3356">
        <v>214.3004</v>
      </c>
      <c r="M3356">
        <v>0.99987669999999995</v>
      </c>
      <c r="N3356">
        <v>0</v>
      </c>
      <c r="O3356">
        <v>5.15542E-3</v>
      </c>
      <c r="P3356">
        <v>0.99663060000000003</v>
      </c>
      <c r="Q3356">
        <v>-3.5848379999999999E-2</v>
      </c>
      <c r="R3356">
        <v>-7.3777949999999995E-2</v>
      </c>
      <c r="S3356">
        <v>3.0267330000000001</v>
      </c>
      <c r="T3356">
        <v>-4.1098120000000002E-2</v>
      </c>
      <c r="U3356">
        <v>0.24285889999999999</v>
      </c>
      <c r="V3356">
        <v>7.891049E-2</v>
      </c>
      <c r="W3356">
        <v>-2.1071469999999998E-2</v>
      </c>
      <c r="X3356">
        <v>0.99665899999999996</v>
      </c>
      <c r="Y3356">
        <v>-7.4833990000000003E-2</v>
      </c>
      <c r="Z3356">
        <v>4.3733310000000002E-4</v>
      </c>
      <c r="AA3356">
        <v>0.99719590000000002</v>
      </c>
      <c r="AB3356">
        <v>37</v>
      </c>
      <c r="AC3356">
        <v>75.598699999999994</v>
      </c>
      <c r="AD3356">
        <v>-1.02983851</v>
      </c>
      <c r="AE3356">
        <v>6.0843000000000096</v>
      </c>
      <c r="AF3356">
        <v>-5.6933834700450197</v>
      </c>
      <c r="AG3356">
        <v>-1.02983851</v>
      </c>
      <c r="AH3356">
        <v>75.615124046824405</v>
      </c>
      <c r="AI3356">
        <v>90.778088170607006</v>
      </c>
      <c r="AJ3356">
        <v>94.305917500738204</v>
      </c>
      <c r="AK3356">
        <v>75.836153431660193</v>
      </c>
      <c r="AL3356">
        <v>91.207395638168606</v>
      </c>
      <c r="AM3356">
        <v>85.473049448940699</v>
      </c>
      <c r="AN3356">
        <v>1.0000000172804999</v>
      </c>
    </row>
    <row r="3357" spans="1:40" x14ac:dyDescent="0.25">
      <c r="A3357" t="str">
        <f>"20190312161337998"</f>
        <v>20190312161337998</v>
      </c>
      <c r="B3357" t="str">
        <f>"1552378417989251"</f>
        <v>1552378417989251</v>
      </c>
      <c r="C3357" t="s">
        <v>40</v>
      </c>
      <c r="D3357">
        <v>5.7174430000000003</v>
      </c>
      <c r="E3357">
        <v>0.48003689999999999</v>
      </c>
      <c r="F3357" t="s">
        <v>69</v>
      </c>
      <c r="G3357">
        <v>-275.0831</v>
      </c>
      <c r="H3357" s="1">
        <v>1.196618E-6</v>
      </c>
      <c r="I3357">
        <v>213.96549999999999</v>
      </c>
      <c r="J3357">
        <v>-297.72910000000002</v>
      </c>
      <c r="K3357">
        <v>1.1098479999999999</v>
      </c>
      <c r="L3357">
        <v>214.3021</v>
      </c>
      <c r="M3357">
        <v>0.99987700000000002</v>
      </c>
      <c r="N3357">
        <v>0</v>
      </c>
      <c r="O3357">
        <v>5.0863139999999998E-3</v>
      </c>
      <c r="P3357">
        <v>0.99667090000000003</v>
      </c>
      <c r="Q3357">
        <v>-3.5162680000000002E-2</v>
      </c>
      <c r="R3357">
        <v>-7.3560890000000004E-2</v>
      </c>
      <c r="S3357">
        <v>3.0016780000000001</v>
      </c>
      <c r="T3357">
        <v>-0.14494099999999999</v>
      </c>
      <c r="U3357">
        <v>-4.3731689999999997E-2</v>
      </c>
      <c r="V3357">
        <v>7.8625E-2</v>
      </c>
      <c r="W3357">
        <v>-2.0388819999999998E-2</v>
      </c>
      <c r="X3357">
        <v>0.99669580000000002</v>
      </c>
      <c r="Y3357">
        <v>1.9624889999999999E-2</v>
      </c>
      <c r="Z3357">
        <v>-7.1898280000000001E-4</v>
      </c>
      <c r="AA3357">
        <v>0.99980720000000001</v>
      </c>
      <c r="AB3357">
        <v>37</v>
      </c>
      <c r="AC3357">
        <v>22.646000000000001</v>
      </c>
      <c r="AD3357">
        <v>-1.1098468033819999</v>
      </c>
      <c r="AE3357">
        <v>-0.33660000000000401</v>
      </c>
      <c r="AF3357">
        <v>0.45071069746242298</v>
      </c>
      <c r="AG3357">
        <v>-1.1098468033819999</v>
      </c>
      <c r="AH3357">
        <v>22.589749904270398</v>
      </c>
      <c r="AI3357">
        <v>92.812152631897703</v>
      </c>
      <c r="AJ3357">
        <v>88.8569862435467</v>
      </c>
      <c r="AK3357">
        <v>22.621487590281699</v>
      </c>
      <c r="AL3357">
        <v>91.168274221866398</v>
      </c>
      <c r="AM3357">
        <v>85.489525634009198</v>
      </c>
      <c r="AN3357">
        <v>1.0000000561718101</v>
      </c>
    </row>
    <row r="3358" spans="1:40" x14ac:dyDescent="0.25">
      <c r="A3358" t="str">
        <f>"20190312161338012"</f>
        <v>20190312161338012</v>
      </c>
      <c r="B3358" t="str">
        <f>"1552378418009748"</f>
        <v>1552378418009748</v>
      </c>
      <c r="C3358" t="s">
        <v>40</v>
      </c>
      <c r="D3358">
        <v>5.886914</v>
      </c>
      <c r="E3358">
        <v>0.4858304</v>
      </c>
      <c r="F3358" t="s">
        <v>69</v>
      </c>
      <c r="G3358">
        <v>-275.9948</v>
      </c>
      <c r="H3358" s="1">
        <v>1.6861170000000001E-6</v>
      </c>
      <c r="I3358">
        <v>213.8663</v>
      </c>
      <c r="J3358">
        <v>-297.48259999999999</v>
      </c>
      <c r="K3358">
        <v>1.1098479999999999</v>
      </c>
      <c r="L3358">
        <v>214.30330000000001</v>
      </c>
      <c r="M3358">
        <v>0.99987720000000002</v>
      </c>
      <c r="N3358">
        <v>0</v>
      </c>
      <c r="O3358">
        <v>5.0360930000000002E-3</v>
      </c>
      <c r="P3358">
        <v>0.99669750000000001</v>
      </c>
      <c r="Q3358">
        <v>-3.4950259999999997E-2</v>
      </c>
      <c r="R3358">
        <v>-7.3298020000000005E-2</v>
      </c>
      <c r="S3358">
        <v>3.0001829999999998</v>
      </c>
      <c r="T3358">
        <v>-0.15320210000000001</v>
      </c>
      <c r="U3358">
        <v>-6.0150149999999999E-2</v>
      </c>
      <c r="V3358">
        <v>7.8312259999999995E-2</v>
      </c>
      <c r="W3358">
        <v>-2.017861E-2</v>
      </c>
      <c r="X3358">
        <v>0.99672470000000002</v>
      </c>
      <c r="Y3358">
        <v>2.5041009999999999E-2</v>
      </c>
      <c r="Z3358">
        <v>-8.958716E-4</v>
      </c>
      <c r="AA3358">
        <v>0.99968599999999996</v>
      </c>
      <c r="AB3358">
        <v>37</v>
      </c>
      <c r="AC3358">
        <v>21.4878</v>
      </c>
      <c r="AD3358">
        <v>-1.1098463138829999</v>
      </c>
      <c r="AE3358">
        <v>-0.43700000000001099</v>
      </c>
      <c r="AF3358">
        <v>0.54377089997338801</v>
      </c>
      <c r="AG3358">
        <v>-1.1098463138829999</v>
      </c>
      <c r="AH3358">
        <v>21.428185466124599</v>
      </c>
      <c r="AI3358">
        <v>92.963962090835395</v>
      </c>
      <c r="AJ3358">
        <v>88.546349503249104</v>
      </c>
      <c r="AK3358">
        <v>21.463796914868801</v>
      </c>
      <c r="AL3358">
        <v>91.156227597355596</v>
      </c>
      <c r="AM3358">
        <v>85.507522703212302</v>
      </c>
      <c r="AN3358">
        <v>1.00000005697896</v>
      </c>
    </row>
    <row r="3359" spans="1:40" x14ac:dyDescent="0.25">
      <c r="A3359" t="str">
        <f>"20190312161338030"</f>
        <v>20190312161338030</v>
      </c>
      <c r="B3359" t="str">
        <f>"1552378418019508"</f>
        <v>1552378418019508</v>
      </c>
      <c r="C3359" t="s">
        <v>40</v>
      </c>
      <c r="D3359">
        <v>5.7264799999999996</v>
      </c>
      <c r="E3359">
        <v>0.4841741</v>
      </c>
      <c r="F3359" t="s">
        <v>43</v>
      </c>
      <c r="G3359">
        <v>-296.51409999999998</v>
      </c>
      <c r="H3359">
        <v>0.99758040000000003</v>
      </c>
      <c r="I3359">
        <v>214.27099999999999</v>
      </c>
      <c r="J3359">
        <v>-297.19830000000002</v>
      </c>
      <c r="K3359">
        <v>1.1098539999999999</v>
      </c>
      <c r="L3359">
        <v>214.30459999999999</v>
      </c>
      <c r="M3359">
        <v>0.99987760000000003</v>
      </c>
      <c r="N3359">
        <v>0</v>
      </c>
      <c r="O3359">
        <v>4.9780659999999997E-3</v>
      </c>
      <c r="P3359">
        <v>0.99674379999999996</v>
      </c>
      <c r="Q3359">
        <v>-3.417357E-2</v>
      </c>
      <c r="R3359">
        <v>-7.3036199999999996E-2</v>
      </c>
      <c r="S3359">
        <v>2.9904790000000001</v>
      </c>
      <c r="T3359">
        <v>-0.34670190000000001</v>
      </c>
      <c r="U3359">
        <v>-9.9121089999999995E-2</v>
      </c>
      <c r="V3359">
        <v>7.7993320000000005E-2</v>
      </c>
      <c r="W3359">
        <v>-1.9404330000000001E-2</v>
      </c>
      <c r="X3359">
        <v>0.99676500000000001</v>
      </c>
      <c r="Y3359">
        <v>3.7816500000000003E-2</v>
      </c>
      <c r="Z3359">
        <v>-2.7593460000000002E-3</v>
      </c>
      <c r="AA3359">
        <v>0.99928090000000003</v>
      </c>
      <c r="AB3359">
        <v>37</v>
      </c>
      <c r="AC3359">
        <v>0.684200000000032</v>
      </c>
      <c r="AD3359">
        <v>-0.1122736</v>
      </c>
      <c r="AE3359">
        <v>-3.3600000000006902E-2</v>
      </c>
      <c r="AF3359">
        <v>3.6037890744717201E-2</v>
      </c>
      <c r="AG3359">
        <v>-0.1122736</v>
      </c>
      <c r="AH3359">
        <v>0.666130448804932</v>
      </c>
      <c r="AI3359">
        <v>99.553343605444397</v>
      </c>
      <c r="AJ3359">
        <v>86.903297085824704</v>
      </c>
      <c r="AK3359">
        <v>0.67648641202270199</v>
      </c>
      <c r="AL3359">
        <v>91.111856022006606</v>
      </c>
      <c r="AM3359">
        <v>85.525924801762102</v>
      </c>
      <c r="AN3359">
        <v>0.99999997560618503</v>
      </c>
    </row>
    <row r="3360" spans="1:40" x14ac:dyDescent="0.25">
      <c r="A3360" t="str">
        <f>"20190312161338052"</f>
        <v>20190312161338052</v>
      </c>
      <c r="B3360" t="str">
        <f>"1552378418049297"</f>
        <v>1552378418049297</v>
      </c>
      <c r="C3360" t="s">
        <v>40</v>
      </c>
      <c r="D3360">
        <v>3.822937</v>
      </c>
      <c r="E3360">
        <v>0.48754239999999999</v>
      </c>
      <c r="F3360" t="s">
        <v>43</v>
      </c>
      <c r="G3360">
        <v>-296.18490000000003</v>
      </c>
      <c r="H3360">
        <v>0.9975678</v>
      </c>
      <c r="I3360">
        <v>214.27549999999999</v>
      </c>
      <c r="J3360">
        <v>-296.8347</v>
      </c>
      <c r="K3360">
        <v>1.109856</v>
      </c>
      <c r="L3360">
        <v>214.3064</v>
      </c>
      <c r="M3360">
        <v>0.99987800000000004</v>
      </c>
      <c r="N3360">
        <v>0</v>
      </c>
      <c r="O3360">
        <v>4.9036000000000001E-3</v>
      </c>
      <c r="P3360">
        <v>0.99675150000000001</v>
      </c>
      <c r="Q3360">
        <v>-3.3798500000000002E-2</v>
      </c>
      <c r="R3360">
        <v>-7.310403E-2</v>
      </c>
      <c r="S3360">
        <v>2.9921880000000001</v>
      </c>
      <c r="T3360">
        <v>-0.33164120000000002</v>
      </c>
      <c r="U3360">
        <v>-8.5479739999999999E-2</v>
      </c>
      <c r="V3360">
        <v>7.7986929999999996E-2</v>
      </c>
      <c r="W3360">
        <v>-1.9033069999999999E-2</v>
      </c>
      <c r="X3360">
        <v>0.99677269999999896</v>
      </c>
      <c r="Y3360">
        <v>3.3224490000000002E-2</v>
      </c>
      <c r="Z3360">
        <v>-2.3770309999999999E-3</v>
      </c>
      <c r="AA3360">
        <v>0.99944509999999998</v>
      </c>
      <c r="AB3360">
        <v>37</v>
      </c>
      <c r="AC3360">
        <v>0.64979999999996996</v>
      </c>
      <c r="AD3360">
        <v>-0.11228819999999901</v>
      </c>
      <c r="AE3360">
        <v>-3.0900000000002498E-2</v>
      </c>
      <c r="AF3360">
        <v>3.3100154311217697E-2</v>
      </c>
      <c r="AG3360">
        <v>-0.11228819999999901</v>
      </c>
      <c r="AH3360">
        <v>0.63084528459978395</v>
      </c>
      <c r="AI3360">
        <v>100.079160972206</v>
      </c>
      <c r="AJ3360">
        <v>86.996471762279597</v>
      </c>
      <c r="AK3360">
        <v>0.64161517530093404</v>
      </c>
      <c r="AL3360">
        <v>91.090580415341407</v>
      </c>
      <c r="AM3360">
        <v>85.5263242938655</v>
      </c>
      <c r="AN3360">
        <v>1.00000001723486</v>
      </c>
    </row>
    <row r="3361" spans="1:40" x14ac:dyDescent="0.25">
      <c r="A3361" t="str">
        <f>"20190312161338111"</f>
        <v>20190312161338111</v>
      </c>
      <c r="B3361" t="str">
        <f>"1552378418099073"</f>
        <v>1552378418099073</v>
      </c>
      <c r="C3361" t="s">
        <v>40</v>
      </c>
      <c r="D3361">
        <v>4.9592879999999999</v>
      </c>
      <c r="E3361">
        <v>0.49805470000000002</v>
      </c>
      <c r="F3361" t="s">
        <v>43</v>
      </c>
      <c r="G3361">
        <v>-295.85160000000002</v>
      </c>
      <c r="H3361">
        <v>1.007002</v>
      </c>
      <c r="I3361">
        <v>214.26910000000001</v>
      </c>
      <c r="J3361">
        <v>-295.87349999999998</v>
      </c>
      <c r="K3361">
        <v>1.109861</v>
      </c>
      <c r="L3361">
        <v>214.3109</v>
      </c>
      <c r="M3361">
        <v>0.99987910000000002</v>
      </c>
      <c r="N3361">
        <v>0</v>
      </c>
      <c r="O3361">
        <v>4.7066520000000004E-3</v>
      </c>
      <c r="P3361">
        <v>0.99671949999999998</v>
      </c>
      <c r="Q3361">
        <v>-3.3298729999999999E-2</v>
      </c>
      <c r="R3361">
        <v>-7.3767139999999995E-2</v>
      </c>
      <c r="S3361">
        <v>2.990875</v>
      </c>
      <c r="T3361">
        <v>-0.31302909999999901</v>
      </c>
      <c r="U3361">
        <v>-0.1130066</v>
      </c>
      <c r="V3361">
        <v>7.8453770000000006E-2</v>
      </c>
      <c r="W3361">
        <v>-1.8544270000000002E-2</v>
      </c>
      <c r="X3361">
        <v>0.99674529999999995</v>
      </c>
      <c r="Y3361">
        <v>4.2204360000000003E-2</v>
      </c>
      <c r="Z3361">
        <v>-2.6929409999999999E-3</v>
      </c>
      <c r="AA3361">
        <v>0.99910540000000003</v>
      </c>
      <c r="AB3361">
        <v>37</v>
      </c>
      <c r="AC3361">
        <v>2.1899999999959601E-2</v>
      </c>
      <c r="AD3361">
        <v>-0.10285900000000001</v>
      </c>
      <c r="AE3361">
        <v>-4.1799999999994897E-2</v>
      </c>
      <c r="AF3361">
        <v>7.2860264898059598E-3</v>
      </c>
      <c r="AG3361">
        <v>-0.10285900000000001</v>
      </c>
      <c r="AH3361">
        <v>3.7737163331792098E-3</v>
      </c>
      <c r="AI3361">
        <v>175.439036011908</v>
      </c>
      <c r="AJ3361">
        <v>27.381395092605398</v>
      </c>
      <c r="AK3361">
        <v>0.1031857596666</v>
      </c>
      <c r="AL3361">
        <v>91.062569271297505</v>
      </c>
      <c r="AM3361">
        <v>85.499530764254999</v>
      </c>
      <c r="AN3361">
        <v>1.00000003852456</v>
      </c>
    </row>
    <row r="3362" spans="1:40" x14ac:dyDescent="0.25">
      <c r="A3362" t="str">
        <f>"20190312161338132"</f>
        <v>20190312161338132</v>
      </c>
      <c r="B3362" t="str">
        <f>"1552378418129329"</f>
        <v>1552378418129329</v>
      </c>
      <c r="C3362" t="s">
        <v>40</v>
      </c>
      <c r="D3362">
        <v>5.718585</v>
      </c>
      <c r="E3362">
        <v>0.48810439999999999</v>
      </c>
      <c r="F3362" t="s">
        <v>74</v>
      </c>
      <c r="G3362">
        <v>-293.42759999999998</v>
      </c>
      <c r="H3362" s="1">
        <v>1.502407E-6</v>
      </c>
      <c r="I3362">
        <v>214.17509999999999</v>
      </c>
      <c r="J3362">
        <v>-295.52550000000002</v>
      </c>
      <c r="K3362">
        <v>1.109861</v>
      </c>
      <c r="L3362">
        <v>214.3124</v>
      </c>
      <c r="M3362">
        <v>0.99987939999999997</v>
      </c>
      <c r="N3362">
        <v>0</v>
      </c>
      <c r="O3362">
        <v>4.6356970000000003E-3</v>
      </c>
      <c r="P3362">
        <v>0.99669810000000003</v>
      </c>
      <c r="Q3362">
        <v>-3.3209269999999999E-2</v>
      </c>
      <c r="R3362">
        <v>-7.4093770000000003E-2</v>
      </c>
      <c r="S3362">
        <v>2.9529719999999999</v>
      </c>
      <c r="T3362">
        <v>-1.3399430000000001</v>
      </c>
      <c r="U3362">
        <v>-0.16394039999999999</v>
      </c>
      <c r="V3362">
        <v>7.8709580000000001E-2</v>
      </c>
      <c r="W3362">
        <v>-1.8459010000000001E-2</v>
      </c>
      <c r="X3362">
        <v>0.99672669999999997</v>
      </c>
      <c r="Y3362">
        <v>5.4293760000000003E-2</v>
      </c>
      <c r="Z3362">
        <v>-1.373825E-2</v>
      </c>
      <c r="AA3362">
        <v>0.9984305</v>
      </c>
      <c r="AB3362">
        <v>37</v>
      </c>
      <c r="AC3362">
        <v>2.0979000000000299</v>
      </c>
      <c r="AD3362">
        <v>-1.1098594975929901</v>
      </c>
      <c r="AE3362">
        <v>-0.13730000000001</v>
      </c>
      <c r="AF3362">
        <v>0.114981461345735</v>
      </c>
      <c r="AG3362">
        <v>-1.1098594975929901</v>
      </c>
      <c r="AH3362">
        <v>1.64015722712031</v>
      </c>
      <c r="AI3362">
        <v>124.020217410348</v>
      </c>
      <c r="AJ3362">
        <v>85.989901599663895</v>
      </c>
      <c r="AK3362">
        <v>1.9837148410307299</v>
      </c>
      <c r="AL3362">
        <v>91.057683412622396</v>
      </c>
      <c r="AM3362">
        <v>85.484832995717497</v>
      </c>
      <c r="AN3362">
        <v>1.0000000237634199</v>
      </c>
    </row>
    <row r="3363" spans="1:40" x14ac:dyDescent="0.25">
      <c r="A3363" t="str">
        <f>"20190312161338153"</f>
        <v>20190312161338153</v>
      </c>
      <c r="B3363" t="str">
        <f>"1552378418149182"</f>
        <v>1552378418149182</v>
      </c>
      <c r="C3363" t="s">
        <v>40</v>
      </c>
      <c r="D3363">
        <v>5.46265</v>
      </c>
      <c r="E3363">
        <v>0.49134810000000001</v>
      </c>
      <c r="F3363" t="s">
        <v>43</v>
      </c>
      <c r="G3363">
        <v>-294.55079999999998</v>
      </c>
      <c r="H3363">
        <v>0.98597310000000005</v>
      </c>
      <c r="I3363">
        <v>214.27379999999999</v>
      </c>
      <c r="J3363">
        <v>-295.17410000000001</v>
      </c>
      <c r="K3363">
        <v>1.109858</v>
      </c>
      <c r="L3363">
        <v>214.31399999999999</v>
      </c>
      <c r="M3363">
        <v>0.99987990000000004</v>
      </c>
      <c r="N3363">
        <v>0</v>
      </c>
      <c r="O3363">
        <v>4.5637309999999997E-3</v>
      </c>
      <c r="P3363">
        <v>0.99668020000000002</v>
      </c>
      <c r="Q3363">
        <v>-3.3479200000000001E-2</v>
      </c>
      <c r="R3363">
        <v>-7.4214390000000005E-2</v>
      </c>
      <c r="S3363">
        <v>2.988464</v>
      </c>
      <c r="T3363">
        <v>-0.37987919999999997</v>
      </c>
      <c r="U3363">
        <v>-0.1182556</v>
      </c>
      <c r="V3363">
        <v>7.8758369999999994E-2</v>
      </c>
      <c r="W3363">
        <v>-1.873302E-2</v>
      </c>
      <c r="X3363">
        <v>0.99671770000000004</v>
      </c>
      <c r="Y3363">
        <v>4.3712130000000002E-2</v>
      </c>
      <c r="Z3363">
        <v>-3.3436820000000002E-3</v>
      </c>
      <c r="AA3363">
        <v>0.9990386</v>
      </c>
      <c r="AB3363">
        <v>37</v>
      </c>
      <c r="AC3363">
        <v>0.62330000000002805</v>
      </c>
      <c r="AD3363">
        <v>-0.12388490000000001</v>
      </c>
      <c r="AE3363">
        <v>-4.0200000000027103E-2</v>
      </c>
      <c r="AF3363">
        <v>4.1415173764967998E-2</v>
      </c>
      <c r="AG3363">
        <v>-0.12388490000000001</v>
      </c>
      <c r="AH3363">
        <v>0.59952444234441005</v>
      </c>
      <c r="AI3363">
        <v>101.648197765688</v>
      </c>
      <c r="AJ3363">
        <v>86.048283088462</v>
      </c>
      <c r="AK3363">
        <v>0.61358963651154397</v>
      </c>
      <c r="AL3363">
        <v>91.073385780146296</v>
      </c>
      <c r="AM3363">
        <v>85.482005119549399</v>
      </c>
      <c r="AN3363">
        <v>0.99999999018833297</v>
      </c>
    </row>
    <row r="3364" spans="1:40" x14ac:dyDescent="0.25">
      <c r="A3364" t="str">
        <f>"20190312161338175"</f>
        <v>20190312161338175</v>
      </c>
      <c r="B3364" t="str">
        <f>"1552378418169678"</f>
        <v>1552378418169678</v>
      </c>
      <c r="C3364" t="s">
        <v>40</v>
      </c>
      <c r="D3364">
        <v>5.5038910000000003</v>
      </c>
      <c r="E3364">
        <v>0.48828579999999999</v>
      </c>
      <c r="F3364" t="s">
        <v>43</v>
      </c>
      <c r="G3364">
        <v>-294.19630000000001</v>
      </c>
      <c r="H3364">
        <v>1.041704</v>
      </c>
      <c r="I3364">
        <v>214.2646</v>
      </c>
      <c r="J3364">
        <v>-294.80430000000001</v>
      </c>
      <c r="K3364">
        <v>1.1098589999999999</v>
      </c>
      <c r="L3364">
        <v>214.31559999999999</v>
      </c>
      <c r="M3364">
        <v>0.9998804</v>
      </c>
      <c r="N3364">
        <v>0</v>
      </c>
      <c r="O3364">
        <v>4.4878920000000003E-3</v>
      </c>
      <c r="P3364">
        <v>0.99664280000000005</v>
      </c>
      <c r="Q3364">
        <v>-3.397584E-2</v>
      </c>
      <c r="R3364">
        <v>-7.4491989999999994E-2</v>
      </c>
      <c r="S3364">
        <v>2.9918209999999998</v>
      </c>
      <c r="T3364">
        <v>-0.2086788</v>
      </c>
      <c r="U3364">
        <v>-0.15016170000000001</v>
      </c>
      <c r="V3364">
        <v>7.8960230000000006E-2</v>
      </c>
      <c r="W3364">
        <v>-1.923424E-2</v>
      </c>
      <c r="X3364">
        <v>0.99669220000000003</v>
      </c>
      <c r="Y3364">
        <v>5.4467010000000003E-2</v>
      </c>
      <c r="Z3364">
        <v>-2.2085329999999999E-3</v>
      </c>
      <c r="AA3364">
        <v>0.99851310000000004</v>
      </c>
      <c r="AB3364">
        <v>37</v>
      </c>
      <c r="AC3364">
        <v>0.60800000000000398</v>
      </c>
      <c r="AD3364">
        <v>-6.8154999999999702E-2</v>
      </c>
      <c r="AE3364">
        <v>-5.0999999999987701E-2</v>
      </c>
      <c r="AF3364">
        <v>5.3066265315893098E-2</v>
      </c>
      <c r="AG3364">
        <v>-6.8154999999999702E-2</v>
      </c>
      <c r="AH3364">
        <v>0.600274769636163</v>
      </c>
      <c r="AI3364">
        <v>96.452652545070094</v>
      </c>
      <c r="AJ3364">
        <v>84.947997902602907</v>
      </c>
      <c r="AK3364">
        <v>0.60645769151798601</v>
      </c>
      <c r="AL3364">
        <v>91.102108728038701</v>
      </c>
      <c r="AM3364">
        <v>85.470358088190594</v>
      </c>
      <c r="AN3364">
        <v>1.0000000077254301</v>
      </c>
    </row>
    <row r="3365" spans="1:40" x14ac:dyDescent="0.25">
      <c r="A3365" t="str">
        <f>"20190312161338198"</f>
        <v>20190312161338198</v>
      </c>
      <c r="B3365" t="str">
        <f>"1552378418189198"</f>
        <v>1552378418189198</v>
      </c>
      <c r="C3365" t="s">
        <v>40</v>
      </c>
      <c r="D3365">
        <v>5.885726</v>
      </c>
      <c r="E3365">
        <v>0.4869328</v>
      </c>
      <c r="F3365" t="s">
        <v>69</v>
      </c>
      <c r="G3365">
        <v>-274.21039999999999</v>
      </c>
      <c r="H3365" s="1">
        <v>7.5550219999999899E-7</v>
      </c>
      <c r="I3365">
        <v>213.4333</v>
      </c>
      <c r="J3365">
        <v>-294.4255</v>
      </c>
      <c r="K3365">
        <v>1.1098589999999999</v>
      </c>
      <c r="L3365">
        <v>214.31720000000001</v>
      </c>
      <c r="M3365">
        <v>0.99988069999999896</v>
      </c>
      <c r="N3365">
        <v>0</v>
      </c>
      <c r="O3365">
        <v>4.4103859999999996E-3</v>
      </c>
      <c r="P3365">
        <v>0.9966043</v>
      </c>
      <c r="Q3365">
        <v>-3.4280699999999997E-2</v>
      </c>
      <c r="R3365">
        <v>-7.4866530000000001E-2</v>
      </c>
      <c r="S3365">
        <v>2.9950260000000002</v>
      </c>
      <c r="T3365">
        <v>-0.1614101</v>
      </c>
      <c r="U3365">
        <v>-0.12831119999999999</v>
      </c>
      <c r="V3365">
        <v>7.9257250000000001E-2</v>
      </c>
      <c r="W3365">
        <v>-1.9543850000000001E-2</v>
      </c>
      <c r="X3365">
        <v>0.99666259999999995</v>
      </c>
      <c r="Y3365">
        <v>4.7133910000000001E-2</v>
      </c>
      <c r="Z3365">
        <v>-1.5060239999999999E-3</v>
      </c>
      <c r="AA3365">
        <v>0.99888739999999998</v>
      </c>
      <c r="AB3365">
        <v>37</v>
      </c>
      <c r="AC3365">
        <v>20.2151</v>
      </c>
      <c r="AD3365">
        <v>-1.1098582444978</v>
      </c>
      <c r="AE3365">
        <v>-0.88390000000001101</v>
      </c>
      <c r="AF3365">
        <v>0.97013887800124499</v>
      </c>
      <c r="AG3365">
        <v>-1.1098582444978</v>
      </c>
      <c r="AH3365">
        <v>20.150381640936299</v>
      </c>
      <c r="AI3365">
        <v>93.1489556102877</v>
      </c>
      <c r="AJ3365">
        <v>87.243626621888197</v>
      </c>
      <c r="AK3365">
        <v>20.204228147614899</v>
      </c>
      <c r="AL3365">
        <v>91.119851411567694</v>
      </c>
      <c r="AM3365">
        <v>85.453256045185199</v>
      </c>
      <c r="AN3365">
        <v>1.00000000599457</v>
      </c>
    </row>
    <row r="3366" spans="1:40" x14ac:dyDescent="0.25">
      <c r="A3366" t="str">
        <f>"20190312161338216"</f>
        <v>20190312161338216</v>
      </c>
      <c r="B3366" t="str">
        <f>"1552378418209694"</f>
        <v>1552378418209694</v>
      </c>
      <c r="C3366" t="s">
        <v>40</v>
      </c>
      <c r="D3366">
        <v>5.6564329999999998</v>
      </c>
      <c r="E3366">
        <v>0.48714030000000003</v>
      </c>
      <c r="F3366" t="s">
        <v>69</v>
      </c>
      <c r="G3366">
        <v>-272.06830000000002</v>
      </c>
      <c r="H3366" s="1">
        <v>-3.8419889999999999E-7</v>
      </c>
      <c r="I3366">
        <v>213.42830000000001</v>
      </c>
      <c r="J3366">
        <v>-294.13740000000001</v>
      </c>
      <c r="K3366">
        <v>1.109861</v>
      </c>
      <c r="L3366">
        <v>214.3184</v>
      </c>
      <c r="M3366">
        <v>0.99988100000000002</v>
      </c>
      <c r="N3366">
        <v>0</v>
      </c>
      <c r="O3366">
        <v>4.3512289999999999E-3</v>
      </c>
      <c r="P3366">
        <v>0.99662539999999999</v>
      </c>
      <c r="Q3366">
        <v>-3.4147049999999998E-2</v>
      </c>
      <c r="R3366">
        <v>-7.4646470000000006E-2</v>
      </c>
      <c r="S3366">
        <v>2.9961549999999999</v>
      </c>
      <c r="T3366">
        <v>-0.1487359</v>
      </c>
      <c r="U3366">
        <v>-0.11912540000000001</v>
      </c>
      <c r="V3366">
        <v>7.8978259999999995E-2</v>
      </c>
      <c r="W3366">
        <v>-1.941296E-2</v>
      </c>
      <c r="X3366">
        <v>0.99668730000000005</v>
      </c>
      <c r="Y3366">
        <v>4.401646E-2</v>
      </c>
      <c r="Z3366">
        <v>-1.30725E-3</v>
      </c>
      <c r="AA3366">
        <v>0.99902990000000003</v>
      </c>
      <c r="AB3366">
        <v>37</v>
      </c>
      <c r="AC3366">
        <v>22.069099999999899</v>
      </c>
      <c r="AD3366">
        <v>-1.10986138419889</v>
      </c>
      <c r="AE3366">
        <v>-0.89009999999998901</v>
      </c>
      <c r="AF3366">
        <v>0.98364608724751201</v>
      </c>
      <c r="AG3366">
        <v>-1.10986138419889</v>
      </c>
      <c r="AH3366">
        <v>22.009443612752801</v>
      </c>
      <c r="AI3366">
        <v>92.883912243250904</v>
      </c>
      <c r="AJ3366">
        <v>87.441039763179802</v>
      </c>
      <c r="AK3366">
        <v>22.059350853097101</v>
      </c>
      <c r="AL3366">
        <v>91.112350549196805</v>
      </c>
      <c r="AM3366">
        <v>85.469305901467294</v>
      </c>
      <c r="AN3366">
        <v>1.0000000012749299</v>
      </c>
    </row>
    <row r="3367" spans="1:40" x14ac:dyDescent="0.25">
      <c r="A3367" t="str">
        <f>"20190312161338231"</f>
        <v>20190312161338231</v>
      </c>
      <c r="B3367" t="str">
        <f>"1552378418219454"</f>
        <v>1552378418219454</v>
      </c>
      <c r="C3367" t="s">
        <v>40</v>
      </c>
      <c r="D3367">
        <v>5.6608780000000003</v>
      </c>
      <c r="E3367">
        <v>0.48767969999999999</v>
      </c>
      <c r="F3367" t="s">
        <v>69</v>
      </c>
      <c r="G3367">
        <v>-269.58949999999999</v>
      </c>
      <c r="H3367" s="1">
        <v>3.622415E-6</v>
      </c>
      <c r="I3367">
        <v>213.33189999999999</v>
      </c>
      <c r="J3367">
        <v>-293.90519999999998</v>
      </c>
      <c r="K3367">
        <v>1.1098629999999901</v>
      </c>
      <c r="L3367">
        <v>214.3194</v>
      </c>
      <c r="M3367">
        <v>0.99988129999999997</v>
      </c>
      <c r="N3367">
        <v>0</v>
      </c>
      <c r="O3367">
        <v>4.3036300000000001E-3</v>
      </c>
      <c r="P3367">
        <v>0.99662110000000004</v>
      </c>
      <c r="Q3367">
        <v>-3.3745549999999999E-2</v>
      </c>
      <c r="R3367">
        <v>-7.4885399999999894E-2</v>
      </c>
      <c r="S3367">
        <v>2.9964900000000001</v>
      </c>
      <c r="T3367">
        <v>-0.13547719999999999</v>
      </c>
      <c r="U3367">
        <v>-0.1204224</v>
      </c>
      <c r="V3367">
        <v>7.9169879999999998E-2</v>
      </c>
      <c r="W3367">
        <v>-1.901415E-2</v>
      </c>
      <c r="X3367">
        <v>0.9966798</v>
      </c>
      <c r="Y3367">
        <v>4.4405970000000003E-2</v>
      </c>
      <c r="Z3367">
        <v>-1.197346E-3</v>
      </c>
      <c r="AA3367">
        <v>0.99901280000000003</v>
      </c>
      <c r="AB3367">
        <v>36</v>
      </c>
      <c r="AC3367">
        <v>24.3157</v>
      </c>
      <c r="AD3367">
        <v>-1.1098593775850001</v>
      </c>
      <c r="AE3367">
        <v>-0.98750000000001104</v>
      </c>
      <c r="AF3367">
        <v>1.0898812166823399</v>
      </c>
      <c r="AG3367">
        <v>-1.1098593775850001</v>
      </c>
      <c r="AH3367">
        <v>24.2607640192692</v>
      </c>
      <c r="AI3367">
        <v>92.616653670120002</v>
      </c>
      <c r="AJ3367">
        <v>87.427795891737901</v>
      </c>
      <c r="AK3367">
        <v>24.3105799952029</v>
      </c>
      <c r="AL3367">
        <v>91.089496184606304</v>
      </c>
      <c r="AM3367">
        <v>85.458325262042706</v>
      </c>
      <c r="AN3367">
        <v>1.0000000157637301</v>
      </c>
    </row>
    <row r="3368" spans="1:40" x14ac:dyDescent="0.25">
      <c r="A3368" t="str">
        <f>"20190312161338253"</f>
        <v>20190312161338253</v>
      </c>
      <c r="B3368" t="str">
        <f>"1552378418249239"</f>
        <v>1552378418249239</v>
      </c>
      <c r="C3368" t="s">
        <v>40</v>
      </c>
      <c r="D3368">
        <v>5.5563419999999999</v>
      </c>
      <c r="E3368">
        <v>0.48905359999999998</v>
      </c>
      <c r="F3368" t="s">
        <v>69</v>
      </c>
      <c r="G3368">
        <v>-267.5573</v>
      </c>
      <c r="H3368" s="1">
        <v>2.5461160000000001E-6</v>
      </c>
      <c r="I3368">
        <v>213.2139</v>
      </c>
      <c r="J3368">
        <v>-293.54410000000001</v>
      </c>
      <c r="K3368">
        <v>1.1098680000000001</v>
      </c>
      <c r="L3368">
        <v>214.32079999999999</v>
      </c>
      <c r="M3368">
        <v>0.99988169999999998</v>
      </c>
      <c r="N3368">
        <v>0</v>
      </c>
      <c r="O3368">
        <v>4.2295199999999996E-3</v>
      </c>
      <c r="P3368">
        <v>0.99660439999999995</v>
      </c>
      <c r="Q3368">
        <v>-3.3889790000000003E-2</v>
      </c>
      <c r="R3368">
        <v>-7.5044650000000004E-2</v>
      </c>
      <c r="S3368">
        <v>2.9964599999999999</v>
      </c>
      <c r="T3368">
        <v>-0.12622059999999999</v>
      </c>
      <c r="U3368">
        <v>-0.1257172</v>
      </c>
      <c r="V3368">
        <v>7.9255160000000005E-2</v>
      </c>
      <c r="W3368">
        <v>-1.9162430000000001E-2</v>
      </c>
      <c r="X3368">
        <v>0.99667019999999995</v>
      </c>
      <c r="Y3368">
        <v>4.6099689999999999E-2</v>
      </c>
      <c r="Z3368">
        <v>-1.1481039999999901E-3</v>
      </c>
      <c r="AA3368">
        <v>0.99893620000000005</v>
      </c>
      <c r="AB3368">
        <v>36</v>
      </c>
      <c r="AC3368">
        <v>25.986799999999999</v>
      </c>
      <c r="AD3368">
        <v>-1.109865453884</v>
      </c>
      <c r="AE3368">
        <v>-1.10689999999999</v>
      </c>
      <c r="AF3368">
        <v>1.2146023336863601</v>
      </c>
      <c r="AG3368">
        <v>-1.109865453884</v>
      </c>
      <c r="AH3368">
        <v>25.934665072846499</v>
      </c>
      <c r="AI3368">
        <v>92.447779168643095</v>
      </c>
      <c r="AJ3368">
        <v>87.318616812178604</v>
      </c>
      <c r="AK3368">
        <v>25.986802662033</v>
      </c>
      <c r="AL3368">
        <v>91.0979935315695</v>
      </c>
      <c r="AM3368">
        <v>85.453409963770696</v>
      </c>
      <c r="AN3368">
        <v>1.0000000333390799</v>
      </c>
    </row>
    <row r="3369" spans="1:40" x14ac:dyDescent="0.25">
      <c r="A3369" t="str">
        <f>"20190312161338277"</f>
        <v>20190312161338277</v>
      </c>
      <c r="B3369" t="str">
        <f>"1552378418269736"</f>
        <v>1552378418269736</v>
      </c>
      <c r="C3369" t="s">
        <v>40</v>
      </c>
      <c r="D3369">
        <v>5.5042049999999998</v>
      </c>
      <c r="E3369">
        <v>0.48967959999999999</v>
      </c>
      <c r="F3369" t="s">
        <v>69</v>
      </c>
      <c r="G3369">
        <v>-261.68700000000001</v>
      </c>
      <c r="H3369" s="1">
        <v>-5.6200489999999996E-7</v>
      </c>
      <c r="I3369">
        <v>212.8536</v>
      </c>
      <c r="J3369">
        <v>-293.15280000000001</v>
      </c>
      <c r="K3369">
        <v>1.1098680000000001</v>
      </c>
      <c r="L3369">
        <v>214.32239999999999</v>
      </c>
      <c r="M3369">
        <v>0.9998821</v>
      </c>
      <c r="N3369">
        <v>0</v>
      </c>
      <c r="O3369">
        <v>4.1492739999999997E-3</v>
      </c>
      <c r="P3369">
        <v>0.99659850000000005</v>
      </c>
      <c r="Q3369">
        <v>-3.372443E-2</v>
      </c>
      <c r="R3369">
        <v>-7.5196040000000006E-2</v>
      </c>
      <c r="S3369">
        <v>2.9962770000000001</v>
      </c>
      <c r="T3369">
        <v>-0.1043873</v>
      </c>
      <c r="U3369">
        <v>-0.1380005</v>
      </c>
      <c r="V3369">
        <v>7.9326640000000004E-2</v>
      </c>
      <c r="W3369">
        <v>-1.9001210000000001E-2</v>
      </c>
      <c r="X3369">
        <v>0.99666759999999999</v>
      </c>
      <c r="Y3369">
        <v>5.0120629999999999E-2</v>
      </c>
      <c r="Z3369">
        <v>-1.016805E-3</v>
      </c>
      <c r="AA3369">
        <v>0.99874260000000004</v>
      </c>
      <c r="AB3369">
        <v>36</v>
      </c>
      <c r="AC3369">
        <v>31.465800000000002</v>
      </c>
      <c r="AD3369">
        <v>-1.10986856200489</v>
      </c>
      <c r="AE3369">
        <v>-1.4687999999999799</v>
      </c>
      <c r="AF3369">
        <v>1.59737882482146</v>
      </c>
      <c r="AG3369">
        <v>-1.10986856200489</v>
      </c>
      <c r="AH3369">
        <v>31.420427869916701</v>
      </c>
      <c r="AI3369">
        <v>92.020419311414202</v>
      </c>
      <c r="AJ3369">
        <v>87.089653345577801</v>
      </c>
      <c r="AK3369">
        <v>31.4805767873391</v>
      </c>
      <c r="AL3369">
        <v>91.088754624121293</v>
      </c>
      <c r="AM3369">
        <v>85.449314801219998</v>
      </c>
      <c r="AN3369">
        <v>1.0000000333424499</v>
      </c>
    </row>
    <row r="3370" spans="1:40" x14ac:dyDescent="0.25">
      <c r="A3370" t="str">
        <f>"20190312161338321"</f>
        <v>20190312161338321</v>
      </c>
      <c r="B3370" t="str">
        <f>"1552378418308776"</f>
        <v>1552378418308776</v>
      </c>
      <c r="C3370" t="s">
        <v>40</v>
      </c>
      <c r="D3370">
        <v>5.4208619999999996</v>
      </c>
      <c r="E3370">
        <v>0.49062509999999998</v>
      </c>
      <c r="F3370" t="s">
        <v>69</v>
      </c>
      <c r="G3370">
        <v>-256.94099999999997</v>
      </c>
      <c r="H3370" s="1">
        <v>2.2456970000000001E-6</v>
      </c>
      <c r="I3370">
        <v>212.58449999999999</v>
      </c>
      <c r="J3370">
        <v>-292.44990000000001</v>
      </c>
      <c r="K3370">
        <v>1.1098650000000001</v>
      </c>
      <c r="L3370">
        <v>214.3252</v>
      </c>
      <c r="M3370">
        <v>0.99988279999999996</v>
      </c>
      <c r="N3370">
        <v>0</v>
      </c>
      <c r="O3370">
        <v>4.004863E-3</v>
      </c>
      <c r="P3370">
        <v>0.99664549999999996</v>
      </c>
      <c r="Q3370">
        <v>-3.355114E-2</v>
      </c>
      <c r="R3370">
        <v>-7.4650179999999997E-2</v>
      </c>
      <c r="S3370">
        <v>2.9962460000000002</v>
      </c>
      <c r="T3370">
        <v>-9.1832999999999998E-2</v>
      </c>
      <c r="U3370">
        <v>-0.14379879999999901</v>
      </c>
      <c r="V3370">
        <v>7.8636999999999999E-2</v>
      </c>
      <c r="W3370">
        <v>-1.8834219999999999E-2</v>
      </c>
      <c r="X3370">
        <v>0.99672539999999998</v>
      </c>
      <c r="Y3370">
        <v>5.191192E-2</v>
      </c>
      <c r="Z3370">
        <v>-9.1755259999999996E-4</v>
      </c>
      <c r="AA3370">
        <v>0.99865130000000002</v>
      </c>
      <c r="AB3370">
        <v>36</v>
      </c>
      <c r="AC3370">
        <v>35.508899999999997</v>
      </c>
      <c r="AD3370">
        <v>-1.109862754303</v>
      </c>
      <c r="AE3370">
        <v>-1.7406999999999999</v>
      </c>
      <c r="AF3370">
        <v>1.8810765677347201</v>
      </c>
      <c r="AG3370">
        <v>-1.109862754303</v>
      </c>
      <c r="AH3370">
        <v>35.4670773082522</v>
      </c>
      <c r="AI3370">
        <v>91.789844244019903</v>
      </c>
      <c r="AJ3370">
        <v>86.964033440912203</v>
      </c>
      <c r="AK3370">
        <v>35.5342625810162</v>
      </c>
      <c r="AL3370">
        <v>91.079185110226405</v>
      </c>
      <c r="AM3370">
        <v>85.488973488266595</v>
      </c>
      <c r="AN3370">
        <v>1.0000000143085801</v>
      </c>
    </row>
    <row r="3371" spans="1:40" x14ac:dyDescent="0.25">
      <c r="A3371" t="str">
        <f>"20190312161338342"</f>
        <v>20190312161338342</v>
      </c>
      <c r="B3371" t="str">
        <f>"1552378418339032"</f>
        <v>1552378418339032</v>
      </c>
      <c r="C3371" t="s">
        <v>40</v>
      </c>
      <c r="D3371">
        <v>5.3064730000000004</v>
      </c>
      <c r="E3371">
        <v>0.49083549999999998</v>
      </c>
      <c r="F3371" t="s">
        <v>69</v>
      </c>
      <c r="G3371">
        <v>-248.7201</v>
      </c>
      <c r="H3371" s="1">
        <v>3.2120840000000001E-6</v>
      </c>
      <c r="I3371">
        <v>212.13470000000001</v>
      </c>
      <c r="J3371">
        <v>-292.09930000000003</v>
      </c>
      <c r="K3371">
        <v>1.109866</v>
      </c>
      <c r="L3371">
        <v>214.32650000000001</v>
      </c>
      <c r="M3371">
        <v>0.99988310000000002</v>
      </c>
      <c r="N3371">
        <v>0</v>
      </c>
      <c r="O3371">
        <v>3.9330119999999996E-3</v>
      </c>
      <c r="P3371">
        <v>0.99667609999999995</v>
      </c>
      <c r="Q3371">
        <v>-3.3513999999999898E-2</v>
      </c>
      <c r="R3371">
        <v>-7.4254639999999997E-2</v>
      </c>
      <c r="S3371">
        <v>2.9963069999999998</v>
      </c>
      <c r="T3371">
        <v>-7.6046230000000006E-2</v>
      </c>
      <c r="U3371">
        <v>-0.15008540000000001</v>
      </c>
      <c r="V3371">
        <v>7.8170249999999997E-2</v>
      </c>
      <c r="W3371">
        <v>-1.880014E-2</v>
      </c>
      <c r="X3371">
        <v>0.99676279999999995</v>
      </c>
      <c r="Y3371">
        <v>5.3936959999999999E-2</v>
      </c>
      <c r="Z3371">
        <v>-7.8367520000000002E-4</v>
      </c>
      <c r="AA3371">
        <v>0.99854399999999999</v>
      </c>
      <c r="AB3371">
        <v>36</v>
      </c>
      <c r="AC3371">
        <v>43.379199999999997</v>
      </c>
      <c r="AD3371">
        <v>-1.1098627879159999</v>
      </c>
      <c r="AE3371">
        <v>-2.1918000000000002</v>
      </c>
      <c r="AF3371">
        <v>2.36087109597046</v>
      </c>
      <c r="AG3371">
        <v>-1.1098627879159999</v>
      </c>
      <c r="AH3371">
        <v>43.341943743568002</v>
      </c>
      <c r="AI3371">
        <v>91.464689550757697</v>
      </c>
      <c r="AJ3371">
        <v>86.882133273015</v>
      </c>
      <c r="AK3371">
        <v>43.420382255461597</v>
      </c>
      <c r="AL3371">
        <v>91.077232078994498</v>
      </c>
      <c r="AM3371">
        <v>85.515806729990501</v>
      </c>
      <c r="AN3371">
        <v>1.00000005635645</v>
      </c>
    </row>
    <row r="3372" spans="1:40" x14ac:dyDescent="0.25">
      <c r="A3372" t="str">
        <f>"20190312161338357"</f>
        <v>20190312161338357</v>
      </c>
      <c r="B3372" t="str">
        <f>"1552378418348792"</f>
        <v>1552378418348792</v>
      </c>
      <c r="C3372" t="s">
        <v>40</v>
      </c>
      <c r="D3372">
        <v>5.2868769999999996</v>
      </c>
      <c r="E3372">
        <v>0.49083729999999998</v>
      </c>
      <c r="F3372" t="s">
        <v>69</v>
      </c>
      <c r="G3372">
        <v>-236.34229999999999</v>
      </c>
      <c r="H3372" s="1">
        <v>1.9739930000000001E-6</v>
      </c>
      <c r="I3372">
        <v>211.511</v>
      </c>
      <c r="J3372">
        <v>-291.84640000000002</v>
      </c>
      <c r="K3372">
        <v>1.1098619999999999</v>
      </c>
      <c r="L3372">
        <v>214.32740000000001</v>
      </c>
      <c r="M3372">
        <v>0.99988330000000003</v>
      </c>
      <c r="N3372">
        <v>0</v>
      </c>
      <c r="O3372">
        <v>3.8812410000000001E-3</v>
      </c>
      <c r="P3372">
        <v>0.99667660000000002</v>
      </c>
      <c r="Q3372">
        <v>-3.3487900000000001E-2</v>
      </c>
      <c r="R3372">
        <v>-7.4260850000000003E-2</v>
      </c>
      <c r="S3372">
        <v>2.9967350000000001</v>
      </c>
      <c r="T3372">
        <v>-5.9651139999999998E-2</v>
      </c>
      <c r="U3372">
        <v>-0.15132139999999999</v>
      </c>
      <c r="V3372">
        <v>7.812463E-2</v>
      </c>
      <c r="W3372">
        <v>-1.8776640000000001E-2</v>
      </c>
      <c r="X3372">
        <v>0.99676670000000001</v>
      </c>
      <c r="Y3372">
        <v>5.4296030000000002E-2</v>
      </c>
      <c r="Z3372">
        <v>-6.1720500000000001E-4</v>
      </c>
      <c r="AA3372">
        <v>0.99852470000000004</v>
      </c>
      <c r="AB3372">
        <v>36</v>
      </c>
      <c r="AC3372">
        <v>55.504100000000001</v>
      </c>
      <c r="AD3372">
        <v>-1.109860026007</v>
      </c>
      <c r="AE3372">
        <v>-2.81640000000001</v>
      </c>
      <c r="AF3372">
        <v>3.03061843996062</v>
      </c>
      <c r="AG3372">
        <v>-1.109860026007</v>
      </c>
      <c r="AH3372">
        <v>55.4706271107951</v>
      </c>
      <c r="AI3372">
        <v>91.144518426069496</v>
      </c>
      <c r="AJ3372">
        <v>86.872774052543605</v>
      </c>
      <c r="AK3372">
        <v>55.564439252734601</v>
      </c>
      <c r="AL3372">
        <v>91.075885518831697</v>
      </c>
      <c r="AM3372">
        <v>85.518430495586401</v>
      </c>
      <c r="AN3372">
        <v>0.99999993712560598</v>
      </c>
    </row>
    <row r="3373" spans="1:40" x14ac:dyDescent="0.25">
      <c r="A3373" t="str">
        <f>"20190312161338377"</f>
        <v>20190312161338377</v>
      </c>
      <c r="B3373" t="str">
        <f>"1552378418369287"</f>
        <v>1552378418369287</v>
      </c>
      <c r="C3373" t="s">
        <v>40</v>
      </c>
      <c r="D3373">
        <v>5.2275010000000002</v>
      </c>
      <c r="E3373">
        <v>0.49087039999999998</v>
      </c>
      <c r="F3373" t="s">
        <v>69</v>
      </c>
      <c r="G3373">
        <v>-230.4761</v>
      </c>
      <c r="H3373" s="1">
        <v>-1.1351139999999999E-6</v>
      </c>
      <c r="I3373">
        <v>211.22370000000001</v>
      </c>
      <c r="J3373">
        <v>-291.54259999999999</v>
      </c>
      <c r="K3373">
        <v>1.1098619999999999</v>
      </c>
      <c r="L3373">
        <v>214.32859999999999</v>
      </c>
      <c r="M3373">
        <v>0.99988359999999998</v>
      </c>
      <c r="N3373">
        <v>0</v>
      </c>
      <c r="O3373">
        <v>3.8186880000000002E-3</v>
      </c>
      <c r="P3373">
        <v>0.99669110000000005</v>
      </c>
      <c r="Q3373">
        <v>-3.3371350000000001E-2</v>
      </c>
      <c r="R3373">
        <v>-7.4115280000000006E-2</v>
      </c>
      <c r="S3373">
        <v>2.9968870000000001</v>
      </c>
      <c r="T3373">
        <v>-5.4197790000000003E-2</v>
      </c>
      <c r="U3373">
        <v>-0.15156559999999999</v>
      </c>
      <c r="V3373">
        <v>7.7917009999999995E-2</v>
      </c>
      <c r="W3373">
        <v>-1.8662979999999999E-2</v>
      </c>
      <c r="X3373">
        <v>0.99678520000000004</v>
      </c>
      <c r="Y3373">
        <v>5.4314139999999997E-2</v>
      </c>
      <c r="Z3373">
        <v>-5.5979279999999998E-4</v>
      </c>
      <c r="AA3373">
        <v>0.99852370000000001</v>
      </c>
      <c r="AB3373">
        <v>36</v>
      </c>
      <c r="AC3373">
        <v>61.066499999999898</v>
      </c>
      <c r="AD3373">
        <v>-1.109863135114</v>
      </c>
      <c r="AE3373">
        <v>-3.1048999999999798</v>
      </c>
      <c r="AF3373">
        <v>3.3369972839494801</v>
      </c>
      <c r="AG3373">
        <v>-1.109863135114</v>
      </c>
      <c r="AH3373">
        <v>61.034088016471301</v>
      </c>
      <c r="AI3373">
        <v>91.040216487939205</v>
      </c>
      <c r="AJ3373">
        <v>86.870508021722401</v>
      </c>
      <c r="AK3373">
        <v>61.135319145761699</v>
      </c>
      <c r="AL3373">
        <v>91.069372016873203</v>
      </c>
      <c r="AM3373">
        <v>85.530374778631497</v>
      </c>
      <c r="AN3373">
        <v>1.00000005110442</v>
      </c>
    </row>
    <row r="3374" spans="1:40" x14ac:dyDescent="0.25">
      <c r="A3374" t="str">
        <f>"20190312161338390"</f>
        <v>20190312161338390</v>
      </c>
      <c r="B3374" t="str">
        <f>"1552378418379048"</f>
        <v>1552378418379048</v>
      </c>
      <c r="C3374" t="s">
        <v>40</v>
      </c>
      <c r="D3374">
        <v>5.3065600000000002</v>
      </c>
      <c r="E3374">
        <v>0.49106050000000001</v>
      </c>
      <c r="F3374" t="s">
        <v>69</v>
      </c>
      <c r="G3374">
        <v>-215.81020000000001</v>
      </c>
      <c r="H3374" s="1">
        <v>1.735079E-6</v>
      </c>
      <c r="I3374">
        <v>210.49850000000001</v>
      </c>
      <c r="J3374">
        <v>-291.31049999999999</v>
      </c>
      <c r="K3374">
        <v>1.109864</v>
      </c>
      <c r="L3374">
        <v>214.32939999999999</v>
      </c>
      <c r="M3374">
        <v>0.99988379999999999</v>
      </c>
      <c r="N3374">
        <v>0</v>
      </c>
      <c r="O3374">
        <v>3.7709100000000001E-3</v>
      </c>
      <c r="P3374">
        <v>0.99670539999999996</v>
      </c>
      <c r="Q3374">
        <v>-3.3380140000000003E-2</v>
      </c>
      <c r="R3374">
        <v>-7.3920609999999998E-2</v>
      </c>
      <c r="S3374">
        <v>2.997223</v>
      </c>
      <c r="T3374">
        <v>-4.3924329999999998E-2</v>
      </c>
      <c r="U3374">
        <v>-0.15158079999999999</v>
      </c>
      <c r="V3374">
        <v>7.7674869999999993E-2</v>
      </c>
      <c r="W3374">
        <v>-1.8673869999999999E-2</v>
      </c>
      <c r="X3374">
        <v>0.99680380000000002</v>
      </c>
      <c r="Y3374">
        <v>5.4269129999999999E-2</v>
      </c>
      <c r="Z3374">
        <v>-4.5261379999999999E-4</v>
      </c>
      <c r="AA3374">
        <v>0.99852620000000003</v>
      </c>
      <c r="AB3374">
        <v>36</v>
      </c>
      <c r="AC3374">
        <v>75.500299999999896</v>
      </c>
      <c r="AD3374">
        <v>-1.1098622649209999</v>
      </c>
      <c r="AE3374">
        <v>-3.8308999999999802</v>
      </c>
      <c r="AF3374">
        <v>4.1147217751507004</v>
      </c>
      <c r="AG3374">
        <v>-1.1098622649209999</v>
      </c>
      <c r="AH3374">
        <v>75.469049069045397</v>
      </c>
      <c r="AI3374">
        <v>90.841292627566006</v>
      </c>
      <c r="AJ3374">
        <v>86.879210700275095</v>
      </c>
      <c r="AK3374">
        <v>75.589285596041904</v>
      </c>
      <c r="AL3374">
        <v>91.069996177046804</v>
      </c>
      <c r="AM3374">
        <v>85.544291664303401</v>
      </c>
      <c r="AN3374">
        <v>0.99999995727236601</v>
      </c>
    </row>
    <row r="3375" spans="1:40" x14ac:dyDescent="0.25">
      <c r="A3375" t="str">
        <f>"20190312161338409"</f>
        <v>20190312161338409</v>
      </c>
      <c r="B3375" t="str">
        <f>"1552378418399543"</f>
        <v>1552378418399543</v>
      </c>
      <c r="C3375" t="s">
        <v>40</v>
      </c>
      <c r="D3375">
        <v>5.2628830000000004</v>
      </c>
      <c r="E3375">
        <v>0.49134309999999998</v>
      </c>
      <c r="F3375" t="s">
        <v>63</v>
      </c>
      <c r="G3375">
        <v>-207.89099999999999</v>
      </c>
      <c r="H3375" s="1">
        <v>6.112739E-6</v>
      </c>
      <c r="I3375">
        <v>210.08170000000001</v>
      </c>
      <c r="J3375">
        <v>-291.01299999999998</v>
      </c>
      <c r="K3375">
        <v>1.1098650000000001</v>
      </c>
      <c r="L3375">
        <v>214.3305</v>
      </c>
      <c r="M3375">
        <v>0.9998842</v>
      </c>
      <c r="N3375">
        <v>0</v>
      </c>
      <c r="O3375">
        <v>3.7095470000000001E-3</v>
      </c>
      <c r="P3375">
        <v>0.99674890000000005</v>
      </c>
      <c r="Q3375">
        <v>-3.3234960000000001E-2</v>
      </c>
      <c r="R3375">
        <v>-7.3399899999999907E-2</v>
      </c>
      <c r="S3375">
        <v>2.9972530000000002</v>
      </c>
      <c r="T3375">
        <v>-3.9877059999999999E-2</v>
      </c>
      <c r="U3375">
        <v>-0.15261839999999999</v>
      </c>
      <c r="V3375">
        <v>7.7093040000000002E-2</v>
      </c>
      <c r="W3375">
        <v>-1.8530930000000001E-2</v>
      </c>
      <c r="X3375">
        <v>0.99685170000000001</v>
      </c>
      <c r="Y3375">
        <v>5.4553190000000001E-2</v>
      </c>
      <c r="Z3375">
        <v>-4.1197750000000001E-4</v>
      </c>
      <c r="AA3375">
        <v>0.99851080000000003</v>
      </c>
      <c r="AB3375">
        <v>36</v>
      </c>
      <c r="AC3375">
        <v>83.1219999999999</v>
      </c>
      <c r="AD3375">
        <v>-1.10985888726099</v>
      </c>
      <c r="AE3375">
        <v>-4.2487999999999797</v>
      </c>
      <c r="AF3375">
        <v>4.5563391251385097</v>
      </c>
      <c r="AG3375">
        <v>-1.10985888726099</v>
      </c>
      <c r="AH3375">
        <v>83.090890250707503</v>
      </c>
      <c r="AI3375">
        <v>90.764115951407206</v>
      </c>
      <c r="AJ3375">
        <v>86.861294794537997</v>
      </c>
      <c r="AK3375">
        <v>83.223122121367297</v>
      </c>
      <c r="AL3375">
        <v>91.061804831827601</v>
      </c>
      <c r="AM3375">
        <v>85.577746273776498</v>
      </c>
      <c r="AN3375">
        <v>1.0000000219879901</v>
      </c>
    </row>
    <row r="3376" spans="1:40" x14ac:dyDescent="0.25">
      <c r="A3376" t="str">
        <f>"20190312161338431"</f>
        <v>20190312161338431</v>
      </c>
      <c r="B3376" t="str">
        <f>"1552378418419067"</f>
        <v>1552378418419067</v>
      </c>
      <c r="C3376" t="s">
        <v>40</v>
      </c>
      <c r="D3376">
        <v>5.2538600000000004</v>
      </c>
      <c r="E3376">
        <v>0.4916259</v>
      </c>
      <c r="F3376" t="s">
        <v>63</v>
      </c>
      <c r="G3376">
        <v>-187.2379</v>
      </c>
      <c r="H3376" s="1">
        <v>4.1389549999999999E-6</v>
      </c>
      <c r="I3376">
        <v>209.01599999999999</v>
      </c>
      <c r="J3376">
        <v>-290.65690000000001</v>
      </c>
      <c r="K3376">
        <v>1.1098699999999999</v>
      </c>
      <c r="L3376">
        <v>214.33170000000001</v>
      </c>
      <c r="M3376">
        <v>0.99988449999999995</v>
      </c>
      <c r="N3376">
        <v>0</v>
      </c>
      <c r="O3376">
        <v>3.63621E-3</v>
      </c>
      <c r="P3376">
        <v>0.9967551</v>
      </c>
      <c r="Q3376">
        <v>-3.307512E-2</v>
      </c>
      <c r="R3376">
        <v>-7.3389060000000006E-2</v>
      </c>
      <c r="S3376">
        <v>2.9974669999999999</v>
      </c>
      <c r="T3376">
        <v>-3.2057519999999999E-2</v>
      </c>
      <c r="U3376">
        <v>-0.15350339999999901</v>
      </c>
      <c r="V3376">
        <v>7.7009149999999998E-2</v>
      </c>
      <c r="W3376">
        <v>-1.83748E-2</v>
      </c>
      <c r="X3376">
        <v>0.996861</v>
      </c>
      <c r="Y3376">
        <v>5.4772189999999998E-2</v>
      </c>
      <c r="Z3376">
        <v>-3.3155789999999999E-4</v>
      </c>
      <c r="AA3376">
        <v>0.99849880000000002</v>
      </c>
      <c r="AB3376">
        <v>36</v>
      </c>
      <c r="AC3376">
        <v>103.419</v>
      </c>
      <c r="AD3376">
        <v>-1.1098658610449901</v>
      </c>
      <c r="AE3376">
        <v>-5.3157000000000201</v>
      </c>
      <c r="AF3376">
        <v>5.6911052853430402</v>
      </c>
      <c r="AG3376">
        <v>-1.1098658610449901</v>
      </c>
      <c r="AH3376">
        <v>103.38710929355</v>
      </c>
      <c r="AI3376">
        <v>90.614119818323999</v>
      </c>
      <c r="AJ3376">
        <v>86.849243946017396</v>
      </c>
      <c r="AK3376">
        <v>103.54957677207</v>
      </c>
      <c r="AL3376">
        <v>91.052857796570905</v>
      </c>
      <c r="AM3376">
        <v>85.582580409608596</v>
      </c>
      <c r="AN3376">
        <v>0.999999947889879</v>
      </c>
    </row>
    <row r="3377" spans="1:40" x14ac:dyDescent="0.25">
      <c r="A3377" t="str">
        <f>"20190312161338454"</f>
        <v>20190312161338454</v>
      </c>
      <c r="B3377" t="str">
        <f>"1552378418449320"</f>
        <v>1552378418449320</v>
      </c>
      <c r="C3377" t="s">
        <v>40</v>
      </c>
      <c r="D3377">
        <v>5.1972120000000004</v>
      </c>
      <c r="E3377">
        <v>0.49213449999999997</v>
      </c>
      <c r="F3377" t="s">
        <v>81</v>
      </c>
      <c r="G3377">
        <v>-168.41</v>
      </c>
      <c r="H3377">
        <v>8.8211059999999994E-2</v>
      </c>
      <c r="I3377">
        <v>207.96809999999999</v>
      </c>
      <c r="J3377">
        <v>-290.2998</v>
      </c>
      <c r="K3377">
        <v>1.109872</v>
      </c>
      <c r="L3377">
        <v>214.3329</v>
      </c>
      <c r="M3377">
        <v>0.99988480000000002</v>
      </c>
      <c r="N3377">
        <v>0</v>
      </c>
      <c r="O3377">
        <v>3.5626949999999998E-3</v>
      </c>
      <c r="P3377">
        <v>0.99673120000000004</v>
      </c>
      <c r="Q3377">
        <v>-3.3350890000000001E-2</v>
      </c>
      <c r="R3377">
        <v>-7.3587059999999996E-2</v>
      </c>
      <c r="S3377">
        <v>2.9974980000000002</v>
      </c>
      <c r="T3377">
        <v>-2.5050280000000001E-2</v>
      </c>
      <c r="U3377">
        <v>-0.15603639999999999</v>
      </c>
      <c r="V3377">
        <v>7.7134010000000003E-2</v>
      </c>
      <c r="W3377">
        <v>-1.8654799999999999E-2</v>
      </c>
      <c r="X3377">
        <v>0.99684620000000002</v>
      </c>
      <c r="Y3377">
        <v>5.554104E-2</v>
      </c>
      <c r="Z3377">
        <v>-2.6167589999999999E-4</v>
      </c>
      <c r="AA3377">
        <v>0.99845640000000002</v>
      </c>
      <c r="AB3377">
        <v>36</v>
      </c>
      <c r="AC3377">
        <v>121.88979999999999</v>
      </c>
      <c r="AD3377">
        <v>-1.0216609400000001</v>
      </c>
      <c r="AE3377">
        <v>-6.3647999999999998</v>
      </c>
      <c r="AF3377">
        <v>6.7985867160602798</v>
      </c>
      <c r="AG3377">
        <v>-1.0216609400000001</v>
      </c>
      <c r="AH3377">
        <v>121.857810086051</v>
      </c>
      <c r="AI3377">
        <v>90.479613120285194</v>
      </c>
      <c r="AJ3377">
        <v>86.806713325068202</v>
      </c>
      <c r="AK3377">
        <v>122.051589302968</v>
      </c>
      <c r="AL3377">
        <v>91.068903308565595</v>
      </c>
      <c r="AM3377">
        <v>85.575381144386498</v>
      </c>
      <c r="AN3377">
        <v>1.0000000017580799</v>
      </c>
    </row>
    <row r="3378" spans="1:40" x14ac:dyDescent="0.25">
      <c r="A3378" t="str">
        <f>"20190312161338476"</f>
        <v>20190312161338476</v>
      </c>
      <c r="B3378" t="str">
        <f>"1552378418468843"</f>
        <v>1552378418468843</v>
      </c>
      <c r="C3378" t="s">
        <v>40</v>
      </c>
      <c r="D3378">
        <v>5.1033910000000002</v>
      </c>
      <c r="E3378">
        <v>0.49256939999999999</v>
      </c>
      <c r="F3378" t="s">
        <v>81</v>
      </c>
      <c r="G3378">
        <v>-168.4102</v>
      </c>
      <c r="H3378">
        <v>0.38586429999999999</v>
      </c>
      <c r="I3378">
        <v>207.7852</v>
      </c>
      <c r="J3378">
        <v>-289.93490000000003</v>
      </c>
      <c r="K3378">
        <v>1.1098749999999999</v>
      </c>
      <c r="L3378">
        <v>214.33420000000001</v>
      </c>
      <c r="M3378">
        <v>0.99988509999999997</v>
      </c>
      <c r="N3378">
        <v>0</v>
      </c>
      <c r="O3378">
        <v>3.4875129999999998E-3</v>
      </c>
      <c r="P3378">
        <v>0.99670820000000004</v>
      </c>
      <c r="Q3378">
        <v>-3.3737160000000002E-2</v>
      </c>
      <c r="R3378">
        <v>-7.3723209999999997E-2</v>
      </c>
      <c r="S3378">
        <v>2.9973450000000001</v>
      </c>
      <c r="T3378">
        <v>-1.7802950000000001E-2</v>
      </c>
      <c r="U3378">
        <v>-0.16101070000000001</v>
      </c>
      <c r="V3378">
        <v>7.7194910000000005E-2</v>
      </c>
      <c r="W3378">
        <v>-1.9045360000000001E-2</v>
      </c>
      <c r="X3378">
        <v>0.99683409999999995</v>
      </c>
      <c r="Y3378">
        <v>5.7121930000000001E-2</v>
      </c>
      <c r="Z3378">
        <v>-1.9021819999999999E-4</v>
      </c>
      <c r="AA3378">
        <v>0.99836720000000001</v>
      </c>
      <c r="AB3378">
        <v>36</v>
      </c>
      <c r="AC3378">
        <v>121.5247</v>
      </c>
      <c r="AD3378">
        <v>-0.72401070000000001</v>
      </c>
      <c r="AE3378">
        <v>-6.5490000000000004</v>
      </c>
      <c r="AF3378">
        <v>6.9725784880911501</v>
      </c>
      <c r="AG3378">
        <v>-0.72401070000000001</v>
      </c>
      <c r="AH3378">
        <v>121.496818612601</v>
      </c>
      <c r="AI3378">
        <v>90.340865925148094</v>
      </c>
      <c r="AJ3378">
        <v>86.7154563725163</v>
      </c>
      <c r="AK3378">
        <v>121.698882391128</v>
      </c>
      <c r="AL3378">
        <v>91.091284725408897</v>
      </c>
      <c r="AM3378">
        <v>85.571848105120395</v>
      </c>
      <c r="AN3378">
        <v>1.00000000139512</v>
      </c>
    </row>
    <row r="3379" spans="1:40" x14ac:dyDescent="0.25">
      <c r="A3379" t="str">
        <f>"20190312161338500"</f>
        <v>20190312161338500</v>
      </c>
      <c r="B3379" t="str">
        <f>"1552378418489336"</f>
        <v>1552378418489336</v>
      </c>
      <c r="C3379" t="s">
        <v>40</v>
      </c>
      <c r="D3379">
        <v>5.1349710000000002</v>
      </c>
      <c r="E3379">
        <v>0.4929076</v>
      </c>
      <c r="F3379" t="s">
        <v>81</v>
      </c>
      <c r="G3379">
        <v>-168.4102</v>
      </c>
      <c r="H3379">
        <v>0.45993420000000002</v>
      </c>
      <c r="I3379">
        <v>207.65170000000001</v>
      </c>
      <c r="J3379">
        <v>-289.5598</v>
      </c>
      <c r="K3379">
        <v>1.1098709999999901</v>
      </c>
      <c r="L3379">
        <v>214.33539999999999</v>
      </c>
      <c r="M3379">
        <v>0.99988529999999998</v>
      </c>
      <c r="N3379">
        <v>0</v>
      </c>
      <c r="O3379">
        <v>3.4103050000000002E-3</v>
      </c>
      <c r="P3379">
        <v>0.99669830000000004</v>
      </c>
      <c r="Q3379">
        <v>-3.3545489999999997E-2</v>
      </c>
      <c r="R3379">
        <v>-7.3938729999999994E-2</v>
      </c>
      <c r="S3379">
        <v>2.9971619999999999</v>
      </c>
      <c r="T3379">
        <v>-1.602864E-2</v>
      </c>
      <c r="U3379">
        <v>-0.16481019999999999</v>
      </c>
      <c r="V3379">
        <v>7.7333620000000006E-2</v>
      </c>
      <c r="W3379">
        <v>-1.8858E-2</v>
      </c>
      <c r="X3379">
        <v>0.99682689999999996</v>
      </c>
      <c r="Y3379">
        <v>5.8310140000000003E-2</v>
      </c>
      <c r="Z3379">
        <v>-1.7402739999999999E-4</v>
      </c>
      <c r="AA3379">
        <v>0.99829849999999998</v>
      </c>
      <c r="AB3379">
        <v>36</v>
      </c>
      <c r="AC3379">
        <v>121.14960000000001</v>
      </c>
      <c r="AD3379">
        <v>-0.64993679999999898</v>
      </c>
      <c r="AE3379">
        <v>-6.6836999999999804</v>
      </c>
      <c r="AF3379">
        <v>7.0966595773043704</v>
      </c>
      <c r="AG3379">
        <v>-0.64993679999999898</v>
      </c>
      <c r="AH3379">
        <v>121.122624019486</v>
      </c>
      <c r="AI3379">
        <v>90.306916455237499</v>
      </c>
      <c r="AJ3379">
        <v>86.646833541996102</v>
      </c>
      <c r="AK3379">
        <v>121.332085799124</v>
      </c>
      <c r="AL3379">
        <v>91.080547871324598</v>
      </c>
      <c r="AM3379">
        <v>85.563891065283002</v>
      </c>
      <c r="AN3379">
        <v>0.99999999075495705</v>
      </c>
    </row>
    <row r="3380" spans="1:40" x14ac:dyDescent="0.25">
      <c r="A3380" t="str">
        <f>"20190312161338521"</f>
        <v>20190312161338521</v>
      </c>
      <c r="B3380" t="str">
        <f>"1552378418508856"</f>
        <v>1552378418508856</v>
      </c>
      <c r="C3380" t="s">
        <v>40</v>
      </c>
      <c r="D3380">
        <v>5.0681219999999998</v>
      </c>
      <c r="E3380">
        <v>0.49307699999999999</v>
      </c>
      <c r="F3380" t="s">
        <v>81</v>
      </c>
      <c r="G3380">
        <v>-168.41040000000001</v>
      </c>
      <c r="H3380">
        <v>0.66510389999999997</v>
      </c>
      <c r="I3380">
        <v>207.5247</v>
      </c>
      <c r="J3380">
        <v>-289.21080000000001</v>
      </c>
      <c r="K3380">
        <v>1.1098669999999999</v>
      </c>
      <c r="L3380">
        <v>214.3365</v>
      </c>
      <c r="M3380">
        <v>0.99988589999999999</v>
      </c>
      <c r="N3380">
        <v>0</v>
      </c>
      <c r="O3380">
        <v>3.3381610000000001E-3</v>
      </c>
      <c r="P3380">
        <v>0.99668840000000003</v>
      </c>
      <c r="Q3380">
        <v>-3.3566260000000001E-2</v>
      </c>
      <c r="R3380">
        <v>-7.4066649999999998E-2</v>
      </c>
      <c r="S3380">
        <v>2.9970699999999999</v>
      </c>
      <c r="T3380">
        <v>-1.1002059999999999E-2</v>
      </c>
      <c r="U3380">
        <v>-0.16848750000000001</v>
      </c>
      <c r="V3380">
        <v>7.7389659999999999E-2</v>
      </c>
      <c r="W3380">
        <v>-1.8882759999999998E-2</v>
      </c>
      <c r="X3380">
        <v>0.99682210000000004</v>
      </c>
      <c r="Y3380">
        <v>5.9461310000000003E-2</v>
      </c>
      <c r="Z3380">
        <v>-1.212991E-4</v>
      </c>
      <c r="AA3380">
        <v>0.99823059999999997</v>
      </c>
      <c r="AB3380">
        <v>36</v>
      </c>
      <c r="AC3380">
        <v>120.8004</v>
      </c>
      <c r="AD3380">
        <v>-0.44476309999999902</v>
      </c>
      <c r="AE3380">
        <v>-6.8117999999999999</v>
      </c>
      <c r="AF3380">
        <v>7.2149594978153502</v>
      </c>
      <c r="AG3380">
        <v>-0.44476309999999902</v>
      </c>
      <c r="AH3380">
        <v>120.775353439489</v>
      </c>
      <c r="AI3380">
        <v>90.210619002616198</v>
      </c>
      <c r="AJ3380">
        <v>86.581289023304393</v>
      </c>
      <c r="AK3380">
        <v>120.991485044211</v>
      </c>
      <c r="AL3380">
        <v>91.081966748206995</v>
      </c>
      <c r="AM3380">
        <v>85.560667982176398</v>
      </c>
      <c r="AN3380">
        <v>1.00000000857427</v>
      </c>
    </row>
    <row r="3381" spans="1:40" x14ac:dyDescent="0.25">
      <c r="A3381" t="str">
        <f>"20190312161338543"</f>
        <v>20190312161338543</v>
      </c>
      <c r="B3381" t="str">
        <f>"1552378418539112"</f>
        <v>1552378418539112</v>
      </c>
      <c r="C3381" t="s">
        <v>40</v>
      </c>
      <c r="D3381">
        <v>4.9767549999999998</v>
      </c>
      <c r="E3381">
        <v>0.49340400000000001</v>
      </c>
      <c r="F3381" t="s">
        <v>81</v>
      </c>
      <c r="G3381">
        <v>-168.41040000000001</v>
      </c>
      <c r="H3381">
        <v>0.87770269999999995</v>
      </c>
      <c r="I3381">
        <v>207.47110000000001</v>
      </c>
      <c r="J3381">
        <v>-288.86520000000002</v>
      </c>
      <c r="K3381">
        <v>1.1098680000000001</v>
      </c>
      <c r="L3381">
        <v>214.33760000000001</v>
      </c>
      <c r="M3381">
        <v>0.99988600000000005</v>
      </c>
      <c r="N3381">
        <v>0</v>
      </c>
      <c r="O3381">
        <v>3.2669690000000002E-3</v>
      </c>
      <c r="P3381">
        <v>0.99669010000000002</v>
      </c>
      <c r="Q3381">
        <v>-3.3917679999999999E-2</v>
      </c>
      <c r="R3381">
        <v>-7.3881890000000006E-2</v>
      </c>
      <c r="S3381">
        <v>2.997131</v>
      </c>
      <c r="T3381">
        <v>-5.7592390000000002E-3</v>
      </c>
      <c r="U3381">
        <v>-0.17033389999999901</v>
      </c>
      <c r="V3381">
        <v>7.7133800000000002E-2</v>
      </c>
      <c r="W3381">
        <v>-1.9237899999999999E-2</v>
      </c>
      <c r="X3381">
        <v>0.99683509999999997</v>
      </c>
      <c r="Y3381">
        <v>6.0002380000000001E-2</v>
      </c>
      <c r="Z3381" s="1">
        <v>-6.3876789999999997E-5</v>
      </c>
      <c r="AA3381">
        <v>0.99819820000000004</v>
      </c>
      <c r="AB3381">
        <v>36</v>
      </c>
      <c r="AC3381">
        <v>120.45480000000001</v>
      </c>
      <c r="AD3381">
        <v>-0.23216529999999999</v>
      </c>
      <c r="AE3381">
        <v>-6.8665000000000003</v>
      </c>
      <c r="AF3381">
        <v>7.2600013291723799</v>
      </c>
      <c r="AG3381">
        <v>-0.23216529999999999</v>
      </c>
      <c r="AH3381">
        <v>120.431276025524</v>
      </c>
      <c r="AI3381">
        <v>90.110253508190794</v>
      </c>
      <c r="AJ3381">
        <v>86.550193120262506</v>
      </c>
      <c r="AK3381">
        <v>120.650129569603</v>
      </c>
      <c r="AL3381">
        <v>91.102318512923503</v>
      </c>
      <c r="AM3381">
        <v>85.575344069309594</v>
      </c>
      <c r="AN3381">
        <v>0.99999996824542903</v>
      </c>
    </row>
    <row r="3382" spans="1:40" x14ac:dyDescent="0.25">
      <c r="A3382" t="str">
        <f>"20190312161338566"</f>
        <v>20190312161338566</v>
      </c>
      <c r="B3382" t="str">
        <f>"1552378418559611"</f>
        <v>1552378418559611</v>
      </c>
      <c r="C3382" t="s">
        <v>40</v>
      </c>
      <c r="D3382">
        <v>4.9591459999999996</v>
      </c>
      <c r="E3382">
        <v>0.46074349999999997</v>
      </c>
      <c r="F3382" t="s">
        <v>81</v>
      </c>
      <c r="G3382">
        <v>-168.41059999999999</v>
      </c>
      <c r="H3382">
        <v>1.1127320000000001</v>
      </c>
      <c r="I3382">
        <v>207.4006</v>
      </c>
      <c r="J3382">
        <v>-288.49090000000001</v>
      </c>
      <c r="K3382">
        <v>1.1098669999999999</v>
      </c>
      <c r="L3382">
        <v>214.33869999999999</v>
      </c>
      <c r="M3382">
        <v>0.99988630000000001</v>
      </c>
      <c r="N3382">
        <v>0</v>
      </c>
      <c r="O3382">
        <v>3.1897589999999999E-3</v>
      </c>
      <c r="P3382">
        <v>0.99668840000000003</v>
      </c>
      <c r="Q3382">
        <v>-3.391309E-2</v>
      </c>
      <c r="R3382">
        <v>-7.3908390000000004E-2</v>
      </c>
      <c r="S3382">
        <v>2.9971920000000001</v>
      </c>
      <c r="T3382" s="1">
        <v>7.2121619999999999E-5</v>
      </c>
      <c r="U3382">
        <v>-0.17260739999999999</v>
      </c>
      <c r="V3382">
        <v>7.7083150000000003E-2</v>
      </c>
      <c r="W3382">
        <v>-1.9237400000000002E-2</v>
      </c>
      <c r="X3382">
        <v>0.99683900000000003</v>
      </c>
      <c r="Y3382">
        <v>6.067898E-2</v>
      </c>
      <c r="Z3382" s="1">
        <v>8.0615849999999897E-7</v>
      </c>
      <c r="AA3382">
        <v>0.99815730000000003</v>
      </c>
      <c r="AB3382">
        <v>36</v>
      </c>
      <c r="AC3382">
        <v>120.08029999999999</v>
      </c>
      <c r="AD3382">
        <v>2.8650000000001101E-3</v>
      </c>
      <c r="AE3382">
        <v>-6.9380999999999897</v>
      </c>
      <c r="AF3382">
        <v>7.3211335155995396</v>
      </c>
      <c r="AG3382">
        <v>2.8650000000001101E-3</v>
      </c>
      <c r="AH3382">
        <v>120.057555644492</v>
      </c>
      <c r="AI3382">
        <v>89.998635254160604</v>
      </c>
      <c r="AJ3382">
        <v>86.510413180588799</v>
      </c>
      <c r="AK3382">
        <v>120.28057063171801</v>
      </c>
      <c r="AL3382">
        <v>91.102289890045398</v>
      </c>
      <c r="AM3382">
        <v>85.578255229373198</v>
      </c>
      <c r="AN3382">
        <v>0.99999994074683896</v>
      </c>
    </row>
    <row r="3383" spans="1:40" x14ac:dyDescent="0.25">
      <c r="A3383" t="str">
        <f>"20190312161338587"</f>
        <v>20190312161338587</v>
      </c>
      <c r="B3383" t="str">
        <f>"1552378418579129"</f>
        <v>1552378418579129</v>
      </c>
      <c r="C3383" t="s">
        <v>40</v>
      </c>
      <c r="D3383">
        <v>4.8941689999999998</v>
      </c>
      <c r="E3383">
        <v>0.44666549999999999</v>
      </c>
      <c r="F3383" t="s">
        <v>59</v>
      </c>
      <c r="G3383">
        <v>-124.6118</v>
      </c>
      <c r="H3383">
        <v>5.7945949999999904</v>
      </c>
      <c r="I3383">
        <v>218.9074</v>
      </c>
      <c r="J3383">
        <v>-288.14819999999997</v>
      </c>
      <c r="K3383">
        <v>1.1098730000000001</v>
      </c>
      <c r="L3383">
        <v>214.33969999999999</v>
      </c>
      <c r="M3383">
        <v>0.99988650000000001</v>
      </c>
      <c r="N3383">
        <v>0</v>
      </c>
      <c r="O3383">
        <v>3.1192809999999998E-3</v>
      </c>
      <c r="P3383">
        <v>0.99666180000000004</v>
      </c>
      <c r="Q3383">
        <v>-3.3528629999999997E-2</v>
      </c>
      <c r="R3383">
        <v>-7.4439160000000004E-2</v>
      </c>
      <c r="S3383">
        <v>3.019104</v>
      </c>
      <c r="T3383">
        <v>8.6306569999999999E-2</v>
      </c>
      <c r="U3383">
        <v>8.4167480000000003E-2</v>
      </c>
      <c r="V3383">
        <v>7.7543890000000004E-2</v>
      </c>
      <c r="W3383">
        <v>-1.8857180000000001E-2</v>
      </c>
      <c r="X3383">
        <v>0.99681059999999999</v>
      </c>
      <c r="Y3383">
        <v>-2.4740100000000001E-2</v>
      </c>
      <c r="Z3383">
        <v>-2.6433609999999998E-4</v>
      </c>
      <c r="AA3383">
        <v>0.99969390000000002</v>
      </c>
      <c r="AB3383">
        <v>36</v>
      </c>
      <c r="AC3383">
        <v>163.53639999999899</v>
      </c>
      <c r="AD3383">
        <v>4.6847219999999901</v>
      </c>
      <c r="AE3383">
        <v>4.5677000000000003</v>
      </c>
      <c r="AF3383">
        <v>-4.0541820418388497</v>
      </c>
      <c r="AG3383">
        <v>4.6847219999999901</v>
      </c>
      <c r="AH3383">
        <v>163.415856953359</v>
      </c>
      <c r="AI3383">
        <v>88.358428532118296</v>
      </c>
      <c r="AJ3383">
        <v>91.421158789194095</v>
      </c>
      <c r="AK3383">
        <v>163.53325446540299</v>
      </c>
      <c r="AL3383">
        <v>91.080500859423594</v>
      </c>
      <c r="AM3383">
        <v>85.551805188483399</v>
      </c>
      <c r="AN3383">
        <v>1.0000000101931199</v>
      </c>
    </row>
    <row r="3384" spans="1:40" x14ac:dyDescent="0.25">
      <c r="A3384" t="str">
        <f>"20190312161338610"</f>
        <v>20190312161338610</v>
      </c>
      <c r="B3384" t="str">
        <f>"1552378418599624"</f>
        <v>1552378418599624</v>
      </c>
      <c r="C3384" t="s">
        <v>40</v>
      </c>
      <c r="D3384">
        <v>4.801221</v>
      </c>
      <c r="E3384">
        <v>0.44202239999999998</v>
      </c>
      <c r="F3384" t="s">
        <v>59</v>
      </c>
      <c r="G3384">
        <v>-168.35059999999999</v>
      </c>
      <c r="H3384">
        <v>4.8558440000000003</v>
      </c>
      <c r="I3384">
        <v>222.02539999999999</v>
      </c>
      <c r="J3384">
        <v>-287.79950000000002</v>
      </c>
      <c r="K3384">
        <v>1.1098779999999999</v>
      </c>
      <c r="L3384">
        <v>214.3407</v>
      </c>
      <c r="M3384">
        <v>0.99988690000000002</v>
      </c>
      <c r="N3384">
        <v>0</v>
      </c>
      <c r="O3384">
        <v>3.047255E-3</v>
      </c>
      <c r="P3384">
        <v>0.99661639999999996</v>
      </c>
      <c r="Q3384">
        <v>-3.3639549999999997E-2</v>
      </c>
      <c r="R3384">
        <v>-7.4996409999999999E-2</v>
      </c>
      <c r="S3384">
        <v>3.0277099999999999</v>
      </c>
      <c r="T3384">
        <v>9.4675300000000004E-2</v>
      </c>
      <c r="U3384">
        <v>0.19424440000000001</v>
      </c>
      <c r="V3384">
        <v>7.8029100000000004E-2</v>
      </c>
      <c r="W3384">
        <v>-1.8972639999999999E-2</v>
      </c>
      <c r="X3384">
        <v>0.99677059999999995</v>
      </c>
      <c r="Y3384">
        <v>-6.0954099999999997E-2</v>
      </c>
      <c r="Z3384">
        <v>-8.566216E-4</v>
      </c>
      <c r="AA3384">
        <v>0.99814020000000003</v>
      </c>
      <c r="AB3384">
        <v>36</v>
      </c>
      <c r="AC3384">
        <v>119.44889999999999</v>
      </c>
      <c r="AD3384">
        <v>3.7459660000000001</v>
      </c>
      <c r="AE3384">
        <v>7.6846999999999897</v>
      </c>
      <c r="AF3384">
        <v>-7.3134706048692504</v>
      </c>
      <c r="AG3384">
        <v>3.7459660000000001</v>
      </c>
      <c r="AH3384">
        <v>119.35486637408199</v>
      </c>
      <c r="AI3384">
        <v>88.205718623776306</v>
      </c>
      <c r="AJ3384">
        <v>93.5064154083651</v>
      </c>
      <c r="AK3384">
        <v>119.63738228804699</v>
      </c>
      <c r="AL3384">
        <v>91.087117353901107</v>
      </c>
      <c r="AM3384">
        <v>85.523905671861897</v>
      </c>
      <c r="AN3384">
        <v>1.00000006526986</v>
      </c>
    </row>
    <row r="3385" spans="1:40" x14ac:dyDescent="0.25">
      <c r="A3385" t="str">
        <f>"20190312161338632"</f>
        <v>20190312161338632</v>
      </c>
      <c r="B3385" t="str">
        <f>"1552378418628904"</f>
        <v>1552378418628904</v>
      </c>
      <c r="C3385" t="s">
        <v>40</v>
      </c>
      <c r="D3385">
        <v>4.75244</v>
      </c>
      <c r="E3385">
        <v>0.43947740000000002</v>
      </c>
      <c r="F3385" t="s">
        <v>59</v>
      </c>
      <c r="G3385">
        <v>-168.35059999999999</v>
      </c>
      <c r="H3385">
        <v>4.6965180000000002</v>
      </c>
      <c r="I3385">
        <v>223.39400000000001</v>
      </c>
      <c r="J3385">
        <v>-287.4359</v>
      </c>
      <c r="K3385">
        <v>1.10988</v>
      </c>
      <c r="L3385">
        <v>214.34180000000001</v>
      </c>
      <c r="M3385">
        <v>0.99988710000000003</v>
      </c>
      <c r="N3385">
        <v>0</v>
      </c>
      <c r="O3385">
        <v>2.972428E-3</v>
      </c>
      <c r="P3385">
        <v>0.9966178</v>
      </c>
      <c r="Q3385">
        <v>-3.3670110000000003E-2</v>
      </c>
      <c r="R3385">
        <v>-7.4962940000000006E-2</v>
      </c>
      <c r="S3385">
        <v>3.030548</v>
      </c>
      <c r="T3385">
        <v>9.0998289999999996E-2</v>
      </c>
      <c r="U3385">
        <v>0.22969059999999999</v>
      </c>
      <c r="V3385">
        <v>7.792106E-2</v>
      </c>
      <c r="W3385">
        <v>-1.9007050000000001E-2</v>
      </c>
      <c r="X3385">
        <v>0.99677830000000001</v>
      </c>
      <c r="Y3385">
        <v>-7.257922E-2</v>
      </c>
      <c r="Z3385">
        <v>-9.9875149999999993E-4</v>
      </c>
      <c r="AA3385">
        <v>0.99736210000000003</v>
      </c>
      <c r="AB3385">
        <v>36</v>
      </c>
      <c r="AC3385">
        <v>119.0853</v>
      </c>
      <c r="AD3385">
        <v>3.58663799999999</v>
      </c>
      <c r="AE3385">
        <v>9.0521999999999991</v>
      </c>
      <c r="AF3385">
        <v>-8.6903113588387892</v>
      </c>
      <c r="AG3385">
        <v>3.58663799999999</v>
      </c>
      <c r="AH3385">
        <v>119.00435416078599</v>
      </c>
      <c r="AI3385">
        <v>88.278283346752403</v>
      </c>
      <c r="AJ3385">
        <v>94.176619501835006</v>
      </c>
      <c r="AK3385">
        <v>119.37513054603301</v>
      </c>
      <c r="AL3385">
        <v>91.089089361499006</v>
      </c>
      <c r="AM3385">
        <v>85.530112579913506</v>
      </c>
      <c r="AN3385">
        <v>0.99999996944605696</v>
      </c>
    </row>
    <row r="3386" spans="1:40" x14ac:dyDescent="0.25">
      <c r="A3386" t="str">
        <f>"20190312161338655"</f>
        <v>20190312161338655</v>
      </c>
      <c r="B3386" t="str">
        <f>"1552378418649400"</f>
        <v>1552378418649400</v>
      </c>
      <c r="C3386" t="s">
        <v>40</v>
      </c>
      <c r="D3386">
        <v>4.7729330000000001</v>
      </c>
      <c r="E3386">
        <v>0.43874570000000002</v>
      </c>
      <c r="F3386" t="s">
        <v>59</v>
      </c>
      <c r="G3386">
        <v>-168.35059999999999</v>
      </c>
      <c r="H3386">
        <v>4.5982539999999998</v>
      </c>
      <c r="I3386">
        <v>224.17580000000001</v>
      </c>
      <c r="J3386">
        <v>-287.07729999999998</v>
      </c>
      <c r="K3386">
        <v>1.109872</v>
      </c>
      <c r="L3386">
        <v>214.34280000000001</v>
      </c>
      <c r="M3386">
        <v>0.99988750000000004</v>
      </c>
      <c r="N3386">
        <v>0</v>
      </c>
      <c r="O3386">
        <v>2.8987309999999999E-3</v>
      </c>
      <c r="P3386">
        <v>0.99664719999999996</v>
      </c>
      <c r="Q3386">
        <v>-3.3892440000000003E-2</v>
      </c>
      <c r="R3386">
        <v>-7.4472129999999997E-2</v>
      </c>
      <c r="S3386">
        <v>3.0320130000000001</v>
      </c>
      <c r="T3386">
        <v>8.8818309999999998E-2</v>
      </c>
      <c r="U3386">
        <v>0.25038149999999998</v>
      </c>
      <c r="V3386">
        <v>7.7356850000000005E-2</v>
      </c>
      <c r="W3386">
        <v>-1.9232639999999999E-2</v>
      </c>
      <c r="X3386">
        <v>0.99681790000000003</v>
      </c>
      <c r="Y3386">
        <v>-7.9377020000000006E-2</v>
      </c>
      <c r="Z3386">
        <v>-1.0756349999999999E-3</v>
      </c>
      <c r="AA3386">
        <v>0.99684410000000001</v>
      </c>
      <c r="AB3386">
        <v>36</v>
      </c>
      <c r="AC3386">
        <v>118.72669999999999</v>
      </c>
      <c r="AD3386">
        <v>3.4883820000000001</v>
      </c>
      <c r="AE3386">
        <v>9.8329999999999895</v>
      </c>
      <c r="AF3386">
        <v>-9.4806359585462907</v>
      </c>
      <c r="AG3386">
        <v>3.4883820000000001</v>
      </c>
      <c r="AH3386">
        <v>118.652974554171</v>
      </c>
      <c r="AI3386">
        <v>88.321343598758702</v>
      </c>
      <c r="AJ3386">
        <v>94.5683544059669</v>
      </c>
      <c r="AK3386">
        <v>119.082238968325</v>
      </c>
      <c r="AL3386">
        <v>91.102017100106906</v>
      </c>
      <c r="AM3386">
        <v>85.562523933630999</v>
      </c>
      <c r="AN3386">
        <v>0.99999995122184904</v>
      </c>
    </row>
    <row r="3387" spans="1:40" x14ac:dyDescent="0.25">
      <c r="A3387" t="str">
        <f>"20190312161338677"</f>
        <v>20190312161338677</v>
      </c>
      <c r="B3387" t="str">
        <f>"1552378418668923"</f>
        <v>1552378418668923</v>
      </c>
      <c r="C3387" t="s">
        <v>40</v>
      </c>
      <c r="D3387">
        <v>4.6714760000000002</v>
      </c>
      <c r="E3387">
        <v>0.43838240000000001</v>
      </c>
      <c r="F3387" t="s">
        <v>59</v>
      </c>
      <c r="G3387">
        <v>-168.35059999999999</v>
      </c>
      <c r="H3387">
        <v>4.6355259999999996</v>
      </c>
      <c r="I3387">
        <v>224.42949999999999</v>
      </c>
      <c r="J3387">
        <v>-286.72239999999999</v>
      </c>
      <c r="K3387">
        <v>1.109872</v>
      </c>
      <c r="L3387">
        <v>214.34370000000001</v>
      </c>
      <c r="M3387">
        <v>0.99988759999999999</v>
      </c>
      <c r="N3387">
        <v>0</v>
      </c>
      <c r="O3387">
        <v>2.825513E-3</v>
      </c>
      <c r="P3387">
        <v>0.99661109999999997</v>
      </c>
      <c r="Q3387">
        <v>-3.4601090000000001E-2</v>
      </c>
      <c r="R3387">
        <v>-7.4626529999999996E-2</v>
      </c>
      <c r="S3387">
        <v>3.0324399999999998</v>
      </c>
      <c r="T3387">
        <v>9.0051290000000006E-2</v>
      </c>
      <c r="U3387">
        <v>0.25762940000000001</v>
      </c>
      <c r="V3387">
        <v>7.7438140000000003E-2</v>
      </c>
      <c r="W3387">
        <v>-1.9945569999999999E-2</v>
      </c>
      <c r="X3387">
        <v>0.99679759999999995</v>
      </c>
      <c r="Y3387">
        <v>-8.1802260000000002E-2</v>
      </c>
      <c r="Z3387">
        <v>-1.128406E-3</v>
      </c>
      <c r="AA3387">
        <v>0.99664799999999998</v>
      </c>
      <c r="AB3387">
        <v>36</v>
      </c>
      <c r="AC3387">
        <v>118.37179999999999</v>
      </c>
      <c r="AD3387">
        <v>3.5256539999999998</v>
      </c>
      <c r="AE3387">
        <v>10.0857999999999</v>
      </c>
      <c r="AF3387">
        <v>-9.7426817650271094</v>
      </c>
      <c r="AG3387">
        <v>3.5256539999999998</v>
      </c>
      <c r="AH3387">
        <v>118.29564185152201</v>
      </c>
      <c r="AI3387">
        <v>88.298633123522706</v>
      </c>
      <c r="AJ3387">
        <v>94.708183098325804</v>
      </c>
      <c r="AK3387">
        <v>118.748511422947</v>
      </c>
      <c r="AL3387">
        <v>91.142872797384896</v>
      </c>
      <c r="AM3387">
        <v>85.557789388727599</v>
      </c>
      <c r="AN3387">
        <v>0.999999973327521</v>
      </c>
    </row>
    <row r="3388" spans="1:40" x14ac:dyDescent="0.25">
      <c r="A3388" t="str">
        <f>"20190312161338700"</f>
        <v>20190312161338700</v>
      </c>
      <c r="B3388" t="str">
        <f>"1552378418689416"</f>
        <v>1552378418689416</v>
      </c>
      <c r="C3388" t="s">
        <v>40</v>
      </c>
      <c r="D3388">
        <v>4.6294380000000004</v>
      </c>
      <c r="E3388">
        <v>0.43794949999999999</v>
      </c>
      <c r="F3388" t="s">
        <v>59</v>
      </c>
      <c r="G3388">
        <v>-168.35059999999999</v>
      </c>
      <c r="H3388">
        <v>4.8251540000000004</v>
      </c>
      <c r="I3388">
        <v>224.46190000000001</v>
      </c>
      <c r="J3388">
        <v>-286.36810000000003</v>
      </c>
      <c r="K3388">
        <v>1.1098790000000001</v>
      </c>
      <c r="L3388">
        <v>214.34469999999999</v>
      </c>
      <c r="M3388">
        <v>0.999888</v>
      </c>
      <c r="N3388">
        <v>0</v>
      </c>
      <c r="O3388">
        <v>2.7523560000000001E-3</v>
      </c>
      <c r="P3388">
        <v>0.99660320000000002</v>
      </c>
      <c r="Q3388">
        <v>-3.4469850000000003E-2</v>
      </c>
      <c r="R3388">
        <v>-7.4792999999999998E-2</v>
      </c>
      <c r="S3388">
        <v>3.0328979999999999</v>
      </c>
      <c r="T3388">
        <v>9.5193509999999995E-2</v>
      </c>
      <c r="U3388">
        <v>0.2592468</v>
      </c>
      <c r="V3388">
        <v>7.7531699999999995E-2</v>
      </c>
      <c r="W3388">
        <v>-1.9818229999999999E-2</v>
      </c>
      <c r="X3388">
        <v>0.99679289999999998</v>
      </c>
      <c r="Y3388">
        <v>-8.2385780000000006E-2</v>
      </c>
      <c r="Z3388">
        <v>-1.204035E-3</v>
      </c>
      <c r="AA3388">
        <v>0.99659980000000004</v>
      </c>
      <c r="AB3388">
        <v>36</v>
      </c>
      <c r="AC3388">
        <v>118.0175</v>
      </c>
      <c r="AD3388">
        <v>3.7152750000000001</v>
      </c>
      <c r="AE3388">
        <v>10.1172</v>
      </c>
      <c r="AF3388">
        <v>-9.7826760938473107</v>
      </c>
      <c r="AG3388">
        <v>3.7152750000000001</v>
      </c>
      <c r="AH3388">
        <v>117.928882974838</v>
      </c>
      <c r="AI3388">
        <v>88.201702171024095</v>
      </c>
      <c r="AJ3388">
        <v>94.742058412136203</v>
      </c>
      <c r="AK3388">
        <v>118.392252531894</v>
      </c>
      <c r="AL3388">
        <v>91.135575272927099</v>
      </c>
      <c r="AM3388">
        <v>85.552422987606107</v>
      </c>
      <c r="AN3388">
        <v>1.00000000611781</v>
      </c>
    </row>
    <row r="3389" spans="1:40" x14ac:dyDescent="0.25">
      <c r="A3389" t="str">
        <f>"20190312161338723"</f>
        <v>20190312161338723</v>
      </c>
      <c r="B3389" t="str">
        <f>"1552378418719672"</f>
        <v>1552378418719672</v>
      </c>
      <c r="C3389" t="s">
        <v>40</v>
      </c>
      <c r="D3389">
        <v>4.6014030000000004</v>
      </c>
      <c r="E3389">
        <v>0.43744909999999998</v>
      </c>
      <c r="F3389" t="s">
        <v>59</v>
      </c>
      <c r="G3389">
        <v>-168.35059999999999</v>
      </c>
      <c r="H3389">
        <v>4.8721809999999897</v>
      </c>
      <c r="I3389">
        <v>224.54249999999999</v>
      </c>
      <c r="J3389">
        <v>-286.01260000000002</v>
      </c>
      <c r="K3389">
        <v>1.109874</v>
      </c>
      <c r="L3389">
        <v>214.34559999999999</v>
      </c>
      <c r="M3389">
        <v>0.99988809999999995</v>
      </c>
      <c r="N3389">
        <v>0</v>
      </c>
      <c r="O3389">
        <v>2.6787820000000002E-3</v>
      </c>
      <c r="P3389">
        <v>0.99660130000000002</v>
      </c>
      <c r="Q3389">
        <v>-3.4222309999999999E-2</v>
      </c>
      <c r="R3389">
        <v>-7.4927709999999995E-2</v>
      </c>
      <c r="S3389">
        <v>3.0332340000000002</v>
      </c>
      <c r="T3389">
        <v>9.6698400000000004E-2</v>
      </c>
      <c r="U3389">
        <v>0.26210020000000001</v>
      </c>
      <c r="V3389">
        <v>7.7593159999999994E-2</v>
      </c>
      <c r="W3389">
        <v>-1.957451E-2</v>
      </c>
      <c r="X3389">
        <v>0.99679289999999998</v>
      </c>
      <c r="Y3389">
        <v>-8.3378579999999994E-2</v>
      </c>
      <c r="Z3389">
        <v>-1.241008E-3</v>
      </c>
      <c r="AA3389">
        <v>0.99651719999999999</v>
      </c>
      <c r="AB3389">
        <v>35</v>
      </c>
      <c r="AC3389">
        <v>117.66200000000001</v>
      </c>
      <c r="AD3389">
        <v>3.7623069999999998</v>
      </c>
      <c r="AE3389">
        <v>10.196899999999999</v>
      </c>
      <c r="AF3389">
        <v>-9.8716205568577298</v>
      </c>
      <c r="AG3389">
        <v>3.7623069999999998</v>
      </c>
      <c r="AH3389">
        <v>117.56958471036999</v>
      </c>
      <c r="AI3389">
        <v>88.173543948053194</v>
      </c>
      <c r="AJ3389">
        <v>94.799528993102399</v>
      </c>
      <c r="AK3389">
        <v>118.04325942361</v>
      </c>
      <c r="AL3389">
        <v>91.121608473616405</v>
      </c>
      <c r="AM3389">
        <v>85.548911520082697</v>
      </c>
      <c r="AN3389">
        <v>0.99999997270546703</v>
      </c>
    </row>
    <row r="3390" spans="1:40" x14ac:dyDescent="0.25">
      <c r="A3390" t="str">
        <f>"20190312161338833"</f>
        <v>20190312161338833</v>
      </c>
      <c r="B3390" t="str">
        <f>"1552378418828984"</f>
        <v>1552378418828984</v>
      </c>
      <c r="C3390" t="s">
        <v>40</v>
      </c>
      <c r="D3390">
        <v>4.7119619999999998</v>
      </c>
      <c r="E3390">
        <v>0.49409520000000001</v>
      </c>
      <c r="F3390" t="s">
        <v>59</v>
      </c>
      <c r="G3390">
        <v>-157.25</v>
      </c>
      <c r="H3390">
        <v>5.3148309999999999</v>
      </c>
      <c r="I3390">
        <v>225.63159999999999</v>
      </c>
      <c r="J3390">
        <v>-284.25850000000003</v>
      </c>
      <c r="K3390">
        <v>1.1098809999999999</v>
      </c>
      <c r="L3390">
        <v>214.34960000000001</v>
      </c>
      <c r="M3390">
        <v>0.99988940000000004</v>
      </c>
      <c r="N3390">
        <v>0</v>
      </c>
      <c r="O3390">
        <v>2.315788E-3</v>
      </c>
      <c r="P3390">
        <v>0.99649259999999995</v>
      </c>
      <c r="Q3390">
        <v>-3.5132169999999997E-2</v>
      </c>
      <c r="R3390">
        <v>-7.5950429999999999E-2</v>
      </c>
      <c r="S3390">
        <v>3.0336609999999999</v>
      </c>
      <c r="T3390">
        <v>9.9070549999999993E-2</v>
      </c>
      <c r="U3390">
        <v>0.26589970000000002</v>
      </c>
      <c r="V3390">
        <v>7.8253630000000005E-2</v>
      </c>
      <c r="W3390">
        <v>-2.0504540000000002E-2</v>
      </c>
      <c r="X3390">
        <v>0.99672260000000001</v>
      </c>
      <c r="Y3390">
        <v>-8.4963869999999997E-2</v>
      </c>
      <c r="Z3390">
        <v>-1.3088469999999999E-3</v>
      </c>
      <c r="AA3390">
        <v>0.99638320000000002</v>
      </c>
      <c r="AB3390">
        <v>35</v>
      </c>
      <c r="AC3390">
        <v>127.0085</v>
      </c>
      <c r="AD3390">
        <v>4.2049500000000002</v>
      </c>
      <c r="AE3390">
        <v>11.281999999999901</v>
      </c>
      <c r="AF3390">
        <v>-10.975876600525</v>
      </c>
      <c r="AG3390">
        <v>4.2049500000000002</v>
      </c>
      <c r="AH3390">
        <v>126.896284912449</v>
      </c>
      <c r="AI3390">
        <v>88.109144478993997</v>
      </c>
      <c r="AJ3390">
        <v>94.9434870140378</v>
      </c>
      <c r="AK3390">
        <v>127.43947032310599</v>
      </c>
      <c r="AL3390">
        <v>91.174905936719895</v>
      </c>
      <c r="AM3390">
        <v>85.510862911585505</v>
      </c>
      <c r="AN3390">
        <v>1.0000000040597701</v>
      </c>
    </row>
    <row r="3391" spans="1:40" x14ac:dyDescent="0.25">
      <c r="A3391" t="str">
        <f>"20190312161338856"</f>
        <v>20190312161338856</v>
      </c>
      <c r="B3391" t="str">
        <f>"1552378418849480"</f>
        <v>1552378418849480</v>
      </c>
      <c r="C3391" t="s">
        <v>40</v>
      </c>
      <c r="D3391">
        <v>4.9493229999999997</v>
      </c>
      <c r="E3391">
        <v>0.49161110000000002</v>
      </c>
      <c r="F3391" t="s">
        <v>43</v>
      </c>
      <c r="G3391">
        <v>-283.38810000000001</v>
      </c>
      <c r="H3391">
        <v>0.85794479999999995</v>
      </c>
      <c r="I3391">
        <v>214.304</v>
      </c>
      <c r="J3391">
        <v>-283.9008</v>
      </c>
      <c r="K3391">
        <v>1.109882</v>
      </c>
      <c r="L3391">
        <v>214.35040000000001</v>
      </c>
      <c r="M3391">
        <v>0.99988960000000005</v>
      </c>
      <c r="N3391">
        <v>0</v>
      </c>
      <c r="O3391">
        <v>2.2415579999999998E-3</v>
      </c>
      <c r="P3391">
        <v>0.99650470000000002</v>
      </c>
      <c r="Q3391">
        <v>-3.4953270000000002E-2</v>
      </c>
      <c r="R3391">
        <v>-7.5873189999999993E-2</v>
      </c>
      <c r="S3391">
        <v>2.968445</v>
      </c>
      <c r="T3391">
        <v>-0.85922880000000001</v>
      </c>
      <c r="U3391">
        <v>-0.1549683</v>
      </c>
      <c r="V3391">
        <v>7.8102560000000001E-2</v>
      </c>
      <c r="W3391">
        <v>-2.032927E-2</v>
      </c>
      <c r="X3391">
        <v>0.99673800000000001</v>
      </c>
      <c r="Y3391">
        <v>5.2146129999999999E-2</v>
      </c>
      <c r="Z3391">
        <v>-8.0258880000000001E-3</v>
      </c>
      <c r="AA3391">
        <v>0.99860720000000003</v>
      </c>
      <c r="AB3391">
        <v>35</v>
      </c>
      <c r="AC3391">
        <v>0.51269999999999505</v>
      </c>
      <c r="AD3391">
        <v>-0.25193719999999997</v>
      </c>
      <c r="AE3391">
        <v>-4.6400000000005499E-2</v>
      </c>
      <c r="AF3391">
        <v>3.8361472988347703E-2</v>
      </c>
      <c r="AG3391">
        <v>-0.25193719999999997</v>
      </c>
      <c r="AH3391">
        <v>0.41354775738421501</v>
      </c>
      <c r="AI3391">
        <v>121.241217398797</v>
      </c>
      <c r="AJ3391">
        <v>84.700301179019206</v>
      </c>
      <c r="AK3391">
        <v>0.48576301113937198</v>
      </c>
      <c r="AL3391">
        <v>91.164861657422094</v>
      </c>
      <c r="AM3391">
        <v>85.519562891331802</v>
      </c>
      <c r="AN3391">
        <v>0.99999996487064202</v>
      </c>
    </row>
    <row r="3392" spans="1:40" x14ac:dyDescent="0.25">
      <c r="A3392" t="str">
        <f>"20190312161338877"</f>
        <v>20190312161338877</v>
      </c>
      <c r="B3392" t="str">
        <f>"1552378418869976"</f>
        <v>1552378418869976</v>
      </c>
      <c r="C3392" t="s">
        <v>40</v>
      </c>
      <c r="D3392">
        <v>4.5113649999999996</v>
      </c>
      <c r="E3392">
        <v>0.48394409999999999</v>
      </c>
      <c r="F3392" t="s">
        <v>43</v>
      </c>
      <c r="G3392">
        <v>-283.05560000000003</v>
      </c>
      <c r="H3392">
        <v>0.90070019999999995</v>
      </c>
      <c r="I3392">
        <v>214.31059999999999</v>
      </c>
      <c r="J3392">
        <v>-283.55959999999999</v>
      </c>
      <c r="K3392">
        <v>1.109885</v>
      </c>
      <c r="L3392">
        <v>214.3511</v>
      </c>
      <c r="M3392">
        <v>0.99988969999999999</v>
      </c>
      <c r="N3392">
        <v>0</v>
      </c>
      <c r="O3392">
        <v>2.1709020000000002E-3</v>
      </c>
      <c r="P3392">
        <v>0.99650780000000005</v>
      </c>
      <c r="Q3392">
        <v>-3.4840459999999997E-2</v>
      </c>
      <c r="R3392">
        <v>-7.5883539999999999E-2</v>
      </c>
      <c r="S3392">
        <v>2.974091</v>
      </c>
      <c r="T3392">
        <v>-0.73613450000000002</v>
      </c>
      <c r="U3392">
        <v>-0.13945009999999999</v>
      </c>
      <c r="V3392">
        <v>7.8042529999999999E-2</v>
      </c>
      <c r="W3392">
        <v>-2.0220080000000001E-2</v>
      </c>
      <c r="X3392">
        <v>0.99674490000000004</v>
      </c>
      <c r="Y3392">
        <v>4.7509500000000003E-2</v>
      </c>
      <c r="Z3392">
        <v>-6.3183700000000002E-3</v>
      </c>
      <c r="AA3392">
        <v>0.99885080000000004</v>
      </c>
      <c r="AB3392">
        <v>35</v>
      </c>
      <c r="AC3392">
        <v>0.50399999999996203</v>
      </c>
      <c r="AD3392">
        <v>-0.209184799999999</v>
      </c>
      <c r="AE3392">
        <v>-4.0500000000008599E-2</v>
      </c>
      <c r="AF3392">
        <v>3.5515331370205502E-2</v>
      </c>
      <c r="AG3392">
        <v>-0.209184799999999</v>
      </c>
      <c r="AH3392">
        <v>0.43026624645297801</v>
      </c>
      <c r="AI3392">
        <v>115.85146142081101</v>
      </c>
      <c r="AJ3392">
        <v>85.281349620842803</v>
      </c>
      <c r="AK3392">
        <v>0.479738118300089</v>
      </c>
      <c r="AL3392">
        <v>91.158604271425702</v>
      </c>
      <c r="AM3392">
        <v>85.523023437409293</v>
      </c>
      <c r="AN3392">
        <v>0.99999994190000696</v>
      </c>
    </row>
    <row r="3393" spans="1:40" x14ac:dyDescent="0.25">
      <c r="A3393" t="str">
        <f>"20190312161338901"</f>
        <v>20190312161338901</v>
      </c>
      <c r="B3393" t="str">
        <f>"1552378418889496"</f>
        <v>1552378418889496</v>
      </c>
      <c r="C3393" t="s">
        <v>40</v>
      </c>
      <c r="D3393">
        <v>4.4652089999999998</v>
      </c>
      <c r="E3393">
        <v>0.48398750000000001</v>
      </c>
      <c r="F3393" t="s">
        <v>69</v>
      </c>
      <c r="G3393">
        <v>-247.69909999999999</v>
      </c>
      <c r="H3393" s="1">
        <v>2.6242819999999999E-6</v>
      </c>
      <c r="I3393">
        <v>213.15260000000001</v>
      </c>
      <c r="J3393">
        <v>-283.2081</v>
      </c>
      <c r="K3393">
        <v>1.109888</v>
      </c>
      <c r="L3393">
        <v>214.3518</v>
      </c>
      <c r="M3393">
        <v>0.99988999999999995</v>
      </c>
      <c r="N3393">
        <v>0</v>
      </c>
      <c r="O3393">
        <v>2.098159E-3</v>
      </c>
      <c r="P3393">
        <v>0.99654370000000003</v>
      </c>
      <c r="Q3393">
        <v>-3.4705449999999999E-2</v>
      </c>
      <c r="R3393">
        <v>-7.5473689999999996E-2</v>
      </c>
      <c r="S3393">
        <v>2.9996339999999999</v>
      </c>
      <c r="T3393">
        <v>-9.2838760000000006E-2</v>
      </c>
      <c r="U3393">
        <v>-0.1002502</v>
      </c>
      <c r="V3393">
        <v>7.7560299999999999E-2</v>
      </c>
      <c r="W3393">
        <v>-2.0088229999999999E-2</v>
      </c>
      <c r="X3393">
        <v>0.99678529999999999</v>
      </c>
      <c r="Y3393">
        <v>3.5481350000000002E-2</v>
      </c>
      <c r="Z3393">
        <v>-6.1370190000000001E-4</v>
      </c>
      <c r="AA3393">
        <v>0.99937019999999999</v>
      </c>
      <c r="AB3393">
        <v>35</v>
      </c>
      <c r="AC3393">
        <v>35.509</v>
      </c>
      <c r="AD3393">
        <v>-1.1098853757179901</v>
      </c>
      <c r="AE3393">
        <v>-1.1991999999999901</v>
      </c>
      <c r="AF3393">
        <v>1.27246717928854</v>
      </c>
      <c r="AG3393">
        <v>-1.1098853757179901</v>
      </c>
      <c r="AH3393">
        <v>35.4717901921587</v>
      </c>
      <c r="AI3393">
        <v>91.791005475716901</v>
      </c>
      <c r="AJ3393">
        <v>87.945529411294999</v>
      </c>
      <c r="AK3393">
        <v>35.511954574567199</v>
      </c>
      <c r="AL3393">
        <v>91.151048179721599</v>
      </c>
      <c r="AM3393">
        <v>85.550755158662497</v>
      </c>
      <c r="AN3393">
        <v>1.0000000357083501</v>
      </c>
    </row>
    <row r="3394" spans="1:40" x14ac:dyDescent="0.25">
      <c r="A3394" t="str">
        <f>"20190312161338924"</f>
        <v>20190312161338924</v>
      </c>
      <c r="B3394" t="str">
        <f>"1552378418919752"</f>
        <v>1552378418919752</v>
      </c>
      <c r="C3394" t="s">
        <v>40</v>
      </c>
      <c r="D3394">
        <v>4.4652089999999998</v>
      </c>
      <c r="E3394">
        <v>0.48216320000000001</v>
      </c>
      <c r="F3394" t="s">
        <v>69</v>
      </c>
      <c r="G3394">
        <v>-248.2097</v>
      </c>
      <c r="H3394" s="1">
        <v>2.8943049999999999E-6</v>
      </c>
      <c r="I3394">
        <v>213.1917</v>
      </c>
      <c r="J3394">
        <v>-282.85079999999999</v>
      </c>
      <c r="K3394">
        <v>1.1098870000000001</v>
      </c>
      <c r="L3394">
        <v>214.35249999999999</v>
      </c>
      <c r="M3394">
        <v>0.99989030000000001</v>
      </c>
      <c r="N3394">
        <v>0</v>
      </c>
      <c r="O3394">
        <v>2.0242849999999998E-3</v>
      </c>
      <c r="P3394">
        <v>0.99656120000000004</v>
      </c>
      <c r="Q3394">
        <v>-3.464627E-2</v>
      </c>
      <c r="R3394">
        <v>-7.5272370000000005E-2</v>
      </c>
      <c r="S3394">
        <v>2.9995729999999998</v>
      </c>
      <c r="T3394">
        <v>-9.5123890000000003E-2</v>
      </c>
      <c r="U3394">
        <v>-9.9426269999999997E-2</v>
      </c>
      <c r="V3394">
        <v>7.728525E-2</v>
      </c>
      <c r="W3394">
        <v>-2.003257E-2</v>
      </c>
      <c r="X3394">
        <v>0.99680780000000002</v>
      </c>
      <c r="Y3394">
        <v>3.5133280000000003E-2</v>
      </c>
      <c r="Z3394">
        <v>-6.2095779999999897E-4</v>
      </c>
      <c r="AA3394">
        <v>0.9993824</v>
      </c>
      <c r="AB3394">
        <v>35</v>
      </c>
      <c r="AC3394">
        <v>34.641099999999902</v>
      </c>
      <c r="AD3394">
        <v>-1.109884105695</v>
      </c>
      <c r="AE3394">
        <v>-1.1607999999999901</v>
      </c>
      <c r="AF3394">
        <v>1.2296677541264101</v>
      </c>
      <c r="AG3394">
        <v>-1.109884105695</v>
      </c>
      <c r="AH3394">
        <v>34.603197565431202</v>
      </c>
      <c r="AI3394">
        <v>91.8359519422457</v>
      </c>
      <c r="AJ3394">
        <v>87.964779483521596</v>
      </c>
      <c r="AK3394">
        <v>34.642823315455601</v>
      </c>
      <c r="AL3394">
        <v>91.147858436250999</v>
      </c>
      <c r="AM3394">
        <v>85.566570052006298</v>
      </c>
      <c r="AN3394">
        <v>1.0000000519346</v>
      </c>
    </row>
    <row r="3395" spans="1:40" x14ac:dyDescent="0.25">
      <c r="A3395" t="str">
        <f>"20190312161338946"</f>
        <v>20190312161338946</v>
      </c>
      <c r="B3395" t="str">
        <f>"1552378418939272"</f>
        <v>1552378418939272</v>
      </c>
      <c r="C3395" t="s">
        <v>40</v>
      </c>
      <c r="D3395">
        <v>4.4637279999999997</v>
      </c>
      <c r="E3395">
        <v>0.4824735</v>
      </c>
      <c r="F3395" t="s">
        <v>69</v>
      </c>
      <c r="G3395">
        <v>-253.87729999999999</v>
      </c>
      <c r="H3395" s="1">
        <v>5.7331230000000002E-7</v>
      </c>
      <c r="I3395">
        <v>213.54640000000001</v>
      </c>
      <c r="J3395">
        <v>-282.49700000000001</v>
      </c>
      <c r="K3395">
        <v>1.109885</v>
      </c>
      <c r="L3395">
        <v>214.35310000000001</v>
      </c>
      <c r="M3395">
        <v>0.99989050000000002</v>
      </c>
      <c r="N3395">
        <v>0</v>
      </c>
      <c r="O3395">
        <v>1.9510669999999999E-3</v>
      </c>
      <c r="P3395">
        <v>0.99655309999999997</v>
      </c>
      <c r="Q3395">
        <v>-3.4487589999999999E-2</v>
      </c>
      <c r="R3395">
        <v>-7.5450320000000001E-2</v>
      </c>
      <c r="S3395">
        <v>3.0000610000000001</v>
      </c>
      <c r="T3395">
        <v>-0.114923499999999</v>
      </c>
      <c r="U3395">
        <v>-8.3465579999999998E-2</v>
      </c>
      <c r="V3395">
        <v>7.7390399999999998E-2</v>
      </c>
      <c r="W3395">
        <v>-1.9877840000000001E-2</v>
      </c>
      <c r="X3395">
        <v>0.99680270000000004</v>
      </c>
      <c r="Y3395">
        <v>2.9737779999999998E-2</v>
      </c>
      <c r="Z3395">
        <v>-6.4397079999999995E-4</v>
      </c>
      <c r="AA3395">
        <v>0.99955760000000005</v>
      </c>
      <c r="AB3395">
        <v>35</v>
      </c>
      <c r="AC3395">
        <v>28.619700000000002</v>
      </c>
      <c r="AD3395">
        <v>-1.1098844266876999</v>
      </c>
      <c r="AE3395">
        <v>-0.80670000000000597</v>
      </c>
      <c r="AF3395">
        <v>0.86124920168424801</v>
      </c>
      <c r="AG3395">
        <v>-1.1098844266876999</v>
      </c>
      <c r="AH3395">
        <v>28.575130764059701</v>
      </c>
      <c r="AI3395">
        <v>92.223294228539203</v>
      </c>
      <c r="AJ3395">
        <v>88.273638331907193</v>
      </c>
      <c r="AK3395">
        <v>28.609643335964901</v>
      </c>
      <c r="AL3395">
        <v>91.138991339841795</v>
      </c>
      <c r="AM3395">
        <v>85.560539648250796</v>
      </c>
      <c r="AN3395">
        <v>1.00000001263125</v>
      </c>
    </row>
    <row r="3396" spans="1:40" x14ac:dyDescent="0.25">
      <c r="A3396" t="str">
        <f>"20190312161338961"</f>
        <v>20190312161338961</v>
      </c>
      <c r="B3396" t="str">
        <f>"1552378418949033"</f>
        <v>1552378418949033</v>
      </c>
      <c r="C3396" t="s">
        <v>40</v>
      </c>
      <c r="D3396">
        <v>4.4846890000000004</v>
      </c>
      <c r="E3396">
        <v>0.4824582</v>
      </c>
      <c r="F3396" t="s">
        <v>69</v>
      </c>
      <c r="G3396">
        <v>-253.4659</v>
      </c>
      <c r="H3396" s="1">
        <v>3.556857E-7</v>
      </c>
      <c r="I3396">
        <v>213.5164</v>
      </c>
      <c r="J3396">
        <v>-282.255</v>
      </c>
      <c r="K3396">
        <v>1.109891</v>
      </c>
      <c r="L3396">
        <v>214.3535</v>
      </c>
      <c r="M3396">
        <v>0.99989059999999996</v>
      </c>
      <c r="N3396">
        <v>0</v>
      </c>
      <c r="O3396">
        <v>1.9009039999999999E-3</v>
      </c>
      <c r="P3396">
        <v>0.99655839999999996</v>
      </c>
      <c r="Q3396">
        <v>-3.4616090000000002E-2</v>
      </c>
      <c r="R3396">
        <v>-7.5322520000000004E-2</v>
      </c>
      <c r="S3396">
        <v>2.9998170000000002</v>
      </c>
      <c r="T3396">
        <v>-0.1146858</v>
      </c>
      <c r="U3396">
        <v>-8.64563E-2</v>
      </c>
      <c r="V3396">
        <v>7.721256E-2</v>
      </c>
      <c r="W3396">
        <v>-2.0008789999999999E-2</v>
      </c>
      <c r="X3396">
        <v>0.99681379999999997</v>
      </c>
      <c r="Y3396">
        <v>3.068504E-2</v>
      </c>
      <c r="Z3396">
        <v>-6.5886299999999998E-4</v>
      </c>
      <c r="AA3396">
        <v>0.99952890000000005</v>
      </c>
      <c r="AB3396">
        <v>35</v>
      </c>
      <c r="AC3396">
        <v>28.789099999999902</v>
      </c>
      <c r="AD3396">
        <v>-1.1098906443143</v>
      </c>
      <c r="AE3396">
        <v>-0.83709999999999196</v>
      </c>
      <c r="AF3396">
        <v>0.89050725538963105</v>
      </c>
      <c r="AG3396">
        <v>-1.1098906443143</v>
      </c>
      <c r="AH3396">
        <v>28.744769520322301</v>
      </c>
      <c r="AI3396">
        <v>92.210142136473195</v>
      </c>
      <c r="AJ3396">
        <v>88.225555648920803</v>
      </c>
      <c r="AK3396">
        <v>28.779969339641202</v>
      </c>
      <c r="AL3396">
        <v>91.146495796187395</v>
      </c>
      <c r="AM3396">
        <v>85.570749831362804</v>
      </c>
      <c r="AN3396">
        <v>0.99999994148472704</v>
      </c>
    </row>
    <row r="3397" spans="1:40" x14ac:dyDescent="0.25">
      <c r="A3397" t="str">
        <f>"20190312161338979"</f>
        <v>20190312161338979</v>
      </c>
      <c r="B3397" t="str">
        <f>"1552378418969529"</f>
        <v>1552378418969529</v>
      </c>
      <c r="C3397" t="s">
        <v>40</v>
      </c>
      <c r="D3397">
        <v>4.4777550000000002</v>
      </c>
      <c r="E3397">
        <v>0.48331600000000002</v>
      </c>
      <c r="F3397" t="s">
        <v>69</v>
      </c>
      <c r="G3397">
        <v>-253.48390000000001</v>
      </c>
      <c r="H3397" s="1">
        <v>3.6467190000000001E-7</v>
      </c>
      <c r="I3397">
        <v>213.52950000000001</v>
      </c>
      <c r="J3397">
        <v>-281.98489999999998</v>
      </c>
      <c r="K3397">
        <v>1.109888</v>
      </c>
      <c r="L3397">
        <v>214.35400000000001</v>
      </c>
      <c r="M3397">
        <v>0.99989079999999997</v>
      </c>
      <c r="N3397">
        <v>0</v>
      </c>
      <c r="O3397">
        <v>1.844844E-3</v>
      </c>
      <c r="P3397">
        <v>0.99651290000000003</v>
      </c>
      <c r="Q3397">
        <v>-3.4479030000000001E-2</v>
      </c>
      <c r="R3397">
        <v>-7.5983529999999994E-2</v>
      </c>
      <c r="S3397">
        <v>2.9998469999999999</v>
      </c>
      <c r="T3397">
        <v>-0.1157238</v>
      </c>
      <c r="U3397">
        <v>-8.5922239999999997E-2</v>
      </c>
      <c r="V3397">
        <v>7.7817659999999997E-2</v>
      </c>
      <c r="W3397">
        <v>-1.9875440000000001E-2</v>
      </c>
      <c r="X3397">
        <v>0.99676949999999997</v>
      </c>
      <c r="Y3397">
        <v>3.0450700000000001E-2</v>
      </c>
      <c r="Z3397">
        <v>-6.5813809999999999E-4</v>
      </c>
      <c r="AA3397">
        <v>0.99953599999999998</v>
      </c>
      <c r="AB3397">
        <v>35</v>
      </c>
      <c r="AC3397">
        <v>28.500999999999902</v>
      </c>
      <c r="AD3397">
        <v>-1.1098876353281</v>
      </c>
      <c r="AE3397">
        <v>-0.82450000000000001</v>
      </c>
      <c r="AF3397">
        <v>0.87575718706309602</v>
      </c>
      <c r="AG3397">
        <v>-1.1098876353281</v>
      </c>
      <c r="AH3397">
        <v>28.4563127924315</v>
      </c>
      <c r="AI3397">
        <v>92.232531419106394</v>
      </c>
      <c r="AJ3397">
        <v>88.237250251033004</v>
      </c>
      <c r="AK3397">
        <v>28.4914116700884</v>
      </c>
      <c r="AL3397">
        <v>91.138853784468196</v>
      </c>
      <c r="AM3397">
        <v>85.535980808002606</v>
      </c>
      <c r="AN3397">
        <v>1.0000000287266499</v>
      </c>
    </row>
    <row r="3398" spans="1:40" x14ac:dyDescent="0.25">
      <c r="A3398" t="str">
        <f>"20190312161339001"</f>
        <v>20190312161339001</v>
      </c>
      <c r="B3398" t="str">
        <f>"1552378418989049"</f>
        <v>1552378418989049</v>
      </c>
      <c r="C3398" t="s">
        <v>40</v>
      </c>
      <c r="D3398">
        <v>4.5356550000000002</v>
      </c>
      <c r="E3398">
        <v>0.48397420000000002</v>
      </c>
      <c r="F3398" t="s">
        <v>69</v>
      </c>
      <c r="G3398">
        <v>-253.1353</v>
      </c>
      <c r="H3398" s="1">
        <v>1.8307240000000001E-7</v>
      </c>
      <c r="I3398">
        <v>213.43989999999999</v>
      </c>
      <c r="J3398">
        <v>-281.63659999999999</v>
      </c>
      <c r="K3398">
        <v>1.10989</v>
      </c>
      <c r="L3398">
        <v>214.3546</v>
      </c>
      <c r="M3398">
        <v>0.99989099999999997</v>
      </c>
      <c r="N3398">
        <v>0</v>
      </c>
      <c r="O3398">
        <v>1.7725799999999999E-3</v>
      </c>
      <c r="P3398">
        <v>0.99646469999999998</v>
      </c>
      <c r="Q3398">
        <v>-3.4963969999999997E-2</v>
      </c>
      <c r="R3398">
        <v>-7.6393359999999993E-2</v>
      </c>
      <c r="S3398">
        <v>2.9992679999999998</v>
      </c>
      <c r="T3398">
        <v>-0.11538619999999999</v>
      </c>
      <c r="U3398">
        <v>-9.5031740000000003E-2</v>
      </c>
      <c r="V3398">
        <v>7.8155299999999997E-2</v>
      </c>
      <c r="W3398">
        <v>-2.0364839999999999E-2</v>
      </c>
      <c r="X3398">
        <v>0.99673319999999999</v>
      </c>
      <c r="Y3398">
        <v>3.3414909999999999E-2</v>
      </c>
      <c r="Z3398">
        <v>-7.1052110000000002E-4</v>
      </c>
      <c r="AA3398">
        <v>0.99944129999999998</v>
      </c>
      <c r="AB3398">
        <v>35</v>
      </c>
      <c r="AC3398">
        <v>28.501299999999901</v>
      </c>
      <c r="AD3398">
        <v>-1.1098898169275999</v>
      </c>
      <c r="AE3398">
        <v>-0.91470000000000995</v>
      </c>
      <c r="AF3398">
        <v>0.96376481988313301</v>
      </c>
      <c r="AG3398">
        <v>-1.1098898169275999</v>
      </c>
      <c r="AH3398">
        <v>28.456524936448201</v>
      </c>
      <c r="AI3398">
        <v>92.232296496626205</v>
      </c>
      <c r="AJ3398">
        <v>88.060249513244997</v>
      </c>
      <c r="AK3398">
        <v>28.494464541248401</v>
      </c>
      <c r="AL3398">
        <v>91.166900020426795</v>
      </c>
      <c r="AM3398">
        <v>85.516528232828506</v>
      </c>
      <c r="AN3398">
        <v>1.00000002480427</v>
      </c>
    </row>
    <row r="3399" spans="1:40" x14ac:dyDescent="0.25">
      <c r="A3399" t="str">
        <f>"20190312161339017"</f>
        <v>20190312161339017</v>
      </c>
      <c r="B3399" t="str">
        <f>"1552378419009544"</f>
        <v>1552378419009544</v>
      </c>
      <c r="C3399" t="s">
        <v>40</v>
      </c>
      <c r="D3399">
        <v>4.6992370000000001</v>
      </c>
      <c r="E3399">
        <v>0.48457090000000003</v>
      </c>
      <c r="F3399" t="s">
        <v>69</v>
      </c>
      <c r="G3399">
        <v>-253.54230000000001</v>
      </c>
      <c r="H3399" s="1">
        <v>4.0110340000000001E-7</v>
      </c>
      <c r="I3399">
        <v>213.40729999999999</v>
      </c>
      <c r="J3399">
        <v>-281.39019999999999</v>
      </c>
      <c r="K3399">
        <v>1.10989</v>
      </c>
      <c r="L3399">
        <v>214.35489999999999</v>
      </c>
      <c r="M3399">
        <v>0.99989099999999997</v>
      </c>
      <c r="N3399">
        <v>0</v>
      </c>
      <c r="O3399">
        <v>1.721584E-3</v>
      </c>
      <c r="P3399">
        <v>0.99642790000000003</v>
      </c>
      <c r="Q3399">
        <v>-3.5102429999999997E-2</v>
      </c>
      <c r="R3399">
        <v>-7.6808559999999998E-2</v>
      </c>
      <c r="S3399">
        <v>2.9987490000000001</v>
      </c>
      <c r="T3399">
        <v>-0.1184684</v>
      </c>
      <c r="U3399">
        <v>-0.10110470000000001</v>
      </c>
      <c r="V3399">
        <v>7.8519649999999996E-2</v>
      </c>
      <c r="W3399">
        <v>-2.050656E-2</v>
      </c>
      <c r="X3399">
        <v>0.99670170000000002</v>
      </c>
      <c r="Y3399">
        <v>3.5388320000000001E-2</v>
      </c>
      <c r="Z3399">
        <v>-7.665285E-4</v>
      </c>
      <c r="AA3399">
        <v>0.99937330000000002</v>
      </c>
      <c r="AB3399">
        <v>35</v>
      </c>
      <c r="AC3399">
        <v>27.8478999999999</v>
      </c>
      <c r="AD3399">
        <v>-1.1098895988966</v>
      </c>
      <c r="AE3399">
        <v>-0.947599999999994</v>
      </c>
      <c r="AF3399">
        <v>0.99396920134675804</v>
      </c>
      <c r="AG3399">
        <v>-1.1098895988966</v>
      </c>
      <c r="AH3399">
        <v>27.8021158658741</v>
      </c>
      <c r="AI3399">
        <v>92.284635564819695</v>
      </c>
      <c r="AJ3399">
        <v>87.952458188662206</v>
      </c>
      <c r="AK3399">
        <v>27.842009200387299</v>
      </c>
      <c r="AL3399">
        <v>91.175021625024897</v>
      </c>
      <c r="AM3399">
        <v>85.495570905527401</v>
      </c>
      <c r="AN3399">
        <v>1.00000006661102</v>
      </c>
    </row>
    <row r="3400" spans="1:40" x14ac:dyDescent="0.25">
      <c r="A3400" t="str">
        <f>"20190312161339030"</f>
        <v>20190312161339030</v>
      </c>
      <c r="B3400" t="str">
        <f>"1552378419019305"</f>
        <v>1552378419019305</v>
      </c>
      <c r="C3400" t="s">
        <v>40</v>
      </c>
      <c r="D3400">
        <v>4.6720759999999997</v>
      </c>
      <c r="E3400">
        <v>0.51713829999999905</v>
      </c>
      <c r="F3400" t="s">
        <v>69</v>
      </c>
      <c r="G3400">
        <v>-254.69069999999999</v>
      </c>
      <c r="H3400" s="1">
        <v>1.0124320000000001E-6</v>
      </c>
      <c r="I3400">
        <v>213.4025</v>
      </c>
      <c r="J3400">
        <v>-281.18849999999998</v>
      </c>
      <c r="K3400">
        <v>1.109882</v>
      </c>
      <c r="L3400">
        <v>214.3552</v>
      </c>
      <c r="M3400">
        <v>0.99989119999999998</v>
      </c>
      <c r="N3400">
        <v>0</v>
      </c>
      <c r="O3400">
        <v>1.679643E-3</v>
      </c>
      <c r="P3400">
        <v>0.99639429999999996</v>
      </c>
      <c r="Q3400">
        <v>-3.5184729999999997E-2</v>
      </c>
      <c r="R3400">
        <v>-7.7205259999999998E-2</v>
      </c>
      <c r="S3400">
        <v>2.998138</v>
      </c>
      <c r="T3400">
        <v>-0.1246316</v>
      </c>
      <c r="U3400">
        <v>-0.1069489</v>
      </c>
      <c r="V3400">
        <v>7.8874559999999996E-2</v>
      </c>
      <c r="W3400">
        <v>-2.0591600000000002E-2</v>
      </c>
      <c r="X3400">
        <v>0.99667190000000006</v>
      </c>
      <c r="Y3400">
        <v>3.729416E-2</v>
      </c>
      <c r="Z3400">
        <v>-8.4435039999999895E-4</v>
      </c>
      <c r="AA3400">
        <v>0.99930399999999997</v>
      </c>
      <c r="AB3400">
        <v>35</v>
      </c>
      <c r="AC3400">
        <v>26.497799999999899</v>
      </c>
      <c r="AD3400">
        <v>-1.109880987568</v>
      </c>
      <c r="AE3400">
        <v>-0.952699999999992</v>
      </c>
      <c r="AF3400">
        <v>0.995466070849235</v>
      </c>
      <c r="AG3400">
        <v>-1.109880987568</v>
      </c>
      <c r="AH3400">
        <v>26.4498181056268</v>
      </c>
      <c r="AI3400">
        <v>92.4011243027457</v>
      </c>
      <c r="AJ3400">
        <v>87.844631777629999</v>
      </c>
      <c r="AK3400">
        <v>26.491803757492999</v>
      </c>
      <c r="AL3400">
        <v>91.179895114439304</v>
      </c>
      <c r="AM3400">
        <v>85.475160448430501</v>
      </c>
      <c r="AN3400">
        <v>1.0000000432276801</v>
      </c>
    </row>
    <row r="3401" spans="1:40" x14ac:dyDescent="0.25">
      <c r="A3401" t="str">
        <f>"20190312161339046"</f>
        <v>20190312161339046</v>
      </c>
      <c r="B3401" t="str">
        <f>"1552378419039800"</f>
        <v>1552378419039800</v>
      </c>
      <c r="C3401" t="s">
        <v>40</v>
      </c>
      <c r="D3401">
        <v>4.5807949999999904</v>
      </c>
      <c r="E3401">
        <v>0.52465790000000001</v>
      </c>
      <c r="F3401" t="s">
        <v>43</v>
      </c>
      <c r="G3401">
        <v>-280.2079</v>
      </c>
      <c r="H3401">
        <v>0.97789559999999998</v>
      </c>
      <c r="I3401">
        <v>214.23689999999999</v>
      </c>
      <c r="J3401">
        <v>-280.93259999999998</v>
      </c>
      <c r="K3401">
        <v>1.10988</v>
      </c>
      <c r="L3401">
        <v>214.35560000000001</v>
      </c>
      <c r="M3401">
        <v>0.99989139999999999</v>
      </c>
      <c r="N3401">
        <v>0</v>
      </c>
      <c r="O3401">
        <v>1.6264439999999999E-3</v>
      </c>
      <c r="P3401">
        <v>0.99637169999999997</v>
      </c>
      <c r="Q3401">
        <v>-3.487179E-2</v>
      </c>
      <c r="R3401">
        <v>-7.7638860000000004E-2</v>
      </c>
      <c r="S3401">
        <v>2.9689939999999999</v>
      </c>
      <c r="T3401">
        <v>-0.39968900000000002</v>
      </c>
      <c r="U3401">
        <v>-0.35795589999999999</v>
      </c>
      <c r="V3401">
        <v>7.9255140000000002E-2</v>
      </c>
      <c r="W3401">
        <v>-2.0282000000000001E-2</v>
      </c>
      <c r="X3401">
        <v>0.99664799999999998</v>
      </c>
      <c r="Y3401">
        <v>0.12022910000000001</v>
      </c>
      <c r="Z3401">
        <v>-8.2448850000000004E-3</v>
      </c>
      <c r="AA3401">
        <v>0.99271200000000004</v>
      </c>
      <c r="AB3401">
        <v>35</v>
      </c>
      <c r="AC3401">
        <v>0.72469999999998402</v>
      </c>
      <c r="AD3401">
        <v>-0.1319844</v>
      </c>
      <c r="AE3401">
        <v>-0.118700000000018</v>
      </c>
      <c r="AF3401">
        <v>0.116127488948487</v>
      </c>
      <c r="AG3401">
        <v>-0.1319844</v>
      </c>
      <c r="AH3401">
        <v>0.701835194782506</v>
      </c>
      <c r="AI3401">
        <v>100.51077147895199</v>
      </c>
      <c r="AJ3401">
        <v>80.604813248360401</v>
      </c>
      <c r="AK3401">
        <v>0.72351787550014202</v>
      </c>
      <c r="AL3401">
        <v>91.162152702366598</v>
      </c>
      <c r="AM3401">
        <v>85.453310257165796</v>
      </c>
      <c r="AN3401">
        <v>0.99999998632220899</v>
      </c>
    </row>
    <row r="3402" spans="1:40" x14ac:dyDescent="0.25">
      <c r="A3402" t="str">
        <f>"20190312161339061"</f>
        <v>20190312161339061</v>
      </c>
      <c r="B3402" t="str">
        <f>"1552378419049560"</f>
        <v>1552378419049560</v>
      </c>
      <c r="C3402" t="s">
        <v>40</v>
      </c>
      <c r="D3402">
        <v>4.6366100000000001</v>
      </c>
      <c r="E3402">
        <v>0.52756919999999996</v>
      </c>
      <c r="F3402" t="s">
        <v>43</v>
      </c>
      <c r="G3402">
        <v>-280.20049999999998</v>
      </c>
      <c r="H3402">
        <v>0.99363349999999995</v>
      </c>
      <c r="I3402">
        <v>214.2525</v>
      </c>
      <c r="J3402">
        <v>-280.70359999999999</v>
      </c>
      <c r="K3402">
        <v>1.1098840000000001</v>
      </c>
      <c r="L3402">
        <v>214.35589999999999</v>
      </c>
      <c r="M3402">
        <v>0.99989150000000004</v>
      </c>
      <c r="N3402">
        <v>0</v>
      </c>
      <c r="O3402">
        <v>1.5791399999999999E-3</v>
      </c>
      <c r="P3402">
        <v>0.99635700000000005</v>
      </c>
      <c r="Q3402">
        <v>-3.5066819999999999E-2</v>
      </c>
      <c r="R3402">
        <v>-7.7739390000000005E-2</v>
      </c>
      <c r="S3402">
        <v>2.9620060000000001</v>
      </c>
      <c r="T3402">
        <v>-0.47046209999999999</v>
      </c>
      <c r="U3402">
        <v>-0.41665649999999999</v>
      </c>
      <c r="V3402">
        <v>7.9308550000000005E-2</v>
      </c>
      <c r="W3402">
        <v>-2.047972E-2</v>
      </c>
      <c r="X3402">
        <v>0.99663970000000002</v>
      </c>
      <c r="Y3402">
        <v>0.13912949999999999</v>
      </c>
      <c r="Z3402">
        <v>-1.1175600000000001E-2</v>
      </c>
      <c r="AA3402">
        <v>0.99021110000000001</v>
      </c>
      <c r="AB3402">
        <v>35</v>
      </c>
      <c r="AC3402">
        <v>0.50310000000001698</v>
      </c>
      <c r="AD3402">
        <v>-0.11625050000000001</v>
      </c>
      <c r="AE3402">
        <v>-0.103399999999993</v>
      </c>
      <c r="AF3402">
        <v>9.91168013225074E-2</v>
      </c>
      <c r="AG3402">
        <v>-0.11625050000000001</v>
      </c>
      <c r="AH3402">
        <v>0.47842690577245001</v>
      </c>
      <c r="AI3402">
        <v>103.383670271318</v>
      </c>
      <c r="AJ3402">
        <v>78.295481113253103</v>
      </c>
      <c r="AK3402">
        <v>0.50222566961641402</v>
      </c>
      <c r="AL3402">
        <v>91.173483587001897</v>
      </c>
      <c r="AM3402">
        <v>85.450221373888496</v>
      </c>
      <c r="AN3402">
        <v>0.99999997832523502</v>
      </c>
    </row>
    <row r="3403" spans="1:40" x14ac:dyDescent="0.25">
      <c r="A3403" t="str">
        <f>"20190312161339076"</f>
        <v>20190312161339076</v>
      </c>
      <c r="B3403" t="str">
        <f>"1552378419069082"</f>
        <v>1552378419069082</v>
      </c>
      <c r="C3403" t="s">
        <v>40</v>
      </c>
      <c r="D3403">
        <v>4.9119219999999997</v>
      </c>
      <c r="E3403">
        <v>0.52976909999999999</v>
      </c>
      <c r="F3403" t="s">
        <v>43</v>
      </c>
      <c r="G3403">
        <v>-279.89909999999998</v>
      </c>
      <c r="H3403">
        <v>0.97440110000000002</v>
      </c>
      <c r="I3403">
        <v>214.23670000000001</v>
      </c>
      <c r="J3403">
        <v>-280.47050000000002</v>
      </c>
      <c r="K3403">
        <v>1.109883</v>
      </c>
      <c r="L3403">
        <v>214.3563</v>
      </c>
      <c r="M3403">
        <v>0.99989150000000004</v>
      </c>
      <c r="N3403">
        <v>0</v>
      </c>
      <c r="O3403">
        <v>1.5308240000000001E-3</v>
      </c>
      <c r="P3403">
        <v>0.99635359999999995</v>
      </c>
      <c r="Q3403">
        <v>-3.5249570000000001E-2</v>
      </c>
      <c r="R3403">
        <v>-7.7699500000000005E-2</v>
      </c>
      <c r="S3403">
        <v>2.9591370000000001</v>
      </c>
      <c r="T3403">
        <v>-0.49831330000000001</v>
      </c>
      <c r="U3403">
        <v>-0.43913269999999999</v>
      </c>
      <c r="V3403">
        <v>7.9220410000000005E-2</v>
      </c>
      <c r="W3403">
        <v>-2.06649E-2</v>
      </c>
      <c r="X3403">
        <v>0.9966429</v>
      </c>
      <c r="Y3403">
        <v>0.14626900000000001</v>
      </c>
      <c r="Z3403">
        <v>-1.2419049999999999E-2</v>
      </c>
      <c r="AA3403">
        <v>0.98916689999999996</v>
      </c>
      <c r="AB3403">
        <v>35</v>
      </c>
      <c r="AC3403">
        <v>0.57140000000003899</v>
      </c>
      <c r="AD3403">
        <v>-0.13548189999999899</v>
      </c>
      <c r="AE3403">
        <v>-0.11959999999999101</v>
      </c>
      <c r="AF3403">
        <v>0.11431760646629099</v>
      </c>
      <c r="AG3403">
        <v>-0.13548189999999899</v>
      </c>
      <c r="AH3403">
        <v>0.54202326002339296</v>
      </c>
      <c r="AI3403">
        <v>103.74334739193399</v>
      </c>
      <c r="AJ3403">
        <v>78.090345646068201</v>
      </c>
      <c r="AK3403">
        <v>0.57027456087588002</v>
      </c>
      <c r="AL3403">
        <v>91.184095850841501</v>
      </c>
      <c r="AM3403">
        <v>85.455271132520707</v>
      </c>
      <c r="AN3403">
        <v>0.99999999078649404</v>
      </c>
    </row>
    <row r="3404" spans="1:40" x14ac:dyDescent="0.25">
      <c r="A3404" t="str">
        <f>"20190312161339090"</f>
        <v>20190312161339090</v>
      </c>
      <c r="B3404" t="str">
        <f>"1552378419079817"</f>
        <v>1552378419079817</v>
      </c>
      <c r="C3404" t="s">
        <v>40</v>
      </c>
      <c r="D3404">
        <v>4.6947380000000001</v>
      </c>
      <c r="E3404">
        <v>0.53003449999999996</v>
      </c>
      <c r="F3404" t="s">
        <v>43</v>
      </c>
      <c r="G3404">
        <v>-279.59789999999998</v>
      </c>
      <c r="H3404">
        <v>0.95500969999999996</v>
      </c>
      <c r="I3404">
        <v>214.2217</v>
      </c>
      <c r="J3404">
        <v>-280.25009999999997</v>
      </c>
      <c r="K3404">
        <v>1.109883</v>
      </c>
      <c r="L3404">
        <v>214.35659999999999</v>
      </c>
      <c r="M3404">
        <v>0.9998918</v>
      </c>
      <c r="N3404">
        <v>0</v>
      </c>
      <c r="O3404">
        <v>1.484892E-3</v>
      </c>
      <c r="P3404">
        <v>0.99635390000000001</v>
      </c>
      <c r="Q3404">
        <v>-3.5493089999999998E-2</v>
      </c>
      <c r="R3404">
        <v>-7.7587500000000004E-2</v>
      </c>
      <c r="S3404">
        <v>2.9568789999999998</v>
      </c>
      <c r="T3404">
        <v>-0.52486009999999905</v>
      </c>
      <c r="U3404">
        <v>-0.45545960000000002</v>
      </c>
      <c r="V3404">
        <v>7.9062540000000001E-2</v>
      </c>
      <c r="W3404">
        <v>-2.091055E-2</v>
      </c>
      <c r="X3404">
        <v>0.99665029999999999</v>
      </c>
      <c r="Y3404">
        <v>0.15137139999999999</v>
      </c>
      <c r="Z3404">
        <v>-1.3514089999999999E-2</v>
      </c>
      <c r="AA3404">
        <v>0.9883845</v>
      </c>
      <c r="AB3404">
        <v>35</v>
      </c>
      <c r="AC3404">
        <v>0.65219999999999301</v>
      </c>
      <c r="AD3404">
        <v>-0.15487329999999999</v>
      </c>
      <c r="AE3404">
        <v>-0.134899999999987</v>
      </c>
      <c r="AF3404">
        <v>0.12889820827738799</v>
      </c>
      <c r="AG3404">
        <v>-0.15487329999999999</v>
      </c>
      <c r="AH3404">
        <v>0.61855070915613797</v>
      </c>
      <c r="AI3404">
        <v>103.772536744045</v>
      </c>
      <c r="AJ3404">
        <v>78.228739129538297</v>
      </c>
      <c r="AK3404">
        <v>0.65054244054294597</v>
      </c>
      <c r="AL3404">
        <v>91.198173616108306</v>
      </c>
      <c r="AM3404">
        <v>85.464323552142005</v>
      </c>
      <c r="AN3404">
        <v>0.99999997841132104</v>
      </c>
    </row>
    <row r="3405" spans="1:40" x14ac:dyDescent="0.25">
      <c r="A3405" t="str">
        <f>"20190312161339114"</f>
        <v>20190312161339114</v>
      </c>
      <c r="B3405" t="str">
        <f>"1552378419109097"</f>
        <v>1552378419109097</v>
      </c>
      <c r="C3405" t="s">
        <v>40</v>
      </c>
      <c r="D3405">
        <v>4.746607</v>
      </c>
      <c r="E3405">
        <v>0.53146669999999996</v>
      </c>
      <c r="F3405" t="s">
        <v>43</v>
      </c>
      <c r="G3405">
        <v>-279.2953</v>
      </c>
      <c r="H3405">
        <v>0.93887339999999997</v>
      </c>
      <c r="I3405">
        <v>214.209</v>
      </c>
      <c r="J3405">
        <v>-279.88529999999997</v>
      </c>
      <c r="K3405">
        <v>1.1098809999999999</v>
      </c>
      <c r="L3405">
        <v>214.357</v>
      </c>
      <c r="M3405">
        <v>0.9998918</v>
      </c>
      <c r="N3405">
        <v>0</v>
      </c>
      <c r="O3405">
        <v>1.409111E-3</v>
      </c>
      <c r="P3405">
        <v>0.99631970000000003</v>
      </c>
      <c r="Q3405">
        <v>-3.5719029999999999E-2</v>
      </c>
      <c r="R3405">
        <v>-7.7918390000000004E-2</v>
      </c>
      <c r="S3405">
        <v>2.956512</v>
      </c>
      <c r="T3405">
        <v>-0.52951649999999995</v>
      </c>
      <c r="U3405">
        <v>-0.4571075</v>
      </c>
      <c r="V3405">
        <v>7.9317979999999996E-2</v>
      </c>
      <c r="W3405">
        <v>-2.114065E-2</v>
      </c>
      <c r="X3405">
        <v>0.99662519999999999</v>
      </c>
      <c r="Y3405">
        <v>0.15180589999999999</v>
      </c>
      <c r="Z3405">
        <v>-1.365821E-2</v>
      </c>
      <c r="AA3405">
        <v>0.98831590000000002</v>
      </c>
      <c r="AB3405">
        <v>35</v>
      </c>
      <c r="AC3405">
        <v>0.58999999999997499</v>
      </c>
      <c r="AD3405">
        <v>-0.17100759999999901</v>
      </c>
      <c r="AE3405">
        <v>-0.147999999999996</v>
      </c>
      <c r="AF3405">
        <v>0.137929903556334</v>
      </c>
      <c r="AG3405">
        <v>-0.17100759999999901</v>
      </c>
      <c r="AH3405">
        <v>0.54659056586252697</v>
      </c>
      <c r="AI3405">
        <v>106.875324162894</v>
      </c>
      <c r="AJ3405">
        <v>75.837321331169207</v>
      </c>
      <c r="AK3405">
        <v>0.58909210166385395</v>
      </c>
      <c r="AL3405">
        <v>91.211360228888196</v>
      </c>
      <c r="AM3405">
        <v>85.449616739692999</v>
      </c>
      <c r="AN3405">
        <v>1.00000002915437</v>
      </c>
    </row>
    <row r="3406" spans="1:40" x14ac:dyDescent="0.25">
      <c r="A3406" t="str">
        <f>"20190312161339136"</f>
        <v>20190312161339136</v>
      </c>
      <c r="B3406" t="str">
        <f>"1552378419129592"</f>
        <v>1552378419129592</v>
      </c>
      <c r="C3406" t="s">
        <v>40</v>
      </c>
      <c r="D3406">
        <v>4.7825930000000003</v>
      </c>
      <c r="E3406">
        <v>0.53172710000000001</v>
      </c>
      <c r="F3406" t="s">
        <v>43</v>
      </c>
      <c r="G3406">
        <v>-278.98540000000003</v>
      </c>
      <c r="H3406">
        <v>0.94010009999999999</v>
      </c>
      <c r="I3406">
        <v>214.21420000000001</v>
      </c>
      <c r="J3406">
        <v>-279.54199999999997</v>
      </c>
      <c r="K3406">
        <v>1.109882</v>
      </c>
      <c r="L3406">
        <v>214.35740000000001</v>
      </c>
      <c r="M3406">
        <v>0.999892</v>
      </c>
      <c r="N3406">
        <v>0</v>
      </c>
      <c r="O3406">
        <v>1.337679E-3</v>
      </c>
      <c r="P3406">
        <v>0.99628669999999997</v>
      </c>
      <c r="Q3406">
        <v>-3.6180829999999997E-2</v>
      </c>
      <c r="R3406">
        <v>-7.8128680000000006E-2</v>
      </c>
      <c r="S3406">
        <v>2.9544679999999999</v>
      </c>
      <c r="T3406">
        <v>-0.55749869999999901</v>
      </c>
      <c r="U3406">
        <v>-0.46824650000000001</v>
      </c>
      <c r="V3406">
        <v>7.9456940000000004E-2</v>
      </c>
      <c r="W3406">
        <v>-2.160631E-2</v>
      </c>
      <c r="X3406">
        <v>0.99660409999999999</v>
      </c>
      <c r="Y3406">
        <v>0.1551602</v>
      </c>
      <c r="Z3406">
        <v>-1.467211E-2</v>
      </c>
      <c r="AA3406">
        <v>0.9877804</v>
      </c>
      <c r="AB3406">
        <v>35</v>
      </c>
      <c r="AC3406">
        <v>0.55660000000000298</v>
      </c>
      <c r="AD3406">
        <v>-0.16978190000000001</v>
      </c>
      <c r="AE3406">
        <v>-0.14320000000000699</v>
      </c>
      <c r="AF3406">
        <v>0.13239085140338</v>
      </c>
      <c r="AG3406">
        <v>-0.16978190000000001</v>
      </c>
      <c r="AH3406">
        <v>0.51174804946017205</v>
      </c>
      <c r="AI3406">
        <v>107.806720020561</v>
      </c>
      <c r="AJ3406">
        <v>75.4954028926429</v>
      </c>
      <c r="AK3406">
        <v>0.55519302699981099</v>
      </c>
      <c r="AL3406">
        <v>91.238046731885305</v>
      </c>
      <c r="AM3406">
        <v>85.441582226253203</v>
      </c>
      <c r="AN3406">
        <v>0.99999998504139398</v>
      </c>
    </row>
    <row r="3407" spans="1:40" x14ac:dyDescent="0.25">
      <c r="A3407" t="str">
        <f>"20190312161339163"</f>
        <v>20190312161339163</v>
      </c>
      <c r="B3407" t="str">
        <f>"1552378419159013"</f>
        <v>1552378419159013</v>
      </c>
      <c r="C3407" t="s">
        <v>40</v>
      </c>
      <c r="D3407">
        <v>5.1107259999999997</v>
      </c>
      <c r="E3407">
        <v>0.5318465</v>
      </c>
      <c r="F3407" t="s">
        <v>43</v>
      </c>
      <c r="G3407">
        <v>-278.67540000000002</v>
      </c>
      <c r="H3407">
        <v>0.94270100000000001</v>
      </c>
      <c r="I3407">
        <v>214.21940000000001</v>
      </c>
      <c r="J3407">
        <v>-279.12369999999999</v>
      </c>
      <c r="K3407">
        <v>1.1098889999999999</v>
      </c>
      <c r="L3407">
        <v>214.3579</v>
      </c>
      <c r="M3407">
        <v>0.99989209999999995</v>
      </c>
      <c r="N3407">
        <v>0</v>
      </c>
      <c r="O3407">
        <v>1.250637E-3</v>
      </c>
      <c r="P3407">
        <v>0.99627489999999996</v>
      </c>
      <c r="Q3407">
        <v>-3.585584E-2</v>
      </c>
      <c r="R3407">
        <v>-7.8425830000000002E-2</v>
      </c>
      <c r="S3407">
        <v>2.9535830000000001</v>
      </c>
      <c r="T3407">
        <v>-0.56977959999999905</v>
      </c>
      <c r="U3407">
        <v>-0.47070309999999999</v>
      </c>
      <c r="V3407">
        <v>7.9667520000000006E-2</v>
      </c>
      <c r="W3407">
        <v>-2.1285700000000001E-2</v>
      </c>
      <c r="X3407">
        <v>0.99659419999999999</v>
      </c>
      <c r="Y3407">
        <v>0.1557914</v>
      </c>
      <c r="Z3407">
        <v>-1.503646E-2</v>
      </c>
      <c r="AA3407">
        <v>0.98767550000000004</v>
      </c>
      <c r="AB3407">
        <v>35</v>
      </c>
      <c r="AC3407">
        <v>0.44829999999996001</v>
      </c>
      <c r="AD3407">
        <v>-0.167187999999999</v>
      </c>
      <c r="AE3407">
        <v>-0.13849999999999299</v>
      </c>
      <c r="AF3407">
        <v>0.123393989680011</v>
      </c>
      <c r="AG3407">
        <v>-0.167187999999999</v>
      </c>
      <c r="AH3407">
        <v>0.39764032122963999</v>
      </c>
      <c r="AI3407">
        <v>111.878437978129</v>
      </c>
      <c r="AJ3407">
        <v>72.760068793407399</v>
      </c>
      <c r="AK3407">
        <v>0.44865992589127202</v>
      </c>
      <c r="AL3407">
        <v>91.219672891093794</v>
      </c>
      <c r="AM3407">
        <v>85.429507229208497</v>
      </c>
      <c r="AN3407">
        <v>0.99999999712054</v>
      </c>
    </row>
    <row r="3408" spans="1:40" x14ac:dyDescent="0.25">
      <c r="A3408" t="str">
        <f>"20190312161339180"</f>
        <v>20190312161339180</v>
      </c>
      <c r="B3408" t="str">
        <f>"1552378419169751"</f>
        <v>1552378419169751</v>
      </c>
      <c r="C3408" t="s">
        <v>40</v>
      </c>
      <c r="D3408">
        <v>5.1480220000000001</v>
      </c>
      <c r="E3408">
        <v>0.53179929999999997</v>
      </c>
      <c r="F3408" t="s">
        <v>43</v>
      </c>
      <c r="G3408">
        <v>-278.35820000000001</v>
      </c>
      <c r="H3408">
        <v>0.96155239999999997</v>
      </c>
      <c r="I3408">
        <v>214.23519999999999</v>
      </c>
      <c r="J3408">
        <v>-278.86669999999998</v>
      </c>
      <c r="K3408">
        <v>1.109888</v>
      </c>
      <c r="L3408">
        <v>214.35820000000001</v>
      </c>
      <c r="M3408">
        <v>0.99989229999999996</v>
      </c>
      <c r="N3408">
        <v>0</v>
      </c>
      <c r="O3408">
        <v>1.1974329999999999E-3</v>
      </c>
      <c r="P3408">
        <v>0.99631139999999996</v>
      </c>
      <c r="Q3408">
        <v>-3.5832379999999997E-2</v>
      </c>
      <c r="R3408">
        <v>-7.7973280000000006E-2</v>
      </c>
      <c r="S3408">
        <v>2.95343</v>
      </c>
      <c r="T3408">
        <v>-0.57239219999999902</v>
      </c>
      <c r="U3408">
        <v>-0.47235110000000002</v>
      </c>
      <c r="V3408">
        <v>7.9161930000000005E-2</v>
      </c>
      <c r="W3408">
        <v>-2.1264160000000001E-2</v>
      </c>
      <c r="X3408">
        <v>0.99663500000000005</v>
      </c>
      <c r="Y3408">
        <v>0.156251</v>
      </c>
      <c r="Z3408">
        <v>-1.513799E-2</v>
      </c>
      <c r="AA3408">
        <v>0.98760130000000002</v>
      </c>
      <c r="AB3408">
        <v>35</v>
      </c>
      <c r="AC3408">
        <v>0.50849999999996898</v>
      </c>
      <c r="AD3408">
        <v>-0.14833560000000001</v>
      </c>
      <c r="AE3408">
        <v>-0.123000000000018</v>
      </c>
      <c r="AF3408">
        <v>0.114411108953572</v>
      </c>
      <c r="AG3408">
        <v>-0.14833560000000001</v>
      </c>
      <c r="AH3408">
        <v>0.47052572893986</v>
      </c>
      <c r="AI3408">
        <v>107.031357897143</v>
      </c>
      <c r="AJ3408">
        <v>76.333417591830198</v>
      </c>
      <c r="AK3408">
        <v>0.50644625941330901</v>
      </c>
      <c r="AL3408">
        <v>91.218438396840497</v>
      </c>
      <c r="AM3408">
        <v>85.458576135906696</v>
      </c>
      <c r="AN3408">
        <v>1.00000004944341</v>
      </c>
    </row>
    <row r="3409" spans="1:40" x14ac:dyDescent="0.25">
      <c r="A3409" t="str">
        <f>"20190312161339202"</f>
        <v>20190312161339202</v>
      </c>
      <c r="B3409" t="str">
        <f>"1552378419189269"</f>
        <v>1552378419189269</v>
      </c>
      <c r="C3409" t="s">
        <v>40</v>
      </c>
      <c r="D3409">
        <v>4.9297570000000004</v>
      </c>
      <c r="E3409">
        <v>0.53153149999999905</v>
      </c>
      <c r="F3409" t="s">
        <v>43</v>
      </c>
      <c r="G3409">
        <v>-278.05399999999997</v>
      </c>
      <c r="H3409">
        <v>0.95238860000000003</v>
      </c>
      <c r="I3409">
        <v>214.2286</v>
      </c>
      <c r="J3409">
        <v>-278.52370000000002</v>
      </c>
      <c r="K3409">
        <v>1.109882</v>
      </c>
      <c r="L3409">
        <v>214.35849999999999</v>
      </c>
      <c r="M3409">
        <v>0.99989240000000001</v>
      </c>
      <c r="N3409">
        <v>0</v>
      </c>
      <c r="O3409">
        <v>1.1258819999999999E-3</v>
      </c>
      <c r="P3409">
        <v>0.99636639999999999</v>
      </c>
      <c r="Q3409">
        <v>-3.5796120000000001E-2</v>
      </c>
      <c r="R3409">
        <v>-7.7283019999999994E-2</v>
      </c>
      <c r="S3409">
        <v>2.9536739999999999</v>
      </c>
      <c r="T3409">
        <v>-0.57247590000000004</v>
      </c>
      <c r="U3409">
        <v>-0.4708252</v>
      </c>
      <c r="V3409">
        <v>7.8400449999999997E-2</v>
      </c>
      <c r="W3409">
        <v>-2.123046E-2</v>
      </c>
      <c r="X3409">
        <v>0.99669589999999997</v>
      </c>
      <c r="Y3409">
        <v>0.15568119999999999</v>
      </c>
      <c r="Z3409">
        <v>-1.507151E-2</v>
      </c>
      <c r="AA3409">
        <v>0.98769240000000003</v>
      </c>
      <c r="AB3409">
        <v>35</v>
      </c>
      <c r="AC3409">
        <v>0.46969999999998802</v>
      </c>
      <c r="AD3409">
        <v>-0.15749340000000001</v>
      </c>
      <c r="AE3409">
        <v>-0.12989999999999199</v>
      </c>
      <c r="AF3409">
        <v>0.11809473968696101</v>
      </c>
      <c r="AG3409">
        <v>-0.15749340000000001</v>
      </c>
      <c r="AH3409">
        <v>0.42514989169613299</v>
      </c>
      <c r="AI3409">
        <v>109.642909879192</v>
      </c>
      <c r="AJ3409">
        <v>74.476195835564297</v>
      </c>
      <c r="AK3409">
        <v>0.46851143955566898</v>
      </c>
      <c r="AL3409">
        <v>91.216507104623204</v>
      </c>
      <c r="AM3409">
        <v>85.502354897464002</v>
      </c>
      <c r="AN3409">
        <v>1.00000004003441</v>
      </c>
    </row>
    <row r="3410" spans="1:40" x14ac:dyDescent="0.25">
      <c r="A3410" t="str">
        <f>"20190312161339226"</f>
        <v>20190312161339226</v>
      </c>
      <c r="B3410" t="str">
        <f>"1552378419219526"</f>
        <v>1552378419219526</v>
      </c>
      <c r="C3410" t="s">
        <v>40</v>
      </c>
      <c r="D3410">
        <v>5.1895210000000001</v>
      </c>
      <c r="E3410">
        <v>0.53092779999999995</v>
      </c>
      <c r="F3410" t="s">
        <v>43</v>
      </c>
      <c r="G3410">
        <v>-277.74329999999998</v>
      </c>
      <c r="H3410">
        <v>0.95850999999999997</v>
      </c>
      <c r="I3410">
        <v>214.23509999999999</v>
      </c>
      <c r="J3410">
        <v>-278.16609999999997</v>
      </c>
      <c r="K3410">
        <v>1.109891</v>
      </c>
      <c r="L3410">
        <v>214.3588</v>
      </c>
      <c r="M3410">
        <v>0.99989260000000002</v>
      </c>
      <c r="N3410">
        <v>0</v>
      </c>
      <c r="O3410">
        <v>1.051588E-3</v>
      </c>
      <c r="P3410">
        <v>0.99642249999999999</v>
      </c>
      <c r="Q3410">
        <v>-3.5862119999999997E-2</v>
      </c>
      <c r="R3410">
        <v>-7.652871E-2</v>
      </c>
      <c r="S3410">
        <v>2.954132</v>
      </c>
      <c r="T3410">
        <v>-0.57300969999999996</v>
      </c>
      <c r="U3410">
        <v>-0.46656799999999998</v>
      </c>
      <c r="V3410">
        <v>7.757203E-2</v>
      </c>
      <c r="W3410">
        <v>-2.1299229999999999E-2</v>
      </c>
      <c r="X3410">
        <v>0.99675919999999896</v>
      </c>
      <c r="Y3410">
        <v>0.1542181</v>
      </c>
      <c r="Z3410">
        <v>-1.493076E-2</v>
      </c>
      <c r="AA3410">
        <v>0.98792400000000002</v>
      </c>
      <c r="AB3410">
        <v>34</v>
      </c>
      <c r="AC3410">
        <v>0.42279999999999501</v>
      </c>
      <c r="AD3410">
        <v>-0.15138099999999899</v>
      </c>
      <c r="AE3410">
        <v>-0.12370000000001299</v>
      </c>
      <c r="AF3410">
        <v>0.111033000390192</v>
      </c>
      <c r="AG3410">
        <v>-0.15138099999999899</v>
      </c>
      <c r="AH3410">
        <v>0.37802921203365197</v>
      </c>
      <c r="AI3410">
        <v>111.017659067829</v>
      </c>
      <c r="AJ3410">
        <v>73.631674193243796</v>
      </c>
      <c r="AK3410">
        <v>0.42207892566134197</v>
      </c>
      <c r="AL3410">
        <v>91.220448287581704</v>
      </c>
      <c r="AM3410">
        <v>85.549968917530094</v>
      </c>
      <c r="AN3410">
        <v>0.99999998991077599</v>
      </c>
    </row>
    <row r="3411" spans="1:40" x14ac:dyDescent="0.25">
      <c r="A3411" t="str">
        <f>"20190312161339247"</f>
        <v>20190312161339247</v>
      </c>
      <c r="B3411" t="str">
        <f>"1552378419239057"</f>
        <v>1552378419239057</v>
      </c>
      <c r="C3411" t="s">
        <v>40</v>
      </c>
      <c r="D3411">
        <v>5.2606780000000004</v>
      </c>
      <c r="E3411">
        <v>0.53060980000000002</v>
      </c>
      <c r="F3411" t="s">
        <v>43</v>
      </c>
      <c r="G3411">
        <v>-277.43169999999998</v>
      </c>
      <c r="H3411">
        <v>0.96735079999999996</v>
      </c>
      <c r="I3411">
        <v>214.24459999999999</v>
      </c>
      <c r="J3411">
        <v>-277.82530000000003</v>
      </c>
      <c r="K3411">
        <v>1.109893</v>
      </c>
      <c r="L3411">
        <v>214.35910000000001</v>
      </c>
      <c r="M3411">
        <v>0.99989269999999997</v>
      </c>
      <c r="N3411">
        <v>0</v>
      </c>
      <c r="O3411">
        <v>9.8086849999999993E-4</v>
      </c>
      <c r="P3411">
        <v>0.99650030000000001</v>
      </c>
      <c r="Q3411">
        <v>-3.5495279999999997E-2</v>
      </c>
      <c r="R3411">
        <v>-7.5680730000000002E-2</v>
      </c>
      <c r="S3411">
        <v>2.9548649999999999</v>
      </c>
      <c r="T3411">
        <v>-0.57349669999999997</v>
      </c>
      <c r="U3411">
        <v>-0.45932010000000001</v>
      </c>
      <c r="V3411">
        <v>7.6653789999999999E-2</v>
      </c>
      <c r="W3411">
        <v>-2.0934680000000001E-2</v>
      </c>
      <c r="X3411">
        <v>0.996838</v>
      </c>
      <c r="Y3411">
        <v>0.1517858</v>
      </c>
      <c r="Z3411">
        <v>-1.469635E-2</v>
      </c>
      <c r="AA3411">
        <v>0.98830410000000002</v>
      </c>
      <c r="AB3411">
        <v>34</v>
      </c>
      <c r="AC3411">
        <v>0.39360000000004902</v>
      </c>
      <c r="AD3411">
        <v>-0.14254220000000001</v>
      </c>
      <c r="AE3411">
        <v>-0.11450000000002</v>
      </c>
      <c r="AF3411">
        <v>0.102492675322107</v>
      </c>
      <c r="AG3411">
        <v>-0.14254220000000001</v>
      </c>
      <c r="AH3411">
        <v>0.351039864000391</v>
      </c>
      <c r="AI3411">
        <v>111.294994512394</v>
      </c>
      <c r="AJ3411">
        <v>73.723844685754997</v>
      </c>
      <c r="AK3411">
        <v>0.39249460301122102</v>
      </c>
      <c r="AL3411">
        <v>91.199556402558798</v>
      </c>
      <c r="AM3411">
        <v>85.6027834815077</v>
      </c>
      <c r="AN3411">
        <v>1.00000003129603</v>
      </c>
    </row>
    <row r="3412" spans="1:40" x14ac:dyDescent="0.25">
      <c r="A3412" t="str">
        <f>"20190312161339263"</f>
        <v>20190312161339263</v>
      </c>
      <c r="B3412" t="str">
        <f>"1552378419259541"</f>
        <v>1552378419259541</v>
      </c>
      <c r="C3412" t="s">
        <v>40</v>
      </c>
      <c r="D3412">
        <v>4.995425</v>
      </c>
      <c r="E3412">
        <v>0.48299439999999999</v>
      </c>
      <c r="F3412" t="s">
        <v>43</v>
      </c>
      <c r="G3412">
        <v>-277.12169999999998</v>
      </c>
      <c r="H3412">
        <v>0.97315189999999996</v>
      </c>
      <c r="I3412">
        <v>214.25069999999999</v>
      </c>
      <c r="J3412">
        <v>-277.58179999999999</v>
      </c>
      <c r="K3412">
        <v>1.109896</v>
      </c>
      <c r="L3412">
        <v>214.35929999999999</v>
      </c>
      <c r="M3412">
        <v>0.99989280000000003</v>
      </c>
      <c r="N3412">
        <v>0</v>
      </c>
      <c r="O3412">
        <v>9.2998980000000005E-4</v>
      </c>
      <c r="P3412">
        <v>0.99654699999999996</v>
      </c>
      <c r="Q3412">
        <v>-3.5179290000000002E-2</v>
      </c>
      <c r="R3412">
        <v>-7.5212360000000006E-2</v>
      </c>
      <c r="S3412">
        <v>2.9555359999999999</v>
      </c>
      <c r="T3412">
        <v>-0.57443789999999995</v>
      </c>
      <c r="U3412">
        <v>-0.4543915</v>
      </c>
      <c r="V3412">
        <v>7.61347E-2</v>
      </c>
      <c r="W3412">
        <v>-2.062052E-2</v>
      </c>
      <c r="X3412">
        <v>0.99688429999999995</v>
      </c>
      <c r="Y3412">
        <v>0.15011450000000001</v>
      </c>
      <c r="Z3412">
        <v>-1.454886E-2</v>
      </c>
      <c r="AA3412">
        <v>0.98856160000000004</v>
      </c>
      <c r="AB3412">
        <v>34</v>
      </c>
      <c r="AC3412">
        <v>0.460100000000011</v>
      </c>
      <c r="AD3412">
        <v>-0.13674409999999901</v>
      </c>
      <c r="AE3412">
        <v>-0.10859999999999501</v>
      </c>
      <c r="AF3412">
        <v>0.10060991080973</v>
      </c>
      <c r="AG3412">
        <v>-0.13674409999999901</v>
      </c>
      <c r="AH3412">
        <v>0.42448256892380398</v>
      </c>
      <c r="AI3412">
        <v>107.40405228251601</v>
      </c>
      <c r="AJ3412">
        <v>76.6659389956056</v>
      </c>
      <c r="AK3412">
        <v>0.45717256518529598</v>
      </c>
      <c r="AL3412">
        <v>91.1815525077633</v>
      </c>
      <c r="AM3412">
        <v>85.632647344860004</v>
      </c>
      <c r="AN3412">
        <v>1.00000000298782</v>
      </c>
    </row>
    <row r="3413" spans="1:40" x14ac:dyDescent="0.25">
      <c r="A3413" t="str">
        <f>"20190312161339280"</f>
        <v>20190312161339280</v>
      </c>
      <c r="B3413" t="str">
        <f>"1552378419269300"</f>
        <v>1552378419269300</v>
      </c>
      <c r="C3413" t="s">
        <v>40</v>
      </c>
      <c r="D3413">
        <v>4.9759729999999998</v>
      </c>
      <c r="E3413">
        <v>0.48299439999999999</v>
      </c>
      <c r="F3413" t="s">
        <v>43</v>
      </c>
      <c r="G3413">
        <v>-276.80200000000002</v>
      </c>
      <c r="H3413">
        <v>0.99892579999999997</v>
      </c>
      <c r="I3413">
        <v>214.33850000000001</v>
      </c>
      <c r="J3413">
        <v>-277.33010000000002</v>
      </c>
      <c r="K3413">
        <v>1.109901</v>
      </c>
      <c r="L3413">
        <v>214.3595</v>
      </c>
      <c r="M3413">
        <v>0.99989280000000003</v>
      </c>
      <c r="N3413">
        <v>0</v>
      </c>
      <c r="O3413">
        <v>8.7762189999999996E-4</v>
      </c>
      <c r="P3413">
        <v>0.99659620000000004</v>
      </c>
      <c r="Q3413">
        <v>-3.5251409999999997E-2</v>
      </c>
      <c r="R3413">
        <v>-7.4522619999999998E-2</v>
      </c>
      <c r="S3413">
        <v>2.9893800000000001</v>
      </c>
      <c r="T3413">
        <v>-0.42549569999999998</v>
      </c>
      <c r="U3413">
        <v>-7.9238890000000006E-2</v>
      </c>
      <c r="V3413">
        <v>7.5393039999999995E-2</v>
      </c>
      <c r="W3413">
        <v>-2.0694420000000002E-2</v>
      </c>
      <c r="X3413">
        <v>0.99693909999999997</v>
      </c>
      <c r="Y3413">
        <v>2.709317E-2</v>
      </c>
      <c r="Z3413">
        <v>-2.0424470000000002E-3</v>
      </c>
      <c r="AA3413">
        <v>0.99963080000000004</v>
      </c>
      <c r="AB3413">
        <v>34</v>
      </c>
      <c r="AC3413">
        <v>0.52809999999999402</v>
      </c>
      <c r="AD3413">
        <v>-0.1109752</v>
      </c>
      <c r="AE3413">
        <v>-2.0999999999986502E-2</v>
      </c>
      <c r="AF3413">
        <v>2.0557162358157698E-2</v>
      </c>
      <c r="AG3413">
        <v>-0.1109752</v>
      </c>
      <c r="AH3413">
        <v>0.50578179222416197</v>
      </c>
      <c r="AI3413">
        <v>102.365450435599</v>
      </c>
      <c r="AJ3413">
        <v>87.672532462256001</v>
      </c>
      <c r="AK3413">
        <v>0.51822129759856905</v>
      </c>
      <c r="AL3413">
        <v>91.185787609517703</v>
      </c>
      <c r="AM3413">
        <v>85.675266174516693</v>
      </c>
      <c r="AN3413">
        <v>0.99999996930419299</v>
      </c>
    </row>
    <row r="3414" spans="1:40" x14ac:dyDescent="0.25">
      <c r="A3414" t="str">
        <f>"20190312161339303"</f>
        <v>20190312161339303</v>
      </c>
      <c r="B3414" t="str">
        <f>"1552378419299557"</f>
        <v>1552378419299557</v>
      </c>
      <c r="C3414" t="s">
        <v>40</v>
      </c>
      <c r="D3414">
        <v>4.849844</v>
      </c>
      <c r="E3414">
        <v>0.42731789999999997</v>
      </c>
      <c r="F3414" t="s">
        <v>43</v>
      </c>
      <c r="G3414">
        <v>-276.4991</v>
      </c>
      <c r="H3414">
        <v>0.99158020000000002</v>
      </c>
      <c r="I3414">
        <v>214.33770000000001</v>
      </c>
      <c r="J3414">
        <v>-276.98610000000002</v>
      </c>
      <c r="K3414">
        <v>1.109896</v>
      </c>
      <c r="L3414">
        <v>214.3597</v>
      </c>
      <c r="M3414">
        <v>0.99989300000000003</v>
      </c>
      <c r="N3414">
        <v>0</v>
      </c>
      <c r="O3414">
        <v>8.060106E-4</v>
      </c>
      <c r="P3414">
        <v>0.99661699999999998</v>
      </c>
      <c r="Q3414">
        <v>-3.5521740000000003E-2</v>
      </c>
      <c r="R3414">
        <v>-7.4114869999999999E-2</v>
      </c>
      <c r="S3414">
        <v>2.9894099999999999</v>
      </c>
      <c r="T3414">
        <v>-0.4257011</v>
      </c>
      <c r="U3414">
        <v>-7.7362059999999996E-2</v>
      </c>
      <c r="V3414">
        <v>7.491399E-2</v>
      </c>
      <c r="W3414">
        <v>-2.0967969999999999E-2</v>
      </c>
      <c r="X3414">
        <v>0.99696949999999995</v>
      </c>
      <c r="Y3414">
        <v>2.6401560000000001E-2</v>
      </c>
      <c r="Z3414">
        <v>-1.9842839999999998E-3</v>
      </c>
      <c r="AA3414">
        <v>0.99964949999999997</v>
      </c>
      <c r="AB3414">
        <v>34</v>
      </c>
      <c r="AC3414">
        <v>0.48700000000002303</v>
      </c>
      <c r="AD3414">
        <v>-0.118315799999999</v>
      </c>
      <c r="AE3414">
        <v>-2.1999999999991301E-2</v>
      </c>
      <c r="AF3414">
        <v>2.1146930549882099E-2</v>
      </c>
      <c r="AG3414">
        <v>-0.118315799999999</v>
      </c>
      <c r="AH3414">
        <v>0.45989274738942199</v>
      </c>
      <c r="AI3414">
        <v>104.412917775647</v>
      </c>
      <c r="AJ3414">
        <v>87.367262230148398</v>
      </c>
      <c r="AK3414">
        <v>0.47533899514211098</v>
      </c>
      <c r="AL3414">
        <v>91.201464268061002</v>
      </c>
      <c r="AM3414">
        <v>85.702772961901601</v>
      </c>
      <c r="AN3414">
        <v>0.99999997279694497</v>
      </c>
    </row>
    <row r="3415" spans="1:40" x14ac:dyDescent="0.25">
      <c r="A3415" t="str">
        <f>"20190312161339326"</f>
        <v>20190312161339326</v>
      </c>
      <c r="B3415" t="str">
        <f>"1552378419319076"</f>
        <v>1552378419319076</v>
      </c>
      <c r="C3415" t="s">
        <v>40</v>
      </c>
      <c r="D3415">
        <v>4.9848489999999996</v>
      </c>
      <c r="E3415">
        <v>0.42559960000000002</v>
      </c>
      <c r="F3415" t="s">
        <v>59</v>
      </c>
      <c r="G3415">
        <v>-157.25</v>
      </c>
      <c r="H3415">
        <v>0.5731773</v>
      </c>
      <c r="I3415">
        <v>228.27680000000001</v>
      </c>
      <c r="J3415">
        <v>-276.62139999999999</v>
      </c>
      <c r="K3415">
        <v>1.1098969999999999</v>
      </c>
      <c r="L3415">
        <v>214.35990000000001</v>
      </c>
      <c r="M3415">
        <v>0.99989309999999998</v>
      </c>
      <c r="N3415">
        <v>0</v>
      </c>
      <c r="O3415">
        <v>7.3022940000000002E-4</v>
      </c>
      <c r="P3415">
        <v>0.99663400000000002</v>
      </c>
      <c r="Q3415">
        <v>-3.6035949999999997E-2</v>
      </c>
      <c r="R3415">
        <v>-7.363749E-2</v>
      </c>
      <c r="S3415">
        <v>3.0359799999999999</v>
      </c>
      <c r="T3415">
        <v>-1.3607380000000001E-2</v>
      </c>
      <c r="U3415">
        <v>0.35287479999999999</v>
      </c>
      <c r="V3415">
        <v>7.4360809999999999E-2</v>
      </c>
      <c r="W3415">
        <v>-2.1485629999999999E-2</v>
      </c>
      <c r="X3415">
        <v>0.99699990000000005</v>
      </c>
      <c r="Y3415">
        <v>-0.1147271</v>
      </c>
      <c r="Z3415">
        <v>2.5297969999999999E-4</v>
      </c>
      <c r="AA3415">
        <v>0.99339699999999997</v>
      </c>
      <c r="AB3415">
        <v>34</v>
      </c>
      <c r="AC3415">
        <v>119.37139999999999</v>
      </c>
      <c r="AD3415">
        <v>-0.53671969999999902</v>
      </c>
      <c r="AE3415">
        <v>13.916899999999901</v>
      </c>
      <c r="AF3415">
        <v>-13.829442660359501</v>
      </c>
      <c r="AG3415">
        <v>-0.53671969999999902</v>
      </c>
      <c r="AH3415">
        <v>119.37915077783499</v>
      </c>
      <c r="AI3415">
        <v>90.255884548162399</v>
      </c>
      <c r="AJ3415">
        <v>96.607958205839793</v>
      </c>
      <c r="AK3415">
        <v>120.178713559305</v>
      </c>
      <c r="AL3415">
        <v>91.231130675987401</v>
      </c>
      <c r="AM3415">
        <v>85.734516582596399</v>
      </c>
      <c r="AN3415">
        <v>0.99999998148018099</v>
      </c>
    </row>
    <row r="3416" spans="1:40" x14ac:dyDescent="0.25">
      <c r="A3416" t="str">
        <f>"20190312161339350"</f>
        <v>20190312161339350</v>
      </c>
      <c r="B3416" t="str">
        <f>"1552378419339572"</f>
        <v>1552378419339572</v>
      </c>
      <c r="C3416" t="s">
        <v>40</v>
      </c>
      <c r="D3416">
        <v>4.9543030000000003</v>
      </c>
      <c r="E3416">
        <v>0.42569020000000002</v>
      </c>
      <c r="F3416" t="s">
        <v>59</v>
      </c>
      <c r="G3416">
        <v>-157.25</v>
      </c>
      <c r="H3416">
        <v>0.98105189999999998</v>
      </c>
      <c r="I3416">
        <v>228.80410000000001</v>
      </c>
      <c r="J3416">
        <v>-276.26819999999998</v>
      </c>
      <c r="K3416">
        <v>1.1098969999999999</v>
      </c>
      <c r="L3416">
        <v>214.36009999999999</v>
      </c>
      <c r="M3416">
        <v>0.99989309999999998</v>
      </c>
      <c r="N3416">
        <v>0</v>
      </c>
      <c r="O3416">
        <v>6.5659339999999896E-4</v>
      </c>
      <c r="P3416">
        <v>0.99660749999999998</v>
      </c>
      <c r="Q3416">
        <v>-3.623937E-2</v>
      </c>
      <c r="R3416">
        <v>-7.3895130000000003E-2</v>
      </c>
      <c r="S3416">
        <v>3.037201</v>
      </c>
      <c r="T3416">
        <v>-3.2768250000000001E-3</v>
      </c>
      <c r="U3416">
        <v>0.3675079</v>
      </c>
      <c r="V3416">
        <v>7.4544929999999995E-2</v>
      </c>
      <c r="W3416">
        <v>-2.1693250000000001E-2</v>
      </c>
      <c r="X3416">
        <v>0.99698169999999997</v>
      </c>
      <c r="Y3416">
        <v>-0.119474</v>
      </c>
      <c r="Z3416" s="1">
        <v>6.35099E-5</v>
      </c>
      <c r="AA3416">
        <v>0.99283730000000003</v>
      </c>
      <c r="AB3416">
        <v>34</v>
      </c>
      <c r="AC3416">
        <v>119.018199999999</v>
      </c>
      <c r="AD3416">
        <v>-0.12884509999999899</v>
      </c>
      <c r="AE3416">
        <v>14.444000000000001</v>
      </c>
      <c r="AF3416">
        <v>-14.365825391649601</v>
      </c>
      <c r="AG3416">
        <v>-0.12884509999999899</v>
      </c>
      <c r="AH3416">
        <v>119.027521716595</v>
      </c>
      <c r="AI3416">
        <v>90.061574747784107</v>
      </c>
      <c r="AJ3416">
        <v>96.881929942350197</v>
      </c>
      <c r="AK3416">
        <v>119.89138612193</v>
      </c>
      <c r="AL3416">
        <v>91.243029142790107</v>
      </c>
      <c r="AM3416">
        <v>85.7239164495723</v>
      </c>
      <c r="AN3416">
        <v>1.0000000269095699</v>
      </c>
    </row>
    <row r="3417" spans="1:40" x14ac:dyDescent="0.25">
      <c r="A3417" t="str">
        <f>"20190312161339369"</f>
        <v>20190312161339369</v>
      </c>
      <c r="B3417" t="str">
        <f>"1552378419359093"</f>
        <v>1552378419359093</v>
      </c>
      <c r="C3417" t="s">
        <v>40</v>
      </c>
      <c r="D3417">
        <v>4.9324180000000002</v>
      </c>
      <c r="E3417">
        <v>0.42622670000000001</v>
      </c>
      <c r="F3417" t="s">
        <v>59</v>
      </c>
      <c r="G3417">
        <v>-157.25</v>
      </c>
      <c r="H3417">
        <v>1.1374139999999999</v>
      </c>
      <c r="I3417">
        <v>228.7002</v>
      </c>
      <c r="J3417">
        <v>-275.96359999999999</v>
      </c>
      <c r="K3417">
        <v>1.1098980000000001</v>
      </c>
      <c r="L3417">
        <v>214.3603</v>
      </c>
      <c r="M3417">
        <v>0.99989329999999998</v>
      </c>
      <c r="N3417">
        <v>0</v>
      </c>
      <c r="O3417">
        <v>5.9308569999999897E-4</v>
      </c>
      <c r="P3417">
        <v>0.99660709999999997</v>
      </c>
      <c r="Q3417">
        <v>-3.6022489999999997E-2</v>
      </c>
      <c r="R3417">
        <v>-7.4006619999999995E-2</v>
      </c>
      <c r="S3417">
        <v>3.0374150000000002</v>
      </c>
      <c r="T3417">
        <v>7.0369240000000004E-4</v>
      </c>
      <c r="U3417">
        <v>0.36596679999999998</v>
      </c>
      <c r="V3417">
        <v>7.459325E-2</v>
      </c>
      <c r="W3417">
        <v>-2.1479689999999999E-2</v>
      </c>
      <c r="X3417">
        <v>0.9969827</v>
      </c>
      <c r="Y3417">
        <v>-0.1190322</v>
      </c>
      <c r="Z3417" s="1">
        <v>-1.3601779999999999E-5</v>
      </c>
      <c r="AA3417">
        <v>0.99289039999999995</v>
      </c>
      <c r="AB3417">
        <v>34</v>
      </c>
      <c r="AC3417">
        <v>118.7136</v>
      </c>
      <c r="AD3417">
        <v>2.7515999999999801E-2</v>
      </c>
      <c r="AE3417">
        <v>14.3399</v>
      </c>
      <c r="AF3417">
        <v>-14.2694818824035</v>
      </c>
      <c r="AG3417">
        <v>2.7515999999999801E-2</v>
      </c>
      <c r="AH3417">
        <v>118.722078525931</v>
      </c>
      <c r="AI3417">
        <v>89.986815552789196</v>
      </c>
      <c r="AJ3417">
        <v>96.853635785508004</v>
      </c>
      <c r="AK3417">
        <v>119.576547867212</v>
      </c>
      <c r="AL3417">
        <v>91.230790216687495</v>
      </c>
      <c r="AM3417">
        <v>85.721159260181906</v>
      </c>
      <c r="AN3417">
        <v>1.00000001706367</v>
      </c>
    </row>
    <row r="3418" spans="1:40" x14ac:dyDescent="0.25">
      <c r="A3418" t="str">
        <f>"20190312161339385"</f>
        <v>20190312161339385</v>
      </c>
      <c r="B3418" t="str">
        <f>"1552378419379590"</f>
        <v>1552378419379590</v>
      </c>
      <c r="C3418" t="s">
        <v>40</v>
      </c>
      <c r="D3418">
        <v>4.896293</v>
      </c>
      <c r="E3418">
        <v>0.42587049999999999</v>
      </c>
      <c r="F3418" t="s">
        <v>59</v>
      </c>
      <c r="G3418">
        <v>-157.25</v>
      </c>
      <c r="H3418">
        <v>1.164504</v>
      </c>
      <c r="I3418">
        <v>228.48089999999999</v>
      </c>
      <c r="J3418">
        <v>-275.70999999999998</v>
      </c>
      <c r="K3418">
        <v>1.1098980000000001</v>
      </c>
      <c r="L3418">
        <v>214.3604</v>
      </c>
      <c r="M3418">
        <v>0.99989320000000004</v>
      </c>
      <c r="N3418">
        <v>0</v>
      </c>
      <c r="O3418">
        <v>5.4036129999999896E-4</v>
      </c>
      <c r="P3418">
        <v>0.99659350000000002</v>
      </c>
      <c r="Q3418">
        <v>-3.6053929999999998E-2</v>
      </c>
      <c r="R3418">
        <v>-7.4173879999999998E-2</v>
      </c>
      <c r="S3418">
        <v>3.0370789999999999</v>
      </c>
      <c r="T3418">
        <v>1.398444E-3</v>
      </c>
      <c r="U3418">
        <v>0.36125180000000001</v>
      </c>
      <c r="V3418">
        <v>7.4708079999999996E-2</v>
      </c>
      <c r="W3418">
        <v>-2.1514080000000001E-2</v>
      </c>
      <c r="X3418">
        <v>0.99697329999999995</v>
      </c>
      <c r="Y3418">
        <v>-0.1175778</v>
      </c>
      <c r="Z3418" s="1">
        <v>-2.6726730000000002E-5</v>
      </c>
      <c r="AA3418">
        <v>0.99306369999999999</v>
      </c>
      <c r="AB3418">
        <v>34</v>
      </c>
      <c r="AC3418">
        <v>118.459999999999</v>
      </c>
      <c r="AD3418">
        <v>5.4605999999999898E-2</v>
      </c>
      <c r="AE3418">
        <v>14.1204999999999</v>
      </c>
      <c r="AF3418">
        <v>-14.0564769656518</v>
      </c>
      <c r="AG3418">
        <v>5.4605999999999898E-2</v>
      </c>
      <c r="AH3418">
        <v>118.467588866894</v>
      </c>
      <c r="AI3418">
        <v>89.973774266286199</v>
      </c>
      <c r="AJ3418">
        <v>96.766651902441694</v>
      </c>
      <c r="AK3418">
        <v>119.29860493080599</v>
      </c>
      <c r="AL3418">
        <v>91.232761148144704</v>
      </c>
      <c r="AM3418">
        <v>85.714556611629405</v>
      </c>
      <c r="AN3418">
        <v>0.99999995688420995</v>
      </c>
    </row>
    <row r="3419" spans="1:40" x14ac:dyDescent="0.25">
      <c r="A3419" t="str">
        <f>"20190312161339403"</f>
        <v>20190312161339403</v>
      </c>
      <c r="B3419" t="str">
        <f>"1552378419399109"</f>
        <v>1552378419399109</v>
      </c>
      <c r="C3419" t="s">
        <v>40</v>
      </c>
      <c r="D3419">
        <v>4.8763360000000002</v>
      </c>
      <c r="E3419">
        <v>0.4257686</v>
      </c>
      <c r="F3419" t="s">
        <v>59</v>
      </c>
      <c r="G3419">
        <v>-157.25</v>
      </c>
      <c r="H3419">
        <v>1.2813380000000001</v>
      </c>
      <c r="I3419">
        <v>228.53710000000001</v>
      </c>
      <c r="J3419">
        <v>-275.45229999999998</v>
      </c>
      <c r="K3419">
        <v>1.1098939999999999</v>
      </c>
      <c r="L3419">
        <v>214.3604</v>
      </c>
      <c r="M3419">
        <v>0.99989340000000004</v>
      </c>
      <c r="N3419">
        <v>0</v>
      </c>
      <c r="O3419">
        <v>4.8632770000000002E-4</v>
      </c>
      <c r="P3419">
        <v>0.99655689999999997</v>
      </c>
      <c r="Q3419">
        <v>-3.5871599999999997E-2</v>
      </c>
      <c r="R3419">
        <v>-7.4752170000000007E-2</v>
      </c>
      <c r="S3419">
        <v>3.0374759999999998</v>
      </c>
      <c r="T3419">
        <v>4.397392E-3</v>
      </c>
      <c r="U3419">
        <v>0.3635101</v>
      </c>
      <c r="V3419">
        <v>7.5232389999999996E-2</v>
      </c>
      <c r="W3419">
        <v>-2.1335170000000001E-2</v>
      </c>
      <c r="X3419">
        <v>0.99693779999999999</v>
      </c>
      <c r="Y3419">
        <v>-0.11834409999999999</v>
      </c>
      <c r="Z3419" s="1">
        <v>-8.4657919999999996E-5</v>
      </c>
      <c r="AA3419">
        <v>0.99297259999999998</v>
      </c>
      <c r="AB3419">
        <v>34</v>
      </c>
      <c r="AC3419">
        <v>118.202299999999</v>
      </c>
      <c r="AD3419">
        <v>0.17144399999999901</v>
      </c>
      <c r="AE3419">
        <v>14.1767</v>
      </c>
      <c r="AF3419">
        <v>-14.119177866775599</v>
      </c>
      <c r="AG3419">
        <v>0.17144399999999901</v>
      </c>
      <c r="AH3419">
        <v>118.20893612007001</v>
      </c>
      <c r="AI3419">
        <v>89.917487780732202</v>
      </c>
      <c r="AJ3419">
        <v>96.811285734830193</v>
      </c>
      <c r="AK3419">
        <v>119.049288764434</v>
      </c>
      <c r="AL3419">
        <v>91.222507905289305</v>
      </c>
      <c r="AM3419">
        <v>85.684441004326303</v>
      </c>
      <c r="AN3419">
        <v>1.0000000395264299</v>
      </c>
    </row>
    <row r="3420" spans="1:40" x14ac:dyDescent="0.25">
      <c r="A3420" t="str">
        <f>"20190312161339426"</f>
        <v>20190312161339426</v>
      </c>
      <c r="B3420" t="str">
        <f>"1552378419419609"</f>
        <v>1552378419419609</v>
      </c>
      <c r="C3420" t="s">
        <v>40</v>
      </c>
      <c r="D3420">
        <v>4.7576029999999996</v>
      </c>
      <c r="E3420">
        <v>0.4254984</v>
      </c>
      <c r="F3420" t="s">
        <v>59</v>
      </c>
      <c r="G3420">
        <v>-157.25</v>
      </c>
      <c r="H3420">
        <v>1.3325800000000001</v>
      </c>
      <c r="I3420">
        <v>228.46449999999999</v>
      </c>
      <c r="J3420">
        <v>-275.09589999999997</v>
      </c>
      <c r="K3420">
        <v>1.109899</v>
      </c>
      <c r="L3420">
        <v>214.3605</v>
      </c>
      <c r="M3420">
        <v>0.99989349999999999</v>
      </c>
      <c r="N3420">
        <v>0</v>
      </c>
      <c r="O3420">
        <v>4.1215400000000003E-4</v>
      </c>
      <c r="P3420">
        <v>0.99653579999999997</v>
      </c>
      <c r="Q3420">
        <v>-3.5556730000000002E-2</v>
      </c>
      <c r="R3420">
        <v>-7.5181970000000001E-2</v>
      </c>
      <c r="S3420">
        <v>3.0377809999999998</v>
      </c>
      <c r="T3420">
        <v>5.72443E-3</v>
      </c>
      <c r="U3420">
        <v>0.36247249999999998</v>
      </c>
      <c r="V3420">
        <v>7.5588500000000003E-2</v>
      </c>
      <c r="W3420">
        <v>-2.1024600000000001E-2</v>
      </c>
      <c r="X3420">
        <v>0.99691739999999995</v>
      </c>
      <c r="Y3420">
        <v>-0.1180715</v>
      </c>
      <c r="Z3420">
        <v>-1.100804E-4</v>
      </c>
      <c r="AA3420">
        <v>0.99300509999999997</v>
      </c>
      <c r="AB3420">
        <v>34</v>
      </c>
      <c r="AC3420">
        <v>117.84589999999901</v>
      </c>
      <c r="AD3420">
        <v>0.22268099999999899</v>
      </c>
      <c r="AE3420">
        <v>14.1039999999999</v>
      </c>
      <c r="AF3420">
        <v>-14.055373496567199</v>
      </c>
      <c r="AG3420">
        <v>0.22268099999999899</v>
      </c>
      <c r="AH3420">
        <v>117.851288773394</v>
      </c>
      <c r="AI3420">
        <v>89.8925010932643</v>
      </c>
      <c r="AJ3420">
        <v>96.801178305781804</v>
      </c>
      <c r="AK3420">
        <v>118.686685759211</v>
      </c>
      <c r="AL3420">
        <v>91.204709636365493</v>
      </c>
      <c r="AM3420">
        <v>85.664002781135594</v>
      </c>
      <c r="AN3420">
        <v>0.99999997878008395</v>
      </c>
    </row>
    <row r="3421" spans="1:40" x14ac:dyDescent="0.25">
      <c r="A3421" t="str">
        <f>"20190312161339448"</f>
        <v>20190312161339448</v>
      </c>
      <c r="B3421" t="str">
        <f>"1552378419439126"</f>
        <v>1552378419439126</v>
      </c>
      <c r="C3421" t="s">
        <v>40</v>
      </c>
      <c r="D3421">
        <v>4.9002889999999999</v>
      </c>
      <c r="E3421">
        <v>0.4253229</v>
      </c>
      <c r="F3421" t="s">
        <v>59</v>
      </c>
      <c r="G3421">
        <v>-157.25</v>
      </c>
      <c r="H3421">
        <v>1.455759</v>
      </c>
      <c r="I3421">
        <v>228.4563</v>
      </c>
      <c r="J3421">
        <v>-274.76069999999999</v>
      </c>
      <c r="K3421">
        <v>1.1099000000000001</v>
      </c>
      <c r="L3421">
        <v>214.36060000000001</v>
      </c>
      <c r="M3421">
        <v>0.99989360000000005</v>
      </c>
      <c r="N3421">
        <v>0</v>
      </c>
      <c r="O3421">
        <v>3.4209220000000002E-4</v>
      </c>
      <c r="P3421">
        <v>0.99652419999999997</v>
      </c>
      <c r="Q3421">
        <v>-3.5462489999999999E-2</v>
      </c>
      <c r="R3421">
        <v>-7.5380959999999997E-2</v>
      </c>
      <c r="S3421">
        <v>3.0381770000000001</v>
      </c>
      <c r="T3421">
        <v>8.9180470000000001E-3</v>
      </c>
      <c r="U3421">
        <v>0.36340329999999998</v>
      </c>
      <c r="V3421">
        <v>7.5717430000000002E-2</v>
      </c>
      <c r="W3421">
        <v>-2.0934189999999998E-2</v>
      </c>
      <c r="X3421">
        <v>0.99690959999999995</v>
      </c>
      <c r="Y3421">
        <v>-0.1184255</v>
      </c>
      <c r="Z3421">
        <v>-1.721905E-4</v>
      </c>
      <c r="AA3421">
        <v>0.99296300000000004</v>
      </c>
      <c r="AB3421">
        <v>34</v>
      </c>
      <c r="AC3421">
        <v>117.5107</v>
      </c>
      <c r="AD3421">
        <v>0.34585899999999897</v>
      </c>
      <c r="AE3421">
        <v>14.0956999999999</v>
      </c>
      <c r="AF3421">
        <v>-14.055375378136301</v>
      </c>
      <c r="AG3421">
        <v>0.34585899999999897</v>
      </c>
      <c r="AH3421">
        <v>117.514512134154</v>
      </c>
      <c r="AI3421">
        <v>89.832565637257105</v>
      </c>
      <c r="AJ3421">
        <v>96.820486880279304</v>
      </c>
      <c r="AK3421">
        <v>118.352582386682</v>
      </c>
      <c r="AL3421">
        <v>91.199528286984204</v>
      </c>
      <c r="AM3421">
        <v>85.656601369491099</v>
      </c>
      <c r="AN3421">
        <v>1.0000000600444501</v>
      </c>
    </row>
    <row r="3422" spans="1:40" x14ac:dyDescent="0.25">
      <c r="A3422" t="str">
        <f>"20190312161339470"</f>
        <v>20190312161339470</v>
      </c>
      <c r="B3422" t="str">
        <f>"1552378419459622"</f>
        <v>1552378419459622</v>
      </c>
      <c r="C3422" t="s">
        <v>40</v>
      </c>
      <c r="D3422">
        <v>4.9347649999999996</v>
      </c>
      <c r="E3422">
        <v>0.4251144</v>
      </c>
      <c r="F3422" t="s">
        <v>59</v>
      </c>
      <c r="G3422">
        <v>-157.25</v>
      </c>
      <c r="H3422">
        <v>1.507061</v>
      </c>
      <c r="I3422">
        <v>228.43610000000001</v>
      </c>
      <c r="J3422">
        <v>-274.43779999999998</v>
      </c>
      <c r="K3422">
        <v>1.10989</v>
      </c>
      <c r="L3422">
        <v>214.36070000000001</v>
      </c>
      <c r="M3422">
        <v>0.9998937</v>
      </c>
      <c r="N3422">
        <v>0</v>
      </c>
      <c r="O3422">
        <v>2.7489000000000002E-4</v>
      </c>
      <c r="P3422">
        <v>0.99648859999999995</v>
      </c>
      <c r="Q3422">
        <v>-3.588711E-2</v>
      </c>
      <c r="R3422">
        <v>-7.5651850000000007E-2</v>
      </c>
      <c r="S3422">
        <v>3.0383610000000001</v>
      </c>
      <c r="T3422">
        <v>1.027048E-2</v>
      </c>
      <c r="U3422">
        <v>0.36393740000000002</v>
      </c>
      <c r="V3422">
        <v>7.5921160000000001E-2</v>
      </c>
      <c r="W3422">
        <v>-2.136279E-2</v>
      </c>
      <c r="X3422">
        <v>0.99688489999999996</v>
      </c>
      <c r="Y3422">
        <v>-0.1186571</v>
      </c>
      <c r="Z3422">
        <v>-1.989057E-4</v>
      </c>
      <c r="AA3422">
        <v>0.99293529999999997</v>
      </c>
      <c r="AB3422">
        <v>34</v>
      </c>
      <c r="AC3422">
        <v>117.187799999999</v>
      </c>
      <c r="AD3422">
        <v>0.397171</v>
      </c>
      <c r="AE3422">
        <v>14.0754</v>
      </c>
      <c r="AF3422">
        <v>-14.0430232781114</v>
      </c>
      <c r="AG3422">
        <v>0.397171</v>
      </c>
      <c r="AH3422">
        <v>117.190338198003</v>
      </c>
      <c r="AI3422">
        <v>89.807198336132601</v>
      </c>
      <c r="AJ3422">
        <v>96.833221840145299</v>
      </c>
      <c r="AK3422">
        <v>118.029401483508</v>
      </c>
      <c r="AL3422">
        <v>91.224090887973006</v>
      </c>
      <c r="AM3422">
        <v>85.644852162956496</v>
      </c>
      <c r="AN3422">
        <v>0.99999994759016797</v>
      </c>
    </row>
    <row r="3423" spans="1:40" x14ac:dyDescent="0.25">
      <c r="A3423" t="str">
        <f>"20190312161339492"</f>
        <v>20190312161339492</v>
      </c>
      <c r="B3423" t="str">
        <f>"1552378419489876"</f>
        <v>1552378419489876</v>
      </c>
      <c r="C3423" t="s">
        <v>40</v>
      </c>
      <c r="D3423">
        <v>4.9614219999999998</v>
      </c>
      <c r="E3423">
        <v>0.42525069999999998</v>
      </c>
      <c r="F3423" t="s">
        <v>59</v>
      </c>
      <c r="G3423">
        <v>-157.25</v>
      </c>
      <c r="H3423">
        <v>1.473598</v>
      </c>
      <c r="I3423">
        <v>228.4342</v>
      </c>
      <c r="J3423">
        <v>-274.09699999999998</v>
      </c>
      <c r="K3423">
        <v>1.1098969999999999</v>
      </c>
      <c r="L3423">
        <v>214.36070000000001</v>
      </c>
      <c r="M3423">
        <v>0.99989360000000005</v>
      </c>
      <c r="N3423">
        <v>0</v>
      </c>
      <c r="O3423">
        <v>2.037563E-4</v>
      </c>
      <c r="P3423">
        <v>0.99648979999999998</v>
      </c>
      <c r="Q3423">
        <v>-3.5838620000000002E-2</v>
      </c>
      <c r="R3423">
        <v>-7.565537E-2</v>
      </c>
      <c r="S3423">
        <v>3.0385740000000001</v>
      </c>
      <c r="T3423">
        <v>9.4320770000000005E-3</v>
      </c>
      <c r="U3423">
        <v>0.36491390000000001</v>
      </c>
      <c r="V3423">
        <v>7.5854060000000001E-2</v>
      </c>
      <c r="W3423">
        <v>-2.1317920000000001E-2</v>
      </c>
      <c r="X3423">
        <v>0.99689099999999997</v>
      </c>
      <c r="Y3423">
        <v>-0.1190341</v>
      </c>
      <c r="Z3423">
        <v>-1.834556E-4</v>
      </c>
      <c r="AA3423">
        <v>0.9928901</v>
      </c>
      <c r="AB3423">
        <v>34</v>
      </c>
      <c r="AC3423">
        <v>116.846999999999</v>
      </c>
      <c r="AD3423">
        <v>0.363701</v>
      </c>
      <c r="AE3423">
        <v>14.0734999999999</v>
      </c>
      <c r="AF3423">
        <v>-14.049554690554499</v>
      </c>
      <c r="AG3423">
        <v>0.363701</v>
      </c>
      <c r="AH3423">
        <v>116.848749549158</v>
      </c>
      <c r="AI3423">
        <v>89.822938204931702</v>
      </c>
      <c r="AJ3423">
        <v>96.856164976151206</v>
      </c>
      <c r="AK3423">
        <v>117.690919516427</v>
      </c>
      <c r="AL3423">
        <v>91.221519402230896</v>
      </c>
      <c r="AM3423">
        <v>85.648713026949693</v>
      </c>
      <c r="AN3423">
        <v>0.999999979006304</v>
      </c>
    </row>
    <row r="3424" spans="1:40" x14ac:dyDescent="0.25">
      <c r="A3424" t="str">
        <f>"20190312161339515"</f>
        <v>20190312161339515</v>
      </c>
      <c r="B3424" t="str">
        <f>"1552378419509397"</f>
        <v>1552378419509397</v>
      </c>
      <c r="C3424" t="s">
        <v>40</v>
      </c>
      <c r="D3424">
        <v>5.0712919999999997</v>
      </c>
      <c r="E3424">
        <v>0.42557050000000002</v>
      </c>
      <c r="F3424" t="s">
        <v>59</v>
      </c>
      <c r="G3424">
        <v>-157.25</v>
      </c>
      <c r="H3424">
        <v>1.524081</v>
      </c>
      <c r="I3424">
        <v>228.34690000000001</v>
      </c>
      <c r="J3424">
        <v>-273.74810000000002</v>
      </c>
      <c r="K3424">
        <v>1.109899</v>
      </c>
      <c r="L3424">
        <v>214.36070000000001</v>
      </c>
      <c r="M3424">
        <v>0.9998937</v>
      </c>
      <c r="N3424">
        <v>0</v>
      </c>
      <c r="O3424">
        <v>1.310149E-4</v>
      </c>
      <c r="P3424">
        <v>0.99648309999999996</v>
      </c>
      <c r="Q3424">
        <v>-3.5833770000000001E-2</v>
      </c>
      <c r="R3424">
        <v>-7.5747560000000005E-2</v>
      </c>
      <c r="S3424">
        <v>3.0385740000000001</v>
      </c>
      <c r="T3424">
        <v>1.0772230000000001E-2</v>
      </c>
      <c r="U3424">
        <v>0.36370849999999999</v>
      </c>
      <c r="V3424">
        <v>7.5873650000000001E-2</v>
      </c>
      <c r="W3424">
        <v>-2.1316930000000001E-2</v>
      </c>
      <c r="X3424">
        <v>0.99688949999999998</v>
      </c>
      <c r="Y3424">
        <v>-0.1187179</v>
      </c>
      <c r="Z3424">
        <v>-2.092249E-4</v>
      </c>
      <c r="AA3424">
        <v>0.99292800000000003</v>
      </c>
      <c r="AB3424">
        <v>34</v>
      </c>
      <c r="AC3424">
        <v>116.49809999999999</v>
      </c>
      <c r="AD3424">
        <v>0.41418199999999999</v>
      </c>
      <c r="AE3424">
        <v>13.986199999999901</v>
      </c>
      <c r="AF3424">
        <v>-13.9707611901043</v>
      </c>
      <c r="AG3424">
        <v>0.41418199999999999</v>
      </c>
      <c r="AH3424">
        <v>116.498479984819</v>
      </c>
      <c r="AI3424">
        <v>89.797748774020206</v>
      </c>
      <c r="AJ3424">
        <v>96.838382517051699</v>
      </c>
      <c r="AK3424">
        <v>117.333923286206</v>
      </c>
      <c r="AL3424">
        <v>91.221462703490502</v>
      </c>
      <c r="AM3424">
        <v>85.647587061313104</v>
      </c>
      <c r="AN3424">
        <v>0.99999994873959697</v>
      </c>
    </row>
    <row r="3425" spans="1:40" x14ac:dyDescent="0.25">
      <c r="A3425" t="str">
        <f>"20190312161339538"</f>
        <v>20190312161339538</v>
      </c>
      <c r="B3425" t="str">
        <f>"1552378419529894"</f>
        <v>1552378419529894</v>
      </c>
      <c r="C3425" t="s">
        <v>40</v>
      </c>
      <c r="D3425">
        <v>5.0200129999999996</v>
      </c>
      <c r="E3425">
        <v>0.42569489999999999</v>
      </c>
      <c r="F3425" t="s">
        <v>59</v>
      </c>
      <c r="G3425">
        <v>-157.25</v>
      </c>
      <c r="H3425">
        <v>1.451562</v>
      </c>
      <c r="I3425">
        <v>228.20490000000001</v>
      </c>
      <c r="J3425">
        <v>-273.40339999999998</v>
      </c>
      <c r="K3425">
        <v>1.109904</v>
      </c>
      <c r="L3425">
        <v>214.36060000000001</v>
      </c>
      <c r="M3425">
        <v>0.99989380000000005</v>
      </c>
      <c r="N3425">
        <v>0</v>
      </c>
      <c r="O3425" s="1">
        <v>5.8868849999999998E-5</v>
      </c>
      <c r="P3425">
        <v>0.99652390000000002</v>
      </c>
      <c r="Q3425">
        <v>-3.5960659999999998E-2</v>
      </c>
      <c r="R3425">
        <v>-7.5149560000000004E-2</v>
      </c>
      <c r="S3425">
        <v>3.0383610000000001</v>
      </c>
      <c r="T3425">
        <v>8.9123250000000005E-3</v>
      </c>
      <c r="U3425">
        <v>0.36106870000000002</v>
      </c>
      <c r="V3425">
        <v>7.5203790000000006E-2</v>
      </c>
      <c r="W3425">
        <v>-2.144677E-2</v>
      </c>
      <c r="X3425">
        <v>0.99693750000000003</v>
      </c>
      <c r="Y3425">
        <v>-0.11794739999999999</v>
      </c>
      <c r="Z3425">
        <v>-1.722068E-4</v>
      </c>
      <c r="AA3425">
        <v>0.99301980000000001</v>
      </c>
      <c r="AB3425">
        <v>34</v>
      </c>
      <c r="AC3425">
        <v>116.153399999999</v>
      </c>
      <c r="AD3425">
        <v>0.34165800000000002</v>
      </c>
      <c r="AE3425">
        <v>13.8443</v>
      </c>
      <c r="AF3425">
        <v>-13.8373433881741</v>
      </c>
      <c r="AG3425">
        <v>0.34165800000000002</v>
      </c>
      <c r="AH3425">
        <v>116.15322399579399</v>
      </c>
      <c r="AI3425">
        <v>89.832651571811894</v>
      </c>
      <c r="AJ3425">
        <v>96.793633423607304</v>
      </c>
      <c r="AK3425">
        <v>116.975041127791</v>
      </c>
      <c r="AL3425">
        <v>91.228903654985203</v>
      </c>
      <c r="AM3425">
        <v>85.686074099809005</v>
      </c>
      <c r="AN3425">
        <v>0.99999997644002303</v>
      </c>
    </row>
    <row r="3426" spans="1:40" x14ac:dyDescent="0.25">
      <c r="A3426" t="str">
        <f>"20190312161339560"</f>
        <v>20190312161339560</v>
      </c>
      <c r="B3426" t="str">
        <f>"1552378419549413"</f>
        <v>1552378419549413</v>
      </c>
      <c r="C3426" t="s">
        <v>40</v>
      </c>
      <c r="D3426">
        <v>5.0479370000000001</v>
      </c>
      <c r="E3426">
        <v>0.42610360000000003</v>
      </c>
      <c r="F3426" t="s">
        <v>59</v>
      </c>
      <c r="G3426">
        <v>-157.25</v>
      </c>
      <c r="H3426">
        <v>1.387815</v>
      </c>
      <c r="I3426">
        <v>228.20060000000001</v>
      </c>
      <c r="J3426">
        <v>-273.07279999999997</v>
      </c>
      <c r="K3426">
        <v>1.109904</v>
      </c>
      <c r="L3426">
        <v>214.36060000000001</v>
      </c>
      <c r="M3426">
        <v>0.9998937</v>
      </c>
      <c r="N3426">
        <v>0</v>
      </c>
      <c r="O3426" s="1">
        <v>-1.023896E-5</v>
      </c>
      <c r="P3426">
        <v>0.99650050000000001</v>
      </c>
      <c r="Q3426">
        <v>-3.6820020000000002E-2</v>
      </c>
      <c r="R3426">
        <v>-7.5038270000000004E-2</v>
      </c>
      <c r="S3426">
        <v>3.0379939999999999</v>
      </c>
      <c r="T3426">
        <v>7.2702169999999998E-3</v>
      </c>
      <c r="U3426">
        <v>0.36198429999999998</v>
      </c>
      <c r="V3426">
        <v>7.5023660000000006E-2</v>
      </c>
      <c r="W3426">
        <v>-2.2309889999999999E-2</v>
      </c>
      <c r="X3426">
        <v>0.99693209999999999</v>
      </c>
      <c r="Y3426">
        <v>-0.11832529999999999</v>
      </c>
      <c r="Z3426">
        <v>-1.411072E-4</v>
      </c>
      <c r="AA3426">
        <v>0.99297489999999999</v>
      </c>
      <c r="AB3426">
        <v>34</v>
      </c>
      <c r="AC3426">
        <v>115.82279999999901</v>
      </c>
      <c r="AD3426">
        <v>0.27791100000000002</v>
      </c>
      <c r="AE3426">
        <v>13.84</v>
      </c>
      <c r="AF3426">
        <v>-13.841107463947401</v>
      </c>
      <c r="AG3426">
        <v>0.27791100000000002</v>
      </c>
      <c r="AH3426">
        <v>115.822000830061</v>
      </c>
      <c r="AI3426">
        <v>89.863492242329102</v>
      </c>
      <c r="AJ3426">
        <v>96.814715065434996</v>
      </c>
      <c r="AK3426">
        <v>116.646428863601</v>
      </c>
      <c r="AL3426">
        <v>91.278368669237494</v>
      </c>
      <c r="AM3426">
        <v>85.696344832585496</v>
      </c>
      <c r="AN3426">
        <v>0.99999994638100698</v>
      </c>
    </row>
    <row r="3427" spans="1:40" x14ac:dyDescent="0.25">
      <c r="A3427" t="str">
        <f>"20190312161339582"</f>
        <v>20190312161339582</v>
      </c>
      <c r="B3427" t="str">
        <f>"1552378419579670"</f>
        <v>1552378419579670</v>
      </c>
      <c r="C3427" t="s">
        <v>40</v>
      </c>
      <c r="D3427">
        <v>5.1527139999999996</v>
      </c>
      <c r="E3427">
        <v>0.426977</v>
      </c>
      <c r="F3427" t="s">
        <v>59</v>
      </c>
      <c r="G3427">
        <v>-157.25</v>
      </c>
      <c r="H3427">
        <v>1.4210560000000001</v>
      </c>
      <c r="I3427">
        <v>228.03790000000001</v>
      </c>
      <c r="J3427">
        <v>-272.74009999999998</v>
      </c>
      <c r="K3427">
        <v>1.109904</v>
      </c>
      <c r="L3427">
        <v>214.3605</v>
      </c>
      <c r="M3427">
        <v>0.9998939</v>
      </c>
      <c r="N3427">
        <v>0</v>
      </c>
      <c r="O3427" s="1">
        <v>-7.9823599999999999E-5</v>
      </c>
      <c r="P3427">
        <v>0.99652289999999999</v>
      </c>
      <c r="Q3427">
        <v>-3.6640329999999999E-2</v>
      </c>
      <c r="R3427">
        <v>-7.4830380000000002E-2</v>
      </c>
      <c r="S3427">
        <v>3.0378419999999999</v>
      </c>
      <c r="T3427">
        <v>8.1624980000000007E-3</v>
      </c>
      <c r="U3427">
        <v>0.3587341</v>
      </c>
      <c r="V3427">
        <v>7.4746270000000004E-2</v>
      </c>
      <c r="W3427">
        <v>-2.2133420000000001E-2</v>
      </c>
      <c r="X3427">
        <v>0.99695690000000003</v>
      </c>
      <c r="Y3427">
        <v>-0.1173525</v>
      </c>
      <c r="Z3427">
        <v>-1.57327199999999E-4</v>
      </c>
      <c r="AA3427">
        <v>0.99309029999999998</v>
      </c>
      <c r="AB3427">
        <v>34</v>
      </c>
      <c r="AC3427">
        <v>115.490099999999</v>
      </c>
      <c r="AD3427">
        <v>0.31115199999999898</v>
      </c>
      <c r="AE3427">
        <v>13.6774</v>
      </c>
      <c r="AF3427">
        <v>-13.686521798621399</v>
      </c>
      <c r="AG3427">
        <v>0.31115199999999898</v>
      </c>
      <c r="AH3427">
        <v>115.48818104364901</v>
      </c>
      <c r="AI3427">
        <v>89.846704957040501</v>
      </c>
      <c r="AJ3427">
        <v>96.758608355966103</v>
      </c>
      <c r="AK3427">
        <v>116.296765454942</v>
      </c>
      <c r="AL3427">
        <v>91.268255146537498</v>
      </c>
      <c r="AM3427">
        <v>85.712303835794899</v>
      </c>
      <c r="AN3427">
        <v>0.999999976808709</v>
      </c>
    </row>
    <row r="3428" spans="1:40" x14ac:dyDescent="0.25">
      <c r="A3428" t="str">
        <f>"20190312161339605"</f>
        <v>20190312161339605</v>
      </c>
      <c r="B3428" t="str">
        <f>"1552378419599206"</f>
        <v>1552378419599206</v>
      </c>
      <c r="C3428" t="s">
        <v>40</v>
      </c>
      <c r="D3428">
        <v>5.0908009999999999</v>
      </c>
      <c r="E3428">
        <v>0.42752200000000001</v>
      </c>
      <c r="F3428" t="s">
        <v>59</v>
      </c>
      <c r="G3428">
        <v>-157.25</v>
      </c>
      <c r="H3428">
        <v>1.624933</v>
      </c>
      <c r="I3428">
        <v>227.75290000000001</v>
      </c>
      <c r="J3428">
        <v>-272.40629999999999</v>
      </c>
      <c r="K3428">
        <v>1.109904</v>
      </c>
      <c r="L3428">
        <v>214.3604</v>
      </c>
      <c r="M3428">
        <v>0.99989399999999995</v>
      </c>
      <c r="N3428">
        <v>0</v>
      </c>
      <c r="O3428">
        <v>-1.495275E-4</v>
      </c>
      <c r="P3428">
        <v>0.99654219999999905</v>
      </c>
      <c r="Q3428">
        <v>-3.6171210000000002E-2</v>
      </c>
      <c r="R3428">
        <v>-7.4805609999999995E-2</v>
      </c>
      <c r="S3428">
        <v>3.0373839999999999</v>
      </c>
      <c r="T3428">
        <v>1.354671E-2</v>
      </c>
      <c r="U3428">
        <v>0.35221859999999999</v>
      </c>
      <c r="V3428">
        <v>7.4651949999999995E-2</v>
      </c>
      <c r="W3428">
        <v>-2.1667599999999999E-2</v>
      </c>
      <c r="X3428">
        <v>0.99697420000000003</v>
      </c>
      <c r="Y3428">
        <v>-0.1153367</v>
      </c>
      <c r="Z3428">
        <v>-2.570049E-4</v>
      </c>
      <c r="AA3428">
        <v>0.99332640000000005</v>
      </c>
      <c r="AB3428">
        <v>34</v>
      </c>
      <c r="AC3428">
        <v>115.1563</v>
      </c>
      <c r="AD3428">
        <v>0.51502899999999996</v>
      </c>
      <c r="AE3428">
        <v>13.3925</v>
      </c>
      <c r="AF3428">
        <v>-13.409456063615201</v>
      </c>
      <c r="AG3428">
        <v>0.51502899999999996</v>
      </c>
      <c r="AH3428">
        <v>115.152023342974</v>
      </c>
      <c r="AI3428">
        <v>89.7454605954089</v>
      </c>
      <c r="AJ3428">
        <v>96.642178801601702</v>
      </c>
      <c r="AK3428">
        <v>115.931303998418</v>
      </c>
      <c r="AL3428">
        <v>91.241559222547707</v>
      </c>
      <c r="AM3428">
        <v>85.717768239621094</v>
      </c>
      <c r="AN3428">
        <v>0.99999997699710097</v>
      </c>
    </row>
    <row r="3429" spans="1:40" x14ac:dyDescent="0.25">
      <c r="A3429" t="str">
        <f>"20190312161339627"</f>
        <v>20190312161339627</v>
      </c>
      <c r="B3429" t="str">
        <f>"1552378419619689"</f>
        <v>1552378419619689</v>
      </c>
      <c r="C3429" t="s">
        <v>40</v>
      </c>
      <c r="D3429">
        <v>4.9903589999999998</v>
      </c>
      <c r="E3429">
        <v>0.42796640000000002</v>
      </c>
      <c r="F3429" t="s">
        <v>59</v>
      </c>
      <c r="G3429">
        <v>-157.25</v>
      </c>
      <c r="H3429">
        <v>1.6662490000000001</v>
      </c>
      <c r="I3429">
        <v>227.56370000000001</v>
      </c>
      <c r="J3429">
        <v>-272.0643</v>
      </c>
      <c r="K3429">
        <v>1.1099060000000001</v>
      </c>
      <c r="L3429">
        <v>214.3603</v>
      </c>
      <c r="M3429">
        <v>0.99989410000000001</v>
      </c>
      <c r="N3429">
        <v>0</v>
      </c>
      <c r="O3429">
        <v>-2.211378E-4</v>
      </c>
      <c r="P3429">
        <v>0.99653579999999997</v>
      </c>
      <c r="Q3429">
        <v>-3.6620609999999998E-2</v>
      </c>
      <c r="R3429">
        <v>-7.4670819999999999E-2</v>
      </c>
      <c r="S3429">
        <v>3.0371090000000001</v>
      </c>
      <c r="T3429">
        <v>1.467443E-2</v>
      </c>
      <c r="U3429">
        <v>0.3482208</v>
      </c>
      <c r="V3429">
        <v>7.4445810000000001E-2</v>
      </c>
      <c r="W3429">
        <v>-2.212066E-2</v>
      </c>
      <c r="X3429">
        <v>0.99697970000000002</v>
      </c>
      <c r="Y3429">
        <v>-0.11412750000000001</v>
      </c>
      <c r="Z3429">
        <v>-2.7587860000000001E-4</v>
      </c>
      <c r="AA3429">
        <v>0.99346610000000002</v>
      </c>
      <c r="AB3429">
        <v>34</v>
      </c>
      <c r="AC3429">
        <v>114.8143</v>
      </c>
      <c r="AD3429">
        <v>0.55634300000000003</v>
      </c>
      <c r="AE3429">
        <v>13.2034</v>
      </c>
      <c r="AF3429">
        <v>-13.2284855997799</v>
      </c>
      <c r="AG3429">
        <v>0.55634300000000003</v>
      </c>
      <c r="AH3429">
        <v>114.808716616971</v>
      </c>
      <c r="AI3429">
        <v>89.724181657850195</v>
      </c>
      <c r="AJ3429">
        <v>96.572747584613793</v>
      </c>
      <c r="AK3429">
        <v>115.56964895695199</v>
      </c>
      <c r="AL3429">
        <v>91.2675238284438</v>
      </c>
      <c r="AM3429">
        <v>85.7295726381507</v>
      </c>
      <c r="AN3429">
        <v>1.00000001221874</v>
      </c>
    </row>
    <row r="3430" spans="1:40" x14ac:dyDescent="0.25">
      <c r="A3430" t="str">
        <f>"20190312161339649"</f>
        <v>20190312161339649</v>
      </c>
      <c r="B3430" t="str">
        <f>"1552378419639208"</f>
        <v>1552378419639208</v>
      </c>
      <c r="C3430" t="s">
        <v>40</v>
      </c>
      <c r="D3430">
        <v>5.110919</v>
      </c>
      <c r="E3430">
        <v>0.42831190000000002</v>
      </c>
      <c r="F3430" t="s">
        <v>59</v>
      </c>
      <c r="G3430">
        <v>-157.25</v>
      </c>
      <c r="H3430">
        <v>1.620522</v>
      </c>
      <c r="I3430">
        <v>227.40539999999999</v>
      </c>
      <c r="J3430">
        <v>-271.73129999999998</v>
      </c>
      <c r="K3430">
        <v>1.1099060000000001</v>
      </c>
      <c r="L3430">
        <v>214.36009999999999</v>
      </c>
      <c r="M3430">
        <v>0.99989399999999995</v>
      </c>
      <c r="N3430">
        <v>0</v>
      </c>
      <c r="O3430">
        <v>-2.9096040000000002E-4</v>
      </c>
      <c r="P3430">
        <v>0.99654529999999997</v>
      </c>
      <c r="Q3430">
        <v>-3.6301779999999999E-2</v>
      </c>
      <c r="R3430">
        <v>-7.4699070000000006E-2</v>
      </c>
      <c r="S3430">
        <v>3.036743</v>
      </c>
      <c r="T3430">
        <v>1.3506890000000001E-2</v>
      </c>
      <c r="U3430">
        <v>0.3450317</v>
      </c>
      <c r="V3430">
        <v>7.4404570000000003E-2</v>
      </c>
      <c r="W3430">
        <v>-2.18053E-2</v>
      </c>
      <c r="X3430">
        <v>0.99698969999999998</v>
      </c>
      <c r="Y3430">
        <v>-0.1131807</v>
      </c>
      <c r="Z3430">
        <v>-2.5218549999999999E-4</v>
      </c>
      <c r="AA3430">
        <v>0.99357439999999997</v>
      </c>
      <c r="AB3430">
        <v>34</v>
      </c>
      <c r="AC3430">
        <v>114.481299999999</v>
      </c>
      <c r="AD3430">
        <v>0.51061599999999996</v>
      </c>
      <c r="AE3430">
        <v>13.0452999999999</v>
      </c>
      <c r="AF3430">
        <v>-13.078355658021801</v>
      </c>
      <c r="AG3430">
        <v>0.51061599999999996</v>
      </c>
      <c r="AH3430">
        <v>114.475250919245</v>
      </c>
      <c r="AI3430">
        <v>89.746085971163694</v>
      </c>
      <c r="AJ3430">
        <v>96.517563592626203</v>
      </c>
      <c r="AK3430">
        <v>115.221036223605</v>
      </c>
      <c r="AL3430">
        <v>91.249450704147407</v>
      </c>
      <c r="AM3430">
        <v>85.7319721913466</v>
      </c>
      <c r="AN3430">
        <v>0.99999998652553201</v>
      </c>
    </row>
    <row r="3431" spans="1:40" x14ac:dyDescent="0.25">
      <c r="A3431" t="str">
        <f>"20190312161339671"</f>
        <v>20190312161339671</v>
      </c>
      <c r="B3431" t="str">
        <f>"1552378419659701"</f>
        <v>1552378419659701</v>
      </c>
      <c r="C3431" t="s">
        <v>40</v>
      </c>
      <c r="D3431">
        <v>5.2091989999999999</v>
      </c>
      <c r="E3431">
        <v>0.42865449999999999</v>
      </c>
      <c r="F3431" t="s">
        <v>59</v>
      </c>
      <c r="G3431">
        <v>-157.25</v>
      </c>
      <c r="H3431">
        <v>1.64585</v>
      </c>
      <c r="I3431">
        <v>227.2629</v>
      </c>
      <c r="J3431">
        <v>-271.40859999999998</v>
      </c>
      <c r="K3431">
        <v>1.109904</v>
      </c>
      <c r="L3431">
        <v>214.36</v>
      </c>
      <c r="M3431">
        <v>0.99989410000000001</v>
      </c>
      <c r="N3431">
        <v>0</v>
      </c>
      <c r="O3431">
        <v>-3.585196E-4</v>
      </c>
      <c r="P3431">
        <v>0.99656</v>
      </c>
      <c r="Q3431">
        <v>-3.6241420000000003E-2</v>
      </c>
      <c r="R3431">
        <v>-7.4529300000000007E-2</v>
      </c>
      <c r="S3431">
        <v>3.0365600000000001</v>
      </c>
      <c r="T3431">
        <v>1.421714E-2</v>
      </c>
      <c r="U3431">
        <v>0.34223940000000003</v>
      </c>
      <c r="V3431">
        <v>7.4167629999999998E-2</v>
      </c>
      <c r="W3431">
        <v>-2.1748150000000001E-2</v>
      </c>
      <c r="X3431">
        <v>0.99700860000000002</v>
      </c>
      <c r="Y3431">
        <v>-0.1123523</v>
      </c>
      <c r="Z3431">
        <v>-2.6385800000000001E-4</v>
      </c>
      <c r="AA3431">
        <v>0.99366840000000001</v>
      </c>
      <c r="AB3431">
        <v>34</v>
      </c>
      <c r="AC3431">
        <v>114.158599999999</v>
      </c>
      <c r="AD3431">
        <v>0.53594600000000003</v>
      </c>
      <c r="AE3431">
        <v>12.902899999999899</v>
      </c>
      <c r="AF3431">
        <v>-12.943549912292999</v>
      </c>
      <c r="AG3431">
        <v>0.53594600000000003</v>
      </c>
      <c r="AH3431">
        <v>114.151481990208</v>
      </c>
      <c r="AI3431">
        <v>89.732708671879607</v>
      </c>
      <c r="AJ3431">
        <v>96.469094735153604</v>
      </c>
      <c r="AK3431">
        <v>114.88421807632101</v>
      </c>
      <c r="AL3431">
        <v>91.246175476858298</v>
      </c>
      <c r="AM3431">
        <v>85.745594018874598</v>
      </c>
      <c r="AN3431">
        <v>0.99999998392109901</v>
      </c>
    </row>
    <row r="3432" spans="1:40" x14ac:dyDescent="0.25">
      <c r="A3432" t="str">
        <f>"20190312161339693"</f>
        <v>20190312161339693</v>
      </c>
      <c r="B3432" t="str">
        <f>"1552378419688981"</f>
        <v>1552378419688981</v>
      </c>
      <c r="C3432" t="s">
        <v>40</v>
      </c>
      <c r="D3432">
        <v>5.181762</v>
      </c>
      <c r="E3432">
        <v>0.42907650000000003</v>
      </c>
      <c r="F3432" t="s">
        <v>59</v>
      </c>
      <c r="G3432">
        <v>-157.25</v>
      </c>
      <c r="H3432">
        <v>1.6811529999999999</v>
      </c>
      <c r="I3432">
        <v>227.143</v>
      </c>
      <c r="J3432">
        <v>-271.07279999999997</v>
      </c>
      <c r="K3432">
        <v>1.1099049999999999</v>
      </c>
      <c r="L3432">
        <v>214.35980000000001</v>
      </c>
      <c r="M3432">
        <v>0.99989410000000001</v>
      </c>
      <c r="N3432">
        <v>0</v>
      </c>
      <c r="O3432">
        <v>-4.2846440000000001E-4</v>
      </c>
      <c r="P3432">
        <v>0.99651190000000001</v>
      </c>
      <c r="Q3432">
        <v>-3.6582499999999997E-2</v>
      </c>
      <c r="R3432">
        <v>-7.5006489999999995E-2</v>
      </c>
      <c r="S3432">
        <v>3.036346</v>
      </c>
      <c r="T3432">
        <v>1.519537E-2</v>
      </c>
      <c r="U3432">
        <v>0.33999629999999997</v>
      </c>
      <c r="V3432">
        <v>7.4574940000000006E-2</v>
      </c>
      <c r="W3432">
        <v>-2.2093499999999999E-2</v>
      </c>
      <c r="X3432">
        <v>0.99697069999999999</v>
      </c>
      <c r="Y3432">
        <v>-0.1117045</v>
      </c>
      <c r="Z3432">
        <v>-2.8077730000000001E-4</v>
      </c>
      <c r="AA3432">
        <v>0.99374150000000006</v>
      </c>
      <c r="AB3432">
        <v>34</v>
      </c>
      <c r="AC3432">
        <v>113.82279999999901</v>
      </c>
      <c r="AD3432">
        <v>0.57124799999999998</v>
      </c>
      <c r="AE3432">
        <v>12.7831999999999</v>
      </c>
      <c r="AF3432">
        <v>-12.831653828980899</v>
      </c>
      <c r="AG3432">
        <v>0.57124799999999998</v>
      </c>
      <c r="AH3432">
        <v>113.814480791718</v>
      </c>
      <c r="AI3432">
        <v>89.714238643798097</v>
      </c>
      <c r="AJ3432">
        <v>96.432469518649299</v>
      </c>
      <c r="AK3432">
        <v>114.536953434918</v>
      </c>
      <c r="AL3432">
        <v>91.2659672335068</v>
      </c>
      <c r="AM3432">
        <v>85.722154366307095</v>
      </c>
      <c r="AN3432">
        <v>1.0000000605383601</v>
      </c>
    </row>
    <row r="3433" spans="1:40" x14ac:dyDescent="0.25">
      <c r="A3433" t="str">
        <f>"20190312161339716"</f>
        <v>20190312161339716</v>
      </c>
      <c r="B3433" t="str">
        <f>"1552378419709477"</f>
        <v>1552378419709477</v>
      </c>
      <c r="C3433" t="s">
        <v>40</v>
      </c>
      <c r="D3433">
        <v>5.0019289999999996</v>
      </c>
      <c r="E3433">
        <v>0.42932189999999998</v>
      </c>
      <c r="F3433" t="s">
        <v>59</v>
      </c>
      <c r="G3433">
        <v>-157.25</v>
      </c>
      <c r="H3433">
        <v>1.6457550000000001</v>
      </c>
      <c r="I3433">
        <v>226.9288</v>
      </c>
      <c r="J3433">
        <v>-270.72660000000002</v>
      </c>
      <c r="K3433">
        <v>1.109904</v>
      </c>
      <c r="L3433">
        <v>214.3596</v>
      </c>
      <c r="M3433">
        <v>0.99989410000000001</v>
      </c>
      <c r="N3433">
        <v>0</v>
      </c>
      <c r="O3433">
        <v>-5.0090930000000001E-4</v>
      </c>
      <c r="P3433">
        <v>0.99647129999999995</v>
      </c>
      <c r="Q3433">
        <v>-3.6530930000000003E-2</v>
      </c>
      <c r="R3433">
        <v>-7.5567789999999996E-2</v>
      </c>
      <c r="S3433">
        <v>3.0362550000000001</v>
      </c>
      <c r="T3433">
        <v>1.4295459999999999E-2</v>
      </c>
      <c r="U3433">
        <v>0.33528140000000001</v>
      </c>
      <c r="V3433">
        <v>7.506417E-2</v>
      </c>
      <c r="W3433">
        <v>-2.2046079999999999E-2</v>
      </c>
      <c r="X3433">
        <v>0.99693500000000002</v>
      </c>
      <c r="Y3433">
        <v>-0.11025550000000001</v>
      </c>
      <c r="Z3433">
        <v>-2.6111910000000001E-4</v>
      </c>
      <c r="AA3433">
        <v>0.99390319999999999</v>
      </c>
      <c r="AB3433">
        <v>34</v>
      </c>
      <c r="AC3433">
        <v>113.4766</v>
      </c>
      <c r="AD3433">
        <v>0.53585099999999897</v>
      </c>
      <c r="AE3433">
        <v>12.569199999999899</v>
      </c>
      <c r="AF3433">
        <v>-12.6257677967688</v>
      </c>
      <c r="AG3433">
        <v>0.53585099999999897</v>
      </c>
      <c r="AH3433">
        <v>113.46778957099799</v>
      </c>
      <c r="AI3433">
        <v>89.731082657017197</v>
      </c>
      <c r="AJ3433">
        <v>96.349287403997096</v>
      </c>
      <c r="AK3433">
        <v>114.16933221702099</v>
      </c>
      <c r="AL3433">
        <v>91.263249648579702</v>
      </c>
      <c r="AM3433">
        <v>85.694042234410801</v>
      </c>
      <c r="AN3433">
        <v>1.00000002674307</v>
      </c>
    </row>
    <row r="3434" spans="1:40" x14ac:dyDescent="0.25">
      <c r="A3434" t="str">
        <f>"20190312161339738"</f>
        <v>20190312161339738</v>
      </c>
      <c r="B3434" t="str">
        <f>"1552378419728998"</f>
        <v>1552378419728998</v>
      </c>
      <c r="C3434" t="s">
        <v>40</v>
      </c>
      <c r="D3434">
        <v>5.5222870000000004</v>
      </c>
      <c r="E3434">
        <v>0.43077969999999999</v>
      </c>
      <c r="F3434" t="s">
        <v>59</v>
      </c>
      <c r="G3434">
        <v>-157.25</v>
      </c>
      <c r="H3434">
        <v>1.6418729999999999</v>
      </c>
      <c r="I3434">
        <v>226.75040000000001</v>
      </c>
      <c r="J3434">
        <v>-270.3888</v>
      </c>
      <c r="K3434">
        <v>1.1099000000000001</v>
      </c>
      <c r="L3434">
        <v>214.35929999999999</v>
      </c>
      <c r="M3434">
        <v>0.99989410000000001</v>
      </c>
      <c r="N3434">
        <v>0</v>
      </c>
      <c r="O3434">
        <v>-5.719214E-4</v>
      </c>
      <c r="P3434">
        <v>0.99642220000000004</v>
      </c>
      <c r="Q3434">
        <v>-3.6583310000000001E-2</v>
      </c>
      <c r="R3434">
        <v>-7.6187329999999998E-2</v>
      </c>
      <c r="S3434">
        <v>3.0363159999999998</v>
      </c>
      <c r="T3434">
        <v>1.4235499999999899E-2</v>
      </c>
      <c r="U3434">
        <v>0.33154299999999998</v>
      </c>
      <c r="V3434">
        <v>7.561292E-2</v>
      </c>
      <c r="W3434">
        <v>-2.2102900000000002E-2</v>
      </c>
      <c r="X3434">
        <v>0.99689229999999995</v>
      </c>
      <c r="Y3434">
        <v>-0.1091147</v>
      </c>
      <c r="Z3434">
        <v>-2.5770179999999999E-4</v>
      </c>
      <c r="AA3434">
        <v>0.9940291</v>
      </c>
      <c r="AB3434">
        <v>33</v>
      </c>
      <c r="AC3434">
        <v>113.1388</v>
      </c>
      <c r="AD3434">
        <v>0.53197299999999903</v>
      </c>
      <c r="AE3434">
        <v>12.3911</v>
      </c>
      <c r="AF3434">
        <v>-12.4555392091534</v>
      </c>
      <c r="AG3434">
        <v>0.53197299999999903</v>
      </c>
      <c r="AH3434">
        <v>113.12922255394599</v>
      </c>
      <c r="AI3434">
        <v>89.732195532235906</v>
      </c>
      <c r="AJ3434">
        <v>96.282965414621501</v>
      </c>
      <c r="AK3434">
        <v>113.814078425842</v>
      </c>
      <c r="AL3434">
        <v>91.266505952584097</v>
      </c>
      <c r="AM3434">
        <v>85.662498525759602</v>
      </c>
      <c r="AN3434">
        <v>1.00000005482931</v>
      </c>
    </row>
    <row r="3435" spans="1:40" x14ac:dyDescent="0.25">
      <c r="A3435" t="str">
        <f>"20190312161339761"</f>
        <v>20190312161339761</v>
      </c>
      <c r="B3435" t="str">
        <f>"1552378419749322"</f>
        <v>1552378419749322</v>
      </c>
      <c r="C3435" t="s">
        <v>40</v>
      </c>
      <c r="D3435">
        <v>5.4100910000000004</v>
      </c>
      <c r="E3435">
        <v>0.50687749999999998</v>
      </c>
      <c r="F3435" t="s">
        <v>59</v>
      </c>
      <c r="G3435">
        <v>-157.25</v>
      </c>
      <c r="H3435">
        <v>1.584017</v>
      </c>
      <c r="I3435">
        <v>226.21520000000001</v>
      </c>
      <c r="J3435">
        <v>-270.065</v>
      </c>
      <c r="K3435">
        <v>1.1099030000000001</v>
      </c>
      <c r="L3435">
        <v>214.35910000000001</v>
      </c>
      <c r="M3435">
        <v>0.99989410000000001</v>
      </c>
      <c r="N3435">
        <v>0</v>
      </c>
      <c r="O3435">
        <v>-6.3983569999999997E-4</v>
      </c>
      <c r="P3435">
        <v>0.99638400000000005</v>
      </c>
      <c r="Q3435">
        <v>-3.648908E-2</v>
      </c>
      <c r="R3435">
        <v>-7.6729210000000006E-2</v>
      </c>
      <c r="S3435">
        <v>3.0355829999999999</v>
      </c>
      <c r="T3435">
        <v>1.272237E-2</v>
      </c>
      <c r="U3435">
        <v>0.31809999999999999</v>
      </c>
      <c r="V3435">
        <v>7.6087189999999999E-2</v>
      </c>
      <c r="W3435">
        <v>-2.2013000000000001E-2</v>
      </c>
      <c r="X3435">
        <v>0.99685809999999997</v>
      </c>
      <c r="Y3435">
        <v>-0.1048552</v>
      </c>
      <c r="Z3435">
        <v>-2.21802E-4</v>
      </c>
      <c r="AA3435">
        <v>0.99448749999999997</v>
      </c>
      <c r="AB3435">
        <v>33</v>
      </c>
      <c r="AC3435">
        <v>112.815</v>
      </c>
      <c r="AD3435">
        <v>0.47411399999999898</v>
      </c>
      <c r="AE3435">
        <v>11.8560999999999</v>
      </c>
      <c r="AF3435">
        <v>-11.9280798988038</v>
      </c>
      <c r="AG3435">
        <v>0.47411399999999898</v>
      </c>
      <c r="AH3435">
        <v>112.805419576133</v>
      </c>
      <c r="AI3435">
        <v>89.760525946812606</v>
      </c>
      <c r="AJ3435">
        <v>96.036043742118594</v>
      </c>
      <c r="AK3435">
        <v>113.43529679912101</v>
      </c>
      <c r="AL3435">
        <v>91.261353938345593</v>
      </c>
      <c r="AM3435">
        <v>85.635247879540103</v>
      </c>
      <c r="AN3435">
        <v>0.99999995209335102</v>
      </c>
    </row>
    <row r="3436" spans="1:40" x14ac:dyDescent="0.25">
      <c r="A3436" t="str">
        <f>"20190312161339783"</f>
        <v>20190312161339783</v>
      </c>
      <c r="B3436" t="str">
        <f>"1552378419779580"</f>
        <v>1552378419779580</v>
      </c>
      <c r="C3436" t="s">
        <v>40</v>
      </c>
      <c r="D3436">
        <v>5.345065</v>
      </c>
      <c r="E3436">
        <v>0.51367600000000002</v>
      </c>
      <c r="F3436" t="s">
        <v>69</v>
      </c>
      <c r="G3436">
        <v>-213.5634</v>
      </c>
      <c r="H3436">
        <v>8.0000660000000001E-2</v>
      </c>
      <c r="I3436">
        <v>208.9365</v>
      </c>
      <c r="J3436">
        <v>-269.73610000000002</v>
      </c>
      <c r="K3436">
        <v>1.1099079999999999</v>
      </c>
      <c r="L3436">
        <v>214.3588</v>
      </c>
      <c r="M3436">
        <v>0.99989419999999996</v>
      </c>
      <c r="N3436">
        <v>0</v>
      </c>
      <c r="O3436">
        <v>-7.0894179999999901E-4</v>
      </c>
      <c r="P3436">
        <v>0.99635649999999998</v>
      </c>
      <c r="Q3436">
        <v>-3.6415099999999999E-2</v>
      </c>
      <c r="R3436">
        <v>-7.7122789999999997E-2</v>
      </c>
      <c r="S3436">
        <v>2.986847</v>
      </c>
      <c r="T3436">
        <v>-5.444384E-2</v>
      </c>
      <c r="U3436">
        <v>-0.28665159999999901</v>
      </c>
      <c r="V3436">
        <v>7.6411859999999998E-2</v>
      </c>
      <c r="W3436">
        <v>-2.1943259999999999E-2</v>
      </c>
      <c r="X3436">
        <v>0.99683489999999997</v>
      </c>
      <c r="Y3436">
        <v>9.4811080000000006E-2</v>
      </c>
      <c r="Z3436">
        <v>-8.4915689999999998E-4</v>
      </c>
      <c r="AA3436">
        <v>0.99549489999999996</v>
      </c>
      <c r="AB3436">
        <v>33</v>
      </c>
      <c r="AC3436">
        <v>56.172699999999999</v>
      </c>
      <c r="AD3436">
        <v>-1.0299073399999901</v>
      </c>
      <c r="AE3436">
        <v>-5.4222999999999999</v>
      </c>
      <c r="AF3436">
        <v>5.3806791888258703</v>
      </c>
      <c r="AG3436">
        <v>-1.0299073399999901</v>
      </c>
      <c r="AH3436">
        <v>56.157826659748103</v>
      </c>
      <c r="AI3436">
        <v>91.045870435164105</v>
      </c>
      <c r="AJ3436">
        <v>84.526996548315907</v>
      </c>
      <c r="AK3436">
        <v>56.424408838802798</v>
      </c>
      <c r="AL3436">
        <v>91.257357043923406</v>
      </c>
      <c r="AM3436">
        <v>85.616593954405403</v>
      </c>
      <c r="AN3436">
        <v>1.00000004843304</v>
      </c>
    </row>
    <row r="3437" spans="1:40" x14ac:dyDescent="0.25">
      <c r="A3437" t="str">
        <f>"20190312161339805"</f>
        <v>20190312161339805</v>
      </c>
      <c r="B3437" t="str">
        <f>"1552378419799099"</f>
        <v>1552378419799099</v>
      </c>
      <c r="C3437" t="s">
        <v>40</v>
      </c>
      <c r="D3437">
        <v>5.3867269999999996</v>
      </c>
      <c r="E3437">
        <v>0.51546570000000003</v>
      </c>
      <c r="F3437" t="s">
        <v>63</v>
      </c>
      <c r="G3437">
        <v>-180.327</v>
      </c>
      <c r="H3437" s="1">
        <v>4.1959839999999997E-6</v>
      </c>
      <c r="I3437">
        <v>204.09389999999999</v>
      </c>
      <c r="J3437">
        <v>-269.39460000000003</v>
      </c>
      <c r="K3437">
        <v>1.109915</v>
      </c>
      <c r="L3437">
        <v>214.35849999999999</v>
      </c>
      <c r="M3437">
        <v>0.99989430000000001</v>
      </c>
      <c r="N3437">
        <v>0</v>
      </c>
      <c r="O3437">
        <v>-7.8078939999999997E-4</v>
      </c>
      <c r="P3437">
        <v>0.99635850000000004</v>
      </c>
      <c r="Q3437">
        <v>-3.6016439999999997E-2</v>
      </c>
      <c r="R3437">
        <v>-7.7284660000000005E-2</v>
      </c>
      <c r="S3437">
        <v>2.9830930000000002</v>
      </c>
      <c r="T3437">
        <v>-3.7031410000000001E-2</v>
      </c>
      <c r="U3437">
        <v>-0.3424835</v>
      </c>
      <c r="V3437">
        <v>7.6502260000000002E-2</v>
      </c>
      <c r="W3437">
        <v>-2.154849E-2</v>
      </c>
      <c r="X3437">
        <v>0.99683650000000001</v>
      </c>
      <c r="Y3437">
        <v>0.1132746</v>
      </c>
      <c r="Z3437">
        <v>-6.9109209999999996E-4</v>
      </c>
      <c r="AA3437">
        <v>0.99356350000000004</v>
      </c>
      <c r="AB3437">
        <v>33</v>
      </c>
      <c r="AC3437">
        <v>89.067599999999999</v>
      </c>
      <c r="AD3437">
        <v>-1.109910804016</v>
      </c>
      <c r="AE3437">
        <v>-10.2646</v>
      </c>
      <c r="AF3437">
        <v>10.193484328894399</v>
      </c>
      <c r="AG3437">
        <v>-1.109910804016</v>
      </c>
      <c r="AH3437">
        <v>89.061939246964599</v>
      </c>
      <c r="AI3437">
        <v>90.709365857979094</v>
      </c>
      <c r="AJ3437">
        <v>83.470687581155403</v>
      </c>
      <c r="AK3437">
        <v>89.650254027450003</v>
      </c>
      <c r="AL3437">
        <v>91.234733136386396</v>
      </c>
      <c r="AM3437">
        <v>85.611435375102502</v>
      </c>
      <c r="AN3437">
        <v>0.99999997046931799</v>
      </c>
    </row>
    <row r="3438" spans="1:40" x14ac:dyDescent="0.25">
      <c r="A3438" t="str">
        <f>"20190312161339828"</f>
        <v>20190312161339828</v>
      </c>
      <c r="B3438" t="str">
        <f>"1552378419819594"</f>
        <v>1552378419819594</v>
      </c>
      <c r="C3438" t="s">
        <v>40</v>
      </c>
      <c r="D3438">
        <v>5.3862439999999996</v>
      </c>
      <c r="E3438">
        <v>0.51542809999999994</v>
      </c>
      <c r="F3438" t="s">
        <v>63</v>
      </c>
      <c r="G3438">
        <v>-193.1318</v>
      </c>
      <c r="H3438" s="1">
        <v>5.2574249999999999E-6</v>
      </c>
      <c r="I3438">
        <v>205.2259</v>
      </c>
      <c r="J3438">
        <v>-269.06209999999999</v>
      </c>
      <c r="K3438">
        <v>1.1099250000000001</v>
      </c>
      <c r="L3438">
        <v>214.35810000000001</v>
      </c>
      <c r="M3438">
        <v>0.99989419999999996</v>
      </c>
      <c r="N3438">
        <v>0</v>
      </c>
      <c r="O3438">
        <v>-8.5037280000000001E-4</v>
      </c>
      <c r="P3438">
        <v>0.99636760000000002</v>
      </c>
      <c r="Q3438">
        <v>-3.556351E-2</v>
      </c>
      <c r="R3438">
        <v>-7.7376399999999901E-2</v>
      </c>
      <c r="S3438">
        <v>2.9816590000000001</v>
      </c>
      <c r="T3438">
        <v>-4.3394330000000002E-2</v>
      </c>
      <c r="U3438">
        <v>-0.35705569999999998</v>
      </c>
      <c r="V3438">
        <v>7.6524729999999999E-2</v>
      </c>
      <c r="W3438">
        <v>-2.109921E-2</v>
      </c>
      <c r="X3438">
        <v>0.99684439999999996</v>
      </c>
      <c r="Y3438">
        <v>0.1180445</v>
      </c>
      <c r="Z3438">
        <v>-8.435599E-4</v>
      </c>
      <c r="AA3438">
        <v>0.993008</v>
      </c>
      <c r="AB3438">
        <v>33</v>
      </c>
      <c r="AC3438">
        <v>75.930299999999903</v>
      </c>
      <c r="AD3438">
        <v>-1.109919742575</v>
      </c>
      <c r="AE3438">
        <v>-9.1322000000000099</v>
      </c>
      <c r="AF3438">
        <v>9.06571133539987</v>
      </c>
      <c r="AG3438">
        <v>-1.109919742575</v>
      </c>
      <c r="AH3438">
        <v>75.922047834972901</v>
      </c>
      <c r="AI3438">
        <v>90.831651752378093</v>
      </c>
      <c r="AJ3438">
        <v>83.190658007846807</v>
      </c>
      <c r="AK3438">
        <v>76.4694474369186</v>
      </c>
      <c r="AL3438">
        <v>91.208985416269002</v>
      </c>
      <c r="AM3438">
        <v>85.6101860712822</v>
      </c>
      <c r="AN3438">
        <v>0.99999998438777804</v>
      </c>
    </row>
    <row r="3439" spans="1:40" x14ac:dyDescent="0.25">
      <c r="A3439" t="str">
        <f>"20190312161339850"</f>
        <v>20190312161339850</v>
      </c>
      <c r="B3439" t="str">
        <f>"1552378419839115"</f>
        <v>1552378419839115</v>
      </c>
      <c r="C3439" t="s">
        <v>40</v>
      </c>
      <c r="D3439">
        <v>5.3926720000000001</v>
      </c>
      <c r="E3439">
        <v>0.51629999999999998</v>
      </c>
      <c r="F3439" t="s">
        <v>63</v>
      </c>
      <c r="G3439">
        <v>-202.97319999999999</v>
      </c>
      <c r="H3439">
        <v>8.0001399999999903E-2</v>
      </c>
      <c r="I3439">
        <v>206.4513</v>
      </c>
      <c r="J3439">
        <v>-268.73869999999999</v>
      </c>
      <c r="K3439">
        <v>1.1099289999999999</v>
      </c>
      <c r="L3439">
        <v>214.3578</v>
      </c>
      <c r="M3439">
        <v>0.99989410000000001</v>
      </c>
      <c r="N3439">
        <v>0</v>
      </c>
      <c r="O3439">
        <v>-9.1816900000000004E-4</v>
      </c>
      <c r="P3439">
        <v>0.99637410000000004</v>
      </c>
      <c r="Q3439">
        <v>-3.4862520000000001E-2</v>
      </c>
      <c r="R3439">
        <v>-7.761142E-2</v>
      </c>
      <c r="S3439">
        <v>2.981506</v>
      </c>
      <c r="T3439">
        <v>-4.6463490000000003E-2</v>
      </c>
      <c r="U3439">
        <v>-0.35670469999999999</v>
      </c>
      <c r="V3439">
        <v>7.6692350000000006E-2</v>
      </c>
      <c r="W3439">
        <v>-2.0401849999999999E-2</v>
      </c>
      <c r="X3439">
        <v>0.99684609999999996</v>
      </c>
      <c r="Y3439">
        <v>0.1178661</v>
      </c>
      <c r="Z3439">
        <v>-9.0083030000000003E-4</v>
      </c>
      <c r="AA3439">
        <v>0.9930291</v>
      </c>
      <c r="AB3439">
        <v>33</v>
      </c>
      <c r="AC3439">
        <v>65.765500000000003</v>
      </c>
      <c r="AD3439">
        <v>-1.0299275999999999</v>
      </c>
      <c r="AE3439">
        <v>-7.9064999999999896</v>
      </c>
      <c r="AF3439">
        <v>7.8442100346770101</v>
      </c>
      <c r="AG3439">
        <v>-1.0299275999999999</v>
      </c>
      <c r="AH3439">
        <v>65.756835148932097</v>
      </c>
      <c r="AI3439">
        <v>90.891015186488403</v>
      </c>
      <c r="AJ3439">
        <v>83.197266179635506</v>
      </c>
      <c r="AK3439">
        <v>66.231063336875394</v>
      </c>
      <c r="AL3439">
        <v>91.1690209488861</v>
      </c>
      <c r="AM3439">
        <v>85.600615790871998</v>
      </c>
      <c r="AN3439">
        <v>1.0000000495585699</v>
      </c>
    </row>
    <row r="3440" spans="1:40" x14ac:dyDescent="0.25">
      <c r="A3440" t="str">
        <f>"20190312161339871"</f>
        <v>20190312161339871</v>
      </c>
      <c r="B3440" t="str">
        <f>"1552378419868901"</f>
        <v>1552378419868901</v>
      </c>
      <c r="C3440" t="s">
        <v>40</v>
      </c>
      <c r="D3440">
        <v>5.4031820000000002</v>
      </c>
      <c r="E3440">
        <v>0.51672189999999996</v>
      </c>
      <c r="F3440" t="s">
        <v>69</v>
      </c>
      <c r="G3440">
        <v>-211.1448</v>
      </c>
      <c r="H3440">
        <v>8.0001450000000002E-2</v>
      </c>
      <c r="I3440">
        <v>207.31880000000001</v>
      </c>
      <c r="J3440">
        <v>-268.4119</v>
      </c>
      <c r="K3440">
        <v>1.1099289999999999</v>
      </c>
      <c r="L3440">
        <v>214.35740000000001</v>
      </c>
      <c r="M3440">
        <v>0.99989419999999996</v>
      </c>
      <c r="N3440">
        <v>0</v>
      </c>
      <c r="O3440">
        <v>-9.8656140000000008E-4</v>
      </c>
      <c r="P3440">
        <v>0.99639820000000001</v>
      </c>
      <c r="Q3440">
        <v>-3.4867549999999997E-2</v>
      </c>
      <c r="R3440">
        <v>-7.7298919999999993E-2</v>
      </c>
      <c r="S3440">
        <v>2.9806819999999998</v>
      </c>
      <c r="T3440">
        <v>-5.3302290000000002E-2</v>
      </c>
      <c r="U3440">
        <v>-0.36428830000000001</v>
      </c>
      <c r="V3440">
        <v>7.6311680000000007E-2</v>
      </c>
      <c r="W3440">
        <v>-2.0410080000000001E-2</v>
      </c>
      <c r="X3440">
        <v>0.99687510000000001</v>
      </c>
      <c r="Y3440">
        <v>0.12031550000000001</v>
      </c>
      <c r="Z3440">
        <v>-1.054127E-3</v>
      </c>
      <c r="AA3440">
        <v>0.99273509999999998</v>
      </c>
      <c r="AB3440">
        <v>33</v>
      </c>
      <c r="AC3440">
        <v>57.267099999999999</v>
      </c>
      <c r="AD3440">
        <v>-1.02992755</v>
      </c>
      <c r="AE3440">
        <v>-7.0385999999999997</v>
      </c>
      <c r="AF3440">
        <v>6.9798690931481904</v>
      </c>
      <c r="AG3440">
        <v>-1.02992755</v>
      </c>
      <c r="AH3440">
        <v>57.255773262069098</v>
      </c>
      <c r="AI3440">
        <v>91.022964431717497</v>
      </c>
      <c r="AJ3440">
        <v>83.049549320821001</v>
      </c>
      <c r="AK3440">
        <v>57.6888455002629</v>
      </c>
      <c r="AL3440">
        <v>91.169492644114101</v>
      </c>
      <c r="AM3440">
        <v>85.622494326164897</v>
      </c>
      <c r="AN3440">
        <v>1.0000000044350099</v>
      </c>
    </row>
    <row r="3441" spans="1:40" x14ac:dyDescent="0.25">
      <c r="A3441" t="str">
        <f>"20190312161339894"</f>
        <v>20190312161339894</v>
      </c>
      <c r="B3441" t="str">
        <f>"1552378419889396"</f>
        <v>1552378419889396</v>
      </c>
      <c r="C3441" t="s">
        <v>40</v>
      </c>
      <c r="D3441">
        <v>5.4151809999999996</v>
      </c>
      <c r="E3441">
        <v>0.516957</v>
      </c>
      <c r="F3441" t="s">
        <v>69</v>
      </c>
      <c r="G3441">
        <v>-214.83580000000001</v>
      </c>
      <c r="H3441">
        <v>8.0000340000000003E-2</v>
      </c>
      <c r="I3441">
        <v>207.77080000000001</v>
      </c>
      <c r="J3441">
        <v>-268.08080000000001</v>
      </c>
      <c r="K3441">
        <v>1.1099270000000001</v>
      </c>
      <c r="L3441">
        <v>214.357</v>
      </c>
      <c r="M3441">
        <v>0.99989410000000001</v>
      </c>
      <c r="N3441">
        <v>0</v>
      </c>
      <c r="O3441">
        <v>-1.056027E-3</v>
      </c>
      <c r="P3441">
        <v>0.99637620000000005</v>
      </c>
      <c r="Q3441">
        <v>-3.49217E-2</v>
      </c>
      <c r="R3441">
        <v>-7.7557920000000002E-2</v>
      </c>
      <c r="S3441">
        <v>2.9804080000000002</v>
      </c>
      <c r="T3441">
        <v>-5.7294369999999997E-2</v>
      </c>
      <c r="U3441">
        <v>-0.36640929999999999</v>
      </c>
      <c r="V3441">
        <v>7.6501529999999998E-2</v>
      </c>
      <c r="W3441">
        <v>-2.0468150000000001E-2</v>
      </c>
      <c r="X3441">
        <v>0.99685939999999995</v>
      </c>
      <c r="Y3441">
        <v>0.1209505</v>
      </c>
      <c r="Z3441">
        <v>-1.1378670000000001E-3</v>
      </c>
      <c r="AA3441">
        <v>0.99265789999999998</v>
      </c>
      <c r="AB3441">
        <v>33</v>
      </c>
      <c r="AC3441">
        <v>53.244999999999997</v>
      </c>
      <c r="AD3441">
        <v>-1.0299266600000001</v>
      </c>
      <c r="AE3441">
        <v>-6.5861999999999901</v>
      </c>
      <c r="AF3441">
        <v>6.5275567146993403</v>
      </c>
      <c r="AG3441">
        <v>-1.0299266600000001</v>
      </c>
      <c r="AH3441">
        <v>53.232309108940797</v>
      </c>
      <c r="AI3441">
        <v>91.100168962972006</v>
      </c>
      <c r="AJ3441">
        <v>83.009065082050896</v>
      </c>
      <c r="AK3441">
        <v>53.640921679799803</v>
      </c>
      <c r="AL3441">
        <v>91.172820456086399</v>
      </c>
      <c r="AM3441">
        <v>85.611577508051298</v>
      </c>
      <c r="AN3441">
        <v>1.00000004631256</v>
      </c>
    </row>
    <row r="3442" spans="1:40" x14ac:dyDescent="0.25">
      <c r="A3442" t="str">
        <f>"20190312161339929"</f>
        <v>20190312161339929</v>
      </c>
      <c r="B3442" t="str">
        <f>"1552378419919652"</f>
        <v>1552378419919652</v>
      </c>
      <c r="C3442" t="s">
        <v>40</v>
      </c>
      <c r="D3442">
        <v>5.4493450000000001</v>
      </c>
      <c r="E3442">
        <v>0.51723629999999998</v>
      </c>
      <c r="F3442" t="s">
        <v>69</v>
      </c>
      <c r="G3442">
        <v>-222.5008</v>
      </c>
      <c r="H3442">
        <v>8.0000989999999994E-2</v>
      </c>
      <c r="I3442">
        <v>208.71639999999999</v>
      </c>
      <c r="J3442">
        <v>-267.57080000000002</v>
      </c>
      <c r="K3442">
        <v>1.109928</v>
      </c>
      <c r="L3442">
        <v>214.3563</v>
      </c>
      <c r="M3442">
        <v>0.99989410000000001</v>
      </c>
      <c r="N3442">
        <v>0</v>
      </c>
      <c r="O3442">
        <v>-1.1633800000000001E-3</v>
      </c>
      <c r="P3442">
        <v>0.99634610000000001</v>
      </c>
      <c r="Q3442">
        <v>-3.5092650000000003E-2</v>
      </c>
      <c r="R3442">
        <v>-7.7865719999999999E-2</v>
      </c>
      <c r="S3442">
        <v>2.9798580000000001</v>
      </c>
      <c r="T3442">
        <v>-6.7332859999999994E-2</v>
      </c>
      <c r="U3442">
        <v>-0.36875920000000001</v>
      </c>
      <c r="V3442">
        <v>7.6702129999999993E-2</v>
      </c>
      <c r="W3442">
        <v>-2.064508E-2</v>
      </c>
      <c r="X3442">
        <v>0.99684030000000001</v>
      </c>
      <c r="Y3442">
        <v>0.12162870000000001</v>
      </c>
      <c r="Z3442">
        <v>-1.3425799999999999E-3</v>
      </c>
      <c r="AA3442">
        <v>0.99257479999999998</v>
      </c>
      <c r="AB3442">
        <v>33</v>
      </c>
      <c r="AC3442">
        <v>45.07</v>
      </c>
      <c r="AD3442">
        <v>-1.02992701</v>
      </c>
      <c r="AE3442">
        <v>-5.6399000000000097</v>
      </c>
      <c r="AF3442">
        <v>5.5845858135795003</v>
      </c>
      <c r="AG3442">
        <v>-1.02992701</v>
      </c>
      <c r="AH3442">
        <v>45.0533673440858</v>
      </c>
      <c r="AI3442">
        <v>91.299619674943898</v>
      </c>
      <c r="AJ3442">
        <v>82.933949593497701</v>
      </c>
      <c r="AK3442">
        <v>45.4098475817338</v>
      </c>
      <c r="AL3442">
        <v>91.182959983562199</v>
      </c>
      <c r="AM3442">
        <v>85.600031473290699</v>
      </c>
      <c r="AN3442">
        <v>1.00000000988941</v>
      </c>
    </row>
    <row r="3443" spans="1:40" x14ac:dyDescent="0.25">
      <c r="A3443" t="str">
        <f>"20190312161339951"</f>
        <v>20190312161339951</v>
      </c>
      <c r="B3443" t="str">
        <f>"1552378419939172"</f>
        <v>1552378419939172</v>
      </c>
      <c r="C3443" t="s">
        <v>40</v>
      </c>
      <c r="D3443">
        <v>5.424353</v>
      </c>
      <c r="E3443">
        <v>0.51748919999999998</v>
      </c>
      <c r="F3443" t="s">
        <v>69</v>
      </c>
      <c r="G3443">
        <v>-223.3126</v>
      </c>
      <c r="H3443">
        <v>8.0000740000000001E-2</v>
      </c>
      <c r="I3443">
        <v>208.8338</v>
      </c>
      <c r="J3443">
        <v>-267.24759999999998</v>
      </c>
      <c r="K3443">
        <v>1.109928</v>
      </c>
      <c r="L3443">
        <v>214.35589999999999</v>
      </c>
      <c r="M3443">
        <v>0.99989410000000001</v>
      </c>
      <c r="N3443">
        <v>0</v>
      </c>
      <c r="O3443">
        <v>-1.2314159999999999E-3</v>
      </c>
      <c r="P3443">
        <v>0.9963246</v>
      </c>
      <c r="Q3443">
        <v>-3.5307770000000002E-2</v>
      </c>
      <c r="R3443">
        <v>-7.8044119999999995E-2</v>
      </c>
      <c r="S3443">
        <v>2.979492</v>
      </c>
      <c r="T3443">
        <v>-6.9335339999999995E-2</v>
      </c>
      <c r="U3443">
        <v>-0.37178040000000001</v>
      </c>
      <c r="V3443">
        <v>7.6812939999999996E-2</v>
      </c>
      <c r="W3443">
        <v>-2.0864000000000001E-2</v>
      </c>
      <c r="X3443">
        <v>0.99682720000000002</v>
      </c>
      <c r="Y3443">
        <v>0.1225651</v>
      </c>
      <c r="Z3443">
        <v>-1.391855E-3</v>
      </c>
      <c r="AA3443">
        <v>0.99245950000000005</v>
      </c>
      <c r="AB3443">
        <v>33</v>
      </c>
      <c r="AC3443">
        <v>43.934999999999903</v>
      </c>
      <c r="AD3443">
        <v>-1.02992726</v>
      </c>
      <c r="AE3443">
        <v>-5.5220999999999902</v>
      </c>
      <c r="AF3443">
        <v>5.4650313647586302</v>
      </c>
      <c r="AG3443">
        <v>-1.02992726</v>
      </c>
      <c r="AH3443">
        <v>43.918008442747897</v>
      </c>
      <c r="AI3443">
        <v>91.333126908777899</v>
      </c>
      <c r="AJ3443">
        <v>82.906739204433507</v>
      </c>
      <c r="AK3443">
        <v>44.268711112432001</v>
      </c>
      <c r="AL3443">
        <v>91.195505889165204</v>
      </c>
      <c r="AM3443">
        <v>85.593642265865498</v>
      </c>
      <c r="AN3443">
        <v>1.00000000045364</v>
      </c>
    </row>
    <row r="3444" spans="1:40" x14ac:dyDescent="0.25">
      <c r="A3444" t="str">
        <f>"20190312161339973"</f>
        <v>20190312161339973</v>
      </c>
      <c r="B3444" t="str">
        <f>"1552378419968959"</f>
        <v>1552378419968959</v>
      </c>
      <c r="C3444" t="s">
        <v>40</v>
      </c>
      <c r="D3444">
        <v>5.3532539999999997</v>
      </c>
      <c r="E3444">
        <v>0.51771899999999904</v>
      </c>
      <c r="F3444" t="s">
        <v>69</v>
      </c>
      <c r="G3444">
        <v>-225.63329999999999</v>
      </c>
      <c r="H3444">
        <v>8.0001509999999998E-2</v>
      </c>
      <c r="I3444">
        <v>209.12549999999999</v>
      </c>
      <c r="J3444">
        <v>-266.91289999999998</v>
      </c>
      <c r="K3444">
        <v>1.109928</v>
      </c>
      <c r="L3444">
        <v>214.3554</v>
      </c>
      <c r="M3444">
        <v>0.99989399999999995</v>
      </c>
      <c r="N3444">
        <v>0</v>
      </c>
      <c r="O3444">
        <v>-1.3017160000000001E-3</v>
      </c>
      <c r="P3444">
        <v>0.99632030000000005</v>
      </c>
      <c r="Q3444">
        <v>-3.5453449999999997E-2</v>
      </c>
      <c r="R3444">
        <v>-7.803272E-2</v>
      </c>
      <c r="S3444">
        <v>2.9791259999999999</v>
      </c>
      <c r="T3444">
        <v>-7.3731420000000006E-2</v>
      </c>
      <c r="U3444">
        <v>-0.37443539999999997</v>
      </c>
      <c r="V3444">
        <v>7.6731499999999994E-2</v>
      </c>
      <c r="W3444">
        <v>-2.1013250000000001E-2</v>
      </c>
      <c r="X3444">
        <v>0.99683029999999995</v>
      </c>
      <c r="Y3444">
        <v>0.1233766</v>
      </c>
      <c r="Z3444">
        <v>-1.4884449999999999E-3</v>
      </c>
      <c r="AA3444">
        <v>0.99235879999999999</v>
      </c>
      <c r="AB3444">
        <v>33</v>
      </c>
      <c r="AC3444">
        <v>41.279599999999903</v>
      </c>
      <c r="AD3444">
        <v>-1.02992649</v>
      </c>
      <c r="AE3444">
        <v>-5.2299000000000104</v>
      </c>
      <c r="AF3444">
        <v>5.1729862740836401</v>
      </c>
      <c r="AG3444">
        <v>-1.02992649</v>
      </c>
      <c r="AH3444">
        <v>41.261094194165402</v>
      </c>
      <c r="AI3444">
        <v>91.418772420437406</v>
      </c>
      <c r="AJ3444">
        <v>82.853997981381198</v>
      </c>
      <c r="AK3444">
        <v>41.596856006992297</v>
      </c>
      <c r="AL3444">
        <v>91.204059204097106</v>
      </c>
      <c r="AM3444">
        <v>85.598309318965306</v>
      </c>
      <c r="AN3444">
        <v>0.99999996338295005</v>
      </c>
    </row>
    <row r="3445" spans="1:40" x14ac:dyDescent="0.25">
      <c r="A3445" t="str">
        <f>"20190312161339996"</f>
        <v>20190312161339996</v>
      </c>
      <c r="B3445" t="str">
        <f>"1552378419989454"</f>
        <v>1552378419989454</v>
      </c>
      <c r="C3445" t="s">
        <v>40</v>
      </c>
      <c r="D3445">
        <v>5.278492</v>
      </c>
      <c r="E3445">
        <v>0.51796750000000003</v>
      </c>
      <c r="F3445" t="s">
        <v>69</v>
      </c>
      <c r="G3445">
        <v>-226.46420000000001</v>
      </c>
      <c r="H3445">
        <v>8.0001260000000005E-2</v>
      </c>
      <c r="I3445">
        <v>209.2492</v>
      </c>
      <c r="J3445">
        <v>-266.5806</v>
      </c>
      <c r="K3445">
        <v>1.1099239999999999</v>
      </c>
      <c r="L3445">
        <v>214.35489999999999</v>
      </c>
      <c r="M3445">
        <v>0.99989399999999995</v>
      </c>
      <c r="N3445">
        <v>0</v>
      </c>
      <c r="O3445">
        <v>-1.3713029999999999E-3</v>
      </c>
      <c r="P3445">
        <v>0.99629310000000004</v>
      </c>
      <c r="Q3445">
        <v>-3.5640369999999998E-2</v>
      </c>
      <c r="R3445">
        <v>-7.8293499999999905E-2</v>
      </c>
      <c r="S3445">
        <v>2.978882</v>
      </c>
      <c r="T3445">
        <v>-7.5849890000000003E-2</v>
      </c>
      <c r="U3445">
        <v>-0.37605290000000002</v>
      </c>
      <c r="V3445">
        <v>7.6923039999999998E-2</v>
      </c>
      <c r="W3445">
        <v>-2.1204049999999999E-2</v>
      </c>
      <c r="X3445">
        <v>0.99681149999999996</v>
      </c>
      <c r="Y3445">
        <v>0.1238457</v>
      </c>
      <c r="Z3445">
        <v>-1.535453E-3</v>
      </c>
      <c r="AA3445">
        <v>0.99230030000000002</v>
      </c>
      <c r="AB3445">
        <v>33</v>
      </c>
      <c r="AC3445">
        <v>40.116399999999999</v>
      </c>
      <c r="AD3445">
        <v>-1.0299227399999999</v>
      </c>
      <c r="AE3445">
        <v>-5.1056999999999801</v>
      </c>
      <c r="AF3445">
        <v>5.0474038569310604</v>
      </c>
      <c r="AG3445">
        <v>-1.0299227399999999</v>
      </c>
      <c r="AH3445">
        <v>40.097356724700802</v>
      </c>
      <c r="AI3445">
        <v>91.459834836359306</v>
      </c>
      <c r="AJ3445">
        <v>82.825416761882295</v>
      </c>
      <c r="AK3445">
        <v>40.426909885041198</v>
      </c>
      <c r="AL3445">
        <v>91.214993672187106</v>
      </c>
      <c r="AM3445">
        <v>85.587282104469296</v>
      </c>
      <c r="AN3445">
        <v>0.99999996617574605</v>
      </c>
    </row>
    <row r="3446" spans="1:40" x14ac:dyDescent="0.25">
      <c r="A3446" t="str">
        <f>"20190312161340017"</f>
        <v>20190312161340017</v>
      </c>
      <c r="B3446" t="str">
        <f>"1552378420008974"</f>
        <v>1552378420008974</v>
      </c>
      <c r="C3446" t="s">
        <v>40</v>
      </c>
      <c r="D3446">
        <v>5.2403199999999996</v>
      </c>
      <c r="E3446">
        <v>0.51790769999999997</v>
      </c>
      <c r="F3446" t="s">
        <v>69</v>
      </c>
      <c r="G3446">
        <v>-228.01740000000001</v>
      </c>
      <c r="H3446">
        <v>8.0000799999999997E-2</v>
      </c>
      <c r="I3446">
        <v>209.45310000000001</v>
      </c>
      <c r="J3446">
        <v>-266.25490000000002</v>
      </c>
      <c r="K3446">
        <v>1.1099250000000001</v>
      </c>
      <c r="L3446">
        <v>214.3544</v>
      </c>
      <c r="M3446">
        <v>0.99989399999999995</v>
      </c>
      <c r="N3446">
        <v>0</v>
      </c>
      <c r="O3446">
        <v>-1.439816E-3</v>
      </c>
      <c r="P3446">
        <v>0.99629279999999998</v>
      </c>
      <c r="Q3446">
        <v>-3.5529570000000003E-2</v>
      </c>
      <c r="R3446">
        <v>-7.8347219999999995E-2</v>
      </c>
      <c r="S3446">
        <v>2.9785159999999999</v>
      </c>
      <c r="T3446">
        <v>-7.9548480000000005E-2</v>
      </c>
      <c r="U3446">
        <v>-0.37860110000000002</v>
      </c>
      <c r="V3446">
        <v>7.6908480000000001E-2</v>
      </c>
      <c r="W3446">
        <v>-2.109664E-2</v>
      </c>
      <c r="X3446">
        <v>0.99681500000000001</v>
      </c>
      <c r="Y3446">
        <v>0.1246242</v>
      </c>
      <c r="Z3446">
        <v>-1.6189399999999999E-3</v>
      </c>
      <c r="AA3446">
        <v>0.99220269999999999</v>
      </c>
      <c r="AB3446">
        <v>33</v>
      </c>
      <c r="AC3446">
        <v>38.237499999999997</v>
      </c>
      <c r="AD3446">
        <v>-1.0299242</v>
      </c>
      <c r="AE3446">
        <v>-4.9012999999999902</v>
      </c>
      <c r="AF3446">
        <v>4.8427775799075903</v>
      </c>
      <c r="AG3446">
        <v>-1.0299242</v>
      </c>
      <c r="AH3446">
        <v>38.217240019855097</v>
      </c>
      <c r="AI3446">
        <v>91.531461377195598</v>
      </c>
      <c r="AJ3446">
        <v>82.778135568168494</v>
      </c>
      <c r="AK3446">
        <v>38.5366147096682</v>
      </c>
      <c r="AL3446">
        <v>91.2088380378392</v>
      </c>
      <c r="AM3446">
        <v>85.588129475905106</v>
      </c>
      <c r="AN3446">
        <v>1.0000000633700901</v>
      </c>
    </row>
    <row r="3447" spans="1:40" x14ac:dyDescent="0.25">
      <c r="A3447" t="str">
        <f>"20190312161340039"</f>
        <v>20190312161340039</v>
      </c>
      <c r="B3447" t="str">
        <f>"1552378420029471"</f>
        <v>1552378420029471</v>
      </c>
      <c r="C3447" t="s">
        <v>40</v>
      </c>
      <c r="D3447">
        <v>5.1730210000000003</v>
      </c>
      <c r="E3447">
        <v>0.51798580000000005</v>
      </c>
      <c r="F3447" t="s">
        <v>69</v>
      </c>
      <c r="G3447">
        <v>-226.88329999999999</v>
      </c>
      <c r="H3447">
        <v>8.0001139999999998E-2</v>
      </c>
      <c r="I3447">
        <v>209.352</v>
      </c>
      <c r="J3447">
        <v>-265.93939999999998</v>
      </c>
      <c r="K3447">
        <v>1.109926</v>
      </c>
      <c r="L3447">
        <v>214.35380000000001</v>
      </c>
      <c r="M3447">
        <v>0.99989399999999995</v>
      </c>
      <c r="N3447">
        <v>0</v>
      </c>
      <c r="O3447">
        <v>-1.5060659999999999E-3</v>
      </c>
      <c r="P3447">
        <v>0.99629230000000002</v>
      </c>
      <c r="Q3447">
        <v>-3.5292740000000003E-2</v>
      </c>
      <c r="R3447">
        <v>-7.8461790000000003E-2</v>
      </c>
      <c r="S3447">
        <v>2.9786380000000001</v>
      </c>
      <c r="T3447">
        <v>-7.7918290000000001E-2</v>
      </c>
      <c r="U3447">
        <v>-0.37844850000000002</v>
      </c>
      <c r="V3447">
        <v>7.6957070000000002E-2</v>
      </c>
      <c r="W3447">
        <v>-2.0863079999999999E-2</v>
      </c>
      <c r="X3447">
        <v>0.99681609999999998</v>
      </c>
      <c r="Y3447">
        <v>0.1245052</v>
      </c>
      <c r="Z3447">
        <v>-1.5824389999999999E-3</v>
      </c>
      <c r="AA3447">
        <v>0.99221769999999998</v>
      </c>
      <c r="AB3447">
        <v>33</v>
      </c>
      <c r="AC3447">
        <v>39.056100000000001</v>
      </c>
      <c r="AD3447">
        <v>-1.0299248599999999</v>
      </c>
      <c r="AE3447">
        <v>-5.0018000000000002</v>
      </c>
      <c r="AF3447">
        <v>4.9395875430115099</v>
      </c>
      <c r="AG3447">
        <v>-1.0299248599999999</v>
      </c>
      <c r="AH3447">
        <v>39.036881409084998</v>
      </c>
      <c r="AI3447">
        <v>91.4993554494867</v>
      </c>
      <c r="AJ3447">
        <v>82.788323571842298</v>
      </c>
      <c r="AK3447">
        <v>39.361635896635299</v>
      </c>
      <c r="AL3447">
        <v>91.195453168535806</v>
      </c>
      <c r="AM3447">
        <v>85.585357968448704</v>
      </c>
      <c r="AN3447">
        <v>0.99999999797464001</v>
      </c>
    </row>
    <row r="3448" spans="1:40" x14ac:dyDescent="0.25">
      <c r="A3448" t="str">
        <f>"20190312161340055"</f>
        <v>20190312161340055</v>
      </c>
      <c r="B3448" t="str">
        <f>"1552378420048990"</f>
        <v>1552378420048990</v>
      </c>
      <c r="C3448" t="s">
        <v>40</v>
      </c>
      <c r="D3448">
        <v>5.1348459999999996</v>
      </c>
      <c r="E3448">
        <v>0.51811770000000001</v>
      </c>
      <c r="F3448" t="s">
        <v>69</v>
      </c>
      <c r="G3448">
        <v>-225.6463</v>
      </c>
      <c r="H3448">
        <v>8.0001500000000003E-2</v>
      </c>
      <c r="I3448">
        <v>209.2201</v>
      </c>
      <c r="J3448">
        <v>-265.69920000000002</v>
      </c>
      <c r="K3448">
        <v>1.1099300000000001</v>
      </c>
      <c r="L3448">
        <v>214.35339999999999</v>
      </c>
      <c r="M3448">
        <v>0.99989380000000005</v>
      </c>
      <c r="N3448">
        <v>0</v>
      </c>
      <c r="O3448">
        <v>-1.5564699999999999E-3</v>
      </c>
      <c r="P3448">
        <v>0.99628989999999995</v>
      </c>
      <c r="Q3448">
        <v>-3.5332710000000003E-2</v>
      </c>
      <c r="R3448">
        <v>-7.8474000000000002E-2</v>
      </c>
      <c r="S3448">
        <v>2.978577</v>
      </c>
      <c r="T3448">
        <v>-7.6134919999999995E-2</v>
      </c>
      <c r="U3448">
        <v>-0.37950129999999999</v>
      </c>
      <c r="V3448">
        <v>7.6918819999999999E-2</v>
      </c>
      <c r="W3448">
        <v>-2.0905429999999999E-2</v>
      </c>
      <c r="X3448">
        <v>0.99681819999999999</v>
      </c>
      <c r="Y3448">
        <v>0.1248046</v>
      </c>
      <c r="Z3448">
        <v>-1.548757E-3</v>
      </c>
      <c r="AA3448">
        <v>0.99218010000000001</v>
      </c>
      <c r="AB3448">
        <v>33</v>
      </c>
      <c r="AC3448">
        <v>40.052900000000001</v>
      </c>
      <c r="AD3448">
        <v>-1.02992849999999</v>
      </c>
      <c r="AE3448">
        <v>-5.1332999999999904</v>
      </c>
      <c r="AF3448">
        <v>5.0676494151869802</v>
      </c>
      <c r="AG3448">
        <v>-1.02992849999999</v>
      </c>
      <c r="AH3448">
        <v>40.034798109271698</v>
      </c>
      <c r="AI3448">
        <v>91.461995624211198</v>
      </c>
      <c r="AJ3448">
        <v>82.785803527386506</v>
      </c>
      <c r="AK3448">
        <v>40.367398763860201</v>
      </c>
      <c r="AL3448">
        <v>91.1978801323353</v>
      </c>
      <c r="AM3448">
        <v>85.587552771059705</v>
      </c>
      <c r="AN3448">
        <v>1.0000000328624501</v>
      </c>
    </row>
    <row r="3449" spans="1:40" x14ac:dyDescent="0.25">
      <c r="A3449" t="str">
        <f>"20190312161340073"</f>
        <v>20190312161340073</v>
      </c>
      <c r="B3449" t="str">
        <f>"1552378420069487"</f>
        <v>1552378420069487</v>
      </c>
      <c r="C3449" t="s">
        <v>40</v>
      </c>
      <c r="D3449">
        <v>5.0733459999999999</v>
      </c>
      <c r="E3449">
        <v>0.51819309999999996</v>
      </c>
      <c r="F3449" t="s">
        <v>69</v>
      </c>
      <c r="G3449">
        <v>-224.77529999999999</v>
      </c>
      <c r="H3449">
        <v>8.0000299999999996E-2</v>
      </c>
      <c r="I3449">
        <v>209.124</v>
      </c>
      <c r="J3449">
        <v>-265.44409999999999</v>
      </c>
      <c r="K3449">
        <v>1.1099319999999999</v>
      </c>
      <c r="L3449">
        <v>214.35300000000001</v>
      </c>
      <c r="M3449">
        <v>0.99989380000000005</v>
      </c>
      <c r="N3449">
        <v>0</v>
      </c>
      <c r="O3449">
        <v>-1.60997299999999E-3</v>
      </c>
      <c r="P3449">
        <v>0.99627299999999996</v>
      </c>
      <c r="Q3449">
        <v>-3.5682079999999998E-2</v>
      </c>
      <c r="R3449">
        <v>-7.853077E-2</v>
      </c>
      <c r="S3449">
        <v>2.978577</v>
      </c>
      <c r="T3449">
        <v>-7.4961659999999999E-2</v>
      </c>
      <c r="U3449">
        <v>-0.38061519999999999</v>
      </c>
      <c r="V3449">
        <v>7.6922370000000004E-2</v>
      </c>
      <c r="W3449">
        <v>-2.1257439999999999E-2</v>
      </c>
      <c r="X3449">
        <v>0.99681039999999999</v>
      </c>
      <c r="Y3449">
        <v>0.1251178</v>
      </c>
      <c r="Z3449">
        <v>-1.5274450000000001E-3</v>
      </c>
      <c r="AA3449">
        <v>0.99214069999999999</v>
      </c>
      <c r="AB3449">
        <v>33</v>
      </c>
      <c r="AC3449">
        <v>40.668799999999997</v>
      </c>
      <c r="AD3449">
        <v>-1.0299316999999999</v>
      </c>
      <c r="AE3449">
        <v>-5.2289999999999504</v>
      </c>
      <c r="AF3449">
        <v>5.1602549821530603</v>
      </c>
      <c r="AG3449">
        <v>-1.0299316999999999</v>
      </c>
      <c r="AH3449">
        <v>40.651518918930599</v>
      </c>
      <c r="AI3449">
        <v>91.439765469498994</v>
      </c>
      <c r="AJ3449">
        <v>82.765633886699007</v>
      </c>
      <c r="AK3449">
        <v>40.9906694407846</v>
      </c>
      <c r="AL3449">
        <v>91.218053401300807</v>
      </c>
      <c r="AM3449">
        <v>85.587315537211197</v>
      </c>
      <c r="AN3449">
        <v>0.99999995165496403</v>
      </c>
    </row>
    <row r="3450" spans="1:40" x14ac:dyDescent="0.25">
      <c r="A3450" t="str">
        <f>"20190312161340096"</f>
        <v>20190312161340096</v>
      </c>
      <c r="B3450" t="str">
        <f>"1552378420089006"</f>
        <v>1552378420089006</v>
      </c>
      <c r="C3450" t="s">
        <v>40</v>
      </c>
      <c r="D3450">
        <v>5.0418200000000004</v>
      </c>
      <c r="E3450">
        <v>0.51837429999999995</v>
      </c>
      <c r="F3450" t="s">
        <v>69</v>
      </c>
      <c r="G3450">
        <v>-224.5239</v>
      </c>
      <c r="H3450">
        <v>8.0000360000000006E-2</v>
      </c>
      <c r="I3450">
        <v>209.1114</v>
      </c>
      <c r="J3450">
        <v>-265.1028</v>
      </c>
      <c r="K3450">
        <v>1.109934</v>
      </c>
      <c r="L3450">
        <v>214.35230000000001</v>
      </c>
      <c r="M3450">
        <v>0.99989380000000005</v>
      </c>
      <c r="N3450">
        <v>0</v>
      </c>
      <c r="O3450">
        <v>-1.6815860000000001E-3</v>
      </c>
      <c r="P3450">
        <v>0.9962607</v>
      </c>
      <c r="Q3450">
        <v>-3.5602599999999998E-2</v>
      </c>
      <c r="R3450">
        <v>-7.8722310000000004E-2</v>
      </c>
      <c r="S3450">
        <v>2.9784549999999999</v>
      </c>
      <c r="T3450">
        <v>-7.4965480000000001E-2</v>
      </c>
      <c r="U3450">
        <v>-0.38151550000000001</v>
      </c>
      <c r="V3450">
        <v>7.7042589999999994E-2</v>
      </c>
      <c r="W3450">
        <v>-2.1181490000000001E-2</v>
      </c>
      <c r="X3450">
        <v>0.99680279999999999</v>
      </c>
      <c r="Y3450">
        <v>0.12534680000000001</v>
      </c>
      <c r="Z3450">
        <v>-1.52863E-3</v>
      </c>
      <c r="AA3450">
        <v>0.99211179999999999</v>
      </c>
      <c r="AB3450">
        <v>33</v>
      </c>
      <c r="AC3450">
        <v>40.578899999999997</v>
      </c>
      <c r="AD3450">
        <v>-1.0299336400000001</v>
      </c>
      <c r="AE3450">
        <v>-5.2409000000000097</v>
      </c>
      <c r="AF3450">
        <v>5.1693730749443603</v>
      </c>
      <c r="AG3450">
        <v>-1.0299336400000001</v>
      </c>
      <c r="AH3450">
        <v>40.561955427566303</v>
      </c>
      <c r="AI3450">
        <v>91.442854760644707</v>
      </c>
      <c r="AJ3450">
        <v>82.737155447715097</v>
      </c>
      <c r="AK3450">
        <v>40.903000004873</v>
      </c>
      <c r="AL3450">
        <v>91.213700724693794</v>
      </c>
      <c r="AM3450">
        <v>85.580412804899296</v>
      </c>
      <c r="AN3450">
        <v>1.0000000191401801</v>
      </c>
    </row>
    <row r="3451" spans="1:40" x14ac:dyDescent="0.25">
      <c r="A3451" t="str">
        <f>"20190312161340118"</f>
        <v>20190312161340118</v>
      </c>
      <c r="B3451" t="str">
        <f>"1552378420109503"</f>
        <v>1552378420109503</v>
      </c>
      <c r="C3451" t="s">
        <v>40</v>
      </c>
      <c r="D3451">
        <v>4.954485</v>
      </c>
      <c r="E3451">
        <v>0.51852569999999998</v>
      </c>
      <c r="F3451" t="s">
        <v>69</v>
      </c>
      <c r="G3451">
        <v>-222.92349999999999</v>
      </c>
      <c r="H3451">
        <v>8.0000849999999998E-2</v>
      </c>
      <c r="I3451">
        <v>208.92099999999999</v>
      </c>
      <c r="J3451">
        <v>-264.78410000000002</v>
      </c>
      <c r="K3451">
        <v>1.1099349999999999</v>
      </c>
      <c r="L3451">
        <v>214.35169999999999</v>
      </c>
      <c r="M3451">
        <v>0.99989349999999999</v>
      </c>
      <c r="N3451">
        <v>0</v>
      </c>
      <c r="O3451">
        <v>-1.7485510000000001E-3</v>
      </c>
      <c r="P3451">
        <v>0.99625660000000005</v>
      </c>
      <c r="Q3451">
        <v>-3.5535120000000003E-2</v>
      </c>
      <c r="R3451">
        <v>-7.8803899999999996E-2</v>
      </c>
      <c r="S3451">
        <v>2.9783629999999999</v>
      </c>
      <c r="T3451">
        <v>-7.2725529999999997E-2</v>
      </c>
      <c r="U3451">
        <v>-0.38351439999999998</v>
      </c>
      <c r="V3451">
        <v>7.7057420000000001E-2</v>
      </c>
      <c r="W3451">
        <v>-2.1117199999999999E-2</v>
      </c>
      <c r="X3451">
        <v>0.99680299999999999</v>
      </c>
      <c r="Y3451">
        <v>0.12594140000000001</v>
      </c>
      <c r="Z3451">
        <v>-1.4885510000000001E-3</v>
      </c>
      <c r="AA3451">
        <v>0.99203660000000005</v>
      </c>
      <c r="AB3451">
        <v>33</v>
      </c>
      <c r="AC3451">
        <v>41.860599999999998</v>
      </c>
      <c r="AD3451">
        <v>-1.0299341500000001</v>
      </c>
      <c r="AE3451">
        <v>-5.4306999999999999</v>
      </c>
      <c r="AF3451">
        <v>5.3543010300962797</v>
      </c>
      <c r="AG3451">
        <v>-1.0299341500000001</v>
      </c>
      <c r="AH3451">
        <v>41.845121097224002</v>
      </c>
      <c r="AI3451">
        <v>91.398538859486607</v>
      </c>
      <c r="AJ3451">
        <v>82.708328921855198</v>
      </c>
      <c r="AK3451">
        <v>42.198856187289898</v>
      </c>
      <c r="AL3451">
        <v>91.210016376402294</v>
      </c>
      <c r="AM3451">
        <v>85.579566329374003</v>
      </c>
      <c r="AN3451">
        <v>1.00000000146094</v>
      </c>
    </row>
    <row r="3452" spans="1:40" x14ac:dyDescent="0.25">
      <c r="A3452" t="str">
        <f>"20190312161340141"</f>
        <v>20190312161340141</v>
      </c>
      <c r="B3452" t="str">
        <f>"1552378420129024"</f>
        <v>1552378420129024</v>
      </c>
      <c r="C3452" t="s">
        <v>40</v>
      </c>
      <c r="D3452">
        <v>5.0089610000000002</v>
      </c>
      <c r="E3452">
        <v>0.51891330000000002</v>
      </c>
      <c r="F3452" t="s">
        <v>69</v>
      </c>
      <c r="G3452">
        <v>-220.9639</v>
      </c>
      <c r="H3452">
        <v>8.0001439999999993E-2</v>
      </c>
      <c r="I3452">
        <v>208.6885</v>
      </c>
      <c r="J3452">
        <v>-264.45080000000002</v>
      </c>
      <c r="K3452">
        <v>1.109934</v>
      </c>
      <c r="L3452">
        <v>214.3511</v>
      </c>
      <c r="M3452">
        <v>0.99989349999999999</v>
      </c>
      <c r="N3452">
        <v>0</v>
      </c>
      <c r="O3452">
        <v>-1.818734E-3</v>
      </c>
      <c r="P3452">
        <v>0.99629500000000004</v>
      </c>
      <c r="Q3452">
        <v>-3.5255889999999998E-2</v>
      </c>
      <c r="R3452">
        <v>-7.8445029999999999E-2</v>
      </c>
      <c r="S3452">
        <v>2.9783629999999999</v>
      </c>
      <c r="T3452">
        <v>-7.0002320000000007E-2</v>
      </c>
      <c r="U3452">
        <v>-0.38491819999999999</v>
      </c>
      <c r="V3452">
        <v>7.6628600000000005E-2</v>
      </c>
      <c r="W3452">
        <v>-2.0840609999999999E-2</v>
      </c>
      <c r="X3452">
        <v>0.9968418</v>
      </c>
      <c r="Y3452">
        <v>0.12633430000000001</v>
      </c>
      <c r="Z3452">
        <v>-1.43574E-3</v>
      </c>
      <c r="AA3452">
        <v>0.9919867</v>
      </c>
      <c r="AB3452">
        <v>33</v>
      </c>
      <c r="AC3452">
        <v>43.486899999999999</v>
      </c>
      <c r="AD3452">
        <v>-1.02993256</v>
      </c>
      <c r="AE3452">
        <v>-5.6625999999999896</v>
      </c>
      <c r="AF3452">
        <v>5.5804132613344599</v>
      </c>
      <c r="AG3452">
        <v>-1.02993256</v>
      </c>
      <c r="AH3452">
        <v>43.473149529340802</v>
      </c>
      <c r="AI3452">
        <v>91.346113006431096</v>
      </c>
      <c r="AJ3452">
        <v>82.685251584742502</v>
      </c>
      <c r="AK3452">
        <v>43.841949126901902</v>
      </c>
      <c r="AL3452">
        <v>91.194165540983306</v>
      </c>
      <c r="AM3452">
        <v>85.604239523237595</v>
      </c>
      <c r="AN3452">
        <v>0.99999992379518299</v>
      </c>
    </row>
    <row r="3453" spans="1:40" x14ac:dyDescent="0.25">
      <c r="A3453" t="str">
        <f>"20190312161340163"</f>
        <v>20190312161340163</v>
      </c>
      <c r="B3453" t="str">
        <f>"1552378420159787"</f>
        <v>1552378420159787</v>
      </c>
      <c r="C3453" t="s">
        <v>40</v>
      </c>
      <c r="D3453">
        <v>4.9504640000000002</v>
      </c>
      <c r="E3453">
        <v>0.51924859999999995</v>
      </c>
      <c r="F3453" t="s">
        <v>69</v>
      </c>
      <c r="G3453">
        <v>-220.22200000000001</v>
      </c>
      <c r="H3453">
        <v>8.0001649999999994E-2</v>
      </c>
      <c r="I3453">
        <v>208.6026</v>
      </c>
      <c r="J3453">
        <v>-264.1275</v>
      </c>
      <c r="K3453">
        <v>1.109934</v>
      </c>
      <c r="L3453">
        <v>214.35040000000001</v>
      </c>
      <c r="M3453">
        <v>0.99989349999999999</v>
      </c>
      <c r="N3453">
        <v>0</v>
      </c>
      <c r="O3453">
        <v>-1.887009E-3</v>
      </c>
      <c r="P3453">
        <v>0.99630779999999997</v>
      </c>
      <c r="Q3453">
        <v>-3.5435120000000001E-2</v>
      </c>
      <c r="R3453">
        <v>-7.8200980000000003E-2</v>
      </c>
      <c r="S3453">
        <v>2.9782410000000001</v>
      </c>
      <c r="T3453">
        <v>-6.9352629999999998E-2</v>
      </c>
      <c r="U3453">
        <v>-0.38708500000000001</v>
      </c>
      <c r="V3453">
        <v>7.6316350000000005E-2</v>
      </c>
      <c r="W3453">
        <v>-2.1022849999999999E-2</v>
      </c>
      <c r="X3453">
        <v>0.99686200000000003</v>
      </c>
      <c r="Y3453">
        <v>0.12698190000000001</v>
      </c>
      <c r="Z3453">
        <v>-1.428335E-3</v>
      </c>
      <c r="AA3453">
        <v>0.99190400000000001</v>
      </c>
      <c r="AB3453">
        <v>33</v>
      </c>
      <c r="AC3453">
        <v>43.905499999999897</v>
      </c>
      <c r="AD3453">
        <v>-1.0299323499999999</v>
      </c>
      <c r="AE3453">
        <v>-5.7478000000000096</v>
      </c>
      <c r="AF3453">
        <v>5.6618679270446597</v>
      </c>
      <c r="AG3453">
        <v>-1.0299323499999999</v>
      </c>
      <c r="AH3453">
        <v>43.8925231190712</v>
      </c>
      <c r="AI3453">
        <v>91.333149722185297</v>
      </c>
      <c r="AJ3453">
        <v>82.649782171167999</v>
      </c>
      <c r="AK3453">
        <v>44.268172481220297</v>
      </c>
      <c r="AL3453">
        <v>91.204609325509196</v>
      </c>
      <c r="AM3453">
        <v>85.622170174243706</v>
      </c>
      <c r="AN3453">
        <v>0.99999999627172198</v>
      </c>
    </row>
    <row r="3454" spans="1:40" x14ac:dyDescent="0.25">
      <c r="A3454" t="str">
        <f>"20190312161340186"</f>
        <v>20190312161340186</v>
      </c>
      <c r="B3454" t="str">
        <f>"1552378420179306"</f>
        <v>1552378420179306</v>
      </c>
      <c r="C3454" t="s">
        <v>40</v>
      </c>
      <c r="D3454">
        <v>4.852125</v>
      </c>
      <c r="E3454">
        <v>0.51945180000000002</v>
      </c>
      <c r="F3454" t="s">
        <v>69</v>
      </c>
      <c r="G3454">
        <v>-217.04730000000001</v>
      </c>
      <c r="H3454">
        <v>8.0001149999999993E-2</v>
      </c>
      <c r="I3454">
        <v>208.1985</v>
      </c>
      <c r="J3454">
        <v>-263.80500000000001</v>
      </c>
      <c r="K3454">
        <v>1.1099300000000001</v>
      </c>
      <c r="L3454">
        <v>214.34970000000001</v>
      </c>
      <c r="M3454">
        <v>0.99989349999999999</v>
      </c>
      <c r="N3454">
        <v>0</v>
      </c>
      <c r="O3454">
        <v>-1.9554030000000001E-3</v>
      </c>
      <c r="P3454">
        <v>0.99633150000000004</v>
      </c>
      <c r="Q3454">
        <v>-3.5467789999999999E-2</v>
      </c>
      <c r="R3454">
        <v>-7.7881370000000005E-2</v>
      </c>
      <c r="S3454">
        <v>2.9782099999999998</v>
      </c>
      <c r="T3454">
        <v>-6.5151810000000004E-2</v>
      </c>
      <c r="U3454">
        <v>-0.38916020000000001</v>
      </c>
      <c r="V3454">
        <v>7.5928960000000004E-2</v>
      </c>
      <c r="W3454">
        <v>-2.105833E-2</v>
      </c>
      <c r="X3454">
        <v>0.99689079999999997</v>
      </c>
      <c r="Y3454">
        <v>0.12759870000000001</v>
      </c>
      <c r="Z3454">
        <v>-1.3470209999999999E-3</v>
      </c>
      <c r="AA3454">
        <v>0.99182499999999996</v>
      </c>
      <c r="AB3454">
        <v>33</v>
      </c>
      <c r="AC3454">
        <v>46.7577</v>
      </c>
      <c r="AD3454">
        <v>-1.0299288499999999</v>
      </c>
      <c r="AE3454">
        <v>-6.15120000000001</v>
      </c>
      <c r="AF3454">
        <v>6.0568598182829598</v>
      </c>
      <c r="AG3454">
        <v>-1.0299288499999999</v>
      </c>
      <c r="AH3454">
        <v>46.747344627862098</v>
      </c>
      <c r="AI3454">
        <v>91.251666865569405</v>
      </c>
      <c r="AJ3454">
        <v>82.617550336386699</v>
      </c>
      <c r="AK3454">
        <v>47.149342880367897</v>
      </c>
      <c r="AL3454">
        <v>91.206642669238505</v>
      </c>
      <c r="AM3454">
        <v>85.644432123794999</v>
      </c>
      <c r="AN3454">
        <v>0.99999996367685395</v>
      </c>
    </row>
    <row r="3455" spans="1:40" x14ac:dyDescent="0.25">
      <c r="A3455" t="str">
        <f>"20190312161340207"</f>
        <v>20190312161340207</v>
      </c>
      <c r="B3455" t="str">
        <f>"1552378420199802"</f>
        <v>1552378420199802</v>
      </c>
      <c r="C3455" t="s">
        <v>40</v>
      </c>
      <c r="D3455">
        <v>4.9548300000000003</v>
      </c>
      <c r="E3455">
        <v>0.51942129999999997</v>
      </c>
      <c r="F3455" t="s">
        <v>69</v>
      </c>
      <c r="G3455">
        <v>-214.81049999999999</v>
      </c>
      <c r="H3455">
        <v>8.0000340000000003E-2</v>
      </c>
      <c r="I3455">
        <v>207.9374</v>
      </c>
      <c r="J3455">
        <v>-263.48020000000002</v>
      </c>
      <c r="K3455">
        <v>1.1099289999999999</v>
      </c>
      <c r="L3455">
        <v>214.34899999999999</v>
      </c>
      <c r="M3455">
        <v>0.99989340000000004</v>
      </c>
      <c r="N3455">
        <v>0</v>
      </c>
      <c r="O3455">
        <v>-2.0240359999999999E-3</v>
      </c>
      <c r="P3455">
        <v>0.99634780000000001</v>
      </c>
      <c r="Q3455">
        <v>-3.5649790000000001E-2</v>
      </c>
      <c r="R3455">
        <v>-7.7593490000000001E-2</v>
      </c>
      <c r="S3455">
        <v>2.9783330000000001</v>
      </c>
      <c r="T3455">
        <v>-6.26086E-2</v>
      </c>
      <c r="U3455">
        <v>-0.38980100000000001</v>
      </c>
      <c r="V3455">
        <v>7.5572199999999895E-2</v>
      </c>
      <c r="W3455">
        <v>-2.124326E-2</v>
      </c>
      <c r="X3455">
        <v>0.99691399999999997</v>
      </c>
      <c r="Y3455">
        <v>0.1277375</v>
      </c>
      <c r="Z3455">
        <v>-1.294396E-3</v>
      </c>
      <c r="AA3455">
        <v>0.9918072</v>
      </c>
      <c r="AB3455">
        <v>33</v>
      </c>
      <c r="AC3455">
        <v>48.669699999999999</v>
      </c>
      <c r="AD3455">
        <v>-1.0299286599999999</v>
      </c>
      <c r="AE3455">
        <v>-6.4116000000000204</v>
      </c>
      <c r="AF3455">
        <v>6.3102897120000403</v>
      </c>
      <c r="AG3455">
        <v>-1.0299286599999999</v>
      </c>
      <c r="AH3455">
        <v>48.661159565283199</v>
      </c>
      <c r="AI3455">
        <v>91.202436857600802</v>
      </c>
      <c r="AJ3455">
        <v>82.611222144461706</v>
      </c>
      <c r="AK3455">
        <v>49.079414824669797</v>
      </c>
      <c r="AL3455">
        <v>91.217240730979398</v>
      </c>
      <c r="AM3455">
        <v>85.664919507869101</v>
      </c>
      <c r="AN3455">
        <v>0.99999997845213295</v>
      </c>
    </row>
    <row r="3456" spans="1:40" x14ac:dyDescent="0.25">
      <c r="A3456" t="str">
        <f>"20190312161340231"</f>
        <v>20190312161340231</v>
      </c>
      <c r="B3456" t="str">
        <f>"1552378420219323"</f>
        <v>1552378420219323</v>
      </c>
      <c r="C3456" t="s">
        <v>40</v>
      </c>
      <c r="D3456">
        <v>4.7918890000000003</v>
      </c>
      <c r="E3456">
        <v>0.4800854</v>
      </c>
      <c r="F3456" t="s">
        <v>69</v>
      </c>
      <c r="G3456">
        <v>-214.4205</v>
      </c>
      <c r="H3456">
        <v>8.0000450000000001E-2</v>
      </c>
      <c r="I3456">
        <v>207.94280000000001</v>
      </c>
      <c r="J3456">
        <v>-263.16480000000001</v>
      </c>
      <c r="K3456">
        <v>1.1099270000000001</v>
      </c>
      <c r="L3456">
        <v>214.34829999999999</v>
      </c>
      <c r="M3456">
        <v>0.99989329999999998</v>
      </c>
      <c r="N3456">
        <v>0</v>
      </c>
      <c r="O3456">
        <v>-2.0906449999999999E-3</v>
      </c>
      <c r="P3456">
        <v>0.99635649999999998</v>
      </c>
      <c r="Q3456">
        <v>-3.5687080000000003E-2</v>
      </c>
      <c r="R3456">
        <v>-7.7462169999999997E-2</v>
      </c>
      <c r="S3456">
        <v>2.978485</v>
      </c>
      <c r="T3456">
        <v>-6.252837E-2</v>
      </c>
      <c r="U3456">
        <v>-0.38893129999999998</v>
      </c>
      <c r="V3456">
        <v>7.5374789999999997E-2</v>
      </c>
      <c r="W3456">
        <v>-2.1283549999999998E-2</v>
      </c>
      <c r="X3456">
        <v>0.99692809999999998</v>
      </c>
      <c r="Y3456">
        <v>0.1273803</v>
      </c>
      <c r="Z3456">
        <v>-1.2875709999999999E-3</v>
      </c>
      <c r="AA3456">
        <v>0.99185310000000004</v>
      </c>
      <c r="AB3456">
        <v>33</v>
      </c>
      <c r="AC3456">
        <v>48.744300000000003</v>
      </c>
      <c r="AD3456">
        <v>-1.0299265500000001</v>
      </c>
      <c r="AE3456">
        <v>-6.4054999999999804</v>
      </c>
      <c r="AF3456">
        <v>6.3008031288971704</v>
      </c>
      <c r="AG3456">
        <v>-1.0299265500000001</v>
      </c>
      <c r="AH3456">
        <v>48.736197954170102</v>
      </c>
      <c r="AI3456">
        <v>91.200643837631802</v>
      </c>
      <c r="AJ3456">
        <v>82.633442213883299</v>
      </c>
      <c r="AK3456">
        <v>49.152597691226497</v>
      </c>
      <c r="AL3456">
        <v>91.219549682866997</v>
      </c>
      <c r="AM3456">
        <v>85.676261543757903</v>
      </c>
      <c r="AN3456">
        <v>0.99999999251887794</v>
      </c>
    </row>
    <row r="3457" spans="1:40" x14ac:dyDescent="0.25">
      <c r="A3457" t="str">
        <f>"20190312161340252"</f>
        <v>20190312161340252</v>
      </c>
      <c r="B3457" t="str">
        <f>"1552378420239820"</f>
        <v>1552378420239820</v>
      </c>
      <c r="C3457" t="s">
        <v>40</v>
      </c>
      <c r="D3457">
        <v>4.8200320000000003</v>
      </c>
      <c r="E3457">
        <v>0.42749039999999999</v>
      </c>
      <c r="F3457" t="s">
        <v>41</v>
      </c>
      <c r="G3457">
        <v>-156.27670000000001</v>
      </c>
      <c r="H3457">
        <v>-0.05</v>
      </c>
      <c r="I3457">
        <v>211.63409999999999</v>
      </c>
      <c r="J3457">
        <v>-262.8442</v>
      </c>
      <c r="K3457">
        <v>1.109937</v>
      </c>
      <c r="L3457">
        <v>214.3476</v>
      </c>
      <c r="M3457">
        <v>0.99989320000000004</v>
      </c>
      <c r="N3457">
        <v>0</v>
      </c>
      <c r="O3457">
        <v>-2.1580879999999998E-3</v>
      </c>
      <c r="P3457">
        <v>0.99635260000000003</v>
      </c>
      <c r="Q3457">
        <v>-3.5506120000000002E-2</v>
      </c>
      <c r="R3457">
        <v>-7.7596890000000002E-2</v>
      </c>
      <c r="S3457">
        <v>3.003876</v>
      </c>
      <c r="T3457">
        <v>-3.2597420000000002E-2</v>
      </c>
      <c r="U3457">
        <v>-7.6278689999999996E-2</v>
      </c>
      <c r="V3457">
        <v>7.5442159999999994E-2</v>
      </c>
      <c r="W3457">
        <v>-2.1105889999999999E-2</v>
      </c>
      <c r="X3457">
        <v>0.9969268</v>
      </c>
      <c r="Y3457">
        <v>2.3226320000000002E-2</v>
      </c>
      <c r="Z3457">
        <v>-1.025826E-4</v>
      </c>
      <c r="AA3457">
        <v>0.99973020000000001</v>
      </c>
      <c r="AB3457">
        <v>32</v>
      </c>
      <c r="AC3457">
        <v>106.5675</v>
      </c>
      <c r="AD3457">
        <v>-1.159937</v>
      </c>
      <c r="AE3457">
        <v>-2.71350000000001</v>
      </c>
      <c r="AF3457">
        <v>2.4831936072101599</v>
      </c>
      <c r="AG3457">
        <v>-1.159937</v>
      </c>
      <c r="AH3457">
        <v>106.56049201338899</v>
      </c>
      <c r="AI3457">
        <v>90.623484681469904</v>
      </c>
      <c r="AJ3457">
        <v>88.665070277505706</v>
      </c>
      <c r="AK3457">
        <v>106.595732383949</v>
      </c>
      <c r="AL3457">
        <v>91.209368204744393</v>
      </c>
      <c r="AM3457">
        <v>85.672406038448997</v>
      </c>
      <c r="AN3457">
        <v>1.0000000113281899</v>
      </c>
    </row>
    <row r="3458" spans="1:40" x14ac:dyDescent="0.25">
      <c r="A3458" t="str">
        <f>"20190312161340274"</f>
        <v>20190312161340274</v>
      </c>
      <c r="B3458" t="str">
        <f>"1552378420269606"</f>
        <v>1552378420269606</v>
      </c>
      <c r="C3458" t="s">
        <v>40</v>
      </c>
      <c r="D3458">
        <v>4.7119530000000003</v>
      </c>
      <c r="E3458">
        <v>0.42627739999999997</v>
      </c>
      <c r="F3458" t="s">
        <v>59</v>
      </c>
      <c r="G3458">
        <v>-157.25</v>
      </c>
      <c r="H3458">
        <v>3.011765</v>
      </c>
      <c r="I3458">
        <v>226.11600000000001</v>
      </c>
      <c r="J3458">
        <v>-262.51620000000003</v>
      </c>
      <c r="K3458">
        <v>1.109939</v>
      </c>
      <c r="L3458">
        <v>214.3468</v>
      </c>
      <c r="M3458">
        <v>0.99989300000000003</v>
      </c>
      <c r="N3458">
        <v>0</v>
      </c>
      <c r="O3458">
        <v>-2.2270789999999999E-3</v>
      </c>
      <c r="P3458">
        <v>0.99634699999999998</v>
      </c>
      <c r="Q3458">
        <v>-3.5956519999999999E-2</v>
      </c>
      <c r="R3458">
        <v>-7.7460109999999999E-2</v>
      </c>
      <c r="S3458">
        <v>3.039307</v>
      </c>
      <c r="T3458">
        <v>5.4741739999999997E-2</v>
      </c>
      <c r="U3458">
        <v>0.33872989999999997</v>
      </c>
      <c r="V3458">
        <v>7.5236490000000003E-2</v>
      </c>
      <c r="W3458">
        <v>-2.155963E-2</v>
      </c>
      <c r="X3458">
        <v>0.99693259999999995</v>
      </c>
      <c r="Y3458">
        <v>-0.1129588</v>
      </c>
      <c r="Z3458">
        <v>-1.0540359999999999E-3</v>
      </c>
      <c r="AA3458">
        <v>0.99359909999999996</v>
      </c>
      <c r="AB3458">
        <v>32</v>
      </c>
      <c r="AC3458">
        <v>105.2662</v>
      </c>
      <c r="AD3458">
        <v>1.90182599999999</v>
      </c>
      <c r="AE3458">
        <v>11.7691999999999</v>
      </c>
      <c r="AF3458">
        <v>-11.999762968358899</v>
      </c>
      <c r="AG3458">
        <v>1.90182599999999</v>
      </c>
      <c r="AH3458">
        <v>105.20580892757199</v>
      </c>
      <c r="AI3458">
        <v>88.971035937704201</v>
      </c>
      <c r="AJ3458">
        <v>96.507029451860902</v>
      </c>
      <c r="AK3458">
        <v>105.905021059135</v>
      </c>
      <c r="AL3458">
        <v>91.235371550390298</v>
      </c>
      <c r="AM3458">
        <v>85.684184278297707</v>
      </c>
      <c r="AN3458">
        <v>0.99999997800800799</v>
      </c>
    </row>
    <row r="3459" spans="1:40" x14ac:dyDescent="0.25">
      <c r="A3459" t="str">
        <f>"20190312161340291"</f>
        <v>20190312161340291</v>
      </c>
      <c r="B3459" t="str">
        <f>"1552378420279367"</f>
        <v>1552378420279367</v>
      </c>
      <c r="C3459" t="s">
        <v>40</v>
      </c>
      <c r="D3459">
        <v>4.7066369999999997</v>
      </c>
      <c r="E3459">
        <v>0.42636849999999998</v>
      </c>
      <c r="F3459" t="s">
        <v>59</v>
      </c>
      <c r="G3459">
        <v>-157.25</v>
      </c>
      <c r="H3459">
        <v>3.0746159999999998</v>
      </c>
      <c r="I3459">
        <v>226.41579999999999</v>
      </c>
      <c r="J3459">
        <v>-262.28449999999998</v>
      </c>
      <c r="K3459">
        <v>1.1099399999999999</v>
      </c>
      <c r="L3459">
        <v>214.34630000000001</v>
      </c>
      <c r="M3459">
        <v>0.99989300000000003</v>
      </c>
      <c r="N3459">
        <v>0</v>
      </c>
      <c r="O3459">
        <v>-2.2758129999999998E-3</v>
      </c>
      <c r="P3459">
        <v>0.99635850000000004</v>
      </c>
      <c r="Q3459">
        <v>-3.5669329999999999E-2</v>
      </c>
      <c r="R3459">
        <v>-7.7443819999999997E-2</v>
      </c>
      <c r="S3459">
        <v>3.0401310000000001</v>
      </c>
      <c r="T3459">
        <v>5.6742309999999997E-2</v>
      </c>
      <c r="U3459">
        <v>0.34855649999999999</v>
      </c>
      <c r="V3459">
        <v>7.5171749999999996E-2</v>
      </c>
      <c r="W3459">
        <v>-2.1274649999999999E-2</v>
      </c>
      <c r="X3459">
        <v>0.99694369999999999</v>
      </c>
      <c r="Y3459">
        <v>-0.1161462</v>
      </c>
      <c r="Z3459">
        <v>-1.12261E-3</v>
      </c>
      <c r="AA3459">
        <v>0.99323150000000004</v>
      </c>
      <c r="AB3459">
        <v>32</v>
      </c>
      <c r="AC3459">
        <v>105.034499999999</v>
      </c>
      <c r="AD3459">
        <v>1.9646760000000001</v>
      </c>
      <c r="AE3459">
        <v>12.0694999999999</v>
      </c>
      <c r="AF3459">
        <v>-12.304283671421</v>
      </c>
      <c r="AG3459">
        <v>1.9646760000000001</v>
      </c>
      <c r="AH3459">
        <v>104.970508797333</v>
      </c>
      <c r="AI3459">
        <v>88.935040676358</v>
      </c>
      <c r="AJ3459">
        <v>96.6855074929274</v>
      </c>
      <c r="AK3459">
        <v>105.70744091890001</v>
      </c>
      <c r="AL3459">
        <v>91.219039538215</v>
      </c>
      <c r="AM3459">
        <v>85.687931797064394</v>
      </c>
      <c r="AN3459">
        <v>1.00000007185018</v>
      </c>
    </row>
    <row r="3460" spans="1:40" x14ac:dyDescent="0.25">
      <c r="A3460" t="str">
        <f>"20190312161340307"</f>
        <v>20190312161340307</v>
      </c>
      <c r="B3460" t="str">
        <f>"1552378420299871"</f>
        <v>1552378420299871</v>
      </c>
      <c r="C3460" t="s">
        <v>40</v>
      </c>
      <c r="D3460">
        <v>4.6871359999999997</v>
      </c>
      <c r="E3460">
        <v>0.42682320000000001</v>
      </c>
      <c r="F3460" t="s">
        <v>59</v>
      </c>
      <c r="G3460">
        <v>-157.25</v>
      </c>
      <c r="H3460">
        <v>3.1755469999999999</v>
      </c>
      <c r="I3460">
        <v>226.3707</v>
      </c>
      <c r="J3460">
        <v>-262.02999999999997</v>
      </c>
      <c r="K3460">
        <v>1.1099399999999999</v>
      </c>
      <c r="L3460">
        <v>214.34559999999999</v>
      </c>
      <c r="M3460">
        <v>0.99989289999999997</v>
      </c>
      <c r="N3460">
        <v>0</v>
      </c>
      <c r="O3460">
        <v>-2.3295519999999999E-3</v>
      </c>
      <c r="P3460">
        <v>0.99635989999999997</v>
      </c>
      <c r="Q3460">
        <v>-3.5513929999999999E-2</v>
      </c>
      <c r="R3460">
        <v>-7.7496049999999997E-2</v>
      </c>
      <c r="S3460">
        <v>3.0401310000000001</v>
      </c>
      <c r="T3460">
        <v>5.9788819999999999E-2</v>
      </c>
      <c r="U3460">
        <v>0.34803770000000001</v>
      </c>
      <c r="V3460">
        <v>7.5170559999999997E-2</v>
      </c>
      <c r="W3460">
        <v>-2.1121850000000001E-2</v>
      </c>
      <c r="X3460">
        <v>0.99694700000000003</v>
      </c>
      <c r="Y3460">
        <v>-0.1160301</v>
      </c>
      <c r="Z3460">
        <v>-1.1827980000000001E-3</v>
      </c>
      <c r="AA3460">
        <v>0.99324500000000004</v>
      </c>
      <c r="AB3460">
        <v>32</v>
      </c>
      <c r="AC3460">
        <v>104.77999999999901</v>
      </c>
      <c r="AD3460">
        <v>2.065607</v>
      </c>
      <c r="AE3460">
        <v>12.0251</v>
      </c>
      <c r="AF3460">
        <v>-12.2644788976132</v>
      </c>
      <c r="AG3460">
        <v>2.065607</v>
      </c>
      <c r="AH3460">
        <v>104.71153437043699</v>
      </c>
      <c r="AI3460">
        <v>88.877564122230694</v>
      </c>
      <c r="AJ3460">
        <v>96.680407410130002</v>
      </c>
      <c r="AK3460">
        <v>105.447568037957</v>
      </c>
      <c r="AL3460">
        <v>91.210282822766501</v>
      </c>
      <c r="AM3460">
        <v>85.688014020777103</v>
      </c>
      <c r="AN3460">
        <v>1.0000000332235599</v>
      </c>
    </row>
    <row r="3461" spans="1:40" x14ac:dyDescent="0.25">
      <c r="A3461" t="str">
        <f>"20190312161340324"</f>
        <v>20190312161340324</v>
      </c>
      <c r="B3461" t="str">
        <f>"1552378420319382"</f>
        <v>1552378420319382</v>
      </c>
      <c r="C3461" t="s">
        <v>40</v>
      </c>
      <c r="D3461">
        <v>4.65198</v>
      </c>
      <c r="E3461">
        <v>0.4270158</v>
      </c>
      <c r="F3461" t="s">
        <v>59</v>
      </c>
      <c r="G3461">
        <v>-157.25</v>
      </c>
      <c r="H3461">
        <v>3.2106469999999998</v>
      </c>
      <c r="I3461">
        <v>226.20570000000001</v>
      </c>
      <c r="J3461">
        <v>-261.79719999999998</v>
      </c>
      <c r="K3461">
        <v>1.1099349999999999</v>
      </c>
      <c r="L3461">
        <v>214.345</v>
      </c>
      <c r="M3461">
        <v>0.99989269999999997</v>
      </c>
      <c r="N3461">
        <v>0</v>
      </c>
      <c r="O3461">
        <v>-2.3786430000000002E-3</v>
      </c>
      <c r="P3461">
        <v>0.99636670000000005</v>
      </c>
      <c r="Q3461">
        <v>-3.5409019999999999E-2</v>
      </c>
      <c r="R3461">
        <v>-7.7455300000000005E-2</v>
      </c>
      <c r="S3461">
        <v>3.0398860000000001</v>
      </c>
      <c r="T3461">
        <v>6.0947540000000001E-2</v>
      </c>
      <c r="U3461">
        <v>0.34408569999999999</v>
      </c>
      <c r="V3461">
        <v>7.5080880000000003E-2</v>
      </c>
      <c r="W3461">
        <v>-2.1019199999999998E-2</v>
      </c>
      <c r="X3461">
        <v>0.99695590000000001</v>
      </c>
      <c r="Y3461">
        <v>-0.11481230000000001</v>
      </c>
      <c r="Z3461">
        <v>-1.1947150000000001E-3</v>
      </c>
      <c r="AA3461">
        <v>0.99338649999999995</v>
      </c>
      <c r="AB3461">
        <v>32</v>
      </c>
      <c r="AC3461">
        <v>104.54719999999899</v>
      </c>
      <c r="AD3461">
        <v>2.1007119999999899</v>
      </c>
      <c r="AE3461">
        <v>11.8607</v>
      </c>
      <c r="AF3461">
        <v>-12.1045478257385</v>
      </c>
      <c r="AG3461">
        <v>2.1007119999999899</v>
      </c>
      <c r="AH3461">
        <v>104.477042678801</v>
      </c>
      <c r="AI3461">
        <v>88.855765285787299</v>
      </c>
      <c r="AJ3461">
        <v>96.608735016586294</v>
      </c>
      <c r="AK3461">
        <v>105.196889288042</v>
      </c>
      <c r="AL3461">
        <v>91.204400138061303</v>
      </c>
      <c r="AM3461">
        <v>85.693177243123998</v>
      </c>
      <c r="AN3461">
        <v>1.00000000592751</v>
      </c>
    </row>
    <row r="3462" spans="1:40" x14ac:dyDescent="0.25">
      <c r="A3462" t="str">
        <f>"20190312161340341"</f>
        <v>20190312161340341</v>
      </c>
      <c r="B3462" t="str">
        <f>"1552378420329142"</f>
        <v>1552378420329142</v>
      </c>
      <c r="C3462" t="s">
        <v>40</v>
      </c>
      <c r="D3462">
        <v>4.6415309999999996</v>
      </c>
      <c r="E3462">
        <v>0.4270911</v>
      </c>
      <c r="F3462" t="s">
        <v>59</v>
      </c>
      <c r="G3462">
        <v>-157.25</v>
      </c>
      <c r="H3462">
        <v>3.2460339999999999</v>
      </c>
      <c r="I3462">
        <v>226.13030000000001</v>
      </c>
      <c r="J3462">
        <v>-261.55439999999999</v>
      </c>
      <c r="K3462">
        <v>1.1099319999999999</v>
      </c>
      <c r="L3462">
        <v>214.34440000000001</v>
      </c>
      <c r="M3462">
        <v>0.99989280000000003</v>
      </c>
      <c r="N3462">
        <v>0</v>
      </c>
      <c r="O3462">
        <v>-2.4299980000000001E-3</v>
      </c>
      <c r="P3462">
        <v>0.99636999999999998</v>
      </c>
      <c r="Q3462">
        <v>-3.5393809999999998E-2</v>
      </c>
      <c r="R3462">
        <v>-7.7425049999999995E-2</v>
      </c>
      <c r="S3462">
        <v>3.0397949999999998</v>
      </c>
      <c r="T3462">
        <v>6.211042E-2</v>
      </c>
      <c r="U3462">
        <v>0.34266659999999999</v>
      </c>
      <c r="V3462">
        <v>7.4999070000000001E-2</v>
      </c>
      <c r="W3462">
        <v>-2.100641E-2</v>
      </c>
      <c r="X3462">
        <v>0.99696229999999997</v>
      </c>
      <c r="Y3462">
        <v>-0.114408</v>
      </c>
      <c r="Z3462">
        <v>-1.214503E-3</v>
      </c>
      <c r="AA3462">
        <v>0.99343309999999996</v>
      </c>
      <c r="AB3462">
        <v>32</v>
      </c>
      <c r="AC3462">
        <v>104.3044</v>
      </c>
      <c r="AD3462">
        <v>2.1361020000000002</v>
      </c>
      <c r="AE3462">
        <v>11.7858999999999</v>
      </c>
      <c r="AF3462">
        <v>-12.034367402323699</v>
      </c>
      <c r="AG3462">
        <v>2.1361020000000002</v>
      </c>
      <c r="AH3462">
        <v>104.232284353726</v>
      </c>
      <c r="AI3462">
        <v>88.833709211026502</v>
      </c>
      <c r="AJ3462">
        <v>96.586048610238194</v>
      </c>
      <c r="AK3462">
        <v>104.946453166005</v>
      </c>
      <c r="AL3462">
        <v>91.203667195997397</v>
      </c>
      <c r="AM3462">
        <v>85.697879950163696</v>
      </c>
      <c r="AN3462">
        <v>0.99999997869162105</v>
      </c>
    </row>
    <row r="3463" spans="1:40" x14ac:dyDescent="0.25">
      <c r="A3463" t="str">
        <f>"20190312161340359"</f>
        <v>20190312161340359</v>
      </c>
      <c r="B3463" t="str">
        <f>"1552378420349170"</f>
        <v>1552378420349170</v>
      </c>
      <c r="C3463" t="s">
        <v>40</v>
      </c>
      <c r="D3463">
        <v>4.6446889999999996</v>
      </c>
      <c r="E3463">
        <v>0.42738009999999899</v>
      </c>
      <c r="F3463" t="s">
        <v>59</v>
      </c>
      <c r="G3463">
        <v>-157.25</v>
      </c>
      <c r="H3463">
        <v>3.2745790000000001</v>
      </c>
      <c r="I3463">
        <v>226.08580000000001</v>
      </c>
      <c r="J3463">
        <v>-261.28559999999999</v>
      </c>
      <c r="K3463">
        <v>1.1099380000000001</v>
      </c>
      <c r="L3463">
        <v>214.34370000000001</v>
      </c>
      <c r="M3463">
        <v>0.99989269999999997</v>
      </c>
      <c r="N3463">
        <v>0</v>
      </c>
      <c r="O3463">
        <v>-2.4867159999999999E-3</v>
      </c>
      <c r="P3463">
        <v>0.99633780000000005</v>
      </c>
      <c r="Q3463">
        <v>-3.5500009999999999E-2</v>
      </c>
      <c r="R3463">
        <v>-7.7790100000000001E-2</v>
      </c>
      <c r="S3463">
        <v>3.0397340000000002</v>
      </c>
      <c r="T3463">
        <v>6.3085790000000003E-2</v>
      </c>
      <c r="U3463">
        <v>0.34217829999999999</v>
      </c>
      <c r="V3463">
        <v>7.5307819999999998E-2</v>
      </c>
      <c r="W3463">
        <v>-2.1115849999999999E-2</v>
      </c>
      <c r="X3463">
        <v>0.99693670000000001</v>
      </c>
      <c r="Y3463">
        <v>-0.114308199999999</v>
      </c>
      <c r="Z3463">
        <v>-1.233748E-3</v>
      </c>
      <c r="AA3463">
        <v>0.99344460000000001</v>
      </c>
      <c r="AB3463">
        <v>32</v>
      </c>
      <c r="AC3463">
        <v>104.0356</v>
      </c>
      <c r="AD3463">
        <v>2.164641</v>
      </c>
      <c r="AE3463">
        <v>11.742099999999899</v>
      </c>
      <c r="AF3463">
        <v>-11.995669795611001</v>
      </c>
      <c r="AG3463">
        <v>2.164641</v>
      </c>
      <c r="AH3463">
        <v>103.96163499195301</v>
      </c>
      <c r="AI3463">
        <v>88.815045967961694</v>
      </c>
      <c r="AJ3463">
        <v>96.581997154755399</v>
      </c>
      <c r="AK3463">
        <v>104.673794785057</v>
      </c>
      <c r="AL3463">
        <v>91.209939053558799</v>
      </c>
      <c r="AM3463">
        <v>85.680125732247404</v>
      </c>
      <c r="AN3463">
        <v>0.99999996534063096</v>
      </c>
    </row>
    <row r="3464" spans="1:40" x14ac:dyDescent="0.25">
      <c r="A3464" t="str">
        <f>"20190312161340387"</f>
        <v>20190312161340387</v>
      </c>
      <c r="B3464" t="str">
        <f>"1552378420379425"</f>
        <v>1552378420379425</v>
      </c>
      <c r="C3464" t="s">
        <v>40</v>
      </c>
      <c r="D3464">
        <v>4.627732</v>
      </c>
      <c r="E3464">
        <v>0.42769639999999998</v>
      </c>
      <c r="F3464" t="s">
        <v>59</v>
      </c>
      <c r="G3464">
        <v>-157.25</v>
      </c>
      <c r="H3464">
        <v>3.2820309999999999</v>
      </c>
      <c r="I3464">
        <v>225.93940000000001</v>
      </c>
      <c r="J3464">
        <v>-260.90109999999999</v>
      </c>
      <c r="K3464">
        <v>1.1099429999999999</v>
      </c>
      <c r="L3464">
        <v>214.3426</v>
      </c>
      <c r="M3464">
        <v>0.99989240000000001</v>
      </c>
      <c r="N3464">
        <v>0</v>
      </c>
      <c r="O3464">
        <v>-2.5678620000000002E-3</v>
      </c>
      <c r="P3464">
        <v>0.99628570000000005</v>
      </c>
      <c r="Q3464">
        <v>-3.5118469999999999E-2</v>
      </c>
      <c r="R3464">
        <v>-7.8622200000000003E-2</v>
      </c>
      <c r="S3464">
        <v>3.0397340000000002</v>
      </c>
      <c r="T3464">
        <v>6.3466309999999998E-2</v>
      </c>
      <c r="U3464">
        <v>0.3388062</v>
      </c>
      <c r="V3464">
        <v>7.6059299999999996E-2</v>
      </c>
      <c r="W3464">
        <v>-2.0738860000000001E-2</v>
      </c>
      <c r="X3464">
        <v>0.99688759999999998</v>
      </c>
      <c r="Y3464">
        <v>-0.1133002</v>
      </c>
      <c r="Z3464">
        <v>-1.232464E-3</v>
      </c>
      <c r="AA3464">
        <v>0.99356</v>
      </c>
      <c r="AB3464">
        <v>32</v>
      </c>
      <c r="AC3464">
        <v>103.6511</v>
      </c>
      <c r="AD3464">
        <v>2.172088</v>
      </c>
      <c r="AE3464">
        <v>11.5968</v>
      </c>
      <c r="AF3464">
        <v>-11.8578083350339</v>
      </c>
      <c r="AG3464">
        <v>2.172088</v>
      </c>
      <c r="AH3464">
        <v>103.57605363011599</v>
      </c>
      <c r="AI3464">
        <v>88.806423425451499</v>
      </c>
      <c r="AJ3464">
        <v>96.5310200073327</v>
      </c>
      <c r="AK3464">
        <v>104.275234213972</v>
      </c>
      <c r="AL3464">
        <v>91.188334341471801</v>
      </c>
      <c r="AM3464">
        <v>85.636970230421099</v>
      </c>
      <c r="AN3464">
        <v>1.00000000223217</v>
      </c>
    </row>
    <row r="3465" spans="1:40" x14ac:dyDescent="0.25">
      <c r="A3465" t="str">
        <f>"20190312161340408"</f>
        <v>20190312161340408</v>
      </c>
      <c r="B3465" t="str">
        <f>"1552378420398945"</f>
        <v>1552378420398945</v>
      </c>
      <c r="C3465" t="s">
        <v>40</v>
      </c>
      <c r="D3465">
        <v>4.6539140000000003</v>
      </c>
      <c r="E3465">
        <v>0.42771219999999999</v>
      </c>
      <c r="F3465" t="s">
        <v>59</v>
      </c>
      <c r="G3465">
        <v>-168.35059999999999</v>
      </c>
      <c r="H3465">
        <v>3.1097199999999998</v>
      </c>
      <c r="I3465">
        <v>224.4991</v>
      </c>
      <c r="J3465">
        <v>-260.58670000000001</v>
      </c>
      <c r="K3465">
        <v>1.109945</v>
      </c>
      <c r="L3465">
        <v>214.34180000000001</v>
      </c>
      <c r="M3465">
        <v>0.99989249999999996</v>
      </c>
      <c r="N3465">
        <v>0</v>
      </c>
      <c r="O3465">
        <v>-2.63459E-3</v>
      </c>
      <c r="P3465">
        <v>0.99626179999999998</v>
      </c>
      <c r="Q3465">
        <v>-3.5033750000000002E-2</v>
      </c>
      <c r="R3465">
        <v>-7.8964049999999994E-2</v>
      </c>
      <c r="S3465">
        <v>3.039825</v>
      </c>
      <c r="T3465">
        <v>6.5684560000000003E-2</v>
      </c>
      <c r="U3465">
        <v>0.33358759999999998</v>
      </c>
      <c r="V3465">
        <v>7.6334860000000004E-2</v>
      </c>
      <c r="W3465">
        <v>-2.0657680000000001E-2</v>
      </c>
      <c r="X3465">
        <v>0.99686819999999998</v>
      </c>
      <c r="Y3465">
        <v>-0.1116766</v>
      </c>
      <c r="Z3465">
        <v>-1.2595639999999999E-3</v>
      </c>
      <c r="AA3465">
        <v>0.99374379999999995</v>
      </c>
      <c r="AB3465">
        <v>32</v>
      </c>
      <c r="AC3465">
        <v>92.236099999999993</v>
      </c>
      <c r="AD3465">
        <v>1.9997750000000001</v>
      </c>
      <c r="AE3465">
        <v>10.1572999999999</v>
      </c>
      <c r="AF3465">
        <v>-10.3954663069355</v>
      </c>
      <c r="AG3465">
        <v>1.9997750000000001</v>
      </c>
      <c r="AH3465">
        <v>92.166211461594898</v>
      </c>
      <c r="AI3465">
        <v>88.764850022857004</v>
      </c>
      <c r="AJ3465">
        <v>96.435218446246097</v>
      </c>
      <c r="AK3465">
        <v>92.772169075497402</v>
      </c>
      <c r="AL3465">
        <v>91.183682100485001</v>
      </c>
      <c r="AM3465">
        <v>85.6211396198579</v>
      </c>
      <c r="AN3465">
        <v>0.99999997938272001</v>
      </c>
    </row>
    <row r="3466" spans="1:40" x14ac:dyDescent="0.25">
      <c r="A3466" t="str">
        <f>"20190312161340430"</f>
        <v>20190312161340430</v>
      </c>
      <c r="B3466" t="str">
        <f>"1552378420419440"</f>
        <v>1552378420419440</v>
      </c>
      <c r="C3466" t="s">
        <v>40</v>
      </c>
      <c r="D3466">
        <v>4.6576890000000004</v>
      </c>
      <c r="E3466">
        <v>0.42776599999999998</v>
      </c>
      <c r="F3466" t="s">
        <v>59</v>
      </c>
      <c r="G3466">
        <v>-168.35059999999999</v>
      </c>
      <c r="H3466">
        <v>3.077</v>
      </c>
      <c r="I3466">
        <v>224.43979999999999</v>
      </c>
      <c r="J3466">
        <v>-260.27460000000002</v>
      </c>
      <c r="K3466">
        <v>1.109944</v>
      </c>
      <c r="L3466">
        <v>214.3409</v>
      </c>
      <c r="M3466">
        <v>0.99989229999999996</v>
      </c>
      <c r="N3466">
        <v>0</v>
      </c>
      <c r="O3466">
        <v>-2.7004820000000001E-3</v>
      </c>
      <c r="P3466">
        <v>0.99628700000000003</v>
      </c>
      <c r="Q3466">
        <v>-3.5066989999999999E-2</v>
      </c>
      <c r="R3466">
        <v>-7.8630400000000003E-2</v>
      </c>
      <c r="S3466">
        <v>3.039917</v>
      </c>
      <c r="T3466">
        <v>6.4831970000000003E-2</v>
      </c>
      <c r="U3466">
        <v>0.33280939999999998</v>
      </c>
      <c r="V3466">
        <v>7.5935420000000003E-2</v>
      </c>
      <c r="W3466">
        <v>-2.0693929999999999E-2</v>
      </c>
      <c r="X3466">
        <v>0.99689799999999995</v>
      </c>
      <c r="Y3466">
        <v>-0.1114882</v>
      </c>
      <c r="Z3466">
        <v>-1.2425959999999999E-3</v>
      </c>
      <c r="AA3466">
        <v>0.99376500000000001</v>
      </c>
      <c r="AB3466">
        <v>32</v>
      </c>
      <c r="AC3466">
        <v>91.924000000000007</v>
      </c>
      <c r="AD3466">
        <v>1.9670559999999999</v>
      </c>
      <c r="AE3466">
        <v>10.098899999999899</v>
      </c>
      <c r="AF3466">
        <v>-10.342448725209801</v>
      </c>
      <c r="AG3466">
        <v>1.9670559999999999</v>
      </c>
      <c r="AH3466">
        <v>91.854830802403995</v>
      </c>
      <c r="AI3466">
        <v>88.780908865861406</v>
      </c>
      <c r="AJ3466">
        <v>96.4241950373317</v>
      </c>
      <c r="AK3466">
        <v>92.456181495230496</v>
      </c>
      <c r="AL3466">
        <v>91.185759463022094</v>
      </c>
      <c r="AM3466">
        <v>85.644094319579693</v>
      </c>
      <c r="AN3466">
        <v>1.00000002457671</v>
      </c>
    </row>
    <row r="3467" spans="1:40" x14ac:dyDescent="0.25">
      <c r="A3467" t="str">
        <f>"20190312161340452"</f>
        <v>20190312161340452</v>
      </c>
      <c r="B3467" t="str">
        <f>"1552378420449696"</f>
        <v>1552378420449696</v>
      </c>
      <c r="C3467" t="s">
        <v>40</v>
      </c>
      <c r="D3467">
        <v>4.6207229999999999</v>
      </c>
      <c r="E3467">
        <v>0.42787409999999998</v>
      </c>
      <c r="F3467" t="s">
        <v>59</v>
      </c>
      <c r="G3467">
        <v>-168.35059999999999</v>
      </c>
      <c r="H3467">
        <v>3.0975890000000001</v>
      </c>
      <c r="I3467">
        <v>224.41759999999999</v>
      </c>
      <c r="J3467">
        <v>-259.95249999999999</v>
      </c>
      <c r="K3467">
        <v>1.109942</v>
      </c>
      <c r="L3467">
        <v>214.3399</v>
      </c>
      <c r="M3467">
        <v>0.99989209999999995</v>
      </c>
      <c r="N3467">
        <v>0</v>
      </c>
      <c r="O3467">
        <v>-2.7683970000000001E-3</v>
      </c>
      <c r="P3467">
        <v>0.99624999999999997</v>
      </c>
      <c r="Q3467">
        <v>-3.5704939999999998E-2</v>
      </c>
      <c r="R3467">
        <v>-7.8812160000000006E-2</v>
      </c>
      <c r="S3467">
        <v>3.0397949999999998</v>
      </c>
      <c r="T3467">
        <v>6.5730330000000003E-2</v>
      </c>
      <c r="U3467">
        <v>0.3332214</v>
      </c>
      <c r="V3467">
        <v>7.6049420000000006E-2</v>
      </c>
      <c r="W3467">
        <v>-2.1335989999999999E-2</v>
      </c>
      <c r="X3467">
        <v>0.99687579999999998</v>
      </c>
      <c r="Y3467">
        <v>-0.11169229999999999</v>
      </c>
      <c r="Z3467">
        <v>-1.2635159999999999E-3</v>
      </c>
      <c r="AA3467">
        <v>0.99374200000000001</v>
      </c>
      <c r="AB3467">
        <v>32</v>
      </c>
      <c r="AC3467">
        <v>91.601900000000001</v>
      </c>
      <c r="AD3467">
        <v>1.9876469999999999</v>
      </c>
      <c r="AE3467">
        <v>10.077699999999901</v>
      </c>
      <c r="AF3467">
        <v>-10.326474262625499</v>
      </c>
      <c r="AG3467">
        <v>1.9876469999999999</v>
      </c>
      <c r="AH3467">
        <v>91.531066197808798</v>
      </c>
      <c r="AI3467">
        <v>88.763826236333898</v>
      </c>
      <c r="AJ3467">
        <v>96.436854114671902</v>
      </c>
      <c r="AK3467">
        <v>92.1331801828252</v>
      </c>
      <c r="AL3467">
        <v>91.222554886097996</v>
      </c>
      <c r="AM3467">
        <v>85.637483355015206</v>
      </c>
      <c r="AN3467">
        <v>1.0000000496886201</v>
      </c>
    </row>
    <row r="3468" spans="1:40" x14ac:dyDescent="0.25">
      <c r="A3468" t="str">
        <f>"20190312161340476"</f>
        <v>20190312161340476</v>
      </c>
      <c r="B3468" t="str">
        <f>"1552378420469217"</f>
        <v>1552378420469217</v>
      </c>
      <c r="C3468" t="s">
        <v>40</v>
      </c>
      <c r="D3468">
        <v>4.6603879999999904</v>
      </c>
      <c r="E3468">
        <v>0.42788700000000002</v>
      </c>
      <c r="F3468" t="s">
        <v>59</v>
      </c>
      <c r="G3468">
        <v>-168.35059999999999</v>
      </c>
      <c r="H3468">
        <v>3.0862790000000002</v>
      </c>
      <c r="I3468">
        <v>224.33269999999999</v>
      </c>
      <c r="J3468">
        <v>-259.61790000000002</v>
      </c>
      <c r="K3468">
        <v>1.109945</v>
      </c>
      <c r="L3468">
        <v>214.3389</v>
      </c>
      <c r="M3468">
        <v>0.99989189999999994</v>
      </c>
      <c r="N3468">
        <v>0</v>
      </c>
      <c r="O3468">
        <v>-2.8390540000000001E-3</v>
      </c>
      <c r="P3468">
        <v>0.99625989999999998</v>
      </c>
      <c r="Q3468">
        <v>-3.6201110000000002E-2</v>
      </c>
      <c r="R3468">
        <v>-7.8458410000000006E-2</v>
      </c>
      <c r="S3468">
        <v>3.0398860000000001</v>
      </c>
      <c r="T3468">
        <v>6.5588240000000006E-2</v>
      </c>
      <c r="U3468">
        <v>0.33161929999999901</v>
      </c>
      <c r="V3468">
        <v>7.5625199999999906E-2</v>
      </c>
      <c r="W3468">
        <v>-2.183564E-2</v>
      </c>
      <c r="X3468">
        <v>0.99689720000000004</v>
      </c>
      <c r="Y3468">
        <v>-0.1112419</v>
      </c>
      <c r="Z3468">
        <v>-1.25746E-3</v>
      </c>
      <c r="AA3468">
        <v>0.99379249999999997</v>
      </c>
      <c r="AB3468">
        <v>32</v>
      </c>
      <c r="AC3468">
        <v>91.267300000000006</v>
      </c>
      <c r="AD3468">
        <v>1.976334</v>
      </c>
      <c r="AE3468">
        <v>9.9937999999999896</v>
      </c>
      <c r="AF3468">
        <v>-10.248150944360701</v>
      </c>
      <c r="AG3468">
        <v>1.976334</v>
      </c>
      <c r="AH3468">
        <v>91.196299946271495</v>
      </c>
      <c r="AI3468">
        <v>88.766288390581906</v>
      </c>
      <c r="AJ3468">
        <v>96.411693533531206</v>
      </c>
      <c r="AK3468">
        <v>91.791587946544894</v>
      </c>
      <c r="AL3468">
        <v>91.251189459369996</v>
      </c>
      <c r="AM3468">
        <v>85.661818019994001</v>
      </c>
      <c r="AN3468">
        <v>0.999999996708544</v>
      </c>
    </row>
    <row r="3469" spans="1:40" x14ac:dyDescent="0.25">
      <c r="A3469" t="str">
        <f>"20190312161340497"</f>
        <v>20190312161340497</v>
      </c>
      <c r="B3469" t="str">
        <f>"1552378420489716"</f>
        <v>1552378420489716</v>
      </c>
      <c r="C3469" t="s">
        <v>40</v>
      </c>
      <c r="D3469">
        <v>4.6544169999999996</v>
      </c>
      <c r="E3469">
        <v>0.42781209999999997</v>
      </c>
      <c r="F3469" t="s">
        <v>59</v>
      </c>
      <c r="G3469">
        <v>-168.35059999999999</v>
      </c>
      <c r="H3469">
        <v>3.072854</v>
      </c>
      <c r="I3469">
        <v>224.3169</v>
      </c>
      <c r="J3469">
        <v>-259.30630000000002</v>
      </c>
      <c r="K3469">
        <v>1.1099509999999999</v>
      </c>
      <c r="L3469">
        <v>214.33799999999999</v>
      </c>
      <c r="M3469">
        <v>0.99989189999999994</v>
      </c>
      <c r="N3469">
        <v>0</v>
      </c>
      <c r="O3469">
        <v>-2.9050629999999998E-3</v>
      </c>
      <c r="P3469">
        <v>0.99625649999999999</v>
      </c>
      <c r="Q3469">
        <v>-3.5631360000000001E-2</v>
      </c>
      <c r="R3469">
        <v>-7.8761349999999994E-2</v>
      </c>
      <c r="S3469">
        <v>3.039825</v>
      </c>
      <c r="T3469">
        <v>6.5380099999999997E-2</v>
      </c>
      <c r="U3469">
        <v>0.33233639999999998</v>
      </c>
      <c r="V3469">
        <v>7.5862680000000002E-2</v>
      </c>
      <c r="W3469">
        <v>-2.12695E-2</v>
      </c>
      <c r="X3469">
        <v>0.99689139999999998</v>
      </c>
      <c r="Y3469">
        <v>-0.1115414</v>
      </c>
      <c r="Z3469">
        <v>-1.2581059999999999E-3</v>
      </c>
      <c r="AA3469">
        <v>0.99375899999999995</v>
      </c>
      <c r="AB3469">
        <v>32</v>
      </c>
      <c r="AC3469">
        <v>90.955699999999993</v>
      </c>
      <c r="AD3469">
        <v>1.9629030000000001</v>
      </c>
      <c r="AE3469">
        <v>9.9789000000000101</v>
      </c>
      <c r="AF3469">
        <v>-10.2384057133063</v>
      </c>
      <c r="AG3469">
        <v>1.9629030000000001</v>
      </c>
      <c r="AH3469">
        <v>90.884499205788202</v>
      </c>
      <c r="AI3469">
        <v>88.770505537041103</v>
      </c>
      <c r="AJ3469">
        <v>96.427439680503596</v>
      </c>
      <c r="AK3469">
        <v>91.480435808016296</v>
      </c>
      <c r="AL3469">
        <v>91.218744485012394</v>
      </c>
      <c r="AM3469">
        <v>85.648222188713007</v>
      </c>
      <c r="AN3469">
        <v>1.0000000006204901</v>
      </c>
    </row>
    <row r="3470" spans="1:40" x14ac:dyDescent="0.25">
      <c r="A3470" t="str">
        <f>"20190312161340519"</f>
        <v>20190312161340519</v>
      </c>
      <c r="B3470" t="str">
        <f>"1552378420509232"</f>
        <v>1552378420509232</v>
      </c>
      <c r="C3470" t="s">
        <v>40</v>
      </c>
      <c r="D3470">
        <v>4.7458530000000003</v>
      </c>
      <c r="E3470">
        <v>0.42763190000000001</v>
      </c>
      <c r="F3470" t="s">
        <v>59</v>
      </c>
      <c r="G3470">
        <v>-168.35059999999999</v>
      </c>
      <c r="H3470">
        <v>3.1282640000000002</v>
      </c>
      <c r="I3470">
        <v>224.2747</v>
      </c>
      <c r="J3470">
        <v>-258.99509999999998</v>
      </c>
      <c r="K3470">
        <v>1.1099429999999999</v>
      </c>
      <c r="L3470">
        <v>214.33699999999999</v>
      </c>
      <c r="M3470">
        <v>0.99989170000000005</v>
      </c>
      <c r="N3470">
        <v>0</v>
      </c>
      <c r="O3470">
        <v>-2.970954E-3</v>
      </c>
      <c r="P3470">
        <v>0.99622010000000005</v>
      </c>
      <c r="Q3470">
        <v>-3.6042079999999997E-2</v>
      </c>
      <c r="R3470">
        <v>-7.9035560000000005E-2</v>
      </c>
      <c r="S3470">
        <v>3.0399479999999999</v>
      </c>
      <c r="T3470">
        <v>6.7458389999999993E-2</v>
      </c>
      <c r="U3470">
        <v>0.3321075</v>
      </c>
      <c r="V3470">
        <v>7.6071150000000004E-2</v>
      </c>
      <c r="W3470">
        <v>-2.1684209999999999E-2</v>
      </c>
      <c r="X3470">
        <v>0.99686660000000005</v>
      </c>
      <c r="Y3470">
        <v>-0.111527</v>
      </c>
      <c r="Z3470">
        <v>-1.29934E-3</v>
      </c>
      <c r="AA3470">
        <v>0.99376059999999999</v>
      </c>
      <c r="AB3470">
        <v>32</v>
      </c>
      <c r="AC3470">
        <v>90.644499999999994</v>
      </c>
      <c r="AD3470">
        <v>2.0183209999999998</v>
      </c>
      <c r="AE3470">
        <v>9.9376999999999693</v>
      </c>
      <c r="AF3470">
        <v>-10.2019867850039</v>
      </c>
      <c r="AG3470">
        <v>2.0183209999999998</v>
      </c>
      <c r="AH3470">
        <v>90.570201893159705</v>
      </c>
      <c r="AI3470">
        <v>88.731417566824703</v>
      </c>
      <c r="AJ3470">
        <v>96.426807241297496</v>
      </c>
      <c r="AK3470">
        <v>91.165320297732507</v>
      </c>
      <c r="AL3470">
        <v>91.2425110738006</v>
      </c>
      <c r="AM3470">
        <v>85.636201527183104</v>
      </c>
      <c r="AN3470">
        <v>1.0000000215106</v>
      </c>
    </row>
    <row r="3471" spans="1:40" x14ac:dyDescent="0.25">
      <c r="A3471" t="str">
        <f>"20190312161340541"</f>
        <v>20190312161340541</v>
      </c>
      <c r="B3471" t="str">
        <f>"1552378420529729"</f>
        <v>1552378420529729</v>
      </c>
      <c r="C3471" t="s">
        <v>40</v>
      </c>
      <c r="D3471">
        <v>4.7099279999999997</v>
      </c>
      <c r="E3471">
        <v>0.42724030000000002</v>
      </c>
      <c r="F3471" t="s">
        <v>59</v>
      </c>
      <c r="G3471">
        <v>-168.35059999999999</v>
      </c>
      <c r="H3471">
        <v>3.0372300000000001</v>
      </c>
      <c r="I3471">
        <v>224.26599999999999</v>
      </c>
      <c r="J3471">
        <v>-258.67959999999999</v>
      </c>
      <c r="K3471">
        <v>1.109939</v>
      </c>
      <c r="L3471">
        <v>214.33600000000001</v>
      </c>
      <c r="M3471">
        <v>0.99989150000000004</v>
      </c>
      <c r="N3471">
        <v>0</v>
      </c>
      <c r="O3471">
        <v>-3.037798E-3</v>
      </c>
      <c r="P3471">
        <v>0.99620929999999996</v>
      </c>
      <c r="Q3471">
        <v>-3.6319480000000001E-2</v>
      </c>
      <c r="R3471">
        <v>-7.9043920000000004E-2</v>
      </c>
      <c r="S3471">
        <v>3.0401150000000001</v>
      </c>
      <c r="T3471">
        <v>6.4640879999999998E-2</v>
      </c>
      <c r="U3471">
        <v>0.33300780000000002</v>
      </c>
      <c r="V3471">
        <v>7.6012830000000003E-2</v>
      </c>
      <c r="W3471">
        <v>-2.1965220000000001E-2</v>
      </c>
      <c r="X3471">
        <v>0.99686490000000005</v>
      </c>
      <c r="Y3471">
        <v>-0.11188049999999999</v>
      </c>
      <c r="Z3471">
        <v>-1.250159E-3</v>
      </c>
      <c r="AA3471">
        <v>0.99372090000000002</v>
      </c>
      <c r="AB3471">
        <v>32</v>
      </c>
      <c r="AC3471">
        <v>90.328999999999994</v>
      </c>
      <c r="AD3471">
        <v>1.9272910000000001</v>
      </c>
      <c r="AE3471">
        <v>9.93</v>
      </c>
      <c r="AF3471">
        <v>-10.1997960289511</v>
      </c>
      <c r="AG3471">
        <v>1.9272910000000001</v>
      </c>
      <c r="AH3471">
        <v>90.257816337917305</v>
      </c>
      <c r="AI3471">
        <v>88.784473626209405</v>
      </c>
      <c r="AJ3471">
        <v>96.447490433389206</v>
      </c>
      <c r="AK3471">
        <v>90.852758349541105</v>
      </c>
      <c r="AL3471">
        <v>91.258615591969303</v>
      </c>
      <c r="AM3471">
        <v>85.639526721038095</v>
      </c>
      <c r="AN3471">
        <v>1.00000002503313</v>
      </c>
    </row>
    <row r="3472" spans="1:40" x14ac:dyDescent="0.25">
      <c r="A3472" t="str">
        <f>"20190312161340565"</f>
        <v>20190312161340565</v>
      </c>
      <c r="B3472" t="str">
        <f>"1552378420559008"</f>
        <v>1552378420559008</v>
      </c>
      <c r="C3472" t="s">
        <v>40</v>
      </c>
      <c r="D3472">
        <v>4.7055499999999997</v>
      </c>
      <c r="E3472">
        <v>0.42680750000000001</v>
      </c>
      <c r="F3472" t="s">
        <v>59</v>
      </c>
      <c r="G3472">
        <v>-168.35059999999999</v>
      </c>
      <c r="H3472">
        <v>2.934631</v>
      </c>
      <c r="I3472">
        <v>224.31909999999999</v>
      </c>
      <c r="J3472">
        <v>-258.34070000000003</v>
      </c>
      <c r="K3472">
        <v>1.109942</v>
      </c>
      <c r="L3472">
        <v>214.3349</v>
      </c>
      <c r="M3472">
        <v>0.99989150000000004</v>
      </c>
      <c r="N3472">
        <v>0</v>
      </c>
      <c r="O3472">
        <v>-3.1097669999999998E-3</v>
      </c>
      <c r="P3472">
        <v>0.99618180000000001</v>
      </c>
      <c r="Q3472">
        <v>-3.6698330000000001E-2</v>
      </c>
      <c r="R3472">
        <v>-7.9218460000000004E-2</v>
      </c>
      <c r="S3472">
        <v>3.040314</v>
      </c>
      <c r="T3472">
        <v>6.1417699999999999E-2</v>
      </c>
      <c r="U3472">
        <v>0.33601379999999997</v>
      </c>
      <c r="V3472">
        <v>7.611561E-2</v>
      </c>
      <c r="W3472">
        <v>-2.2347990000000002E-2</v>
      </c>
      <c r="X3472">
        <v>0.99684850000000003</v>
      </c>
      <c r="Y3472">
        <v>-0.112918</v>
      </c>
      <c r="Z3472">
        <v>-1.1995899999999999E-3</v>
      </c>
      <c r="AA3472">
        <v>0.99360360000000003</v>
      </c>
      <c r="AB3472">
        <v>32</v>
      </c>
      <c r="AC3472">
        <v>89.990099999999998</v>
      </c>
      <c r="AD3472">
        <v>1.824689</v>
      </c>
      <c r="AE3472">
        <v>9.98419999999998</v>
      </c>
      <c r="AF3472">
        <v>-10.2598620368471</v>
      </c>
      <c r="AG3472">
        <v>1.824689</v>
      </c>
      <c r="AH3472">
        <v>89.922092131219102</v>
      </c>
      <c r="AI3472">
        <v>88.845011574301395</v>
      </c>
      <c r="AJ3472">
        <v>96.509141662420504</v>
      </c>
      <c r="AK3472">
        <v>90.523902435861103</v>
      </c>
      <c r="AL3472">
        <v>91.280552145852695</v>
      </c>
      <c r="AM3472">
        <v>85.633581978879803</v>
      </c>
      <c r="AN3472">
        <v>0.99999997534747997</v>
      </c>
    </row>
    <row r="3473" spans="1:40" x14ac:dyDescent="0.25">
      <c r="A3473" t="str">
        <f>"20190312161340588"</f>
        <v>20190312161340588</v>
      </c>
      <c r="B3473" t="str">
        <f>"1552378420579504"</f>
        <v>1552378420579504</v>
      </c>
      <c r="C3473" t="s">
        <v>40</v>
      </c>
      <c r="D3473">
        <v>4.7424379999999999</v>
      </c>
      <c r="E3473">
        <v>0.42651889999999998</v>
      </c>
      <c r="F3473" t="s">
        <v>59</v>
      </c>
      <c r="G3473">
        <v>-168.35059999999999</v>
      </c>
      <c r="H3473">
        <v>2.8426300000000002</v>
      </c>
      <c r="I3473">
        <v>224.36590000000001</v>
      </c>
      <c r="J3473">
        <v>-258.02539999999999</v>
      </c>
      <c r="K3473">
        <v>1.1099479999999999</v>
      </c>
      <c r="L3473">
        <v>214.3338</v>
      </c>
      <c r="M3473">
        <v>0.99989110000000003</v>
      </c>
      <c r="N3473">
        <v>0</v>
      </c>
      <c r="O3473">
        <v>-3.1762560000000001E-3</v>
      </c>
      <c r="P3473">
        <v>0.99619449999999998</v>
      </c>
      <c r="Q3473">
        <v>-3.6811330000000003E-2</v>
      </c>
      <c r="R3473">
        <v>-7.9001199999999994E-2</v>
      </c>
      <c r="S3473">
        <v>3.0406040000000001</v>
      </c>
      <c r="T3473">
        <v>5.8546300000000003E-2</v>
      </c>
      <c r="U3473">
        <v>0.33892820000000001</v>
      </c>
      <c r="V3473">
        <v>7.58321E-2</v>
      </c>
      <c r="W3473">
        <v>-2.246399E-2</v>
      </c>
      <c r="X3473">
        <v>0.99686750000000002</v>
      </c>
      <c r="Y3473">
        <v>-0.1139164</v>
      </c>
      <c r="Z3473">
        <v>-1.154207E-3</v>
      </c>
      <c r="AA3473">
        <v>0.99348970000000003</v>
      </c>
      <c r="AB3473">
        <v>32</v>
      </c>
      <c r="AC3473">
        <v>89.674800000000005</v>
      </c>
      <c r="AD3473">
        <v>1.7326819999999901</v>
      </c>
      <c r="AE3473">
        <v>10.0321</v>
      </c>
      <c r="AF3473">
        <v>-10.313106453908601</v>
      </c>
      <c r="AG3473">
        <v>1.7326819999999901</v>
      </c>
      <c r="AH3473">
        <v>89.609439046065106</v>
      </c>
      <c r="AI3473">
        <v>88.899533144141401</v>
      </c>
      <c r="AJ3473">
        <v>96.565257968966407</v>
      </c>
      <c r="AK3473">
        <v>90.217592063816696</v>
      </c>
      <c r="AL3473">
        <v>91.287200125327203</v>
      </c>
      <c r="AM3473">
        <v>85.649865749547502</v>
      </c>
      <c r="AN3473">
        <v>0.99999997539668894</v>
      </c>
    </row>
    <row r="3474" spans="1:40" x14ac:dyDescent="0.25">
      <c r="A3474" t="str">
        <f>"20190312161340609"</f>
        <v>20190312161340609</v>
      </c>
      <c r="B3474" t="str">
        <f>"1552378420599024"</f>
        <v>1552378420599024</v>
      </c>
      <c r="C3474" t="s">
        <v>40</v>
      </c>
      <c r="D3474">
        <v>4.7512129999999999</v>
      </c>
      <c r="E3474">
        <v>0.42636420000000003</v>
      </c>
      <c r="F3474" t="s">
        <v>59</v>
      </c>
      <c r="G3474">
        <v>-168.35059999999999</v>
      </c>
      <c r="H3474">
        <v>2.8002440000000002</v>
      </c>
      <c r="I3474">
        <v>224.4194</v>
      </c>
      <c r="J3474">
        <v>-257.71960000000001</v>
      </c>
      <c r="K3474">
        <v>1.1099490000000001</v>
      </c>
      <c r="L3474">
        <v>214.33279999999999</v>
      </c>
      <c r="M3474">
        <v>0.99989099999999997</v>
      </c>
      <c r="N3474">
        <v>0</v>
      </c>
      <c r="O3474">
        <v>-3.2411950000000001E-3</v>
      </c>
      <c r="P3474">
        <v>0.99621550000000003</v>
      </c>
      <c r="Q3474">
        <v>-3.6591470000000001E-2</v>
      </c>
      <c r="R3474">
        <v>-7.8841460000000002E-2</v>
      </c>
      <c r="S3474">
        <v>3.0406949999999999</v>
      </c>
      <c r="T3474">
        <v>5.731642E-2</v>
      </c>
      <c r="U3474">
        <v>0.34198000000000001</v>
      </c>
      <c r="V3474">
        <v>7.5607519999999998E-2</v>
      </c>
      <c r="W3474">
        <v>-2.2247030000000001E-2</v>
      </c>
      <c r="X3474">
        <v>0.99688949999999998</v>
      </c>
      <c r="Y3474">
        <v>-0.114963</v>
      </c>
      <c r="Z3474">
        <v>-1.140921E-3</v>
      </c>
      <c r="AA3474">
        <v>0.9933691</v>
      </c>
      <c r="AB3474">
        <v>32</v>
      </c>
      <c r="AC3474">
        <v>89.369</v>
      </c>
      <c r="AD3474">
        <v>1.6902949999999901</v>
      </c>
      <c r="AE3474">
        <v>10.086600000000001</v>
      </c>
      <c r="AF3474">
        <v>-10.372575543828701</v>
      </c>
      <c r="AG3474">
        <v>1.6902949999999901</v>
      </c>
      <c r="AH3474">
        <v>89.304289756764106</v>
      </c>
      <c r="AI3474">
        <v>88.922910454260503</v>
      </c>
      <c r="AJ3474">
        <v>96.625143492913594</v>
      </c>
      <c r="AK3474">
        <v>89.920540420748907</v>
      </c>
      <c r="AL3474">
        <v>91.274766028425503</v>
      </c>
      <c r="AM3474">
        <v>85.662794976755606</v>
      </c>
      <c r="AN3474">
        <v>1.0000000513173</v>
      </c>
    </row>
    <row r="3475" spans="1:40" x14ac:dyDescent="0.25">
      <c r="A3475" t="str">
        <f>"20190312161340632"</f>
        <v>20190312161340632</v>
      </c>
      <c r="B3475" t="str">
        <f>"1552378420619521"</f>
        <v>1552378420619521</v>
      </c>
      <c r="C3475" t="s">
        <v>40</v>
      </c>
      <c r="D3475">
        <v>4.7861010000000004</v>
      </c>
      <c r="E3475">
        <v>0.42616799999999999</v>
      </c>
      <c r="F3475" t="s">
        <v>59</v>
      </c>
      <c r="G3475">
        <v>-168.35059999999999</v>
      </c>
      <c r="H3475">
        <v>2.7615430000000001</v>
      </c>
      <c r="I3475">
        <v>224.4366</v>
      </c>
      <c r="J3475">
        <v>-257.40129999999999</v>
      </c>
      <c r="K3475">
        <v>1.1099460000000001</v>
      </c>
      <c r="L3475">
        <v>214.33170000000001</v>
      </c>
      <c r="M3475">
        <v>0.99989090000000003</v>
      </c>
      <c r="N3475">
        <v>0</v>
      </c>
      <c r="O3475">
        <v>-3.308517E-3</v>
      </c>
      <c r="P3475">
        <v>0.99625030000000003</v>
      </c>
      <c r="Q3475">
        <v>-3.6412439999999997E-2</v>
      </c>
      <c r="R3475">
        <v>-7.8483919999999999E-2</v>
      </c>
      <c r="S3475">
        <v>3.0406339999999998</v>
      </c>
      <c r="T3475">
        <v>5.619466E-2</v>
      </c>
      <c r="U3475">
        <v>0.3437653</v>
      </c>
      <c r="V3475">
        <v>7.5182910000000006E-2</v>
      </c>
      <c r="W3475">
        <v>-2.207081E-2</v>
      </c>
      <c r="X3475">
        <v>0.99692550000000002</v>
      </c>
      <c r="Y3475">
        <v>-0.11560860000000001</v>
      </c>
      <c r="Z3475">
        <v>-1.1257680000000001E-3</v>
      </c>
      <c r="AA3475">
        <v>0.99329420000000002</v>
      </c>
      <c r="AB3475">
        <v>32</v>
      </c>
      <c r="AC3475">
        <v>89.050700000000006</v>
      </c>
      <c r="AD3475">
        <v>1.651597</v>
      </c>
      <c r="AE3475">
        <v>10.104899999999899</v>
      </c>
      <c r="AF3475">
        <v>-10.3959704235884</v>
      </c>
      <c r="AG3475">
        <v>1.651597</v>
      </c>
      <c r="AH3475">
        <v>88.986556321774103</v>
      </c>
      <c r="AI3475">
        <v>88.943889254103297</v>
      </c>
      <c r="AJ3475">
        <v>96.663448566377198</v>
      </c>
      <c r="AK3475">
        <v>89.606981757599698</v>
      </c>
      <c r="AL3475">
        <v>91.264666924545395</v>
      </c>
      <c r="AM3475">
        <v>85.687215606143297</v>
      </c>
      <c r="AN3475">
        <v>1.0000000215801801</v>
      </c>
    </row>
    <row r="3476" spans="1:40" x14ac:dyDescent="0.25">
      <c r="A3476" t="str">
        <f>"20190312161340653"</f>
        <v>20190312161340653</v>
      </c>
      <c r="B3476" t="str">
        <f>"1552378420649777"</f>
        <v>1552378420649777</v>
      </c>
      <c r="C3476" t="s">
        <v>40</v>
      </c>
      <c r="D3476">
        <v>4.8513359999999999</v>
      </c>
      <c r="E3476">
        <v>0.42594559999999998</v>
      </c>
      <c r="F3476" t="s">
        <v>59</v>
      </c>
      <c r="G3476">
        <v>-168.35059999999999</v>
      </c>
      <c r="H3476">
        <v>2.7183519999999999</v>
      </c>
      <c r="I3476">
        <v>224.4796</v>
      </c>
      <c r="J3476">
        <v>-257.08760000000001</v>
      </c>
      <c r="K3476">
        <v>1.109944</v>
      </c>
      <c r="L3476">
        <v>214.3306</v>
      </c>
      <c r="M3476">
        <v>0.99989059999999996</v>
      </c>
      <c r="N3476">
        <v>0</v>
      </c>
      <c r="O3476">
        <v>-3.3750049999999999E-3</v>
      </c>
      <c r="P3476">
        <v>0.99625050000000004</v>
      </c>
      <c r="Q3476">
        <v>-3.6317729999999999E-2</v>
      </c>
      <c r="R3476">
        <v>-7.8525380000000006E-2</v>
      </c>
      <c r="S3476">
        <v>3.0406040000000001</v>
      </c>
      <c r="T3476">
        <v>5.4920320000000002E-2</v>
      </c>
      <c r="U3476">
        <v>0.34649659999999999</v>
      </c>
      <c r="V3476">
        <v>7.5158180000000005E-2</v>
      </c>
      <c r="W3476">
        <v>-2.1979390000000001E-2</v>
      </c>
      <c r="X3476">
        <v>0.99692930000000002</v>
      </c>
      <c r="Y3476">
        <v>-0.11655739999999901</v>
      </c>
      <c r="Z3476">
        <v>-1.109936E-3</v>
      </c>
      <c r="AA3476">
        <v>0.99318329999999999</v>
      </c>
      <c r="AB3476">
        <v>32</v>
      </c>
      <c r="AC3476">
        <v>88.736999999999995</v>
      </c>
      <c r="AD3476">
        <v>1.6084079999999901</v>
      </c>
      <c r="AE3476">
        <v>10.148999999999999</v>
      </c>
      <c r="AF3476">
        <v>-10.445073791729801</v>
      </c>
      <c r="AG3476">
        <v>1.6084079999999901</v>
      </c>
      <c r="AH3476">
        <v>88.673481755431595</v>
      </c>
      <c r="AI3476">
        <v>88.967985258108698</v>
      </c>
      <c r="AJ3476">
        <v>96.718057786857003</v>
      </c>
      <c r="AK3476">
        <v>89.301024123130901</v>
      </c>
      <c r="AL3476">
        <v>91.259427779579298</v>
      </c>
      <c r="AM3476">
        <v>85.688645237139994</v>
      </c>
      <c r="AN3476">
        <v>0.99999993740208504</v>
      </c>
    </row>
    <row r="3477" spans="1:40" x14ac:dyDescent="0.25">
      <c r="A3477" t="str">
        <f>"20190312161340677"</f>
        <v>20190312161340677</v>
      </c>
      <c r="B3477" t="str">
        <f>"1552378420669297"</f>
        <v>1552378420669297</v>
      </c>
      <c r="C3477" t="s">
        <v>40</v>
      </c>
      <c r="D3477">
        <v>4.8527239999999896</v>
      </c>
      <c r="E3477">
        <v>0.42579129999999898</v>
      </c>
      <c r="F3477" t="s">
        <v>59</v>
      </c>
      <c r="G3477">
        <v>-168.35059999999999</v>
      </c>
      <c r="H3477">
        <v>2.6749019999999999</v>
      </c>
      <c r="I3477">
        <v>224.49090000000001</v>
      </c>
      <c r="J3477">
        <v>-256.76499999999999</v>
      </c>
      <c r="K3477">
        <v>1.1099479999999999</v>
      </c>
      <c r="L3477">
        <v>214.32939999999999</v>
      </c>
      <c r="M3477">
        <v>0.99989050000000002</v>
      </c>
      <c r="N3477">
        <v>0</v>
      </c>
      <c r="O3477">
        <v>-3.4434000000000001E-3</v>
      </c>
      <c r="P3477">
        <v>0.99624809999999997</v>
      </c>
      <c r="Q3477">
        <v>-3.6154560000000002E-2</v>
      </c>
      <c r="R3477">
        <v>-7.8630539999999999E-2</v>
      </c>
      <c r="S3477">
        <v>3.0407259999999998</v>
      </c>
      <c r="T3477">
        <v>5.3627849999999998E-2</v>
      </c>
      <c r="U3477">
        <v>0.34815980000000002</v>
      </c>
      <c r="V3477">
        <v>7.5195189999999995E-2</v>
      </c>
      <c r="W3477">
        <v>-2.181963E-2</v>
      </c>
      <c r="X3477">
        <v>0.99693010000000004</v>
      </c>
      <c r="Y3477">
        <v>-0.1171579</v>
      </c>
      <c r="Z3477">
        <v>-1.0902220000000001E-3</v>
      </c>
      <c r="AA3477">
        <v>0.99311269999999996</v>
      </c>
      <c r="AB3477">
        <v>32</v>
      </c>
      <c r="AC3477">
        <v>88.414400000000001</v>
      </c>
      <c r="AD3477">
        <v>1.564954</v>
      </c>
      <c r="AE3477">
        <v>10.1615</v>
      </c>
      <c r="AF3477">
        <v>-10.4626822247641</v>
      </c>
      <c r="AG3477">
        <v>1.564954</v>
      </c>
      <c r="AH3477">
        <v>88.351562516788903</v>
      </c>
      <c r="AI3477">
        <v>88.992276998857704</v>
      </c>
      <c r="AJ3477">
        <v>96.753572238377998</v>
      </c>
      <c r="AK3477">
        <v>88.982669096384001</v>
      </c>
      <c r="AL3477">
        <v>91.250271907999604</v>
      </c>
      <c r="AM3477">
        <v>85.686533664015101</v>
      </c>
      <c r="AN3477">
        <v>1.0000000185692399</v>
      </c>
    </row>
    <row r="3478" spans="1:40" x14ac:dyDescent="0.25">
      <c r="A3478" t="str">
        <f>"20190312161340698"</f>
        <v>20190312161340698</v>
      </c>
      <c r="B3478" t="str">
        <f>"1552378420689796"</f>
        <v>1552378420689796</v>
      </c>
      <c r="C3478" t="s">
        <v>40</v>
      </c>
      <c r="D3478">
        <v>4.9223720000000002</v>
      </c>
      <c r="E3478">
        <v>0.42560029999999999</v>
      </c>
      <c r="F3478" t="s">
        <v>59</v>
      </c>
      <c r="G3478">
        <v>-168.35059999999999</v>
      </c>
      <c r="H3478">
        <v>2.6364969999999999</v>
      </c>
      <c r="I3478">
        <v>224.4854</v>
      </c>
      <c r="J3478">
        <v>-256.45580000000001</v>
      </c>
      <c r="K3478">
        <v>1.109958</v>
      </c>
      <c r="L3478">
        <v>214.32830000000001</v>
      </c>
      <c r="M3478">
        <v>0.99989030000000001</v>
      </c>
      <c r="N3478">
        <v>0</v>
      </c>
      <c r="O3478">
        <v>-3.5090540000000002E-3</v>
      </c>
      <c r="P3478">
        <v>0.99624429999999997</v>
      </c>
      <c r="Q3478">
        <v>-3.6017529999999999E-2</v>
      </c>
      <c r="R3478">
        <v>-7.8739909999999996E-2</v>
      </c>
      <c r="S3478">
        <v>3.0407709999999999</v>
      </c>
      <c r="T3478">
        <v>5.2503349999999997E-2</v>
      </c>
      <c r="U3478">
        <v>0.34928890000000001</v>
      </c>
      <c r="V3478">
        <v>7.5239269999999997E-2</v>
      </c>
      <c r="W3478">
        <v>-2.1685869999999999E-2</v>
      </c>
      <c r="X3478">
        <v>0.99692959999999997</v>
      </c>
      <c r="Y3478">
        <v>-0.1175861</v>
      </c>
      <c r="Z3478">
        <v>-1.072141E-3</v>
      </c>
      <c r="AA3478">
        <v>0.99306209999999995</v>
      </c>
      <c r="AB3478">
        <v>32</v>
      </c>
      <c r="AC3478">
        <v>88.105199999999996</v>
      </c>
      <c r="AD3478">
        <v>1.5265390000000001</v>
      </c>
      <c r="AE3478">
        <v>10.1570999999999</v>
      </c>
      <c r="AF3478">
        <v>-10.463135522040499</v>
      </c>
      <c r="AG3478">
        <v>1.5265390000000001</v>
      </c>
      <c r="AH3478">
        <v>88.042927996592496</v>
      </c>
      <c r="AI3478">
        <v>89.013611999615506</v>
      </c>
      <c r="AJ3478">
        <v>96.777317955780802</v>
      </c>
      <c r="AK3478">
        <v>88.675615004826895</v>
      </c>
      <c r="AL3478">
        <v>91.2426063258239</v>
      </c>
      <c r="AM3478">
        <v>85.684012472069099</v>
      </c>
      <c r="AN3478">
        <v>0.99999992603197196</v>
      </c>
    </row>
    <row r="3479" spans="1:40" x14ac:dyDescent="0.25">
      <c r="A3479" t="str">
        <f>"20190312161340721"</f>
        <v>20190312161340721</v>
      </c>
      <c r="B3479" t="str">
        <f>"1552378420709313"</f>
        <v>1552378420709313</v>
      </c>
      <c r="C3479" t="s">
        <v>40</v>
      </c>
      <c r="D3479">
        <v>4.8728800000000003</v>
      </c>
      <c r="E3479">
        <v>0.42544120000000002</v>
      </c>
      <c r="F3479" t="s">
        <v>59</v>
      </c>
      <c r="G3479">
        <v>-168.35059999999999</v>
      </c>
      <c r="H3479">
        <v>2.6146349999999998</v>
      </c>
      <c r="I3479">
        <v>224.4837</v>
      </c>
      <c r="J3479">
        <v>-256.1429</v>
      </c>
      <c r="K3479">
        <v>1.109961</v>
      </c>
      <c r="L3479">
        <v>214.3271</v>
      </c>
      <c r="M3479">
        <v>0.9998901</v>
      </c>
      <c r="N3479">
        <v>0</v>
      </c>
      <c r="O3479">
        <v>-3.575543E-3</v>
      </c>
      <c r="P3479">
        <v>0.9961892</v>
      </c>
      <c r="Q3479">
        <v>-3.5756290000000003E-2</v>
      </c>
      <c r="R3479">
        <v>-7.9553479999999996E-2</v>
      </c>
      <c r="S3479">
        <v>3.0408940000000002</v>
      </c>
      <c r="T3479">
        <v>5.1934840000000003E-2</v>
      </c>
      <c r="U3479">
        <v>0.35050959999999998</v>
      </c>
      <c r="V3479">
        <v>7.5986799999999993E-2</v>
      </c>
      <c r="W3479">
        <v>-2.142881E-2</v>
      </c>
      <c r="X3479">
        <v>0.99687859999999995</v>
      </c>
      <c r="Y3479">
        <v>-0.1180413</v>
      </c>
      <c r="Z3479">
        <v>-1.0654739999999901E-3</v>
      </c>
      <c r="AA3479">
        <v>0.99300809999999995</v>
      </c>
      <c r="AB3479">
        <v>32</v>
      </c>
      <c r="AC3479">
        <v>87.792299999999997</v>
      </c>
      <c r="AD3479">
        <v>1.5046739999999901</v>
      </c>
      <c r="AE3479">
        <v>10.1565999999999</v>
      </c>
      <c r="AF3479">
        <v>-10.4674385419306</v>
      </c>
      <c r="AG3479">
        <v>1.5046739999999901</v>
      </c>
      <c r="AH3479">
        <v>87.729989590668495</v>
      </c>
      <c r="AI3479">
        <v>89.024324270003106</v>
      </c>
      <c r="AJ3479">
        <v>96.804037854704802</v>
      </c>
      <c r="AK3479">
        <v>88.365051842083901</v>
      </c>
      <c r="AL3479">
        <v>91.227874276964002</v>
      </c>
      <c r="AM3479">
        <v>85.641073849196999</v>
      </c>
      <c r="AN3479">
        <v>1.0000000654051</v>
      </c>
    </row>
    <row r="3480" spans="1:40" x14ac:dyDescent="0.25">
      <c r="A3480" t="str">
        <f>"20190312161340743"</f>
        <v>20190312161340743</v>
      </c>
      <c r="B3480" t="str">
        <f>"1552378420739569"</f>
        <v>1552378420739569</v>
      </c>
      <c r="C3480" t="s">
        <v>40</v>
      </c>
      <c r="D3480">
        <v>4.9525519999999998</v>
      </c>
      <c r="E3480">
        <v>0.42521249999999999</v>
      </c>
      <c r="F3480" t="s">
        <v>59</v>
      </c>
      <c r="G3480">
        <v>-168.35059999999999</v>
      </c>
      <c r="H3480">
        <v>2.623929</v>
      </c>
      <c r="I3480">
        <v>224.40530000000001</v>
      </c>
      <c r="J3480">
        <v>-255.82810000000001</v>
      </c>
      <c r="K3480">
        <v>1.1099650000000001</v>
      </c>
      <c r="L3480">
        <v>214.32589999999999</v>
      </c>
      <c r="M3480">
        <v>0.9998899</v>
      </c>
      <c r="N3480">
        <v>0</v>
      </c>
      <c r="O3480">
        <v>-3.6422690000000001E-3</v>
      </c>
      <c r="P3480">
        <v>0.99611459999999996</v>
      </c>
      <c r="Q3480">
        <v>-3.5414620000000001E-2</v>
      </c>
      <c r="R3480">
        <v>-8.0633140000000006E-2</v>
      </c>
      <c r="S3480">
        <v>3.0412140000000001</v>
      </c>
      <c r="T3480">
        <v>5.2447319999999999E-2</v>
      </c>
      <c r="U3480">
        <v>0.34912110000000002</v>
      </c>
      <c r="V3480">
        <v>7.700034E-2</v>
      </c>
      <c r="W3480">
        <v>-2.1091660000000002E-2</v>
      </c>
      <c r="X3480">
        <v>0.99680789999999997</v>
      </c>
      <c r="Y3480">
        <v>-0.1176479</v>
      </c>
      <c r="Z3480">
        <v>-1.0736669999999999E-3</v>
      </c>
      <c r="AA3480">
        <v>0.99305480000000002</v>
      </c>
      <c r="AB3480">
        <v>32</v>
      </c>
      <c r="AC3480">
        <v>87.477500000000006</v>
      </c>
      <c r="AD3480">
        <v>1.5139639999999901</v>
      </c>
      <c r="AE3480">
        <v>10.0794</v>
      </c>
      <c r="AF3480">
        <v>-10.3949099063171</v>
      </c>
      <c r="AG3480">
        <v>1.5139639999999901</v>
      </c>
      <c r="AH3480">
        <v>87.414363902697502</v>
      </c>
      <c r="AI3480">
        <v>89.0147114734973</v>
      </c>
      <c r="AJ3480">
        <v>96.781502051051703</v>
      </c>
      <c r="AK3480">
        <v>88.043269222961996</v>
      </c>
      <c r="AL3480">
        <v>91.208552778416504</v>
      </c>
      <c r="AM3480">
        <v>85.582849413117501</v>
      </c>
      <c r="AN3480">
        <v>0.99999994999203901</v>
      </c>
    </row>
    <row r="3481" spans="1:40" x14ac:dyDescent="0.25">
      <c r="A3481" t="str">
        <f>"20190312161340766"</f>
        <v>20190312161340766</v>
      </c>
      <c r="B3481" t="str">
        <f>"1552378420759088"</f>
        <v>1552378420759088</v>
      </c>
      <c r="C3481" t="s">
        <v>40</v>
      </c>
      <c r="D3481">
        <v>5.0760449999999997</v>
      </c>
      <c r="E3481">
        <v>0.42524489999999998</v>
      </c>
      <c r="F3481" t="s">
        <v>59</v>
      </c>
      <c r="G3481">
        <v>-168.35059999999999</v>
      </c>
      <c r="H3481">
        <v>2.6335069999999998</v>
      </c>
      <c r="I3481">
        <v>224.3143</v>
      </c>
      <c r="J3481">
        <v>-255.5016</v>
      </c>
      <c r="K3481">
        <v>1.109958</v>
      </c>
      <c r="L3481">
        <v>214.3246</v>
      </c>
      <c r="M3481">
        <v>0.9998899</v>
      </c>
      <c r="N3481">
        <v>0</v>
      </c>
      <c r="O3481">
        <v>-3.7116179999999999E-3</v>
      </c>
      <c r="P3481">
        <v>0.99605290000000002</v>
      </c>
      <c r="Q3481">
        <v>-3.5460569999999997E-2</v>
      </c>
      <c r="R3481">
        <v>-8.137258E-2</v>
      </c>
      <c r="S3481">
        <v>3.0416720000000002</v>
      </c>
      <c r="T3481">
        <v>5.2976849999999999E-2</v>
      </c>
      <c r="U3481">
        <v>0.34730529999999998</v>
      </c>
      <c r="V3481">
        <v>7.7670820000000002E-2</v>
      </c>
      <c r="W3481">
        <v>-2.114197E-2</v>
      </c>
      <c r="X3481">
        <v>0.9967549</v>
      </c>
      <c r="Y3481">
        <v>-0.11711439999999999</v>
      </c>
      <c r="Z3481">
        <v>-1.0809540000000001E-3</v>
      </c>
      <c r="AA3481">
        <v>0.9931179</v>
      </c>
      <c r="AB3481">
        <v>32</v>
      </c>
      <c r="AC3481">
        <v>87.150999999999996</v>
      </c>
      <c r="AD3481">
        <v>1.5235489999999901</v>
      </c>
      <c r="AE3481">
        <v>9.9896999999999991</v>
      </c>
      <c r="AF3481">
        <v>-10.310025796604201</v>
      </c>
      <c r="AG3481">
        <v>1.5235489999999901</v>
      </c>
      <c r="AH3481">
        <v>87.087048243461098</v>
      </c>
      <c r="AI3481">
        <v>89.004687457621699</v>
      </c>
      <c r="AJ3481">
        <v>96.751683298245695</v>
      </c>
      <c r="AK3481">
        <v>87.708447741599898</v>
      </c>
      <c r="AL3481">
        <v>91.211435869231195</v>
      </c>
      <c r="AM3481">
        <v>85.544305349358794</v>
      </c>
      <c r="AN3481">
        <v>1.00000003492448</v>
      </c>
    </row>
    <row r="3482" spans="1:40" x14ac:dyDescent="0.25">
      <c r="A3482" t="str">
        <f>"20190312161340789"</f>
        <v>20190312161340789</v>
      </c>
      <c r="B3482" t="str">
        <f>"1552378420779585"</f>
        <v>1552378420779585</v>
      </c>
      <c r="C3482" t="s">
        <v>40</v>
      </c>
      <c r="D3482">
        <v>5.083863</v>
      </c>
      <c r="E3482">
        <v>0.48766959999999998</v>
      </c>
      <c r="F3482" t="s">
        <v>59</v>
      </c>
      <c r="G3482">
        <v>-168.35059999999999</v>
      </c>
      <c r="H3482">
        <v>2.6082420000000002</v>
      </c>
      <c r="I3482">
        <v>224.2107</v>
      </c>
      <c r="J3482">
        <v>-255.1815</v>
      </c>
      <c r="K3482">
        <v>1.10996299999999</v>
      </c>
      <c r="L3482">
        <v>214.32329999999999</v>
      </c>
      <c r="M3482">
        <v>0.99988969999999999</v>
      </c>
      <c r="N3482">
        <v>0</v>
      </c>
      <c r="O3482">
        <v>-3.7796549999999998E-3</v>
      </c>
      <c r="P3482">
        <v>0.99595619999999996</v>
      </c>
      <c r="Q3482">
        <v>-3.58126E-2</v>
      </c>
      <c r="R3482">
        <v>-8.2396999999999998E-2</v>
      </c>
      <c r="S3482">
        <v>3.0419160000000001</v>
      </c>
      <c r="T3482">
        <v>5.2297950000000003E-2</v>
      </c>
      <c r="U3482">
        <v>0.34506229999999999</v>
      </c>
      <c r="V3482">
        <v>7.862769E-2</v>
      </c>
      <c r="W3482">
        <v>-2.1498779999999999E-2</v>
      </c>
      <c r="X3482">
        <v>0.99667220000000001</v>
      </c>
      <c r="Y3482">
        <v>-0.1164506</v>
      </c>
      <c r="Z3482">
        <v>-1.062541E-3</v>
      </c>
      <c r="AA3482">
        <v>0.99319590000000002</v>
      </c>
      <c r="AB3482">
        <v>31</v>
      </c>
      <c r="AC3482">
        <v>86.8309</v>
      </c>
      <c r="AD3482">
        <v>1.4982789999999999</v>
      </c>
      <c r="AE3482">
        <v>9.8874000000000102</v>
      </c>
      <c r="AF3482">
        <v>-10.2125523035005</v>
      </c>
      <c r="AG3482">
        <v>1.4982789999999999</v>
      </c>
      <c r="AH3482">
        <v>86.7674014119752</v>
      </c>
      <c r="AI3482">
        <v>89.017508980446706</v>
      </c>
      <c r="AJ3482">
        <v>96.712847675614398</v>
      </c>
      <c r="AK3482">
        <v>87.379190957003104</v>
      </c>
      <c r="AL3482">
        <v>91.231884275733194</v>
      </c>
      <c r="AM3482">
        <v>85.489265588305997</v>
      </c>
      <c r="AN3482">
        <v>0.99999999271453199</v>
      </c>
    </row>
    <row r="3483" spans="1:40" x14ac:dyDescent="0.25">
      <c r="A3483" t="str">
        <f>"20190312161340832"</f>
        <v>20190312161340832</v>
      </c>
      <c r="B3483" t="str">
        <f>"1552378420829361"</f>
        <v>1552378420829361</v>
      </c>
      <c r="C3483" t="s">
        <v>40</v>
      </c>
      <c r="D3483">
        <v>5.0486319999999996</v>
      </c>
      <c r="E3483">
        <v>0.53671009999999997</v>
      </c>
      <c r="F3483" t="s">
        <v>63</v>
      </c>
      <c r="G3483">
        <v>-202.30080000000001</v>
      </c>
      <c r="H3483" s="1">
        <v>3.4950559999999998E-6</v>
      </c>
      <c r="I3483">
        <v>211.6677</v>
      </c>
      <c r="J3483">
        <v>-254.572</v>
      </c>
      <c r="K3483">
        <v>1.1099559999999999</v>
      </c>
      <c r="L3483">
        <v>214.32079999999999</v>
      </c>
      <c r="M3483">
        <v>0.99988909999999998</v>
      </c>
      <c r="N3483">
        <v>0</v>
      </c>
      <c r="O3483">
        <v>-3.9091730000000002E-3</v>
      </c>
      <c r="P3483">
        <v>0.99587550000000002</v>
      </c>
      <c r="Q3483">
        <v>-3.5754710000000002E-2</v>
      </c>
      <c r="R3483">
        <v>-8.3390740000000005E-2</v>
      </c>
      <c r="S3483">
        <v>2.997452</v>
      </c>
      <c r="T3483">
        <v>-6.2916159999999999E-2</v>
      </c>
      <c r="U3483">
        <v>-0.150528</v>
      </c>
      <c r="V3483">
        <v>7.9492519999999997E-2</v>
      </c>
      <c r="W3483">
        <v>-2.1448430000000001E-2</v>
      </c>
      <c r="X3483">
        <v>0.99660470000000001</v>
      </c>
      <c r="Y3483">
        <v>4.62411E-2</v>
      </c>
      <c r="Z3483">
        <v>-4.0294000000000001E-4</v>
      </c>
      <c r="AA3483">
        <v>0.99893019999999999</v>
      </c>
      <c r="AB3483">
        <v>31</v>
      </c>
      <c r="AC3483">
        <v>52.271199999999901</v>
      </c>
      <c r="AD3483">
        <v>-1.109952504944</v>
      </c>
      <c r="AE3483">
        <v>-2.65309999999999</v>
      </c>
      <c r="AF3483">
        <v>2.4476206530396998</v>
      </c>
      <c r="AG3483">
        <v>-1.109952504944</v>
      </c>
      <c r="AH3483">
        <v>52.257670387386398</v>
      </c>
      <c r="AI3483">
        <v>91.2154468811529</v>
      </c>
      <c r="AJ3483">
        <v>87.3183665195278</v>
      </c>
      <c r="AK3483">
        <v>52.326732706534798</v>
      </c>
      <c r="AL3483">
        <v>91.228998744186896</v>
      </c>
      <c r="AM3483">
        <v>85.439552356056197</v>
      </c>
      <c r="AN3483">
        <v>1.00000001197375</v>
      </c>
    </row>
    <row r="3484" spans="1:40" x14ac:dyDescent="0.25">
      <c r="A3484" t="str">
        <f>"20190312161340855"</f>
        <v>20190312161340855</v>
      </c>
      <c r="B3484" t="str">
        <f>"1552378420849858"</f>
        <v>1552378420849858</v>
      </c>
      <c r="C3484" t="s">
        <v>40</v>
      </c>
      <c r="D3484">
        <v>5.084244</v>
      </c>
      <c r="E3484">
        <v>0.53725299999999998</v>
      </c>
      <c r="F3484" t="s">
        <v>69</v>
      </c>
      <c r="G3484">
        <v>-228.41390000000001</v>
      </c>
      <c r="H3484">
        <v>8.0000680000000005E-2</v>
      </c>
      <c r="I3484">
        <v>209.5376</v>
      </c>
      <c r="J3484">
        <v>-254.25139999999999</v>
      </c>
      <c r="K3484">
        <v>1.109955</v>
      </c>
      <c r="L3484">
        <v>214.31950000000001</v>
      </c>
      <c r="M3484">
        <v>0.99988880000000002</v>
      </c>
      <c r="N3484">
        <v>0</v>
      </c>
      <c r="O3484">
        <v>-3.976973E-3</v>
      </c>
      <c r="P3484">
        <v>0.99585939999999995</v>
      </c>
      <c r="Q3484">
        <v>-3.56782E-2</v>
      </c>
      <c r="R3484">
        <v>-8.3612549999999994E-2</v>
      </c>
      <c r="S3484">
        <v>2.9628909999999999</v>
      </c>
      <c r="T3484">
        <v>-0.1166615</v>
      </c>
      <c r="U3484">
        <v>-0.54179379999999999</v>
      </c>
      <c r="V3484">
        <v>7.9647049999999997E-2</v>
      </c>
      <c r="W3484">
        <v>-2.137549E-2</v>
      </c>
      <c r="X3484">
        <v>0.99659390000000003</v>
      </c>
      <c r="Y3484">
        <v>0.1758345</v>
      </c>
      <c r="Z3484">
        <v>-3.2766679999999999E-3</v>
      </c>
      <c r="AA3484">
        <v>0.98441429999999996</v>
      </c>
      <c r="AB3484">
        <v>31</v>
      </c>
      <c r="AC3484">
        <v>25.837499999999899</v>
      </c>
      <c r="AD3484">
        <v>-1.0299543200000001</v>
      </c>
      <c r="AE3484">
        <v>-4.7819000000000003</v>
      </c>
      <c r="AF3484">
        <v>4.6719185227091904</v>
      </c>
      <c r="AG3484">
        <v>-1.0299543200000001</v>
      </c>
      <c r="AH3484">
        <v>25.816650032234602</v>
      </c>
      <c r="AI3484">
        <v>92.248125122248794</v>
      </c>
      <c r="AJ3484">
        <v>79.7424619075056</v>
      </c>
      <c r="AK3484">
        <v>26.2561811288504</v>
      </c>
      <c r="AL3484">
        <v>91.224818667435201</v>
      </c>
      <c r="AM3484">
        <v>85.430675241421895</v>
      </c>
      <c r="AN3484">
        <v>0.99999998283182601</v>
      </c>
    </row>
    <row r="3485" spans="1:40" x14ac:dyDescent="0.25">
      <c r="A3485" t="str">
        <f>"20190312161340878"</f>
        <v>20190312161340878</v>
      </c>
      <c r="B3485" t="str">
        <f>"1552378420869377"</f>
        <v>1552378420869377</v>
      </c>
      <c r="C3485" t="s">
        <v>40</v>
      </c>
      <c r="D3485">
        <v>5.1047779999999996</v>
      </c>
      <c r="E3485">
        <v>0.53728089999999995</v>
      </c>
      <c r="F3485" t="s">
        <v>69</v>
      </c>
      <c r="G3485">
        <v>-224.67619999999999</v>
      </c>
      <c r="H3485">
        <v>8.0000340000000003E-2</v>
      </c>
      <c r="I3485">
        <v>208.85730000000001</v>
      </c>
      <c r="J3485">
        <v>-253.9384</v>
      </c>
      <c r="K3485">
        <v>1.1099540000000001</v>
      </c>
      <c r="L3485">
        <v>214.31819999999999</v>
      </c>
      <c r="M3485">
        <v>0.99988880000000002</v>
      </c>
      <c r="N3485">
        <v>0</v>
      </c>
      <c r="O3485">
        <v>-4.0437009999999898E-3</v>
      </c>
      <c r="P3485">
        <v>0.99587910000000002</v>
      </c>
      <c r="Q3485">
        <v>-3.5797910000000002E-2</v>
      </c>
      <c r="R3485">
        <v>-8.3327399999999899E-2</v>
      </c>
      <c r="S3485">
        <v>2.9628139999999998</v>
      </c>
      <c r="T3485">
        <v>-0.1031801</v>
      </c>
      <c r="U3485">
        <v>-0.5471954</v>
      </c>
      <c r="V3485">
        <v>7.9295350000000001E-2</v>
      </c>
      <c r="W3485">
        <v>-2.1498090000000001E-2</v>
      </c>
      <c r="X3485">
        <v>0.99661929999999999</v>
      </c>
      <c r="Y3485">
        <v>0.17753620000000001</v>
      </c>
      <c r="Z3485">
        <v>-2.9249240000000002E-3</v>
      </c>
      <c r="AA3485">
        <v>0.98410989999999998</v>
      </c>
      <c r="AB3485">
        <v>31</v>
      </c>
      <c r="AC3485">
        <v>29.2622</v>
      </c>
      <c r="AD3485">
        <v>-1.0299536600000001</v>
      </c>
      <c r="AE3485">
        <v>-5.4608999999999801</v>
      </c>
      <c r="AF3485">
        <v>5.3361273437997703</v>
      </c>
      <c r="AG3485">
        <v>-1.0299536600000001</v>
      </c>
      <c r="AH3485">
        <v>29.249029340076099</v>
      </c>
      <c r="AI3485">
        <v>91.984017381615203</v>
      </c>
      <c r="AJ3485">
        <v>79.660794139112994</v>
      </c>
      <c r="AK3485">
        <v>29.7496349037703</v>
      </c>
      <c r="AL3485">
        <v>91.231844754615494</v>
      </c>
      <c r="AM3485">
        <v>85.450882729799304</v>
      </c>
      <c r="AN3485">
        <v>0.99999997476887903</v>
      </c>
    </row>
    <row r="3486" spans="1:40" x14ac:dyDescent="0.25">
      <c r="A3486" t="str">
        <f>"20190312161340899"</f>
        <v>20190312161340899</v>
      </c>
      <c r="B3486" t="str">
        <f>"1552378420889873"</f>
        <v>1552378420889873</v>
      </c>
      <c r="C3486" t="s">
        <v>40</v>
      </c>
      <c r="D3486">
        <v>5.1752310000000001</v>
      </c>
      <c r="E3486">
        <v>0.53768450000000001</v>
      </c>
      <c r="F3486" t="s">
        <v>69</v>
      </c>
      <c r="G3486">
        <v>-222.4513</v>
      </c>
      <c r="H3486">
        <v>8.0001009999999997E-2</v>
      </c>
      <c r="I3486">
        <v>208.50880000000001</v>
      </c>
      <c r="J3486">
        <v>-253.63849999999999</v>
      </c>
      <c r="K3486">
        <v>1.1099589999999999</v>
      </c>
      <c r="L3486">
        <v>214.3169</v>
      </c>
      <c r="M3486">
        <v>0.99988849999999996</v>
      </c>
      <c r="N3486">
        <v>0</v>
      </c>
      <c r="O3486">
        <v>-4.1073300000000002E-3</v>
      </c>
      <c r="P3486">
        <v>0.99582870000000001</v>
      </c>
      <c r="Q3486">
        <v>-3.5939510000000001E-2</v>
      </c>
      <c r="R3486">
        <v>-8.3866979999999994E-2</v>
      </c>
      <c r="S3486">
        <v>2.963165</v>
      </c>
      <c r="T3486">
        <v>-9.6926090000000006E-2</v>
      </c>
      <c r="U3486">
        <v>-0.54670719999999995</v>
      </c>
      <c r="V3486">
        <v>7.9771590000000003E-2</v>
      </c>
      <c r="W3486">
        <v>-2.1643539999999999E-2</v>
      </c>
      <c r="X3486">
        <v>0.99657819999999997</v>
      </c>
      <c r="Y3486">
        <v>0.1773081</v>
      </c>
      <c r="Z3486">
        <v>-2.741692E-3</v>
      </c>
      <c r="AA3486">
        <v>0.98415149999999996</v>
      </c>
      <c r="AB3486">
        <v>31</v>
      </c>
      <c r="AC3486">
        <v>31.187199999999901</v>
      </c>
      <c r="AD3486">
        <v>-1.02995799</v>
      </c>
      <c r="AE3486">
        <v>-5.8080999999999898</v>
      </c>
      <c r="AF3486">
        <v>5.6739607892221198</v>
      </c>
      <c r="AG3486">
        <v>-1.02995799</v>
      </c>
      <c r="AH3486">
        <v>31.177930678126</v>
      </c>
      <c r="AI3486">
        <v>91.861516201974496</v>
      </c>
      <c r="AJ3486">
        <v>79.685821501860801</v>
      </c>
      <c r="AK3486">
        <v>31.706750162525701</v>
      </c>
      <c r="AL3486">
        <v>91.240180298134007</v>
      </c>
      <c r="AM3486">
        <v>85.423488958796497</v>
      </c>
      <c r="AN3486">
        <v>1.0000000290550399</v>
      </c>
    </row>
    <row r="3487" spans="1:40" x14ac:dyDescent="0.25">
      <c r="A3487" t="str">
        <f>"20190312161340917"</f>
        <v>20190312161340917</v>
      </c>
      <c r="B3487" t="str">
        <f>"1552378420909394"</f>
        <v>1552378420909394</v>
      </c>
      <c r="C3487" t="s">
        <v>40</v>
      </c>
      <c r="D3487">
        <v>5.1978330000000001</v>
      </c>
      <c r="E3487">
        <v>0.53762969999999999</v>
      </c>
      <c r="F3487" t="s">
        <v>69</v>
      </c>
      <c r="G3487">
        <v>-222.67400000000001</v>
      </c>
      <c r="H3487">
        <v>8.0000940000000006E-2</v>
      </c>
      <c r="I3487">
        <v>208.55250000000001</v>
      </c>
      <c r="J3487">
        <v>-253.39279999999999</v>
      </c>
      <c r="K3487">
        <v>1.1099589999999999</v>
      </c>
      <c r="L3487">
        <v>214.3158</v>
      </c>
      <c r="M3487">
        <v>0.99988840000000001</v>
      </c>
      <c r="N3487">
        <v>0</v>
      </c>
      <c r="O3487">
        <v>-4.1595190000000004E-3</v>
      </c>
      <c r="P3487">
        <v>0.99581019999999998</v>
      </c>
      <c r="Q3487">
        <v>-3.6072090000000001E-2</v>
      </c>
      <c r="R3487">
        <v>-8.4032120000000002E-2</v>
      </c>
      <c r="S3487">
        <v>2.9625400000000002</v>
      </c>
      <c r="T3487">
        <v>-9.8541619999999996E-2</v>
      </c>
      <c r="U3487">
        <v>-0.5515137</v>
      </c>
      <c r="V3487">
        <v>7.9884849999999993E-2</v>
      </c>
      <c r="W3487">
        <v>-2.177892E-2</v>
      </c>
      <c r="X3487">
        <v>0.99656619999999996</v>
      </c>
      <c r="Y3487">
        <v>0.17883350000000001</v>
      </c>
      <c r="Z3487">
        <v>-2.8109609999999998E-3</v>
      </c>
      <c r="AA3487">
        <v>0.98387530000000001</v>
      </c>
      <c r="AB3487">
        <v>31</v>
      </c>
      <c r="AC3487">
        <v>30.718799999999899</v>
      </c>
      <c r="AD3487">
        <v>-1.02995806</v>
      </c>
      <c r="AE3487">
        <v>-5.7632999999999797</v>
      </c>
      <c r="AF3487">
        <v>5.6293483987679904</v>
      </c>
      <c r="AG3487">
        <v>-1.02995806</v>
      </c>
      <c r="AH3487">
        <v>30.7091608591553</v>
      </c>
      <c r="AI3487">
        <v>91.8894692655672</v>
      </c>
      <c r="AJ3487">
        <v>79.612341533078705</v>
      </c>
      <c r="AK3487">
        <v>31.2378446387319</v>
      </c>
      <c r="AL3487">
        <v>91.247938802219394</v>
      </c>
      <c r="AM3487">
        <v>85.416963921780194</v>
      </c>
      <c r="AN3487">
        <v>1.00000005079916</v>
      </c>
    </row>
    <row r="3488" spans="1:40" x14ac:dyDescent="0.25">
      <c r="A3488" t="str">
        <f>"20190312161340933"</f>
        <v>20190312161340933</v>
      </c>
      <c r="B3488" t="str">
        <f>"1552378420929889"</f>
        <v>1552378420929889</v>
      </c>
      <c r="C3488" t="s">
        <v>40</v>
      </c>
      <c r="D3488">
        <v>5.139551</v>
      </c>
      <c r="E3488">
        <v>0.53706390000000004</v>
      </c>
      <c r="F3488" t="s">
        <v>69</v>
      </c>
      <c r="G3488">
        <v>-223.709</v>
      </c>
      <c r="H3488">
        <v>8.0000619999999995E-2</v>
      </c>
      <c r="I3488">
        <v>208.78899999999999</v>
      </c>
      <c r="J3488">
        <v>-253.16229999999999</v>
      </c>
      <c r="K3488">
        <v>1.109966</v>
      </c>
      <c r="L3488">
        <v>214.31479999999999</v>
      </c>
      <c r="M3488">
        <v>0.99988809999999995</v>
      </c>
      <c r="N3488">
        <v>0</v>
      </c>
      <c r="O3488">
        <v>-4.2083729999999996E-3</v>
      </c>
      <c r="P3488">
        <v>0.9957741</v>
      </c>
      <c r="Q3488">
        <v>-3.6302830000000001E-2</v>
      </c>
      <c r="R3488">
        <v>-8.4357799999999997E-2</v>
      </c>
      <c r="S3488">
        <v>2.9623569999999999</v>
      </c>
      <c r="T3488">
        <v>-0.1027868</v>
      </c>
      <c r="U3488">
        <v>-0.55155940000000003</v>
      </c>
      <c r="V3488">
        <v>8.0161969999999999E-2</v>
      </c>
      <c r="W3488">
        <v>-2.2012549999999999E-2</v>
      </c>
      <c r="X3488">
        <v>0.99653879999999995</v>
      </c>
      <c r="Y3488">
        <v>0.17880289999999999</v>
      </c>
      <c r="Z3488">
        <v>-2.9299550000000001E-3</v>
      </c>
      <c r="AA3488">
        <v>0.98388059999999999</v>
      </c>
      <c r="AB3488">
        <v>31</v>
      </c>
      <c r="AC3488">
        <v>29.453299999999899</v>
      </c>
      <c r="AD3488">
        <v>-1.0299653799999999</v>
      </c>
      <c r="AE3488">
        <v>-5.5257999999999701</v>
      </c>
      <c r="AF3488">
        <v>5.3954143031777599</v>
      </c>
      <c r="AG3488">
        <v>-1.0299653799999999</v>
      </c>
      <c r="AH3488">
        <v>29.4415174058934</v>
      </c>
      <c r="AI3488">
        <v>91.970792534666302</v>
      </c>
      <c r="AJ3488">
        <v>79.615279177753493</v>
      </c>
      <c r="AK3488">
        <v>29.9495287333283</v>
      </c>
      <c r="AL3488">
        <v>91.261328042073004</v>
      </c>
      <c r="AM3488">
        <v>85.401007576130993</v>
      </c>
      <c r="AN3488">
        <v>1.0000000368486099</v>
      </c>
    </row>
    <row r="3489" spans="1:40" x14ac:dyDescent="0.25">
      <c r="A3489" t="str">
        <f>"20190312161340956"</f>
        <v>20190312161340956</v>
      </c>
      <c r="B3489" t="str">
        <f>"1552378420949409"</f>
        <v>1552378420949409</v>
      </c>
      <c r="C3489" t="s">
        <v>40</v>
      </c>
      <c r="D3489">
        <v>5.1716889999999998</v>
      </c>
      <c r="E3489">
        <v>0.53676679999999999</v>
      </c>
      <c r="F3489" t="s">
        <v>69</v>
      </c>
      <c r="G3489">
        <v>-222.24260000000001</v>
      </c>
      <c r="H3489">
        <v>8.0001059999999999E-2</v>
      </c>
      <c r="I3489">
        <v>208.5951</v>
      </c>
      <c r="J3489">
        <v>-252.84639999999999</v>
      </c>
      <c r="K3489">
        <v>1.109958</v>
      </c>
      <c r="L3489">
        <v>214.3134</v>
      </c>
      <c r="M3489">
        <v>0.999888</v>
      </c>
      <c r="N3489">
        <v>0</v>
      </c>
      <c r="O3489">
        <v>-4.275577E-3</v>
      </c>
      <c r="P3489">
        <v>0.99572870000000002</v>
      </c>
      <c r="Q3489">
        <v>-3.6015760000000001E-2</v>
      </c>
      <c r="R3489">
        <v>-8.5016910000000001E-2</v>
      </c>
      <c r="S3489">
        <v>2.962723</v>
      </c>
      <c r="T3489">
        <v>-9.8691340000000002E-2</v>
      </c>
      <c r="U3489">
        <v>-0.54806519999999903</v>
      </c>
      <c r="V3489">
        <v>8.0754320000000004E-2</v>
      </c>
      <c r="W3489">
        <v>-2.1729450000000001E-2</v>
      </c>
      <c r="X3489">
        <v>0.99649719999999997</v>
      </c>
      <c r="Y3489">
        <v>0.1776016</v>
      </c>
      <c r="Z3489">
        <v>-2.7911820000000001E-3</v>
      </c>
      <c r="AA3489">
        <v>0.98409849999999999</v>
      </c>
      <c r="AB3489">
        <v>31</v>
      </c>
      <c r="AC3489">
        <v>30.6037999999999</v>
      </c>
      <c r="AD3489">
        <v>-1.0299569399999999</v>
      </c>
      <c r="AE3489">
        <v>-5.7182999999999904</v>
      </c>
      <c r="AF3489">
        <v>5.58127710137755</v>
      </c>
      <c r="AG3489">
        <v>-1.0299569399999999</v>
      </c>
      <c r="AH3489">
        <v>30.5944885639978</v>
      </c>
      <c r="AI3489">
        <v>91.896840559062198</v>
      </c>
      <c r="AJ3489">
        <v>79.661361079301997</v>
      </c>
      <c r="AK3489">
        <v>31.116461814820902</v>
      </c>
      <c r="AL3489">
        <v>91.245103710965097</v>
      </c>
      <c r="AM3489">
        <v>85.366978547714893</v>
      </c>
      <c r="AN3489">
        <v>1.0000000494018999</v>
      </c>
    </row>
    <row r="3490" spans="1:40" x14ac:dyDescent="0.25">
      <c r="A3490" t="str">
        <f>"20190312161340978"</f>
        <v>20190312161340978</v>
      </c>
      <c r="B3490" t="str">
        <f>"1552378420968929"</f>
        <v>1552378420968929</v>
      </c>
      <c r="C3490" t="s">
        <v>40</v>
      </c>
      <c r="D3490">
        <v>5.2441339999999999</v>
      </c>
      <c r="E3490">
        <v>0.53695389999999998</v>
      </c>
      <c r="F3490" t="s">
        <v>69</v>
      </c>
      <c r="G3490">
        <v>-220.17150000000001</v>
      </c>
      <c r="H3490">
        <v>8.0001680000000006E-2</v>
      </c>
      <c r="I3490">
        <v>208.26949999999999</v>
      </c>
      <c r="J3490">
        <v>-252.53790000000001</v>
      </c>
      <c r="K3490">
        <v>1.1099619999999999</v>
      </c>
      <c r="L3490">
        <v>214.31200000000001</v>
      </c>
      <c r="M3490">
        <v>0.99988759999999999</v>
      </c>
      <c r="N3490">
        <v>0</v>
      </c>
      <c r="O3490">
        <v>-4.3411120000000003E-3</v>
      </c>
      <c r="P3490">
        <v>0.99567209999999995</v>
      </c>
      <c r="Q3490">
        <v>-3.616875E-2</v>
      </c>
      <c r="R3490">
        <v>-8.5609290000000005E-2</v>
      </c>
      <c r="S3490">
        <v>2.962723</v>
      </c>
      <c r="T3490">
        <v>-9.3389029999999998E-2</v>
      </c>
      <c r="U3490">
        <v>-0.54801940000000005</v>
      </c>
      <c r="V3490">
        <v>8.1281770000000003E-2</v>
      </c>
      <c r="W3490">
        <v>-2.1886490000000001E-2</v>
      </c>
      <c r="X3490">
        <v>0.99645079999999997</v>
      </c>
      <c r="Y3490">
        <v>0.1775322</v>
      </c>
      <c r="Z3490">
        <v>-2.6381690000000001E-3</v>
      </c>
      <c r="AA3490">
        <v>0.98411150000000003</v>
      </c>
      <c r="AB3490">
        <v>31</v>
      </c>
      <c r="AC3490">
        <v>32.366399999999999</v>
      </c>
      <c r="AD3490">
        <v>-1.02996032</v>
      </c>
      <c r="AE3490">
        <v>-6.0425000000000102</v>
      </c>
      <c r="AF3490">
        <v>5.8961528617017498</v>
      </c>
      <c r="AG3490">
        <v>-1.02996032</v>
      </c>
      <c r="AH3490">
        <v>32.360663005937703</v>
      </c>
      <c r="AI3490">
        <v>91.793462135435902</v>
      </c>
      <c r="AJ3490">
        <v>79.673909782786794</v>
      </c>
      <c r="AK3490">
        <v>32.909541883976303</v>
      </c>
      <c r="AL3490">
        <v>91.254103678828201</v>
      </c>
      <c r="AM3490">
        <v>85.336634626236702</v>
      </c>
      <c r="AN3490">
        <v>0.999999970699746</v>
      </c>
    </row>
    <row r="3491" spans="1:40" x14ac:dyDescent="0.25">
      <c r="A3491" t="str">
        <f>"20190312161341001"</f>
        <v>20190312161341001</v>
      </c>
      <c r="B3491" t="str">
        <f>"1552378420989424"</f>
        <v>1552378420989424</v>
      </c>
      <c r="C3491" t="s">
        <v>40</v>
      </c>
      <c r="D3491">
        <v>5.1274670000000002</v>
      </c>
      <c r="E3491">
        <v>0.53649809999999998</v>
      </c>
      <c r="F3491" t="s">
        <v>69</v>
      </c>
      <c r="G3491">
        <v>-220.94720000000001</v>
      </c>
      <c r="H3491">
        <v>8.0001450000000002E-2</v>
      </c>
      <c r="I3491">
        <v>208.4365</v>
      </c>
      <c r="J3491">
        <v>-252.22790000000001</v>
      </c>
      <c r="K3491">
        <v>1.109966</v>
      </c>
      <c r="L3491">
        <v>214.31059999999999</v>
      </c>
      <c r="M3491">
        <v>0.99988750000000004</v>
      </c>
      <c r="N3491">
        <v>0</v>
      </c>
      <c r="O3491">
        <v>-4.4071229999999998E-3</v>
      </c>
      <c r="P3491">
        <v>0.99563900000000005</v>
      </c>
      <c r="Q3491">
        <v>-3.6340699999999997E-2</v>
      </c>
      <c r="R3491">
        <v>-8.5924199999999895E-2</v>
      </c>
      <c r="S3491">
        <v>2.9621580000000001</v>
      </c>
      <c r="T3491">
        <v>-9.6576209999999996E-2</v>
      </c>
      <c r="U3491">
        <v>-0.55093380000000003</v>
      </c>
      <c r="V3491">
        <v>8.1530820000000004E-2</v>
      </c>
      <c r="W3491">
        <v>-2.2062120000000001E-2</v>
      </c>
      <c r="X3491">
        <v>0.99642660000000005</v>
      </c>
      <c r="Y3491">
        <v>0.17843049999999999</v>
      </c>
      <c r="Z3491">
        <v>-2.7408089999999999E-3</v>
      </c>
      <c r="AA3491">
        <v>0.98394870000000001</v>
      </c>
      <c r="AB3491">
        <v>31</v>
      </c>
      <c r="AC3491">
        <v>31.2807</v>
      </c>
      <c r="AD3491">
        <v>-1.0299645500000001</v>
      </c>
      <c r="AE3491">
        <v>-5.8740999999999897</v>
      </c>
      <c r="AF3491">
        <v>5.7301700931499102</v>
      </c>
      <c r="AG3491">
        <v>-1.0299645500000001</v>
      </c>
      <c r="AH3491">
        <v>31.273536227705101</v>
      </c>
      <c r="AI3491">
        <v>91.855434543830796</v>
      </c>
      <c r="AJ3491">
        <v>79.617012044753295</v>
      </c>
      <c r="AK3491">
        <v>31.8108431899607</v>
      </c>
      <c r="AL3491">
        <v>91.264168942304096</v>
      </c>
      <c r="AM3491">
        <v>85.322296131382998</v>
      </c>
      <c r="AN3491">
        <v>0.99999999046816301</v>
      </c>
    </row>
    <row r="3492" spans="1:40" x14ac:dyDescent="0.25">
      <c r="A3492" t="str">
        <f>"20190312161341022"</f>
        <v>20190312161341022</v>
      </c>
      <c r="B3492" t="str">
        <f>"1552378421019680"</f>
        <v>1552378421019680</v>
      </c>
      <c r="C3492" t="s">
        <v>40</v>
      </c>
      <c r="D3492">
        <v>5.0222369999999996</v>
      </c>
      <c r="E3492">
        <v>0.53591519999999904</v>
      </c>
      <c r="F3492" t="s">
        <v>69</v>
      </c>
      <c r="G3492">
        <v>-220.09190000000001</v>
      </c>
      <c r="H3492">
        <v>8.0001710000000004E-2</v>
      </c>
      <c r="I3492">
        <v>208.36179999999999</v>
      </c>
      <c r="J3492">
        <v>-251.93010000000001</v>
      </c>
      <c r="K3492">
        <v>1.10996299999999</v>
      </c>
      <c r="L3492">
        <v>214.3092</v>
      </c>
      <c r="M3492">
        <v>0.99988719999999998</v>
      </c>
      <c r="N3492">
        <v>0</v>
      </c>
      <c r="O3492">
        <v>-4.4703950000000003E-3</v>
      </c>
      <c r="P3492">
        <v>0.99565300000000001</v>
      </c>
      <c r="Q3492">
        <v>-3.6245220000000002E-2</v>
      </c>
      <c r="R3492">
        <v>-8.5800860000000007E-2</v>
      </c>
      <c r="S3492">
        <v>2.9623719999999998</v>
      </c>
      <c r="T3492">
        <v>-9.4944479999999998E-2</v>
      </c>
      <c r="U3492">
        <v>-0.54837040000000004</v>
      </c>
      <c r="V3492">
        <v>8.1344609999999998E-2</v>
      </c>
      <c r="W3492">
        <v>-2.1969519999999999E-2</v>
      </c>
      <c r="X3492">
        <v>0.99644390000000005</v>
      </c>
      <c r="Y3492">
        <v>0.17753569999999999</v>
      </c>
      <c r="Z3492">
        <v>-2.6783200000000001E-3</v>
      </c>
      <c r="AA3492">
        <v>0.9841107</v>
      </c>
      <c r="AB3492">
        <v>31</v>
      </c>
      <c r="AC3492">
        <v>31.838200000000001</v>
      </c>
      <c r="AD3492">
        <v>-1.0299612899999899</v>
      </c>
      <c r="AE3492">
        <v>-5.9474000000000098</v>
      </c>
      <c r="AF3492">
        <v>5.7991323559396104</v>
      </c>
      <c r="AG3492">
        <v>-1.0299612899999899</v>
      </c>
      <c r="AH3492">
        <v>31.8322820931438</v>
      </c>
      <c r="AI3492">
        <v>91.823220982615496</v>
      </c>
      <c r="AJ3492">
        <v>79.675214354153098</v>
      </c>
      <c r="AK3492">
        <v>32.372595502957203</v>
      </c>
      <c r="AL3492">
        <v>91.258862022547703</v>
      </c>
      <c r="AM3492">
        <v>85.333013062817301</v>
      </c>
      <c r="AN3492">
        <v>1.0000000256161401</v>
      </c>
    </row>
    <row r="3493" spans="1:40" x14ac:dyDescent="0.25">
      <c r="A3493" t="str">
        <f>"20190312161341045"</f>
        <v>20190312161341045</v>
      </c>
      <c r="B3493" t="str">
        <f>"1552378421039202"</f>
        <v>1552378421039202</v>
      </c>
      <c r="C3493" t="s">
        <v>40</v>
      </c>
      <c r="D3493">
        <v>4.8740360000000003</v>
      </c>
      <c r="E3493">
        <v>0.53575709999999999</v>
      </c>
      <c r="F3493" t="s">
        <v>69</v>
      </c>
      <c r="G3493">
        <v>-217.08359999999999</v>
      </c>
      <c r="H3493">
        <v>8.0001139999999998E-2</v>
      </c>
      <c r="I3493">
        <v>207.91579999999999</v>
      </c>
      <c r="J3493">
        <v>-251.6174</v>
      </c>
      <c r="K3493">
        <v>1.10996299999999</v>
      </c>
      <c r="L3493">
        <v>214.30770000000001</v>
      </c>
      <c r="M3493">
        <v>0.99988690000000002</v>
      </c>
      <c r="N3493">
        <v>0</v>
      </c>
      <c r="O3493">
        <v>-4.5370030000000004E-3</v>
      </c>
      <c r="P3493">
        <v>0.99565579999999998</v>
      </c>
      <c r="Q3493">
        <v>-3.6253960000000002E-2</v>
      </c>
      <c r="R3493">
        <v>-8.5763430000000002E-2</v>
      </c>
      <c r="S3493">
        <v>2.9630580000000002</v>
      </c>
      <c r="T3493">
        <v>-8.7579370000000004E-2</v>
      </c>
      <c r="U3493">
        <v>-0.54364009999999996</v>
      </c>
      <c r="V3493">
        <v>8.1240850000000003E-2</v>
      </c>
      <c r="W3493">
        <v>-2.198143E-2</v>
      </c>
      <c r="X3493">
        <v>0.99645209999999995</v>
      </c>
      <c r="Y3493">
        <v>0.1759232</v>
      </c>
      <c r="Z3493">
        <v>-2.4448590000000002E-3</v>
      </c>
      <c r="AA3493">
        <v>0.98440090000000002</v>
      </c>
      <c r="AB3493">
        <v>31</v>
      </c>
      <c r="AC3493">
        <v>34.533799999999999</v>
      </c>
      <c r="AD3493">
        <v>-1.02996185999999</v>
      </c>
      <c r="AE3493">
        <v>-6.3919000000000201</v>
      </c>
      <c r="AF3493">
        <v>6.2297802053051496</v>
      </c>
      <c r="AG3493">
        <v>-1.02996185999999</v>
      </c>
      <c r="AH3493">
        <v>34.5327476133115</v>
      </c>
      <c r="AI3493">
        <v>91.681254621261303</v>
      </c>
      <c r="AJ3493">
        <v>79.773712209022605</v>
      </c>
      <c r="AK3493">
        <v>35.105293625949599</v>
      </c>
      <c r="AL3493">
        <v>91.259544583032906</v>
      </c>
      <c r="AM3493">
        <v>85.338978029942695</v>
      </c>
      <c r="AN3493">
        <v>1.0000000232839801</v>
      </c>
    </row>
    <row r="3494" spans="1:40" x14ac:dyDescent="0.25">
      <c r="A3494" t="str">
        <f>"20190312161341067"</f>
        <v>20190312161341067</v>
      </c>
      <c r="B3494" t="str">
        <f>"1552378421059701"</f>
        <v>1552378421059701</v>
      </c>
      <c r="C3494" t="s">
        <v>40</v>
      </c>
      <c r="D3494">
        <v>4.956359</v>
      </c>
      <c r="E3494">
        <v>0.53569580000000006</v>
      </c>
      <c r="F3494" t="s">
        <v>69</v>
      </c>
      <c r="G3494">
        <v>-210.92320000000001</v>
      </c>
      <c r="H3494">
        <v>8.0001530000000001E-2</v>
      </c>
      <c r="I3494">
        <v>206.8546</v>
      </c>
      <c r="J3494">
        <v>-251.30170000000001</v>
      </c>
      <c r="K3494">
        <v>1.109961</v>
      </c>
      <c r="L3494">
        <v>214.30619999999999</v>
      </c>
      <c r="M3494">
        <v>0.99988679999999996</v>
      </c>
      <c r="N3494">
        <v>0</v>
      </c>
      <c r="O3494">
        <v>-4.6043259999999997E-3</v>
      </c>
      <c r="P3494">
        <v>0.99564549999999996</v>
      </c>
      <c r="Q3494">
        <v>-3.6435599999999999E-2</v>
      </c>
      <c r="R3494">
        <v>-8.5805809999999996E-2</v>
      </c>
      <c r="S3494">
        <v>2.9636079999999998</v>
      </c>
      <c r="T3494">
        <v>-7.5008389999999994E-2</v>
      </c>
      <c r="U3494">
        <v>-0.54278559999999998</v>
      </c>
      <c r="V3494">
        <v>8.1216179999999999E-2</v>
      </c>
      <c r="W3494">
        <v>-2.216649E-2</v>
      </c>
      <c r="X3494">
        <v>0.99644999999999995</v>
      </c>
      <c r="Y3494">
        <v>0.17556939999999999</v>
      </c>
      <c r="Z3494">
        <v>-2.0875899999999998E-3</v>
      </c>
      <c r="AA3494">
        <v>0.98446480000000003</v>
      </c>
      <c r="AB3494">
        <v>31</v>
      </c>
      <c r="AC3494">
        <v>40.378500000000003</v>
      </c>
      <c r="AD3494">
        <v>-1.0299594700000001</v>
      </c>
      <c r="AE3494">
        <v>-7.4515999999999796</v>
      </c>
      <c r="AF3494">
        <v>7.2610174375113701</v>
      </c>
      <c r="AG3494">
        <v>-1.0299594700000001</v>
      </c>
      <c r="AH3494">
        <v>40.3869731264083</v>
      </c>
      <c r="AI3494">
        <v>91.437813219734593</v>
      </c>
      <c r="AJ3494">
        <v>79.807896228693195</v>
      </c>
      <c r="AK3494">
        <v>41.047421222908902</v>
      </c>
      <c r="AL3494">
        <v>91.270150338490296</v>
      </c>
      <c r="AM3494">
        <v>85.340377408745596</v>
      </c>
      <c r="AN3494">
        <v>1.0000000118363499</v>
      </c>
    </row>
    <row r="3495" spans="1:40" x14ac:dyDescent="0.25">
      <c r="A3495" t="str">
        <f>"20190312161341090"</f>
        <v>20190312161341090</v>
      </c>
      <c r="B3495" t="str">
        <f>"1552378421079218"</f>
        <v>1552378421079218</v>
      </c>
      <c r="C3495" t="s">
        <v>40</v>
      </c>
      <c r="D3495">
        <v>4.879651</v>
      </c>
      <c r="E3495">
        <v>0.53567010000000004</v>
      </c>
      <c r="F3495" t="s">
        <v>63</v>
      </c>
      <c r="G3495">
        <v>-203.7533</v>
      </c>
      <c r="H3495">
        <v>8.0001320000000001E-2</v>
      </c>
      <c r="I3495">
        <v>205.59829999999999</v>
      </c>
      <c r="J3495">
        <v>-250.99549999999999</v>
      </c>
      <c r="K3495">
        <v>1.10996299999999</v>
      </c>
      <c r="L3495">
        <v>214.3047</v>
      </c>
      <c r="M3495">
        <v>0.99988639999999995</v>
      </c>
      <c r="N3495">
        <v>0</v>
      </c>
      <c r="O3495">
        <v>-4.6696250000000002E-3</v>
      </c>
      <c r="P3495">
        <v>0.99564249999999999</v>
      </c>
      <c r="Q3495">
        <v>-3.633016E-2</v>
      </c>
      <c r="R3495">
        <v>-8.5885069999999994E-2</v>
      </c>
      <c r="S3495">
        <v>2.963959</v>
      </c>
      <c r="T3495">
        <v>-6.4203140000000006E-2</v>
      </c>
      <c r="U3495">
        <v>-0.54281619999999997</v>
      </c>
      <c r="V3495">
        <v>8.1230510000000006E-2</v>
      </c>
      <c r="W3495">
        <v>-2.2064E-2</v>
      </c>
      <c r="X3495">
        <v>0.99645110000000003</v>
      </c>
      <c r="Y3495">
        <v>0.17550850000000001</v>
      </c>
      <c r="Z3495">
        <v>-1.7846730000000001E-3</v>
      </c>
      <c r="AA3495">
        <v>0.98447629999999997</v>
      </c>
      <c r="AB3495">
        <v>31</v>
      </c>
      <c r="AC3495">
        <v>47.242199999999997</v>
      </c>
      <c r="AD3495">
        <v>-1.02996167999999</v>
      </c>
      <c r="AE3495">
        <v>-8.7064000000000004</v>
      </c>
      <c r="AF3495">
        <v>8.48177994851698</v>
      </c>
      <c r="AG3495">
        <v>-1.02996167999999</v>
      </c>
      <c r="AH3495">
        <v>47.260618813864497</v>
      </c>
      <c r="AI3495">
        <v>91.228835955193404</v>
      </c>
      <c r="AJ3495">
        <v>79.825540599511996</v>
      </c>
      <c r="AK3495">
        <v>48.026737374370299</v>
      </c>
      <c r="AL3495">
        <v>91.264276665879194</v>
      </c>
      <c r="AM3495">
        <v>85.339563995810593</v>
      </c>
      <c r="AN3495">
        <v>1.0000000052710301</v>
      </c>
    </row>
    <row r="3496" spans="1:40" x14ac:dyDescent="0.25">
      <c r="A3496" t="str">
        <f>"20190312161341112"</f>
        <v>20190312161341112</v>
      </c>
      <c r="B3496" t="str">
        <f>"1552378421099714"</f>
        <v>1552378421099714</v>
      </c>
      <c r="C3496" t="s">
        <v>40</v>
      </c>
      <c r="D3496">
        <v>4.9353639999999999</v>
      </c>
      <c r="E3496">
        <v>0.53566749999999996</v>
      </c>
      <c r="F3496" t="s">
        <v>63</v>
      </c>
      <c r="G3496">
        <v>-189.62819999999999</v>
      </c>
      <c r="H3496" s="1">
        <v>6.6534910000000003E-6</v>
      </c>
      <c r="I3496">
        <v>203.0608</v>
      </c>
      <c r="J3496">
        <v>-250.6883</v>
      </c>
      <c r="K3496">
        <v>1.10996299999999</v>
      </c>
      <c r="L3496">
        <v>214.3032</v>
      </c>
      <c r="M3496">
        <v>0.99988619999999995</v>
      </c>
      <c r="N3496">
        <v>0</v>
      </c>
      <c r="O3496">
        <v>-4.7349219999999999E-3</v>
      </c>
      <c r="P3496">
        <v>0.99563520000000005</v>
      </c>
      <c r="Q3496">
        <v>-3.6500350000000001E-2</v>
      </c>
      <c r="R3496">
        <v>-8.5896379999999994E-2</v>
      </c>
      <c r="S3496">
        <v>2.96434</v>
      </c>
      <c r="T3496">
        <v>-5.3616289999999997E-2</v>
      </c>
      <c r="U3496">
        <v>-0.54313659999999997</v>
      </c>
      <c r="V3496">
        <v>8.1176730000000002E-2</v>
      </c>
      <c r="W3496">
        <v>-2.2237460000000001E-2</v>
      </c>
      <c r="X3496">
        <v>0.99645159999999999</v>
      </c>
      <c r="Y3496">
        <v>0.17553640000000001</v>
      </c>
      <c r="Z3496">
        <v>-1.489315E-3</v>
      </c>
      <c r="AA3496">
        <v>0.98447180000000001</v>
      </c>
      <c r="AB3496">
        <v>31</v>
      </c>
      <c r="AC3496">
        <v>61.060099999999998</v>
      </c>
      <c r="AD3496">
        <v>-1.1099563465090001</v>
      </c>
      <c r="AE3496">
        <v>-11.2424</v>
      </c>
      <c r="AF3496">
        <v>10.9496298819037</v>
      </c>
      <c r="AG3496">
        <v>-1.1099563465090001</v>
      </c>
      <c r="AH3496">
        <v>61.093126862268797</v>
      </c>
      <c r="AI3496">
        <v>91.024528840197604</v>
      </c>
      <c r="AJ3496">
        <v>79.838848113513293</v>
      </c>
      <c r="AK3496">
        <v>62.076537817851197</v>
      </c>
      <c r="AL3496">
        <v>91.274217664794094</v>
      </c>
      <c r="AM3496">
        <v>85.342638262930294</v>
      </c>
      <c r="AN3496">
        <v>0.99999997863165202</v>
      </c>
    </row>
    <row r="3497" spans="1:40" x14ac:dyDescent="0.25">
      <c r="A3497" t="str">
        <f>"20190312161341134"</f>
        <v>20190312161341134</v>
      </c>
      <c r="B3497" t="str">
        <f>"1552378421129969"</f>
        <v>1552378421129969</v>
      </c>
      <c r="C3497" t="s">
        <v>40</v>
      </c>
      <c r="D3497">
        <v>4.8431300000000004</v>
      </c>
      <c r="E3497">
        <v>0.51448850000000002</v>
      </c>
      <c r="F3497" t="s">
        <v>63</v>
      </c>
      <c r="G3497">
        <v>-180.89519999999999</v>
      </c>
      <c r="H3497" s="1">
        <v>5.0319159999999996E-6</v>
      </c>
      <c r="I3497">
        <v>201.50810000000001</v>
      </c>
      <c r="J3497">
        <v>-250.38329999999999</v>
      </c>
      <c r="K3497">
        <v>1.109961</v>
      </c>
      <c r="L3497">
        <v>214.30170000000001</v>
      </c>
      <c r="M3497">
        <v>0.99988600000000005</v>
      </c>
      <c r="N3497">
        <v>0</v>
      </c>
      <c r="O3497">
        <v>-4.800098E-3</v>
      </c>
      <c r="P3497">
        <v>0.99561699999999997</v>
      </c>
      <c r="Q3497">
        <v>-3.6663279999999999E-2</v>
      </c>
      <c r="R3497">
        <v>-8.6041499999999896E-2</v>
      </c>
      <c r="S3497">
        <v>2.9645540000000001</v>
      </c>
      <c r="T3497">
        <v>-4.7146920000000002E-2</v>
      </c>
      <c r="U3497">
        <v>-0.54348750000000001</v>
      </c>
      <c r="V3497">
        <v>8.1256899999999896E-2</v>
      </c>
      <c r="W3497">
        <v>-2.2404009999999999E-2</v>
      </c>
      <c r="X3497">
        <v>0.99644140000000003</v>
      </c>
      <c r="Y3497">
        <v>0.1755785</v>
      </c>
      <c r="Z3497">
        <v>-1.3088349999999999E-3</v>
      </c>
      <c r="AA3497">
        <v>0.98446460000000002</v>
      </c>
      <c r="AB3497">
        <v>31</v>
      </c>
      <c r="AC3497">
        <v>69.488100000000003</v>
      </c>
      <c r="AD3497">
        <v>-1.1099559680840001</v>
      </c>
      <c r="AE3497">
        <v>-12.7935999999999</v>
      </c>
      <c r="AF3497">
        <v>12.456794594718</v>
      </c>
      <c r="AG3497">
        <v>-1.1099559680840001</v>
      </c>
      <c r="AH3497">
        <v>69.531556996088</v>
      </c>
      <c r="AI3497">
        <v>90.900224185221902</v>
      </c>
      <c r="AJ3497">
        <v>79.843033685374905</v>
      </c>
      <c r="AK3497">
        <v>70.647301095840305</v>
      </c>
      <c r="AL3497">
        <v>91.283762571762097</v>
      </c>
      <c r="AM3497">
        <v>85.338011413358302</v>
      </c>
      <c r="AN3497">
        <v>1.00000004354782</v>
      </c>
    </row>
    <row r="3498" spans="1:40" x14ac:dyDescent="0.25">
      <c r="A3498" t="str">
        <f>"20190312161341157"</f>
        <v>20190312161341157</v>
      </c>
      <c r="B3498" t="str">
        <f>"1552378421149489"</f>
        <v>1552378421149489</v>
      </c>
      <c r="C3498" t="s">
        <v>40</v>
      </c>
      <c r="D3498">
        <v>4.8692859999999998</v>
      </c>
      <c r="E3498">
        <v>0.51359719999999998</v>
      </c>
      <c r="F3498" t="s">
        <v>81</v>
      </c>
      <c r="G3498">
        <v>-168.4119</v>
      </c>
      <c r="H3498">
        <v>1.786259</v>
      </c>
      <c r="I3498">
        <v>203.90719999999999</v>
      </c>
      <c r="J3498">
        <v>-250.0729</v>
      </c>
      <c r="K3498">
        <v>1.109958</v>
      </c>
      <c r="L3498">
        <v>214.30009999999999</v>
      </c>
      <c r="M3498">
        <v>0.99988560000000004</v>
      </c>
      <c r="N3498">
        <v>0</v>
      </c>
      <c r="O3498">
        <v>-4.8659899999999997E-3</v>
      </c>
      <c r="P3498">
        <v>0.99558610000000003</v>
      </c>
      <c r="Q3498">
        <v>-3.6452810000000002E-2</v>
      </c>
      <c r="R3498">
        <v>-8.6485039999999999E-2</v>
      </c>
      <c r="S3498">
        <v>2.9814609999999999</v>
      </c>
      <c r="T3498">
        <v>2.4599429999999999E-2</v>
      </c>
      <c r="U3498">
        <v>-0.37806699999999999</v>
      </c>
      <c r="V3498">
        <v>8.1634929999999994E-2</v>
      </c>
      <c r="W3498">
        <v>-2.219753E-2</v>
      </c>
      <c r="X3498">
        <v>0.9964151</v>
      </c>
      <c r="Y3498">
        <v>0.1209654</v>
      </c>
      <c r="Z3498">
        <v>4.5704369999999999E-4</v>
      </c>
      <c r="AA3498">
        <v>0.9926566</v>
      </c>
      <c r="AB3498">
        <v>31</v>
      </c>
      <c r="AC3498">
        <v>81.661000000000001</v>
      </c>
      <c r="AD3498">
        <v>0.67630100000000004</v>
      </c>
      <c r="AE3498">
        <v>-10.3928999999999</v>
      </c>
      <c r="AF3498">
        <v>9.9946999724862593</v>
      </c>
      <c r="AG3498">
        <v>0.67630100000000004</v>
      </c>
      <c r="AH3498">
        <v>81.7050952535389</v>
      </c>
      <c r="AI3498">
        <v>89.529262845513699</v>
      </c>
      <c r="AJ3498">
        <v>83.025855462021298</v>
      </c>
      <c r="AK3498">
        <v>82.3169119985224</v>
      </c>
      <c r="AL3498">
        <v>91.271929224463307</v>
      </c>
      <c r="AM3498">
        <v>85.316295724020307</v>
      </c>
      <c r="AN3498">
        <v>1.0000000218211</v>
      </c>
    </row>
    <row r="3499" spans="1:40" x14ac:dyDescent="0.25">
      <c r="A3499" t="str">
        <f>"20190312161341179"</f>
        <v>20190312161341179</v>
      </c>
      <c r="B3499" t="str">
        <f>"1552378421169985"</f>
        <v>1552378421169985</v>
      </c>
      <c r="C3499" t="s">
        <v>40</v>
      </c>
      <c r="D3499">
        <v>4.786009</v>
      </c>
      <c r="E3499">
        <v>0.51307769999999997</v>
      </c>
      <c r="F3499" t="s">
        <v>81</v>
      </c>
      <c r="G3499">
        <v>-168.4118</v>
      </c>
      <c r="H3499">
        <v>1.620903</v>
      </c>
      <c r="I3499">
        <v>204.10990000000001</v>
      </c>
      <c r="J3499">
        <v>-249.76349999999999</v>
      </c>
      <c r="K3499">
        <v>1.1099589999999999</v>
      </c>
      <c r="L3499">
        <v>214.29859999999999</v>
      </c>
      <c r="M3499">
        <v>0.99988529999999998</v>
      </c>
      <c r="N3499">
        <v>0</v>
      </c>
      <c r="O3499">
        <v>-4.9317639999999999E-3</v>
      </c>
      <c r="P3499">
        <v>0.99558749999999996</v>
      </c>
      <c r="Q3499">
        <v>-3.6278530000000003E-2</v>
      </c>
      <c r="R3499">
        <v>-8.6544280000000001E-2</v>
      </c>
      <c r="S3499">
        <v>2.9816440000000002</v>
      </c>
      <c r="T3499">
        <v>1.8657090000000001E-2</v>
      </c>
      <c r="U3499">
        <v>-0.37207030000000002</v>
      </c>
      <c r="V3499">
        <v>8.1628580000000006E-2</v>
      </c>
      <c r="W3499">
        <v>-2.2026730000000001E-2</v>
      </c>
      <c r="X3499">
        <v>0.99641939999999996</v>
      </c>
      <c r="Y3499">
        <v>0.1189286</v>
      </c>
      <c r="Z3499">
        <v>3.3990529999999999E-4</v>
      </c>
      <c r="AA3499">
        <v>0.99290279999999997</v>
      </c>
      <c r="AB3499">
        <v>31</v>
      </c>
      <c r="AC3499">
        <v>81.351699999999994</v>
      </c>
      <c r="AD3499">
        <v>0.51094399999999995</v>
      </c>
      <c r="AE3499">
        <v>-10.1886999999999</v>
      </c>
      <c r="AF3499">
        <v>9.7869474361489406</v>
      </c>
      <c r="AG3499">
        <v>0.51094399999999995</v>
      </c>
      <c r="AH3499">
        <v>81.397802570681193</v>
      </c>
      <c r="AI3499">
        <v>89.642923823889006</v>
      </c>
      <c r="AJ3499">
        <v>83.143896240935703</v>
      </c>
      <c r="AK3499">
        <v>81.985655252761504</v>
      </c>
      <c r="AL3499">
        <v>91.262140725482197</v>
      </c>
      <c r="AM3499">
        <v>85.316678547651705</v>
      </c>
      <c r="AN3499">
        <v>1.0000000113018299</v>
      </c>
    </row>
    <row r="3500" spans="1:40" x14ac:dyDescent="0.25">
      <c r="A3500" t="str">
        <f>"20190312161341201"</f>
        <v>20190312161341201</v>
      </c>
      <c r="B3500" t="str">
        <f>"1552378421189505"</f>
        <v>1552378421189505</v>
      </c>
      <c r="C3500" t="s">
        <v>40</v>
      </c>
      <c r="D3500">
        <v>4.7829980000000001</v>
      </c>
      <c r="E3500">
        <v>0.51354699999999998</v>
      </c>
      <c r="F3500" t="s">
        <v>81</v>
      </c>
      <c r="G3500">
        <v>-168.41149999999999</v>
      </c>
      <c r="H3500">
        <v>0.90683749999999996</v>
      </c>
      <c r="I3500">
        <v>204.2775</v>
      </c>
      <c r="J3500">
        <v>-249.4658</v>
      </c>
      <c r="K3500">
        <v>1.109974</v>
      </c>
      <c r="L3500">
        <v>214.297</v>
      </c>
      <c r="M3500">
        <v>0.99988509999999997</v>
      </c>
      <c r="N3500">
        <v>0</v>
      </c>
      <c r="O3500">
        <v>-4.9953910000000001E-3</v>
      </c>
      <c r="P3500">
        <v>0.99554929999999997</v>
      </c>
      <c r="Q3500">
        <v>-3.636317E-2</v>
      </c>
      <c r="R3500">
        <v>-8.6943439999999997E-2</v>
      </c>
      <c r="S3500">
        <v>2.9811100000000001</v>
      </c>
      <c r="T3500">
        <v>-7.4421169999999998E-3</v>
      </c>
      <c r="U3500">
        <v>-0.36721799999999999</v>
      </c>
      <c r="V3500">
        <v>8.196486E-2</v>
      </c>
      <c r="W3500">
        <v>-2.2115260000000001E-2</v>
      </c>
      <c r="X3500">
        <v>0.99638979999999999</v>
      </c>
      <c r="Y3500">
        <v>0.11729729999999999</v>
      </c>
      <c r="Z3500">
        <v>-1.334366E-4</v>
      </c>
      <c r="AA3500">
        <v>0.9930968</v>
      </c>
      <c r="AB3500">
        <v>31</v>
      </c>
      <c r="AC3500">
        <v>81.054299999999998</v>
      </c>
      <c r="AD3500">
        <v>-0.2031365</v>
      </c>
      <c r="AE3500">
        <v>-10.019499999999899</v>
      </c>
      <c r="AF3500">
        <v>9.6143760870071695</v>
      </c>
      <c r="AG3500">
        <v>-0.2031365</v>
      </c>
      <c r="AH3500">
        <v>81.102843187450205</v>
      </c>
      <c r="AI3500">
        <v>90.142509326878098</v>
      </c>
      <c r="AJ3500">
        <v>83.239395070760096</v>
      </c>
      <c r="AK3500">
        <v>81.670978107698602</v>
      </c>
      <c r="AL3500">
        <v>91.267214398556206</v>
      </c>
      <c r="AM3500">
        <v>85.297332248706795</v>
      </c>
      <c r="AN3500">
        <v>0.99999997827186304</v>
      </c>
    </row>
    <row r="3501" spans="1:40" x14ac:dyDescent="0.25">
      <c r="A3501" t="str">
        <f>"20190312161341223"</f>
        <v>20190312161341223</v>
      </c>
      <c r="B3501" t="str">
        <f>"1552378421219762"</f>
        <v>1552378421219762</v>
      </c>
      <c r="C3501" t="s">
        <v>40</v>
      </c>
      <c r="D3501">
        <v>4.7798920000000003</v>
      </c>
      <c r="E3501">
        <v>0.51424799999999904</v>
      </c>
      <c r="F3501" t="s">
        <v>81</v>
      </c>
      <c r="G3501">
        <v>-168.4117</v>
      </c>
      <c r="H3501">
        <v>1.3491249999999999</v>
      </c>
      <c r="I3501">
        <v>204.16399999999999</v>
      </c>
      <c r="J3501">
        <v>-249.16239999999999</v>
      </c>
      <c r="K3501">
        <v>1.109979</v>
      </c>
      <c r="L3501">
        <v>214.2954</v>
      </c>
      <c r="M3501">
        <v>0.99988480000000002</v>
      </c>
      <c r="N3501">
        <v>0</v>
      </c>
      <c r="O3501">
        <v>-5.0599709999999999E-3</v>
      </c>
      <c r="P3501">
        <v>0.99555210000000005</v>
      </c>
      <c r="Q3501">
        <v>-3.603874E-2</v>
      </c>
      <c r="R3501">
        <v>-8.7046410000000005E-2</v>
      </c>
      <c r="S3501">
        <v>2.981201</v>
      </c>
      <c r="T3501">
        <v>8.7972880000000003E-3</v>
      </c>
      <c r="U3501">
        <v>-0.37269590000000002</v>
      </c>
      <c r="V3501">
        <v>8.2003530000000005E-2</v>
      </c>
      <c r="W3501">
        <v>-2.179418E-2</v>
      </c>
      <c r="X3501">
        <v>0.99639370000000005</v>
      </c>
      <c r="Y3501">
        <v>0.1190263</v>
      </c>
      <c r="Z3501">
        <v>1.600634E-4</v>
      </c>
      <c r="AA3501">
        <v>0.99289110000000003</v>
      </c>
      <c r="AB3501">
        <v>31</v>
      </c>
      <c r="AC3501">
        <v>80.750699999999995</v>
      </c>
      <c r="AD3501">
        <v>0.239145999999999</v>
      </c>
      <c r="AE3501">
        <v>-10.1313999999999</v>
      </c>
      <c r="AF3501">
        <v>9.7225482785077695</v>
      </c>
      <c r="AG3501">
        <v>0.239145999999999</v>
      </c>
      <c r="AH3501">
        <v>80.800238188293207</v>
      </c>
      <c r="AI3501">
        <v>89.831635564813197</v>
      </c>
      <c r="AJ3501">
        <v>83.138689034022093</v>
      </c>
      <c r="AK3501">
        <v>81.383435827704801</v>
      </c>
      <c r="AL3501">
        <v>91.248813425147503</v>
      </c>
      <c r="AM3501">
        <v>85.295141879194404</v>
      </c>
      <c r="AN3501">
        <v>0.99999998530701095</v>
      </c>
    </row>
    <row r="3502" spans="1:40" x14ac:dyDescent="0.25">
      <c r="A3502" t="str">
        <f>"20190312161341246"</f>
        <v>20190312161341246</v>
      </c>
      <c r="B3502" t="str">
        <f>"1552378421239281"</f>
        <v>1552378421239281</v>
      </c>
      <c r="C3502" t="s">
        <v>40</v>
      </c>
      <c r="D3502">
        <v>4.7587519999999897</v>
      </c>
      <c r="E3502">
        <v>0.51535379999999997</v>
      </c>
      <c r="F3502" t="s">
        <v>81</v>
      </c>
      <c r="G3502">
        <v>-168.4119</v>
      </c>
      <c r="H3502">
        <v>1.7713620000000001</v>
      </c>
      <c r="I3502">
        <v>204.0266</v>
      </c>
      <c r="J3502">
        <v>-248.85159999999999</v>
      </c>
      <c r="K3502">
        <v>1.109974</v>
      </c>
      <c r="L3502">
        <v>214.2938</v>
      </c>
      <c r="M3502">
        <v>0.99988449999999995</v>
      </c>
      <c r="N3502">
        <v>0</v>
      </c>
      <c r="O3502">
        <v>-5.1264589999999999E-3</v>
      </c>
      <c r="P3502">
        <v>0.99555559999999998</v>
      </c>
      <c r="Q3502">
        <v>-3.5906250000000001E-2</v>
      </c>
      <c r="R3502">
        <v>-8.7061520000000003E-2</v>
      </c>
      <c r="S3502">
        <v>2.9811399999999999</v>
      </c>
      <c r="T3502">
        <v>2.4418120000000001E-2</v>
      </c>
      <c r="U3502">
        <v>-0.37910460000000001</v>
      </c>
      <c r="V3502">
        <v>8.1952490000000003E-2</v>
      </c>
      <c r="W3502">
        <v>-2.1665070000000002E-2</v>
      </c>
      <c r="X3502">
        <v>0.99640070000000003</v>
      </c>
      <c r="Y3502">
        <v>0.12106020000000001</v>
      </c>
      <c r="Z3502">
        <v>4.5197560000000001E-4</v>
      </c>
      <c r="AA3502">
        <v>0.99264509999999995</v>
      </c>
      <c r="AB3502">
        <v>31</v>
      </c>
      <c r="AC3502">
        <v>80.439699999999903</v>
      </c>
      <c r="AD3502">
        <v>0.66138799999999898</v>
      </c>
      <c r="AE3502">
        <v>-10.267200000000001</v>
      </c>
      <c r="AF3502">
        <v>9.8539965299688497</v>
      </c>
      <c r="AG3502">
        <v>0.66138799999999898</v>
      </c>
      <c r="AH3502">
        <v>80.485928605136294</v>
      </c>
      <c r="AI3502">
        <v>89.532675451151505</v>
      </c>
      <c r="AJ3502">
        <v>83.019940836565695</v>
      </c>
      <c r="AK3502">
        <v>81.089600967881694</v>
      </c>
      <c r="AL3502">
        <v>91.241414238355105</v>
      </c>
      <c r="AM3502">
        <v>85.298089990968194</v>
      </c>
      <c r="AN3502">
        <v>0.99999997041789701</v>
      </c>
    </row>
    <row r="3503" spans="1:40" x14ac:dyDescent="0.25">
      <c r="A3503" t="str">
        <f>"20190312161341264"</f>
        <v>20190312161341264</v>
      </c>
      <c r="B3503" t="str">
        <f>"1552378421259778"</f>
        <v>1552378421259778</v>
      </c>
      <c r="C3503" t="s">
        <v>40</v>
      </c>
      <c r="D3503">
        <v>3.1470929999999999</v>
      </c>
      <c r="E3503">
        <v>0.51535379999999997</v>
      </c>
      <c r="F3503" t="s">
        <v>81</v>
      </c>
      <c r="G3503">
        <v>-168.41200000000001</v>
      </c>
      <c r="H3503">
        <v>1.9572240000000001</v>
      </c>
      <c r="I3503">
        <v>203.81870000000001</v>
      </c>
      <c r="J3503">
        <v>-248.60429999999999</v>
      </c>
      <c r="K3503">
        <v>1.10997099999999</v>
      </c>
      <c r="L3503">
        <v>214.29249999999999</v>
      </c>
      <c r="M3503">
        <v>0.99988440000000001</v>
      </c>
      <c r="N3503">
        <v>0</v>
      </c>
      <c r="O3503">
        <v>-5.179243E-3</v>
      </c>
      <c r="P3503">
        <v>0.99549589999999999</v>
      </c>
      <c r="Q3503">
        <v>-3.6395829999999997E-2</v>
      </c>
      <c r="R3503">
        <v>-8.7543099999999999E-2</v>
      </c>
      <c r="S3503">
        <v>2.9805600000000001</v>
      </c>
      <c r="T3503">
        <v>3.1394720000000001E-2</v>
      </c>
      <c r="U3503">
        <v>-0.38813779999999998</v>
      </c>
      <c r="V3503">
        <v>8.2381590000000005E-2</v>
      </c>
      <c r="W3503">
        <v>-2.2158210000000001E-2</v>
      </c>
      <c r="X3503">
        <v>0.99635450000000003</v>
      </c>
      <c r="Y3503">
        <v>0.12398820000000001</v>
      </c>
      <c r="Z3503">
        <v>5.9590700000000001E-4</v>
      </c>
      <c r="AA3503">
        <v>0.99228349999999998</v>
      </c>
      <c r="AB3503">
        <v>31</v>
      </c>
      <c r="AC3503">
        <v>80.192299999999904</v>
      </c>
      <c r="AD3503">
        <v>0.84725300000000003</v>
      </c>
      <c r="AE3503">
        <v>-10.473799999999899</v>
      </c>
      <c r="AF3503">
        <v>10.0571778368056</v>
      </c>
      <c r="AG3503">
        <v>0.84725300000000003</v>
      </c>
      <c r="AH3503">
        <v>80.236669925389805</v>
      </c>
      <c r="AI3503">
        <v>89.399708958009299</v>
      </c>
      <c r="AJ3503">
        <v>82.855583097257295</v>
      </c>
      <c r="AK3503">
        <v>80.868954886304195</v>
      </c>
      <c r="AL3503">
        <v>91.269675826454005</v>
      </c>
      <c r="AM3503">
        <v>85.2733640550383</v>
      </c>
      <c r="AN3503">
        <v>1.0000000011557899</v>
      </c>
    </row>
    <row r="3504" spans="1:40" x14ac:dyDescent="0.25">
      <c r="A3504" t="str">
        <f>"20190312161341324"</f>
        <v>20190312161341324</v>
      </c>
      <c r="B3504" t="str">
        <f>"1552378421319313"</f>
        <v>1552378421319313</v>
      </c>
      <c r="C3504" t="s">
        <v>40</v>
      </c>
      <c r="D3504">
        <v>5.1255249999999997</v>
      </c>
      <c r="E3504">
        <v>0.49768829999999997</v>
      </c>
      <c r="F3504" t="s">
        <v>81</v>
      </c>
      <c r="G3504">
        <v>-168.41200000000001</v>
      </c>
      <c r="H3504">
        <v>1.915106</v>
      </c>
      <c r="I3504">
        <v>203.80889999999999</v>
      </c>
      <c r="J3504">
        <v>-247.7921</v>
      </c>
      <c r="K3504">
        <v>1.1099730000000001</v>
      </c>
      <c r="L3504">
        <v>214.28800000000001</v>
      </c>
      <c r="M3504">
        <v>0.99988350000000004</v>
      </c>
      <c r="N3504">
        <v>0</v>
      </c>
      <c r="O3504">
        <v>-5.352852E-3</v>
      </c>
      <c r="P3504">
        <v>0.99532699999999996</v>
      </c>
      <c r="Q3504">
        <v>-3.5936320000000001E-2</v>
      </c>
      <c r="R3504">
        <v>-8.962639E-2</v>
      </c>
      <c r="S3504">
        <v>2.9804379999999999</v>
      </c>
      <c r="T3504">
        <v>2.9924989999999999E-2</v>
      </c>
      <c r="U3504">
        <v>-0.38963320000000001</v>
      </c>
      <c r="V3504">
        <v>8.4292809999999996E-2</v>
      </c>
      <c r="W3504">
        <v>-2.1709800000000001E-2</v>
      </c>
      <c r="X3504">
        <v>0.99620450000000005</v>
      </c>
      <c r="Y3504">
        <v>0.1243112</v>
      </c>
      <c r="Z3504">
        <v>5.6789519999999997E-4</v>
      </c>
      <c r="AA3504">
        <v>0.99224310000000004</v>
      </c>
      <c r="AB3504">
        <v>31</v>
      </c>
      <c r="AC3504">
        <v>79.380099999999999</v>
      </c>
      <c r="AD3504">
        <v>0.80513299999999999</v>
      </c>
      <c r="AE3504">
        <v>-10.479099999999899</v>
      </c>
      <c r="AF3504">
        <v>10.052980003038501</v>
      </c>
      <c r="AG3504">
        <v>0.80513299999999999</v>
      </c>
      <c r="AH3504">
        <v>79.427030186162696</v>
      </c>
      <c r="AI3504">
        <v>89.423822570035298</v>
      </c>
      <c r="AJ3504">
        <v>82.786500808852693</v>
      </c>
      <c r="AK3504">
        <v>80.064747362886095</v>
      </c>
      <c r="AL3504">
        <v>91.243977645354093</v>
      </c>
      <c r="AM3504">
        <v>85.163497467970402</v>
      </c>
      <c r="AN3504">
        <v>0.99999999952699303</v>
      </c>
    </row>
    <row r="3505" spans="1:40" x14ac:dyDescent="0.25">
      <c r="A3505" t="str">
        <f>"20190312161341342"</f>
        <v>20190312161341342</v>
      </c>
      <c r="B3505" t="str">
        <f>"1552378421339810"</f>
        <v>1552378421339810</v>
      </c>
      <c r="C3505" t="s">
        <v>40</v>
      </c>
      <c r="D3505">
        <v>4.7981499999999997</v>
      </c>
      <c r="E3505">
        <v>0.51179439999999998</v>
      </c>
      <c r="F3505" t="s">
        <v>81</v>
      </c>
      <c r="G3505">
        <v>-168.41380000000001</v>
      </c>
      <c r="H3505">
        <v>10.775069999999999</v>
      </c>
      <c r="I3505">
        <v>207.22579999999999</v>
      </c>
      <c r="J3505">
        <v>-247.54230000000001</v>
      </c>
      <c r="K3505">
        <v>1.1099730000000001</v>
      </c>
      <c r="L3505">
        <v>214.28659999999999</v>
      </c>
      <c r="M3505">
        <v>0.99988339999999998</v>
      </c>
      <c r="N3505">
        <v>0</v>
      </c>
      <c r="O3505">
        <v>-5.4064719999999998E-3</v>
      </c>
      <c r="P3505">
        <v>0.99530200000000002</v>
      </c>
      <c r="Q3505">
        <v>-3.6148619999999999E-2</v>
      </c>
      <c r="R3505">
        <v>-8.9818540000000002E-2</v>
      </c>
      <c r="S3505">
        <v>3.0032350000000001</v>
      </c>
      <c r="T3505">
        <v>0.36567490000000002</v>
      </c>
      <c r="U3505">
        <v>-0.26719670000000001</v>
      </c>
      <c r="V3505">
        <v>8.4431820000000005E-2</v>
      </c>
      <c r="W3505">
        <v>-2.1925110000000001E-2</v>
      </c>
      <c r="X3505">
        <v>0.99618799999999996</v>
      </c>
      <c r="Y3505">
        <v>8.2666459999999997E-2</v>
      </c>
      <c r="Z3505">
        <v>4.3498369999999996E-3</v>
      </c>
      <c r="AA3505">
        <v>0.9965678</v>
      </c>
      <c r="AB3505">
        <v>30</v>
      </c>
      <c r="AC3505">
        <v>79.128500000000003</v>
      </c>
      <c r="AD3505">
        <v>9.6650969999999994</v>
      </c>
      <c r="AE3505">
        <v>-7.0608000000000004</v>
      </c>
      <c r="AF3505">
        <v>6.5361037663422801</v>
      </c>
      <c r="AG3505">
        <v>9.6650969999999994</v>
      </c>
      <c r="AH3505">
        <v>78.0108528138488</v>
      </c>
      <c r="AI3505">
        <v>82.961783378939899</v>
      </c>
      <c r="AJ3505">
        <v>85.210685069211394</v>
      </c>
      <c r="AK3505">
        <v>78.878564320148399</v>
      </c>
      <c r="AL3505">
        <v>91.256316952507106</v>
      </c>
      <c r="AM3505">
        <v>85.155479506072197</v>
      </c>
      <c r="AN3505">
        <v>0.99999998701051196</v>
      </c>
    </row>
    <row r="3506" spans="1:40" x14ac:dyDescent="0.25">
      <c r="A3506" t="str">
        <f>"20190312161341357"</f>
        <v>20190312161341357</v>
      </c>
      <c r="B3506" t="str">
        <f>"1552378421349569"</f>
        <v>1552378421349569</v>
      </c>
      <c r="C3506" t="s">
        <v>40</v>
      </c>
      <c r="D3506">
        <v>4.820106</v>
      </c>
      <c r="E3506">
        <v>0.51505199999999995</v>
      </c>
      <c r="F3506" t="s">
        <v>81</v>
      </c>
      <c r="G3506">
        <v>-168.41329999999999</v>
      </c>
      <c r="H3506">
        <v>6.4103620000000001</v>
      </c>
      <c r="I3506">
        <v>204.37970000000001</v>
      </c>
      <c r="J3506">
        <v>-247.33109999999999</v>
      </c>
      <c r="K3506">
        <v>1.109966</v>
      </c>
      <c r="L3506">
        <v>214.28540000000001</v>
      </c>
      <c r="M3506">
        <v>0.99988310000000002</v>
      </c>
      <c r="N3506">
        <v>0</v>
      </c>
      <c r="O3506">
        <v>-5.4515129999999998E-3</v>
      </c>
      <c r="P3506">
        <v>0.99526870000000001</v>
      </c>
      <c r="Q3506">
        <v>-3.668283E-2</v>
      </c>
      <c r="R3506">
        <v>-8.9971300000000004E-2</v>
      </c>
      <c r="S3506">
        <v>2.9876710000000002</v>
      </c>
      <c r="T3506">
        <v>0.200128</v>
      </c>
      <c r="U3506">
        <v>-0.374054</v>
      </c>
      <c r="V3506">
        <v>8.4539810000000007E-2</v>
      </c>
      <c r="W3506">
        <v>-2.2461979999999999E-2</v>
      </c>
      <c r="X3506">
        <v>0.99616689999999997</v>
      </c>
      <c r="Y3506">
        <v>0.1185681</v>
      </c>
      <c r="Z3506">
        <v>3.5879530000000001E-3</v>
      </c>
      <c r="AA3506">
        <v>0.99293940000000003</v>
      </c>
      <c r="AB3506">
        <v>30</v>
      </c>
      <c r="AC3506">
        <v>78.9178</v>
      </c>
      <c r="AD3506">
        <v>5.3003960000000001</v>
      </c>
      <c r="AE3506">
        <v>-9.9056999999999906</v>
      </c>
      <c r="AF3506">
        <v>9.4333940526043794</v>
      </c>
      <c r="AG3506">
        <v>5.3003960000000001</v>
      </c>
      <c r="AH3506">
        <v>78.621478126077506</v>
      </c>
      <c r="AI3506">
        <v>86.170531201430293</v>
      </c>
      <c r="AJ3506">
        <v>83.158076699262196</v>
      </c>
      <c r="AK3506">
        <v>79.362585289529306</v>
      </c>
      <c r="AL3506">
        <v>91.287084891910595</v>
      </c>
      <c r="AM3506">
        <v>85.149210559719705</v>
      </c>
      <c r="AN3506">
        <v>1.0000000063379799</v>
      </c>
    </row>
    <row r="3507" spans="1:40" x14ac:dyDescent="0.25">
      <c r="A3507" t="str">
        <f>"20190312161341380"</f>
        <v>20190312161341380</v>
      </c>
      <c r="B3507" t="str">
        <f>"1552378421369089"</f>
        <v>1552378421369089</v>
      </c>
      <c r="C3507" t="s">
        <v>40</v>
      </c>
      <c r="D3507">
        <v>4.7847609999999996</v>
      </c>
      <c r="E3507">
        <v>0.51503920000000003</v>
      </c>
      <c r="F3507" t="s">
        <v>81</v>
      </c>
      <c r="G3507">
        <v>-168.41309999999999</v>
      </c>
      <c r="H3507">
        <v>5.296049</v>
      </c>
      <c r="I3507">
        <v>203.72929999999999</v>
      </c>
      <c r="J3507">
        <v>-247.02199999999999</v>
      </c>
      <c r="K3507">
        <v>1.10996299999999</v>
      </c>
      <c r="L3507">
        <v>214.28370000000001</v>
      </c>
      <c r="M3507">
        <v>0.99988279999999996</v>
      </c>
      <c r="N3507">
        <v>0</v>
      </c>
      <c r="O3507">
        <v>-5.5174059999999999E-3</v>
      </c>
      <c r="P3507">
        <v>0.99520050000000004</v>
      </c>
      <c r="Q3507">
        <v>-3.7307409999999999E-2</v>
      </c>
      <c r="R3507">
        <v>-9.0466420000000006E-2</v>
      </c>
      <c r="S3507">
        <v>2.983978</v>
      </c>
      <c r="T3507">
        <v>0.1582818</v>
      </c>
      <c r="U3507">
        <v>-0.39913939999999998</v>
      </c>
      <c r="V3507">
        <v>8.4969580000000003E-2</v>
      </c>
      <c r="W3507">
        <v>-2.3090719999999999E-2</v>
      </c>
      <c r="X3507">
        <v>0.99611590000000005</v>
      </c>
      <c r="Y3507">
        <v>0.1269411</v>
      </c>
      <c r="Z3507">
        <v>3.058308E-3</v>
      </c>
      <c r="AA3507">
        <v>0.99190560000000005</v>
      </c>
      <c r="AB3507">
        <v>30</v>
      </c>
      <c r="AC3507">
        <v>78.608900000000006</v>
      </c>
      <c r="AD3507">
        <v>4.1860860000000004</v>
      </c>
      <c r="AE3507">
        <v>-10.554399999999999</v>
      </c>
      <c r="AF3507">
        <v>10.0923649131686</v>
      </c>
      <c r="AG3507">
        <v>4.1860860000000004</v>
      </c>
      <c r="AH3507">
        <v>78.447421577332506</v>
      </c>
      <c r="AI3507">
        <v>86.970419661290705</v>
      </c>
      <c r="AJ3507">
        <v>82.669089966771494</v>
      </c>
      <c r="AK3507">
        <v>79.204653257695</v>
      </c>
      <c r="AL3507">
        <v>91.323118464775206</v>
      </c>
      <c r="AM3507">
        <v>85.124421042143894</v>
      </c>
      <c r="AN3507">
        <v>0.99999994855415097</v>
      </c>
    </row>
    <row r="3508" spans="1:40" x14ac:dyDescent="0.25">
      <c r="A3508" t="str">
        <f>"20190312161341403"</f>
        <v>20190312161341403</v>
      </c>
      <c r="B3508" t="str">
        <f>"1552378421399345"</f>
        <v>1552378421399345</v>
      </c>
      <c r="C3508" t="s">
        <v>40</v>
      </c>
      <c r="D3508">
        <v>4.7960839999999996</v>
      </c>
      <c r="E3508">
        <v>0.5144107</v>
      </c>
      <c r="F3508" t="s">
        <v>81</v>
      </c>
      <c r="G3508">
        <v>-168.4126</v>
      </c>
      <c r="H3508">
        <v>3.646334</v>
      </c>
      <c r="I3508">
        <v>203.7713</v>
      </c>
      <c r="J3508">
        <v>-246.72630000000001</v>
      </c>
      <c r="K3508">
        <v>1.109974</v>
      </c>
      <c r="L3508">
        <v>214.28200000000001</v>
      </c>
      <c r="M3508">
        <v>0.99988239999999995</v>
      </c>
      <c r="N3508">
        <v>0</v>
      </c>
      <c r="O3508">
        <v>-5.5806780000000004E-3</v>
      </c>
      <c r="P3508">
        <v>0.99519619999999998</v>
      </c>
      <c r="Q3508">
        <v>-3.642538E-2</v>
      </c>
      <c r="R3508">
        <v>-9.0872800000000004E-2</v>
      </c>
      <c r="S3508">
        <v>2.981827</v>
      </c>
      <c r="T3508">
        <v>9.6211309999999994E-2</v>
      </c>
      <c r="U3508">
        <v>-0.3987579</v>
      </c>
      <c r="V3508">
        <v>8.5313050000000001E-2</v>
      </c>
      <c r="W3508">
        <v>-2.22119E-2</v>
      </c>
      <c r="X3508">
        <v>0.99610659999999895</v>
      </c>
      <c r="Y3508">
        <v>0.12695329999999999</v>
      </c>
      <c r="Z3508">
        <v>1.8593100000000001E-3</v>
      </c>
      <c r="AA3508">
        <v>0.99190690000000004</v>
      </c>
      <c r="AB3508">
        <v>30</v>
      </c>
      <c r="AC3508">
        <v>78.313699999999997</v>
      </c>
      <c r="AD3508">
        <v>2.53635999999999</v>
      </c>
      <c r="AE3508">
        <v>-10.5107</v>
      </c>
      <c r="AF3508">
        <v>10.0630794666078</v>
      </c>
      <c r="AG3508">
        <v>2.53635999999999</v>
      </c>
      <c r="AH3508">
        <v>78.290474950160402</v>
      </c>
      <c r="AI3508">
        <v>88.159579937930303</v>
      </c>
      <c r="AJ3508">
        <v>82.675637058188698</v>
      </c>
      <c r="AK3508">
        <v>78.975294607380604</v>
      </c>
      <c r="AL3508">
        <v>91.272752767894602</v>
      </c>
      <c r="AM3508">
        <v>85.104762730244303</v>
      </c>
      <c r="AN3508">
        <v>1.0000000217827301</v>
      </c>
    </row>
    <row r="3509" spans="1:40" x14ac:dyDescent="0.25">
      <c r="A3509" t="str">
        <f>"20190312161341425"</f>
        <v>20190312161341425</v>
      </c>
      <c r="B3509" t="str">
        <f>"1552378421419845"</f>
        <v>1552378421419845</v>
      </c>
      <c r="C3509" t="s">
        <v>40</v>
      </c>
      <c r="D3509">
        <v>4.7868649999999997</v>
      </c>
      <c r="E3509">
        <v>0.51366319999999999</v>
      </c>
      <c r="F3509" t="s">
        <v>81</v>
      </c>
      <c r="G3509">
        <v>-168.41220000000001</v>
      </c>
      <c r="H3509">
        <v>2.6860499999999998</v>
      </c>
      <c r="I3509">
        <v>203.94390000000001</v>
      </c>
      <c r="J3509">
        <v>-246.41829999999999</v>
      </c>
      <c r="K3509">
        <v>1.109969</v>
      </c>
      <c r="L3509">
        <v>214.28020000000001</v>
      </c>
      <c r="M3509">
        <v>0.99988200000000005</v>
      </c>
      <c r="N3509">
        <v>0</v>
      </c>
      <c r="O3509">
        <v>-5.6465710000000004E-3</v>
      </c>
      <c r="P3509">
        <v>0.99513569999999996</v>
      </c>
      <c r="Q3509">
        <v>-3.665624E-2</v>
      </c>
      <c r="R3509">
        <v>-9.1442499999999996E-2</v>
      </c>
      <c r="S3509">
        <v>2.9807429999999999</v>
      </c>
      <c r="T3509">
        <v>5.9988979999999997E-2</v>
      </c>
      <c r="U3509">
        <v>-0.39347840000000001</v>
      </c>
      <c r="V3509">
        <v>8.5817379999999999E-2</v>
      </c>
      <c r="W3509">
        <v>-2.244678E-2</v>
      </c>
      <c r="X3509">
        <v>0.996058</v>
      </c>
      <c r="Y3509">
        <v>0.125247</v>
      </c>
      <c r="Z3509">
        <v>1.1416219999999999E-3</v>
      </c>
      <c r="AA3509">
        <v>0.99212489999999998</v>
      </c>
      <c r="AB3509">
        <v>30</v>
      </c>
      <c r="AC3509">
        <v>78.006099999999904</v>
      </c>
      <c r="AD3509">
        <v>1.5760809999999901</v>
      </c>
      <c r="AE3509">
        <v>-10.3362999999999</v>
      </c>
      <c r="AF3509">
        <v>9.8916548978131598</v>
      </c>
      <c r="AG3509">
        <v>1.5760809999999901</v>
      </c>
      <c r="AH3509">
        <v>78.031921824908295</v>
      </c>
      <c r="AI3509">
        <v>88.852086632101205</v>
      </c>
      <c r="AJ3509">
        <v>82.775478693855703</v>
      </c>
      <c r="AK3509">
        <v>78.672165926867606</v>
      </c>
      <c r="AL3509">
        <v>91.286213771716902</v>
      </c>
      <c r="AM3509">
        <v>85.075727214985207</v>
      </c>
      <c r="AN3509">
        <v>1.00000001000321</v>
      </c>
    </row>
    <row r="3510" spans="1:40" x14ac:dyDescent="0.25">
      <c r="A3510" t="str">
        <f>"20190312161341447"</f>
        <v>20190312161341447</v>
      </c>
      <c r="B3510" t="str">
        <f>"1552378421439361"</f>
        <v>1552378421439361</v>
      </c>
      <c r="C3510" t="s">
        <v>40</v>
      </c>
      <c r="D3510">
        <v>4.7912939999999997</v>
      </c>
      <c r="E3510">
        <v>0.51321600000000001</v>
      </c>
      <c r="F3510" t="s">
        <v>81</v>
      </c>
      <c r="G3510">
        <v>-168.41200000000001</v>
      </c>
      <c r="H3510">
        <v>2.1505169999999998</v>
      </c>
      <c r="I3510">
        <v>204.11600000000001</v>
      </c>
      <c r="J3510">
        <v>-246.1164</v>
      </c>
      <c r="K3510">
        <v>1.1099650000000001</v>
      </c>
      <c r="L3510">
        <v>214.2784</v>
      </c>
      <c r="M3510">
        <v>0.99988189999999999</v>
      </c>
      <c r="N3510">
        <v>0</v>
      </c>
      <c r="O3510">
        <v>-5.7112730000000002E-3</v>
      </c>
      <c r="P3510">
        <v>0.99503229999999998</v>
      </c>
      <c r="Q3510">
        <v>-3.7468229999999998E-2</v>
      </c>
      <c r="R3510">
        <v>-9.2234049999999998E-2</v>
      </c>
      <c r="S3510">
        <v>2.9804529999999998</v>
      </c>
      <c r="T3510">
        <v>3.975832E-2</v>
      </c>
      <c r="U3510">
        <v>-0.38835140000000001</v>
      </c>
      <c r="V3510">
        <v>8.6545150000000001E-2</v>
      </c>
      <c r="W3510">
        <v>-2.3263269999999999E-2</v>
      </c>
      <c r="X3510">
        <v>0.99597630000000004</v>
      </c>
      <c r="Y3510">
        <v>0.1235308</v>
      </c>
      <c r="Z3510">
        <v>7.4456479999999905E-4</v>
      </c>
      <c r="AA3510">
        <v>0.99234040000000001</v>
      </c>
      <c r="AB3510">
        <v>30</v>
      </c>
      <c r="AC3510">
        <v>77.704399999999893</v>
      </c>
      <c r="AD3510">
        <v>1.0405519999999999</v>
      </c>
      <c r="AE3510">
        <v>-10.1624</v>
      </c>
      <c r="AF3510">
        <v>9.7166848787930196</v>
      </c>
      <c r="AG3510">
        <v>1.0405519999999999</v>
      </c>
      <c r="AH3510">
        <v>77.747471108148801</v>
      </c>
      <c r="AI3510">
        <v>89.239132331748806</v>
      </c>
      <c r="AJ3510">
        <v>82.876252752737003</v>
      </c>
      <c r="AK3510">
        <v>78.3592111829293</v>
      </c>
      <c r="AL3510">
        <v>91.333007417962705</v>
      </c>
      <c r="AM3510">
        <v>85.0337697966972</v>
      </c>
      <c r="AN3510">
        <v>1.00000001644065</v>
      </c>
    </row>
    <row r="3511" spans="1:40" x14ac:dyDescent="0.25">
      <c r="A3511" t="str">
        <f>"20190312161341469"</f>
        <v>20190312161341469</v>
      </c>
      <c r="B3511" t="str">
        <f>"1552378421459857"</f>
        <v>1552378421459857</v>
      </c>
      <c r="C3511" t="s">
        <v>40</v>
      </c>
      <c r="D3511">
        <v>4.7382739999999997</v>
      </c>
      <c r="E3511">
        <v>0.51265749999999999</v>
      </c>
      <c r="F3511" t="s">
        <v>81</v>
      </c>
      <c r="G3511">
        <v>-168.4118</v>
      </c>
      <c r="H3511">
        <v>1.7103200000000001</v>
      </c>
      <c r="I3511">
        <v>204.19649999999999</v>
      </c>
      <c r="J3511">
        <v>-245.82499999999999</v>
      </c>
      <c r="K3511">
        <v>1.1099680000000001</v>
      </c>
      <c r="L3511">
        <v>214.27670000000001</v>
      </c>
      <c r="M3511">
        <v>0.99988149999999998</v>
      </c>
      <c r="N3511">
        <v>0</v>
      </c>
      <c r="O3511">
        <v>-5.7738299999999998E-3</v>
      </c>
      <c r="P3511">
        <v>0.99494150000000003</v>
      </c>
      <c r="Q3511">
        <v>-3.7906339999999997E-2</v>
      </c>
      <c r="R3511">
        <v>-9.3031970000000005E-2</v>
      </c>
      <c r="S3511">
        <v>2.9799959999999999</v>
      </c>
      <c r="T3511">
        <v>2.302504E-2</v>
      </c>
      <c r="U3511">
        <v>-0.3866425</v>
      </c>
      <c r="V3511">
        <v>8.7281079999999997E-2</v>
      </c>
      <c r="W3511">
        <v>-2.3705650000000002E-2</v>
      </c>
      <c r="X3511">
        <v>0.99590160000000005</v>
      </c>
      <c r="Y3511">
        <v>0.1229355</v>
      </c>
      <c r="Z3511">
        <v>4.2851839999999999E-4</v>
      </c>
      <c r="AA3511">
        <v>0.99241460000000004</v>
      </c>
      <c r="AB3511">
        <v>30</v>
      </c>
      <c r="AC3511">
        <v>77.413199999999904</v>
      </c>
      <c r="AD3511">
        <v>0.600352</v>
      </c>
      <c r="AE3511">
        <v>-10.0802</v>
      </c>
      <c r="AF3511">
        <v>9.6324461048589107</v>
      </c>
      <c r="AG3511">
        <v>0.600352</v>
      </c>
      <c r="AH3511">
        <v>77.465535350955193</v>
      </c>
      <c r="AI3511">
        <v>89.5593642395351</v>
      </c>
      <c r="AJ3511">
        <v>82.911942284368294</v>
      </c>
      <c r="AK3511">
        <v>78.064419601358793</v>
      </c>
      <c r="AL3511">
        <v>91.358360979111197</v>
      </c>
      <c r="AM3511">
        <v>84.991379977644897</v>
      </c>
      <c r="AN3511">
        <v>0.99999997082522396</v>
      </c>
    </row>
    <row r="3512" spans="1:40" x14ac:dyDescent="0.25">
      <c r="A3512" t="str">
        <f>"20190312161341491"</f>
        <v>20190312161341491</v>
      </c>
      <c r="B3512" t="str">
        <f>"1552378421479377"</f>
        <v>1552378421479377</v>
      </c>
      <c r="C3512" t="s">
        <v>40</v>
      </c>
      <c r="D3512">
        <v>4.763801</v>
      </c>
      <c r="E3512">
        <v>0.51251749999999996</v>
      </c>
      <c r="F3512" t="s">
        <v>81</v>
      </c>
      <c r="G3512">
        <v>-168.4117</v>
      </c>
      <c r="H3512">
        <v>1.494907</v>
      </c>
      <c r="I3512">
        <v>204.28960000000001</v>
      </c>
      <c r="J3512">
        <v>-245.52760000000001</v>
      </c>
      <c r="K3512">
        <v>1.109974</v>
      </c>
      <c r="L3512">
        <v>214.2749</v>
      </c>
      <c r="M3512">
        <v>0.99988109999999997</v>
      </c>
      <c r="N3512">
        <v>0</v>
      </c>
      <c r="O3512">
        <v>-5.83746E-3</v>
      </c>
      <c r="P3512">
        <v>0.99485330000000005</v>
      </c>
      <c r="Q3512">
        <v>-3.8169950000000001E-2</v>
      </c>
      <c r="R3512">
        <v>-9.3862200000000007E-2</v>
      </c>
      <c r="S3512">
        <v>2.9798740000000001</v>
      </c>
      <c r="T3512">
        <v>1.481879E-2</v>
      </c>
      <c r="U3512">
        <v>-0.38442989999999999</v>
      </c>
      <c r="V3512">
        <v>8.8048399999999999E-2</v>
      </c>
      <c r="W3512">
        <v>-2.397355E-2</v>
      </c>
      <c r="X3512">
        <v>0.99582769999999998</v>
      </c>
      <c r="Y3512">
        <v>0.12215479999999999</v>
      </c>
      <c r="Z3512">
        <v>2.7357059999999999E-4</v>
      </c>
      <c r="AA3512">
        <v>0.99251100000000003</v>
      </c>
      <c r="AB3512">
        <v>30</v>
      </c>
      <c r="AC3512">
        <v>77.115899999999996</v>
      </c>
      <c r="AD3512">
        <v>0.38493300000000003</v>
      </c>
      <c r="AE3512">
        <v>-9.9852999999999899</v>
      </c>
      <c r="AF3512">
        <v>9.5346893437724596</v>
      </c>
      <c r="AG3512">
        <v>0.38493300000000003</v>
      </c>
      <c r="AH3512">
        <v>77.1709894460447</v>
      </c>
      <c r="AI3512">
        <v>89.716364627030998</v>
      </c>
      <c r="AJ3512">
        <v>82.956642738350595</v>
      </c>
      <c r="AK3512">
        <v>77.758729968912704</v>
      </c>
      <c r="AL3512">
        <v>91.373714801315799</v>
      </c>
      <c r="AM3512">
        <v>84.947201288028594</v>
      </c>
      <c r="AN3512">
        <v>1.00000002996472</v>
      </c>
    </row>
    <row r="3513" spans="1:40" x14ac:dyDescent="0.25">
      <c r="A3513" t="str">
        <f>"20190312161341514"</f>
        <v>20190312161341514</v>
      </c>
      <c r="B3513" t="str">
        <f>"1552378421509633"</f>
        <v>1552378421509633</v>
      </c>
      <c r="C3513" t="s">
        <v>40</v>
      </c>
      <c r="D3513">
        <v>4.8904329999999998</v>
      </c>
      <c r="E3513">
        <v>0.53250719999999996</v>
      </c>
      <c r="F3513" t="s">
        <v>81</v>
      </c>
      <c r="G3513">
        <v>-168.41159999999999</v>
      </c>
      <c r="H3513">
        <v>1.2123549999999901</v>
      </c>
      <c r="I3513">
        <v>204.29990000000001</v>
      </c>
      <c r="J3513">
        <v>-245.22049999999999</v>
      </c>
      <c r="K3513">
        <v>1.1099760000000001</v>
      </c>
      <c r="L3513">
        <v>214.273</v>
      </c>
      <c r="M3513">
        <v>0.99988089999999996</v>
      </c>
      <c r="N3513">
        <v>0</v>
      </c>
      <c r="O3513">
        <v>-5.9032340000000003E-3</v>
      </c>
      <c r="P3513">
        <v>0.9948323</v>
      </c>
      <c r="Q3513">
        <v>-3.8411519999999998E-2</v>
      </c>
      <c r="R3513">
        <v>-9.3987119999999993E-2</v>
      </c>
      <c r="S3513">
        <v>2.9793400000000001</v>
      </c>
      <c r="T3513">
        <v>3.9566760000000001E-3</v>
      </c>
      <c r="U3513">
        <v>-0.385376</v>
      </c>
      <c r="V3513">
        <v>8.8107859999999996E-2</v>
      </c>
      <c r="W3513">
        <v>-2.4218429999999999E-2</v>
      </c>
      <c r="X3513">
        <v>0.99581649999999999</v>
      </c>
      <c r="Y3513">
        <v>0.1224234</v>
      </c>
      <c r="Z3513" s="1">
        <v>7.3146959999999993E-5</v>
      </c>
      <c r="AA3513">
        <v>0.99247799999999997</v>
      </c>
      <c r="AB3513">
        <v>30</v>
      </c>
      <c r="AC3513">
        <v>76.808899999999994</v>
      </c>
      <c r="AD3513">
        <v>0.102378999999999</v>
      </c>
      <c r="AE3513">
        <v>-9.9730999999999792</v>
      </c>
      <c r="AF3513">
        <v>9.5194425430225298</v>
      </c>
      <c r="AG3513">
        <v>0.102378999999999</v>
      </c>
      <c r="AH3513">
        <v>76.866306621469406</v>
      </c>
      <c r="AI3513">
        <v>89.924265796478295</v>
      </c>
      <c r="AJ3513">
        <v>82.940199276266199</v>
      </c>
      <c r="AK3513">
        <v>77.453594890200506</v>
      </c>
      <c r="AL3513">
        <v>91.387749487842797</v>
      </c>
      <c r="AM3513">
        <v>84.943750189754795</v>
      </c>
      <c r="AN3513">
        <v>1.0000000145088399</v>
      </c>
    </row>
    <row r="3514" spans="1:40" x14ac:dyDescent="0.25">
      <c r="A3514" t="str">
        <f>"20190312161341536"</f>
        <v>20190312161341536</v>
      </c>
      <c r="B3514" t="str">
        <f>"1552378421529155"</f>
        <v>1552378421529155</v>
      </c>
      <c r="C3514" t="s">
        <v>40</v>
      </c>
      <c r="D3514">
        <v>5.2081150000000003</v>
      </c>
      <c r="E3514">
        <v>0.53264690000000003</v>
      </c>
      <c r="F3514" t="s">
        <v>43</v>
      </c>
      <c r="G3514">
        <v>-244.3304</v>
      </c>
      <c r="H3514">
        <v>0.97302460000000002</v>
      </c>
      <c r="I3514">
        <v>214.11359999999999</v>
      </c>
      <c r="J3514">
        <v>-244.91399999999999</v>
      </c>
      <c r="K3514">
        <v>1.109974</v>
      </c>
      <c r="L3514">
        <v>214.27109999999999</v>
      </c>
      <c r="M3514">
        <v>0.99988049999999995</v>
      </c>
      <c r="N3514">
        <v>0</v>
      </c>
      <c r="O3514">
        <v>-5.96877E-3</v>
      </c>
      <c r="P3514">
        <v>0.99477599999999999</v>
      </c>
      <c r="Q3514">
        <v>-3.8490440000000001E-2</v>
      </c>
      <c r="R3514">
        <v>-9.4550110000000007E-2</v>
      </c>
      <c r="S3514">
        <v>2.9481959999999998</v>
      </c>
      <c r="T3514">
        <v>-0.45364559999999998</v>
      </c>
      <c r="U3514">
        <v>-0.52761840000000004</v>
      </c>
      <c r="V3514">
        <v>8.8605989999999996E-2</v>
      </c>
      <c r="W3514">
        <v>-2.430129E-2</v>
      </c>
      <c r="X3514">
        <v>0.9957703</v>
      </c>
      <c r="Y3514">
        <v>0.16843259999999999</v>
      </c>
      <c r="Z3514">
        <v>-1.187699E-2</v>
      </c>
      <c r="AA3514">
        <v>0.98564160000000001</v>
      </c>
      <c r="AB3514">
        <v>30</v>
      </c>
      <c r="AC3514">
        <v>0.58360000000001799</v>
      </c>
      <c r="AD3514">
        <v>-0.1369494</v>
      </c>
      <c r="AE3514">
        <v>-0.157499999999998</v>
      </c>
      <c r="AF3514">
        <v>0.14649415993341899</v>
      </c>
      <c r="AG3514">
        <v>-0.1369494</v>
      </c>
      <c r="AH3514">
        <v>0.55599163803934204</v>
      </c>
      <c r="AI3514">
        <v>103.397444489747</v>
      </c>
      <c r="AJ3514">
        <v>75.239035631356899</v>
      </c>
      <c r="AK3514">
        <v>0.59105192548931695</v>
      </c>
      <c r="AL3514">
        <v>91.392498389015302</v>
      </c>
      <c r="AM3514">
        <v>84.915078741864605</v>
      </c>
      <c r="AN3514">
        <v>1.00000003226081</v>
      </c>
    </row>
    <row r="3515" spans="1:40" x14ac:dyDescent="0.25">
      <c r="A3515" t="str">
        <f>"20190312161341558"</f>
        <v>20190312161341558</v>
      </c>
      <c r="B3515" t="str">
        <f>"1552378421549649"</f>
        <v>1552378421549649</v>
      </c>
      <c r="C3515" t="s">
        <v>40</v>
      </c>
      <c r="D3515">
        <v>5.1023360000000002</v>
      </c>
      <c r="E3515">
        <v>0.53295769999999998</v>
      </c>
      <c r="F3515" t="s">
        <v>43</v>
      </c>
      <c r="G3515">
        <v>-244.06489999999999</v>
      </c>
      <c r="H3515">
        <v>0.96678960000000003</v>
      </c>
      <c r="I3515">
        <v>214.11869999999999</v>
      </c>
      <c r="J3515">
        <v>-244.6199</v>
      </c>
      <c r="K3515">
        <v>1.109979</v>
      </c>
      <c r="L3515">
        <v>214.26929999999999</v>
      </c>
      <c r="M3515">
        <v>0.9998802</v>
      </c>
      <c r="N3515">
        <v>0</v>
      </c>
      <c r="O3515">
        <v>-6.0316859999999996E-3</v>
      </c>
      <c r="P3515">
        <v>0.99474819999999997</v>
      </c>
      <c r="Q3515">
        <v>-3.8555079999999999E-2</v>
      </c>
      <c r="R3515">
        <v>-9.4814549999999997E-2</v>
      </c>
      <c r="S3515">
        <v>2.9462739999999998</v>
      </c>
      <c r="T3515">
        <v>-0.49686809999999998</v>
      </c>
      <c r="U3515">
        <v>-0.52867129999999996</v>
      </c>
      <c r="V3515">
        <v>8.8807960000000005E-2</v>
      </c>
      <c r="W3515">
        <v>-2.4369269999999998E-2</v>
      </c>
      <c r="X3515">
        <v>0.99575060000000004</v>
      </c>
      <c r="Y3515">
        <v>0.16845399999999999</v>
      </c>
      <c r="Z3515">
        <v>-1.2993050000000001E-2</v>
      </c>
      <c r="AA3515">
        <v>0.9856239</v>
      </c>
      <c r="AB3515">
        <v>30</v>
      </c>
      <c r="AC3515">
        <v>0.55500000000000604</v>
      </c>
      <c r="AD3515">
        <v>-0.14318939999999999</v>
      </c>
      <c r="AE3515">
        <v>-0.15059999999999699</v>
      </c>
      <c r="AF3515">
        <v>0.13865306534743199</v>
      </c>
      <c r="AG3515">
        <v>-0.14318939999999999</v>
      </c>
      <c r="AH3515">
        <v>0.52344557634979705</v>
      </c>
      <c r="AI3515">
        <v>104.811817689652</v>
      </c>
      <c r="AJ3515">
        <v>75.163910975143594</v>
      </c>
      <c r="AK3515">
        <v>0.56010994296010397</v>
      </c>
      <c r="AL3515">
        <v>91.3963945740811</v>
      </c>
      <c r="AM3515">
        <v>84.903448760303903</v>
      </c>
      <c r="AN3515">
        <v>0.99999998624002695</v>
      </c>
    </row>
    <row r="3516" spans="1:40" x14ac:dyDescent="0.25">
      <c r="A3516" t="str">
        <f>"20190312161341581"</f>
        <v>20190312161341581</v>
      </c>
      <c r="B3516" t="str">
        <f>"1552378421569169"</f>
        <v>1552378421569169</v>
      </c>
      <c r="C3516" t="s">
        <v>40</v>
      </c>
      <c r="D3516">
        <v>4.8941169999999996</v>
      </c>
      <c r="E3516">
        <v>0.53435069999999996</v>
      </c>
      <c r="F3516" t="s">
        <v>43</v>
      </c>
      <c r="G3516">
        <v>-243.79660000000001</v>
      </c>
      <c r="H3516">
        <v>0.96674130000000003</v>
      </c>
      <c r="I3516">
        <v>214.1208</v>
      </c>
      <c r="J3516">
        <v>-244.31200000000001</v>
      </c>
      <c r="K3516">
        <v>1.10998</v>
      </c>
      <c r="L3516">
        <v>214.26730000000001</v>
      </c>
      <c r="M3516">
        <v>0.99987969999999904</v>
      </c>
      <c r="N3516">
        <v>0</v>
      </c>
      <c r="O3516">
        <v>-6.0975789999999997E-3</v>
      </c>
      <c r="P3516">
        <v>0.99472229999999995</v>
      </c>
      <c r="Q3516">
        <v>-3.8427540000000003E-2</v>
      </c>
      <c r="R3516">
        <v>-9.5136299999999993E-2</v>
      </c>
      <c r="S3516">
        <v>2.9453580000000001</v>
      </c>
      <c r="T3516">
        <v>-0.51246769999999997</v>
      </c>
      <c r="U3516">
        <v>-0.53108219999999995</v>
      </c>
      <c r="V3516">
        <v>8.9064399999999905E-2</v>
      </c>
      <c r="W3516">
        <v>-2.424519E-2</v>
      </c>
      <c r="X3516">
        <v>0.99573080000000003</v>
      </c>
      <c r="Y3516">
        <v>0.169074</v>
      </c>
      <c r="Z3516">
        <v>-1.344009E-2</v>
      </c>
      <c r="AA3516">
        <v>0.98551169999999999</v>
      </c>
      <c r="AB3516">
        <v>30</v>
      </c>
      <c r="AC3516">
        <v>0.51539999999999897</v>
      </c>
      <c r="AD3516">
        <v>-0.143238699999999</v>
      </c>
      <c r="AE3516">
        <v>-0.14650000000000299</v>
      </c>
      <c r="AF3516">
        <v>0.13379286601745499</v>
      </c>
      <c r="AG3516">
        <v>-0.143238699999999</v>
      </c>
      <c r="AH3516">
        <v>0.48184886649374697</v>
      </c>
      <c r="AI3516">
        <v>105.98341915173</v>
      </c>
      <c r="AJ3516">
        <v>74.481854822039793</v>
      </c>
      <c r="AK3516">
        <v>0.52018860648438203</v>
      </c>
      <c r="AL3516">
        <v>91.389283108165102</v>
      </c>
      <c r="AM3516">
        <v>84.888708809487596</v>
      </c>
      <c r="AN3516">
        <v>1.0000000613270601</v>
      </c>
    </row>
    <row r="3517" spans="1:40" x14ac:dyDescent="0.25">
      <c r="A3517" t="str">
        <f>"20190312161341604"</f>
        <v>20190312161341604</v>
      </c>
      <c r="B3517" t="str">
        <f>"1552378421599425"</f>
        <v>1552378421599425</v>
      </c>
      <c r="C3517" t="s">
        <v>40</v>
      </c>
      <c r="D3517">
        <v>4.9214510000000002</v>
      </c>
      <c r="E3517">
        <v>0.53547109999999998</v>
      </c>
      <c r="F3517" t="s">
        <v>43</v>
      </c>
      <c r="G3517">
        <v>-243.52690000000001</v>
      </c>
      <c r="H3517">
        <v>0.97049980000000002</v>
      </c>
      <c r="I3517">
        <v>214.12260000000001</v>
      </c>
      <c r="J3517">
        <v>-244.01140000000001</v>
      </c>
      <c r="K3517">
        <v>1.1099779999999999</v>
      </c>
      <c r="L3517">
        <v>214.2654</v>
      </c>
      <c r="M3517">
        <v>0.99987930000000003</v>
      </c>
      <c r="N3517">
        <v>0</v>
      </c>
      <c r="O3517">
        <v>-6.1620429999999999E-3</v>
      </c>
      <c r="P3517">
        <v>0.99471589999999999</v>
      </c>
      <c r="Q3517">
        <v>-3.8012520000000001E-2</v>
      </c>
      <c r="R3517">
        <v>-9.5369229999999999E-2</v>
      </c>
      <c r="S3517">
        <v>2.9438019999999998</v>
      </c>
      <c r="T3517">
        <v>-0.52295449999999999</v>
      </c>
      <c r="U3517">
        <v>-0.54261780000000004</v>
      </c>
      <c r="V3517">
        <v>8.9233259999999995E-2</v>
      </c>
      <c r="W3517">
        <v>-2.3833259999999998E-2</v>
      </c>
      <c r="X3517">
        <v>0.99572559999999999</v>
      </c>
      <c r="Y3517">
        <v>0.17268639999999999</v>
      </c>
      <c r="Z3517">
        <v>-1.401788E-2</v>
      </c>
      <c r="AA3517">
        <v>0.98487709999999995</v>
      </c>
      <c r="AB3517">
        <v>30</v>
      </c>
      <c r="AC3517">
        <v>0.48449999999999699</v>
      </c>
      <c r="AD3517">
        <v>-0.1394782</v>
      </c>
      <c r="AE3517">
        <v>-0.14279999999999399</v>
      </c>
      <c r="AF3517">
        <v>0.129905968313929</v>
      </c>
      <c r="AG3517">
        <v>-0.1394782</v>
      </c>
      <c r="AH3517">
        <v>0.45098277959308603</v>
      </c>
      <c r="AI3517">
        <v>106.551542054444</v>
      </c>
      <c r="AJ3517">
        <v>73.930909707977193</v>
      </c>
      <c r="AK3517">
        <v>0.48960718578093398</v>
      </c>
      <c r="AL3517">
        <v>91.365674472789195</v>
      </c>
      <c r="AM3517">
        <v>84.879043027615197</v>
      </c>
      <c r="AN3517">
        <v>1.0000000347339</v>
      </c>
    </row>
    <row r="3518" spans="1:40" x14ac:dyDescent="0.25">
      <c r="A3518" t="str">
        <f>"20190312161341626"</f>
        <v>20190312161341626</v>
      </c>
      <c r="B3518" t="str">
        <f>"1552378421619921"</f>
        <v>1552378421619921</v>
      </c>
      <c r="C3518" t="s">
        <v>40</v>
      </c>
      <c r="D3518">
        <v>5.0330180000000002</v>
      </c>
      <c r="E3518">
        <v>0.53587289999999999</v>
      </c>
      <c r="F3518" t="s">
        <v>43</v>
      </c>
      <c r="G3518">
        <v>-243.25829999999999</v>
      </c>
      <c r="H3518">
        <v>0.97250440000000005</v>
      </c>
      <c r="I3518">
        <v>214.124</v>
      </c>
      <c r="J3518">
        <v>-243.70910000000001</v>
      </c>
      <c r="K3518">
        <v>1.1099829999999999</v>
      </c>
      <c r="L3518">
        <v>214.26349999999999</v>
      </c>
      <c r="M3518">
        <v>0.99987910000000002</v>
      </c>
      <c r="N3518">
        <v>0</v>
      </c>
      <c r="O3518">
        <v>-6.2268649999999998E-3</v>
      </c>
      <c r="P3518">
        <v>0.99467360000000005</v>
      </c>
      <c r="Q3518">
        <v>-3.7972840000000001E-2</v>
      </c>
      <c r="R3518">
        <v>-9.5827040000000002E-2</v>
      </c>
      <c r="S3518">
        <v>2.94252</v>
      </c>
      <c r="T3518">
        <v>-0.53716439999999999</v>
      </c>
      <c r="U3518">
        <v>-0.55168149999999905</v>
      </c>
      <c r="V3518">
        <v>8.9626579999999997E-2</v>
      </c>
      <c r="W3518">
        <v>-2.3797189999999999E-2</v>
      </c>
      <c r="X3518">
        <v>0.99569110000000005</v>
      </c>
      <c r="Y3518">
        <v>0.1754493</v>
      </c>
      <c r="Z3518">
        <v>-1.463135E-2</v>
      </c>
      <c r="AA3518">
        <v>0.98437969999999997</v>
      </c>
      <c r="AB3518">
        <v>30</v>
      </c>
      <c r="AC3518">
        <v>0.45080000000001502</v>
      </c>
      <c r="AD3518">
        <v>-0.13747860000000001</v>
      </c>
      <c r="AE3518">
        <v>-0.13949999999996901</v>
      </c>
      <c r="AF3518">
        <v>0.125995857021104</v>
      </c>
      <c r="AG3518">
        <v>-0.13747860000000001</v>
      </c>
      <c r="AH3518">
        <v>0.41632389620972998</v>
      </c>
      <c r="AI3518">
        <v>107.539827663362</v>
      </c>
      <c r="AJ3518">
        <v>73.162136670078894</v>
      </c>
      <c r="AK3518">
        <v>0.45618078433850401</v>
      </c>
      <c r="AL3518">
        <v>91.363607277389704</v>
      </c>
      <c r="AM3518">
        <v>84.856414555983804</v>
      </c>
      <c r="AN3518">
        <v>0.99999999835680098</v>
      </c>
    </row>
    <row r="3519" spans="1:40" x14ac:dyDescent="0.25">
      <c r="A3519" t="str">
        <f>"20190312161341648"</f>
        <v>20190312161341648</v>
      </c>
      <c r="B3519" t="str">
        <f>"1552378421639441"</f>
        <v>1552378421639441</v>
      </c>
      <c r="C3519" t="s">
        <v>40</v>
      </c>
      <c r="D3519">
        <v>4.9555850000000001</v>
      </c>
      <c r="E3519">
        <v>0.53619839999999996</v>
      </c>
      <c r="F3519" t="s">
        <v>43</v>
      </c>
      <c r="G3519">
        <v>-242.98869999999999</v>
      </c>
      <c r="H3519">
        <v>0.97736319999999999</v>
      </c>
      <c r="I3519">
        <v>214.12729999999999</v>
      </c>
      <c r="J3519">
        <v>-243.41980000000001</v>
      </c>
      <c r="K3519">
        <v>1.1099840000000001</v>
      </c>
      <c r="L3519">
        <v>214.26159999999999</v>
      </c>
      <c r="M3519">
        <v>0.99987870000000001</v>
      </c>
      <c r="N3519">
        <v>0</v>
      </c>
      <c r="O3519">
        <v>-6.2889469999999996E-3</v>
      </c>
      <c r="P3519">
        <v>0.99457709999999999</v>
      </c>
      <c r="Q3519">
        <v>-3.7671540000000003E-2</v>
      </c>
      <c r="R3519">
        <v>-9.6940470000000001E-2</v>
      </c>
      <c r="S3519">
        <v>2.9418950000000001</v>
      </c>
      <c r="T3519">
        <v>-0.54163050000000001</v>
      </c>
      <c r="U3519">
        <v>-0.5554962</v>
      </c>
      <c r="V3519">
        <v>9.0679090000000004E-2</v>
      </c>
      <c r="W3519">
        <v>-2.3500259999999999E-2</v>
      </c>
      <c r="X3519">
        <v>0.99560280000000001</v>
      </c>
      <c r="Y3519">
        <v>0.17659610000000001</v>
      </c>
      <c r="Z3519">
        <v>-1.4844929999999999E-2</v>
      </c>
      <c r="AA3519">
        <v>0.98417149999999998</v>
      </c>
      <c r="AB3519">
        <v>30</v>
      </c>
      <c r="AC3519">
        <v>0.43110000000001403</v>
      </c>
      <c r="AD3519">
        <v>-0.13262080000000001</v>
      </c>
      <c r="AE3519">
        <v>-0.13429999999999601</v>
      </c>
      <c r="AF3519">
        <v>0.12113596148588</v>
      </c>
      <c r="AG3519">
        <v>-0.13262080000000001</v>
      </c>
      <c r="AH3519">
        <v>0.39763379865613702</v>
      </c>
      <c r="AI3519">
        <v>107.69520342934101</v>
      </c>
      <c r="AJ3519">
        <v>73.0570613899135</v>
      </c>
      <c r="AK3519">
        <v>0.436319648413245</v>
      </c>
      <c r="AL3519">
        <v>91.346589750702705</v>
      </c>
      <c r="AM3519">
        <v>84.795882711247501</v>
      </c>
      <c r="AN3519">
        <v>0.99999994747556598</v>
      </c>
    </row>
    <row r="3520" spans="1:40" x14ac:dyDescent="0.25">
      <c r="A3520" t="str">
        <f>"20190312161341669"</f>
        <v>20190312161341669</v>
      </c>
      <c r="B3520" t="str">
        <f>"1552378421659937"</f>
        <v>1552378421659937</v>
      </c>
      <c r="C3520" t="s">
        <v>40</v>
      </c>
      <c r="D3520">
        <v>4.9740769999999896</v>
      </c>
      <c r="E3520">
        <v>0.53620419999999902</v>
      </c>
      <c r="F3520" t="s">
        <v>43</v>
      </c>
      <c r="G3520">
        <v>-242.72110000000001</v>
      </c>
      <c r="H3520">
        <v>0.97846509999999998</v>
      </c>
      <c r="I3520">
        <v>214.12819999999999</v>
      </c>
      <c r="J3520">
        <v>-243.1328</v>
      </c>
      <c r="K3520">
        <v>1.109985</v>
      </c>
      <c r="L3520">
        <v>214.25980000000001</v>
      </c>
      <c r="M3520">
        <v>0.9998783</v>
      </c>
      <c r="N3520">
        <v>0</v>
      </c>
      <c r="O3520">
        <v>-6.3506709999999996E-3</v>
      </c>
      <c r="P3520">
        <v>0.99448419999999904</v>
      </c>
      <c r="Q3520">
        <v>-3.7561780000000003E-2</v>
      </c>
      <c r="R3520">
        <v>-9.7932000000000005E-2</v>
      </c>
      <c r="S3520">
        <v>2.9407199999999998</v>
      </c>
      <c r="T3520">
        <v>-0.55361269999999996</v>
      </c>
      <c r="U3520">
        <v>-0.56092830000000005</v>
      </c>
      <c r="V3520">
        <v>9.1609570000000001E-2</v>
      </c>
      <c r="W3520">
        <v>-2.3394689999999999E-2</v>
      </c>
      <c r="X3520">
        <v>0.99552019999999997</v>
      </c>
      <c r="Y3520">
        <v>0.1782116</v>
      </c>
      <c r="Z3520">
        <v>-1.530921E-2</v>
      </c>
      <c r="AA3520">
        <v>0.98387309999999994</v>
      </c>
      <c r="AB3520">
        <v>30</v>
      </c>
      <c r="AC3520">
        <v>0.41169999999999601</v>
      </c>
      <c r="AD3520">
        <v>-0.1315199</v>
      </c>
      <c r="AE3520">
        <v>-0.13160000000002001</v>
      </c>
      <c r="AF3520">
        <v>0.118051928219346</v>
      </c>
      <c r="AG3520">
        <v>-0.1315199</v>
      </c>
      <c r="AH3520">
        <v>0.37756801819943497</v>
      </c>
      <c r="AI3520">
        <v>108.390037209936</v>
      </c>
      <c r="AJ3520">
        <v>72.637415053523497</v>
      </c>
      <c r="AK3520">
        <v>0.41688289748964902</v>
      </c>
      <c r="AL3520">
        <v>91.340539238441195</v>
      </c>
      <c r="AM3520">
        <v>84.742345967786306</v>
      </c>
      <c r="AN3520">
        <v>1.0000000467218999</v>
      </c>
    </row>
    <row r="3521" spans="1:40" x14ac:dyDescent="0.25">
      <c r="A3521" t="str">
        <f>"20190312161341692"</f>
        <v>20190312161341692</v>
      </c>
      <c r="B3521" t="str">
        <f>"1552378421679457"</f>
        <v>1552378421679457</v>
      </c>
      <c r="C3521" t="s">
        <v>40</v>
      </c>
      <c r="D3521">
        <v>5.0713269999999904</v>
      </c>
      <c r="E3521">
        <v>0.53643069999999904</v>
      </c>
      <c r="F3521" t="s">
        <v>43</v>
      </c>
      <c r="G3521">
        <v>-242.2079</v>
      </c>
      <c r="H3521">
        <v>0.93302479999999999</v>
      </c>
      <c r="I3521">
        <v>214.0821</v>
      </c>
      <c r="J3521">
        <v>-242.83269999999999</v>
      </c>
      <c r="K3521">
        <v>1.1099779999999999</v>
      </c>
      <c r="L3521">
        <v>214.2578</v>
      </c>
      <c r="M3521">
        <v>0.99987809999999999</v>
      </c>
      <c r="N3521">
        <v>0</v>
      </c>
      <c r="O3521">
        <v>-6.4150159999999999E-3</v>
      </c>
      <c r="P3521">
        <v>0.9944094</v>
      </c>
      <c r="Q3521">
        <v>-3.8224069999999999E-2</v>
      </c>
      <c r="R3521">
        <v>-9.8431889999999994E-2</v>
      </c>
      <c r="S3521">
        <v>2.9398960000000001</v>
      </c>
      <c r="T3521">
        <v>-0.5625443</v>
      </c>
      <c r="U3521">
        <v>-0.56355290000000002</v>
      </c>
      <c r="V3521">
        <v>9.204611E-2</v>
      </c>
      <c r="W3521">
        <v>-2.4061019999999999E-2</v>
      </c>
      <c r="X3521">
        <v>0.99546400000000002</v>
      </c>
      <c r="Y3521">
        <v>0.17893979999999901</v>
      </c>
      <c r="Z3521">
        <v>-1.561124E-2</v>
      </c>
      <c r="AA3521">
        <v>0.98373619999999995</v>
      </c>
      <c r="AB3521">
        <v>30</v>
      </c>
      <c r="AC3521">
        <v>0.62479999999999303</v>
      </c>
      <c r="AD3521">
        <v>-0.1769532</v>
      </c>
      <c r="AE3521">
        <v>-0.17570000000000599</v>
      </c>
      <c r="AF3521">
        <v>0.15980881091365601</v>
      </c>
      <c r="AG3521">
        <v>-0.1769532</v>
      </c>
      <c r="AH3521">
        <v>0.58260742823908396</v>
      </c>
      <c r="AI3521">
        <v>106.325674473886</v>
      </c>
      <c r="AJ3521">
        <v>74.661079814578002</v>
      </c>
      <c r="AK3521">
        <v>0.62950989386604295</v>
      </c>
      <c r="AL3521">
        <v>91.378727954284997</v>
      </c>
      <c r="AM3521">
        <v>84.717136936128099</v>
      </c>
      <c r="AN3521">
        <v>0.99999999717278598</v>
      </c>
    </row>
    <row r="3522" spans="1:40" x14ac:dyDescent="0.25">
      <c r="A3522" t="str">
        <f>"20190312161341715"</f>
        <v>20190312161341715</v>
      </c>
      <c r="B3522" t="str">
        <f>"1552378421709717"</f>
        <v>1552378421709717</v>
      </c>
      <c r="C3522" t="s">
        <v>40</v>
      </c>
      <c r="D3522">
        <v>5.3039430000000003</v>
      </c>
      <c r="E3522">
        <v>0.53633580000000003</v>
      </c>
      <c r="F3522" t="s">
        <v>43</v>
      </c>
      <c r="G3522">
        <v>-241.94139999999999</v>
      </c>
      <c r="H3522">
        <v>0.93460710000000002</v>
      </c>
      <c r="I3522">
        <v>214.08600000000001</v>
      </c>
      <c r="J3522">
        <v>-242.52760000000001</v>
      </c>
      <c r="K3522">
        <v>1.1099810000000001</v>
      </c>
      <c r="L3522">
        <v>214.25569999999999</v>
      </c>
      <c r="M3522">
        <v>0.99987769999999998</v>
      </c>
      <c r="N3522">
        <v>0</v>
      </c>
      <c r="O3522">
        <v>-6.4804329999999999E-3</v>
      </c>
      <c r="P3522">
        <v>0.99436009999999997</v>
      </c>
      <c r="Q3522">
        <v>-3.7959340000000001E-2</v>
      </c>
      <c r="R3522">
        <v>-9.9032300000000004E-2</v>
      </c>
      <c r="S3522">
        <v>2.9386290000000002</v>
      </c>
      <c r="T3522">
        <v>-0.57825389999999999</v>
      </c>
      <c r="U3522">
        <v>-0.56607059999999998</v>
      </c>
      <c r="V3522">
        <v>9.2581759999999999E-2</v>
      </c>
      <c r="W3522">
        <v>-2.3800080000000001E-2</v>
      </c>
      <c r="X3522">
        <v>0.99542059999999999</v>
      </c>
      <c r="Y3522">
        <v>0.17958450000000001</v>
      </c>
      <c r="Z3522">
        <v>-1.609437E-2</v>
      </c>
      <c r="AA3522">
        <v>0.98361089999999995</v>
      </c>
      <c r="AB3522">
        <v>30</v>
      </c>
      <c r="AC3522">
        <v>0.58620000000001904</v>
      </c>
      <c r="AD3522">
        <v>-0.175373899999999</v>
      </c>
      <c r="AE3522">
        <v>-0.16970000000000501</v>
      </c>
      <c r="AF3522">
        <v>0.153242133285904</v>
      </c>
      <c r="AG3522">
        <v>-0.175373899999999</v>
      </c>
      <c r="AH3522">
        <v>0.54248765099504603</v>
      </c>
      <c r="AI3522">
        <v>107.281082580934</v>
      </c>
      <c r="AJ3522">
        <v>74.2260535951593</v>
      </c>
      <c r="AK3522">
        <v>0.59036599469934503</v>
      </c>
      <c r="AL3522">
        <v>91.363772908910903</v>
      </c>
      <c r="AM3522">
        <v>84.686339139469197</v>
      </c>
      <c r="AN3522">
        <v>0.99999999849853105</v>
      </c>
    </row>
    <row r="3523" spans="1:40" x14ac:dyDescent="0.25">
      <c r="A3523" t="str">
        <f>"20190312161341738"</f>
        <v>20190312161341738</v>
      </c>
      <c r="B3523" t="str">
        <f>"1552378421729234"</f>
        <v>1552378421729234</v>
      </c>
      <c r="C3523" t="s">
        <v>40</v>
      </c>
      <c r="D3523">
        <v>5.3467989999999999</v>
      </c>
      <c r="E3523">
        <v>0.53601619999999905</v>
      </c>
      <c r="F3523" t="s">
        <v>43</v>
      </c>
      <c r="G3523">
        <v>-241.67320000000001</v>
      </c>
      <c r="H3523">
        <v>0.94060779999999999</v>
      </c>
      <c r="I3523">
        <v>214.0907</v>
      </c>
      <c r="J3523">
        <v>-242.2242</v>
      </c>
      <c r="K3523">
        <v>1.1099829999999999</v>
      </c>
      <c r="L3523">
        <v>214.25370000000001</v>
      </c>
      <c r="M3523">
        <v>0.99987729999999997</v>
      </c>
      <c r="N3523">
        <v>0</v>
      </c>
      <c r="O3523">
        <v>-6.5453739999999996E-3</v>
      </c>
      <c r="P3523">
        <v>0.9943727</v>
      </c>
      <c r="Q3523">
        <v>-3.7209579999999999E-2</v>
      </c>
      <c r="R3523">
        <v>-9.9190399999999998E-2</v>
      </c>
      <c r="S3523">
        <v>2.9383240000000002</v>
      </c>
      <c r="T3523">
        <v>-0.58261470000000004</v>
      </c>
      <c r="U3523">
        <v>-0.56663509999999995</v>
      </c>
      <c r="V3523">
        <v>9.2675060000000004E-2</v>
      </c>
      <c r="W3523">
        <v>-2.3053290000000001E-2</v>
      </c>
      <c r="X3523">
        <v>0.99542949999999997</v>
      </c>
      <c r="Y3523">
        <v>0.1796729</v>
      </c>
      <c r="Z3523">
        <v>-1.6210800000000001E-2</v>
      </c>
      <c r="AA3523">
        <v>0.98359289999999999</v>
      </c>
      <c r="AB3523">
        <v>30</v>
      </c>
      <c r="AC3523">
        <v>0.55099999999998694</v>
      </c>
      <c r="AD3523">
        <v>-0.169375199999999</v>
      </c>
      <c r="AE3523">
        <v>-0.16300000000001</v>
      </c>
      <c r="AF3523">
        <v>0.14664765440213301</v>
      </c>
      <c r="AG3523">
        <v>-0.169375199999999</v>
      </c>
      <c r="AH3523">
        <v>0.50792259347735402</v>
      </c>
      <c r="AI3523">
        <v>107.76444211232899</v>
      </c>
      <c r="AJ3523">
        <v>73.895488091908604</v>
      </c>
      <c r="AK3523">
        <v>0.55513858979668196</v>
      </c>
      <c r="AL3523">
        <v>91.320973237772293</v>
      </c>
      <c r="AM3523">
        <v>84.681062237025401</v>
      </c>
      <c r="AN3523">
        <v>1.00000000519803</v>
      </c>
    </row>
    <row r="3524" spans="1:40" x14ac:dyDescent="0.25">
      <c r="A3524" t="str">
        <f>"20190312161341758"</f>
        <v>20190312161341758</v>
      </c>
      <c r="B3524" t="str">
        <f>"1552378421749730"</f>
        <v>1552378421749730</v>
      </c>
      <c r="C3524" t="s">
        <v>40</v>
      </c>
      <c r="D3524">
        <v>5.1606269999999999</v>
      </c>
      <c r="E3524">
        <v>0.5358406</v>
      </c>
      <c r="F3524" t="s">
        <v>43</v>
      </c>
      <c r="G3524">
        <v>-241.40459999999999</v>
      </c>
      <c r="H3524">
        <v>0.94771349999999999</v>
      </c>
      <c r="I3524">
        <v>214.09610000000001</v>
      </c>
      <c r="J3524">
        <v>-241.94579999999999</v>
      </c>
      <c r="K3524">
        <v>1.109982</v>
      </c>
      <c r="L3524">
        <v>214.2518</v>
      </c>
      <c r="M3524">
        <v>0.99987700000000002</v>
      </c>
      <c r="N3524">
        <v>0</v>
      </c>
      <c r="O3524">
        <v>-6.6053120000000003E-3</v>
      </c>
      <c r="P3524">
        <v>0.99436519999999995</v>
      </c>
      <c r="Q3524">
        <v>-3.7127390000000003E-2</v>
      </c>
      <c r="R3524">
        <v>-9.9295270000000005E-2</v>
      </c>
      <c r="S3524">
        <v>2.9388890000000001</v>
      </c>
      <c r="T3524">
        <v>-0.58189959999999996</v>
      </c>
      <c r="U3524">
        <v>-0.5645599</v>
      </c>
      <c r="V3524">
        <v>9.2720520000000001E-2</v>
      </c>
      <c r="W3524">
        <v>-2.2974069999999999E-2</v>
      </c>
      <c r="X3524">
        <v>0.99542710000000001</v>
      </c>
      <c r="Y3524">
        <v>0.1789326</v>
      </c>
      <c r="Z3524">
        <v>-1.6105729999999999E-2</v>
      </c>
      <c r="AA3524">
        <v>0.98372950000000003</v>
      </c>
      <c r="AB3524">
        <v>30</v>
      </c>
      <c r="AC3524">
        <v>0.54120000000000301</v>
      </c>
      <c r="AD3524">
        <v>-0.16226850000000001</v>
      </c>
      <c r="AE3524">
        <v>-0.15569999999999501</v>
      </c>
      <c r="AF3524">
        <v>0.14045955934363799</v>
      </c>
      <c r="AG3524">
        <v>-0.16226850000000001</v>
      </c>
      <c r="AH3524">
        <v>0.500649491976352</v>
      </c>
      <c r="AI3524">
        <v>107.331422100026</v>
      </c>
      <c r="AJ3524">
        <v>74.328287300249102</v>
      </c>
      <c r="AK3524">
        <v>0.54471081109102104</v>
      </c>
      <c r="AL3524">
        <v>91.316433061215406</v>
      </c>
      <c r="AM3524">
        <v>84.678455351123205</v>
      </c>
      <c r="AN3524">
        <v>1.00000000706792</v>
      </c>
    </row>
    <row r="3525" spans="1:40" x14ac:dyDescent="0.25">
      <c r="A3525" t="str">
        <f>"20190312161341782"</f>
        <v>20190312161341782</v>
      </c>
      <c r="B3525" t="str">
        <f>"1552378421779985"</f>
        <v>1552378421779985</v>
      </c>
      <c r="C3525" t="s">
        <v>40</v>
      </c>
      <c r="D3525">
        <v>5.3376669999999997</v>
      </c>
      <c r="E3525">
        <v>0.51616329999999999</v>
      </c>
      <c r="F3525" t="s">
        <v>43</v>
      </c>
      <c r="G3525">
        <v>-241.13829999999999</v>
      </c>
      <c r="H3525">
        <v>0.95030239999999999</v>
      </c>
      <c r="I3525">
        <v>214.0967</v>
      </c>
      <c r="J3525">
        <v>-241.63220000000001</v>
      </c>
      <c r="K3525">
        <v>1.109982</v>
      </c>
      <c r="L3525">
        <v>214.24959999999999</v>
      </c>
      <c r="M3525">
        <v>0.9998766</v>
      </c>
      <c r="N3525">
        <v>0</v>
      </c>
      <c r="O3525">
        <v>-6.6724009999999997E-3</v>
      </c>
      <c r="P3525">
        <v>0.99433939999999998</v>
      </c>
      <c r="Q3525">
        <v>-3.7704969999999997E-2</v>
      </c>
      <c r="R3525">
        <v>-9.9337149999999999E-2</v>
      </c>
      <c r="S3525">
        <v>2.9390260000000001</v>
      </c>
      <c r="T3525">
        <v>-0.58126619999999996</v>
      </c>
      <c r="U3525">
        <v>-0.56346130000000005</v>
      </c>
      <c r="V3525">
        <v>9.2695520000000003E-2</v>
      </c>
      <c r="W3525">
        <v>-2.355515E-2</v>
      </c>
      <c r="X3525">
        <v>0.99541590000000002</v>
      </c>
      <c r="Y3525">
        <v>0.17851939999999999</v>
      </c>
      <c r="Z3525">
        <v>-1.6035199999999999E-2</v>
      </c>
      <c r="AA3525">
        <v>0.98380570000000001</v>
      </c>
      <c r="AB3525">
        <v>30</v>
      </c>
      <c r="AC3525">
        <v>0.49390000000002399</v>
      </c>
      <c r="AD3525">
        <v>-0.1596796</v>
      </c>
      <c r="AE3525">
        <v>-0.15289999999998799</v>
      </c>
      <c r="AF3525">
        <v>0.136573834675254</v>
      </c>
      <c r="AG3525">
        <v>-0.1596796</v>
      </c>
      <c r="AH3525">
        <v>0.45181362452860202</v>
      </c>
      <c r="AI3525">
        <v>108.69074134762801</v>
      </c>
      <c r="AJ3525">
        <v>73.181028102719495</v>
      </c>
      <c r="AK3525">
        <v>0.49828258878244602</v>
      </c>
      <c r="AL3525">
        <v>91.349735436131098</v>
      </c>
      <c r="AM3525">
        <v>84.679822435424796</v>
      </c>
      <c r="AN3525">
        <v>1.00000005924619</v>
      </c>
    </row>
    <row r="3526" spans="1:40" x14ac:dyDescent="0.25">
      <c r="A3526" t="str">
        <f>"20190312161341870"</f>
        <v>20190312161341870</v>
      </c>
      <c r="B3526" t="str">
        <f>"1552378421859653"</f>
        <v>1552378421859653</v>
      </c>
      <c r="C3526" t="s">
        <v>40</v>
      </c>
      <c r="D3526">
        <v>5.1253339999999996</v>
      </c>
      <c r="E3526">
        <v>0.50643559999999999</v>
      </c>
      <c r="F3526" t="s">
        <v>43</v>
      </c>
      <c r="G3526">
        <v>-239.80289999999999</v>
      </c>
      <c r="H3526">
        <v>0.98208240000000002</v>
      </c>
      <c r="I3526">
        <v>214.1523</v>
      </c>
      <c r="J3526">
        <v>-240.4676</v>
      </c>
      <c r="K3526">
        <v>1.110001</v>
      </c>
      <c r="L3526">
        <v>214.2415</v>
      </c>
      <c r="M3526">
        <v>0.99987499999999996</v>
      </c>
      <c r="N3526">
        <v>0</v>
      </c>
      <c r="O3526">
        <v>-6.9222759999999998E-3</v>
      </c>
      <c r="P3526">
        <v>0.99393489999999995</v>
      </c>
      <c r="Q3526">
        <v>-3.7567530000000002E-2</v>
      </c>
      <c r="R3526">
        <v>-0.1033559</v>
      </c>
      <c r="S3526">
        <v>2.9736630000000002</v>
      </c>
      <c r="T3526">
        <v>-0.39995340000000001</v>
      </c>
      <c r="U3526">
        <v>-0.28477479999999999</v>
      </c>
      <c r="V3526">
        <v>9.6468239999999997E-2</v>
      </c>
      <c r="W3526">
        <v>-2.3435370000000001E-2</v>
      </c>
      <c r="X3526">
        <v>0.9950601</v>
      </c>
      <c r="Y3526">
        <v>8.7714990000000007E-2</v>
      </c>
      <c r="Z3526">
        <v>-4.9343199999999999E-3</v>
      </c>
      <c r="AA3526">
        <v>0.99613339999999995</v>
      </c>
      <c r="AB3526">
        <v>30</v>
      </c>
      <c r="AC3526">
        <v>0.66470000000000995</v>
      </c>
      <c r="AD3526">
        <v>-0.12791859999999999</v>
      </c>
      <c r="AE3526">
        <v>-8.9200000000005206E-2</v>
      </c>
      <c r="AF3526">
        <v>8.1626572723841301E-2</v>
      </c>
      <c r="AG3526">
        <v>-0.12791859999999999</v>
      </c>
      <c r="AH3526">
        <v>0.64194744881323096</v>
      </c>
      <c r="AI3526">
        <v>101.18177756191299</v>
      </c>
      <c r="AJ3526">
        <v>82.753465649137993</v>
      </c>
      <c r="AK3526">
        <v>0.65963822860596499</v>
      </c>
      <c r="AL3526">
        <v>91.3428707725556</v>
      </c>
      <c r="AM3526">
        <v>84.462642326093302</v>
      </c>
      <c r="AN3526">
        <v>0.999999970253871</v>
      </c>
    </row>
    <row r="3527" spans="1:40" x14ac:dyDescent="0.25">
      <c r="A3527" t="str">
        <f>"20190312161341893"</f>
        <v>20190312161341893</v>
      </c>
      <c r="B3527" t="str">
        <f>"1552378421889909"</f>
        <v>1552378421889909</v>
      </c>
      <c r="C3527" t="s">
        <v>40</v>
      </c>
      <c r="D3527">
        <v>5.0676620000000003</v>
      </c>
      <c r="E3527">
        <v>0.50365090000000001</v>
      </c>
      <c r="F3527" t="s">
        <v>81</v>
      </c>
      <c r="G3527">
        <v>-168.41210000000001</v>
      </c>
      <c r="H3527">
        <v>3.5907460000000002</v>
      </c>
      <c r="I3527">
        <v>205.29839999999999</v>
      </c>
      <c r="J3527">
        <v>-240.16890000000001</v>
      </c>
      <c r="K3527">
        <v>1.1100019999999999</v>
      </c>
      <c r="L3527">
        <v>214.23929999999999</v>
      </c>
      <c r="M3527">
        <v>0.99987459999999995</v>
      </c>
      <c r="N3527">
        <v>0</v>
      </c>
      <c r="O3527">
        <v>-6.986501E-3</v>
      </c>
      <c r="P3527">
        <v>0.99384470000000003</v>
      </c>
      <c r="Q3527">
        <v>-3.7287279999999999E-2</v>
      </c>
      <c r="R3527">
        <v>-0.1043212</v>
      </c>
      <c r="S3527">
        <v>2.9836879999999999</v>
      </c>
      <c r="T3527">
        <v>0.1027246</v>
      </c>
      <c r="U3527">
        <v>-0.37031560000000002</v>
      </c>
      <c r="V3527">
        <v>9.7370509999999993E-2</v>
      </c>
      <c r="W3527">
        <v>-2.3159849999999999E-2</v>
      </c>
      <c r="X3527">
        <v>0.99497869999999999</v>
      </c>
      <c r="Y3527">
        <v>0.1161676</v>
      </c>
      <c r="Z3527">
        <v>1.751982E-3</v>
      </c>
      <c r="AA3527">
        <v>0.99322809999999995</v>
      </c>
      <c r="AB3527">
        <v>29</v>
      </c>
      <c r="AC3527">
        <v>71.756799999999998</v>
      </c>
      <c r="AD3527">
        <v>2.4807440000000001</v>
      </c>
      <c r="AE3527">
        <v>-8.9408999999999992</v>
      </c>
      <c r="AF3527">
        <v>8.4293814443707191</v>
      </c>
      <c r="AG3527">
        <v>2.4807440000000001</v>
      </c>
      <c r="AH3527">
        <v>71.733096130765901</v>
      </c>
      <c r="AI3527">
        <v>88.032855278341003</v>
      </c>
      <c r="AJ3527">
        <v>83.297889053819901</v>
      </c>
      <c r="AK3527">
        <v>72.269257937479395</v>
      </c>
      <c r="AL3527">
        <v>91.327080307925002</v>
      </c>
      <c r="AM3527">
        <v>84.410723331591598</v>
      </c>
      <c r="AN3527">
        <v>1.0000000041616799</v>
      </c>
    </row>
    <row r="3528" spans="1:40" x14ac:dyDescent="0.25">
      <c r="A3528" t="str">
        <f>"20190312161341916"</f>
        <v>20190312161341916</v>
      </c>
      <c r="B3528" t="str">
        <f>"1552378421909429"</f>
        <v>1552378421909429</v>
      </c>
      <c r="C3528" t="s">
        <v>40</v>
      </c>
      <c r="D3528">
        <v>5.0777169999999998</v>
      </c>
      <c r="E3528">
        <v>0.50343209999999905</v>
      </c>
      <c r="F3528" t="s">
        <v>81</v>
      </c>
      <c r="G3528">
        <v>-168.41130000000001</v>
      </c>
      <c r="H3528">
        <v>1.977179</v>
      </c>
      <c r="I3528">
        <v>205.8612</v>
      </c>
      <c r="J3528">
        <v>-239.87010000000001</v>
      </c>
      <c r="K3528">
        <v>1.1100019999999999</v>
      </c>
      <c r="L3528">
        <v>214.2372</v>
      </c>
      <c r="M3528">
        <v>0.99987420000000005</v>
      </c>
      <c r="N3528">
        <v>0</v>
      </c>
      <c r="O3528">
        <v>-7.0502500000000001E-3</v>
      </c>
      <c r="P3528">
        <v>0.99372490000000002</v>
      </c>
      <c r="Q3528">
        <v>-3.7510960000000003E-2</v>
      </c>
      <c r="R3528">
        <v>-0.10537539999999999</v>
      </c>
      <c r="S3528">
        <v>2.9833829999999999</v>
      </c>
      <c r="T3528">
        <v>3.6055089999999998E-2</v>
      </c>
      <c r="U3528">
        <v>-0.34832760000000001</v>
      </c>
      <c r="V3528">
        <v>9.8362099999999994E-2</v>
      </c>
      <c r="W3528">
        <v>-2.3388639999999999E-2</v>
      </c>
      <c r="X3528">
        <v>0.99487579999999998</v>
      </c>
      <c r="Y3528">
        <v>0.1089546</v>
      </c>
      <c r="Z3528">
        <v>5.7120999999999995E-4</v>
      </c>
      <c r="AA3528">
        <v>0.9940466</v>
      </c>
      <c r="AB3528">
        <v>29</v>
      </c>
      <c r="AC3528">
        <v>71.458799999999997</v>
      </c>
      <c r="AD3528">
        <v>0.86717699999999998</v>
      </c>
      <c r="AE3528">
        <v>-8.3759999999999994</v>
      </c>
      <c r="AF3528">
        <v>7.8707951254379296</v>
      </c>
      <c r="AG3528">
        <v>0.86717699999999998</v>
      </c>
      <c r="AH3528">
        <v>71.505694831251205</v>
      </c>
      <c r="AI3528">
        <v>89.309357036142501</v>
      </c>
      <c r="AJ3528">
        <v>83.718609507006605</v>
      </c>
      <c r="AK3528">
        <v>71.942795366568603</v>
      </c>
      <c r="AL3528">
        <v>91.340192574369794</v>
      </c>
      <c r="AM3528">
        <v>84.353589659472405</v>
      </c>
      <c r="AN3528">
        <v>0.99999999431154896</v>
      </c>
    </row>
    <row r="3529" spans="1:40" x14ac:dyDescent="0.25">
      <c r="A3529" t="str">
        <f>"20190312161341934"</f>
        <v>20190312161341934</v>
      </c>
      <c r="B3529" t="str">
        <f>"1552378421929926"</f>
        <v>1552378421929926</v>
      </c>
      <c r="C3529" t="s">
        <v>40</v>
      </c>
      <c r="D3529">
        <v>5.0935309999999996</v>
      </c>
      <c r="E3529">
        <v>0.50342209999999998</v>
      </c>
      <c r="F3529" t="s">
        <v>81</v>
      </c>
      <c r="G3529">
        <v>-168.41120000000001</v>
      </c>
      <c r="H3529">
        <v>1.553677</v>
      </c>
      <c r="I3529">
        <v>205.87799999999999</v>
      </c>
      <c r="J3529">
        <v>-239.63130000000001</v>
      </c>
      <c r="K3529">
        <v>1.1100000000000001</v>
      </c>
      <c r="L3529">
        <v>214.2354</v>
      </c>
      <c r="M3529">
        <v>0.99987380000000003</v>
      </c>
      <c r="N3529">
        <v>0</v>
      </c>
      <c r="O3529">
        <v>-7.1017240000000002E-3</v>
      </c>
      <c r="P3529">
        <v>0.99367629999999996</v>
      </c>
      <c r="Q3529">
        <v>-3.7473050000000001E-2</v>
      </c>
      <c r="R3529">
        <v>-0.1058462</v>
      </c>
      <c r="S3529">
        <v>2.9826510000000002</v>
      </c>
      <c r="T3529">
        <v>1.8520120000000001E-2</v>
      </c>
      <c r="U3529">
        <v>-0.34890749999999998</v>
      </c>
      <c r="V3529">
        <v>9.8782019999999998E-2</v>
      </c>
      <c r="W3529">
        <v>-2.3354010000000001E-2</v>
      </c>
      <c r="X3529">
        <v>0.99483500000000002</v>
      </c>
      <c r="Y3529">
        <v>0.1091275</v>
      </c>
      <c r="Z3529">
        <v>2.9370140000000003E-4</v>
      </c>
      <c r="AA3529">
        <v>0.99402769999999996</v>
      </c>
      <c r="AB3529">
        <v>29</v>
      </c>
      <c r="AC3529">
        <v>71.220100000000002</v>
      </c>
      <c r="AD3529">
        <v>0.44367699999999899</v>
      </c>
      <c r="AE3529">
        <v>-8.3574000000000108</v>
      </c>
      <c r="AF3529">
        <v>7.85105208119806</v>
      </c>
      <c r="AG3529">
        <v>0.44367699999999899</v>
      </c>
      <c r="AH3529">
        <v>71.274933069302605</v>
      </c>
      <c r="AI3529">
        <v>89.645490145442807</v>
      </c>
      <c r="AJ3529">
        <v>83.714116149296601</v>
      </c>
      <c r="AK3529">
        <v>71.707405141279395</v>
      </c>
      <c r="AL3529">
        <v>91.338207888863593</v>
      </c>
      <c r="AM3529">
        <v>84.329410155780494</v>
      </c>
      <c r="AN3529">
        <v>0.99999998724168004</v>
      </c>
    </row>
    <row r="3530" spans="1:40" x14ac:dyDescent="0.25">
      <c r="A3530" t="str">
        <f>"20190312161341949"</f>
        <v>20190312161341949</v>
      </c>
      <c r="B3530" t="str">
        <f>"1552378421939686"</f>
        <v>1552378421939686</v>
      </c>
      <c r="C3530" t="s">
        <v>40</v>
      </c>
      <c r="D3530">
        <v>5.0601710000000004</v>
      </c>
      <c r="E3530">
        <v>0.50309229999999905</v>
      </c>
      <c r="F3530" t="s">
        <v>81</v>
      </c>
      <c r="G3530">
        <v>-168.41120000000001</v>
      </c>
      <c r="H3530">
        <v>1.51705</v>
      </c>
      <c r="I3530">
        <v>205.86770000000001</v>
      </c>
      <c r="J3530">
        <v>-239.4358</v>
      </c>
      <c r="K3530">
        <v>1.109999</v>
      </c>
      <c r="L3530">
        <v>214.23400000000001</v>
      </c>
      <c r="M3530">
        <v>0.99987349999999997</v>
      </c>
      <c r="N3530">
        <v>0</v>
      </c>
      <c r="O3530">
        <v>-7.1437840000000002E-3</v>
      </c>
      <c r="P3530">
        <v>0.9935948</v>
      </c>
      <c r="Q3530">
        <v>-3.7392839999999997E-2</v>
      </c>
      <c r="R3530">
        <v>-0.1066349</v>
      </c>
      <c r="S3530">
        <v>2.9823909999999998</v>
      </c>
      <c r="T3530">
        <v>1.7046929999999998E-2</v>
      </c>
      <c r="U3530">
        <v>-0.35040280000000001</v>
      </c>
      <c r="V3530">
        <v>9.9529629999999994E-2</v>
      </c>
      <c r="W3530">
        <v>-2.327707E-2</v>
      </c>
      <c r="X3530">
        <v>0.99476229999999999</v>
      </c>
      <c r="Y3530">
        <v>0.10958759999999999</v>
      </c>
      <c r="Z3530">
        <v>2.7142559999999999E-4</v>
      </c>
      <c r="AA3530">
        <v>0.99397709999999995</v>
      </c>
      <c r="AB3530">
        <v>29</v>
      </c>
      <c r="AC3530">
        <v>71.024599999999893</v>
      </c>
      <c r="AD3530">
        <v>0.407051</v>
      </c>
      <c r="AE3530">
        <v>-8.3662999999999901</v>
      </c>
      <c r="AF3530">
        <v>7.8583962476976099</v>
      </c>
      <c r="AG3530">
        <v>0.407051</v>
      </c>
      <c r="AH3530">
        <v>71.080257627090404</v>
      </c>
      <c r="AI3530">
        <v>89.673878281253096</v>
      </c>
      <c r="AJ3530">
        <v>83.691190161587699</v>
      </c>
      <c r="AK3530">
        <v>71.514495778380294</v>
      </c>
      <c r="AL3530">
        <v>91.333798333978194</v>
      </c>
      <c r="AM3530">
        <v>84.286361626963696</v>
      </c>
      <c r="AN3530">
        <v>1.0000000013685</v>
      </c>
    </row>
    <row r="3531" spans="1:40" x14ac:dyDescent="0.25">
      <c r="A3531" t="str">
        <f>"20190312161341971"</f>
        <v>20190312161341971</v>
      </c>
      <c r="B3531" t="str">
        <f>"1552378421959782"</f>
        <v>1552378421959782</v>
      </c>
      <c r="C3531" t="s">
        <v>40</v>
      </c>
      <c r="D3531">
        <v>5.0589820000000003</v>
      </c>
      <c r="E3531">
        <v>0.50255729999999998</v>
      </c>
      <c r="F3531" t="s">
        <v>81</v>
      </c>
      <c r="G3531">
        <v>-168.4111</v>
      </c>
      <c r="H3531">
        <v>1.334627</v>
      </c>
      <c r="I3531">
        <v>205.90459999999999</v>
      </c>
      <c r="J3531">
        <v>-239.1497</v>
      </c>
      <c r="K3531">
        <v>1.1099889999999999</v>
      </c>
      <c r="L3531">
        <v>214.2319</v>
      </c>
      <c r="M3531">
        <v>0.99987329999999996</v>
      </c>
      <c r="N3531">
        <v>0</v>
      </c>
      <c r="O3531">
        <v>-7.2053869999999997E-3</v>
      </c>
      <c r="P3531">
        <v>0.99349900000000002</v>
      </c>
      <c r="Q3531">
        <v>-3.7600620000000001E-2</v>
      </c>
      <c r="R3531">
        <v>-0.1074533</v>
      </c>
      <c r="S3531">
        <v>2.9821780000000002</v>
      </c>
      <c r="T3531">
        <v>9.4330309999999997E-3</v>
      </c>
      <c r="U3531">
        <v>-0.34973140000000003</v>
      </c>
      <c r="V3531">
        <v>0.1002873</v>
      </c>
      <c r="W3531">
        <v>-2.3489300000000001E-2</v>
      </c>
      <c r="X3531">
        <v>0.99468120000000004</v>
      </c>
      <c r="Y3531">
        <v>0.109315</v>
      </c>
      <c r="Z3531">
        <v>1.495848E-4</v>
      </c>
      <c r="AA3531">
        <v>0.99400719999999998</v>
      </c>
      <c r="AB3531">
        <v>29</v>
      </c>
      <c r="AC3531">
        <v>70.738599999999906</v>
      </c>
      <c r="AD3531">
        <v>0.224638</v>
      </c>
      <c r="AE3531">
        <v>-8.3272999999999993</v>
      </c>
      <c r="AF3531">
        <v>7.8172556912778299</v>
      </c>
      <c r="AG3531">
        <v>0.224638</v>
      </c>
      <c r="AH3531">
        <v>70.796066598017006</v>
      </c>
      <c r="AI3531">
        <v>89.819297673489203</v>
      </c>
      <c r="AJ3531">
        <v>83.6989628313856</v>
      </c>
      <c r="AK3531">
        <v>71.226701415443301</v>
      </c>
      <c r="AL3531">
        <v>91.345961558699898</v>
      </c>
      <c r="AM3531">
        <v>84.2426913430658</v>
      </c>
      <c r="AN3531">
        <v>0.99999998969461001</v>
      </c>
    </row>
    <row r="3532" spans="1:40" x14ac:dyDescent="0.25">
      <c r="A3532" t="str">
        <f>"20190312161341994"</f>
        <v>20190312161341994</v>
      </c>
      <c r="B3532" t="str">
        <f>"1552378421989061"</f>
        <v>1552378421989061</v>
      </c>
      <c r="C3532" t="s">
        <v>40</v>
      </c>
      <c r="D3532">
        <v>5.0965389999999999</v>
      </c>
      <c r="E3532">
        <v>0.50252629999999998</v>
      </c>
      <c r="F3532" t="s">
        <v>81</v>
      </c>
      <c r="G3532">
        <v>-168.41099999999901</v>
      </c>
      <c r="H3532">
        <v>1.1310690000000001</v>
      </c>
      <c r="I3532">
        <v>205.98679999999999</v>
      </c>
      <c r="J3532">
        <v>-238.84059999999999</v>
      </c>
      <c r="K3532">
        <v>1.1099859999999999</v>
      </c>
      <c r="L3532">
        <v>214.2295</v>
      </c>
      <c r="M3532">
        <v>0.99987269999999995</v>
      </c>
      <c r="N3532">
        <v>0</v>
      </c>
      <c r="O3532">
        <v>-7.2718749999999997E-3</v>
      </c>
      <c r="P3532">
        <v>0.99347280000000004</v>
      </c>
      <c r="Q3532">
        <v>-3.7503880000000003E-2</v>
      </c>
      <c r="R3532">
        <v>-0.1077293</v>
      </c>
      <c r="S3532">
        <v>2.9820709999999999</v>
      </c>
      <c r="T3532">
        <v>8.9001659999999997E-4</v>
      </c>
      <c r="U3532">
        <v>-0.34758</v>
      </c>
      <c r="V3532">
        <v>0.1004973</v>
      </c>
      <c r="W3532">
        <v>-2.3396239999999999E-2</v>
      </c>
      <c r="X3532">
        <v>0.99466220000000005</v>
      </c>
      <c r="Y3532">
        <v>0.108546</v>
      </c>
      <c r="Z3532" s="1">
        <v>1.3980470000000001E-5</v>
      </c>
      <c r="AA3532">
        <v>0.99409150000000002</v>
      </c>
      <c r="AB3532">
        <v>29</v>
      </c>
      <c r="AC3532">
        <v>70.429599999999994</v>
      </c>
      <c r="AD3532">
        <v>2.10829999999999E-2</v>
      </c>
      <c r="AE3532">
        <v>-8.2427000000000099</v>
      </c>
      <c r="AF3532">
        <v>7.7302744250300401</v>
      </c>
      <c r="AG3532">
        <v>2.10829999999999E-2</v>
      </c>
      <c r="AH3532">
        <v>70.487677134220206</v>
      </c>
      <c r="AI3532">
        <v>89.982964858573993</v>
      </c>
      <c r="AJ3532">
        <v>83.741471389070497</v>
      </c>
      <c r="AK3532">
        <v>70.910296960013</v>
      </c>
      <c r="AL3532">
        <v>91.340628144945399</v>
      </c>
      <c r="AM3532">
        <v>84.230607409804406</v>
      </c>
      <c r="AN3532">
        <v>0.99999999173113296</v>
      </c>
    </row>
    <row r="3533" spans="1:40" x14ac:dyDescent="0.25">
      <c r="A3533" t="str">
        <f>"20190312161342017"</f>
        <v>20190312161342017</v>
      </c>
      <c r="B3533" t="str">
        <f>"1552378422009557"</f>
        <v>1552378422009557</v>
      </c>
      <c r="C3533" t="s">
        <v>40</v>
      </c>
      <c r="D3533">
        <v>5.097486</v>
      </c>
      <c r="E3533">
        <v>0.50270049999999999</v>
      </c>
      <c r="F3533" t="s">
        <v>81</v>
      </c>
      <c r="G3533">
        <v>-168.41099999999901</v>
      </c>
      <c r="H3533">
        <v>1.114363</v>
      </c>
      <c r="I3533">
        <v>206.00399999999999</v>
      </c>
      <c r="J3533">
        <v>-238.54929999999999</v>
      </c>
      <c r="K3533">
        <v>1.1099870000000001</v>
      </c>
      <c r="L3533">
        <v>214.22739999999999</v>
      </c>
      <c r="M3533">
        <v>0.99987239999999999</v>
      </c>
      <c r="N3533">
        <v>0</v>
      </c>
      <c r="O3533">
        <v>-7.3344329999999996E-3</v>
      </c>
      <c r="P3533">
        <v>0.9934402</v>
      </c>
      <c r="Q3533">
        <v>-3.7545540000000002E-2</v>
      </c>
      <c r="R3533">
        <v>-0.1080141</v>
      </c>
      <c r="S3533">
        <v>2.9819490000000002</v>
      </c>
      <c r="T3533">
        <v>1.8668170000000001E-4</v>
      </c>
      <c r="U3533">
        <v>-0.34826659999999998</v>
      </c>
      <c r="V3533">
        <v>0.1007203</v>
      </c>
      <c r="W3533">
        <v>-2.3441389999999999E-2</v>
      </c>
      <c r="X3533">
        <v>0.99463860000000004</v>
      </c>
      <c r="Y3533">
        <v>0.1087143</v>
      </c>
      <c r="Z3533" s="1">
        <v>2.9338440000000001E-6</v>
      </c>
      <c r="AA3533">
        <v>0.99407299999999998</v>
      </c>
      <c r="AB3533">
        <v>29</v>
      </c>
      <c r="AC3533">
        <v>70.138300000000001</v>
      </c>
      <c r="AD3533">
        <v>4.3759999999999303E-3</v>
      </c>
      <c r="AE3533">
        <v>-8.2233999999999696</v>
      </c>
      <c r="AF3533">
        <v>7.7087022686094597</v>
      </c>
      <c r="AG3533">
        <v>4.3759999999999303E-3</v>
      </c>
      <c r="AH3533">
        <v>70.196732869024501</v>
      </c>
      <c r="AI3533">
        <v>89.996449577590198</v>
      </c>
      <c r="AJ3533">
        <v>83.733135966046902</v>
      </c>
      <c r="AK3533">
        <v>70.618732750599705</v>
      </c>
      <c r="AL3533">
        <v>91.343215733059907</v>
      </c>
      <c r="AM3533">
        <v>84.217755712870897</v>
      </c>
      <c r="AN3533">
        <v>1.00000001110359</v>
      </c>
    </row>
    <row r="3534" spans="1:40" x14ac:dyDescent="0.25">
      <c r="A3534" t="str">
        <f>"20190312161342039"</f>
        <v>20190312161342039</v>
      </c>
      <c r="B3534" t="str">
        <f>"1552378422029077"</f>
        <v>1552378422029077</v>
      </c>
      <c r="C3534" t="s">
        <v>40</v>
      </c>
      <c r="D3534">
        <v>5.1151989999999996</v>
      </c>
      <c r="E3534">
        <v>0.50258139999999996</v>
      </c>
      <c r="F3534" t="s">
        <v>81</v>
      </c>
      <c r="G3534">
        <v>-168.41099999999901</v>
      </c>
      <c r="H3534">
        <v>1.1747259999999999</v>
      </c>
      <c r="I3534">
        <v>205.9812</v>
      </c>
      <c r="J3534">
        <v>-238.25530000000001</v>
      </c>
      <c r="K3534">
        <v>1.110001</v>
      </c>
      <c r="L3534">
        <v>214.2252</v>
      </c>
      <c r="M3534">
        <v>0.99987199999999998</v>
      </c>
      <c r="N3534">
        <v>0</v>
      </c>
      <c r="O3534">
        <v>-7.3974690000000003E-3</v>
      </c>
      <c r="P3534">
        <v>0.99336049999999998</v>
      </c>
      <c r="Q3534">
        <v>-3.7625930000000002E-2</v>
      </c>
      <c r="R3534">
        <v>-0.1087181</v>
      </c>
      <c r="S3534">
        <v>2.9817960000000001</v>
      </c>
      <c r="T3534">
        <v>2.7536150000000001E-3</v>
      </c>
      <c r="U3534">
        <v>-0.35057070000000001</v>
      </c>
      <c r="V3534">
        <v>0.10136199999999999</v>
      </c>
      <c r="W3534">
        <v>-2.352593E-2</v>
      </c>
      <c r="X3534">
        <v>0.99457139999999999</v>
      </c>
      <c r="Y3534">
        <v>0.1094152</v>
      </c>
      <c r="Z3534" s="1">
        <v>4.3539889999999999E-5</v>
      </c>
      <c r="AA3534">
        <v>0.99399610000000005</v>
      </c>
      <c r="AB3534">
        <v>29</v>
      </c>
      <c r="AC3534">
        <v>69.844300000000004</v>
      </c>
      <c r="AD3534">
        <v>6.4724999999999894E-2</v>
      </c>
      <c r="AE3534">
        <v>-8.2439999999999998</v>
      </c>
      <c r="AF3534">
        <v>7.72704479570017</v>
      </c>
      <c r="AG3534">
        <v>6.4724999999999894E-2</v>
      </c>
      <c r="AH3534">
        <v>69.903320225684794</v>
      </c>
      <c r="AI3534">
        <v>89.947269784171993</v>
      </c>
      <c r="AJ3534">
        <v>83.692188724019402</v>
      </c>
      <c r="AK3534">
        <v>70.329123335749202</v>
      </c>
      <c r="AL3534">
        <v>91.348060873323305</v>
      </c>
      <c r="AM3534">
        <v>84.180777936240901</v>
      </c>
      <c r="AN3534">
        <v>0.99999999706216203</v>
      </c>
    </row>
    <row r="3535" spans="1:40" x14ac:dyDescent="0.25">
      <c r="A3535" t="str">
        <f>"20190312161342062"</f>
        <v>20190312161342062</v>
      </c>
      <c r="B3535" t="str">
        <f>"1552378422049572"</f>
        <v>1552378422049572</v>
      </c>
      <c r="C3535" t="s">
        <v>40</v>
      </c>
      <c r="D3535">
        <v>5.1370199999999997</v>
      </c>
      <c r="E3535">
        <v>0.50262249999999997</v>
      </c>
      <c r="F3535" t="s">
        <v>81</v>
      </c>
      <c r="G3535">
        <v>-168.41099999999901</v>
      </c>
      <c r="H3535">
        <v>1.020683</v>
      </c>
      <c r="I3535">
        <v>205.9932</v>
      </c>
      <c r="J3535">
        <v>-237.97370000000001</v>
      </c>
      <c r="K3535">
        <v>1.110007</v>
      </c>
      <c r="L3535">
        <v>214.22300000000001</v>
      </c>
      <c r="M3535">
        <v>0.99987150000000002</v>
      </c>
      <c r="N3535">
        <v>0</v>
      </c>
      <c r="O3535">
        <v>-7.4580000000000002E-3</v>
      </c>
      <c r="P3535">
        <v>0.99327430000000005</v>
      </c>
      <c r="Q3535">
        <v>-3.7764949999999999E-2</v>
      </c>
      <c r="R3535">
        <v>-0.1094537</v>
      </c>
      <c r="S3535">
        <v>2.98143</v>
      </c>
      <c r="T3535">
        <v>-3.81124E-3</v>
      </c>
      <c r="U3535">
        <v>-0.3513947</v>
      </c>
      <c r="V3535">
        <v>0.10203810000000001</v>
      </c>
      <c r="W3535">
        <v>-2.3669099999999998E-2</v>
      </c>
      <c r="X3535">
        <v>0.99449880000000002</v>
      </c>
      <c r="Y3535">
        <v>0.1096401</v>
      </c>
      <c r="Z3535" s="1">
        <v>-6.0335499999999999E-5</v>
      </c>
      <c r="AA3535">
        <v>0.9939713</v>
      </c>
      <c r="AB3535">
        <v>29</v>
      </c>
      <c r="AC3535">
        <v>69.562700000000007</v>
      </c>
      <c r="AD3535">
        <v>-8.9323999999999903E-2</v>
      </c>
      <c r="AE3535">
        <v>-8.2297999999999796</v>
      </c>
      <c r="AF3535">
        <v>7.7107076767689202</v>
      </c>
      <c r="AG3535">
        <v>-8.9323999999999903E-2</v>
      </c>
      <c r="AH3535">
        <v>69.622035800013705</v>
      </c>
      <c r="AI3535">
        <v>90.073062842545795</v>
      </c>
      <c r="AJ3535">
        <v>83.680192244941694</v>
      </c>
      <c r="AK3535">
        <v>70.047775557771601</v>
      </c>
      <c r="AL3535">
        <v>91.356266283662706</v>
      </c>
      <c r="AM3535">
        <v>84.141807211683897</v>
      </c>
      <c r="AN3535">
        <v>0.99999993167392698</v>
      </c>
    </row>
    <row r="3536" spans="1:40" x14ac:dyDescent="0.25">
      <c r="A3536" t="str">
        <f>"20190312161342084"</f>
        <v>20190312161342084</v>
      </c>
      <c r="B3536" t="str">
        <f>"1552378422079829"</f>
        <v>1552378422079829</v>
      </c>
      <c r="C3536" t="s">
        <v>40</v>
      </c>
      <c r="D3536">
        <v>5.1186939999999996</v>
      </c>
      <c r="E3536">
        <v>0.50248159999999997</v>
      </c>
      <c r="F3536" t="s">
        <v>81</v>
      </c>
      <c r="G3536">
        <v>-168.41099999999901</v>
      </c>
      <c r="H3536">
        <v>1.0470600000000001</v>
      </c>
      <c r="I3536">
        <v>205.958</v>
      </c>
      <c r="J3536">
        <v>-237.67840000000001</v>
      </c>
      <c r="K3536">
        <v>1.1100080000000001</v>
      </c>
      <c r="L3536">
        <v>214.22069999999999</v>
      </c>
      <c r="M3536">
        <v>0.99987099999999995</v>
      </c>
      <c r="N3536">
        <v>0</v>
      </c>
      <c r="O3536">
        <v>-7.5217460000000002E-3</v>
      </c>
      <c r="P3536">
        <v>0.99325669999999999</v>
      </c>
      <c r="Q3536">
        <v>-3.7674850000000003E-2</v>
      </c>
      <c r="R3536">
        <v>-0.10964400000000001</v>
      </c>
      <c r="S3536">
        <v>2.9811709999999998</v>
      </c>
      <c r="T3536">
        <v>-2.6962760000000001E-3</v>
      </c>
      <c r="U3536">
        <v>-0.35420230000000003</v>
      </c>
      <c r="V3536">
        <v>0.10216509999999999</v>
      </c>
      <c r="W3536">
        <v>-2.3582309999999999E-2</v>
      </c>
      <c r="X3536">
        <v>0.99448789999999998</v>
      </c>
      <c r="Y3536">
        <v>0.11051</v>
      </c>
      <c r="Z3536" s="1">
        <v>-4.3020450000000002E-5</v>
      </c>
      <c r="AA3536">
        <v>0.99387499999999995</v>
      </c>
      <c r="AB3536">
        <v>29</v>
      </c>
      <c r="AC3536">
        <v>69.267399999999995</v>
      </c>
      <c r="AD3536">
        <v>-6.2947999999999699E-2</v>
      </c>
      <c r="AE3536">
        <v>-8.2626999999999899</v>
      </c>
      <c r="AF3536">
        <v>7.7413956435640401</v>
      </c>
      <c r="AG3536">
        <v>-6.2947999999999699E-2</v>
      </c>
      <c r="AH3536">
        <v>69.327539857174202</v>
      </c>
      <c r="AI3536">
        <v>90.051702057092101</v>
      </c>
      <c r="AJ3536">
        <v>83.628514004090704</v>
      </c>
      <c r="AK3536">
        <v>69.758447170281599</v>
      </c>
      <c r="AL3536">
        <v>91.351292090893494</v>
      </c>
      <c r="AM3536">
        <v>84.134502874713803</v>
      </c>
      <c r="AN3536">
        <v>1.00000000812467</v>
      </c>
    </row>
    <row r="3537" spans="1:40" x14ac:dyDescent="0.25">
      <c r="A3537" t="str">
        <f>"20190312161342107"</f>
        <v>20190312161342107</v>
      </c>
      <c r="B3537" t="str">
        <f>"1552378422099350"</f>
        <v>1552378422099350</v>
      </c>
      <c r="C3537" t="s">
        <v>40</v>
      </c>
      <c r="D3537">
        <v>5.1320899999999998</v>
      </c>
      <c r="E3537">
        <v>0.50232889999999997</v>
      </c>
      <c r="F3537" t="s">
        <v>81</v>
      </c>
      <c r="G3537">
        <v>-168.41099999999901</v>
      </c>
      <c r="H3537">
        <v>1.159187</v>
      </c>
      <c r="I3537">
        <v>206.00020000000001</v>
      </c>
      <c r="J3537">
        <v>-237.38329999999999</v>
      </c>
      <c r="K3537">
        <v>1.1100099999999999</v>
      </c>
      <c r="L3537">
        <v>214.2184</v>
      </c>
      <c r="M3537">
        <v>0.99987060000000005</v>
      </c>
      <c r="N3537">
        <v>0</v>
      </c>
      <c r="O3537">
        <v>-7.5856129999999997E-3</v>
      </c>
      <c r="P3537">
        <v>0.99320200000000003</v>
      </c>
      <c r="Q3537">
        <v>-3.757953E-2</v>
      </c>
      <c r="R3537">
        <v>-0.11017100000000001</v>
      </c>
      <c r="S3537">
        <v>2.9813689999999999</v>
      </c>
      <c r="T3537">
        <v>2.11823E-3</v>
      </c>
      <c r="U3537">
        <v>-0.35382079999999999</v>
      </c>
      <c r="V3537">
        <v>0.1026291</v>
      </c>
      <c r="W3537">
        <v>-2.3490819999999999E-2</v>
      </c>
      <c r="X3537">
        <v>0.9944423</v>
      </c>
      <c r="Y3537">
        <v>0.1103133</v>
      </c>
      <c r="Z3537" s="1">
        <v>3.368064E-5</v>
      </c>
      <c r="AA3537">
        <v>0.99389680000000002</v>
      </c>
      <c r="AB3537">
        <v>29</v>
      </c>
      <c r="AC3537">
        <v>68.972300000000004</v>
      </c>
      <c r="AD3537">
        <v>4.91770000000002E-2</v>
      </c>
      <c r="AE3537">
        <v>-8.2181999999999906</v>
      </c>
      <c r="AF3537">
        <v>7.6947098201529096</v>
      </c>
      <c r="AG3537">
        <v>4.91770000000002E-2</v>
      </c>
      <c r="AH3537">
        <v>69.032626942356899</v>
      </c>
      <c r="AI3537">
        <v>89.959435242151898</v>
      </c>
      <c r="AJ3537">
        <v>83.6397897555008</v>
      </c>
      <c r="AK3537">
        <v>69.460165275906903</v>
      </c>
      <c r="AL3537">
        <v>91.346048632316894</v>
      </c>
      <c r="AM3537">
        <v>84.107782445444499</v>
      </c>
      <c r="AN3537">
        <v>1.0000000194101799</v>
      </c>
    </row>
    <row r="3538" spans="1:40" x14ac:dyDescent="0.25">
      <c r="A3538" t="str">
        <f>"20190312161342129"</f>
        <v>20190312161342129</v>
      </c>
      <c r="B3538" t="str">
        <f>"1552378422119846"</f>
        <v>1552378422119846</v>
      </c>
      <c r="C3538" t="s">
        <v>40</v>
      </c>
      <c r="D3538">
        <v>5.1332680000000002</v>
      </c>
      <c r="E3538">
        <v>0.50221170000000004</v>
      </c>
      <c r="F3538" t="s">
        <v>81</v>
      </c>
      <c r="G3538">
        <v>-168.41099999999901</v>
      </c>
      <c r="H3538">
        <v>1.065132</v>
      </c>
      <c r="I3538">
        <v>206.0291</v>
      </c>
      <c r="J3538">
        <v>-237.09379999999999</v>
      </c>
      <c r="K3538">
        <v>1.110009</v>
      </c>
      <c r="L3538">
        <v>214.21619999999999</v>
      </c>
      <c r="M3538">
        <v>0.99987020000000004</v>
      </c>
      <c r="N3538">
        <v>0</v>
      </c>
      <c r="O3538">
        <v>-7.6479349999999998E-3</v>
      </c>
      <c r="P3538">
        <v>0.99314309999999995</v>
      </c>
      <c r="Q3538">
        <v>-3.7469130000000003E-2</v>
      </c>
      <c r="R3538">
        <v>-0.1107393</v>
      </c>
      <c r="S3538">
        <v>2.9812319999999999</v>
      </c>
      <c r="T3538">
        <v>-1.9383429999999999E-3</v>
      </c>
      <c r="U3538">
        <v>-0.35397339999999999</v>
      </c>
      <c r="V3538">
        <v>0.1031358</v>
      </c>
      <c r="W3538">
        <v>-2.338426E-2</v>
      </c>
      <c r="X3538">
        <v>0.99439239999999995</v>
      </c>
      <c r="Y3538">
        <v>0.1103069</v>
      </c>
      <c r="Z3538" s="1">
        <v>-3.0779240000000001E-5</v>
      </c>
      <c r="AA3538">
        <v>0.99389760000000005</v>
      </c>
      <c r="AB3538">
        <v>29</v>
      </c>
      <c r="AC3538">
        <v>68.6828</v>
      </c>
      <c r="AD3538">
        <v>-4.4877E-2</v>
      </c>
      <c r="AE3538">
        <v>-8.1870999999999796</v>
      </c>
      <c r="AF3538">
        <v>7.6615228747930697</v>
      </c>
      <c r="AG3538">
        <v>-4.4877E-2</v>
      </c>
      <c r="AH3538">
        <v>68.7433826749986</v>
      </c>
      <c r="AI3538">
        <v>90.037173619088605</v>
      </c>
      <c r="AJ3538">
        <v>83.640568861911206</v>
      </c>
      <c r="AK3538">
        <v>69.169022027981697</v>
      </c>
      <c r="AL3538">
        <v>91.339941501005995</v>
      </c>
      <c r="AM3538">
        <v>84.078602572238793</v>
      </c>
      <c r="AN3538">
        <v>1.0000000310175701</v>
      </c>
    </row>
    <row r="3539" spans="1:40" x14ac:dyDescent="0.25">
      <c r="A3539" t="str">
        <f>"20190312161342151"</f>
        <v>20190312161342151</v>
      </c>
      <c r="B3539" t="str">
        <f>"1552378422139365"</f>
        <v>1552378422139365</v>
      </c>
      <c r="C3539" t="s">
        <v>40</v>
      </c>
      <c r="D3539">
        <v>5.1032330000000004</v>
      </c>
      <c r="E3539">
        <v>0.50206340000000005</v>
      </c>
      <c r="F3539" t="s">
        <v>81</v>
      </c>
      <c r="G3539">
        <v>-168.41099999999901</v>
      </c>
      <c r="H3539">
        <v>0.99971960000000004</v>
      </c>
      <c r="I3539">
        <v>206.04499999999999</v>
      </c>
      <c r="J3539">
        <v>-236.81270000000001</v>
      </c>
      <c r="K3539">
        <v>1.1100110000000001</v>
      </c>
      <c r="L3539">
        <v>214.2139</v>
      </c>
      <c r="M3539">
        <v>0.99986969999999997</v>
      </c>
      <c r="N3539">
        <v>0</v>
      </c>
      <c r="O3539">
        <v>-7.7085879999999997E-3</v>
      </c>
      <c r="P3539">
        <v>0.99305350000000003</v>
      </c>
      <c r="Q3539">
        <v>-3.7781420000000003E-2</v>
      </c>
      <c r="R3539">
        <v>-0.111433</v>
      </c>
      <c r="S3539">
        <v>2.980988</v>
      </c>
      <c r="T3539">
        <v>-4.7852989999999998E-3</v>
      </c>
      <c r="U3539">
        <v>-0.35464479999999998</v>
      </c>
      <c r="V3539">
        <v>0.10377</v>
      </c>
      <c r="W3539">
        <v>-2.3700679999999998E-2</v>
      </c>
      <c r="X3539">
        <v>0.99431890000000001</v>
      </c>
      <c r="Y3539">
        <v>0.1104768</v>
      </c>
      <c r="Z3539" s="1">
        <v>-7.6030489999999996E-5</v>
      </c>
      <c r="AA3539">
        <v>0.9938787</v>
      </c>
      <c r="AB3539">
        <v>29</v>
      </c>
      <c r="AC3539">
        <v>68.401700000000005</v>
      </c>
      <c r="AD3539">
        <v>-0.1102914</v>
      </c>
      <c r="AE3539">
        <v>-8.1689000000000007</v>
      </c>
      <c r="AF3539">
        <v>7.6413040872255902</v>
      </c>
      <c r="AG3539">
        <v>-0.1102914</v>
      </c>
      <c r="AH3539">
        <v>68.462468796080302</v>
      </c>
      <c r="AI3539">
        <v>90.0917324431379</v>
      </c>
      <c r="AJ3539">
        <v>83.631402276257205</v>
      </c>
      <c r="AK3539">
        <v>68.887671799826606</v>
      </c>
      <c r="AL3539">
        <v>91.358076092609295</v>
      </c>
      <c r="AM3539">
        <v>84.042014741742605</v>
      </c>
      <c r="AN3539">
        <v>1.0000000050148301</v>
      </c>
    </row>
    <row r="3540" spans="1:40" x14ac:dyDescent="0.25">
      <c r="A3540" t="str">
        <f>"20190312161342172"</f>
        <v>20190312161342172</v>
      </c>
      <c r="B3540" t="str">
        <f>"1552378422159860"</f>
        <v>1552378422159860</v>
      </c>
      <c r="C3540" t="s">
        <v>40</v>
      </c>
      <c r="D3540">
        <v>5.1524419999999997</v>
      </c>
      <c r="E3540">
        <v>0.50254560000000004</v>
      </c>
      <c r="F3540" t="s">
        <v>81</v>
      </c>
      <c r="G3540">
        <v>-168.4109</v>
      </c>
      <c r="H3540">
        <v>0.85441780000000001</v>
      </c>
      <c r="I3540">
        <v>206.05789999999999</v>
      </c>
      <c r="J3540">
        <v>-236.53139999999999</v>
      </c>
      <c r="K3540">
        <v>1.1100139999999901</v>
      </c>
      <c r="L3540">
        <v>214.21170000000001</v>
      </c>
      <c r="M3540">
        <v>0.99986949999999997</v>
      </c>
      <c r="N3540">
        <v>0</v>
      </c>
      <c r="O3540">
        <v>-7.76888199999999E-3</v>
      </c>
      <c r="P3540">
        <v>0.99295719999999998</v>
      </c>
      <c r="Q3540">
        <v>-3.778952E-2</v>
      </c>
      <c r="R3540">
        <v>-0.1122867</v>
      </c>
      <c r="S3540">
        <v>2.980667</v>
      </c>
      <c r="T3540">
        <v>-1.113629E-2</v>
      </c>
      <c r="U3540">
        <v>-0.35540769999999999</v>
      </c>
      <c r="V3540">
        <v>0.1045644</v>
      </c>
      <c r="W3540">
        <v>-2.371303E-2</v>
      </c>
      <c r="X3540">
        <v>0.99423539999999999</v>
      </c>
      <c r="Y3540">
        <v>0.11067970000000001</v>
      </c>
      <c r="Z3540">
        <v>-1.7710609999999999E-4</v>
      </c>
      <c r="AA3540">
        <v>0.99385610000000002</v>
      </c>
      <c r="AB3540">
        <v>29</v>
      </c>
      <c r="AC3540">
        <v>68.120499999999893</v>
      </c>
      <c r="AD3540">
        <v>-0.255596199999999</v>
      </c>
      <c r="AE3540">
        <v>-8.1538000000000093</v>
      </c>
      <c r="AF3540">
        <v>7.6241748411219703</v>
      </c>
      <c r="AG3540">
        <v>-0.255596199999999</v>
      </c>
      <c r="AH3540">
        <v>68.180849778858502</v>
      </c>
      <c r="AI3540">
        <v>90.213458846748694</v>
      </c>
      <c r="AJ3540">
        <v>83.619530825503503</v>
      </c>
      <c r="AK3540">
        <v>68.606279945736205</v>
      </c>
      <c r="AL3540">
        <v>91.358783865785199</v>
      </c>
      <c r="AM3540">
        <v>83.996235365797403</v>
      </c>
      <c r="AN3540">
        <v>1.0000000260761499</v>
      </c>
    </row>
    <row r="3541" spans="1:40" x14ac:dyDescent="0.25">
      <c r="A3541" t="str">
        <f>"20190312161342193"</f>
        <v>20190312161342193</v>
      </c>
      <c r="B3541" t="str">
        <f>"1552378422189141"</f>
        <v>1552378422189141</v>
      </c>
      <c r="C3541" t="s">
        <v>40</v>
      </c>
      <c r="D3541">
        <v>5.1154060000000001</v>
      </c>
      <c r="E3541">
        <v>0.50342580000000003</v>
      </c>
      <c r="F3541" t="s">
        <v>81</v>
      </c>
      <c r="G3541">
        <v>-168.4109</v>
      </c>
      <c r="H3541">
        <v>0.78720089999999998</v>
      </c>
      <c r="I3541">
        <v>205.94489999999999</v>
      </c>
      <c r="J3541">
        <v>-236.27010000000001</v>
      </c>
      <c r="K3541">
        <v>1.1100080000000001</v>
      </c>
      <c r="L3541">
        <v>214.20959999999999</v>
      </c>
      <c r="M3541">
        <v>0.99986889999999995</v>
      </c>
      <c r="N3541">
        <v>0</v>
      </c>
      <c r="O3541">
        <v>-7.8252430000000008E-3</v>
      </c>
      <c r="P3541">
        <v>0.99285069999999997</v>
      </c>
      <c r="Q3541">
        <v>-3.7850689999999999E-2</v>
      </c>
      <c r="R3541">
        <v>-0.1132039</v>
      </c>
      <c r="S3541">
        <v>2.9798279999999999</v>
      </c>
      <c r="T3541">
        <v>-1.411951E-2</v>
      </c>
      <c r="U3541">
        <v>-0.36161799999999999</v>
      </c>
      <c r="V3541">
        <v>0.1054264</v>
      </c>
      <c r="W3541">
        <v>-2.3778359999999998E-2</v>
      </c>
      <c r="X3541">
        <v>0.99414279999999999</v>
      </c>
      <c r="Y3541">
        <v>0.1126976</v>
      </c>
      <c r="Z3541">
        <v>-2.2908149999999999E-4</v>
      </c>
      <c r="AA3541">
        <v>0.99362930000000005</v>
      </c>
      <c r="AB3541">
        <v>29</v>
      </c>
      <c r="AC3541">
        <v>67.859200000000001</v>
      </c>
      <c r="AD3541">
        <v>-0.32280709999999901</v>
      </c>
      <c r="AE3541">
        <v>-8.2646999999999995</v>
      </c>
      <c r="AF3541">
        <v>7.7332063738291899</v>
      </c>
      <c r="AG3541">
        <v>-0.32280709999999901</v>
      </c>
      <c r="AH3541">
        <v>67.920287161000104</v>
      </c>
      <c r="AI3541">
        <v>90.270561553695799</v>
      </c>
      <c r="AJ3541">
        <v>83.504441050262898</v>
      </c>
      <c r="AK3541">
        <v>68.359871951875107</v>
      </c>
      <c r="AL3541">
        <v>91.362528060935503</v>
      </c>
      <c r="AM3541">
        <v>83.946548315362094</v>
      </c>
      <c r="AN3541">
        <v>1.0000000215065401</v>
      </c>
    </row>
    <row r="3542" spans="1:40" x14ac:dyDescent="0.25">
      <c r="A3542" t="str">
        <f>"20190312161342208"</f>
        <v>20190312161342208</v>
      </c>
      <c r="B3542" t="str">
        <f>"1552378422199876"</f>
        <v>1552378422199876</v>
      </c>
      <c r="C3542" t="s">
        <v>40</v>
      </c>
      <c r="D3542">
        <v>5.0394449999999997</v>
      </c>
      <c r="E3542">
        <v>0.50364149999999996</v>
      </c>
      <c r="F3542" t="s">
        <v>81</v>
      </c>
      <c r="G3542">
        <v>-168.4109</v>
      </c>
      <c r="H3542">
        <v>0.67496489999999998</v>
      </c>
      <c r="I3542">
        <v>205.75450000000001</v>
      </c>
      <c r="J3542">
        <v>-236.06790000000001</v>
      </c>
      <c r="K3542">
        <v>1.110009</v>
      </c>
      <c r="L3542">
        <v>214.208</v>
      </c>
      <c r="M3542">
        <v>0.9998686</v>
      </c>
      <c r="N3542">
        <v>0</v>
      </c>
      <c r="O3542">
        <v>-7.8688519999999904E-3</v>
      </c>
      <c r="P3542">
        <v>0.99272139999999998</v>
      </c>
      <c r="Q3542">
        <v>-3.8017969999999998E-2</v>
      </c>
      <c r="R3542">
        <v>-0.1142751</v>
      </c>
      <c r="S3542">
        <v>2.978577</v>
      </c>
      <c r="T3542">
        <v>-1.9094110000000001E-2</v>
      </c>
      <c r="U3542">
        <v>-0.37112430000000002</v>
      </c>
      <c r="V3542">
        <v>0.1064553</v>
      </c>
      <c r="W3542">
        <v>-2.3949479999999999E-2</v>
      </c>
      <c r="X3542">
        <v>0.99402900000000005</v>
      </c>
      <c r="Y3542">
        <v>0.1158265</v>
      </c>
      <c r="Z3542">
        <v>-3.195715E-4</v>
      </c>
      <c r="AA3542">
        <v>0.99326939999999997</v>
      </c>
      <c r="AB3542">
        <v>29</v>
      </c>
      <c r="AC3542">
        <v>67.656999999999996</v>
      </c>
      <c r="AD3542">
        <v>-0.43504409999999999</v>
      </c>
      <c r="AE3542">
        <v>-8.4534999999999894</v>
      </c>
      <c r="AF3542">
        <v>7.9204793799957898</v>
      </c>
      <c r="AG3542">
        <v>-0.43504409999999999</v>
      </c>
      <c r="AH3542">
        <v>67.718674042078703</v>
      </c>
      <c r="AI3542">
        <v>90.365587330893703</v>
      </c>
      <c r="AJ3542">
        <v>83.328908248014301</v>
      </c>
      <c r="AK3542">
        <v>68.181684278075593</v>
      </c>
      <c r="AL3542">
        <v>91.372335363530695</v>
      </c>
      <c r="AM3542">
        <v>83.887220774640198</v>
      </c>
      <c r="AN3542">
        <v>0.99999998066567997</v>
      </c>
    </row>
    <row r="3543" spans="1:40" x14ac:dyDescent="0.25">
      <c r="A3543" t="str">
        <f>"20190312161342230"</f>
        <v>20190312161342230</v>
      </c>
      <c r="B3543" t="str">
        <f>"1552378422219398"</f>
        <v>1552378422219398</v>
      </c>
      <c r="C3543" t="s">
        <v>40</v>
      </c>
      <c r="D3543">
        <v>5.0293749999999999</v>
      </c>
      <c r="E3543">
        <v>0.50407089999999999</v>
      </c>
      <c r="F3543" t="s">
        <v>81</v>
      </c>
      <c r="G3543">
        <v>-168.41099999999901</v>
      </c>
      <c r="H3543">
        <v>0.64852519999999902</v>
      </c>
      <c r="I3543">
        <v>205.66419999999999</v>
      </c>
      <c r="J3543">
        <v>-235.79470000000001</v>
      </c>
      <c r="K3543">
        <v>1.1100129999999999</v>
      </c>
      <c r="L3543">
        <v>214.20570000000001</v>
      </c>
      <c r="M3543">
        <v>0.99986819999999998</v>
      </c>
      <c r="N3543">
        <v>0</v>
      </c>
      <c r="O3543">
        <v>-7.9280740000000002E-3</v>
      </c>
      <c r="P3543">
        <v>0.99263820000000003</v>
      </c>
      <c r="Q3543">
        <v>-3.7923020000000002E-2</v>
      </c>
      <c r="R3543">
        <v>-0.1150277</v>
      </c>
      <c r="S3543">
        <v>2.9779209999999998</v>
      </c>
      <c r="T3543">
        <v>-2.0310760000000001E-2</v>
      </c>
      <c r="U3543">
        <v>-0.37605290000000002</v>
      </c>
      <c r="V3543">
        <v>0.10714949999999999</v>
      </c>
      <c r="W3543">
        <v>-2.385847E-2</v>
      </c>
      <c r="X3543">
        <v>0.99395659999999997</v>
      </c>
      <c r="Y3543">
        <v>0.1174125</v>
      </c>
      <c r="Z3543">
        <v>-3.4495809999999898E-4</v>
      </c>
      <c r="AA3543">
        <v>0.99308320000000005</v>
      </c>
      <c r="AB3543">
        <v>29</v>
      </c>
      <c r="AC3543">
        <v>67.383700000000005</v>
      </c>
      <c r="AD3543">
        <v>-0.461487799999999</v>
      </c>
      <c r="AE3543">
        <v>-8.5415000000000099</v>
      </c>
      <c r="AF3543">
        <v>8.0065853188614806</v>
      </c>
      <c r="AG3543">
        <v>-0.461487799999999</v>
      </c>
      <c r="AH3543">
        <v>67.446192827947002</v>
      </c>
      <c r="AI3543">
        <v>90.389296057689194</v>
      </c>
      <c r="AJ3543">
        <v>83.230059991253896</v>
      </c>
      <c r="AK3543">
        <v>67.921331748150806</v>
      </c>
      <c r="AL3543">
        <v>91.367119381864697</v>
      </c>
      <c r="AM3543">
        <v>83.847219078221698</v>
      </c>
      <c r="AN3543">
        <v>0.99999998231227505</v>
      </c>
    </row>
    <row r="3544" spans="1:40" x14ac:dyDescent="0.25">
      <c r="A3544" t="str">
        <f>"20190312161342251"</f>
        <v>20190312161342251</v>
      </c>
      <c r="B3544" t="str">
        <f>"1552378422239893"</f>
        <v>1552378422239893</v>
      </c>
      <c r="C3544" t="s">
        <v>40</v>
      </c>
      <c r="D3544">
        <v>4.9862159999999998</v>
      </c>
      <c r="E3544">
        <v>0.50446990000000003</v>
      </c>
      <c r="F3544" t="s">
        <v>81</v>
      </c>
      <c r="G3544">
        <v>-168.41099999999901</v>
      </c>
      <c r="H3544">
        <v>0.61615180000000003</v>
      </c>
      <c r="I3544">
        <v>205.5684</v>
      </c>
      <c r="J3544">
        <v>-235.51840000000001</v>
      </c>
      <c r="K3544">
        <v>1.110009</v>
      </c>
      <c r="L3544">
        <v>214.20349999999999</v>
      </c>
      <c r="M3544">
        <v>0.99986790000000003</v>
      </c>
      <c r="N3544">
        <v>0</v>
      </c>
      <c r="O3544">
        <v>-7.9878910000000004E-3</v>
      </c>
      <c r="P3544">
        <v>0.99252929999999995</v>
      </c>
      <c r="Q3544">
        <v>-3.8246559999999999E-2</v>
      </c>
      <c r="R3544">
        <v>-0.1158575</v>
      </c>
      <c r="S3544">
        <v>2.9771879999999999</v>
      </c>
      <c r="T3544">
        <v>-2.181864E-2</v>
      </c>
      <c r="U3544">
        <v>-0.38162230000000003</v>
      </c>
      <c r="V3544">
        <v>0.1079209</v>
      </c>
      <c r="W3544">
        <v>-2.4186289999999999E-2</v>
      </c>
      <c r="X3544">
        <v>0.99386529999999995</v>
      </c>
      <c r="Y3544">
        <v>0.119210999999999</v>
      </c>
      <c r="Z3544">
        <v>-3.7674110000000002E-4</v>
      </c>
      <c r="AA3544">
        <v>0.9928688</v>
      </c>
      <c r="AB3544">
        <v>29</v>
      </c>
      <c r="AC3544">
        <v>67.107399999999998</v>
      </c>
      <c r="AD3544">
        <v>-0.4938572</v>
      </c>
      <c r="AE3544">
        <v>-8.6350999999999907</v>
      </c>
      <c r="AF3544">
        <v>8.0982926999555094</v>
      </c>
      <c r="AG3544">
        <v>-0.4938572</v>
      </c>
      <c r="AH3544">
        <v>67.170663173934699</v>
      </c>
      <c r="AI3544">
        <v>90.418218331854405</v>
      </c>
      <c r="AJ3544">
        <v>83.125432431927095</v>
      </c>
      <c r="AK3544">
        <v>67.658881389026305</v>
      </c>
      <c r="AL3544">
        <v>91.385907390695195</v>
      </c>
      <c r="AM3544">
        <v>83.802702016434196</v>
      </c>
      <c r="AN3544">
        <v>1.00000006591242</v>
      </c>
    </row>
    <row r="3545" spans="1:40" x14ac:dyDescent="0.25">
      <c r="A3545" t="str">
        <f>"20190312161342273"</f>
        <v>20190312161342273</v>
      </c>
      <c r="B3545" t="str">
        <f>"1552378422269173"</f>
        <v>1552378422269173</v>
      </c>
      <c r="C3545" t="s">
        <v>40</v>
      </c>
      <c r="D3545">
        <v>4.9612569999999998</v>
      </c>
      <c r="E3545">
        <v>0.50495670000000004</v>
      </c>
      <c r="F3545" t="s">
        <v>81</v>
      </c>
      <c r="G3545">
        <v>-168.41099999999901</v>
      </c>
      <c r="H3545">
        <v>0.5156174</v>
      </c>
      <c r="I3545">
        <v>205.4787</v>
      </c>
      <c r="J3545">
        <v>-235.23089999999999</v>
      </c>
      <c r="K3545">
        <v>1.110012</v>
      </c>
      <c r="L3545">
        <v>214.2011</v>
      </c>
      <c r="M3545">
        <v>0.99986730000000001</v>
      </c>
      <c r="N3545">
        <v>0</v>
      </c>
      <c r="O3545">
        <v>-8.0499719999999903E-3</v>
      </c>
      <c r="P3545">
        <v>0.99234909999999998</v>
      </c>
      <c r="Q3545">
        <v>-3.9309150000000001E-2</v>
      </c>
      <c r="R3545">
        <v>-0.1170392</v>
      </c>
      <c r="S3545">
        <v>2.9763790000000001</v>
      </c>
      <c r="T3545">
        <v>-2.6361229999999999E-2</v>
      </c>
      <c r="U3545">
        <v>-0.3869629</v>
      </c>
      <c r="V3545">
        <v>0.109042</v>
      </c>
      <c r="W3545">
        <v>-2.5254249999999999E-2</v>
      </c>
      <c r="X3545">
        <v>0.9937163</v>
      </c>
      <c r="Y3545">
        <v>0.1209341</v>
      </c>
      <c r="Z3545">
        <v>-4.6229650000000001E-4</v>
      </c>
      <c r="AA3545">
        <v>0.9926604</v>
      </c>
      <c r="AB3545">
        <v>29</v>
      </c>
      <c r="AC3545">
        <v>66.819900000000004</v>
      </c>
      <c r="AD3545">
        <v>-0.5943946</v>
      </c>
      <c r="AE3545">
        <v>-8.7223999999999897</v>
      </c>
      <c r="AF3545">
        <v>8.1835283372571901</v>
      </c>
      <c r="AG3545">
        <v>-0.5943946</v>
      </c>
      <c r="AH3545">
        <v>66.882752891152805</v>
      </c>
      <c r="AI3545">
        <v>90.505411652399701</v>
      </c>
      <c r="AJ3545">
        <v>83.024172535373907</v>
      </c>
      <c r="AK3545">
        <v>67.384167838493198</v>
      </c>
      <c r="AL3545">
        <v>91.447115776145196</v>
      </c>
      <c r="AM3545">
        <v>83.737900820901103</v>
      </c>
      <c r="AN3545">
        <v>1.0000000098963699</v>
      </c>
    </row>
    <row r="3546" spans="1:40" x14ac:dyDescent="0.25">
      <c r="A3546" t="str">
        <f>"20190312161342296"</f>
        <v>20190312161342296</v>
      </c>
      <c r="B3546" t="str">
        <f>"1552378422289669"</f>
        <v>1552378422289669</v>
      </c>
      <c r="C3546" t="s">
        <v>40</v>
      </c>
      <c r="D3546">
        <v>4.9400500000000003</v>
      </c>
      <c r="E3546">
        <v>0.50525200000000003</v>
      </c>
      <c r="F3546" t="s">
        <v>81</v>
      </c>
      <c r="G3546">
        <v>-168.41099999999901</v>
      </c>
      <c r="H3546">
        <v>0.34345049999999999</v>
      </c>
      <c r="I3546">
        <v>205.34360000000001</v>
      </c>
      <c r="J3546">
        <v>-234.93530000000001</v>
      </c>
      <c r="K3546">
        <v>1.1100099999999999</v>
      </c>
      <c r="L3546">
        <v>214.1987</v>
      </c>
      <c r="M3546">
        <v>0.99986699999999995</v>
      </c>
      <c r="N3546">
        <v>0</v>
      </c>
      <c r="O3546">
        <v>-8.1138419999999996E-3</v>
      </c>
      <c r="P3546">
        <v>0.99217829999999996</v>
      </c>
      <c r="Q3546">
        <v>-3.9445479999999998E-2</v>
      </c>
      <c r="R3546">
        <v>-0.1184344</v>
      </c>
      <c r="S3546">
        <v>2.975266</v>
      </c>
      <c r="T3546">
        <v>-3.4130929999999997E-2</v>
      </c>
      <c r="U3546">
        <v>-0.39439390000000002</v>
      </c>
      <c r="V3546">
        <v>0.110375</v>
      </c>
      <c r="W3546">
        <v>-2.5396040000000002E-2</v>
      </c>
      <c r="X3546">
        <v>0.99356549999999999</v>
      </c>
      <c r="Y3546">
        <v>0.123352</v>
      </c>
      <c r="Z3546">
        <v>-6.117497E-4</v>
      </c>
      <c r="AA3546">
        <v>0.99236279999999999</v>
      </c>
      <c r="AB3546">
        <v>29</v>
      </c>
      <c r="AC3546">
        <v>66.524299999999997</v>
      </c>
      <c r="AD3546">
        <v>-0.76655949999999995</v>
      </c>
      <c r="AE3546">
        <v>-8.8550999999999895</v>
      </c>
      <c r="AF3546">
        <v>8.3139020706592408</v>
      </c>
      <c r="AG3546">
        <v>-0.76655949999999995</v>
      </c>
      <c r="AH3546">
        <v>66.5852785672582</v>
      </c>
      <c r="AI3546">
        <v>90.6545037316058</v>
      </c>
      <c r="AJ3546">
        <v>82.882827404259004</v>
      </c>
      <c r="AK3546">
        <v>67.1066904487692</v>
      </c>
      <c r="AL3546">
        <v>91.455242363866603</v>
      </c>
      <c r="AM3546">
        <v>83.661013986075602</v>
      </c>
      <c r="AN3546">
        <v>1.00000000113146</v>
      </c>
    </row>
    <row r="3547" spans="1:40" x14ac:dyDescent="0.25">
      <c r="A3547" t="str">
        <f>"20190312161342315"</f>
        <v>20190312161342315</v>
      </c>
      <c r="B3547" t="str">
        <f>"1552378422309190"</f>
        <v>1552378422309190</v>
      </c>
      <c r="C3547" t="s">
        <v>40</v>
      </c>
      <c r="D3547">
        <v>4.8992699999999996</v>
      </c>
      <c r="E3547">
        <v>0.50538720000000004</v>
      </c>
      <c r="F3547" t="s">
        <v>81</v>
      </c>
      <c r="G3547">
        <v>-168.41099999999901</v>
      </c>
      <c r="H3547">
        <v>0.3040409</v>
      </c>
      <c r="I3547">
        <v>205.2329</v>
      </c>
      <c r="J3547">
        <v>-234.69280000000001</v>
      </c>
      <c r="K3547">
        <v>1.110009</v>
      </c>
      <c r="L3547">
        <v>214.19659999999999</v>
      </c>
      <c r="M3547">
        <v>0.99986640000000004</v>
      </c>
      <c r="N3547">
        <v>0</v>
      </c>
      <c r="O3547">
        <v>-8.1660340000000008E-3</v>
      </c>
      <c r="P3547">
        <v>0.99212199999999995</v>
      </c>
      <c r="Q3547">
        <v>-3.9165999999999999E-2</v>
      </c>
      <c r="R3547">
        <v>-0.1189953</v>
      </c>
      <c r="S3547">
        <v>2.9743499999999998</v>
      </c>
      <c r="T3547">
        <v>-3.6033990000000002E-2</v>
      </c>
      <c r="U3547">
        <v>-0.40086359999999999</v>
      </c>
      <c r="V3547">
        <v>0.11088480000000001</v>
      </c>
      <c r="W3547">
        <v>-2.5119829999999999E-2</v>
      </c>
      <c r="X3547">
        <v>0.9935157</v>
      </c>
      <c r="Y3547">
        <v>0.1254594</v>
      </c>
      <c r="Z3547">
        <v>-6.5803960000000001E-4</v>
      </c>
      <c r="AA3547">
        <v>0.99209860000000005</v>
      </c>
      <c r="AB3547">
        <v>29</v>
      </c>
      <c r="AC3547">
        <v>66.281800000000004</v>
      </c>
      <c r="AD3547">
        <v>-0.80596809999999997</v>
      </c>
      <c r="AE3547">
        <v>-8.9636999999999798</v>
      </c>
      <c r="AF3547">
        <v>8.4208646292812794</v>
      </c>
      <c r="AG3547">
        <v>-0.80596809999999997</v>
      </c>
      <c r="AH3547">
        <v>66.343161528369706</v>
      </c>
      <c r="AI3547">
        <v>90.690482588435501</v>
      </c>
      <c r="AJ3547">
        <v>82.7661919576625</v>
      </c>
      <c r="AK3547">
        <v>66.880308217458506</v>
      </c>
      <c r="AL3547">
        <v>91.439411726242994</v>
      </c>
      <c r="AM3547">
        <v>83.631658878317296</v>
      </c>
      <c r="AN3547">
        <v>0.999999945438378</v>
      </c>
    </row>
    <row r="3548" spans="1:40" x14ac:dyDescent="0.25">
      <c r="A3548" t="str">
        <f>"20190312161342331"</f>
        <v>20190312161342331</v>
      </c>
      <c r="B3548" t="str">
        <f>"1552378422319925"</f>
        <v>1552378422319925</v>
      </c>
      <c r="C3548" t="s">
        <v>40</v>
      </c>
      <c r="D3548">
        <v>4.9968380000000003</v>
      </c>
      <c r="E3548">
        <v>0.50548300000000002</v>
      </c>
      <c r="F3548" t="s">
        <v>81</v>
      </c>
      <c r="G3548">
        <v>-168.41099999999901</v>
      </c>
      <c r="H3548">
        <v>0.29626659999999999</v>
      </c>
      <c r="I3548">
        <v>205.19980000000001</v>
      </c>
      <c r="J3548">
        <v>-234.48169999999999</v>
      </c>
      <c r="K3548">
        <v>1.110012</v>
      </c>
      <c r="L3548">
        <v>214.19489999999999</v>
      </c>
      <c r="M3548">
        <v>0.99986609999999998</v>
      </c>
      <c r="N3548">
        <v>0</v>
      </c>
      <c r="O3548">
        <v>-8.2117900000000001E-3</v>
      </c>
      <c r="P3548">
        <v>0.99197800000000003</v>
      </c>
      <c r="Q3548">
        <v>-3.9254259999999999E-2</v>
      </c>
      <c r="R3548">
        <v>-0.12016209999999999</v>
      </c>
      <c r="S3548">
        <v>2.9739529999999998</v>
      </c>
      <c r="T3548">
        <v>-3.6509750000000001E-2</v>
      </c>
      <c r="U3548">
        <v>-0.40367130000000001</v>
      </c>
      <c r="V3548">
        <v>0.1120071</v>
      </c>
      <c r="W3548">
        <v>-2.521222E-2</v>
      </c>
      <c r="X3548">
        <v>0.99338749999999998</v>
      </c>
      <c r="Y3548">
        <v>0.12635089999999999</v>
      </c>
      <c r="Z3548">
        <v>-6.7166190000000003E-4</v>
      </c>
      <c r="AA3548">
        <v>0.99198540000000002</v>
      </c>
      <c r="AB3548">
        <v>29</v>
      </c>
      <c r="AC3548">
        <v>66.070700000000002</v>
      </c>
      <c r="AD3548">
        <v>-0.81374539999999995</v>
      </c>
      <c r="AE3548">
        <v>-8.9950999999999794</v>
      </c>
      <c r="AF3548">
        <v>8.4509249769918195</v>
      </c>
      <c r="AG3548">
        <v>-0.81374539999999995</v>
      </c>
      <c r="AH3548">
        <v>66.132495962116295</v>
      </c>
      <c r="AI3548">
        <v>90.699290112698506</v>
      </c>
      <c r="AJ3548">
        <v>82.717767201952299</v>
      </c>
      <c r="AK3548">
        <v>66.675237807765598</v>
      </c>
      <c r="AL3548">
        <v>91.444706902326104</v>
      </c>
      <c r="AM3548">
        <v>83.566917279961103</v>
      </c>
      <c r="AN3548">
        <v>0.99999998582199401</v>
      </c>
    </row>
    <row r="3549" spans="1:40" x14ac:dyDescent="0.25">
      <c r="A3549" t="str">
        <f>"20190312161342351"</f>
        <v>20190312161342351</v>
      </c>
      <c r="B3549" t="str">
        <f>"1552378422339445"</f>
        <v>1552378422339445</v>
      </c>
      <c r="C3549" t="s">
        <v>40</v>
      </c>
      <c r="D3549">
        <v>4.9602389999999996</v>
      </c>
      <c r="E3549">
        <v>0.50577190000000005</v>
      </c>
      <c r="F3549" t="s">
        <v>81</v>
      </c>
      <c r="G3549">
        <v>-168.41099999999901</v>
      </c>
      <c r="H3549">
        <v>0.25562099999999999</v>
      </c>
      <c r="I3549">
        <v>205.13339999999999</v>
      </c>
      <c r="J3549">
        <v>-234.23099999999999</v>
      </c>
      <c r="K3549">
        <v>1.1100129999999999</v>
      </c>
      <c r="L3549">
        <v>214.1927</v>
      </c>
      <c r="M3549">
        <v>0.99986569999999997</v>
      </c>
      <c r="N3549">
        <v>0</v>
      </c>
      <c r="O3549">
        <v>-8.2657679999999997E-3</v>
      </c>
      <c r="P3549">
        <v>0.99190679999999998</v>
      </c>
      <c r="Q3549">
        <v>-3.9000670000000001E-2</v>
      </c>
      <c r="R3549">
        <v>-0.1208304</v>
      </c>
      <c r="S3549">
        <v>2.9733580000000002</v>
      </c>
      <c r="T3549">
        <v>-3.8448450000000002E-2</v>
      </c>
      <c r="U3549">
        <v>-0.40779110000000002</v>
      </c>
      <c r="V3549">
        <v>0.1126226</v>
      </c>
      <c r="W3549">
        <v>-2.4962160000000001E-2</v>
      </c>
      <c r="X3549">
        <v>0.99332419999999999</v>
      </c>
      <c r="Y3549">
        <v>0.12767200000000001</v>
      </c>
      <c r="Z3549">
        <v>-7.1520630000000002E-4</v>
      </c>
      <c r="AA3549">
        <v>0.99181620000000004</v>
      </c>
      <c r="AB3549">
        <v>29</v>
      </c>
      <c r="AC3549">
        <v>65.819999999999993</v>
      </c>
      <c r="AD3549">
        <v>-0.85439199999999904</v>
      </c>
      <c r="AE3549">
        <v>-9.0593000000000004</v>
      </c>
      <c r="AF3549">
        <v>8.5134752742154802</v>
      </c>
      <c r="AG3549">
        <v>-0.85439199999999904</v>
      </c>
      <c r="AH3549">
        <v>65.881745923527902</v>
      </c>
      <c r="AI3549">
        <v>90.736876351269203</v>
      </c>
      <c r="AJ3549">
        <v>82.636838303554399</v>
      </c>
      <c r="AK3549">
        <v>66.435033625841001</v>
      </c>
      <c r="AL3549">
        <v>91.430375041555905</v>
      </c>
      <c r="AM3549">
        <v>83.531456368658993</v>
      </c>
      <c r="AN3549">
        <v>0.99999996288413195</v>
      </c>
    </row>
    <row r="3550" spans="1:40" x14ac:dyDescent="0.25">
      <c r="A3550" t="str">
        <f>"20190312161342374"</f>
        <v>20190312161342374</v>
      </c>
      <c r="B3550" t="str">
        <f>"1552378422369701"</f>
        <v>1552378422369701</v>
      </c>
      <c r="C3550" t="s">
        <v>40</v>
      </c>
      <c r="D3550">
        <v>4.9428390000000002</v>
      </c>
      <c r="E3550">
        <v>0.506185</v>
      </c>
      <c r="F3550" t="s">
        <v>81</v>
      </c>
      <c r="G3550">
        <v>-168.41099999999901</v>
      </c>
      <c r="H3550">
        <v>0.2430687</v>
      </c>
      <c r="I3550">
        <v>205.06979999999999</v>
      </c>
      <c r="J3550">
        <v>-233.9391</v>
      </c>
      <c r="K3550">
        <v>1.1100110000000001</v>
      </c>
      <c r="L3550">
        <v>214.1902</v>
      </c>
      <c r="M3550">
        <v>0.99986529999999996</v>
      </c>
      <c r="N3550">
        <v>0</v>
      </c>
      <c r="O3550">
        <v>-8.3291609999999999E-3</v>
      </c>
      <c r="P3550">
        <v>0.99172510000000003</v>
      </c>
      <c r="Q3550">
        <v>-3.9224389999999998E-2</v>
      </c>
      <c r="R3550">
        <v>-0.12224110000000001</v>
      </c>
      <c r="S3550">
        <v>2.9727329999999998</v>
      </c>
      <c r="T3550">
        <v>-3.91537E-2</v>
      </c>
      <c r="U3550">
        <v>-0.41203309999999999</v>
      </c>
      <c r="V3550">
        <v>0.1139719</v>
      </c>
      <c r="W3550">
        <v>-2.5191359999999999E-2</v>
      </c>
      <c r="X3550">
        <v>0.99316450000000001</v>
      </c>
      <c r="Y3550">
        <v>0.12902549999999999</v>
      </c>
      <c r="Z3550">
        <v>-7.3644499999999996E-4</v>
      </c>
      <c r="AA3550">
        <v>0.99164099999999999</v>
      </c>
      <c r="AB3550">
        <v>29</v>
      </c>
      <c r="AC3550">
        <v>65.528099999999995</v>
      </c>
      <c r="AD3550">
        <v>-0.86694230000000005</v>
      </c>
      <c r="AE3550">
        <v>-9.1204000000000107</v>
      </c>
      <c r="AF3550">
        <v>8.5727628644016498</v>
      </c>
      <c r="AG3550">
        <v>-0.86694230000000005</v>
      </c>
      <c r="AH3550">
        <v>65.590536907486793</v>
      </c>
      <c r="AI3550">
        <v>90.750876684803799</v>
      </c>
      <c r="AJ3550">
        <v>82.553582462158005</v>
      </c>
      <c r="AK3550">
        <v>66.154080629188499</v>
      </c>
      <c r="AL3550">
        <v>91.443511367972803</v>
      </c>
      <c r="AM3550">
        <v>83.453583761383996</v>
      </c>
      <c r="AN3550">
        <v>0.99999996133425395</v>
      </c>
    </row>
    <row r="3551" spans="1:40" x14ac:dyDescent="0.25">
      <c r="A3551" t="str">
        <f>"20190312161342408"</f>
        <v>20190312161342408</v>
      </c>
      <c r="B3551" t="str">
        <f>"1552378422399958"</f>
        <v>1552378422399958</v>
      </c>
      <c r="C3551" t="s">
        <v>40</v>
      </c>
      <c r="D3551">
        <v>4.9603419999999998</v>
      </c>
      <c r="E3551">
        <v>0.50651780000000002</v>
      </c>
      <c r="F3551" t="s">
        <v>81</v>
      </c>
      <c r="G3551">
        <v>-168.41099999999901</v>
      </c>
      <c r="H3551">
        <v>0.164775799999999</v>
      </c>
      <c r="I3551">
        <v>204.94829999999999</v>
      </c>
      <c r="J3551">
        <v>-233.5026</v>
      </c>
      <c r="K3551">
        <v>1.110012</v>
      </c>
      <c r="L3551">
        <v>214.1865</v>
      </c>
      <c r="M3551">
        <v>0.99986450000000004</v>
      </c>
      <c r="N3551">
        <v>0</v>
      </c>
      <c r="O3551">
        <v>-8.4234140000000006E-3</v>
      </c>
      <c r="P3551">
        <v>0.99144049999999995</v>
      </c>
      <c r="Q3551">
        <v>-3.9867479999999997E-2</v>
      </c>
      <c r="R3551">
        <v>-0.12432319999999999</v>
      </c>
      <c r="S3551">
        <v>2.9716490000000002</v>
      </c>
      <c r="T3551">
        <v>-4.2864199999999998E-2</v>
      </c>
      <c r="U3551">
        <v>-0.41911320000000002</v>
      </c>
      <c r="V3551">
        <v>0.1159626</v>
      </c>
      <c r="W3551">
        <v>-2.5842859999999999E-2</v>
      </c>
      <c r="X3551">
        <v>0.99291739999999995</v>
      </c>
      <c r="Y3551">
        <v>0.13129589999999999</v>
      </c>
      <c r="Z3551">
        <v>-8.2132899999999998E-4</v>
      </c>
      <c r="AA3551">
        <v>0.99134290000000003</v>
      </c>
      <c r="AB3551">
        <v>29</v>
      </c>
      <c r="AC3551">
        <v>65.0916</v>
      </c>
      <c r="AD3551">
        <v>-0.94523619999999997</v>
      </c>
      <c r="AE3551">
        <v>-9.2382000000000009</v>
      </c>
      <c r="AF3551">
        <v>8.6877279711988304</v>
      </c>
      <c r="AG3551">
        <v>-0.94523619999999997</v>
      </c>
      <c r="AH3551">
        <v>65.153647046632599</v>
      </c>
      <c r="AI3551">
        <v>90.823886389250106</v>
      </c>
      <c r="AJ3551">
        <v>82.404859784968195</v>
      </c>
      <c r="AK3551">
        <v>65.737111377459499</v>
      </c>
      <c r="AL3551">
        <v>91.480851567125399</v>
      </c>
      <c r="AM3551">
        <v>83.338616167836406</v>
      </c>
      <c r="AN3551">
        <v>1.0000000706172401</v>
      </c>
    </row>
    <row r="3552" spans="1:40" x14ac:dyDescent="0.25">
      <c r="A3552" t="str">
        <f>"20190312161342430"</f>
        <v>20190312161342430</v>
      </c>
      <c r="B3552" t="str">
        <f>"1552378422419477"</f>
        <v>1552378422419477</v>
      </c>
      <c r="C3552" t="s">
        <v>40</v>
      </c>
      <c r="D3552">
        <v>4.9238739999999996</v>
      </c>
      <c r="E3552">
        <v>0.50666610000000001</v>
      </c>
      <c r="F3552" t="s">
        <v>81</v>
      </c>
      <c r="G3552">
        <v>-168.4111</v>
      </c>
      <c r="H3552">
        <v>0.15894320000000001</v>
      </c>
      <c r="I3552">
        <v>204.80260000000001</v>
      </c>
      <c r="J3552">
        <v>-233.22489999999999</v>
      </c>
      <c r="K3552">
        <v>1.1100190000000001</v>
      </c>
      <c r="L3552">
        <v>214.1841</v>
      </c>
      <c r="M3552">
        <v>0.99986399999999998</v>
      </c>
      <c r="N3552">
        <v>0</v>
      </c>
      <c r="O3552">
        <v>-8.4832320000000003E-3</v>
      </c>
      <c r="P3552">
        <v>0.99133689999999997</v>
      </c>
      <c r="Q3552">
        <v>-3.948608E-2</v>
      </c>
      <c r="R3552">
        <v>-0.1252683</v>
      </c>
      <c r="S3552">
        <v>2.9704739999999998</v>
      </c>
      <c r="T3552">
        <v>-4.3400880000000003E-2</v>
      </c>
      <c r="U3552">
        <v>-0.4282379</v>
      </c>
      <c r="V3552">
        <v>0.11684899999999999</v>
      </c>
      <c r="W3552">
        <v>-2.54658E-2</v>
      </c>
      <c r="X3552">
        <v>0.99282309999999996</v>
      </c>
      <c r="Y3552">
        <v>0.13427420000000001</v>
      </c>
      <c r="Z3552">
        <v>-8.5253279999999998E-4</v>
      </c>
      <c r="AA3552">
        <v>0.99094380000000004</v>
      </c>
      <c r="AB3552">
        <v>29</v>
      </c>
      <c r="AC3552">
        <v>64.813799999999901</v>
      </c>
      <c r="AD3552">
        <v>-0.95107580000000003</v>
      </c>
      <c r="AE3552">
        <v>-9.3814999999999795</v>
      </c>
      <c r="AF3552">
        <v>8.8294146751707494</v>
      </c>
      <c r="AG3552">
        <v>-0.95107580000000003</v>
      </c>
      <c r="AH3552">
        <v>64.877377651937294</v>
      </c>
      <c r="AI3552">
        <v>90.832202131672602</v>
      </c>
      <c r="AJ3552">
        <v>82.250007730892193</v>
      </c>
      <c r="AK3552">
        <v>65.482342961103299</v>
      </c>
      <c r="AL3552">
        <v>91.459240682502497</v>
      </c>
      <c r="AM3552">
        <v>83.287528717363898</v>
      </c>
      <c r="AN3552">
        <v>0.99999995183212298</v>
      </c>
    </row>
    <row r="3553" spans="1:40" x14ac:dyDescent="0.25">
      <c r="A3553" t="str">
        <f>"20190312161342451"</f>
        <v>20190312161342451</v>
      </c>
      <c r="B3553" t="str">
        <f>"1552378422439974"</f>
        <v>1552378422439974</v>
      </c>
      <c r="C3553" t="s">
        <v>40</v>
      </c>
      <c r="D3553">
        <v>4.9146210000000004</v>
      </c>
      <c r="E3553">
        <v>0.50680800000000004</v>
      </c>
      <c r="F3553" t="s">
        <v>54</v>
      </c>
      <c r="G3553">
        <v>-177.18469999999999</v>
      </c>
      <c r="H3553">
        <v>0.3384973</v>
      </c>
      <c r="I3553">
        <v>206.02789999999999</v>
      </c>
      <c r="J3553">
        <v>-232.95160000000001</v>
      </c>
      <c r="K3553">
        <v>1.110028</v>
      </c>
      <c r="L3553">
        <v>214.18170000000001</v>
      </c>
      <c r="M3553">
        <v>0.99986339999999996</v>
      </c>
      <c r="N3553">
        <v>0</v>
      </c>
      <c r="O3553">
        <v>-8.5423319999999997E-3</v>
      </c>
      <c r="P3553">
        <v>0.99128130000000003</v>
      </c>
      <c r="Q3553">
        <v>-3.9106420000000003E-2</v>
      </c>
      <c r="R3553">
        <v>-0.12582449999999901</v>
      </c>
      <c r="S3553">
        <v>2.9699710000000001</v>
      </c>
      <c r="T3553">
        <v>-4.0888430000000003E-2</v>
      </c>
      <c r="U3553">
        <v>-0.432251</v>
      </c>
      <c r="V3553">
        <v>0.1173471</v>
      </c>
      <c r="W3553">
        <v>-2.508968E-2</v>
      </c>
      <c r="X3553">
        <v>0.99277400000000005</v>
      </c>
      <c r="Y3553">
        <v>0.13555200000000001</v>
      </c>
      <c r="Z3553">
        <v>-8.1118279999999997E-4</v>
      </c>
      <c r="AA3553">
        <v>0.99076989999999998</v>
      </c>
      <c r="AB3553">
        <v>29</v>
      </c>
      <c r="AC3553">
        <v>55.7669</v>
      </c>
      <c r="AD3553">
        <v>-0.77153070000000001</v>
      </c>
      <c r="AE3553">
        <v>-8.1538000000000093</v>
      </c>
      <c r="AF3553">
        <v>7.6756369627167498</v>
      </c>
      <c r="AG3553">
        <v>-0.77153070000000001</v>
      </c>
      <c r="AH3553">
        <v>55.824062935205603</v>
      </c>
      <c r="AI3553">
        <v>90.784441087091196</v>
      </c>
      <c r="AJ3553">
        <v>82.171096437467298</v>
      </c>
      <c r="AK3553">
        <v>56.354562060211798</v>
      </c>
      <c r="AL3553">
        <v>91.437683600084398</v>
      </c>
      <c r="AM3553">
        <v>83.258847459882304</v>
      </c>
      <c r="AN3553">
        <v>1.0000000244984499</v>
      </c>
    </row>
    <row r="3554" spans="1:40" x14ac:dyDescent="0.25">
      <c r="A3554" t="str">
        <f>"20190312161342474"</f>
        <v>20190312161342474</v>
      </c>
      <c r="B3554" t="str">
        <f>"1552378422469253"</f>
        <v>1552378422469253</v>
      </c>
      <c r="C3554" t="s">
        <v>40</v>
      </c>
      <c r="D3554">
        <v>5.0014789999999998</v>
      </c>
      <c r="E3554">
        <v>0.50701679999999905</v>
      </c>
      <c r="F3554" t="s">
        <v>54</v>
      </c>
      <c r="G3554">
        <v>-177.22280000000001</v>
      </c>
      <c r="H3554">
        <v>0.38374239999999998</v>
      </c>
      <c r="I3554">
        <v>206.01779999999999</v>
      </c>
      <c r="J3554">
        <v>-232.66</v>
      </c>
      <c r="K3554">
        <v>1.1100350000000001</v>
      </c>
      <c r="L3554">
        <v>214.17910000000001</v>
      </c>
      <c r="M3554">
        <v>0.9998631</v>
      </c>
      <c r="N3554">
        <v>0</v>
      </c>
      <c r="O3554">
        <v>-8.6054879999999997E-3</v>
      </c>
      <c r="P3554">
        <v>0.99126890000000001</v>
      </c>
      <c r="Q3554">
        <v>-3.8748440000000002E-2</v>
      </c>
      <c r="R3554">
        <v>-0.12603529999999999</v>
      </c>
      <c r="S3554">
        <v>2.9696349999999998</v>
      </c>
      <c r="T3554">
        <v>-3.8701770000000003E-2</v>
      </c>
      <c r="U3554">
        <v>-0.43502809999999997</v>
      </c>
      <c r="V3554">
        <v>0.1174953</v>
      </c>
      <c r="W3554">
        <v>-2.4734880000000001E-2</v>
      </c>
      <c r="X3554">
        <v>0.99276540000000002</v>
      </c>
      <c r="Y3554">
        <v>0.1364136</v>
      </c>
      <c r="Z3554">
        <v>-7.7260640000000004E-4</v>
      </c>
      <c r="AA3554">
        <v>0.99065170000000002</v>
      </c>
      <c r="AB3554">
        <v>28</v>
      </c>
      <c r="AC3554">
        <v>55.437199999999898</v>
      </c>
      <c r="AD3554">
        <v>-0.72629259999999995</v>
      </c>
      <c r="AE3554">
        <v>-8.1613000000000095</v>
      </c>
      <c r="AF3554">
        <v>7.68259526150017</v>
      </c>
      <c r="AG3554">
        <v>-0.72629259999999995</v>
      </c>
      <c r="AH3554">
        <v>55.496062522461699</v>
      </c>
      <c r="AI3554">
        <v>90.7427209356959</v>
      </c>
      <c r="AJ3554">
        <v>82.118354809466496</v>
      </c>
      <c r="AK3554">
        <v>56.030016298318401</v>
      </c>
      <c r="AL3554">
        <v>91.417348711180907</v>
      </c>
      <c r="AM3554">
        <v>83.250354490384098</v>
      </c>
      <c r="AN3554">
        <v>1.0000000496239301</v>
      </c>
    </row>
    <row r="3555" spans="1:40" x14ac:dyDescent="0.25">
      <c r="A3555" t="str">
        <f>"20190312161342496"</f>
        <v>20190312161342496</v>
      </c>
      <c r="B3555" t="str">
        <f>"1552378422489752"</f>
        <v>1552378422489752</v>
      </c>
      <c r="C3555" t="s">
        <v>40</v>
      </c>
      <c r="D3555">
        <v>4.9253019999999896</v>
      </c>
      <c r="E3555">
        <v>0.50720659999999995</v>
      </c>
      <c r="F3555" t="s">
        <v>54</v>
      </c>
      <c r="G3555">
        <v>-177.2996</v>
      </c>
      <c r="H3555">
        <v>0.33418949999999997</v>
      </c>
      <c r="I3555">
        <v>206.02889999999999</v>
      </c>
      <c r="J3555">
        <v>-232.3716</v>
      </c>
      <c r="K3555">
        <v>1.110028</v>
      </c>
      <c r="L3555">
        <v>214.1765</v>
      </c>
      <c r="M3555">
        <v>0.99986269999999999</v>
      </c>
      <c r="N3555">
        <v>0</v>
      </c>
      <c r="O3555">
        <v>-8.6676900000000005E-3</v>
      </c>
      <c r="P3555">
        <v>0.99129750000000005</v>
      </c>
      <c r="Q3555">
        <v>-3.837368E-2</v>
      </c>
      <c r="R3555">
        <v>-0.12592539999999999</v>
      </c>
      <c r="S3555">
        <v>2.9692379999999998</v>
      </c>
      <c r="T3555">
        <v>-4.161227E-2</v>
      </c>
      <c r="U3555">
        <v>-0.43713380000000002</v>
      </c>
      <c r="V3555">
        <v>0.117323499999999</v>
      </c>
      <c r="W3555">
        <v>-2.436263E-2</v>
      </c>
      <c r="X3555">
        <v>0.99279490000000004</v>
      </c>
      <c r="Y3555">
        <v>0.13705699999999901</v>
      </c>
      <c r="Z3555">
        <v>-8.3438759999999903E-4</v>
      </c>
      <c r="AA3555">
        <v>0.99056279999999997</v>
      </c>
      <c r="AB3555">
        <v>28</v>
      </c>
      <c r="AC3555">
        <v>55.071999999999903</v>
      </c>
      <c r="AD3555">
        <v>-0.77583849999999999</v>
      </c>
      <c r="AE3555">
        <v>-8.1476000000000095</v>
      </c>
      <c r="AF3555">
        <v>7.6684099351785804</v>
      </c>
      <c r="AG3555">
        <v>-0.77583849999999999</v>
      </c>
      <c r="AH3555">
        <v>55.1298517926896</v>
      </c>
      <c r="AI3555">
        <v>90.798578777670798</v>
      </c>
      <c r="AJ3555">
        <v>82.081126207351303</v>
      </c>
      <c r="AK3555">
        <v>55.666030889546498</v>
      </c>
      <c r="AL3555">
        <v>91.396013959602598</v>
      </c>
      <c r="AM3555">
        <v>83.260331297751094</v>
      </c>
      <c r="AN3555">
        <v>1.0000000274293801</v>
      </c>
    </row>
    <row r="3556" spans="1:40" x14ac:dyDescent="0.25">
      <c r="A3556" t="str">
        <f>"20190312161342519"</f>
        <v>20190312161342519</v>
      </c>
      <c r="B3556" t="str">
        <f>"1552378422509269"</f>
        <v>1552378422509269</v>
      </c>
      <c r="C3556" t="s">
        <v>40</v>
      </c>
      <c r="D3556">
        <v>4.9476570000000004</v>
      </c>
      <c r="E3556">
        <v>0.5073723</v>
      </c>
      <c r="F3556" t="s">
        <v>54</v>
      </c>
      <c r="G3556">
        <v>-177.18039999999999</v>
      </c>
      <c r="H3556">
        <v>0.32779449999999999</v>
      </c>
      <c r="I3556">
        <v>206.03030000000001</v>
      </c>
      <c r="J3556">
        <v>-232.0951</v>
      </c>
      <c r="K3556">
        <v>1.1100270000000001</v>
      </c>
      <c r="L3556">
        <v>214.17410000000001</v>
      </c>
      <c r="M3556">
        <v>0.99986209999999998</v>
      </c>
      <c r="N3556">
        <v>0</v>
      </c>
      <c r="O3556">
        <v>-8.7275069999999903E-3</v>
      </c>
      <c r="P3556">
        <v>0.99114869999999999</v>
      </c>
      <c r="Q3556">
        <v>-3.8841590000000002E-2</v>
      </c>
      <c r="R3556">
        <v>-0.12694829999999999</v>
      </c>
      <c r="S3556">
        <v>2.9690699999999999</v>
      </c>
      <c r="T3556">
        <v>-4.208112E-2</v>
      </c>
      <c r="U3556">
        <v>-0.43823240000000002</v>
      </c>
      <c r="V3556">
        <v>0.1182883</v>
      </c>
      <c r="W3556">
        <v>-2.4835389999999999E-2</v>
      </c>
      <c r="X3556">
        <v>0.99266869999999996</v>
      </c>
      <c r="Y3556">
        <v>0.13736419999999999</v>
      </c>
      <c r="Z3556">
        <v>-8.4513470000000001E-4</v>
      </c>
      <c r="AA3556">
        <v>0.99052019999999996</v>
      </c>
      <c r="AB3556">
        <v>28</v>
      </c>
      <c r="AC3556">
        <v>54.914700000000003</v>
      </c>
      <c r="AD3556">
        <v>-0.7822325</v>
      </c>
      <c r="AE3556">
        <v>-8.1437999999999899</v>
      </c>
      <c r="AF3556">
        <v>7.6626521700694497</v>
      </c>
      <c r="AG3556">
        <v>-0.7822325</v>
      </c>
      <c r="AH3556">
        <v>54.972776037211503</v>
      </c>
      <c r="AI3556">
        <v>90.8074273546721</v>
      </c>
      <c r="AJ3556">
        <v>82.064674189327107</v>
      </c>
      <c r="AK3556">
        <v>55.509766989250998</v>
      </c>
      <c r="AL3556">
        <v>91.423109302660805</v>
      </c>
      <c r="AM3556">
        <v>83.204568534714596</v>
      </c>
      <c r="AN3556">
        <v>1.00000003323651</v>
      </c>
    </row>
    <row r="3557" spans="1:40" x14ac:dyDescent="0.25">
      <c r="A3557" t="str">
        <f>"20190312161342541"</f>
        <v>20190312161342541</v>
      </c>
      <c r="B3557" t="str">
        <f>"1552378422529766"</f>
        <v>1552378422529766</v>
      </c>
      <c r="C3557" t="s">
        <v>40</v>
      </c>
      <c r="D3557">
        <v>4.966564</v>
      </c>
      <c r="E3557">
        <v>0.50749900000000003</v>
      </c>
      <c r="F3557" t="s">
        <v>54</v>
      </c>
      <c r="G3557">
        <v>-177.57060000000001</v>
      </c>
      <c r="H3557">
        <v>0.28383340000000001</v>
      </c>
      <c r="I3557">
        <v>206.0402</v>
      </c>
      <c r="J3557">
        <v>-231.81299999999999</v>
      </c>
      <c r="K3557">
        <v>1.110025</v>
      </c>
      <c r="L3557">
        <v>214.17160000000001</v>
      </c>
      <c r="M3557">
        <v>0.99986149999999996</v>
      </c>
      <c r="N3557">
        <v>0</v>
      </c>
      <c r="O3557">
        <v>-8.7882759999999994E-3</v>
      </c>
      <c r="P3557">
        <v>0.99109049999999999</v>
      </c>
      <c r="Q3557">
        <v>-3.8307630000000002E-2</v>
      </c>
      <c r="R3557">
        <v>-0.1275625</v>
      </c>
      <c r="S3557">
        <v>2.9683229999999998</v>
      </c>
      <c r="T3557">
        <v>-4.497814E-2</v>
      </c>
      <c r="U3557">
        <v>-0.44281009999999998</v>
      </c>
      <c r="V3557">
        <v>0.118843</v>
      </c>
      <c r="W3557">
        <v>-2.4305130000000001E-2</v>
      </c>
      <c r="X3557">
        <v>0.99261549999999998</v>
      </c>
      <c r="Y3557">
        <v>0.1388326</v>
      </c>
      <c r="Z3557">
        <v>-9.1358189999999999E-4</v>
      </c>
      <c r="AA3557">
        <v>0.99031539999999996</v>
      </c>
      <c r="AB3557">
        <v>28</v>
      </c>
      <c r="AC3557">
        <v>54.242399999999897</v>
      </c>
      <c r="AD3557">
        <v>-0.82619159999999903</v>
      </c>
      <c r="AE3557">
        <v>-8.13140000000001</v>
      </c>
      <c r="AF3557">
        <v>7.6526047567100903</v>
      </c>
      <c r="AG3557">
        <v>-0.82619159999999903</v>
      </c>
      <c r="AH3557">
        <v>54.299452515982203</v>
      </c>
      <c r="AI3557">
        <v>90.863185919381493</v>
      </c>
      <c r="AJ3557">
        <v>81.977946280603604</v>
      </c>
      <c r="AK3557">
        <v>54.842278359471301</v>
      </c>
      <c r="AL3557">
        <v>91.392718564312304</v>
      </c>
      <c r="AM3557">
        <v>83.172639730886104</v>
      </c>
      <c r="AN3557">
        <v>0.99999996441678196</v>
      </c>
    </row>
    <row r="3558" spans="1:40" x14ac:dyDescent="0.25">
      <c r="A3558" t="str">
        <f>"20190312161342564"</f>
        <v>20190312161342564</v>
      </c>
      <c r="B3558" t="str">
        <f>"1552378422559049"</f>
        <v>1552378422559049</v>
      </c>
      <c r="C3558" t="s">
        <v>40</v>
      </c>
      <c r="D3558">
        <v>5.213635</v>
      </c>
      <c r="E3558">
        <v>0.50773380000000001</v>
      </c>
      <c r="F3558" t="s">
        <v>54</v>
      </c>
      <c r="G3558">
        <v>-177.6514</v>
      </c>
      <c r="H3558">
        <v>0.27655469999999999</v>
      </c>
      <c r="I3558">
        <v>206.04179999999999</v>
      </c>
      <c r="J3558">
        <v>-231.52090000000001</v>
      </c>
      <c r="K3558">
        <v>1.110025</v>
      </c>
      <c r="L3558">
        <v>214.16890000000001</v>
      </c>
      <c r="M3558">
        <v>0.99986109999999995</v>
      </c>
      <c r="N3558">
        <v>0</v>
      </c>
      <c r="O3558">
        <v>-8.8515490000000002E-3</v>
      </c>
      <c r="P3558">
        <v>0.99109829999999999</v>
      </c>
      <c r="Q3558">
        <v>-3.8163450000000002E-2</v>
      </c>
      <c r="R3558">
        <v>-0.12754599999999999</v>
      </c>
      <c r="S3558">
        <v>2.9678650000000002</v>
      </c>
      <c r="T3558">
        <v>-4.5671219999999998E-2</v>
      </c>
      <c r="U3558">
        <v>-0.4454803</v>
      </c>
      <c r="V3558">
        <v>0.1187636</v>
      </c>
      <c r="W3558">
        <v>-2.4163759999999999E-2</v>
      </c>
      <c r="X3558">
        <v>0.99262850000000002</v>
      </c>
      <c r="Y3558">
        <v>0.13966310000000001</v>
      </c>
      <c r="Z3558">
        <v>-9.3312479999999997E-4</v>
      </c>
      <c r="AA3558">
        <v>0.99019860000000004</v>
      </c>
      <c r="AB3558">
        <v>28</v>
      </c>
      <c r="AC3558">
        <v>53.869500000000002</v>
      </c>
      <c r="AD3558">
        <v>-0.8334703</v>
      </c>
      <c r="AE3558">
        <v>-8.1271000000000093</v>
      </c>
      <c r="AF3558">
        <v>7.6481153887037001</v>
      </c>
      <c r="AG3558">
        <v>-0.8334703</v>
      </c>
      <c r="AH3558">
        <v>53.926711913527001</v>
      </c>
      <c r="AI3558">
        <v>90.876699070122797</v>
      </c>
      <c r="AJ3558">
        <v>81.927902894103298</v>
      </c>
      <c r="AK3558">
        <v>54.472732624171101</v>
      </c>
      <c r="AL3558">
        <v>91.384616217617094</v>
      </c>
      <c r="AM3558">
        <v>83.177246647043702</v>
      </c>
      <c r="AN3558">
        <v>1.0000000094972701</v>
      </c>
    </row>
    <row r="3559" spans="1:40" x14ac:dyDescent="0.25">
      <c r="A3559" t="str">
        <f>"20190312161342587"</f>
        <v>20190312161342587</v>
      </c>
      <c r="B3559" t="str">
        <f>"1552378422579542"</f>
        <v>1552378422579542</v>
      </c>
      <c r="C3559" t="s">
        <v>40</v>
      </c>
      <c r="D3559">
        <v>4.9758610000000001</v>
      </c>
      <c r="E3559">
        <v>0.50803290000000001</v>
      </c>
      <c r="F3559" t="s">
        <v>54</v>
      </c>
      <c r="G3559">
        <v>-177.55240000000001</v>
      </c>
      <c r="H3559">
        <v>0.29994910000000002</v>
      </c>
      <c r="I3559">
        <v>206.03659999999999</v>
      </c>
      <c r="J3559">
        <v>-231.23779999999999</v>
      </c>
      <c r="K3559">
        <v>1.1100270000000001</v>
      </c>
      <c r="L3559">
        <v>214.16630000000001</v>
      </c>
      <c r="M3559">
        <v>0.99986059999999999</v>
      </c>
      <c r="N3559">
        <v>0</v>
      </c>
      <c r="O3559">
        <v>-8.9124349999999998E-3</v>
      </c>
      <c r="P3559">
        <v>0.99107199999999995</v>
      </c>
      <c r="Q3559">
        <v>-3.8474380000000002E-2</v>
      </c>
      <c r="R3559">
        <v>-0.12765760000000001</v>
      </c>
      <c r="S3559">
        <v>2.9676819999999999</v>
      </c>
      <c r="T3559">
        <v>-4.4545410000000001E-2</v>
      </c>
      <c r="U3559">
        <v>-0.44718930000000001</v>
      </c>
      <c r="V3559">
        <v>0.1188148</v>
      </c>
      <c r="W3559">
        <v>-2.4477849999999999E-2</v>
      </c>
      <c r="X3559">
        <v>0.99261469999999896</v>
      </c>
      <c r="Y3559">
        <v>0.14017009999999999</v>
      </c>
      <c r="Z3559">
        <v>-9.1301679999999995E-4</v>
      </c>
      <c r="AA3559">
        <v>0.99012699999999998</v>
      </c>
      <c r="AB3559">
        <v>28</v>
      </c>
      <c r="AC3559">
        <v>53.685399999999902</v>
      </c>
      <c r="AD3559">
        <v>-0.81007790000000002</v>
      </c>
      <c r="AE3559">
        <v>-8.1297000000000104</v>
      </c>
      <c r="AF3559">
        <v>7.6491591332041997</v>
      </c>
      <c r="AG3559">
        <v>-0.81007790000000002</v>
      </c>
      <c r="AH3559">
        <v>53.743767503439202</v>
      </c>
      <c r="AI3559">
        <v>90.854937413416195</v>
      </c>
      <c r="AJ3559">
        <v>81.899698716842295</v>
      </c>
      <c r="AK3559">
        <v>54.291421118928803</v>
      </c>
      <c r="AL3559">
        <v>91.402617541693203</v>
      </c>
      <c r="AM3559">
        <v>83.174239044588006</v>
      </c>
      <c r="AN3559">
        <v>1.0000000322478699</v>
      </c>
    </row>
    <row r="3560" spans="1:40" x14ac:dyDescent="0.25">
      <c r="A3560" t="str">
        <f>"20190312161342609"</f>
        <v>20190312161342609</v>
      </c>
      <c r="B3560" t="str">
        <f>"1552378422599061"</f>
        <v>1552378422599061</v>
      </c>
      <c r="C3560" t="s">
        <v>40</v>
      </c>
      <c r="D3560">
        <v>4.9629770000000004</v>
      </c>
      <c r="E3560">
        <v>0.508349299999999</v>
      </c>
      <c r="F3560" t="s">
        <v>54</v>
      </c>
      <c r="G3560">
        <v>-177.62809999999999</v>
      </c>
      <c r="H3560">
        <v>0.3008671</v>
      </c>
      <c r="I3560">
        <v>206.03639999999999</v>
      </c>
      <c r="J3560">
        <v>-230.9563</v>
      </c>
      <c r="K3560">
        <v>1.1100270000000001</v>
      </c>
      <c r="L3560">
        <v>214.16380000000001</v>
      </c>
      <c r="M3560">
        <v>0.99986019999999998</v>
      </c>
      <c r="N3560">
        <v>0</v>
      </c>
      <c r="O3560">
        <v>-8.9728429999999994E-3</v>
      </c>
      <c r="P3560">
        <v>0.99101839999999997</v>
      </c>
      <c r="Q3560">
        <v>-3.8364189999999999E-2</v>
      </c>
      <c r="R3560">
        <v>-0.12810559999999999</v>
      </c>
      <c r="S3560">
        <v>2.9673159999999998</v>
      </c>
      <c r="T3560">
        <v>-4.478741E-2</v>
      </c>
      <c r="U3560">
        <v>-0.44999689999999998</v>
      </c>
      <c r="V3560">
        <v>0.1192035</v>
      </c>
      <c r="W3560">
        <v>-2.4370960000000001E-2</v>
      </c>
      <c r="X3560">
        <v>0.99257070000000003</v>
      </c>
      <c r="Y3560">
        <v>0.1410438</v>
      </c>
      <c r="Z3560">
        <v>-9.2367420000000005E-4</v>
      </c>
      <c r="AA3560">
        <v>0.99000290000000002</v>
      </c>
      <c r="AB3560">
        <v>28</v>
      </c>
      <c r="AC3560">
        <v>53.328200000000002</v>
      </c>
      <c r="AD3560">
        <v>-0.80915990000000004</v>
      </c>
      <c r="AE3560">
        <v>-8.1274000000000193</v>
      </c>
      <c r="AF3560">
        <v>7.6467990196487801</v>
      </c>
      <c r="AG3560">
        <v>-0.80915990000000004</v>
      </c>
      <c r="AH3560">
        <v>53.386973814618599</v>
      </c>
      <c r="AI3560">
        <v>90.859565997510998</v>
      </c>
      <c r="AJ3560">
        <v>81.848770663509995</v>
      </c>
      <c r="AK3560">
        <v>53.937901776704699</v>
      </c>
      <c r="AL3560">
        <v>91.396491404695794</v>
      </c>
      <c r="AM3560">
        <v>83.151819744293903</v>
      </c>
      <c r="AN3560">
        <v>1.0000000063010299</v>
      </c>
    </row>
    <row r="3561" spans="1:40" x14ac:dyDescent="0.25">
      <c r="A3561" t="str">
        <f>"20190312161342631"</f>
        <v>20190312161342631</v>
      </c>
      <c r="B3561" t="str">
        <f>"1552378422619557"</f>
        <v>1552378422619557</v>
      </c>
      <c r="C3561" t="s">
        <v>40</v>
      </c>
      <c r="D3561">
        <v>4.9722589999999904</v>
      </c>
      <c r="E3561">
        <v>0.50868729999999995</v>
      </c>
      <c r="F3561" t="s">
        <v>54</v>
      </c>
      <c r="G3561">
        <v>-177.78620000000001</v>
      </c>
      <c r="H3561">
        <v>0.328181099999999</v>
      </c>
      <c r="I3561">
        <v>206.03030000000001</v>
      </c>
      <c r="J3561">
        <v>-230.67850000000001</v>
      </c>
      <c r="K3561">
        <v>1.110025</v>
      </c>
      <c r="L3561">
        <v>214.16120000000001</v>
      </c>
      <c r="M3561">
        <v>0.99985959999999996</v>
      </c>
      <c r="N3561">
        <v>0</v>
      </c>
      <c r="O3561">
        <v>-9.0318220000000001E-3</v>
      </c>
      <c r="P3561">
        <v>0.99101360000000005</v>
      </c>
      <c r="Q3561">
        <v>-3.8119130000000001E-2</v>
      </c>
      <c r="R3561">
        <v>-0.1282153</v>
      </c>
      <c r="S3561">
        <v>2.9668429999999999</v>
      </c>
      <c r="T3561">
        <v>-4.3626310000000001E-2</v>
      </c>
      <c r="U3561">
        <v>-0.45384219999999997</v>
      </c>
      <c r="V3561">
        <v>0.11925479999999999</v>
      </c>
      <c r="W3561">
        <v>-2.4128730000000001E-2</v>
      </c>
      <c r="X3561">
        <v>0.99257050000000002</v>
      </c>
      <c r="Y3561">
        <v>0.14226340000000001</v>
      </c>
      <c r="Z3561">
        <v>-9.0783759999999998E-4</v>
      </c>
      <c r="AA3561">
        <v>0.98982840000000005</v>
      </c>
      <c r="AB3561">
        <v>28</v>
      </c>
      <c r="AC3561">
        <v>52.892299999999999</v>
      </c>
      <c r="AD3561">
        <v>-0.78184390000000004</v>
      </c>
      <c r="AE3561">
        <v>-8.1308999999999898</v>
      </c>
      <c r="AF3561">
        <v>7.6511736643571497</v>
      </c>
      <c r="AG3561">
        <v>-0.78184390000000004</v>
      </c>
      <c r="AH3561">
        <v>52.952283305117803</v>
      </c>
      <c r="AI3561">
        <v>90.837221130778303</v>
      </c>
      <c r="AJ3561">
        <v>81.778129837405501</v>
      </c>
      <c r="AK3561">
        <v>53.507906383557703</v>
      </c>
      <c r="AL3561">
        <v>91.382608504831097</v>
      </c>
      <c r="AM3561">
        <v>83.148899224272498</v>
      </c>
      <c r="AN3561">
        <v>1.0000000502023501</v>
      </c>
    </row>
    <row r="3562" spans="1:40" x14ac:dyDescent="0.25">
      <c r="A3562" t="str">
        <f>"20190312161342653"</f>
        <v>20190312161342653</v>
      </c>
      <c r="B3562" t="str">
        <f>"1552378422649814"</f>
        <v>1552378422649814</v>
      </c>
      <c r="C3562" t="s">
        <v>40</v>
      </c>
      <c r="D3562">
        <v>4.9660409999999997</v>
      </c>
      <c r="E3562">
        <v>0.50899170000000005</v>
      </c>
      <c r="F3562" t="s">
        <v>54</v>
      </c>
      <c r="G3562">
        <v>-177.80940000000001</v>
      </c>
      <c r="H3562">
        <v>0.35830719999999999</v>
      </c>
      <c r="I3562">
        <v>206.01740000000001</v>
      </c>
      <c r="J3562">
        <v>-230.39789999999999</v>
      </c>
      <c r="K3562">
        <v>1.1100239999999999</v>
      </c>
      <c r="L3562">
        <v>214.15860000000001</v>
      </c>
      <c r="M3562">
        <v>0.99985919999999895</v>
      </c>
      <c r="N3562">
        <v>0</v>
      </c>
      <c r="O3562">
        <v>-9.0913910000000007E-3</v>
      </c>
      <c r="P3562">
        <v>0.99098310000000001</v>
      </c>
      <c r="Q3562">
        <v>-3.8278850000000003E-2</v>
      </c>
      <c r="R3562">
        <v>-0.12840460000000001</v>
      </c>
      <c r="S3562">
        <v>2.9664459999999999</v>
      </c>
      <c r="T3562">
        <v>-4.2178390000000003E-2</v>
      </c>
      <c r="U3562">
        <v>-0.4569397</v>
      </c>
      <c r="V3562">
        <v>0.11938500000000001</v>
      </c>
      <c r="W3562">
        <v>-2.429181E-2</v>
      </c>
      <c r="X3562">
        <v>0.99255079999999996</v>
      </c>
      <c r="Y3562">
        <v>0.14323469999999999</v>
      </c>
      <c r="Z3562">
        <v>-8.8378030000000002E-4</v>
      </c>
      <c r="AA3562">
        <v>0.98968829999999997</v>
      </c>
      <c r="AB3562">
        <v>28</v>
      </c>
      <c r="AC3562">
        <v>52.588499999999897</v>
      </c>
      <c r="AD3562">
        <v>-0.75171679999999896</v>
      </c>
      <c r="AE3562">
        <v>-8.1411999999999907</v>
      </c>
      <c r="AF3562">
        <v>7.6611845477431801</v>
      </c>
      <c r="AG3562">
        <v>-0.75171679999999896</v>
      </c>
      <c r="AH3562">
        <v>52.649842382543099</v>
      </c>
      <c r="AI3562">
        <v>90.809470631811493</v>
      </c>
      <c r="AJ3562">
        <v>81.720882772392599</v>
      </c>
      <c r="AK3562">
        <v>53.209630046906099</v>
      </c>
      <c r="AL3562">
        <v>91.391955136826297</v>
      </c>
      <c r="AM3562">
        <v>83.141355709714006</v>
      </c>
      <c r="AN3562">
        <v>0.999999980419357</v>
      </c>
    </row>
    <row r="3563" spans="1:40" x14ac:dyDescent="0.25">
      <c r="A3563" t="str">
        <f>"20190312161342676"</f>
        <v>20190312161342676</v>
      </c>
      <c r="B3563" t="str">
        <f>"1552378422669334"</f>
        <v>1552378422669334</v>
      </c>
      <c r="C3563" t="s">
        <v>40</v>
      </c>
      <c r="D3563">
        <v>5.0005639999999998</v>
      </c>
      <c r="E3563">
        <v>0.52438130000000005</v>
      </c>
      <c r="F3563" t="s">
        <v>54</v>
      </c>
      <c r="G3563">
        <v>-177.8083</v>
      </c>
      <c r="H3563">
        <v>0.36321300000000001</v>
      </c>
      <c r="I3563">
        <v>206.00219999999999</v>
      </c>
      <c r="J3563">
        <v>-230.1183</v>
      </c>
      <c r="K3563">
        <v>1.110026</v>
      </c>
      <c r="L3563">
        <v>214.1559</v>
      </c>
      <c r="M3563">
        <v>0.99985860000000004</v>
      </c>
      <c r="N3563">
        <v>0</v>
      </c>
      <c r="O3563">
        <v>-9.1497699999999998E-3</v>
      </c>
      <c r="P3563">
        <v>0.99092469999999999</v>
      </c>
      <c r="Q3563">
        <v>-3.8430390000000002E-2</v>
      </c>
      <c r="R3563">
        <v>-0.12880899999999901</v>
      </c>
      <c r="S3563">
        <v>2.9660639999999998</v>
      </c>
      <c r="T3563">
        <v>-4.2120339999999999E-2</v>
      </c>
      <c r="U3563">
        <v>-0.46002199999999999</v>
      </c>
      <c r="V3563">
        <v>0.11973209999999999</v>
      </c>
      <c r="W3563">
        <v>-2.4447150000000001E-2</v>
      </c>
      <c r="X3563">
        <v>0.99250519999999998</v>
      </c>
      <c r="Y3563">
        <v>0.14420039999999901</v>
      </c>
      <c r="Z3563">
        <v>-8.8859859999999998E-4</v>
      </c>
      <c r="AA3563">
        <v>0.98954810000000004</v>
      </c>
      <c r="AB3563">
        <v>28</v>
      </c>
      <c r="AC3563">
        <v>52.31</v>
      </c>
      <c r="AD3563">
        <v>-0.74681299999999995</v>
      </c>
      <c r="AE3563">
        <v>-8.1537000000000095</v>
      </c>
      <c r="AF3563">
        <v>7.6731596312130801</v>
      </c>
      <c r="AG3563">
        <v>-0.74681299999999995</v>
      </c>
      <c r="AH3563">
        <v>52.372000329446799</v>
      </c>
      <c r="AI3563">
        <v>90.808340943112</v>
      </c>
      <c r="AJ3563">
        <v>81.664748272761898</v>
      </c>
      <c r="AK3563">
        <v>52.936391328561697</v>
      </c>
      <c r="AL3563">
        <v>91.400858072302498</v>
      </c>
      <c r="AM3563">
        <v>83.121292658212596</v>
      </c>
      <c r="AN3563">
        <v>1.00000000547028</v>
      </c>
    </row>
    <row r="3564" spans="1:40" x14ac:dyDescent="0.25">
      <c r="A3564" t="str">
        <f>"20190312161342697"</f>
        <v>20190312161342697</v>
      </c>
      <c r="B3564" t="str">
        <f>"1552378422689829"</f>
        <v>1552378422689829</v>
      </c>
      <c r="C3564" t="s">
        <v>40</v>
      </c>
      <c r="D3564">
        <v>4.8877579999999998</v>
      </c>
      <c r="E3564">
        <v>0.52555379999999996</v>
      </c>
      <c r="F3564" t="s">
        <v>63</v>
      </c>
      <c r="G3564">
        <v>-188.6044</v>
      </c>
      <c r="H3564" s="1">
        <v>5.4570140000000004E-6</v>
      </c>
      <c r="I3564">
        <v>205.97309999999999</v>
      </c>
      <c r="J3564">
        <v>-229.8424</v>
      </c>
      <c r="K3564">
        <v>1.110036</v>
      </c>
      <c r="L3564">
        <v>214.1534</v>
      </c>
      <c r="M3564">
        <v>0.99985820000000003</v>
      </c>
      <c r="N3564">
        <v>0</v>
      </c>
      <c r="O3564">
        <v>-9.2061179999999992E-3</v>
      </c>
      <c r="P3564">
        <v>0.99086249999999998</v>
      </c>
      <c r="Q3564">
        <v>-3.8636549999999999E-2</v>
      </c>
      <c r="R3564">
        <v>-0.1292247</v>
      </c>
      <c r="S3564">
        <v>2.948868</v>
      </c>
      <c r="T3564">
        <v>-7.8848360000000006E-2</v>
      </c>
      <c r="U3564">
        <v>-0.58125309999999997</v>
      </c>
      <c r="V3564">
        <v>0.1200924</v>
      </c>
      <c r="W3564">
        <v>-2.4656890000000001E-2</v>
      </c>
      <c r="X3564">
        <v>0.99245649999999996</v>
      </c>
      <c r="Y3564">
        <v>0.1842879</v>
      </c>
      <c r="Z3564">
        <v>-2.196155E-3</v>
      </c>
      <c r="AA3564">
        <v>0.98286989999999996</v>
      </c>
      <c r="AB3564">
        <v>28</v>
      </c>
      <c r="AC3564">
        <v>41.238</v>
      </c>
      <c r="AD3564">
        <v>-1.110030542986</v>
      </c>
      <c r="AE3564">
        <v>-8.1803000000000097</v>
      </c>
      <c r="AF3564">
        <v>7.7948396258538901</v>
      </c>
      <c r="AG3564">
        <v>-1.110030542986</v>
      </c>
      <c r="AH3564">
        <v>41.282788983177703</v>
      </c>
      <c r="AI3564">
        <v>91.513494015666495</v>
      </c>
      <c r="AJ3564">
        <v>79.307537029102306</v>
      </c>
      <c r="AK3564">
        <v>42.026900419002096</v>
      </c>
      <c r="AL3564">
        <v>91.412878884277006</v>
      </c>
      <c r="AM3564">
        <v>83.100457060239194</v>
      </c>
      <c r="AN3564">
        <v>1.0000000255772401</v>
      </c>
    </row>
    <row r="3565" spans="1:40" x14ac:dyDescent="0.25">
      <c r="A3565" t="str">
        <f>"20190312161342720"</f>
        <v>20190312161342720</v>
      </c>
      <c r="B3565" t="str">
        <f>"1552378422709350"</f>
        <v>1552378422709350</v>
      </c>
      <c r="C3565" t="s">
        <v>40</v>
      </c>
      <c r="D3565">
        <v>4.9529990000000002</v>
      </c>
      <c r="E3565">
        <v>0.52506339999999996</v>
      </c>
      <c r="F3565" t="s">
        <v>63</v>
      </c>
      <c r="G3565">
        <v>-183.27199999999999</v>
      </c>
      <c r="H3565" s="1">
        <v>4.6463260000000002E-6</v>
      </c>
      <c r="I3565">
        <v>204.79730000000001</v>
      </c>
      <c r="J3565">
        <v>-229.56479999999999</v>
      </c>
      <c r="K3565">
        <v>1.1100410000000001</v>
      </c>
      <c r="L3565">
        <v>214.1508</v>
      </c>
      <c r="M3565">
        <v>0.99985780000000002</v>
      </c>
      <c r="N3565">
        <v>0</v>
      </c>
      <c r="O3565">
        <v>-9.2617419999999999E-3</v>
      </c>
      <c r="P3565">
        <v>0.9908399</v>
      </c>
      <c r="Q3565">
        <v>-3.8182109999999998E-2</v>
      </c>
      <c r="R3565">
        <v>-0.12953319999999999</v>
      </c>
      <c r="S3565">
        <v>2.9476930000000001</v>
      </c>
      <c r="T3565">
        <v>-7.0259810000000006E-2</v>
      </c>
      <c r="U3565">
        <v>-0.59219359999999999</v>
      </c>
      <c r="V3565">
        <v>0.12034599999999999</v>
      </c>
      <c r="W3565">
        <v>-2.420539E-2</v>
      </c>
      <c r="X3565">
        <v>0.99243689999999996</v>
      </c>
      <c r="Y3565">
        <v>0.18782679999999999</v>
      </c>
      <c r="Z3565">
        <v>-1.9975129999999998E-3</v>
      </c>
      <c r="AA3565">
        <v>0.98220010000000002</v>
      </c>
      <c r="AB3565">
        <v>28</v>
      </c>
      <c r="AC3565">
        <v>46.2927999999999</v>
      </c>
      <c r="AD3565">
        <v>-1.1100363536740001</v>
      </c>
      <c r="AE3565">
        <v>-9.3534999999999897</v>
      </c>
      <c r="AF3565">
        <v>8.9193769404322207</v>
      </c>
      <c r="AG3565">
        <v>-1.1100363536740001</v>
      </c>
      <c r="AH3565">
        <v>46.351846653774302</v>
      </c>
      <c r="AI3565">
        <v>91.347154567780905</v>
      </c>
      <c r="AJ3565">
        <v>79.107845121227697</v>
      </c>
      <c r="AK3565">
        <v>47.215263992982202</v>
      </c>
      <c r="AL3565">
        <v>91.387002109545094</v>
      </c>
      <c r="AM3565">
        <v>83.085892902607497</v>
      </c>
      <c r="AN3565">
        <v>1.0000000305513299</v>
      </c>
    </row>
    <row r="3566" spans="1:40" x14ac:dyDescent="0.25">
      <c r="A3566" t="str">
        <f>"20190312161342742"</f>
        <v>20190312161342742</v>
      </c>
      <c r="B3566" t="str">
        <f>"1552378422739606"</f>
        <v>1552378422739606</v>
      </c>
      <c r="C3566" t="s">
        <v>40</v>
      </c>
      <c r="D3566">
        <v>4.8703940000000001</v>
      </c>
      <c r="E3566">
        <v>0.52501149999999996</v>
      </c>
      <c r="F3566" t="s">
        <v>63</v>
      </c>
      <c r="G3566">
        <v>-181.12020000000001</v>
      </c>
      <c r="H3566" s="1">
        <v>4.2701430000000001E-6</v>
      </c>
      <c r="I3566">
        <v>204.46639999999999</v>
      </c>
      <c r="J3566">
        <v>-229.285</v>
      </c>
      <c r="K3566">
        <v>1.1100490000000001</v>
      </c>
      <c r="L3566">
        <v>214.1481</v>
      </c>
      <c r="M3566">
        <v>0.99985729999999995</v>
      </c>
      <c r="N3566">
        <v>0</v>
      </c>
      <c r="O3566">
        <v>-9.3168910000000008E-3</v>
      </c>
      <c r="P3566">
        <v>0.99081589999999997</v>
      </c>
      <c r="Q3566">
        <v>-3.8416310000000002E-2</v>
      </c>
      <c r="R3566">
        <v>-0.1296476</v>
      </c>
      <c r="S3566">
        <v>2.9480900000000001</v>
      </c>
      <c r="T3566">
        <v>-6.7551139999999996E-2</v>
      </c>
      <c r="U3566">
        <v>-0.58934019999999898</v>
      </c>
      <c r="V3566">
        <v>0.1204061</v>
      </c>
      <c r="W3566">
        <v>-2.4442499999999999E-2</v>
      </c>
      <c r="X3566">
        <v>0.99242379999999997</v>
      </c>
      <c r="Y3566">
        <v>0.186837</v>
      </c>
      <c r="Z3566">
        <v>-1.907974E-3</v>
      </c>
      <c r="AA3566">
        <v>0.98238910000000002</v>
      </c>
      <c r="AB3566">
        <v>28</v>
      </c>
      <c r="AC3566">
        <v>48.1647999999999</v>
      </c>
      <c r="AD3566">
        <v>-1.110044729857</v>
      </c>
      <c r="AE3566">
        <v>-9.6816999999999993</v>
      </c>
      <c r="AF3566">
        <v>9.2277779175605694</v>
      </c>
      <c r="AG3566">
        <v>-1.110044729857</v>
      </c>
      <c r="AH3566">
        <v>48.2282995341806</v>
      </c>
      <c r="AI3566">
        <v>91.295029510222193</v>
      </c>
      <c r="AJ3566">
        <v>79.168207634408603</v>
      </c>
      <c r="AK3566">
        <v>49.115709916041602</v>
      </c>
      <c r="AL3566">
        <v>91.400591530456893</v>
      </c>
      <c r="AM3566">
        <v>83.0823830645068</v>
      </c>
      <c r="AN3566">
        <v>1.00000003176494</v>
      </c>
    </row>
    <row r="3567" spans="1:40" x14ac:dyDescent="0.25">
      <c r="A3567" t="str">
        <f>"20190312161342764"</f>
        <v>20190312161342764</v>
      </c>
      <c r="B3567" t="str">
        <f>"1552378422759128"</f>
        <v>1552378422759128</v>
      </c>
      <c r="C3567" t="s">
        <v>40</v>
      </c>
      <c r="D3567">
        <v>4.854177</v>
      </c>
      <c r="E3567">
        <v>0.52489680000000005</v>
      </c>
      <c r="F3567" t="s">
        <v>81</v>
      </c>
      <c r="G3567">
        <v>-168.41200000000001</v>
      </c>
      <c r="H3567">
        <v>-2.62394E-2</v>
      </c>
      <c r="I3567">
        <v>201.97059999999999</v>
      </c>
      <c r="J3567">
        <v>-229.00559999999999</v>
      </c>
      <c r="K3567">
        <v>1.1100540000000001</v>
      </c>
      <c r="L3567">
        <v>214.1454</v>
      </c>
      <c r="M3567">
        <v>0.99985679999999999</v>
      </c>
      <c r="N3567">
        <v>0</v>
      </c>
      <c r="O3567">
        <v>-9.3710919999999993E-3</v>
      </c>
      <c r="P3567">
        <v>0.99080420000000002</v>
      </c>
      <c r="Q3567">
        <v>-3.8278319999999998E-2</v>
      </c>
      <c r="R3567">
        <v>-0.12977739999999999</v>
      </c>
      <c r="S3567">
        <v>2.9485169999999998</v>
      </c>
      <c r="T3567">
        <v>-5.50369E-2</v>
      </c>
      <c r="U3567">
        <v>-0.58984380000000003</v>
      </c>
      <c r="V3567">
        <v>0.1204823</v>
      </c>
      <c r="W3567">
        <v>-2.4307349999999998E-2</v>
      </c>
      <c r="X3567">
        <v>0.99241780000000002</v>
      </c>
      <c r="Y3567">
        <v>0.18693280000000001</v>
      </c>
      <c r="Z3567">
        <v>-1.5542150000000001E-3</v>
      </c>
      <c r="AA3567">
        <v>0.98237149999999995</v>
      </c>
      <c r="AB3567">
        <v>28</v>
      </c>
      <c r="AC3567">
        <v>60.593599999999903</v>
      </c>
      <c r="AD3567">
        <v>-1.1362934</v>
      </c>
      <c r="AE3567">
        <v>-12.174799999999999</v>
      </c>
      <c r="AF3567">
        <v>11.6024588852426</v>
      </c>
      <c r="AG3567">
        <v>-1.1362934</v>
      </c>
      <c r="AH3567">
        <v>60.684528894533102</v>
      </c>
      <c r="AI3567">
        <v>91.053634650487894</v>
      </c>
      <c r="AJ3567">
        <v>79.176073508231894</v>
      </c>
      <c r="AK3567">
        <v>61.794176602864802</v>
      </c>
      <c r="AL3567">
        <v>91.392845803552305</v>
      </c>
      <c r="AM3567">
        <v>83.0780062102546</v>
      </c>
      <c r="AN3567">
        <v>0.99999996081707498</v>
      </c>
    </row>
    <row r="3568" spans="1:40" x14ac:dyDescent="0.25">
      <c r="A3568" t="str">
        <f>"20190312161342787"</f>
        <v>20190312161342787</v>
      </c>
      <c r="B3568" t="str">
        <f>"1552378422779621"</f>
        <v>1552378422779621</v>
      </c>
      <c r="C3568" t="s">
        <v>40</v>
      </c>
      <c r="D3568">
        <v>4.9187839999999996</v>
      </c>
      <c r="E3568">
        <v>0.52498630000000002</v>
      </c>
      <c r="F3568" t="s">
        <v>81</v>
      </c>
      <c r="G3568">
        <v>-168.41200000000001</v>
      </c>
      <c r="H3568">
        <v>0.1141586</v>
      </c>
      <c r="I3568">
        <v>202.02850000000001</v>
      </c>
      <c r="J3568">
        <v>-228.7234</v>
      </c>
      <c r="K3568">
        <v>1.1100570000000001</v>
      </c>
      <c r="L3568">
        <v>214.14269999999999</v>
      </c>
      <c r="M3568">
        <v>0.99985630000000003</v>
      </c>
      <c r="N3568">
        <v>0</v>
      </c>
      <c r="O3568">
        <v>-9.4249399999999997E-3</v>
      </c>
      <c r="P3568">
        <v>0.99071310000000001</v>
      </c>
      <c r="Q3568">
        <v>-3.80466E-2</v>
      </c>
      <c r="R3568">
        <v>-0.1305383</v>
      </c>
      <c r="S3568">
        <v>2.9487459999999999</v>
      </c>
      <c r="T3568">
        <v>-4.8462989999999997E-2</v>
      </c>
      <c r="U3568">
        <v>-0.58966059999999998</v>
      </c>
      <c r="V3568">
        <v>0.1211906</v>
      </c>
      <c r="W3568">
        <v>-2.4079759999999999E-2</v>
      </c>
      <c r="X3568">
        <v>0.99233720000000003</v>
      </c>
      <c r="Y3568">
        <v>0.18681320000000001</v>
      </c>
      <c r="Z3568">
        <v>-1.3666520000000001E-3</v>
      </c>
      <c r="AA3568">
        <v>0.98239449999999995</v>
      </c>
      <c r="AB3568">
        <v>28</v>
      </c>
      <c r="AC3568">
        <v>60.3113999999999</v>
      </c>
      <c r="AD3568">
        <v>-0.99589839999999996</v>
      </c>
      <c r="AE3568">
        <v>-12.114199999999901</v>
      </c>
      <c r="AF3568">
        <v>11.542148961015499</v>
      </c>
      <c r="AG3568">
        <v>-0.99589839999999996</v>
      </c>
      <c r="AH3568">
        <v>60.407075424013101</v>
      </c>
      <c r="AI3568">
        <v>90.927738115856002</v>
      </c>
      <c r="AJ3568">
        <v>79.182719404815103</v>
      </c>
      <c r="AK3568">
        <v>61.507948897226299</v>
      </c>
      <c r="AL3568">
        <v>91.379801905211494</v>
      </c>
      <c r="AM3568">
        <v>83.0371510060167</v>
      </c>
      <c r="AN3568">
        <v>1.0000000574369201</v>
      </c>
    </row>
    <row r="3569" spans="1:40" x14ac:dyDescent="0.25">
      <c r="A3569" t="str">
        <f>"20190312161342810"</f>
        <v>20190312161342810</v>
      </c>
      <c r="B3569" t="str">
        <f>"1552378422799141"</f>
        <v>1552378422799141</v>
      </c>
      <c r="C3569" t="s">
        <v>40</v>
      </c>
      <c r="D3569">
        <v>4.854317</v>
      </c>
      <c r="E3569">
        <v>0.52514930000000004</v>
      </c>
      <c r="F3569" t="s">
        <v>81</v>
      </c>
      <c r="G3569">
        <v>-168.41200000000001</v>
      </c>
      <c r="H3569">
        <v>0.26361079999999998</v>
      </c>
      <c r="I3569">
        <v>202.0164</v>
      </c>
      <c r="J3569">
        <v>-228.44200000000001</v>
      </c>
      <c r="K3569">
        <v>1.1100650000000001</v>
      </c>
      <c r="L3569">
        <v>214.14</v>
      </c>
      <c r="M3569">
        <v>0.99985590000000002</v>
      </c>
      <c r="N3569">
        <v>0</v>
      </c>
      <c r="O3569">
        <v>-9.4781989999999997E-3</v>
      </c>
      <c r="P3569">
        <v>0.99074689999999999</v>
      </c>
      <c r="Q3569">
        <v>-3.7603770000000002E-2</v>
      </c>
      <c r="R3569">
        <v>-0.13040969999999999</v>
      </c>
      <c r="S3569">
        <v>2.9484560000000002</v>
      </c>
      <c r="T3569">
        <v>-4.1378860000000003E-2</v>
      </c>
      <c r="U3569">
        <v>-0.59281919999999899</v>
      </c>
      <c r="V3569">
        <v>0.12100909999999999</v>
      </c>
      <c r="W3569">
        <v>-2.3639190000000001E-2</v>
      </c>
      <c r="X3569">
        <v>0.99236990000000003</v>
      </c>
      <c r="Y3569">
        <v>0.1877973</v>
      </c>
      <c r="Z3569">
        <v>-1.1729889999999999E-3</v>
      </c>
      <c r="AA3569">
        <v>0.9822071</v>
      </c>
      <c r="AB3569">
        <v>28</v>
      </c>
      <c r="AC3569">
        <v>60.03</v>
      </c>
      <c r="AD3569">
        <v>-0.84645419999999905</v>
      </c>
      <c r="AE3569">
        <v>-12.1235999999999</v>
      </c>
      <c r="AF3569">
        <v>11.551815812704101</v>
      </c>
      <c r="AG3569">
        <v>-0.84645419999999905</v>
      </c>
      <c r="AH3569">
        <v>60.1307373102632</v>
      </c>
      <c r="AI3569">
        <v>90.7920124786868</v>
      </c>
      <c r="AJ3569">
        <v>79.125304551662495</v>
      </c>
      <c r="AK3569">
        <v>61.236153559471902</v>
      </c>
      <c r="AL3569">
        <v>91.3545519728968</v>
      </c>
      <c r="AM3569">
        <v>83.047703569548005</v>
      </c>
      <c r="AN3569">
        <v>1.00000001600633</v>
      </c>
    </row>
    <row r="3570" spans="1:40" x14ac:dyDescent="0.25">
      <c r="A3570" t="str">
        <f>"20190312161342833"</f>
        <v>20190312161342833</v>
      </c>
      <c r="B3570" t="str">
        <f>"1552378422829397"</f>
        <v>1552378422829397</v>
      </c>
      <c r="C3570" t="s">
        <v>40</v>
      </c>
      <c r="D3570">
        <v>4.7721650000000002</v>
      </c>
      <c r="E3570">
        <v>0.52549429999999997</v>
      </c>
      <c r="F3570" t="s">
        <v>81</v>
      </c>
      <c r="G3570">
        <v>-168.41210000000001</v>
      </c>
      <c r="H3570">
        <v>0.3636799</v>
      </c>
      <c r="I3570">
        <v>202.0455</v>
      </c>
      <c r="J3570">
        <v>-228.155</v>
      </c>
      <c r="K3570">
        <v>1.1100620000000001</v>
      </c>
      <c r="L3570">
        <v>214.13720000000001</v>
      </c>
      <c r="M3570">
        <v>0.99985550000000001</v>
      </c>
      <c r="N3570">
        <v>0</v>
      </c>
      <c r="O3570">
        <v>-9.5327710000000006E-3</v>
      </c>
      <c r="P3570">
        <v>0.99080000000000001</v>
      </c>
      <c r="Q3570">
        <v>-3.6828060000000003E-2</v>
      </c>
      <c r="R3570">
        <v>-0.1302285</v>
      </c>
      <c r="S3570">
        <v>2.9484560000000002</v>
      </c>
      <c r="T3570">
        <v>-3.6658169999999997E-2</v>
      </c>
      <c r="U3570">
        <v>-0.59403989999999995</v>
      </c>
      <c r="V3570">
        <v>0.1207733</v>
      </c>
      <c r="W3570">
        <v>-2.286558E-2</v>
      </c>
      <c r="X3570">
        <v>0.99241670000000004</v>
      </c>
      <c r="Y3570">
        <v>0.1881381</v>
      </c>
      <c r="Z3570">
        <v>-1.0405639999999999E-3</v>
      </c>
      <c r="AA3570">
        <v>0.98214199999999996</v>
      </c>
      <c r="AB3570">
        <v>28</v>
      </c>
      <c r="AC3570">
        <v>59.742899999999899</v>
      </c>
      <c r="AD3570">
        <v>-0.74638209999999905</v>
      </c>
      <c r="AE3570">
        <v>-12.091699999999999</v>
      </c>
      <c r="AF3570">
        <v>11.5198513916712</v>
      </c>
      <c r="AG3570">
        <v>-0.74638209999999905</v>
      </c>
      <c r="AH3570">
        <v>59.846490383913903</v>
      </c>
      <c r="AI3570">
        <v>90.701654151138598</v>
      </c>
      <c r="AJ3570">
        <v>79.104399922155096</v>
      </c>
      <c r="AK3570">
        <v>60.949704458654203</v>
      </c>
      <c r="AL3570">
        <v>91.310215463153</v>
      </c>
      <c r="AM3570">
        <v>83.061442738862397</v>
      </c>
      <c r="AN3570">
        <v>0.99999996559025695</v>
      </c>
    </row>
    <row r="3571" spans="1:40" x14ac:dyDescent="0.25">
      <c r="A3571" t="str">
        <f>"20190312161342854"</f>
        <v>20190312161342854</v>
      </c>
      <c r="B3571" t="str">
        <f>"1552378422849893"</f>
        <v>1552378422849893</v>
      </c>
      <c r="C3571" t="s">
        <v>40</v>
      </c>
      <c r="D3571">
        <v>4.8411929999999996</v>
      </c>
      <c r="E3571">
        <v>0.52570719999999904</v>
      </c>
      <c r="F3571" t="s">
        <v>81</v>
      </c>
      <c r="G3571">
        <v>-168.41210000000001</v>
      </c>
      <c r="H3571">
        <v>0.48210530000000001</v>
      </c>
      <c r="I3571">
        <v>202.05510000000001</v>
      </c>
      <c r="J3571">
        <v>-227.88800000000001</v>
      </c>
      <c r="K3571">
        <v>1.1100540000000001</v>
      </c>
      <c r="L3571">
        <v>214.13460000000001</v>
      </c>
      <c r="M3571">
        <v>0.99985489999999999</v>
      </c>
      <c r="N3571">
        <v>0</v>
      </c>
      <c r="O3571">
        <v>-9.5834089999999993E-3</v>
      </c>
      <c r="P3571">
        <v>0.99078509999999997</v>
      </c>
      <c r="Q3571">
        <v>-3.7301479999999998E-2</v>
      </c>
      <c r="R3571">
        <v>-0.1302063</v>
      </c>
      <c r="S3571">
        <v>2.948318</v>
      </c>
      <c r="T3571">
        <v>-3.0988100000000001E-2</v>
      </c>
      <c r="U3571">
        <v>-0.59625240000000002</v>
      </c>
      <c r="V3571">
        <v>0.1207009</v>
      </c>
      <c r="W3571">
        <v>-2.3341830000000001E-2</v>
      </c>
      <c r="X3571">
        <v>0.99241449999999998</v>
      </c>
      <c r="Y3571">
        <v>0.18880910000000001</v>
      </c>
      <c r="Z3571">
        <v>-8.8256450000000002E-4</v>
      </c>
      <c r="AA3571">
        <v>0.98201340000000004</v>
      </c>
      <c r="AB3571">
        <v>28</v>
      </c>
      <c r="AC3571">
        <v>59.475900000000003</v>
      </c>
      <c r="AD3571">
        <v>-0.62794870000000003</v>
      </c>
      <c r="AE3571">
        <v>-12.0794999999999</v>
      </c>
      <c r="AF3571">
        <v>11.507674800801899</v>
      </c>
      <c r="AG3571">
        <v>-0.62794870000000003</v>
      </c>
      <c r="AH3571">
        <v>59.582563802040603</v>
      </c>
      <c r="AI3571">
        <v>90.592869923820899</v>
      </c>
      <c r="AJ3571">
        <v>79.068587198557296</v>
      </c>
      <c r="AK3571">
        <v>60.686924523451403</v>
      </c>
      <c r="AL3571">
        <v>91.337509759976498</v>
      </c>
      <c r="AM3571">
        <v>83.065546463271602</v>
      </c>
      <c r="AN3571">
        <v>1.0000000440493999</v>
      </c>
    </row>
    <row r="3572" spans="1:40" x14ac:dyDescent="0.25">
      <c r="A3572" t="str">
        <f>"20190312161342877"</f>
        <v>20190312161342877</v>
      </c>
      <c r="B3572" t="str">
        <f>"1552378422869413"</f>
        <v>1552378422869413</v>
      </c>
      <c r="C3572" t="s">
        <v>40</v>
      </c>
      <c r="D3572">
        <v>4.8209929999999996</v>
      </c>
      <c r="E3572">
        <v>0.52594849999999904</v>
      </c>
      <c r="F3572" t="s">
        <v>81</v>
      </c>
      <c r="G3572">
        <v>-168.41210000000001</v>
      </c>
      <c r="H3572">
        <v>0.51591299999999995</v>
      </c>
      <c r="I3572">
        <v>202.0694</v>
      </c>
      <c r="J3572">
        <v>-227.60679999999999</v>
      </c>
      <c r="K3572">
        <v>1.1100559999999999</v>
      </c>
      <c r="L3572">
        <v>214.1318</v>
      </c>
      <c r="M3572">
        <v>0.99985449999999998</v>
      </c>
      <c r="N3572">
        <v>0</v>
      </c>
      <c r="O3572">
        <v>-9.6373829999999994E-3</v>
      </c>
      <c r="P3572">
        <v>0.99070780000000003</v>
      </c>
      <c r="Q3572">
        <v>-3.8082949999999997E-2</v>
      </c>
      <c r="R3572">
        <v>-0.13056789999999999</v>
      </c>
      <c r="S3572">
        <v>2.9481959999999998</v>
      </c>
      <c r="T3572">
        <v>-2.9449699999999999E-2</v>
      </c>
      <c r="U3572">
        <v>-0.59806819999999905</v>
      </c>
      <c r="V3572">
        <v>0.1210097</v>
      </c>
      <c r="W3572">
        <v>-2.412711E-2</v>
      </c>
      <c r="X3572">
        <v>0.99235810000000002</v>
      </c>
      <c r="Y3572">
        <v>0.18934580000000001</v>
      </c>
      <c r="Z3572">
        <v>-8.4085539999999997E-4</v>
      </c>
      <c r="AA3572">
        <v>0.98191010000000001</v>
      </c>
      <c r="AB3572">
        <v>28</v>
      </c>
      <c r="AC3572">
        <v>59.194699999999898</v>
      </c>
      <c r="AD3572">
        <v>-0.59414299999999898</v>
      </c>
      <c r="AE3572">
        <v>-12.062399999999901</v>
      </c>
      <c r="AF3572">
        <v>11.4901897836586</v>
      </c>
      <c r="AG3572">
        <v>-0.59414299999999898</v>
      </c>
      <c r="AH3572">
        <v>59.3024757594387</v>
      </c>
      <c r="AI3572">
        <v>90.563539161179605</v>
      </c>
      <c r="AJ3572">
        <v>79.034491263453404</v>
      </c>
      <c r="AK3572">
        <v>60.4082866696926</v>
      </c>
      <c r="AL3572">
        <v>91.382515684113002</v>
      </c>
      <c r="AM3572">
        <v>83.047587575152306</v>
      </c>
      <c r="AN3572">
        <v>1.00000003178332</v>
      </c>
    </row>
    <row r="3573" spans="1:40" x14ac:dyDescent="0.25">
      <c r="A3573" t="str">
        <f>"20190312161342898"</f>
        <v>20190312161342898</v>
      </c>
      <c r="B3573" t="str">
        <f>"1552378422889909"</f>
        <v>1552378422889909</v>
      </c>
      <c r="C3573" t="s">
        <v>40</v>
      </c>
      <c r="D3573">
        <v>4.8057230000000004</v>
      </c>
      <c r="E3573">
        <v>0.5262424</v>
      </c>
      <c r="F3573" t="s">
        <v>81</v>
      </c>
      <c r="G3573">
        <v>-168.41210000000001</v>
      </c>
      <c r="H3573">
        <v>0.51949880000000004</v>
      </c>
      <c r="I3573">
        <v>202.05799999999999</v>
      </c>
      <c r="J3573">
        <v>-227.3355</v>
      </c>
      <c r="K3573">
        <v>1.110047</v>
      </c>
      <c r="L3573">
        <v>214.1292</v>
      </c>
      <c r="M3573">
        <v>0.99985400000000002</v>
      </c>
      <c r="N3573">
        <v>0</v>
      </c>
      <c r="O3573">
        <v>-9.6893340000000008E-3</v>
      </c>
      <c r="P3573">
        <v>0.99070769999999997</v>
      </c>
      <c r="Q3573">
        <v>-3.7661189999999997E-2</v>
      </c>
      <c r="R3573">
        <v>-0.1306918</v>
      </c>
      <c r="S3573">
        <v>2.9477389999999999</v>
      </c>
      <c r="T3573">
        <v>-2.940655E-2</v>
      </c>
      <c r="U3573">
        <v>-0.601242099999999</v>
      </c>
      <c r="V3573">
        <v>0.121082</v>
      </c>
      <c r="W3573">
        <v>-2.3708090000000001E-2</v>
      </c>
      <c r="X3573">
        <v>0.99235930000000006</v>
      </c>
      <c r="Y3573">
        <v>0.1903396</v>
      </c>
      <c r="Z3573">
        <v>-8.4405570000000004E-4</v>
      </c>
      <c r="AA3573">
        <v>0.98171790000000003</v>
      </c>
      <c r="AB3573">
        <v>28</v>
      </c>
      <c r="AC3573">
        <v>58.923400000000001</v>
      </c>
      <c r="AD3573">
        <v>-0.59054819999999997</v>
      </c>
      <c r="AE3573">
        <v>-12.071199999999999</v>
      </c>
      <c r="AF3573">
        <v>11.4985397045038</v>
      </c>
      <c r="AG3573">
        <v>-0.59054819999999997</v>
      </c>
      <c r="AH3573">
        <v>59.031916182319598</v>
      </c>
      <c r="AI3573">
        <v>90.562588381027197</v>
      </c>
      <c r="AJ3573">
        <v>78.977651415418293</v>
      </c>
      <c r="AK3573">
        <v>60.144262325420399</v>
      </c>
      <c r="AL3573">
        <v>91.358500845323107</v>
      </c>
      <c r="AM3573">
        <v>83.043482718323403</v>
      </c>
      <c r="AN3573">
        <v>0.99999995227596705</v>
      </c>
    </row>
    <row r="3574" spans="1:40" x14ac:dyDescent="0.25">
      <c r="A3574" t="str">
        <f>"20190312161342921"</f>
        <v>20190312161342921</v>
      </c>
      <c r="B3574" t="str">
        <f>"1552378422909430"</f>
        <v>1552378422909430</v>
      </c>
      <c r="C3574" t="s">
        <v>40</v>
      </c>
      <c r="D3574">
        <v>4.7906899999999997</v>
      </c>
      <c r="E3574">
        <v>0.52655629999999998</v>
      </c>
      <c r="F3574" t="s">
        <v>81</v>
      </c>
      <c r="G3574">
        <v>-168.41210000000001</v>
      </c>
      <c r="H3574">
        <v>0.57242009999999999</v>
      </c>
      <c r="I3574">
        <v>202.05359999999999</v>
      </c>
      <c r="J3574">
        <v>-227.06200000000001</v>
      </c>
      <c r="K3574">
        <v>1.1100559999999999</v>
      </c>
      <c r="L3574">
        <v>214.12649999999999</v>
      </c>
      <c r="M3574">
        <v>0.99985360000000001</v>
      </c>
      <c r="N3574">
        <v>0</v>
      </c>
      <c r="O3574">
        <v>-9.7420010000000001E-3</v>
      </c>
      <c r="P3574">
        <v>0.99068389999999995</v>
      </c>
      <c r="Q3574">
        <v>-3.7487989999999999E-2</v>
      </c>
      <c r="R3574">
        <v>-0.13092200000000001</v>
      </c>
      <c r="S3574">
        <v>2.9474330000000002</v>
      </c>
      <c r="T3574">
        <v>-2.6891229999999999E-2</v>
      </c>
      <c r="U3574">
        <v>-0.60403439999999997</v>
      </c>
      <c r="V3574">
        <v>0.121260199999999</v>
      </c>
      <c r="W3574">
        <v>-2.353792E-2</v>
      </c>
      <c r="X3574">
        <v>0.99234160000000005</v>
      </c>
      <c r="Y3574">
        <v>0.19120190000000001</v>
      </c>
      <c r="Z3574">
        <v>-7.7528539999999896E-4</v>
      </c>
      <c r="AA3574">
        <v>0.98155049999999999</v>
      </c>
      <c r="AB3574">
        <v>28</v>
      </c>
      <c r="AC3574">
        <v>58.649900000000002</v>
      </c>
      <c r="AD3574">
        <v>-0.53763589999999895</v>
      </c>
      <c r="AE3574">
        <v>-12.072900000000001</v>
      </c>
      <c r="AF3574">
        <v>11.4999759756084</v>
      </c>
      <c r="AG3574">
        <v>-0.53763589999999895</v>
      </c>
      <c r="AH3574">
        <v>58.760005123870698</v>
      </c>
      <c r="AI3574">
        <v>90.514464472826404</v>
      </c>
      <c r="AJ3574">
        <v>78.926554417123199</v>
      </c>
      <c r="AK3574">
        <v>59.877180143672902</v>
      </c>
      <c r="AL3574">
        <v>91.348748089416105</v>
      </c>
      <c r="AM3574">
        <v>83.033222102331393</v>
      </c>
      <c r="AN3574">
        <v>0.99999996043626205</v>
      </c>
    </row>
    <row r="3575" spans="1:40" x14ac:dyDescent="0.25">
      <c r="A3575" t="str">
        <f>"20190312161342943"</f>
        <v>20190312161342943</v>
      </c>
      <c r="B3575" t="str">
        <f>"1552378422929925"</f>
        <v>1552378422929925</v>
      </c>
      <c r="C3575" t="s">
        <v>40</v>
      </c>
      <c r="D3575">
        <v>4.7039279999999897</v>
      </c>
      <c r="E3575">
        <v>0.52679719999999997</v>
      </c>
      <c r="F3575" t="s">
        <v>81</v>
      </c>
      <c r="G3575">
        <v>-168.41220000000001</v>
      </c>
      <c r="H3575">
        <v>0.61630439999999997</v>
      </c>
      <c r="I3575">
        <v>202.0395</v>
      </c>
      <c r="J3575">
        <v>-226.7876</v>
      </c>
      <c r="K3575">
        <v>1.110058</v>
      </c>
      <c r="L3575">
        <v>214.12370000000001</v>
      </c>
      <c r="M3575">
        <v>0.99985299999999999</v>
      </c>
      <c r="N3575">
        <v>0</v>
      </c>
      <c r="O3575">
        <v>-9.7945489999999996E-3</v>
      </c>
      <c r="P3575">
        <v>0.9906663</v>
      </c>
      <c r="Q3575">
        <v>-3.744571E-2</v>
      </c>
      <c r="R3575">
        <v>-0.13106499999999999</v>
      </c>
      <c r="S3575">
        <v>2.9470369999999999</v>
      </c>
      <c r="T3575">
        <v>-2.4808409999999999E-2</v>
      </c>
      <c r="U3575">
        <v>-0.60734560000000004</v>
      </c>
      <c r="V3575">
        <v>0.1213513</v>
      </c>
      <c r="W3575">
        <v>-2.349863E-2</v>
      </c>
      <c r="X3575">
        <v>0.99233139999999997</v>
      </c>
      <c r="Y3575">
        <v>0.1922353</v>
      </c>
      <c r="Z3575">
        <v>-7.1911990000000003E-4</v>
      </c>
      <c r="AA3575">
        <v>0.98134860000000002</v>
      </c>
      <c r="AB3575">
        <v>28</v>
      </c>
      <c r="AC3575">
        <v>58.3753999999999</v>
      </c>
      <c r="AD3575">
        <v>-0.49375360000000001</v>
      </c>
      <c r="AE3575">
        <v>-12.084199999999999</v>
      </c>
      <c r="AF3575">
        <v>11.5110132113865</v>
      </c>
      <c r="AG3575">
        <v>-0.49375360000000001</v>
      </c>
      <c r="AH3575">
        <v>58.486957987074199</v>
      </c>
      <c r="AI3575">
        <v>90.474582212818802</v>
      </c>
      <c r="AJ3575">
        <v>78.865734722906893</v>
      </c>
      <c r="AK3575">
        <v>59.611001269497301</v>
      </c>
      <c r="AL3575">
        <v>91.346496308472197</v>
      </c>
      <c r="AM3575">
        <v>83.027968658307699</v>
      </c>
      <c r="AN3575">
        <v>0.999999965524762</v>
      </c>
    </row>
    <row r="3576" spans="1:40" x14ac:dyDescent="0.25">
      <c r="A3576" t="str">
        <f>"20190312161342966"</f>
        <v>20190312161342966</v>
      </c>
      <c r="B3576" t="str">
        <f>"1552378422959208"</f>
        <v>1552378422959208</v>
      </c>
      <c r="C3576" t="s">
        <v>40</v>
      </c>
      <c r="D3576">
        <v>4.777469</v>
      </c>
      <c r="E3576">
        <v>0.52705249999999904</v>
      </c>
      <c r="F3576" t="s">
        <v>81</v>
      </c>
      <c r="G3576">
        <v>-168.41220000000001</v>
      </c>
      <c r="H3576">
        <v>0.63914680000000001</v>
      </c>
      <c r="I3576">
        <v>202.04820000000001</v>
      </c>
      <c r="J3576">
        <v>-226.5087</v>
      </c>
      <c r="K3576">
        <v>1.110061</v>
      </c>
      <c r="L3576">
        <v>214.12090000000001</v>
      </c>
      <c r="M3576">
        <v>0.99985259999999998</v>
      </c>
      <c r="N3576">
        <v>0</v>
      </c>
      <c r="O3576">
        <v>-9.8481699999999998E-3</v>
      </c>
      <c r="P3576">
        <v>0.99058939999999995</v>
      </c>
      <c r="Q3576">
        <v>-3.7824789999999997E-2</v>
      </c>
      <c r="R3576">
        <v>-0.1315384</v>
      </c>
      <c r="S3576">
        <v>2.9467159999999999</v>
      </c>
      <c r="T3576">
        <v>-2.376938E-2</v>
      </c>
      <c r="U3576">
        <v>-0.60955809999999999</v>
      </c>
      <c r="V3576">
        <v>0.12177200000000001</v>
      </c>
      <c r="W3576">
        <v>-2.38815E-2</v>
      </c>
      <c r="X3576">
        <v>0.99227080000000001</v>
      </c>
      <c r="Y3576">
        <v>0.1929109</v>
      </c>
      <c r="Z3576">
        <v>-6.9129300000000005E-4</v>
      </c>
      <c r="AA3576">
        <v>0.98121599999999998</v>
      </c>
      <c r="AB3576">
        <v>28</v>
      </c>
      <c r="AC3576">
        <v>58.096499999999899</v>
      </c>
      <c r="AD3576">
        <v>-0.47091419999999901</v>
      </c>
      <c r="AE3576">
        <v>-12.0726999999999</v>
      </c>
      <c r="AF3576">
        <v>11.499189372919901</v>
      </c>
      <c r="AG3576">
        <v>-0.47091419999999901</v>
      </c>
      <c r="AH3576">
        <v>58.2089216773171</v>
      </c>
      <c r="AI3576">
        <v>90.454728855671902</v>
      </c>
      <c r="AJ3576">
        <v>78.825090528760697</v>
      </c>
      <c r="AK3576">
        <v>59.335753802021202</v>
      </c>
      <c r="AL3576">
        <v>91.368439196321305</v>
      </c>
      <c r="AM3576">
        <v>83.003614153948504</v>
      </c>
      <c r="AN3576">
        <v>1.00000004327944</v>
      </c>
    </row>
    <row r="3577" spans="1:40" x14ac:dyDescent="0.25">
      <c r="A3577" t="str">
        <f>"20190312161342985"</f>
        <v>20190312161342985</v>
      </c>
      <c r="B3577" t="str">
        <f>"1552378422979745"</f>
        <v>1552378422979745</v>
      </c>
      <c r="C3577" t="s">
        <v>40</v>
      </c>
      <c r="D3577">
        <v>4.7210470000000004</v>
      </c>
      <c r="E3577">
        <v>0.52737690000000004</v>
      </c>
      <c r="F3577" t="s">
        <v>81</v>
      </c>
      <c r="G3577">
        <v>-168.41220000000001</v>
      </c>
      <c r="H3577">
        <v>0.63238719999999904</v>
      </c>
      <c r="I3577">
        <v>202.0301</v>
      </c>
      <c r="J3577">
        <v>-226.2637</v>
      </c>
      <c r="K3577">
        <v>1.110063</v>
      </c>
      <c r="L3577">
        <v>214.11850000000001</v>
      </c>
      <c r="M3577">
        <v>0.99985210000000002</v>
      </c>
      <c r="N3577">
        <v>0</v>
      </c>
      <c r="O3577">
        <v>-9.8951170000000001E-3</v>
      </c>
      <c r="P3577">
        <v>0.99051239999999996</v>
      </c>
      <c r="Q3577">
        <v>-3.7878460000000003E-2</v>
      </c>
      <c r="R3577">
        <v>-0.13209969999999999</v>
      </c>
      <c r="S3577">
        <v>2.946167</v>
      </c>
      <c r="T3577">
        <v>-2.4221900000000001E-2</v>
      </c>
      <c r="U3577">
        <v>-0.61314389999999996</v>
      </c>
      <c r="V3577">
        <v>0.1222877</v>
      </c>
      <c r="W3577">
        <v>-2.393866E-2</v>
      </c>
      <c r="X3577">
        <v>0.99220600000000003</v>
      </c>
      <c r="Y3577">
        <v>0.19404569999999999</v>
      </c>
      <c r="Z3577">
        <v>-7.0872939999999998E-4</v>
      </c>
      <c r="AA3577">
        <v>0.98099230000000004</v>
      </c>
      <c r="AB3577">
        <v>28</v>
      </c>
      <c r="AC3577">
        <v>57.851499999999902</v>
      </c>
      <c r="AD3577">
        <v>-0.47767579999999998</v>
      </c>
      <c r="AE3577">
        <v>-12.0884</v>
      </c>
      <c r="AF3577">
        <v>11.514551873264599</v>
      </c>
      <c r="AG3577">
        <v>-0.47767579999999998</v>
      </c>
      <c r="AH3577">
        <v>57.964508609496399</v>
      </c>
      <c r="AI3577">
        <v>90.463105697700499</v>
      </c>
      <c r="AJ3577">
        <v>78.764554092667197</v>
      </c>
      <c r="AK3577">
        <v>59.099046839626702</v>
      </c>
      <c r="AL3577">
        <v>91.371715158880406</v>
      </c>
      <c r="AM3577">
        <v>82.973825959028403</v>
      </c>
      <c r="AN3577">
        <v>1.0000000437249399</v>
      </c>
    </row>
    <row r="3578" spans="1:40" x14ac:dyDescent="0.25">
      <c r="A3578" t="str">
        <f>"20190312161343000"</f>
        <v>20190312161343000</v>
      </c>
      <c r="B3578" t="str">
        <f>"1552378422989505"</f>
        <v>1552378422989505</v>
      </c>
      <c r="C3578" t="s">
        <v>40</v>
      </c>
      <c r="D3578">
        <v>4.7965739999999997</v>
      </c>
      <c r="E3578">
        <v>0.52751870000000001</v>
      </c>
      <c r="F3578" t="s">
        <v>81</v>
      </c>
      <c r="G3578">
        <v>-168.41220000000001</v>
      </c>
      <c r="H3578">
        <v>0.63823699999999906</v>
      </c>
      <c r="I3578">
        <v>201.99170000000001</v>
      </c>
      <c r="J3578">
        <v>-226.0874</v>
      </c>
      <c r="K3578">
        <v>1.1100570000000001</v>
      </c>
      <c r="L3578">
        <v>214.11670000000001</v>
      </c>
      <c r="M3578">
        <v>0.99985190000000002</v>
      </c>
      <c r="N3578">
        <v>0</v>
      </c>
      <c r="O3578">
        <v>-9.9293139999999998E-3</v>
      </c>
      <c r="P3578">
        <v>0.99040839999999997</v>
      </c>
      <c r="Q3578">
        <v>-3.7626300000000001E-2</v>
      </c>
      <c r="R3578">
        <v>-0.1329514</v>
      </c>
      <c r="S3578">
        <v>2.9454959999999999</v>
      </c>
      <c r="T3578">
        <v>-2.4021270000000001E-2</v>
      </c>
      <c r="U3578">
        <v>-0.61743159999999997</v>
      </c>
      <c r="V3578">
        <v>0.1231064</v>
      </c>
      <c r="W3578">
        <v>-2.368963E-2</v>
      </c>
      <c r="X3578">
        <v>0.99211070000000001</v>
      </c>
      <c r="Y3578">
        <v>0.19542499999999999</v>
      </c>
      <c r="Z3578">
        <v>-7.0820059999999996E-4</v>
      </c>
      <c r="AA3578">
        <v>0.98071839999999999</v>
      </c>
      <c r="AB3578">
        <v>28</v>
      </c>
      <c r="AC3578">
        <v>57.675199999999897</v>
      </c>
      <c r="AD3578">
        <v>-0.47182000000000002</v>
      </c>
      <c r="AE3578">
        <v>-12.125</v>
      </c>
      <c r="AF3578">
        <v>11.5509300991471</v>
      </c>
      <c r="AG3578">
        <v>-0.47182000000000002</v>
      </c>
      <c r="AH3578">
        <v>57.789057341839197</v>
      </c>
      <c r="AI3578">
        <v>90.458709106657494</v>
      </c>
      <c r="AJ3578">
        <v>78.696627898288</v>
      </c>
      <c r="AK3578">
        <v>58.934045752231803</v>
      </c>
      <c r="AL3578">
        <v>91.357442786041801</v>
      </c>
      <c r="AM3578">
        <v>82.9265889875428</v>
      </c>
      <c r="AN3578">
        <v>1.0000000126724899</v>
      </c>
    </row>
    <row r="3579" spans="1:40" x14ac:dyDescent="0.25">
      <c r="A3579" t="str">
        <f>"20190312161343022"</f>
        <v>20190312161343022</v>
      </c>
      <c r="B3579" t="str">
        <f>"1552378423010001"</f>
        <v>1552378423010001</v>
      </c>
      <c r="C3579" t="s">
        <v>40</v>
      </c>
      <c r="D3579">
        <v>4.8140150000000004</v>
      </c>
      <c r="E3579">
        <v>0.52781400000000001</v>
      </c>
      <c r="F3579" t="s">
        <v>81</v>
      </c>
      <c r="G3579">
        <v>-168.41220000000001</v>
      </c>
      <c r="H3579">
        <v>0.66076659999999998</v>
      </c>
      <c r="I3579">
        <v>201.9539</v>
      </c>
      <c r="J3579">
        <v>-225.81790000000001</v>
      </c>
      <c r="K3579">
        <v>1.1100639999999999</v>
      </c>
      <c r="L3579">
        <v>214.1139</v>
      </c>
      <c r="M3579">
        <v>0.9998513</v>
      </c>
      <c r="N3579">
        <v>0</v>
      </c>
      <c r="O3579">
        <v>-9.9811469999999992E-3</v>
      </c>
      <c r="P3579">
        <v>0.99031990000000003</v>
      </c>
      <c r="Q3579">
        <v>-3.7069860000000003E-2</v>
      </c>
      <c r="R3579">
        <v>-0.13376379999999999</v>
      </c>
      <c r="S3579">
        <v>2.9448240000000001</v>
      </c>
      <c r="T3579">
        <v>-2.2938489999999999E-2</v>
      </c>
      <c r="U3579">
        <v>-0.6210175</v>
      </c>
      <c r="V3579">
        <v>0.1238683</v>
      </c>
      <c r="W3579">
        <v>-2.3137080000000001E-2</v>
      </c>
      <c r="X3579">
        <v>0.99202889999999999</v>
      </c>
      <c r="Y3579">
        <v>0.19656299999999999</v>
      </c>
      <c r="Z3579">
        <v>-6.8033079999999999E-4</v>
      </c>
      <c r="AA3579">
        <v>0.980491</v>
      </c>
      <c r="AB3579">
        <v>28</v>
      </c>
      <c r="AC3579">
        <v>57.405700000000003</v>
      </c>
      <c r="AD3579">
        <v>-0.44929740000000001</v>
      </c>
      <c r="AE3579">
        <v>-12.159999999999901</v>
      </c>
      <c r="AF3579">
        <v>11.585683532103401</v>
      </c>
      <c r="AG3579">
        <v>-0.44929740000000001</v>
      </c>
      <c r="AH3579">
        <v>57.520850382956503</v>
      </c>
      <c r="AI3579">
        <v>90.438719906887599</v>
      </c>
      <c r="AJ3579">
        <v>78.612017205228199</v>
      </c>
      <c r="AK3579">
        <v>58.677748421681699</v>
      </c>
      <c r="AL3579">
        <v>91.325775326500505</v>
      </c>
      <c r="AM3579">
        <v>82.882678677809693</v>
      </c>
      <c r="AN3579">
        <v>1.0000000093255099</v>
      </c>
    </row>
    <row r="3580" spans="1:40" x14ac:dyDescent="0.25">
      <c r="A3580" t="str">
        <f>"20190312161343045"</f>
        <v>20190312161343045</v>
      </c>
      <c r="B3580" t="str">
        <f>"1552378423039280"</f>
        <v>1552378423039280</v>
      </c>
      <c r="C3580" t="s">
        <v>40</v>
      </c>
      <c r="D3580">
        <v>4.8377699999999999</v>
      </c>
      <c r="E3580">
        <v>0.53498080000000003</v>
      </c>
      <c r="F3580" t="s">
        <v>81</v>
      </c>
      <c r="G3580">
        <v>-168.41220000000001</v>
      </c>
      <c r="H3580">
        <v>0.70345500000000005</v>
      </c>
      <c r="I3580">
        <v>201.90729999999999</v>
      </c>
      <c r="J3580">
        <v>-225.53899999999999</v>
      </c>
      <c r="K3580">
        <v>1.1100699999999999</v>
      </c>
      <c r="L3580">
        <v>214.11109999999999</v>
      </c>
      <c r="M3580">
        <v>0.99985089999999999</v>
      </c>
      <c r="N3580">
        <v>0</v>
      </c>
      <c r="O3580">
        <v>-1.003477E-2</v>
      </c>
      <c r="P3580">
        <v>0.99024380000000001</v>
      </c>
      <c r="Q3580">
        <v>-3.6122370000000001E-2</v>
      </c>
      <c r="R3580">
        <v>-0.13458310000000001</v>
      </c>
      <c r="S3580">
        <v>2.944016</v>
      </c>
      <c r="T3580">
        <v>-2.0851020000000001E-2</v>
      </c>
      <c r="U3580">
        <v>-0.62600710000000004</v>
      </c>
      <c r="V3580">
        <v>0.1246353</v>
      </c>
      <c r="W3580">
        <v>-2.219345E-2</v>
      </c>
      <c r="X3580">
        <v>0.99195440000000001</v>
      </c>
      <c r="Y3580">
        <v>0.19815579999999999</v>
      </c>
      <c r="Z3580">
        <v>-6.2368199999999997E-4</v>
      </c>
      <c r="AA3580">
        <v>0.98017030000000005</v>
      </c>
      <c r="AB3580">
        <v>28</v>
      </c>
      <c r="AC3580">
        <v>57.126800000000003</v>
      </c>
      <c r="AD3580">
        <v>-0.406615</v>
      </c>
      <c r="AE3580">
        <v>-12.203799999999999</v>
      </c>
      <c r="AF3580">
        <v>11.629311055415799</v>
      </c>
      <c r="AG3580">
        <v>-0.406615</v>
      </c>
      <c r="AH3580">
        <v>57.2436240080118</v>
      </c>
      <c r="AI3580">
        <v>90.398831850166701</v>
      </c>
      <c r="AJ3580">
        <v>78.516374597901205</v>
      </c>
      <c r="AK3580">
        <v>58.414370671543402</v>
      </c>
      <c r="AL3580">
        <v>91.271695403095805</v>
      </c>
      <c r="AM3580">
        <v>82.838531683673295</v>
      </c>
      <c r="AN3580">
        <v>1.0000000194541701</v>
      </c>
    </row>
    <row r="3581" spans="1:40" x14ac:dyDescent="0.25">
      <c r="A3581" t="str">
        <f>"20190312161343066"</f>
        <v>20190312161343066</v>
      </c>
      <c r="B3581" t="str">
        <f>"1552378423059777"</f>
        <v>1552378423059777</v>
      </c>
      <c r="C3581" t="s">
        <v>40</v>
      </c>
      <c r="D3581">
        <v>4.833488</v>
      </c>
      <c r="E3581">
        <v>0.53551680000000002</v>
      </c>
      <c r="F3581" t="s">
        <v>81</v>
      </c>
      <c r="G3581">
        <v>-168.41239999999999</v>
      </c>
      <c r="H3581">
        <v>0.1060209</v>
      </c>
      <c r="I3581">
        <v>200.81229999999999</v>
      </c>
      <c r="J3581">
        <v>-225.26910000000001</v>
      </c>
      <c r="K3581">
        <v>1.1100730000000001</v>
      </c>
      <c r="L3581">
        <v>214.10830000000001</v>
      </c>
      <c r="M3581">
        <v>0.99985029999999997</v>
      </c>
      <c r="N3581">
        <v>0</v>
      </c>
      <c r="O3581">
        <v>-1.008684E-2</v>
      </c>
      <c r="P3581">
        <v>0.99027339999999997</v>
      </c>
      <c r="Q3581">
        <v>-3.5736539999999997E-2</v>
      </c>
      <c r="R3581">
        <v>-0.13446820000000001</v>
      </c>
      <c r="S3581">
        <v>2.9348299999999998</v>
      </c>
      <c r="T3581">
        <v>-5.1580429999999997E-2</v>
      </c>
      <c r="U3581">
        <v>-0.68321229999999999</v>
      </c>
      <c r="V3581">
        <v>0.1244685</v>
      </c>
      <c r="W3581">
        <v>-2.180988E-2</v>
      </c>
      <c r="X3581">
        <v>0.99198379999999997</v>
      </c>
      <c r="Y3581">
        <v>0.216865</v>
      </c>
      <c r="Z3581">
        <v>-1.7055569999999999E-3</v>
      </c>
      <c r="AA3581">
        <v>0.97620010000000002</v>
      </c>
      <c r="AB3581">
        <v>27</v>
      </c>
      <c r="AC3581">
        <v>56.856699999999996</v>
      </c>
      <c r="AD3581">
        <v>-1.00405209999999</v>
      </c>
      <c r="AE3581">
        <v>-13.295999999999999</v>
      </c>
      <c r="AF3581">
        <v>12.7180018438369</v>
      </c>
      <c r="AG3581">
        <v>-1.00405209999999</v>
      </c>
      <c r="AH3581">
        <v>56.971089445877098</v>
      </c>
      <c r="AI3581">
        <v>90.985419484219307</v>
      </c>
      <c r="AJ3581">
        <v>77.415848857241201</v>
      </c>
      <c r="AK3581">
        <v>58.382023981440398</v>
      </c>
      <c r="AL3581">
        <v>91.249713203259404</v>
      </c>
      <c r="AM3581">
        <v>82.848226369519793</v>
      </c>
      <c r="AN3581">
        <v>0.99999996891015097</v>
      </c>
    </row>
    <row r="3582" spans="1:40" x14ac:dyDescent="0.25">
      <c r="A3582" t="str">
        <f>"20190312161343089"</f>
        <v>20190312161343089</v>
      </c>
      <c r="B3582" t="str">
        <f>"1552378423079298"</f>
        <v>1552378423079298</v>
      </c>
      <c r="C3582" t="s">
        <v>40</v>
      </c>
      <c r="D3582">
        <v>4.8609640000000001</v>
      </c>
      <c r="E3582">
        <v>0.53533009999999903</v>
      </c>
      <c r="F3582" t="s">
        <v>81</v>
      </c>
      <c r="G3582">
        <v>-168.41239999999999</v>
      </c>
      <c r="H3582">
        <v>9.4774250000000004E-2</v>
      </c>
      <c r="I3582">
        <v>200.7954</v>
      </c>
      <c r="J3582">
        <v>-224.9965</v>
      </c>
      <c r="K3582">
        <v>1.1100719999999999</v>
      </c>
      <c r="L3582">
        <v>214.10550000000001</v>
      </c>
      <c r="M3582">
        <v>0.99984989999999996</v>
      </c>
      <c r="N3582">
        <v>0</v>
      </c>
      <c r="O3582">
        <v>-1.013915E-2</v>
      </c>
      <c r="P3582">
        <v>0.99017940000000004</v>
      </c>
      <c r="Q3582">
        <v>-3.6089629999999998E-2</v>
      </c>
      <c r="R3582">
        <v>-0.13506370000000001</v>
      </c>
      <c r="S3582">
        <v>2.9342800000000002</v>
      </c>
      <c r="T3582">
        <v>-5.2396180000000001E-2</v>
      </c>
      <c r="U3582">
        <v>-0.68705749999999999</v>
      </c>
      <c r="V3582">
        <v>0.12501329999999999</v>
      </c>
      <c r="W3582">
        <v>-2.2166910000000001E-2</v>
      </c>
      <c r="X3582">
        <v>0.99190739999999999</v>
      </c>
      <c r="Y3582">
        <v>0.21806610000000001</v>
      </c>
      <c r="Z3582">
        <v>-1.742246E-3</v>
      </c>
      <c r="AA3582">
        <v>0.97593249999999998</v>
      </c>
      <c r="AB3582">
        <v>27</v>
      </c>
      <c r="AC3582">
        <v>56.584099999999999</v>
      </c>
      <c r="AD3582">
        <v>-1.01529775</v>
      </c>
      <c r="AE3582">
        <v>-13.3101</v>
      </c>
      <c r="AF3582">
        <v>12.7317602246102</v>
      </c>
      <c r="AG3582">
        <v>-1.01529775</v>
      </c>
      <c r="AH3582">
        <v>56.698859780628098</v>
      </c>
      <c r="AI3582">
        <v>91.000957053929497</v>
      </c>
      <c r="AJ3582">
        <v>77.344129524841904</v>
      </c>
      <c r="AK3582">
        <v>58.119611564096402</v>
      </c>
      <c r="AL3582">
        <v>91.270174431766705</v>
      </c>
      <c r="AM3582">
        <v>82.816701758742497</v>
      </c>
      <c r="AN3582">
        <v>0.99999999362529901</v>
      </c>
    </row>
    <row r="3583" spans="1:40" x14ac:dyDescent="0.25">
      <c r="A3583" t="str">
        <f>"20190312161343110"</f>
        <v>20190312161343110</v>
      </c>
      <c r="B3583" t="str">
        <f>"1552378423099793"</f>
        <v>1552378423099793</v>
      </c>
      <c r="C3583" t="s">
        <v>40</v>
      </c>
      <c r="D3583">
        <v>4.8977969999999997</v>
      </c>
      <c r="E3583">
        <v>0.53551729999999997</v>
      </c>
      <c r="F3583" t="s">
        <v>81</v>
      </c>
      <c r="G3583">
        <v>-168.41239999999999</v>
      </c>
      <c r="H3583">
        <v>0.16028979999999901</v>
      </c>
      <c r="I3583">
        <v>200.84379999999999</v>
      </c>
      <c r="J3583">
        <v>-224.72890000000001</v>
      </c>
      <c r="K3583">
        <v>1.1100749999999999</v>
      </c>
      <c r="L3583">
        <v>214.1027</v>
      </c>
      <c r="M3583">
        <v>0.9998494</v>
      </c>
      <c r="N3583">
        <v>0</v>
      </c>
      <c r="O3583">
        <v>-1.0190619999999999E-2</v>
      </c>
      <c r="P3583">
        <v>0.99003149999999995</v>
      </c>
      <c r="Q3583">
        <v>-3.5997849999999998E-2</v>
      </c>
      <c r="R3583">
        <v>-0.13616889999999901</v>
      </c>
      <c r="S3583">
        <v>2.934158</v>
      </c>
      <c r="T3583">
        <v>-4.9249050000000003E-2</v>
      </c>
      <c r="U3583">
        <v>-0.68768309999999999</v>
      </c>
      <c r="V3583">
        <v>0.12606869999999901</v>
      </c>
      <c r="W3583">
        <v>-2.207984E-2</v>
      </c>
      <c r="X3583">
        <v>0.99177579999999999</v>
      </c>
      <c r="Y3583">
        <v>0.2182258</v>
      </c>
      <c r="Z3583">
        <v>-1.6381119999999999E-3</v>
      </c>
      <c r="AA3583">
        <v>0.97589700000000001</v>
      </c>
      <c r="AB3583">
        <v>27</v>
      </c>
      <c r="AC3583">
        <v>56.316499999999998</v>
      </c>
      <c r="AD3583">
        <v>-0.949785199999999</v>
      </c>
      <c r="AE3583">
        <v>-13.258900000000001</v>
      </c>
      <c r="AF3583">
        <v>12.6808372856588</v>
      </c>
      <c r="AG3583">
        <v>-0.949785199999999</v>
      </c>
      <c r="AH3583">
        <v>56.433496368798302</v>
      </c>
      <c r="AI3583">
        <v>90.940753153711597</v>
      </c>
      <c r="AJ3583">
        <v>77.335755122870594</v>
      </c>
      <c r="AK3583">
        <v>57.848467901912997</v>
      </c>
      <c r="AL3583">
        <v>91.265184412073097</v>
      </c>
      <c r="AM3583">
        <v>82.755748693594299</v>
      </c>
      <c r="AN3583">
        <v>1.0000000369598701</v>
      </c>
    </row>
    <row r="3584" spans="1:40" x14ac:dyDescent="0.25">
      <c r="A3584" t="str">
        <f>"20190312161343133"</f>
        <v>20190312161343133</v>
      </c>
      <c r="B3584" t="str">
        <f>"1552378423130050"</f>
        <v>1552378423130050</v>
      </c>
      <c r="C3584" t="s">
        <v>40</v>
      </c>
      <c r="D3584">
        <v>4.929055</v>
      </c>
      <c r="E3584">
        <v>0.53537699999999999</v>
      </c>
      <c r="F3584" t="s">
        <v>81</v>
      </c>
      <c r="G3584">
        <v>-168.41239999999999</v>
      </c>
      <c r="H3584">
        <v>0.2029591</v>
      </c>
      <c r="I3584">
        <v>200.80439999999999</v>
      </c>
      <c r="J3584">
        <v>-224.4485</v>
      </c>
      <c r="K3584">
        <v>1.110074</v>
      </c>
      <c r="L3584">
        <v>214.09979999999999</v>
      </c>
      <c r="M3584">
        <v>0.99984879999999998</v>
      </c>
      <c r="N3584">
        <v>0</v>
      </c>
      <c r="O3584">
        <v>-1.024484E-2</v>
      </c>
      <c r="P3584">
        <v>0.9899192</v>
      </c>
      <c r="Q3584">
        <v>-3.5001310000000001E-2</v>
      </c>
      <c r="R3584">
        <v>-0.13724129999999901</v>
      </c>
      <c r="S3584">
        <v>2.9332280000000002</v>
      </c>
      <c r="T3584">
        <v>-4.7245139999999998E-2</v>
      </c>
      <c r="U3584">
        <v>-0.69264219999999999</v>
      </c>
      <c r="V3584">
        <v>0.1270886</v>
      </c>
      <c r="W3584">
        <v>-2.1087709999999999E-2</v>
      </c>
      <c r="X3584">
        <v>0.99166719999999997</v>
      </c>
      <c r="Y3584">
        <v>0.21980669999999999</v>
      </c>
      <c r="Z3584">
        <v>-1.583351E-3</v>
      </c>
      <c r="AA3584">
        <v>0.97554209999999997</v>
      </c>
      <c r="AB3584">
        <v>27</v>
      </c>
      <c r="AC3584">
        <v>56.036099999999998</v>
      </c>
      <c r="AD3584">
        <v>-0.90711489999999995</v>
      </c>
      <c r="AE3584">
        <v>-13.295400000000001</v>
      </c>
      <c r="AF3584">
        <v>12.7174095462754</v>
      </c>
      <c r="AG3584">
        <v>-0.90711489999999995</v>
      </c>
      <c r="AH3584">
        <v>56.1554499237294</v>
      </c>
      <c r="AI3584">
        <v>90.902602008139596</v>
      </c>
      <c r="AJ3584">
        <v>77.239587219707403</v>
      </c>
      <c r="AK3584">
        <v>57.5846326648524</v>
      </c>
      <c r="AL3584">
        <v>91.208326325535495</v>
      </c>
      <c r="AM3584">
        <v>82.696981478431397</v>
      </c>
      <c r="AN3584">
        <v>1.0000000196594201</v>
      </c>
    </row>
    <row r="3585" spans="1:40" x14ac:dyDescent="0.25">
      <c r="A3585" t="str">
        <f>"20190312161343156"</f>
        <v>20190312161343156</v>
      </c>
      <c r="B3585" t="str">
        <f>"1552378423149569"</f>
        <v>1552378423149569</v>
      </c>
      <c r="C3585" t="s">
        <v>40</v>
      </c>
      <c r="D3585">
        <v>4.9355260000000003</v>
      </c>
      <c r="E3585">
        <v>0.53551019999999905</v>
      </c>
      <c r="F3585" t="s">
        <v>81</v>
      </c>
      <c r="G3585">
        <v>-168.41249999999999</v>
      </c>
      <c r="H3585">
        <v>0.37393189999999998</v>
      </c>
      <c r="I3585">
        <v>200.82429999999999</v>
      </c>
      <c r="J3585">
        <v>-224.1781</v>
      </c>
      <c r="K3585">
        <v>1.1100699999999999</v>
      </c>
      <c r="L3585">
        <v>214.09700000000001</v>
      </c>
      <c r="M3585">
        <v>0.99984830000000002</v>
      </c>
      <c r="N3585">
        <v>0</v>
      </c>
      <c r="O3585">
        <v>-1.029714E-2</v>
      </c>
      <c r="P3585">
        <v>0.98982110000000001</v>
      </c>
      <c r="Q3585">
        <v>-3.4924030000000002E-2</v>
      </c>
      <c r="R3585">
        <v>-0.1379668</v>
      </c>
      <c r="S3585">
        <v>2.9328609999999999</v>
      </c>
      <c r="T3585">
        <v>-3.852713E-2</v>
      </c>
      <c r="U3585">
        <v>-0.694824199999999</v>
      </c>
      <c r="V3585">
        <v>0.12776309999999999</v>
      </c>
      <c r="W3585">
        <v>-2.1014439999999999E-2</v>
      </c>
      <c r="X3585">
        <v>0.99158199999999996</v>
      </c>
      <c r="Y3585">
        <v>0.2204788</v>
      </c>
      <c r="Z3585">
        <v>-1.294931E-3</v>
      </c>
      <c r="AA3585">
        <v>0.97539089999999995</v>
      </c>
      <c r="AB3585">
        <v>27</v>
      </c>
      <c r="AC3585">
        <v>55.765599999999999</v>
      </c>
      <c r="AD3585">
        <v>-0.73613809999999902</v>
      </c>
      <c r="AE3585">
        <v>-13.2727</v>
      </c>
      <c r="AF3585">
        <v>12.695619648317599</v>
      </c>
      <c r="AG3585">
        <v>-0.73613809999999902</v>
      </c>
      <c r="AH3585">
        <v>55.890110214874497</v>
      </c>
      <c r="AI3585">
        <v>90.735864893112705</v>
      </c>
      <c r="AJ3585">
        <v>77.202243937638499</v>
      </c>
      <c r="AK3585">
        <v>57.318627664903502</v>
      </c>
      <c r="AL3585">
        <v>91.204127429817802</v>
      </c>
      <c r="AM3585">
        <v>82.658019838397806</v>
      </c>
      <c r="AN3585">
        <v>0.99999993956706001</v>
      </c>
    </row>
    <row r="3586" spans="1:40" x14ac:dyDescent="0.25">
      <c r="A3586" t="str">
        <f>"20190312161343177"</f>
        <v>20190312161343177</v>
      </c>
      <c r="B3586" t="str">
        <f>"1552378423170066"</f>
        <v>1552378423170066</v>
      </c>
      <c r="C3586" t="s">
        <v>40</v>
      </c>
      <c r="D3586">
        <v>4.9663069999999996</v>
      </c>
      <c r="E3586">
        <v>0.53560839999999998</v>
      </c>
      <c r="F3586" t="s">
        <v>81</v>
      </c>
      <c r="G3586">
        <v>-168.41249999999999</v>
      </c>
      <c r="H3586">
        <v>0.3844204</v>
      </c>
      <c r="I3586">
        <v>200.8193</v>
      </c>
      <c r="J3586">
        <v>-223.90969999999999</v>
      </c>
      <c r="K3586">
        <v>1.1100680000000001</v>
      </c>
      <c r="L3586">
        <v>214.0941</v>
      </c>
      <c r="M3586">
        <v>0.99984790000000001</v>
      </c>
      <c r="N3586">
        <v>0</v>
      </c>
      <c r="O3586">
        <v>-1.0349209999999999E-2</v>
      </c>
      <c r="P3586">
        <v>0.98963239999999997</v>
      </c>
      <c r="Q3586">
        <v>-3.5499790000000003E-2</v>
      </c>
      <c r="R3586">
        <v>-0.13916729999999899</v>
      </c>
      <c r="S3586">
        <v>2.9322050000000002</v>
      </c>
      <c r="T3586">
        <v>-3.8153529999999998E-2</v>
      </c>
      <c r="U3586">
        <v>-0.69815059999999995</v>
      </c>
      <c r="V3586">
        <v>0.128914</v>
      </c>
      <c r="W3586">
        <v>-2.1595400000000001E-2</v>
      </c>
      <c r="X3586">
        <v>0.99142059999999999</v>
      </c>
      <c r="Y3586">
        <v>0.22152450000000001</v>
      </c>
      <c r="Z3586">
        <v>-1.28853E-3</v>
      </c>
      <c r="AA3586">
        <v>0.97515390000000002</v>
      </c>
      <c r="AB3586">
        <v>27</v>
      </c>
      <c r="AC3586">
        <v>55.4971999999999</v>
      </c>
      <c r="AD3586">
        <v>-0.72564759999999995</v>
      </c>
      <c r="AE3586">
        <v>-13.274800000000001</v>
      </c>
      <c r="AF3586">
        <v>12.6976267792438</v>
      </c>
      <c r="AG3586">
        <v>-0.72564759999999995</v>
      </c>
      <c r="AH3586">
        <v>55.622629599639303</v>
      </c>
      <c r="AI3586">
        <v>90.728689259290704</v>
      </c>
      <c r="AJ3586">
        <v>77.140777070703905</v>
      </c>
      <c r="AK3586">
        <v>57.058156418193398</v>
      </c>
      <c r="AL3586">
        <v>91.237421478690607</v>
      </c>
      <c r="AM3586">
        <v>82.591421474816698</v>
      </c>
      <c r="AN3586">
        <v>0.99999999340075896</v>
      </c>
    </row>
    <row r="3587" spans="1:40" x14ac:dyDescent="0.25">
      <c r="A3587" t="str">
        <f>"20190312161343200"</f>
        <v>20190312161343200</v>
      </c>
      <c r="B3587" t="str">
        <f>"1552378423189585"</f>
        <v>1552378423189585</v>
      </c>
      <c r="C3587" t="s">
        <v>40</v>
      </c>
      <c r="D3587">
        <v>4.9738870000000004</v>
      </c>
      <c r="E3587">
        <v>0.53569029999999995</v>
      </c>
      <c r="F3587" t="s">
        <v>81</v>
      </c>
      <c r="G3587">
        <v>-168.41249999999999</v>
      </c>
      <c r="H3587">
        <v>0.3439894</v>
      </c>
      <c r="I3587">
        <v>200.79409999999999</v>
      </c>
      <c r="J3587">
        <v>-223.63990000000001</v>
      </c>
      <c r="K3587">
        <v>1.110066</v>
      </c>
      <c r="L3587">
        <v>214.09129999999999</v>
      </c>
      <c r="M3587">
        <v>0.99984720000000005</v>
      </c>
      <c r="N3587">
        <v>0</v>
      </c>
      <c r="O3587">
        <v>-1.040117E-2</v>
      </c>
      <c r="P3587">
        <v>0.98944069999999995</v>
      </c>
      <c r="Q3587">
        <v>-3.5399220000000002E-2</v>
      </c>
      <c r="R3587">
        <v>-0.14054929999999999</v>
      </c>
      <c r="S3587">
        <v>2.9312130000000001</v>
      </c>
      <c r="T3587">
        <v>-4.0460349999999999E-2</v>
      </c>
      <c r="U3587">
        <v>-0.70246889999999995</v>
      </c>
      <c r="V3587">
        <v>0.13024630000000001</v>
      </c>
      <c r="W3587">
        <v>-2.1500209999999999E-2</v>
      </c>
      <c r="X3587">
        <v>0.99124849999999998</v>
      </c>
      <c r="Y3587">
        <v>0.22290479999999999</v>
      </c>
      <c r="Z3587">
        <v>-1.375334E-3</v>
      </c>
      <c r="AA3587">
        <v>0.97483929999999996</v>
      </c>
      <c r="AB3587">
        <v>27</v>
      </c>
      <c r="AC3587">
        <v>55.227400000000003</v>
      </c>
      <c r="AD3587">
        <v>-0.7660766</v>
      </c>
      <c r="AE3587">
        <v>-13.2972</v>
      </c>
      <c r="AF3587">
        <v>12.719680955487499</v>
      </c>
      <c r="AG3587">
        <v>-0.7660766</v>
      </c>
      <c r="AH3587">
        <v>55.352665052398997</v>
      </c>
      <c r="AI3587">
        <v>90.7727801898031</v>
      </c>
      <c r="AJ3587">
        <v>77.058474780437507</v>
      </c>
      <c r="AK3587">
        <v>56.800481383255303</v>
      </c>
      <c r="AL3587">
        <v>91.231966251657497</v>
      </c>
      <c r="AM3587">
        <v>82.514434276179799</v>
      </c>
      <c r="AN3587">
        <v>0.99999997322299095</v>
      </c>
    </row>
    <row r="3588" spans="1:40" x14ac:dyDescent="0.25">
      <c r="A3588" t="str">
        <f>"20190312161343222"</f>
        <v>20190312161343222</v>
      </c>
      <c r="B3588" t="str">
        <f>"1552378423219842"</f>
        <v>1552378423219842</v>
      </c>
      <c r="C3588" t="s">
        <v>40</v>
      </c>
      <c r="D3588">
        <v>4.9246220000000003</v>
      </c>
      <c r="E3588">
        <v>0.53597550000000005</v>
      </c>
      <c r="F3588" t="s">
        <v>81</v>
      </c>
      <c r="G3588">
        <v>-168.41249999999999</v>
      </c>
      <c r="H3588">
        <v>0.329708099999999</v>
      </c>
      <c r="I3588">
        <v>200.761</v>
      </c>
      <c r="J3588">
        <v>-223.3664</v>
      </c>
      <c r="K3588">
        <v>1.1100719999999999</v>
      </c>
      <c r="L3588">
        <v>214.0883</v>
      </c>
      <c r="M3588">
        <v>0.99984680000000004</v>
      </c>
      <c r="N3588">
        <v>0</v>
      </c>
      <c r="O3588">
        <v>-1.045395E-2</v>
      </c>
      <c r="P3588">
        <v>0.98921230000000004</v>
      </c>
      <c r="Q3588">
        <v>-3.5355350000000001E-2</v>
      </c>
      <c r="R3588">
        <v>-0.14215910000000001</v>
      </c>
      <c r="S3588">
        <v>2.9300540000000002</v>
      </c>
      <c r="T3588">
        <v>-4.1399480000000002E-2</v>
      </c>
      <c r="U3588">
        <v>-0.70722959999999901</v>
      </c>
      <c r="V3588">
        <v>0.13180620000000001</v>
      </c>
      <c r="W3588">
        <v>-2.1462289999999998E-2</v>
      </c>
      <c r="X3588">
        <v>0.99104320000000001</v>
      </c>
      <c r="Y3588">
        <v>0.22443669999999999</v>
      </c>
      <c r="Z3588">
        <v>-1.417466E-3</v>
      </c>
      <c r="AA3588">
        <v>0.97448769999999996</v>
      </c>
      <c r="AB3588">
        <v>27</v>
      </c>
      <c r="AC3588">
        <v>54.953899999999997</v>
      </c>
      <c r="AD3588">
        <v>-0.7803639</v>
      </c>
      <c r="AE3588">
        <v>-13.327299999999999</v>
      </c>
      <c r="AF3588">
        <v>12.7496015138909</v>
      </c>
      <c r="AG3588">
        <v>-0.7803639</v>
      </c>
      <c r="AH3588">
        <v>55.079743317726098</v>
      </c>
      <c r="AI3588">
        <v>90.790799502721995</v>
      </c>
      <c r="AJ3588">
        <v>76.9669784469571</v>
      </c>
      <c r="AK3588">
        <v>56.541484155671299</v>
      </c>
      <c r="AL3588">
        <v>91.229792982215002</v>
      </c>
      <c r="AM3588">
        <v>82.424267055809196</v>
      </c>
      <c r="AN3588">
        <v>1.00000006425836</v>
      </c>
    </row>
    <row r="3589" spans="1:40" x14ac:dyDescent="0.25">
      <c r="A3589" t="str">
        <f>"20190312161343246"</f>
        <v>20190312161343246</v>
      </c>
      <c r="B3589" t="str">
        <f>"1552378423239361"</f>
        <v>1552378423239361</v>
      </c>
      <c r="C3589" t="s">
        <v>40</v>
      </c>
      <c r="D3589">
        <v>4.9940239999999996</v>
      </c>
      <c r="E3589">
        <v>0.53675119999999998</v>
      </c>
      <c r="F3589" t="s">
        <v>81</v>
      </c>
      <c r="G3589">
        <v>-168.41249999999999</v>
      </c>
      <c r="H3589">
        <v>0.28499029999999997</v>
      </c>
      <c r="I3589">
        <v>200.69069999999999</v>
      </c>
      <c r="J3589">
        <v>-223.08850000000001</v>
      </c>
      <c r="K3589">
        <v>1.11007099999999</v>
      </c>
      <c r="L3589">
        <v>214.08539999999999</v>
      </c>
      <c r="M3589">
        <v>0.99984629999999997</v>
      </c>
      <c r="N3589">
        <v>0</v>
      </c>
      <c r="O3589">
        <v>-1.050733E-2</v>
      </c>
      <c r="P3589">
        <v>0.9890506</v>
      </c>
      <c r="Q3589">
        <v>-3.5203070000000003E-2</v>
      </c>
      <c r="R3589">
        <v>-0.14331769999999999</v>
      </c>
      <c r="S3589">
        <v>2.9285429999999999</v>
      </c>
      <c r="T3589">
        <v>-4.3967489999999998E-2</v>
      </c>
      <c r="U3589">
        <v>-0.713974</v>
      </c>
      <c r="V3589">
        <v>0.13291339999999999</v>
      </c>
      <c r="W3589">
        <v>-2.131504E-2</v>
      </c>
      <c r="X3589">
        <v>0.99089839999999996</v>
      </c>
      <c r="Y3589">
        <v>0.22661539999999999</v>
      </c>
      <c r="Z3589">
        <v>-1.5210639999999999E-3</v>
      </c>
      <c r="AA3589">
        <v>0.97398309999999999</v>
      </c>
      <c r="AB3589">
        <v>27</v>
      </c>
      <c r="AC3589">
        <v>54.676000000000002</v>
      </c>
      <c r="AD3589">
        <v>-0.825080699999999</v>
      </c>
      <c r="AE3589">
        <v>-13.3947</v>
      </c>
      <c r="AF3589">
        <v>12.816651707303601</v>
      </c>
      <c r="AG3589">
        <v>-0.825080699999999</v>
      </c>
      <c r="AH3589">
        <v>54.801964612488803</v>
      </c>
      <c r="AI3589">
        <v>90.839901078421093</v>
      </c>
      <c r="AJ3589">
        <v>76.836704851844402</v>
      </c>
      <c r="AK3589">
        <v>56.286789254107603</v>
      </c>
      <c r="AL3589">
        <v>91.2213543626887</v>
      </c>
      <c r="AM3589">
        <v>82.360274562079795</v>
      </c>
      <c r="AN3589">
        <v>0.99999997097616</v>
      </c>
    </row>
    <row r="3590" spans="1:40" x14ac:dyDescent="0.25">
      <c r="A3590" t="str">
        <f>"20190312161343267"</f>
        <v>20190312161343267</v>
      </c>
      <c r="B3590" t="str">
        <f>"1552378423259858"</f>
        <v>1552378423259858</v>
      </c>
      <c r="C3590" t="s">
        <v>40</v>
      </c>
      <c r="D3590">
        <v>4.9977869999999998</v>
      </c>
      <c r="E3590">
        <v>0.53648219999999902</v>
      </c>
      <c r="F3590" t="s">
        <v>63</v>
      </c>
      <c r="G3590">
        <v>-195.9008</v>
      </c>
      <c r="H3590" s="1">
        <v>3.94301E-6</v>
      </c>
      <c r="I3590">
        <v>207.39580000000001</v>
      </c>
      <c r="J3590">
        <v>-222.81909999999999</v>
      </c>
      <c r="K3590">
        <v>1.11007099999999</v>
      </c>
      <c r="L3590">
        <v>214.08250000000001</v>
      </c>
      <c r="M3590">
        <v>0.99984580000000001</v>
      </c>
      <c r="N3590">
        <v>0</v>
      </c>
      <c r="O3590">
        <v>-1.055917E-2</v>
      </c>
      <c r="P3590">
        <v>0.98886320000000005</v>
      </c>
      <c r="Q3590">
        <v>-3.4989979999999997E-2</v>
      </c>
      <c r="R3590">
        <v>-0.14465620000000001</v>
      </c>
      <c r="S3590">
        <v>2.9246669999999999</v>
      </c>
      <c r="T3590">
        <v>-0.11941359999999999</v>
      </c>
      <c r="U3590">
        <v>-0.71961980000000003</v>
      </c>
      <c r="V3590">
        <v>0.13420260000000001</v>
      </c>
      <c r="W3590">
        <v>-2.1107270000000001E-2</v>
      </c>
      <c r="X3590">
        <v>0.99072910000000003</v>
      </c>
      <c r="Y3590">
        <v>0.22848689999999999</v>
      </c>
      <c r="Z3590">
        <v>-4.1696420000000003E-3</v>
      </c>
      <c r="AA3590">
        <v>0.97353800000000001</v>
      </c>
      <c r="AB3590">
        <v>27</v>
      </c>
      <c r="AC3590">
        <v>26.918299999999899</v>
      </c>
      <c r="AD3590">
        <v>-1.11006705698999</v>
      </c>
      <c r="AE3590">
        <v>-6.6867000000000001</v>
      </c>
      <c r="AF3590">
        <v>6.3918260515616501</v>
      </c>
      <c r="AG3590">
        <v>-1.11006705698999</v>
      </c>
      <c r="AH3590">
        <v>26.9442536074692</v>
      </c>
      <c r="AI3590">
        <v>92.295538984447205</v>
      </c>
      <c r="AJ3590">
        <v>76.654746858693898</v>
      </c>
      <c r="AK3590">
        <v>27.7142651284145</v>
      </c>
      <c r="AL3590">
        <v>91.209447301651096</v>
      </c>
      <c r="AM3590">
        <v>82.285758306411907</v>
      </c>
      <c r="AN3590">
        <v>1.00000000214021</v>
      </c>
    </row>
    <row r="3591" spans="1:40" x14ac:dyDescent="0.25">
      <c r="A3591" t="str">
        <f>"20190312161343289"</f>
        <v>20190312161343289</v>
      </c>
      <c r="B3591" t="str">
        <f>"1552378423279378"</f>
        <v>1552378423279378</v>
      </c>
      <c r="C3591" t="s">
        <v>40</v>
      </c>
      <c r="D3591">
        <v>5.009449</v>
      </c>
      <c r="E3591">
        <v>0.53622499999999995</v>
      </c>
      <c r="F3591" t="s">
        <v>63</v>
      </c>
      <c r="G3591">
        <v>-187.69300000000001</v>
      </c>
      <c r="H3591" s="1">
        <v>5.4664909999999996E-6</v>
      </c>
      <c r="I3591">
        <v>205.40199999999999</v>
      </c>
      <c r="J3591">
        <v>-222.5582</v>
      </c>
      <c r="K3591">
        <v>1.1100730000000001</v>
      </c>
      <c r="L3591">
        <v>214.0796</v>
      </c>
      <c r="M3591">
        <v>0.99984530000000005</v>
      </c>
      <c r="N3591">
        <v>0</v>
      </c>
      <c r="O3591">
        <v>-1.060957E-2</v>
      </c>
      <c r="P3591">
        <v>0.98864569999999996</v>
      </c>
      <c r="Q3591">
        <v>-3.5092289999999998E-2</v>
      </c>
      <c r="R3591">
        <v>-0.14611109999999999</v>
      </c>
      <c r="S3591">
        <v>2.92482</v>
      </c>
      <c r="T3591">
        <v>-9.2431189999999996E-2</v>
      </c>
      <c r="U3591">
        <v>-0.72279359999999904</v>
      </c>
      <c r="V3591">
        <v>0.13560990000000001</v>
      </c>
      <c r="W3591">
        <v>-2.1215169999999998E-2</v>
      </c>
      <c r="X3591">
        <v>0.9905351</v>
      </c>
      <c r="Y3591">
        <v>0.2294899</v>
      </c>
      <c r="Z3591">
        <v>-3.2414620000000001E-3</v>
      </c>
      <c r="AA3591">
        <v>0.97330559999999999</v>
      </c>
      <c r="AB3591">
        <v>27</v>
      </c>
      <c r="AC3591">
        <v>34.865200000000002</v>
      </c>
      <c r="AD3591">
        <v>-1.11006753350899</v>
      </c>
      <c r="AE3591">
        <v>-8.6775999999999804</v>
      </c>
      <c r="AF3591">
        <v>8.2992480262568407</v>
      </c>
      <c r="AG3591">
        <v>-1.11006753350899</v>
      </c>
      <c r="AH3591">
        <v>34.921976168238601</v>
      </c>
      <c r="AI3591">
        <v>91.771350816519501</v>
      </c>
      <c r="AJ3591">
        <v>76.631583630038307</v>
      </c>
      <c r="AK3591">
        <v>35.911755557551103</v>
      </c>
      <c r="AL3591">
        <v>91.215630956547699</v>
      </c>
      <c r="AM3591">
        <v>82.204345289779297</v>
      </c>
      <c r="AN3591">
        <v>0.99999995637407302</v>
      </c>
    </row>
    <row r="3592" spans="1:40" x14ac:dyDescent="0.25">
      <c r="A3592" t="str">
        <f>"20190312161343311"</f>
        <v>20190312161343311</v>
      </c>
      <c r="B3592" t="str">
        <f>"1552378423299874"</f>
        <v>1552378423299874</v>
      </c>
      <c r="C3592" t="s">
        <v>40</v>
      </c>
      <c r="D3592">
        <v>4.9858359999999999</v>
      </c>
      <c r="E3592">
        <v>0.53631039999999996</v>
      </c>
      <c r="F3592" t="s">
        <v>63</v>
      </c>
      <c r="G3592">
        <v>-190.28190000000001</v>
      </c>
      <c r="H3592" s="1">
        <v>5.5869949999999997E-6</v>
      </c>
      <c r="I3592">
        <v>206.0812</v>
      </c>
      <c r="J3592">
        <v>-222.28899999999999</v>
      </c>
      <c r="K3592">
        <v>1.110077</v>
      </c>
      <c r="L3592">
        <v>214.07669999999999</v>
      </c>
      <c r="M3592">
        <v>0.99984490000000004</v>
      </c>
      <c r="N3592">
        <v>0</v>
      </c>
      <c r="O3592">
        <v>-1.066164E-2</v>
      </c>
      <c r="P3592">
        <v>0.98839589999999999</v>
      </c>
      <c r="Q3592">
        <v>-3.544315E-2</v>
      </c>
      <c r="R3592">
        <v>-0.1477079</v>
      </c>
      <c r="S3592">
        <v>2.9237820000000001</v>
      </c>
      <c r="T3592">
        <v>-0.1005566</v>
      </c>
      <c r="U3592">
        <v>-0.72454830000000003</v>
      </c>
      <c r="V3592">
        <v>0.13715759999999999</v>
      </c>
      <c r="W3592">
        <v>-2.1572149999999998E-2</v>
      </c>
      <c r="X3592">
        <v>0.99031429999999998</v>
      </c>
      <c r="Y3592">
        <v>0.2300509</v>
      </c>
      <c r="Z3592">
        <v>-3.5349589999999998E-3</v>
      </c>
      <c r="AA3592">
        <v>0.97317220000000004</v>
      </c>
      <c r="AB3592">
        <v>27</v>
      </c>
      <c r="AC3592">
        <v>32.007100000000001</v>
      </c>
      <c r="AD3592">
        <v>-1.110071413005</v>
      </c>
      <c r="AE3592">
        <v>-7.9954999999999901</v>
      </c>
      <c r="AF3592">
        <v>7.6451080256464596</v>
      </c>
      <c r="AG3592">
        <v>-1.110071413005</v>
      </c>
      <c r="AH3592">
        <v>32.054242402601403</v>
      </c>
      <c r="AI3592">
        <v>91.9293455442305</v>
      </c>
      <c r="AJ3592">
        <v>76.585267695431796</v>
      </c>
      <c r="AK3592">
        <v>32.972024373254797</v>
      </c>
      <c r="AL3592">
        <v>91.2360890470474</v>
      </c>
      <c r="AM3592">
        <v>82.114751288909503</v>
      </c>
      <c r="AN3592">
        <v>0.99999998883893604</v>
      </c>
    </row>
    <row r="3593" spans="1:40" x14ac:dyDescent="0.25">
      <c r="A3593" t="str">
        <f>"20190312161343334"</f>
        <v>20190312161343334</v>
      </c>
      <c r="B3593" t="str">
        <f>"1552378423329154"</f>
        <v>1552378423329154</v>
      </c>
      <c r="C3593" t="s">
        <v>40</v>
      </c>
      <c r="D3593">
        <v>4.952369</v>
      </c>
      <c r="E3593">
        <v>0.53692050000000002</v>
      </c>
      <c r="F3593" t="s">
        <v>63</v>
      </c>
      <c r="G3593">
        <v>-192.9034</v>
      </c>
      <c r="H3593" s="1">
        <v>4.772689E-6</v>
      </c>
      <c r="I3593">
        <v>206.74039999999999</v>
      </c>
      <c r="J3593">
        <v>-222.01820000000001</v>
      </c>
      <c r="K3593">
        <v>1.1100760000000001</v>
      </c>
      <c r="L3593">
        <v>214.07380000000001</v>
      </c>
      <c r="M3593">
        <v>0.99984439999999997</v>
      </c>
      <c r="N3593">
        <v>0</v>
      </c>
      <c r="O3593">
        <v>-1.0713830000000001E-2</v>
      </c>
      <c r="P3593">
        <v>0.98816700000000002</v>
      </c>
      <c r="Q3593">
        <v>-3.539962E-2</v>
      </c>
      <c r="R3593">
        <v>-0.1492415</v>
      </c>
      <c r="S3593">
        <v>2.9222410000000001</v>
      </c>
      <c r="T3593">
        <v>-0.1103908</v>
      </c>
      <c r="U3593">
        <v>-0.72955319999999901</v>
      </c>
      <c r="V3593">
        <v>0.13864189999999901</v>
      </c>
      <c r="W3593">
        <v>-2.153451E-2</v>
      </c>
      <c r="X3593">
        <v>0.9901084</v>
      </c>
      <c r="Y3593">
        <v>0.23166300000000001</v>
      </c>
      <c r="Z3593">
        <v>-3.9096799999999996E-3</v>
      </c>
      <c r="AA3593">
        <v>0.97278819999999999</v>
      </c>
      <c r="AB3593">
        <v>27</v>
      </c>
      <c r="AC3593">
        <v>29.114799999999999</v>
      </c>
      <c r="AD3593">
        <v>-1.1100712273109901</v>
      </c>
      <c r="AE3593">
        <v>-7.3334000000000099</v>
      </c>
      <c r="AF3593">
        <v>7.0114329282220504</v>
      </c>
      <c r="AG3593">
        <v>-1.1100712273109901</v>
      </c>
      <c r="AH3593">
        <v>29.151855358263099</v>
      </c>
      <c r="AI3593">
        <v>92.120301040444602</v>
      </c>
      <c r="AJ3593">
        <v>76.476417206056794</v>
      </c>
      <c r="AK3593">
        <v>30.003718447314998</v>
      </c>
      <c r="AL3593">
        <v>91.233931946588896</v>
      </c>
      <c r="AM3593">
        <v>82.028872869961205</v>
      </c>
      <c r="AN3593">
        <v>0.99999997765355397</v>
      </c>
    </row>
    <row r="3594" spans="1:40" x14ac:dyDescent="0.25">
      <c r="A3594" t="str">
        <f>"20190312161343358"</f>
        <v>20190312161343358</v>
      </c>
      <c r="B3594" t="str">
        <f>"1552378423349649"</f>
        <v>1552378423349649</v>
      </c>
      <c r="C3594" t="s">
        <v>40</v>
      </c>
      <c r="D3594">
        <v>5.052136</v>
      </c>
      <c r="E3594">
        <v>0.53720690000000004</v>
      </c>
      <c r="F3594" t="s">
        <v>63</v>
      </c>
      <c r="G3594">
        <v>-197.2731</v>
      </c>
      <c r="H3594" s="1">
        <v>3.5872250000000002E-6</v>
      </c>
      <c r="I3594">
        <v>207.8202</v>
      </c>
      <c r="J3594">
        <v>-221.72720000000001</v>
      </c>
      <c r="K3594">
        <v>1.1100779999999999</v>
      </c>
      <c r="L3594">
        <v>214.07050000000001</v>
      </c>
      <c r="M3594">
        <v>0.9998437</v>
      </c>
      <c r="N3594">
        <v>0</v>
      </c>
      <c r="O3594">
        <v>-1.076995E-2</v>
      </c>
      <c r="P3594">
        <v>0.9879365</v>
      </c>
      <c r="Q3594">
        <v>-3.4791339999999997E-2</v>
      </c>
      <c r="R3594">
        <v>-0.1509026</v>
      </c>
      <c r="S3594">
        <v>2.9197690000000001</v>
      </c>
      <c r="T3594">
        <v>-0.1309816</v>
      </c>
      <c r="U3594">
        <v>-0.73788450000000005</v>
      </c>
      <c r="V3594">
        <v>0.1402496</v>
      </c>
      <c r="W3594">
        <v>-2.093238E-2</v>
      </c>
      <c r="X3594">
        <v>0.98989490000000002</v>
      </c>
      <c r="Y3594">
        <v>0.2343488</v>
      </c>
      <c r="Z3594">
        <v>-4.697321E-3</v>
      </c>
      <c r="AA3594">
        <v>0.97214120000000004</v>
      </c>
      <c r="AB3594">
        <v>27</v>
      </c>
      <c r="AC3594">
        <v>24.4541</v>
      </c>
      <c r="AD3594">
        <v>-1.110074412775</v>
      </c>
      <c r="AE3594">
        <v>-6.25030000000001</v>
      </c>
      <c r="AF3594">
        <v>5.9749848554932097</v>
      </c>
      <c r="AG3594">
        <v>-1.110074412775</v>
      </c>
      <c r="AH3594">
        <v>24.472666685177099</v>
      </c>
      <c r="AI3594">
        <v>92.523130831095003</v>
      </c>
      <c r="AJ3594">
        <v>76.279688911177601</v>
      </c>
      <c r="AK3594">
        <v>25.215949791928299</v>
      </c>
      <c r="AL3594">
        <v>91.1994246142078</v>
      </c>
      <c r="AM3594">
        <v>81.935931693255</v>
      </c>
      <c r="AN3594">
        <v>1.0000000139393099</v>
      </c>
    </row>
    <row r="3595" spans="1:40" x14ac:dyDescent="0.25">
      <c r="A3595" t="str">
        <f>"20190312161343378"</f>
        <v>20190312161343378</v>
      </c>
      <c r="B3595" t="str">
        <f>"1552378423369905"</f>
        <v>1552378423369905</v>
      </c>
      <c r="C3595" t="s">
        <v>40</v>
      </c>
      <c r="D3595">
        <v>5.0984069999999999</v>
      </c>
      <c r="E3595">
        <v>0.53744780000000003</v>
      </c>
      <c r="F3595" t="s">
        <v>63</v>
      </c>
      <c r="G3595">
        <v>-198.0744</v>
      </c>
      <c r="H3595" s="1">
        <v>3.3883319999999999E-6</v>
      </c>
      <c r="I3595">
        <v>208.03440000000001</v>
      </c>
      <c r="J3595">
        <v>-221.47919999999999</v>
      </c>
      <c r="K3595">
        <v>1.1100810000000001</v>
      </c>
      <c r="L3595">
        <v>214.06780000000001</v>
      </c>
      <c r="M3595">
        <v>0.99984329999999999</v>
      </c>
      <c r="N3595">
        <v>0</v>
      </c>
      <c r="O3595">
        <v>-1.081785E-2</v>
      </c>
      <c r="P3595">
        <v>0.98771100000000001</v>
      </c>
      <c r="Q3595">
        <v>-3.4529320000000002E-2</v>
      </c>
      <c r="R3595">
        <v>-0.1524306</v>
      </c>
      <c r="S3595">
        <v>2.9180450000000002</v>
      </c>
      <c r="T3595">
        <v>-0.13695009999999999</v>
      </c>
      <c r="U3595">
        <v>-0.74467469999999902</v>
      </c>
      <c r="V3595">
        <v>0.14173289999999999</v>
      </c>
      <c r="W3595">
        <v>-2.0675990000000002E-2</v>
      </c>
      <c r="X3595">
        <v>0.98968900000000004</v>
      </c>
      <c r="Y3595">
        <v>0.2365411</v>
      </c>
      <c r="Z3595">
        <v>-4.9609750000000003E-3</v>
      </c>
      <c r="AA3595">
        <v>0.97160880000000005</v>
      </c>
      <c r="AB3595">
        <v>27</v>
      </c>
      <c r="AC3595">
        <v>23.404799999999899</v>
      </c>
      <c r="AD3595">
        <v>-1.11007761166799</v>
      </c>
      <c r="AE3595">
        <v>-6.0334000000000003</v>
      </c>
      <c r="AF3595">
        <v>5.7676662043690596</v>
      </c>
      <c r="AG3595">
        <v>-1.11007761166799</v>
      </c>
      <c r="AH3595">
        <v>23.419304786216699</v>
      </c>
      <c r="AI3595">
        <v>92.635171857642604</v>
      </c>
      <c r="AJ3595">
        <v>76.164626761531807</v>
      </c>
      <c r="AK3595">
        <v>24.144607729649699</v>
      </c>
      <c r="AL3595">
        <v>91.184731369191198</v>
      </c>
      <c r="AM3595">
        <v>81.850111936112896</v>
      </c>
      <c r="AN3595">
        <v>1.0000000141129399</v>
      </c>
    </row>
    <row r="3596" spans="1:40" x14ac:dyDescent="0.25">
      <c r="A3596" t="str">
        <f>"20190312161343401"</f>
        <v>20190312161343401</v>
      </c>
      <c r="B3596" t="str">
        <f>"1552378423389422"</f>
        <v>1552378423389422</v>
      </c>
      <c r="C3596" t="s">
        <v>40</v>
      </c>
      <c r="D3596">
        <v>5.0611370000000004</v>
      </c>
      <c r="E3596">
        <v>0.53769109999999998</v>
      </c>
      <c r="F3596" t="s">
        <v>63</v>
      </c>
      <c r="G3596">
        <v>-197.54859999999999</v>
      </c>
      <c r="H3596" s="1">
        <v>3.5159410000000002E-6</v>
      </c>
      <c r="I3596">
        <v>207.90479999999999</v>
      </c>
      <c r="J3596">
        <v>-221.2123</v>
      </c>
      <c r="K3596">
        <v>1.110082</v>
      </c>
      <c r="L3596">
        <v>214.06489999999999</v>
      </c>
      <c r="M3596">
        <v>0.99984280000000003</v>
      </c>
      <c r="N3596">
        <v>0</v>
      </c>
      <c r="O3596">
        <v>-1.0869200000000001E-2</v>
      </c>
      <c r="P3596">
        <v>0.98743590000000003</v>
      </c>
      <c r="Q3596">
        <v>-3.4083139999999998E-2</v>
      </c>
      <c r="R3596">
        <v>-0.1543012</v>
      </c>
      <c r="S3596">
        <v>2.9166560000000001</v>
      </c>
      <c r="T3596">
        <v>-0.13529559999999999</v>
      </c>
      <c r="U3596">
        <v>-0.75114440000000005</v>
      </c>
      <c r="V3596">
        <v>0.14355560000000001</v>
      </c>
      <c r="W3596">
        <v>-2.0236250000000001E-2</v>
      </c>
      <c r="X3596">
        <v>0.98943530000000002</v>
      </c>
      <c r="Y3596">
        <v>0.23862720000000001</v>
      </c>
      <c r="Z3596">
        <v>-4.9472759999999996E-3</v>
      </c>
      <c r="AA3596">
        <v>0.97109869999999998</v>
      </c>
      <c r="AB3596">
        <v>27</v>
      </c>
      <c r="AC3596">
        <v>23.663699999999999</v>
      </c>
      <c r="AD3596">
        <v>-1.1100784840589999</v>
      </c>
      <c r="AE3596">
        <v>-6.1600999999999999</v>
      </c>
      <c r="AF3596">
        <v>5.8903656033728398</v>
      </c>
      <c r="AG3596">
        <v>-1.1100784840589999</v>
      </c>
      <c r="AH3596">
        <v>23.680459715497602</v>
      </c>
      <c r="AI3596">
        <v>92.604656726955199</v>
      </c>
      <c r="AJ3596">
        <v>76.031522068426497</v>
      </c>
      <c r="AK3596">
        <v>24.4272973028019</v>
      </c>
      <c r="AL3596">
        <v>91.159530907634903</v>
      </c>
      <c r="AM3596">
        <v>81.744651309628296</v>
      </c>
      <c r="AN3596">
        <v>0.99999996449575501</v>
      </c>
    </row>
    <row r="3597" spans="1:40" x14ac:dyDescent="0.25">
      <c r="A3597" t="str">
        <f>"20190312161343436"</f>
        <v>20190312161343436</v>
      </c>
      <c r="B3597" t="str">
        <f>"1552378423429436"</f>
        <v>1552378423429436</v>
      </c>
      <c r="C3597" t="s">
        <v>40</v>
      </c>
      <c r="D3597">
        <v>5.0586080000000004</v>
      </c>
      <c r="E3597">
        <v>0.53814980000000001</v>
      </c>
      <c r="F3597" t="s">
        <v>63</v>
      </c>
      <c r="G3597">
        <v>-196.7088</v>
      </c>
      <c r="H3597" s="1">
        <v>3.7223380000000001E-6</v>
      </c>
      <c r="I3597">
        <v>207.68790000000001</v>
      </c>
      <c r="J3597">
        <v>-220.80090000000001</v>
      </c>
      <c r="K3597">
        <v>1.1100810000000001</v>
      </c>
      <c r="L3597">
        <v>214.06030000000001</v>
      </c>
      <c r="M3597">
        <v>0.99984189999999995</v>
      </c>
      <c r="N3597">
        <v>0</v>
      </c>
      <c r="O3597">
        <v>-1.094844E-2</v>
      </c>
      <c r="P3597">
        <v>0.98705730000000003</v>
      </c>
      <c r="Q3597">
        <v>-3.4687469999999998E-2</v>
      </c>
      <c r="R3597">
        <v>-0.1565723</v>
      </c>
      <c r="S3597">
        <v>2.9150849999999999</v>
      </c>
      <c r="T3597">
        <v>-0.1320615</v>
      </c>
      <c r="U3597">
        <v>-0.75863649999999905</v>
      </c>
      <c r="V3597">
        <v>0.1457522</v>
      </c>
      <c r="W3597">
        <v>-2.0849699999999999E-2</v>
      </c>
      <c r="X3597">
        <v>0.98910140000000002</v>
      </c>
      <c r="Y3597">
        <v>0.2410235</v>
      </c>
      <c r="Z3597">
        <v>-4.8799610000000004E-3</v>
      </c>
      <c r="AA3597">
        <v>0.97050700000000001</v>
      </c>
      <c r="AB3597">
        <v>27</v>
      </c>
      <c r="AC3597">
        <v>24.092099999999999</v>
      </c>
      <c r="AD3597">
        <v>-1.11007727766199</v>
      </c>
      <c r="AE3597">
        <v>-6.3723999999999901</v>
      </c>
      <c r="AF3597">
        <v>6.09612515017393</v>
      </c>
      <c r="AG3597">
        <v>-1.11007727766199</v>
      </c>
      <c r="AH3597">
        <v>24.112585824046</v>
      </c>
      <c r="AI3597">
        <v>92.555582666027604</v>
      </c>
      <c r="AJ3597">
        <v>75.811829968325796</v>
      </c>
      <c r="AK3597">
        <v>24.8960199335345</v>
      </c>
      <c r="AL3597">
        <v>91.194686385811394</v>
      </c>
      <c r="AM3597">
        <v>81.617324804127605</v>
      </c>
      <c r="AN3597">
        <v>0.99999999663844497</v>
      </c>
    </row>
    <row r="3598" spans="1:40" x14ac:dyDescent="0.25">
      <c r="A3598" t="str">
        <f>"20190312161343457"</f>
        <v>20190312161343457</v>
      </c>
      <c r="B3598" t="str">
        <f>"1552378423449933"</f>
        <v>1552378423449933</v>
      </c>
      <c r="C3598" t="s">
        <v>40</v>
      </c>
      <c r="D3598">
        <v>5.0964239999999998</v>
      </c>
      <c r="E3598">
        <v>0.53818730000000004</v>
      </c>
      <c r="F3598" t="s">
        <v>63</v>
      </c>
      <c r="G3598">
        <v>-197.2167</v>
      </c>
      <c r="H3598" s="1">
        <v>3.593077E-6</v>
      </c>
      <c r="I3598">
        <v>207.83580000000001</v>
      </c>
      <c r="J3598">
        <v>-220.53630000000001</v>
      </c>
      <c r="K3598">
        <v>1.110077</v>
      </c>
      <c r="L3598">
        <v>214.0573</v>
      </c>
      <c r="M3598">
        <v>0.99984150000000005</v>
      </c>
      <c r="N3598">
        <v>0</v>
      </c>
      <c r="O3598">
        <v>-1.1000029999999999E-2</v>
      </c>
      <c r="P3598">
        <v>0.98678359999999998</v>
      </c>
      <c r="Q3598">
        <v>-3.4708570000000001E-2</v>
      </c>
      <c r="R3598">
        <v>-0.15828349999999999</v>
      </c>
      <c r="S3598">
        <v>2.912598</v>
      </c>
      <c r="T3598">
        <v>-0.1370924</v>
      </c>
      <c r="U3598">
        <v>-0.76870729999999998</v>
      </c>
      <c r="V3598">
        <v>0.1474154</v>
      </c>
      <c r="W3598">
        <v>-2.087729E-2</v>
      </c>
      <c r="X3598">
        <v>0.98885429999999996</v>
      </c>
      <c r="Y3598">
        <v>0.24429329999999999</v>
      </c>
      <c r="Z3598">
        <v>-5.140904E-3</v>
      </c>
      <c r="AA3598">
        <v>0.96968779999999999</v>
      </c>
      <c r="AB3598">
        <v>27</v>
      </c>
      <c r="AC3598">
        <v>23.319600000000001</v>
      </c>
      <c r="AD3598">
        <v>-1.1100734069230001</v>
      </c>
      <c r="AE3598">
        <v>-6.22149999999999</v>
      </c>
      <c r="AF3598">
        <v>5.9519910312646598</v>
      </c>
      <c r="AG3598">
        <v>-1.1100734069230001</v>
      </c>
      <c r="AH3598">
        <v>23.337263797375702</v>
      </c>
      <c r="AI3598">
        <v>92.638960161258794</v>
      </c>
      <c r="AJ3598">
        <v>75.692168857703507</v>
      </c>
      <c r="AK3598">
        <v>24.1098805835557</v>
      </c>
      <c r="AL3598">
        <v>91.196267523676198</v>
      </c>
      <c r="AM3598">
        <v>81.520963518932007</v>
      </c>
      <c r="AN3598">
        <v>0.99999999401169604</v>
      </c>
    </row>
    <row r="3599" spans="1:40" x14ac:dyDescent="0.25">
      <c r="A3599" t="str">
        <f>"20190312161343479"</f>
        <v>20190312161343479</v>
      </c>
      <c r="B3599" t="str">
        <f>"1552378423469453"</f>
        <v>1552378423469453</v>
      </c>
      <c r="C3599" t="s">
        <v>40</v>
      </c>
      <c r="D3599">
        <v>5.0533390000000002</v>
      </c>
      <c r="E3599">
        <v>0.53832089999999999</v>
      </c>
      <c r="F3599" t="s">
        <v>63</v>
      </c>
      <c r="G3599">
        <v>-197.28440000000001</v>
      </c>
      <c r="H3599" s="1">
        <v>3.5707829999999999E-6</v>
      </c>
      <c r="I3599">
        <v>207.87469999999999</v>
      </c>
      <c r="J3599">
        <v>-220.27760000000001</v>
      </c>
      <c r="K3599">
        <v>1.1100749999999999</v>
      </c>
      <c r="L3599">
        <v>214.05439999999999</v>
      </c>
      <c r="M3599">
        <v>0.99984099999999998</v>
      </c>
      <c r="N3599">
        <v>0</v>
      </c>
      <c r="O3599">
        <v>-1.1050310000000001E-2</v>
      </c>
      <c r="P3599">
        <v>0.98651080000000002</v>
      </c>
      <c r="Q3599">
        <v>-3.4564190000000002E-2</v>
      </c>
      <c r="R3599">
        <v>-0.16000729999999999</v>
      </c>
      <c r="S3599">
        <v>2.911133</v>
      </c>
      <c r="T3599">
        <v>-0.1389811</v>
      </c>
      <c r="U3599">
        <v>-0.774063099999999</v>
      </c>
      <c r="V3599">
        <v>0.14909229999999901</v>
      </c>
      <c r="W3599">
        <v>-2.0739440000000001E-2</v>
      </c>
      <c r="X3599">
        <v>0.98860579999999998</v>
      </c>
      <c r="Y3599">
        <v>0.24602289999999999</v>
      </c>
      <c r="Z3599">
        <v>-5.2511889999999999E-3</v>
      </c>
      <c r="AA3599">
        <v>0.96924980000000005</v>
      </c>
      <c r="AB3599">
        <v>27</v>
      </c>
      <c r="AC3599">
        <v>22.993200000000002</v>
      </c>
      <c r="AD3599">
        <v>-1.110071429217</v>
      </c>
      <c r="AE3599">
        <v>-6.1796999999999898</v>
      </c>
      <c r="AF3599">
        <v>5.9123636148672496</v>
      </c>
      <c r="AG3599">
        <v>-1.110071429217</v>
      </c>
      <c r="AH3599">
        <v>23.010071498721299</v>
      </c>
      <c r="AI3599">
        <v>92.675203484431407</v>
      </c>
      <c r="AJ3599">
        <v>75.5897653740533</v>
      </c>
      <c r="AK3599">
        <v>23.783433151432</v>
      </c>
      <c r="AL3599">
        <v>91.188367543553795</v>
      </c>
      <c r="AM3599">
        <v>81.4238140876882</v>
      </c>
      <c r="AN3599">
        <v>1.0000000330422201</v>
      </c>
    </row>
    <row r="3600" spans="1:40" x14ac:dyDescent="0.25">
      <c r="A3600" t="str">
        <f>"20190312161343501"</f>
        <v>20190312161343501</v>
      </c>
      <c r="B3600" t="str">
        <f>"1552378423489949"</f>
        <v>1552378423489949</v>
      </c>
      <c r="C3600" t="s">
        <v>40</v>
      </c>
      <c r="D3600">
        <v>5.2006930000000002</v>
      </c>
      <c r="E3600">
        <v>0.53866049999999999</v>
      </c>
      <c r="F3600" t="s">
        <v>63</v>
      </c>
      <c r="G3600">
        <v>-196.7474</v>
      </c>
      <c r="H3600" s="1">
        <v>3.7002359999999999E-6</v>
      </c>
      <c r="I3600">
        <v>207.74549999999999</v>
      </c>
      <c r="J3600">
        <v>-220.00970000000001</v>
      </c>
      <c r="K3600">
        <v>1.1100719999999999</v>
      </c>
      <c r="L3600">
        <v>214.0513</v>
      </c>
      <c r="M3600">
        <v>0.99984039999999996</v>
      </c>
      <c r="N3600">
        <v>0</v>
      </c>
      <c r="O3600">
        <v>-1.110238E-2</v>
      </c>
      <c r="P3600">
        <v>0.9862978</v>
      </c>
      <c r="Q3600">
        <v>-3.4276090000000002E-2</v>
      </c>
      <c r="R3600">
        <v>-0.16137479999999901</v>
      </c>
      <c r="S3600">
        <v>2.9096980000000001</v>
      </c>
      <c r="T3600">
        <v>-0.13726930000000001</v>
      </c>
      <c r="U3600">
        <v>-0.7801361</v>
      </c>
      <c r="V3600">
        <v>0.15041099999999999</v>
      </c>
      <c r="W3600">
        <v>-2.045713E-2</v>
      </c>
      <c r="X3600">
        <v>0.98841190000000001</v>
      </c>
      <c r="Y3600">
        <v>0.24798300000000001</v>
      </c>
      <c r="Z3600">
        <v>-5.2306749999999997E-3</v>
      </c>
      <c r="AA3600">
        <v>0.96875029999999995</v>
      </c>
      <c r="AB3600">
        <v>27</v>
      </c>
      <c r="AC3600">
        <v>23.2623</v>
      </c>
      <c r="AD3600">
        <v>-1.1100682997639999</v>
      </c>
      <c r="AE3600">
        <v>-6.3057999999999996</v>
      </c>
      <c r="AF3600">
        <v>6.0343185492915996</v>
      </c>
      <c r="AG3600">
        <v>-1.1100682997639999</v>
      </c>
      <c r="AH3600">
        <v>23.2814954648053</v>
      </c>
      <c r="AI3600">
        <v>92.642619767419902</v>
      </c>
      <c r="AJ3600">
        <v>75.469291589162296</v>
      </c>
      <c r="AK3600">
        <v>24.076405110859401</v>
      </c>
      <c r="AL3600">
        <v>91.172188951050302</v>
      </c>
      <c r="AM3600">
        <v>81.347430250607005</v>
      </c>
      <c r="AN3600">
        <v>1.00000002357522</v>
      </c>
    </row>
    <row r="3601" spans="1:40" x14ac:dyDescent="0.25">
      <c r="A3601" t="str">
        <f>"20190312161343525"</f>
        <v>20190312161343525</v>
      </c>
      <c r="B3601" t="str">
        <f>"1552378423520205"</f>
        <v>1552378423520205</v>
      </c>
      <c r="C3601" t="s">
        <v>40</v>
      </c>
      <c r="D3601">
        <v>5.1884069999999998</v>
      </c>
      <c r="E3601">
        <v>0.53892340000000005</v>
      </c>
      <c r="F3601" t="s">
        <v>63</v>
      </c>
      <c r="G3601">
        <v>-196.15549999999999</v>
      </c>
      <c r="H3601" s="1">
        <v>3.8442740000000003E-6</v>
      </c>
      <c r="I3601">
        <v>207.59809999999999</v>
      </c>
      <c r="J3601">
        <v>-219.73339999999999</v>
      </c>
      <c r="K3601">
        <v>1.110069</v>
      </c>
      <c r="L3601">
        <v>214.04820000000001</v>
      </c>
      <c r="M3601">
        <v>0.99983979999999995</v>
      </c>
      <c r="N3601">
        <v>0</v>
      </c>
      <c r="O3601">
        <v>-1.1156370000000001E-2</v>
      </c>
      <c r="P3601">
        <v>0.98595140000000003</v>
      </c>
      <c r="Q3601">
        <v>-3.4325500000000002E-2</v>
      </c>
      <c r="R3601">
        <v>-0.16346820000000001</v>
      </c>
      <c r="S3601">
        <v>2.9082490000000001</v>
      </c>
      <c r="T3601">
        <v>-0.1353375</v>
      </c>
      <c r="U3601">
        <v>-0.78677369999999902</v>
      </c>
      <c r="V3601">
        <v>0.15245439999999999</v>
      </c>
      <c r="W3601">
        <v>-2.0514370000000001E-2</v>
      </c>
      <c r="X3601">
        <v>0.98809749999999996</v>
      </c>
      <c r="Y3601">
        <v>0.25011689999999998</v>
      </c>
      <c r="Z3601">
        <v>-5.2044029999999998E-3</v>
      </c>
      <c r="AA3601">
        <v>0.9682016</v>
      </c>
      <c r="AB3601">
        <v>27</v>
      </c>
      <c r="AC3601">
        <v>23.5779</v>
      </c>
      <c r="AD3601">
        <v>-1.110065155726</v>
      </c>
      <c r="AE3601">
        <v>-6.4501000000000097</v>
      </c>
      <c r="AF3601">
        <v>6.1738967706560501</v>
      </c>
      <c r="AG3601">
        <v>-1.110065155726</v>
      </c>
      <c r="AH3601">
        <v>23.599730305819001</v>
      </c>
      <c r="AI3601">
        <v>92.605491486161</v>
      </c>
      <c r="AJ3601">
        <v>75.339477677872793</v>
      </c>
      <c r="AK3601">
        <v>24.419183370703902</v>
      </c>
      <c r="AL3601">
        <v>91.175469363927107</v>
      </c>
      <c r="AM3601">
        <v>81.228949483197596</v>
      </c>
      <c r="AN3601">
        <v>0.99999992648104996</v>
      </c>
    </row>
    <row r="3602" spans="1:40" x14ac:dyDescent="0.25">
      <c r="A3602" t="str">
        <f>"20190312161343546"</f>
        <v>20190312161343546</v>
      </c>
      <c r="B3602" t="str">
        <f>"1552378423539725"</f>
        <v>1552378423539725</v>
      </c>
      <c r="C3602" t="s">
        <v>40</v>
      </c>
      <c r="D3602">
        <v>5.2142499999999998</v>
      </c>
      <c r="E3602">
        <v>0.53912320000000002</v>
      </c>
      <c r="F3602" t="s">
        <v>63</v>
      </c>
      <c r="G3602">
        <v>-195.589</v>
      </c>
      <c r="H3602" s="1">
        <v>3.9862869999999997E-6</v>
      </c>
      <c r="I3602">
        <v>207.44130000000001</v>
      </c>
      <c r="J3602">
        <v>-219.4683</v>
      </c>
      <c r="K3602">
        <v>1.1100680000000001</v>
      </c>
      <c r="L3602">
        <v>214.04519999999999</v>
      </c>
      <c r="M3602">
        <v>0.99983920000000004</v>
      </c>
      <c r="N3602">
        <v>0</v>
      </c>
      <c r="O3602">
        <v>-1.1209759999999999E-2</v>
      </c>
      <c r="P3602">
        <v>0.98561949999999998</v>
      </c>
      <c r="Q3602">
        <v>-3.500499E-2</v>
      </c>
      <c r="R3602">
        <v>-0.1653152</v>
      </c>
      <c r="S3602">
        <v>2.90625</v>
      </c>
      <c r="T3602">
        <v>-0.13361799999999999</v>
      </c>
      <c r="U3602">
        <v>-0.7952728</v>
      </c>
      <c r="V3602">
        <v>0.15425220000000001</v>
      </c>
      <c r="W3602">
        <v>-2.1201580000000001E-2</v>
      </c>
      <c r="X3602">
        <v>0.98780400000000002</v>
      </c>
      <c r="Y3602">
        <v>0.25287150000000003</v>
      </c>
      <c r="Z3602">
        <v>-5.1995629999999999E-3</v>
      </c>
      <c r="AA3602">
        <v>0.96748590000000001</v>
      </c>
      <c r="AB3602">
        <v>27</v>
      </c>
      <c r="AC3602">
        <v>23.879299999999901</v>
      </c>
      <c r="AD3602">
        <v>-1.110064013713</v>
      </c>
      <c r="AE3602">
        <v>-6.6038999999999799</v>
      </c>
      <c r="AF3602">
        <v>6.3230842215668099</v>
      </c>
      <c r="AG3602">
        <v>-1.110064013713</v>
      </c>
      <c r="AH3602">
        <v>23.9038487822076</v>
      </c>
      <c r="AI3602">
        <v>92.5705447013097</v>
      </c>
      <c r="AJ3602">
        <v>75.183387926669496</v>
      </c>
      <c r="AK3602">
        <v>24.750911554733001</v>
      </c>
      <c r="AL3602">
        <v>91.214852084388994</v>
      </c>
      <c r="AM3602">
        <v>81.124559949822299</v>
      </c>
      <c r="AN3602">
        <v>0.99999999530766803</v>
      </c>
    </row>
    <row r="3603" spans="1:40" x14ac:dyDescent="0.25">
      <c r="A3603" t="str">
        <f>"20190312161343568"</f>
        <v>20190312161343568</v>
      </c>
      <c r="B3603" t="str">
        <f>"1552378423560220"</f>
        <v>1552378423560220</v>
      </c>
      <c r="C3603" t="s">
        <v>40</v>
      </c>
      <c r="D3603">
        <v>5.2536440000000004</v>
      </c>
      <c r="E3603">
        <v>0.53893049999999998</v>
      </c>
      <c r="F3603" t="s">
        <v>63</v>
      </c>
      <c r="G3603">
        <v>-195.78919999999999</v>
      </c>
      <c r="H3603" s="1">
        <v>3.9342189999999998E-6</v>
      </c>
      <c r="I3603">
        <v>207.50380000000001</v>
      </c>
      <c r="J3603">
        <v>-219.20939999999999</v>
      </c>
      <c r="K3603">
        <v>1.1100669999999999</v>
      </c>
      <c r="L3603">
        <v>214.04220000000001</v>
      </c>
      <c r="M3603">
        <v>0.99983869999999997</v>
      </c>
      <c r="N3603">
        <v>0</v>
      </c>
      <c r="O3603">
        <v>-1.1265209999999999E-2</v>
      </c>
      <c r="P3603">
        <v>0.98528939999999998</v>
      </c>
      <c r="Q3603">
        <v>-3.5127199999999997E-2</v>
      </c>
      <c r="R3603">
        <v>-0.16724610000000001</v>
      </c>
      <c r="S3603">
        <v>2.9043580000000002</v>
      </c>
      <c r="T3603">
        <v>-0.1361552</v>
      </c>
      <c r="U3603">
        <v>-0.80233759999999998</v>
      </c>
      <c r="V3603">
        <v>0.15613189999999999</v>
      </c>
      <c r="W3603">
        <v>-2.1331860000000001E-2</v>
      </c>
      <c r="X3603">
        <v>0.98750590000000005</v>
      </c>
      <c r="Y3603">
        <v>0.25515409999999999</v>
      </c>
      <c r="Z3603">
        <v>-5.3497919999999999E-3</v>
      </c>
      <c r="AA3603">
        <v>0.96688560000000001</v>
      </c>
      <c r="AB3603">
        <v>27</v>
      </c>
      <c r="AC3603">
        <v>23.420199999999902</v>
      </c>
      <c r="AD3603">
        <v>-1.110063065781</v>
      </c>
      <c r="AE3603">
        <v>-6.5383999999999904</v>
      </c>
      <c r="AF3603">
        <v>6.2610770042904997</v>
      </c>
      <c r="AG3603">
        <v>-1.110063065781</v>
      </c>
      <c r="AH3603">
        <v>23.443518514136201</v>
      </c>
      <c r="AI3603">
        <v>92.619291454016604</v>
      </c>
      <c r="AJ3603">
        <v>75.046972243976398</v>
      </c>
      <c r="AK3603">
        <v>24.290571948521801</v>
      </c>
      <c r="AL3603">
        <v>91.222318187465305</v>
      </c>
      <c r="AM3603">
        <v>81.015490571362903</v>
      </c>
      <c r="AN3603">
        <v>1.0000000604917301</v>
      </c>
    </row>
    <row r="3604" spans="1:40" x14ac:dyDescent="0.25">
      <c r="A3604" t="str">
        <f>"20190312161343590"</f>
        <v>20190312161343590</v>
      </c>
      <c r="B3604" t="str">
        <f>"1552378423579271"</f>
        <v>1552378423579271</v>
      </c>
      <c r="C3604" t="s">
        <v>40</v>
      </c>
      <c r="D3604">
        <v>5.1737169999999999</v>
      </c>
      <c r="E3604">
        <v>0.53881689999999904</v>
      </c>
      <c r="F3604" t="s">
        <v>63</v>
      </c>
      <c r="G3604">
        <v>-194.9331</v>
      </c>
      <c r="H3604" s="1">
        <v>4.1407949999999999E-6</v>
      </c>
      <c r="I3604">
        <v>207.2971</v>
      </c>
      <c r="J3604">
        <v>-218.94329999999999</v>
      </c>
      <c r="K3604">
        <v>1.1100589999999999</v>
      </c>
      <c r="L3604">
        <v>214.03909999999999</v>
      </c>
      <c r="M3604">
        <v>0.999838</v>
      </c>
      <c r="N3604">
        <v>0</v>
      </c>
      <c r="O3604">
        <v>-1.133034E-2</v>
      </c>
      <c r="P3604">
        <v>0.98500679999999996</v>
      </c>
      <c r="Q3604">
        <v>-3.4745739999999997E-2</v>
      </c>
      <c r="R3604">
        <v>-0.1689812</v>
      </c>
      <c r="S3604">
        <v>2.9031220000000002</v>
      </c>
      <c r="T3604">
        <v>-0.13274839999999999</v>
      </c>
      <c r="U3604">
        <v>-0.8066101</v>
      </c>
      <c r="V3604">
        <v>0.15780559999999999</v>
      </c>
      <c r="W3604">
        <v>-2.0958790000000001E-2</v>
      </c>
      <c r="X3604">
        <v>0.98724780000000001</v>
      </c>
      <c r="Y3604">
        <v>0.256528899999999</v>
      </c>
      <c r="Z3604">
        <v>-5.2451099999999999E-3</v>
      </c>
      <c r="AA3604">
        <v>0.96652229999999995</v>
      </c>
      <c r="AB3604">
        <v>27</v>
      </c>
      <c r="AC3604">
        <v>24.010200000000001</v>
      </c>
      <c r="AD3604">
        <v>-1.1100548592049999</v>
      </c>
      <c r="AE3604">
        <v>-6.7419999999999902</v>
      </c>
      <c r="AF3604">
        <v>6.45670451415298</v>
      </c>
      <c r="AG3604">
        <v>-1.1100548592049999</v>
      </c>
      <c r="AH3604">
        <v>24.0374311431816</v>
      </c>
      <c r="AI3604">
        <v>92.553660900890193</v>
      </c>
      <c r="AJ3604">
        <v>74.964658061462501</v>
      </c>
      <c r="AK3604">
        <v>24.9142399229181</v>
      </c>
      <c r="AL3604">
        <v>91.200938086326602</v>
      </c>
      <c r="AM3604">
        <v>80.918440441129704</v>
      </c>
      <c r="AN3604">
        <v>1.00000004843723</v>
      </c>
    </row>
    <row r="3605" spans="1:40" x14ac:dyDescent="0.25">
      <c r="A3605" t="str">
        <f>"20190312161343613"</f>
        <v>20190312161343613</v>
      </c>
      <c r="B3605" t="str">
        <f>"1552378423609528"</f>
        <v>1552378423609528</v>
      </c>
      <c r="C3605" t="s">
        <v>40</v>
      </c>
      <c r="D3605">
        <v>5.56616</v>
      </c>
      <c r="E3605">
        <v>0.53857129999999998</v>
      </c>
      <c r="F3605" t="s">
        <v>63</v>
      </c>
      <c r="G3605">
        <v>-193.78540000000001</v>
      </c>
      <c r="H3605" s="1">
        <v>4.4825279999999998E-6</v>
      </c>
      <c r="I3605">
        <v>207.00800000000001</v>
      </c>
      <c r="J3605">
        <v>-218.67869999999999</v>
      </c>
      <c r="K3605">
        <v>1.1100540000000001</v>
      </c>
      <c r="L3605">
        <v>214.036</v>
      </c>
      <c r="M3605">
        <v>0.99983719999999998</v>
      </c>
      <c r="N3605">
        <v>0</v>
      </c>
      <c r="O3605">
        <v>-1.1403379999999999E-2</v>
      </c>
      <c r="P3605">
        <v>0.98473500000000003</v>
      </c>
      <c r="Q3605">
        <v>-3.4393689999999998E-2</v>
      </c>
      <c r="R3605">
        <v>-0.17063010000000001</v>
      </c>
      <c r="S3605">
        <v>2.9020079999999999</v>
      </c>
      <c r="T3605">
        <v>-0.1280472</v>
      </c>
      <c r="U3605">
        <v>-0.81105039999999995</v>
      </c>
      <c r="V3605">
        <v>0.1593849</v>
      </c>
      <c r="W3605">
        <v>-2.0615620000000001E-2</v>
      </c>
      <c r="X3605">
        <v>0.98700120000000002</v>
      </c>
      <c r="Y3605">
        <v>0.25794119999999998</v>
      </c>
      <c r="Z3605">
        <v>-5.0877869999999999E-3</v>
      </c>
      <c r="AA3605">
        <v>0.96614719999999998</v>
      </c>
      <c r="AB3605">
        <v>27</v>
      </c>
      <c r="AC3605">
        <v>24.893299999999901</v>
      </c>
      <c r="AD3605">
        <v>-1.110049517472</v>
      </c>
      <c r="AE3605">
        <v>-7.0279999999999898</v>
      </c>
      <c r="AF3605">
        <v>6.7312506329944304</v>
      </c>
      <c r="AG3605">
        <v>-1.110049517472</v>
      </c>
      <c r="AH3605">
        <v>24.925926367253801</v>
      </c>
      <c r="AI3605">
        <v>92.461847754681202</v>
      </c>
      <c r="AJ3605">
        <v>74.887745739579998</v>
      </c>
      <c r="AK3605">
        <v>25.8426730482972</v>
      </c>
      <c r="AL3605">
        <v>91.1812717501668</v>
      </c>
      <c r="AM3605">
        <v>80.826837847251298</v>
      </c>
      <c r="AN3605">
        <v>0.999999959468716</v>
      </c>
    </row>
    <row r="3606" spans="1:40" x14ac:dyDescent="0.25">
      <c r="A3606" t="str">
        <f>"20190312161343636"</f>
        <v>20190312161343636</v>
      </c>
      <c r="B3606" t="str">
        <f>"1552378423630022"</f>
        <v>1552378423630022</v>
      </c>
      <c r="C3606" t="s">
        <v>40</v>
      </c>
      <c r="D3606">
        <v>5.1321440000000003</v>
      </c>
      <c r="E3606">
        <v>0.53842800000000002</v>
      </c>
      <c r="F3606" t="s">
        <v>63</v>
      </c>
      <c r="G3606">
        <v>-192.27269999999999</v>
      </c>
      <c r="H3606" s="1">
        <v>4.9535979999999998E-6</v>
      </c>
      <c r="I3606">
        <v>206.62430000000001</v>
      </c>
      <c r="J3606">
        <v>-218.40369999999999</v>
      </c>
      <c r="K3606">
        <v>1.1100509999999999</v>
      </c>
      <c r="L3606">
        <v>214.03270000000001</v>
      </c>
      <c r="M3606">
        <v>0.99983610000000001</v>
      </c>
      <c r="N3606">
        <v>0</v>
      </c>
      <c r="O3606">
        <v>-1.1496040000000001E-2</v>
      </c>
      <c r="P3606">
        <v>0.98444379999999998</v>
      </c>
      <c r="Q3606">
        <v>-3.4119669999999998E-2</v>
      </c>
      <c r="R3606">
        <v>-0.17235590000000001</v>
      </c>
      <c r="S3606">
        <v>2.901154</v>
      </c>
      <c r="T3606">
        <v>-0.12195780000000001</v>
      </c>
      <c r="U3606">
        <v>-0.81430049999999998</v>
      </c>
      <c r="V3606">
        <v>0.1610221</v>
      </c>
      <c r="W3606">
        <v>-2.0352390000000001E-2</v>
      </c>
      <c r="X3606">
        <v>0.98674090000000003</v>
      </c>
      <c r="Y3606">
        <v>0.25894879999999998</v>
      </c>
      <c r="Z3606">
        <v>-4.8636440000000003E-3</v>
      </c>
      <c r="AA3606">
        <v>0.96587880000000004</v>
      </c>
      <c r="AB3606">
        <v>27</v>
      </c>
      <c r="AC3606">
        <v>26.131</v>
      </c>
      <c r="AD3606">
        <v>-1.1100460464020001</v>
      </c>
      <c r="AE3606">
        <v>-7.4084000000000003</v>
      </c>
      <c r="AF3606">
        <v>7.0956261204252202</v>
      </c>
      <c r="AG3606">
        <v>-1.1100460464020001</v>
      </c>
      <c r="AH3606">
        <v>26.170735522433599</v>
      </c>
      <c r="AI3606">
        <v>92.344240202534493</v>
      </c>
      <c r="AJ3606">
        <v>74.830189572384</v>
      </c>
      <c r="AK3606">
        <v>27.1383033745878</v>
      </c>
      <c r="AL3606">
        <v>91.1661866039193</v>
      </c>
      <c r="AM3606">
        <v>80.731835549662804</v>
      </c>
      <c r="AN3606">
        <v>0.999999970099965</v>
      </c>
    </row>
    <row r="3607" spans="1:40" x14ac:dyDescent="0.25">
      <c r="A3607" t="str">
        <f>"20190312161343659"</f>
        <v>20190312161343659</v>
      </c>
      <c r="B3607" t="str">
        <f>"1552378423649543"</f>
        <v>1552378423649543</v>
      </c>
      <c r="C3607" t="s">
        <v>40</v>
      </c>
      <c r="D3607">
        <v>5.1734489999999997</v>
      </c>
      <c r="E3607">
        <v>0.53835710000000003</v>
      </c>
      <c r="F3607" t="s">
        <v>63</v>
      </c>
      <c r="G3607">
        <v>-191.3272</v>
      </c>
      <c r="H3607" s="1">
        <v>5.2460189999999997E-6</v>
      </c>
      <c r="I3607">
        <v>206.39009999999999</v>
      </c>
      <c r="J3607">
        <v>-218.14279999999999</v>
      </c>
      <c r="K3607">
        <v>1.110036</v>
      </c>
      <c r="L3607">
        <v>214.02959999999999</v>
      </c>
      <c r="M3607">
        <v>0.99983480000000002</v>
      </c>
      <c r="N3607">
        <v>0</v>
      </c>
      <c r="O3607">
        <v>-1.1611939999999999E-2</v>
      </c>
      <c r="P3607">
        <v>0.98409880000000005</v>
      </c>
      <c r="Q3607">
        <v>-3.479728E-2</v>
      </c>
      <c r="R3607">
        <v>-0.17418129999999901</v>
      </c>
      <c r="S3607">
        <v>2.8999630000000001</v>
      </c>
      <c r="T3607">
        <v>-0.1188886</v>
      </c>
      <c r="U3607">
        <v>-0.81854249999999995</v>
      </c>
      <c r="V3607">
        <v>0.16273599999999999</v>
      </c>
      <c r="W3607">
        <v>-2.1043949999999999E-2</v>
      </c>
      <c r="X3607">
        <v>0.98644520000000002</v>
      </c>
      <c r="Y3607">
        <v>0.26025779999999998</v>
      </c>
      <c r="Z3607">
        <v>-4.7639520000000001E-3</v>
      </c>
      <c r="AA3607">
        <v>0.96552740000000004</v>
      </c>
      <c r="AB3607">
        <v>27</v>
      </c>
      <c r="AC3607">
        <v>26.8155999999999</v>
      </c>
      <c r="AD3607">
        <v>-1.1100307539809999</v>
      </c>
      <c r="AE3607">
        <v>-7.6394999999999902</v>
      </c>
      <c r="AF3607">
        <v>7.3159780997733002</v>
      </c>
      <c r="AG3607">
        <v>-1.1100307539809999</v>
      </c>
      <c r="AH3607">
        <v>26.859939273350601</v>
      </c>
      <c r="AI3607">
        <v>92.283402243730293</v>
      </c>
      <c r="AJ3607">
        <v>74.763665130970907</v>
      </c>
      <c r="AK3607">
        <v>27.860582219315301</v>
      </c>
      <c r="AL3607">
        <v>91.205818537837203</v>
      </c>
      <c r="AM3607">
        <v>80.632167486883802</v>
      </c>
      <c r="AN3607">
        <v>0.99999999306532095</v>
      </c>
    </row>
    <row r="3608" spans="1:40" x14ac:dyDescent="0.25">
      <c r="A3608" t="str">
        <f>"20190312161343681"</f>
        <v>20190312161343681</v>
      </c>
      <c r="B3608" t="str">
        <f>"1552378423669571"</f>
        <v>1552378423669571</v>
      </c>
      <c r="C3608" t="s">
        <v>40</v>
      </c>
      <c r="D3608">
        <v>5.19191</v>
      </c>
      <c r="E3608">
        <v>0.53827069999999999</v>
      </c>
      <c r="F3608" t="s">
        <v>63</v>
      </c>
      <c r="G3608">
        <v>-191.01439999999999</v>
      </c>
      <c r="H3608" s="1">
        <v>5.3390650000000004E-6</v>
      </c>
      <c r="I3608">
        <v>206.32310000000001</v>
      </c>
      <c r="J3608">
        <v>-217.88</v>
      </c>
      <c r="K3608">
        <v>1.110006</v>
      </c>
      <c r="L3608">
        <v>214.0264</v>
      </c>
      <c r="M3608">
        <v>0.99983310000000003</v>
      </c>
      <c r="N3608">
        <v>0</v>
      </c>
      <c r="O3608">
        <v>-1.177046E-2</v>
      </c>
      <c r="P3608">
        <v>0.98387910000000001</v>
      </c>
      <c r="Q3608">
        <v>-3.4420140000000002E-2</v>
      </c>
      <c r="R3608">
        <v>-0.17549189999999901</v>
      </c>
      <c r="S3608">
        <v>2.8985599999999998</v>
      </c>
      <c r="T3608">
        <v>-0.118602399999999</v>
      </c>
      <c r="U3608">
        <v>-0.82340999999999998</v>
      </c>
      <c r="V3608">
        <v>0.1638917</v>
      </c>
      <c r="W3608">
        <v>-2.0683279999999998E-2</v>
      </c>
      <c r="X3608">
        <v>0.98626150000000001</v>
      </c>
      <c r="Y3608">
        <v>0.2617276</v>
      </c>
      <c r="Z3608">
        <v>-4.776761E-3</v>
      </c>
      <c r="AA3608">
        <v>0.96513000000000004</v>
      </c>
      <c r="AB3608">
        <v>26</v>
      </c>
      <c r="AC3608">
        <v>26.865600000000001</v>
      </c>
      <c r="AD3608">
        <v>-1.1100006609349999</v>
      </c>
      <c r="AE3608">
        <v>-7.7032999999999801</v>
      </c>
      <c r="AF3608">
        <v>7.3748818472606104</v>
      </c>
      <c r="AG3608">
        <v>-1.1100006609349999</v>
      </c>
      <c r="AH3608">
        <v>26.911968105843201</v>
      </c>
      <c r="AI3608">
        <v>92.277968889282306</v>
      </c>
      <c r="AJ3608">
        <v>74.675044353238107</v>
      </c>
      <c r="AK3608">
        <v>27.926242336881799</v>
      </c>
      <c r="AL3608">
        <v>91.185149141464507</v>
      </c>
      <c r="AM3608">
        <v>80.565106266543694</v>
      </c>
      <c r="AN3608">
        <v>1.0000000168913401</v>
      </c>
    </row>
    <row r="3609" spans="1:40" x14ac:dyDescent="0.25">
      <c r="A3609" t="str">
        <f>"20190312161343702"</f>
        <v>20190312161343702</v>
      </c>
      <c r="B3609" t="str">
        <f>"1552378423690066"</f>
        <v>1552378423690066</v>
      </c>
      <c r="C3609" t="s">
        <v>40</v>
      </c>
      <c r="D3609">
        <v>5.2269119999999996</v>
      </c>
      <c r="E3609">
        <v>0.53819669999999997</v>
      </c>
      <c r="F3609" t="s">
        <v>63</v>
      </c>
      <c r="G3609">
        <v>-189.9718</v>
      </c>
      <c r="H3609" s="1">
        <v>5.6617899999999999E-6</v>
      </c>
      <c r="I3609">
        <v>206.0641</v>
      </c>
      <c r="J3609">
        <v>-217.6233</v>
      </c>
      <c r="K3609">
        <v>1.109964</v>
      </c>
      <c r="L3609">
        <v>214.0231</v>
      </c>
      <c r="M3609">
        <v>0.99983049999999996</v>
      </c>
      <c r="N3609">
        <v>0</v>
      </c>
      <c r="O3609">
        <v>-1.197983E-2</v>
      </c>
      <c r="P3609">
        <v>0.98366529999999996</v>
      </c>
      <c r="Q3609">
        <v>-3.3971990000000001E-2</v>
      </c>
      <c r="R3609">
        <v>-0.17677309999999999</v>
      </c>
      <c r="S3609">
        <v>2.897659</v>
      </c>
      <c r="T3609">
        <v>-0.1152493</v>
      </c>
      <c r="U3609">
        <v>-0.82670589999999999</v>
      </c>
      <c r="V3609">
        <v>0.16496710000000001</v>
      </c>
      <c r="W3609">
        <v>-2.0255889999999999E-2</v>
      </c>
      <c r="X3609">
        <v>0.98609100000000005</v>
      </c>
      <c r="Y3609">
        <v>0.26262980000000002</v>
      </c>
      <c r="Z3609">
        <v>-4.651924E-3</v>
      </c>
      <c r="AA3609">
        <v>0.96488549999999995</v>
      </c>
      <c r="AB3609">
        <v>26</v>
      </c>
      <c r="AC3609">
        <v>27.651499999999999</v>
      </c>
      <c r="AD3609">
        <v>-1.10995833821</v>
      </c>
      <c r="AE3609">
        <v>-7.9589999999999996</v>
      </c>
      <c r="AF3609">
        <v>7.6158036323455596</v>
      </c>
      <c r="AG3609">
        <v>-1.10995833821</v>
      </c>
      <c r="AH3609">
        <v>27.703648534462001</v>
      </c>
      <c r="AI3609">
        <v>92.212365113458404</v>
      </c>
      <c r="AJ3609">
        <v>74.628939780176694</v>
      </c>
      <c r="AK3609">
        <v>28.752819246119302</v>
      </c>
      <c r="AL3609">
        <v>91.160656441152994</v>
      </c>
      <c r="AM3609">
        <v>80.502709686941898</v>
      </c>
      <c r="AN3609">
        <v>0.99999995272154996</v>
      </c>
    </row>
    <row r="3610" spans="1:40" x14ac:dyDescent="0.25">
      <c r="A3610" t="str">
        <f>"20190312161343725"</f>
        <v>20190312161343725</v>
      </c>
      <c r="B3610" t="str">
        <f>"1552378423719347"</f>
        <v>1552378423719347</v>
      </c>
      <c r="C3610" t="s">
        <v>40</v>
      </c>
      <c r="D3610">
        <v>5.133343</v>
      </c>
      <c r="E3610">
        <v>0.53812459999999995</v>
      </c>
      <c r="F3610" t="s">
        <v>63</v>
      </c>
      <c r="G3610">
        <v>-188.87960000000001</v>
      </c>
      <c r="H3610" s="1">
        <v>5.5718919999999997E-6</v>
      </c>
      <c r="I3610">
        <v>205.78620000000001</v>
      </c>
      <c r="J3610">
        <v>-217.3546</v>
      </c>
      <c r="K3610">
        <v>1.1099129999999999</v>
      </c>
      <c r="L3610">
        <v>214.0196</v>
      </c>
      <c r="M3610">
        <v>0.99982709999999997</v>
      </c>
      <c r="N3610">
        <v>0</v>
      </c>
      <c r="O3610">
        <v>-1.2274709999999999E-2</v>
      </c>
      <c r="P3610">
        <v>0.98341009999999995</v>
      </c>
      <c r="Q3610">
        <v>-3.3963489999999999E-2</v>
      </c>
      <c r="R3610">
        <v>-0.17818979999999901</v>
      </c>
      <c r="S3610">
        <v>2.8967589999999999</v>
      </c>
      <c r="T3610">
        <v>-0.1118604</v>
      </c>
      <c r="U3610">
        <v>-0.83010859999999997</v>
      </c>
      <c r="V3610">
        <v>0.1660934</v>
      </c>
      <c r="W3610">
        <v>-2.0274790000000001E-2</v>
      </c>
      <c r="X3610">
        <v>0.98590160000000004</v>
      </c>
      <c r="Y3610">
        <v>0.2634822</v>
      </c>
      <c r="Z3610">
        <v>-4.5208440000000004E-3</v>
      </c>
      <c r="AA3610">
        <v>0.96465369999999995</v>
      </c>
      <c r="AB3610">
        <v>26</v>
      </c>
      <c r="AC3610">
        <v>28.474999999999898</v>
      </c>
      <c r="AD3610">
        <v>-1.1099074281079999</v>
      </c>
      <c r="AE3610">
        <v>-8.2333999999999801</v>
      </c>
      <c r="AF3610">
        <v>7.8721856362372398</v>
      </c>
      <c r="AG3610">
        <v>-1.1099074281079999</v>
      </c>
      <c r="AH3610">
        <v>28.533919760046398</v>
      </c>
      <c r="AI3610">
        <v>92.147411531279701</v>
      </c>
      <c r="AJ3610">
        <v>74.576421482138599</v>
      </c>
      <c r="AK3610">
        <v>29.620732233743201</v>
      </c>
      <c r="AL3610">
        <v>91.161739470169493</v>
      </c>
      <c r="AM3610">
        <v>80.437257940277803</v>
      </c>
      <c r="AN3610">
        <v>1.00000002475783</v>
      </c>
    </row>
    <row r="3611" spans="1:40" x14ac:dyDescent="0.25">
      <c r="A3611" t="str">
        <f>"20190312161343747"</f>
        <v>20190312161343747</v>
      </c>
      <c r="B3611" t="str">
        <f>"1552378423739846"</f>
        <v>1552378423739846</v>
      </c>
      <c r="C3611" t="s">
        <v>40</v>
      </c>
      <c r="D3611">
        <v>5.1246910000000003</v>
      </c>
      <c r="E3611">
        <v>0.53806790000000004</v>
      </c>
      <c r="F3611" t="s">
        <v>63</v>
      </c>
      <c r="G3611">
        <v>-187.9256</v>
      </c>
      <c r="H3611" s="1">
        <v>5.4798420000000003E-6</v>
      </c>
      <c r="I3611">
        <v>205.5463</v>
      </c>
      <c r="J3611">
        <v>-217.08920000000001</v>
      </c>
      <c r="K3611">
        <v>1.1098429999999999</v>
      </c>
      <c r="L3611">
        <v>214.01589999999999</v>
      </c>
      <c r="M3611">
        <v>0.99982219999999999</v>
      </c>
      <c r="N3611">
        <v>0</v>
      </c>
      <c r="O3611">
        <v>-1.2663789999999999E-2</v>
      </c>
      <c r="P3611">
        <v>0.98309619999999998</v>
      </c>
      <c r="Q3611">
        <v>-3.4284460000000003E-2</v>
      </c>
      <c r="R3611">
        <v>-0.17985119999999999</v>
      </c>
      <c r="S3611">
        <v>2.8957519999999999</v>
      </c>
      <c r="T3611">
        <v>-0.10921260000000001</v>
      </c>
      <c r="U3611">
        <v>-0.83375549999999998</v>
      </c>
      <c r="V3611">
        <v>0.16737179999999999</v>
      </c>
      <c r="W3611">
        <v>-2.0629580000000002E-2</v>
      </c>
      <c r="X3611">
        <v>0.98567800000000005</v>
      </c>
      <c r="Y3611">
        <v>0.26432559999999999</v>
      </c>
      <c r="Z3611">
        <v>-4.4158499999999998E-3</v>
      </c>
      <c r="AA3611">
        <v>0.96442340000000004</v>
      </c>
      <c r="AB3611">
        <v>26</v>
      </c>
      <c r="AC3611">
        <v>29.163599999999999</v>
      </c>
      <c r="AD3611">
        <v>-1.109837520158</v>
      </c>
      <c r="AE3611">
        <v>-8.4695999999999803</v>
      </c>
      <c r="AF3611">
        <v>8.08875974685313</v>
      </c>
      <c r="AG3611">
        <v>-1.109837520158</v>
      </c>
      <c r="AH3611">
        <v>29.229490291912001</v>
      </c>
      <c r="AI3611">
        <v>92.095770270993896</v>
      </c>
      <c r="AJ3611">
        <v>74.531485978799793</v>
      </c>
      <c r="AK3611">
        <v>30.3483587083131</v>
      </c>
      <c r="AL3611">
        <v>91.182071710454196</v>
      </c>
      <c r="AM3611">
        <v>80.362884671367496</v>
      </c>
      <c r="AN3611">
        <v>1.0000000093451</v>
      </c>
    </row>
    <row r="3612" spans="1:40" x14ac:dyDescent="0.25">
      <c r="A3612" t="str">
        <f>"20190312161343769"</f>
        <v>20190312161343769</v>
      </c>
      <c r="B3612" t="str">
        <f>"1552378423759363"</f>
        <v>1552378423759363</v>
      </c>
      <c r="C3612" t="s">
        <v>40</v>
      </c>
      <c r="D3612">
        <v>5.2109269999999999</v>
      </c>
      <c r="E3612">
        <v>0.53801860000000001</v>
      </c>
      <c r="F3612" t="s">
        <v>63</v>
      </c>
      <c r="G3612">
        <v>-187.6523</v>
      </c>
      <c r="H3612" s="1">
        <v>5.4343209999999997E-6</v>
      </c>
      <c r="I3612">
        <v>205.48929999999999</v>
      </c>
      <c r="J3612">
        <v>-216.83510000000001</v>
      </c>
      <c r="K3612">
        <v>1.109769</v>
      </c>
      <c r="L3612">
        <v>214.01220000000001</v>
      </c>
      <c r="M3612">
        <v>0.99981589999999998</v>
      </c>
      <c r="N3612">
        <v>0</v>
      </c>
      <c r="O3612">
        <v>-1.3161000000000001E-2</v>
      </c>
      <c r="P3612">
        <v>0.98276699999999995</v>
      </c>
      <c r="Q3612">
        <v>-3.4492630000000003E-2</v>
      </c>
      <c r="R3612">
        <v>-0.1816035</v>
      </c>
      <c r="S3612">
        <v>2.8943940000000001</v>
      </c>
      <c r="T3612">
        <v>-0.109125</v>
      </c>
      <c r="U3612">
        <v>-0.83837890000000004</v>
      </c>
      <c r="V3612">
        <v>0.1686338</v>
      </c>
      <c r="W3612">
        <v>-2.0877119999999999E-2</v>
      </c>
      <c r="X3612">
        <v>0.98545769999999999</v>
      </c>
      <c r="Y3612">
        <v>0.26538790000000001</v>
      </c>
      <c r="Z3612">
        <v>-4.4146109999999997E-3</v>
      </c>
      <c r="AA3612">
        <v>0.96413159999999998</v>
      </c>
      <c r="AB3612">
        <v>26</v>
      </c>
      <c r="AC3612">
        <v>29.1828</v>
      </c>
      <c r="AD3612">
        <v>-1.1097635656789999</v>
      </c>
      <c r="AE3612">
        <v>-8.5229000000000195</v>
      </c>
      <c r="AF3612">
        <v>8.1272200891017707</v>
      </c>
      <c r="AG3612">
        <v>-1.1097635656789999</v>
      </c>
      <c r="AH3612">
        <v>29.253473262693898</v>
      </c>
      <c r="AI3612">
        <v>92.093328300973994</v>
      </c>
      <c r="AJ3612">
        <v>74.473606531585602</v>
      </c>
      <c r="AK3612">
        <v>30.3817211408366</v>
      </c>
      <c r="AL3612">
        <v>91.196257719589497</v>
      </c>
      <c r="AM3612">
        <v>80.289468734450196</v>
      </c>
      <c r="AN3612">
        <v>1.00000004556561</v>
      </c>
    </row>
    <row r="3613" spans="1:40" x14ac:dyDescent="0.25">
      <c r="A3613" t="str">
        <f>"20190312161343792"</f>
        <v>20190312161343792</v>
      </c>
      <c r="B3613" t="str">
        <f>"1552378423779390"</f>
        <v>1552378423779390</v>
      </c>
      <c r="C3613" t="s">
        <v>40</v>
      </c>
      <c r="D3613">
        <v>5.1902629999999998</v>
      </c>
      <c r="E3613">
        <v>0.53799839999999999</v>
      </c>
      <c r="F3613" t="s">
        <v>63</v>
      </c>
      <c r="G3613">
        <v>-187.21889999999999</v>
      </c>
      <c r="H3613" s="1">
        <v>5.3671340000000003E-6</v>
      </c>
      <c r="I3613">
        <v>205.3802</v>
      </c>
      <c r="J3613">
        <v>-216.57339999999999</v>
      </c>
      <c r="K3613">
        <v>1.109674</v>
      </c>
      <c r="L3613">
        <v>214.00810000000001</v>
      </c>
      <c r="M3613">
        <v>0.999807</v>
      </c>
      <c r="N3613">
        <v>0</v>
      </c>
      <c r="O3613">
        <v>-1.3812079999999999E-2</v>
      </c>
      <c r="P3613">
        <v>0.98245000000000005</v>
      </c>
      <c r="Q3613">
        <v>-3.4163409999999998E-2</v>
      </c>
      <c r="R3613">
        <v>-0.18337059999999999</v>
      </c>
      <c r="S3613">
        <v>2.8929900000000002</v>
      </c>
      <c r="T3613">
        <v>-0.1084048</v>
      </c>
      <c r="U3613">
        <v>-0.84320069999999903</v>
      </c>
      <c r="V3613">
        <v>0.16975899999999999</v>
      </c>
      <c r="W3613">
        <v>-2.0593529999999999E-2</v>
      </c>
      <c r="X3613">
        <v>0.98527039999999999</v>
      </c>
      <c r="Y3613">
        <v>0.26636870000000001</v>
      </c>
      <c r="Z3613">
        <v>-4.3806619999999996E-3</v>
      </c>
      <c r="AA3613">
        <v>0.96386130000000003</v>
      </c>
      <c r="AB3613">
        <v>26</v>
      </c>
      <c r="AC3613">
        <v>29.354500000000002</v>
      </c>
      <c r="AD3613">
        <v>-1.1096686328659999</v>
      </c>
      <c r="AE3613">
        <v>-8.6279000000000092</v>
      </c>
      <c r="AF3613">
        <v>8.2107902142106006</v>
      </c>
      <c r="AG3613">
        <v>-1.1096686328659999</v>
      </c>
      <c r="AH3613">
        <v>29.432165642410499</v>
      </c>
      <c r="AI3613">
        <v>92.079833430790799</v>
      </c>
      <c r="AJ3613">
        <v>74.412313690435994</v>
      </c>
      <c r="AK3613">
        <v>30.576147808689502</v>
      </c>
      <c r="AL3613">
        <v>91.180005785882699</v>
      </c>
      <c r="AM3613">
        <v>80.224099241148593</v>
      </c>
      <c r="AN3613">
        <v>0.99999998633750997</v>
      </c>
    </row>
    <row r="3614" spans="1:40" x14ac:dyDescent="0.25">
      <c r="A3614" t="str">
        <f>"20190312161343814"</f>
        <v>20190312161343814</v>
      </c>
      <c r="B3614" t="str">
        <f>"1552378423809649"</f>
        <v>1552378423809649</v>
      </c>
      <c r="C3614" t="s">
        <v>40</v>
      </c>
      <c r="D3614">
        <v>5.2126330000000003</v>
      </c>
      <c r="E3614">
        <v>0.53796309999999903</v>
      </c>
      <c r="F3614" t="s">
        <v>63</v>
      </c>
      <c r="G3614">
        <v>-186.35589999999999</v>
      </c>
      <c r="H3614" s="1">
        <v>5.2386829999999997E-6</v>
      </c>
      <c r="I3614">
        <v>205.14259999999999</v>
      </c>
      <c r="J3614">
        <v>-216.30439999999999</v>
      </c>
      <c r="K3614">
        <v>1.109577</v>
      </c>
      <c r="L3614">
        <v>214.0035</v>
      </c>
      <c r="M3614">
        <v>0.99979569999999995</v>
      </c>
      <c r="N3614">
        <v>0</v>
      </c>
      <c r="O3614">
        <v>-1.460958E-2</v>
      </c>
      <c r="P3614">
        <v>0.98211300000000001</v>
      </c>
      <c r="Q3614">
        <v>-3.3596590000000003E-2</v>
      </c>
      <c r="R3614">
        <v>-0.1852713</v>
      </c>
      <c r="S3614">
        <v>2.8915410000000001</v>
      </c>
      <c r="T3614">
        <v>-0.10618519999999899</v>
      </c>
      <c r="U3614">
        <v>-0.84834290000000001</v>
      </c>
      <c r="V3614">
        <v>0.17087449999999901</v>
      </c>
      <c r="W3614">
        <v>-2.0073009999999999E-2</v>
      </c>
      <c r="X3614">
        <v>0.98508830000000003</v>
      </c>
      <c r="Y3614">
        <v>0.26731500000000002</v>
      </c>
      <c r="Z3614">
        <v>-4.2804119999999999E-3</v>
      </c>
      <c r="AA3614">
        <v>0.96359969999999995</v>
      </c>
      <c r="AB3614">
        <v>26</v>
      </c>
      <c r="AC3614">
        <v>29.948499999999999</v>
      </c>
      <c r="AD3614">
        <v>-1.109571761317</v>
      </c>
      <c r="AE3614">
        <v>-8.8609000000000098</v>
      </c>
      <c r="AF3614">
        <v>8.4117594195899397</v>
      </c>
      <c r="AG3614">
        <v>-1.109571761317</v>
      </c>
      <c r="AH3614">
        <v>30.036858348394901</v>
      </c>
      <c r="AI3614">
        <v>92.037253632649396</v>
      </c>
      <c r="AJ3614">
        <v>74.355208070364597</v>
      </c>
      <c r="AK3614">
        <v>31.212204431409699</v>
      </c>
      <c r="AL3614">
        <v>91.150176015113303</v>
      </c>
      <c r="AM3614">
        <v>80.159329229208595</v>
      </c>
      <c r="AN3614">
        <v>0.99999998963879999</v>
      </c>
    </row>
    <row r="3615" spans="1:40" x14ac:dyDescent="0.25">
      <c r="A3615" t="str">
        <f>"20190312161343837"</f>
        <v>20190312161343837</v>
      </c>
      <c r="B3615" t="str">
        <f>"1552378423830141"</f>
        <v>1552378423830141</v>
      </c>
      <c r="C3615" t="s">
        <v>40</v>
      </c>
      <c r="D3615">
        <v>5.214283</v>
      </c>
      <c r="E3615">
        <v>0.5379948</v>
      </c>
      <c r="F3615" t="s">
        <v>63</v>
      </c>
      <c r="G3615">
        <v>-185.04990000000001</v>
      </c>
      <c r="H3615" s="1">
        <v>5.047495E-6</v>
      </c>
      <c r="I3615">
        <v>204.77109999999999</v>
      </c>
      <c r="J3615">
        <v>-216.03290000000001</v>
      </c>
      <c r="K3615">
        <v>1.1094729999999999</v>
      </c>
      <c r="L3615">
        <v>213.99850000000001</v>
      </c>
      <c r="M3615">
        <v>0.99978160000000005</v>
      </c>
      <c r="N3615">
        <v>0</v>
      </c>
      <c r="O3615">
        <v>-1.555861E-2</v>
      </c>
      <c r="P3615">
        <v>0.981653</v>
      </c>
      <c r="Q3615">
        <v>-3.3575180000000003E-2</v>
      </c>
      <c r="R3615">
        <v>-0.18769739999999999</v>
      </c>
      <c r="S3615">
        <v>2.8900760000000001</v>
      </c>
      <c r="T3615">
        <v>-0.10260130000000001</v>
      </c>
      <c r="U3615">
        <v>-0.85371399999999997</v>
      </c>
      <c r="V3615">
        <v>0.17236799999999999</v>
      </c>
      <c r="W3615">
        <v>-2.009994E-2</v>
      </c>
      <c r="X3615">
        <v>0.98482749999999997</v>
      </c>
      <c r="Y3615">
        <v>0.2681905</v>
      </c>
      <c r="Z3615">
        <v>-4.1192479999999998E-3</v>
      </c>
      <c r="AA3615">
        <v>0.96335709999999997</v>
      </c>
      <c r="AB3615">
        <v>26</v>
      </c>
      <c r="AC3615">
        <v>30.983000000000001</v>
      </c>
      <c r="AD3615">
        <v>-1.109467952505</v>
      </c>
      <c r="AE3615">
        <v>-9.22740000000001</v>
      </c>
      <c r="AF3615">
        <v>8.7338966579260102</v>
      </c>
      <c r="AG3615">
        <v>-1.109467952505</v>
      </c>
      <c r="AH3615">
        <v>31.086214841963301</v>
      </c>
      <c r="AI3615">
        <v>91.967889436510205</v>
      </c>
      <c r="AJ3615">
        <v>74.3069084845351</v>
      </c>
      <c r="AK3615">
        <v>32.3088938710329</v>
      </c>
      <c r="AL3615">
        <v>91.151719324590204</v>
      </c>
      <c r="AM3615">
        <v>80.072445570698505</v>
      </c>
      <c r="AN3615">
        <v>0.99999996988412598</v>
      </c>
    </row>
    <row r="3616" spans="1:40" x14ac:dyDescent="0.25">
      <c r="A3616" t="str">
        <f>"20190312161343861"</f>
        <v>20190312161343861</v>
      </c>
      <c r="B3616" t="str">
        <f>"1552378423849661"</f>
        <v>1552378423849661</v>
      </c>
      <c r="C3616" t="s">
        <v>40</v>
      </c>
      <c r="D3616">
        <v>5.2322170000000003</v>
      </c>
      <c r="E3616">
        <v>0.53802709999999998</v>
      </c>
      <c r="F3616" t="s">
        <v>63</v>
      </c>
      <c r="G3616">
        <v>-184.4939</v>
      </c>
      <c r="H3616" s="1">
        <v>4.9732049999999996E-6</v>
      </c>
      <c r="I3616">
        <v>204.59360000000001</v>
      </c>
      <c r="J3616">
        <v>-215.76949999999999</v>
      </c>
      <c r="K3616">
        <v>1.1093710000000001</v>
      </c>
      <c r="L3616">
        <v>213.9932</v>
      </c>
      <c r="M3616">
        <v>0.99976399999999999</v>
      </c>
      <c r="N3616">
        <v>0</v>
      </c>
      <c r="O3616">
        <v>-1.66404E-2</v>
      </c>
      <c r="P3616">
        <v>0.98100200000000004</v>
      </c>
      <c r="Q3616">
        <v>-3.3940930000000001E-2</v>
      </c>
      <c r="R3616">
        <v>-0.19100600000000001</v>
      </c>
      <c r="S3616">
        <v>2.8879389999999998</v>
      </c>
      <c r="T3616">
        <v>-0.10159079999999999</v>
      </c>
      <c r="U3616">
        <v>-0.86117549999999898</v>
      </c>
      <c r="V3616">
        <v>0.17461599999999999</v>
      </c>
      <c r="W3616">
        <v>-2.0519229999999999E-2</v>
      </c>
      <c r="X3616">
        <v>0.98442280000000004</v>
      </c>
      <c r="Y3616">
        <v>0.26963140000000002</v>
      </c>
      <c r="Z3616">
        <v>-4.0677320000000001E-3</v>
      </c>
      <c r="AA3616">
        <v>0.96295500000000001</v>
      </c>
      <c r="AB3616">
        <v>26</v>
      </c>
      <c r="AC3616">
        <v>31.275600000000001</v>
      </c>
      <c r="AD3616">
        <v>-1.1093660267949901</v>
      </c>
      <c r="AE3616">
        <v>-9.3995999999999906</v>
      </c>
      <c r="AF3616">
        <v>8.8675763786259196</v>
      </c>
      <c r="AG3616">
        <v>-1.1093660267949901</v>
      </c>
      <c r="AH3616">
        <v>31.391473246906401</v>
      </c>
      <c r="AI3616">
        <v>91.947813580209896</v>
      </c>
      <c r="AJ3616">
        <v>74.225884240406501</v>
      </c>
      <c r="AK3616">
        <v>32.638768304324998</v>
      </c>
      <c r="AL3616">
        <v>91.175747772786593</v>
      </c>
      <c r="AM3616">
        <v>79.941547975876503</v>
      </c>
      <c r="AN3616">
        <v>1.0000000177078101</v>
      </c>
    </row>
    <row r="3617" spans="1:40" x14ac:dyDescent="0.25">
      <c r="A3617" t="str">
        <f>"20190312161343881"</f>
        <v>20190312161343881</v>
      </c>
      <c r="B3617" t="str">
        <f>"1552378423870157"</f>
        <v>1552378423870157</v>
      </c>
      <c r="C3617" t="s">
        <v>40</v>
      </c>
      <c r="D3617">
        <v>5.201638</v>
      </c>
      <c r="E3617">
        <v>0.53805419999999904</v>
      </c>
      <c r="F3617" t="s">
        <v>63</v>
      </c>
      <c r="G3617">
        <v>-184.77539999999999</v>
      </c>
      <c r="H3617" s="1">
        <v>5.0230169999999999E-6</v>
      </c>
      <c r="I3617">
        <v>204.6337</v>
      </c>
      <c r="J3617">
        <v>-215.52379999999999</v>
      </c>
      <c r="K3617">
        <v>1.1092630000000001</v>
      </c>
      <c r="L3617">
        <v>213.9879</v>
      </c>
      <c r="M3617">
        <v>0.99974390000000002</v>
      </c>
      <c r="N3617">
        <v>0</v>
      </c>
      <c r="O3617">
        <v>-1.781143E-2</v>
      </c>
      <c r="P3617">
        <v>0.98029080000000002</v>
      </c>
      <c r="Q3617">
        <v>-3.4040399999999998E-2</v>
      </c>
      <c r="R3617">
        <v>-0.19460569999999999</v>
      </c>
      <c r="S3617">
        <v>2.8849179999999999</v>
      </c>
      <c r="T3617">
        <v>-0.103259199999999</v>
      </c>
      <c r="U3617">
        <v>-0.87118530000000005</v>
      </c>
      <c r="V3617">
        <v>0.17706930000000001</v>
      </c>
      <c r="W3617">
        <v>-2.0676960000000001E-2</v>
      </c>
      <c r="X3617">
        <v>0.98398110000000005</v>
      </c>
      <c r="Y3617">
        <v>0.27183829999999998</v>
      </c>
      <c r="Z3617">
        <v>-4.1343200000000004E-3</v>
      </c>
      <c r="AA3617">
        <v>0.96233400000000002</v>
      </c>
      <c r="AB3617">
        <v>26</v>
      </c>
      <c r="AC3617">
        <v>30.7484</v>
      </c>
      <c r="AD3617">
        <v>-1.109257976983</v>
      </c>
      <c r="AE3617">
        <v>-9.3541999999999899</v>
      </c>
      <c r="AF3617">
        <v>8.7945135494111693</v>
      </c>
      <c r="AG3617">
        <v>-1.109257976983</v>
      </c>
      <c r="AH3617">
        <v>30.8733732402481</v>
      </c>
      <c r="AI3617">
        <v>91.979049286148594</v>
      </c>
      <c r="AJ3617">
        <v>74.099996846989697</v>
      </c>
      <c r="AK3617">
        <v>32.120695774872999</v>
      </c>
      <c r="AL3617">
        <v>91.184787046491493</v>
      </c>
      <c r="AM3617">
        <v>79.798693961728603</v>
      </c>
      <c r="AN3617">
        <v>0.99999993941726895</v>
      </c>
    </row>
    <row r="3618" spans="1:40" x14ac:dyDescent="0.25">
      <c r="A3618" t="str">
        <f>"20190312161343904"</f>
        <v>20190312161343904</v>
      </c>
      <c r="B3618" t="str">
        <f>"1552378423899455"</f>
        <v>1552378423899455</v>
      </c>
      <c r="C3618" t="s">
        <v>40</v>
      </c>
      <c r="D3618">
        <v>5.2599499999999999</v>
      </c>
      <c r="E3618">
        <v>0.53821140000000001</v>
      </c>
      <c r="F3618" t="s">
        <v>63</v>
      </c>
      <c r="G3618">
        <v>-184.9023</v>
      </c>
      <c r="H3618" s="1">
        <v>5.0551969999999996E-6</v>
      </c>
      <c r="I3618">
        <v>204.61840000000001</v>
      </c>
      <c r="J3618">
        <v>-215.26230000000001</v>
      </c>
      <c r="K3618">
        <v>1.109124</v>
      </c>
      <c r="L3618">
        <v>213.98179999999999</v>
      </c>
      <c r="M3618">
        <v>0.99971739999999998</v>
      </c>
      <c r="N3618">
        <v>0</v>
      </c>
      <c r="O3618">
        <v>-1.9241810000000002E-2</v>
      </c>
      <c r="P3618">
        <v>0.97964379999999995</v>
      </c>
      <c r="Q3618">
        <v>-3.3719800000000001E-2</v>
      </c>
      <c r="R3618">
        <v>-0.19789209999999999</v>
      </c>
      <c r="S3618">
        <v>2.8816679999999999</v>
      </c>
      <c r="T3618">
        <v>-0.1043876</v>
      </c>
      <c r="U3618">
        <v>-0.88172909999999904</v>
      </c>
      <c r="V3618">
        <v>0.1789541</v>
      </c>
      <c r="W3618">
        <v>-2.0423549999999999E-2</v>
      </c>
      <c r="X3618">
        <v>0.9836454</v>
      </c>
      <c r="Y3618">
        <v>0.27398030000000001</v>
      </c>
      <c r="Z3618">
        <v>-4.1691609999999898E-3</v>
      </c>
      <c r="AA3618">
        <v>0.96172619999999998</v>
      </c>
      <c r="AB3618">
        <v>26</v>
      </c>
      <c r="AC3618">
        <v>30.36</v>
      </c>
      <c r="AD3618">
        <v>-1.1091189448029899</v>
      </c>
      <c r="AE3618">
        <v>-9.3633999999999808</v>
      </c>
      <c r="AF3618">
        <v>8.7667439290830593</v>
      </c>
      <c r="AG3618">
        <v>-1.1091189448029899</v>
      </c>
      <c r="AH3618">
        <v>30.497397609587999</v>
      </c>
      <c r="AI3618">
        <v>92.001799964700794</v>
      </c>
      <c r="AJ3618">
        <v>73.962239496739301</v>
      </c>
      <c r="AK3618">
        <v>31.751806325139</v>
      </c>
      <c r="AL3618">
        <v>91.170264605283194</v>
      </c>
      <c r="AM3618">
        <v>79.688980578998596</v>
      </c>
      <c r="AN3618">
        <v>0.99999998212128605</v>
      </c>
    </row>
    <row r="3619" spans="1:40" x14ac:dyDescent="0.25">
      <c r="A3619" t="str">
        <f>"20190312161343926"</f>
        <v>20190312161343926</v>
      </c>
      <c r="B3619" t="str">
        <f>"1552378423919933"</f>
        <v>1552378423919933</v>
      </c>
      <c r="C3619" t="s">
        <v>40</v>
      </c>
      <c r="D3619">
        <v>5.2145599999999996</v>
      </c>
      <c r="E3619">
        <v>0.53825100000000003</v>
      </c>
      <c r="F3619" t="s">
        <v>63</v>
      </c>
      <c r="G3619">
        <v>-184.21799999999999</v>
      </c>
      <c r="H3619" s="1">
        <v>4.997429E-6</v>
      </c>
      <c r="I3619">
        <v>204.35210000000001</v>
      </c>
      <c r="J3619">
        <v>-214.999</v>
      </c>
      <c r="K3619">
        <v>1.108975</v>
      </c>
      <c r="L3619">
        <v>213.97499999999999</v>
      </c>
      <c r="M3619">
        <v>0.99968440000000003</v>
      </c>
      <c r="N3619">
        <v>0</v>
      </c>
      <c r="O3619">
        <v>-2.088897E-2</v>
      </c>
      <c r="P3619">
        <v>0.97917909999999997</v>
      </c>
      <c r="Q3619">
        <v>-3.2975169999999998E-2</v>
      </c>
      <c r="R3619">
        <v>-0.2003036</v>
      </c>
      <c r="S3619">
        <v>2.8784329999999998</v>
      </c>
      <c r="T3619">
        <v>-0.1028377</v>
      </c>
      <c r="U3619">
        <v>-0.89286799999999999</v>
      </c>
      <c r="V3619">
        <v>0.17974889999999999</v>
      </c>
      <c r="W3619">
        <v>-1.9748249999999998E-2</v>
      </c>
      <c r="X3619">
        <v>0.98351420000000001</v>
      </c>
      <c r="Y3619">
        <v>0.27610030000000002</v>
      </c>
      <c r="Z3619">
        <v>-4.0890240000000001E-3</v>
      </c>
      <c r="AA3619">
        <v>0.96112010000000003</v>
      </c>
      <c r="AB3619">
        <v>26</v>
      </c>
      <c r="AC3619">
        <v>30.780999999999999</v>
      </c>
      <c r="AD3619">
        <v>-1.1089700025710001</v>
      </c>
      <c r="AE3619">
        <v>-9.62289999999998</v>
      </c>
      <c r="AF3619">
        <v>8.9671508192835105</v>
      </c>
      <c r="AG3619">
        <v>-1.1089700025710001</v>
      </c>
      <c r="AH3619">
        <v>30.9387313624383</v>
      </c>
      <c r="AI3619">
        <v>91.9717545022596</v>
      </c>
      <c r="AJ3619">
        <v>73.836521442091694</v>
      </c>
      <c r="AK3619">
        <v>32.2311139521969</v>
      </c>
      <c r="AL3619">
        <v>91.131565025757794</v>
      </c>
      <c r="AM3619">
        <v>79.642822788762402</v>
      </c>
      <c r="AN3619">
        <v>0.99999992101545299</v>
      </c>
    </row>
    <row r="3620" spans="1:40" x14ac:dyDescent="0.25">
      <c r="A3620" t="str">
        <f>"20190312161343949"</f>
        <v>20190312161343949</v>
      </c>
      <c r="B3620" t="str">
        <f>"1552378423939453"</f>
        <v>1552378423939453</v>
      </c>
      <c r="C3620" t="s">
        <v>40</v>
      </c>
      <c r="D3620">
        <v>5.3132029999999997</v>
      </c>
      <c r="E3620">
        <v>0.53815080000000004</v>
      </c>
      <c r="F3620" t="s">
        <v>63</v>
      </c>
      <c r="G3620">
        <v>-182.6302</v>
      </c>
      <c r="H3620" s="1">
        <v>4.8256519999999998E-6</v>
      </c>
      <c r="I3620">
        <v>203.84209999999999</v>
      </c>
      <c r="J3620">
        <v>-214.73679999999999</v>
      </c>
      <c r="K3620">
        <v>1.108811</v>
      </c>
      <c r="L3620">
        <v>213.9675</v>
      </c>
      <c r="M3620">
        <v>0.99964350000000002</v>
      </c>
      <c r="N3620">
        <v>0</v>
      </c>
      <c r="O3620">
        <v>-2.2756220000000001E-2</v>
      </c>
      <c r="P3620">
        <v>0.97850210000000004</v>
      </c>
      <c r="Q3620">
        <v>-3.3364379999999999E-2</v>
      </c>
      <c r="R3620">
        <v>-0.20352010000000001</v>
      </c>
      <c r="S3620">
        <v>2.8762819999999998</v>
      </c>
      <c r="T3620">
        <v>-9.8542809999999995E-2</v>
      </c>
      <c r="U3620">
        <v>-0.90040589999999998</v>
      </c>
      <c r="V3620">
        <v>0.1811344</v>
      </c>
      <c r="W3620">
        <v>-2.0214530000000001E-2</v>
      </c>
      <c r="X3620">
        <v>0.98325059999999997</v>
      </c>
      <c r="Y3620">
        <v>0.27681689999999998</v>
      </c>
      <c r="Z3620">
        <v>-3.8692890000000001E-3</v>
      </c>
      <c r="AA3620">
        <v>0.96091490000000002</v>
      </c>
      <c r="AB3620">
        <v>26</v>
      </c>
      <c r="AC3620">
        <v>32.106599999999901</v>
      </c>
      <c r="AD3620">
        <v>-1.108806174348</v>
      </c>
      <c r="AE3620">
        <v>-10.125400000000001</v>
      </c>
      <c r="AF3620">
        <v>9.3819039782426401</v>
      </c>
      <c r="AG3620">
        <v>-1.108806174348</v>
      </c>
      <c r="AH3620">
        <v>32.293690707256602</v>
      </c>
      <c r="AI3620">
        <v>91.888462496666406</v>
      </c>
      <c r="AJ3620">
        <v>73.800458889994601</v>
      </c>
      <c r="AK3620">
        <v>33.647169760400203</v>
      </c>
      <c r="AL3620">
        <v>91.158286124066706</v>
      </c>
      <c r="AM3620">
        <v>79.562001101278796</v>
      </c>
      <c r="AN3620">
        <v>1.0000000202434201</v>
      </c>
    </row>
    <row r="3621" spans="1:40" x14ac:dyDescent="0.25">
      <c r="A3621" t="str">
        <f>"20190312161343970"</f>
        <v>20190312161343970</v>
      </c>
      <c r="B3621" t="str">
        <f>"1552378423959949"</f>
        <v>1552378423959949</v>
      </c>
      <c r="C3621" t="s">
        <v>40</v>
      </c>
      <c r="D3621">
        <v>5.2218879999999999</v>
      </c>
      <c r="E3621">
        <v>0.53803690000000004</v>
      </c>
      <c r="F3621" t="s">
        <v>63</v>
      </c>
      <c r="G3621">
        <v>-183.49340000000001</v>
      </c>
      <c r="H3621" s="1">
        <v>4.9316149999999997E-6</v>
      </c>
      <c r="I3621">
        <v>204.08369999999999</v>
      </c>
      <c r="J3621">
        <v>-214.4845</v>
      </c>
      <c r="K3621">
        <v>1.108643</v>
      </c>
      <c r="L3621">
        <v>213.95949999999999</v>
      </c>
      <c r="M3621">
        <v>0.99959509999999996</v>
      </c>
      <c r="N3621">
        <v>0</v>
      </c>
      <c r="O3621">
        <v>-2.4788319999999999E-2</v>
      </c>
      <c r="P3621">
        <v>0.97768390000000005</v>
      </c>
      <c r="Q3621">
        <v>-3.4792330000000003E-2</v>
      </c>
      <c r="R3621">
        <v>-0.2071808</v>
      </c>
      <c r="S3621">
        <v>2.873367</v>
      </c>
      <c r="T3621">
        <v>-0.1019738</v>
      </c>
      <c r="U3621">
        <v>-0.90898129999999999</v>
      </c>
      <c r="V3621">
        <v>0.18280260000000001</v>
      </c>
      <c r="W3621">
        <v>-2.1720239999999998E-2</v>
      </c>
      <c r="X3621">
        <v>0.9829097</v>
      </c>
      <c r="Y3621">
        <v>0.27774130000000002</v>
      </c>
      <c r="Z3621">
        <v>-3.9518259999999899E-3</v>
      </c>
      <c r="AA3621">
        <v>0.96064780000000005</v>
      </c>
      <c r="AB3621">
        <v>26</v>
      </c>
      <c r="AC3621">
        <v>30.9910999999999</v>
      </c>
      <c r="AD3621">
        <v>-1.1086380683849999</v>
      </c>
      <c r="AE3621">
        <v>-9.8757999999999893</v>
      </c>
      <c r="AF3621">
        <v>9.0939079183438096</v>
      </c>
      <c r="AG3621">
        <v>-1.1086380683849999</v>
      </c>
      <c r="AH3621">
        <v>31.1901693455852</v>
      </c>
      <c r="AI3621">
        <v>91.954382231387896</v>
      </c>
      <c r="AJ3621">
        <v>73.745254921833805</v>
      </c>
      <c r="AK3621">
        <v>32.507766816566601</v>
      </c>
      <c r="AL3621">
        <v>91.244575930291404</v>
      </c>
      <c r="AM3621">
        <v>79.464440272959195</v>
      </c>
      <c r="AN3621">
        <v>1.0000000188732501</v>
      </c>
    </row>
    <row r="3622" spans="1:40" x14ac:dyDescent="0.25">
      <c r="A3622" t="str">
        <f>"20190312161343994"</f>
        <v>20190312161343994</v>
      </c>
      <c r="B3622" t="str">
        <f>"1552378423990205"</f>
        <v>1552378423990205</v>
      </c>
      <c r="C3622" t="s">
        <v>40</v>
      </c>
      <c r="D3622">
        <v>5.2077019999999896</v>
      </c>
      <c r="E3622">
        <v>0.53802930000000004</v>
      </c>
      <c r="F3622" t="s">
        <v>63</v>
      </c>
      <c r="G3622">
        <v>-184.6387</v>
      </c>
      <c r="H3622" s="1">
        <v>5.0716669999999998E-6</v>
      </c>
      <c r="I3622">
        <v>204.40600000000001</v>
      </c>
      <c r="J3622">
        <v>-214.21180000000001</v>
      </c>
      <c r="K3622">
        <v>1.1085</v>
      </c>
      <c r="L3622">
        <v>213.95009999999999</v>
      </c>
      <c r="M3622">
        <v>0.99953250000000005</v>
      </c>
      <c r="N3622">
        <v>0</v>
      </c>
      <c r="O3622">
        <v>-2.7195219999999999E-2</v>
      </c>
      <c r="P3622">
        <v>0.97679760000000004</v>
      </c>
      <c r="Q3622">
        <v>-3.5084160000000003E-2</v>
      </c>
      <c r="R3622">
        <v>-0.21127119999999999</v>
      </c>
      <c r="S3622">
        <v>2.8700260000000002</v>
      </c>
      <c r="T3622">
        <v>-0.106609</v>
      </c>
      <c r="U3622">
        <v>-0.91868590000000006</v>
      </c>
      <c r="V3622">
        <v>0.18454019999999999</v>
      </c>
      <c r="W3622">
        <v>-2.2086850000000002E-2</v>
      </c>
      <c r="X3622">
        <v>0.98257669999999997</v>
      </c>
      <c r="Y3622">
        <v>0.2786864</v>
      </c>
      <c r="Z3622">
        <v>-4.0639780000000002E-3</v>
      </c>
      <c r="AA3622">
        <v>0.96037360000000005</v>
      </c>
      <c r="AB3622">
        <v>26</v>
      </c>
      <c r="AC3622">
        <v>29.5731</v>
      </c>
      <c r="AD3622">
        <v>-1.1084949283329999</v>
      </c>
      <c r="AE3622">
        <v>-9.5441000000000091</v>
      </c>
      <c r="AF3622">
        <v>8.7251414870702408</v>
      </c>
      <c r="AG3622">
        <v>-1.1084949283329999</v>
      </c>
      <c r="AH3622">
        <v>29.783840503523901</v>
      </c>
      <c r="AI3622">
        <v>92.045560590441099</v>
      </c>
      <c r="AJ3622">
        <v>73.672115106524302</v>
      </c>
      <c r="AK3622">
        <v>31.055337868309898</v>
      </c>
      <c r="AL3622">
        <v>91.265586272541</v>
      </c>
      <c r="AM3622">
        <v>79.363048102135494</v>
      </c>
      <c r="AN3622">
        <v>0.99999994287092397</v>
      </c>
    </row>
    <row r="3623" spans="1:40" x14ac:dyDescent="0.25">
      <c r="A3623" t="str">
        <f>"20190312161344016"</f>
        <v>20190312161344016</v>
      </c>
      <c r="B3623" t="str">
        <f>"1552378424009728"</f>
        <v>1552378424009728</v>
      </c>
      <c r="C3623" t="s">
        <v>40</v>
      </c>
      <c r="D3623">
        <v>5.2151899999999998</v>
      </c>
      <c r="E3623">
        <v>0.53798610000000002</v>
      </c>
      <c r="F3623" t="s">
        <v>63</v>
      </c>
      <c r="G3623">
        <v>-184.32230000000001</v>
      </c>
      <c r="H3623" s="1">
        <v>5.0588669999999997E-6</v>
      </c>
      <c r="I3623">
        <v>204.24369999999999</v>
      </c>
      <c r="J3623">
        <v>-213.95570000000001</v>
      </c>
      <c r="K3623">
        <v>1.1083750000000001</v>
      </c>
      <c r="L3623">
        <v>213.94040000000001</v>
      </c>
      <c r="M3623">
        <v>0.99946279999999998</v>
      </c>
      <c r="N3623">
        <v>0</v>
      </c>
      <c r="O3623">
        <v>-2.964514E-2</v>
      </c>
      <c r="P3623">
        <v>0.97609840000000003</v>
      </c>
      <c r="Q3623">
        <v>-3.4320820000000002E-2</v>
      </c>
      <c r="R3623">
        <v>-0.2146026</v>
      </c>
      <c r="S3623">
        <v>2.8661349999999999</v>
      </c>
      <c r="T3623">
        <v>-0.106294899999999</v>
      </c>
      <c r="U3623">
        <v>-0.93075560000000002</v>
      </c>
      <c r="V3623">
        <v>0.18547949999999999</v>
      </c>
      <c r="W3623">
        <v>-2.1382930000000001E-2</v>
      </c>
      <c r="X3623">
        <v>0.98241540000000005</v>
      </c>
      <c r="Y3623">
        <v>0.28037479999999998</v>
      </c>
      <c r="Z3623">
        <v>-3.996884E-3</v>
      </c>
      <c r="AA3623">
        <v>0.95988229999999997</v>
      </c>
      <c r="AB3623">
        <v>26</v>
      </c>
      <c r="AC3623">
        <v>29.633399999999899</v>
      </c>
      <c r="AD3623">
        <v>-1.1083699411329999</v>
      </c>
      <c r="AE3623">
        <v>-9.6967000000000194</v>
      </c>
      <c r="AF3623">
        <v>8.8027415956097705</v>
      </c>
      <c r="AG3623">
        <v>-1.1083699411329999</v>
      </c>
      <c r="AH3623">
        <v>29.870115639493701</v>
      </c>
      <c r="AI3623">
        <v>92.038462263642501</v>
      </c>
      <c r="AJ3623">
        <v>73.579722021611502</v>
      </c>
      <c r="AK3623">
        <v>31.159918996079099</v>
      </c>
      <c r="AL3623">
        <v>91.225245090157102</v>
      </c>
      <c r="AM3623">
        <v>79.308436557103306</v>
      </c>
      <c r="AN3623">
        <v>0.999999946386396</v>
      </c>
    </row>
    <row r="3624" spans="1:40" x14ac:dyDescent="0.25">
      <c r="A3624" t="str">
        <f>"20190312161344038"</f>
        <v>20190312161344038</v>
      </c>
      <c r="B3624" t="str">
        <f>"1552378424029246"</f>
        <v>1552378424029246</v>
      </c>
      <c r="C3624" t="s">
        <v>40</v>
      </c>
      <c r="D3624">
        <v>5.2426729999999999</v>
      </c>
      <c r="E3624">
        <v>0.53797850000000003</v>
      </c>
      <c r="F3624" t="s">
        <v>63</v>
      </c>
      <c r="G3624">
        <v>-183.0976</v>
      </c>
      <c r="H3624" s="1">
        <v>4.9412960000000003E-6</v>
      </c>
      <c r="I3624">
        <v>203.8081</v>
      </c>
      <c r="J3624">
        <v>-213.6977</v>
      </c>
      <c r="K3624">
        <v>1.1082609999999999</v>
      </c>
      <c r="L3624">
        <v>213.9299</v>
      </c>
      <c r="M3624">
        <v>0.9993803</v>
      </c>
      <c r="N3624">
        <v>0</v>
      </c>
      <c r="O3624">
        <v>-3.2304340000000001E-2</v>
      </c>
      <c r="P3624">
        <v>0.97532980000000002</v>
      </c>
      <c r="Q3624">
        <v>-3.4369209999999997E-2</v>
      </c>
      <c r="R3624">
        <v>-0.21806159999999999</v>
      </c>
      <c r="S3624">
        <v>2.863159</v>
      </c>
      <c r="T3624">
        <v>-0.102839899999999</v>
      </c>
      <c r="U3624">
        <v>-0.94012450000000003</v>
      </c>
      <c r="V3624">
        <v>0.18634120000000001</v>
      </c>
      <c r="W3624">
        <v>-2.148918E-2</v>
      </c>
      <c r="X3624">
        <v>0.98224999999999996</v>
      </c>
      <c r="Y3624">
        <v>0.28096290000000002</v>
      </c>
      <c r="Z3624">
        <v>-3.7864679999999999E-3</v>
      </c>
      <c r="AA3624">
        <v>0.95971119999999999</v>
      </c>
      <c r="AB3624">
        <v>26</v>
      </c>
      <c r="AC3624">
        <v>30.600100000000001</v>
      </c>
      <c r="AD3624">
        <v>-1.108256058704</v>
      </c>
      <c r="AE3624">
        <v>-10.1218</v>
      </c>
      <c r="AF3624">
        <v>9.1171240228958794</v>
      </c>
      <c r="AG3624">
        <v>-1.108256058704</v>
      </c>
      <c r="AH3624">
        <v>30.874631844118799</v>
      </c>
      <c r="AI3624">
        <v>91.971673199505503</v>
      </c>
      <c r="AJ3624">
        <v>73.548393586960103</v>
      </c>
      <c r="AK3624">
        <v>32.211691564560702</v>
      </c>
      <c r="AL3624">
        <v>91.231334167799204</v>
      </c>
      <c r="AM3624">
        <v>79.258152111156306</v>
      </c>
      <c r="AN3624">
        <v>0.99999994508725398</v>
      </c>
    </row>
    <row r="3625" spans="1:40" x14ac:dyDescent="0.25">
      <c r="A3625" t="str">
        <f>"20190312161344061"</f>
        <v>20190312161344061</v>
      </c>
      <c r="B3625" t="str">
        <f>"1552378424049741"</f>
        <v>1552378424049741</v>
      </c>
      <c r="C3625" t="s">
        <v>40</v>
      </c>
      <c r="D3625">
        <v>5.2144459999999997</v>
      </c>
      <c r="E3625">
        <v>0.53792830000000003</v>
      </c>
      <c r="F3625" t="s">
        <v>63</v>
      </c>
      <c r="G3625">
        <v>-182.5762</v>
      </c>
      <c r="H3625" s="1">
        <v>4.9050130000000002E-6</v>
      </c>
      <c r="I3625">
        <v>203.58369999999999</v>
      </c>
      <c r="J3625">
        <v>-213.4366</v>
      </c>
      <c r="K3625">
        <v>1.1081319999999999</v>
      </c>
      <c r="L3625">
        <v>213.91829999999999</v>
      </c>
      <c r="M3625">
        <v>0.99928289999999997</v>
      </c>
      <c r="N3625">
        <v>0</v>
      </c>
      <c r="O3625">
        <v>-3.5190350000000002E-2</v>
      </c>
      <c r="P3625">
        <v>0.97443120000000005</v>
      </c>
      <c r="Q3625">
        <v>-3.5115729999999998E-2</v>
      </c>
      <c r="R3625">
        <v>-0.2219256</v>
      </c>
      <c r="S3625">
        <v>2.8597260000000002</v>
      </c>
      <c r="T3625">
        <v>-0.1018367</v>
      </c>
      <c r="U3625">
        <v>-0.95069890000000001</v>
      </c>
      <c r="V3625">
        <v>0.187388</v>
      </c>
      <c r="W3625">
        <v>-2.2297600000000001E-2</v>
      </c>
      <c r="X3625">
        <v>0.98203289999999999</v>
      </c>
      <c r="Y3625">
        <v>0.28173569999999998</v>
      </c>
      <c r="Z3625">
        <v>-3.6653739999999999E-3</v>
      </c>
      <c r="AA3625">
        <v>0.95948509999999998</v>
      </c>
      <c r="AB3625">
        <v>26</v>
      </c>
      <c r="AC3625">
        <v>30.860399999999998</v>
      </c>
      <c r="AD3625">
        <v>-1.1081270949869999</v>
      </c>
      <c r="AE3625">
        <v>-10.334599999999901</v>
      </c>
      <c r="AF3625">
        <v>9.2314010167183191</v>
      </c>
      <c r="AG3625">
        <v>-1.1081270949869999</v>
      </c>
      <c r="AH3625">
        <v>31.168860318139199</v>
      </c>
      <c r="AI3625">
        <v>91.952382022652799</v>
      </c>
      <c r="AJ3625">
        <v>73.502088863583694</v>
      </c>
      <c r="AK3625">
        <v>32.526059766313303</v>
      </c>
      <c r="AL3625">
        <v>91.277664220602801</v>
      </c>
      <c r="AM3625">
        <v>79.196892216472307</v>
      </c>
      <c r="AN3625">
        <v>1.0000000310960799</v>
      </c>
    </row>
    <row r="3626" spans="1:40" x14ac:dyDescent="0.25">
      <c r="A3626" t="str">
        <f>"20190312161344083"</f>
        <v>20190312161344083</v>
      </c>
      <c r="B3626" t="str">
        <f>"1552378424079998"</f>
        <v>1552378424079998</v>
      </c>
      <c r="C3626" t="s">
        <v>40</v>
      </c>
      <c r="D3626">
        <v>5.2194900000000004</v>
      </c>
      <c r="E3626">
        <v>0.53795209999999904</v>
      </c>
      <c r="F3626" t="s">
        <v>63</v>
      </c>
      <c r="G3626">
        <v>-182.75290000000001</v>
      </c>
      <c r="H3626" s="1">
        <v>4.9427309999999999E-6</v>
      </c>
      <c r="I3626">
        <v>203.58789999999999</v>
      </c>
      <c r="J3626">
        <v>-213.1807</v>
      </c>
      <c r="K3626">
        <v>1.107998</v>
      </c>
      <c r="L3626">
        <v>213.90610000000001</v>
      </c>
      <c r="M3626">
        <v>0.99917239999999996</v>
      </c>
      <c r="N3626">
        <v>0</v>
      </c>
      <c r="O3626">
        <v>-3.8197719999999998E-2</v>
      </c>
      <c r="P3626">
        <v>0.97345729999999997</v>
      </c>
      <c r="Q3626">
        <v>-3.5897079999999998E-2</v>
      </c>
      <c r="R3626">
        <v>-0.22603619999999999</v>
      </c>
      <c r="S3626">
        <v>2.8560029999999998</v>
      </c>
      <c r="T3626">
        <v>-0.10314329999999999</v>
      </c>
      <c r="U3626">
        <v>-0.96154790000000001</v>
      </c>
      <c r="V3626">
        <v>0.1885665</v>
      </c>
      <c r="W3626">
        <v>-2.3143170000000001E-2</v>
      </c>
      <c r="X3626">
        <v>0.98178770000000004</v>
      </c>
      <c r="Y3626">
        <v>0.28249750000000001</v>
      </c>
      <c r="Z3626">
        <v>-3.6228850000000002E-3</v>
      </c>
      <c r="AA3626">
        <v>0.95926120000000004</v>
      </c>
      <c r="AB3626">
        <v>26</v>
      </c>
      <c r="AC3626">
        <v>30.427799999999898</v>
      </c>
      <c r="AD3626">
        <v>-1.107993057269</v>
      </c>
      <c r="AE3626">
        <v>-10.318199999999999</v>
      </c>
      <c r="AF3626">
        <v>9.1374157541150804</v>
      </c>
      <c r="AG3626">
        <v>-1.107993057269</v>
      </c>
      <c r="AH3626">
        <v>30.763175601291799</v>
      </c>
      <c r="AI3626">
        <v>91.9774111237966</v>
      </c>
      <c r="AJ3626">
        <v>73.457292413268107</v>
      </c>
      <c r="AK3626">
        <v>32.1106366855972</v>
      </c>
      <c r="AL3626">
        <v>91.326124350947197</v>
      </c>
      <c r="AM3626">
        <v>79.127914100402293</v>
      </c>
      <c r="AN3626">
        <v>1.0000000095555901</v>
      </c>
    </row>
    <row r="3627" spans="1:40" x14ac:dyDescent="0.25">
      <c r="A3627" t="str">
        <f>"20190312161344105"</f>
        <v>20190312161344105</v>
      </c>
      <c r="B3627" t="str">
        <f>"1552378424099518"</f>
        <v>1552378424099518</v>
      </c>
      <c r="C3627" t="s">
        <v>40</v>
      </c>
      <c r="D3627">
        <v>5.2004489999999999</v>
      </c>
      <c r="E3627">
        <v>0.53791840000000002</v>
      </c>
      <c r="F3627" t="s">
        <v>63</v>
      </c>
      <c r="G3627">
        <v>-183.21870000000001</v>
      </c>
      <c r="H3627" s="1">
        <v>5.0154509999999998E-6</v>
      </c>
      <c r="I3627">
        <v>203.67429999999999</v>
      </c>
      <c r="J3627">
        <v>-212.91919999999999</v>
      </c>
      <c r="K3627">
        <v>1.1078600000000001</v>
      </c>
      <c r="L3627">
        <v>213.89250000000001</v>
      </c>
      <c r="M3627">
        <v>0.99904269999999995</v>
      </c>
      <c r="N3627">
        <v>0</v>
      </c>
      <c r="O3627">
        <v>-4.1449880000000001E-2</v>
      </c>
      <c r="P3627">
        <v>0.97258359999999999</v>
      </c>
      <c r="Q3627">
        <v>-3.6007560000000001E-2</v>
      </c>
      <c r="R3627">
        <v>-0.22974939999999999</v>
      </c>
      <c r="S3627">
        <v>2.851791</v>
      </c>
      <c r="T3627">
        <v>-0.105459</v>
      </c>
      <c r="U3627">
        <v>-0.97386170000000005</v>
      </c>
      <c r="V3627">
        <v>0.189109</v>
      </c>
      <c r="W3627">
        <v>-2.3314729999999999E-2</v>
      </c>
      <c r="X3627">
        <v>0.98167930000000003</v>
      </c>
      <c r="Y3627">
        <v>0.2835124</v>
      </c>
      <c r="Z3627">
        <v>-3.6086529999999999E-3</v>
      </c>
      <c r="AA3627">
        <v>0.95896179999999998</v>
      </c>
      <c r="AB3627">
        <v>26</v>
      </c>
      <c r="AC3627">
        <v>29.700499999999899</v>
      </c>
      <c r="AD3627">
        <v>-1.107854984549</v>
      </c>
      <c r="AE3627">
        <v>-10.2182</v>
      </c>
      <c r="AF3627">
        <v>8.9670581196964392</v>
      </c>
      <c r="AG3627">
        <v>-1.107854984549</v>
      </c>
      <c r="AH3627">
        <v>30.061155467731101</v>
      </c>
      <c r="AI3627">
        <v>92.022598255720894</v>
      </c>
      <c r="AJ3627">
        <v>73.390480931059599</v>
      </c>
      <c r="AK3627">
        <v>31.389624751562501</v>
      </c>
      <c r="AL3627">
        <v>91.3359566548408</v>
      </c>
      <c r="AM3627">
        <v>79.096208963087406</v>
      </c>
      <c r="AN3627">
        <v>1.00000001928223</v>
      </c>
    </row>
    <row r="3628" spans="1:40" x14ac:dyDescent="0.25">
      <c r="A3628" t="str">
        <f>"20190312161344129"</f>
        <v>20190312161344129</v>
      </c>
      <c r="B3628" t="str">
        <f>"1552378424120013"</f>
        <v>1552378424120013</v>
      </c>
      <c r="C3628" t="s">
        <v>40</v>
      </c>
      <c r="D3628">
        <v>5.2001189999999999</v>
      </c>
      <c r="E3628">
        <v>0.53787859999999998</v>
      </c>
      <c r="F3628" t="s">
        <v>63</v>
      </c>
      <c r="G3628">
        <v>-182.72470000000001</v>
      </c>
      <c r="H3628" s="1">
        <v>4.9841420000000002E-6</v>
      </c>
      <c r="I3628">
        <v>203.453</v>
      </c>
      <c r="J3628">
        <v>-212.65129999999999</v>
      </c>
      <c r="K3628">
        <v>1.1077269999999999</v>
      </c>
      <c r="L3628">
        <v>213.8775</v>
      </c>
      <c r="M3628">
        <v>0.99889030000000001</v>
      </c>
      <c r="N3628">
        <v>0</v>
      </c>
      <c r="O3628">
        <v>-4.4972199999999997E-2</v>
      </c>
      <c r="P3628">
        <v>0.97173960000000004</v>
      </c>
      <c r="Q3628">
        <v>-3.5247059999999997E-2</v>
      </c>
      <c r="R3628">
        <v>-0.23340910000000001</v>
      </c>
      <c r="S3628">
        <v>2.848068</v>
      </c>
      <c r="T3628">
        <v>-0.1044973</v>
      </c>
      <c r="U3628">
        <v>-0.9846954</v>
      </c>
      <c r="V3628">
        <v>0.1893387</v>
      </c>
      <c r="W3628">
        <v>-2.2611860000000001E-2</v>
      </c>
      <c r="X3628">
        <v>0.98165139999999995</v>
      </c>
      <c r="Y3628">
        <v>0.28378130000000001</v>
      </c>
      <c r="Z3628">
        <v>-3.4578360000000002E-3</v>
      </c>
      <c r="AA3628">
        <v>0.95888280000000004</v>
      </c>
      <c r="AB3628">
        <v>26</v>
      </c>
      <c r="AC3628">
        <v>29.926599999999901</v>
      </c>
      <c r="AD3628">
        <v>-1.1077220158579999</v>
      </c>
      <c r="AE3628">
        <v>-10.424499999999901</v>
      </c>
      <c r="AF3628">
        <v>9.0568881297867296</v>
      </c>
      <c r="AG3628">
        <v>-1.1077220158579999</v>
      </c>
      <c r="AH3628">
        <v>30.3281182980087</v>
      </c>
      <c r="AI3628">
        <v>92.004383989523404</v>
      </c>
      <c r="AJ3628">
        <v>73.372793102777607</v>
      </c>
      <c r="AK3628">
        <v>31.670949309389101</v>
      </c>
      <c r="AL3628">
        <v>91.295674631083003</v>
      </c>
      <c r="AM3628">
        <v>79.082979959814395</v>
      </c>
      <c r="AN3628">
        <v>0.99999995532615304</v>
      </c>
    </row>
    <row r="3629" spans="1:40" x14ac:dyDescent="0.25">
      <c r="A3629" t="str">
        <f>"20190312161344150"</f>
        <v>20190312161344150</v>
      </c>
      <c r="B3629" t="str">
        <f>"1552378424139533"</f>
        <v>1552378424139533</v>
      </c>
      <c r="C3629" t="s">
        <v>40</v>
      </c>
      <c r="D3629">
        <v>5.1982499999999998</v>
      </c>
      <c r="E3629">
        <v>0.5378754</v>
      </c>
      <c r="F3629" t="s">
        <v>63</v>
      </c>
      <c r="G3629">
        <v>-181.31829999999999</v>
      </c>
      <c r="H3629" s="1">
        <v>4.7715260000000003E-6</v>
      </c>
      <c r="I3629">
        <v>202.91650000000001</v>
      </c>
      <c r="J3629">
        <v>-212.40209999999999</v>
      </c>
      <c r="K3629">
        <v>1.1076060000000001</v>
      </c>
      <c r="L3629">
        <v>213.86250000000001</v>
      </c>
      <c r="M3629">
        <v>0.99872830000000001</v>
      </c>
      <c r="N3629">
        <v>0</v>
      </c>
      <c r="O3629">
        <v>-4.8432389999999999E-2</v>
      </c>
      <c r="P3629">
        <v>0.97092449999999997</v>
      </c>
      <c r="Q3629">
        <v>-3.4587949999999999E-2</v>
      </c>
      <c r="R3629">
        <v>-0.2368739</v>
      </c>
      <c r="S3629">
        <v>2.844589</v>
      </c>
      <c r="T3629">
        <v>-0.1005653</v>
      </c>
      <c r="U3629">
        <v>-0.99510189999999998</v>
      </c>
      <c r="V3629">
        <v>0.1894361</v>
      </c>
      <c r="W3629">
        <v>-2.2001320000000001E-2</v>
      </c>
      <c r="X3629">
        <v>0.98164649999999998</v>
      </c>
      <c r="Y3629">
        <v>0.28396290000000002</v>
      </c>
      <c r="Z3629">
        <v>-3.2146409999999999E-3</v>
      </c>
      <c r="AA3629">
        <v>0.95882990000000001</v>
      </c>
      <c r="AB3629">
        <v>26</v>
      </c>
      <c r="AC3629">
        <v>31.0838</v>
      </c>
      <c r="AD3629">
        <v>-1.10760122847399</v>
      </c>
      <c r="AE3629">
        <v>-10.9459999999999</v>
      </c>
      <c r="AF3629">
        <v>9.4169041334953008</v>
      </c>
      <c r="AG3629">
        <v>-1.10760122847399</v>
      </c>
      <c r="AH3629">
        <v>31.5418776411598</v>
      </c>
      <c r="AI3629">
        <v>91.927143844979796</v>
      </c>
      <c r="AJ3629">
        <v>73.376877611102003</v>
      </c>
      <c r="AK3629">
        <v>32.936224875820997</v>
      </c>
      <c r="AL3629">
        <v>91.260684535746805</v>
      </c>
      <c r="AM3629">
        <v>79.077445835924095</v>
      </c>
      <c r="AN3629">
        <v>0.99999997251359996</v>
      </c>
    </row>
    <row r="3630" spans="1:40" x14ac:dyDescent="0.25">
      <c r="A3630" t="str">
        <f>"20190312161344171"</f>
        <v>20190312161344171</v>
      </c>
      <c r="B3630" t="str">
        <f>"1552378424159053"</f>
        <v>1552378424159053</v>
      </c>
      <c r="C3630" t="s">
        <v>40</v>
      </c>
      <c r="D3630">
        <v>5.2313530000000004</v>
      </c>
      <c r="E3630">
        <v>0.53785459999999996</v>
      </c>
      <c r="F3630" t="s">
        <v>63</v>
      </c>
      <c r="G3630">
        <v>-179.9778</v>
      </c>
      <c r="H3630" s="1">
        <v>4.5541540000000004E-6</v>
      </c>
      <c r="I3630">
        <v>202.3904</v>
      </c>
      <c r="J3630">
        <v>-212.1576</v>
      </c>
      <c r="K3630">
        <v>1.1075079999999999</v>
      </c>
      <c r="L3630">
        <v>213.8467</v>
      </c>
      <c r="M3630">
        <v>0.99855119999999997</v>
      </c>
      <c r="N3630">
        <v>0</v>
      </c>
      <c r="O3630">
        <v>-5.1955399999999999E-2</v>
      </c>
      <c r="P3630">
        <v>0.96994389999999997</v>
      </c>
      <c r="Q3630">
        <v>-3.4864289999999999E-2</v>
      </c>
      <c r="R3630">
        <v>-0.24081900000000001</v>
      </c>
      <c r="S3630">
        <v>2.8411249999999999</v>
      </c>
      <c r="T3630">
        <v>-9.7051739999999997E-2</v>
      </c>
      <c r="U3630">
        <v>-1.0052190000000001</v>
      </c>
      <c r="V3630">
        <v>0.18995690000000001</v>
      </c>
      <c r="W3630">
        <v>-2.2320940000000001E-2</v>
      </c>
      <c r="X3630">
        <v>0.98153869999999999</v>
      </c>
      <c r="Y3630">
        <v>0.283993099999999</v>
      </c>
      <c r="Z3630">
        <v>-2.988545E-3</v>
      </c>
      <c r="AA3630">
        <v>0.9588217</v>
      </c>
      <c r="AB3630">
        <v>26</v>
      </c>
      <c r="AC3630">
        <v>32.1798</v>
      </c>
      <c r="AD3630">
        <v>-1.107503445846</v>
      </c>
      <c r="AE3630">
        <v>-11.456300000000001</v>
      </c>
      <c r="AF3630">
        <v>9.7584873463489394</v>
      </c>
      <c r="AG3630">
        <v>-1.107503445846</v>
      </c>
      <c r="AH3630">
        <v>32.6972322601356</v>
      </c>
      <c r="AI3630">
        <v>91.858985163222698</v>
      </c>
      <c r="AJ3630">
        <v>73.382268742869002</v>
      </c>
      <c r="AK3630">
        <v>34.140352028716102</v>
      </c>
      <c r="AL3630">
        <v>91.279001833366493</v>
      </c>
      <c r="AM3630">
        <v>79.046968836834395</v>
      </c>
      <c r="AN3630">
        <v>1.0000000339088899</v>
      </c>
    </row>
    <row r="3631" spans="1:40" x14ac:dyDescent="0.25">
      <c r="A3631" t="str">
        <f>"20190312161344195"</f>
        <v>20190312161344195</v>
      </c>
      <c r="B3631" t="str">
        <f>"1552378424189309"</f>
        <v>1552378424189309</v>
      </c>
      <c r="C3631" t="s">
        <v>40</v>
      </c>
      <c r="D3631">
        <v>5.1765349999999897</v>
      </c>
      <c r="E3631">
        <v>0.53774480000000002</v>
      </c>
      <c r="F3631" t="s">
        <v>63</v>
      </c>
      <c r="G3631">
        <v>-179.95779999999999</v>
      </c>
      <c r="H3631">
        <v>9.9679669999999995E-3</v>
      </c>
      <c r="I3631">
        <v>202.30719999999999</v>
      </c>
      <c r="J3631">
        <v>-211.89449999999999</v>
      </c>
      <c r="K3631">
        <v>1.107426</v>
      </c>
      <c r="L3631">
        <v>213.82859999999999</v>
      </c>
      <c r="M3631">
        <v>0.99833899999999998</v>
      </c>
      <c r="N3631">
        <v>0</v>
      </c>
      <c r="O3631">
        <v>-5.588431E-2</v>
      </c>
      <c r="P3631">
        <v>0.96879159999999997</v>
      </c>
      <c r="Q3631">
        <v>-3.6073679999999997E-2</v>
      </c>
      <c r="R3631">
        <v>-0.24523900000000001</v>
      </c>
      <c r="S3631">
        <v>2.8370669999999998</v>
      </c>
      <c r="T3631">
        <v>-9.6702099999999999E-2</v>
      </c>
      <c r="U3631">
        <v>-1.016724</v>
      </c>
      <c r="V3631">
        <v>0.1905597</v>
      </c>
      <c r="W3631">
        <v>-2.35707E-2</v>
      </c>
      <c r="X3631">
        <v>0.98139259999999995</v>
      </c>
      <c r="Y3631">
        <v>0.28410439999999998</v>
      </c>
      <c r="Z3631">
        <v>-2.8526100000000002E-3</v>
      </c>
      <c r="AA3631">
        <v>0.95878909999999995</v>
      </c>
      <c r="AB3631">
        <v>26</v>
      </c>
      <c r="AC3631">
        <v>31.936699999999998</v>
      </c>
      <c r="AD3631">
        <v>-1.0974580329999899</v>
      </c>
      <c r="AE3631">
        <v>-11.5214</v>
      </c>
      <c r="AF3631">
        <v>9.7083119651519603</v>
      </c>
      <c r="AG3631">
        <v>-1.0974580329999899</v>
      </c>
      <c r="AH3631">
        <v>32.496754999168303</v>
      </c>
      <c r="AI3631">
        <v>91.853340847294803</v>
      </c>
      <c r="AJ3631">
        <v>73.366636010921397</v>
      </c>
      <c r="AK3631">
        <v>33.933682688781097</v>
      </c>
      <c r="AL3631">
        <v>91.350626704478501</v>
      </c>
      <c r="AM3631">
        <v>79.011459731996098</v>
      </c>
      <c r="AN3631">
        <v>1.00000000624866</v>
      </c>
    </row>
    <row r="3632" spans="1:40" x14ac:dyDescent="0.25">
      <c r="A3632" t="str">
        <f>"20190312161344216"</f>
        <v>20190312161344216</v>
      </c>
      <c r="B3632" t="str">
        <f>"1552378424209806"</f>
        <v>1552378424209806</v>
      </c>
      <c r="C3632" t="s">
        <v>40</v>
      </c>
      <c r="D3632">
        <v>5.1360260000000002</v>
      </c>
      <c r="E3632">
        <v>0.53784330000000002</v>
      </c>
      <c r="F3632" t="s">
        <v>63</v>
      </c>
      <c r="G3632">
        <v>-179.95779999999999</v>
      </c>
      <c r="H3632">
        <v>8.7283059999999999E-3</v>
      </c>
      <c r="I3632">
        <v>202.22640000000001</v>
      </c>
      <c r="J3632">
        <v>-211.64</v>
      </c>
      <c r="K3632">
        <v>1.1073519999999999</v>
      </c>
      <c r="L3632">
        <v>213.81</v>
      </c>
      <c r="M3632">
        <v>0.99811130000000003</v>
      </c>
      <c r="N3632">
        <v>0</v>
      </c>
      <c r="O3632">
        <v>-5.9810429999999998E-2</v>
      </c>
      <c r="P3632">
        <v>0.96758719999999998</v>
      </c>
      <c r="Q3632">
        <v>-3.6476210000000002E-2</v>
      </c>
      <c r="R3632">
        <v>-0.24988940000000001</v>
      </c>
      <c r="S3632">
        <v>2.832535</v>
      </c>
      <c r="T3632">
        <v>-9.7445610000000002E-2</v>
      </c>
      <c r="U3632">
        <v>-1.0290220000000001</v>
      </c>
      <c r="V3632">
        <v>0.1914071</v>
      </c>
      <c r="W3632">
        <v>-2.401081E-2</v>
      </c>
      <c r="X3632">
        <v>0.98121700000000001</v>
      </c>
      <c r="Y3632">
        <v>0.28450330000000001</v>
      </c>
      <c r="Z3632">
        <v>-2.753471E-3</v>
      </c>
      <c r="AA3632">
        <v>0.9586711</v>
      </c>
      <c r="AB3632">
        <v>26</v>
      </c>
      <c r="AC3632">
        <v>31.682199999999899</v>
      </c>
      <c r="AD3632">
        <v>-1.098623694</v>
      </c>
      <c r="AE3632">
        <v>-11.583599999999899</v>
      </c>
      <c r="AF3632">
        <v>9.6575028024430303</v>
      </c>
      <c r="AG3632">
        <v>-1.098623694</v>
      </c>
      <c r="AH3632">
        <v>32.284115483273098</v>
      </c>
      <c r="AI3632">
        <v>91.867317656634199</v>
      </c>
      <c r="AJ3632">
        <v>73.345919367438995</v>
      </c>
      <c r="AK3632">
        <v>33.715552004046003</v>
      </c>
      <c r="AL3632">
        <v>91.375850299295294</v>
      </c>
      <c r="AM3632">
        <v>78.961865396839997</v>
      </c>
      <c r="AN3632">
        <v>0.99999999900813297</v>
      </c>
    </row>
    <row r="3633" spans="1:40" x14ac:dyDescent="0.25">
      <c r="A3633" t="str">
        <f>"20190312161344240"</f>
        <v>20190312161344240</v>
      </c>
      <c r="B3633" t="str">
        <f>"1552378424229326"</f>
        <v>1552378424229326</v>
      </c>
      <c r="C3633" t="s">
        <v>40</v>
      </c>
      <c r="D3633">
        <v>5.1145399999999999</v>
      </c>
      <c r="E3633">
        <v>0.55956139999999999</v>
      </c>
      <c r="F3633" t="s">
        <v>63</v>
      </c>
      <c r="G3633">
        <v>-179.95779999999999</v>
      </c>
      <c r="H3633">
        <v>5.7411859999999997E-3</v>
      </c>
      <c r="I3633">
        <v>202.119</v>
      </c>
      <c r="J3633">
        <v>-211.3837</v>
      </c>
      <c r="K3633">
        <v>1.1072850000000001</v>
      </c>
      <c r="L3633">
        <v>213.7901</v>
      </c>
      <c r="M3633">
        <v>0.99785919999999895</v>
      </c>
      <c r="N3633">
        <v>0</v>
      </c>
      <c r="O3633">
        <v>-6.3878599999999994E-2</v>
      </c>
      <c r="P3633">
        <v>0.9662731</v>
      </c>
      <c r="Q3633">
        <v>-3.5993799999999999E-2</v>
      </c>
      <c r="R3633">
        <v>-0.25499250000000001</v>
      </c>
      <c r="S3633">
        <v>2.8273320000000002</v>
      </c>
      <c r="T3633">
        <v>-9.8308090000000001E-2</v>
      </c>
      <c r="U3633">
        <v>-1.043304</v>
      </c>
      <c r="V3633">
        <v>0.19258310000000001</v>
      </c>
      <c r="W3633">
        <v>-2.3567600000000001E-2</v>
      </c>
      <c r="X3633">
        <v>0.98099760000000003</v>
      </c>
      <c r="Y3633">
        <v>0.28543030000000003</v>
      </c>
      <c r="Z3633">
        <v>-2.6599969999999999E-3</v>
      </c>
      <c r="AA3633">
        <v>0.95839580000000002</v>
      </c>
      <c r="AB3633">
        <v>26</v>
      </c>
      <c r="AC3633">
        <v>31.425899999999999</v>
      </c>
      <c r="AD3633">
        <v>-1.101543814</v>
      </c>
      <c r="AE3633">
        <v>-11.6710999999999</v>
      </c>
      <c r="AF3633">
        <v>9.6292224236846007</v>
      </c>
      <c r="AG3633">
        <v>-1.101543814</v>
      </c>
      <c r="AH3633">
        <v>32.072682593654498</v>
      </c>
      <c r="AI3633">
        <v>91.884046636454201</v>
      </c>
      <c r="AJ3633">
        <v>73.288599525690003</v>
      </c>
      <c r="AK3633">
        <v>33.505108446507997</v>
      </c>
      <c r="AL3633">
        <v>91.350449064626204</v>
      </c>
      <c r="AM3633">
        <v>78.893306215372405</v>
      </c>
      <c r="AN3633">
        <v>0.999999986690565</v>
      </c>
    </row>
    <row r="3634" spans="1:40" x14ac:dyDescent="0.25">
      <c r="A3634" t="str">
        <f>"20190312161344261"</f>
        <v>20190312161344261</v>
      </c>
      <c r="B3634" t="str">
        <f>"1552378424249822"</f>
        <v>1552378424249822</v>
      </c>
      <c r="C3634" t="s">
        <v>40</v>
      </c>
      <c r="D3634">
        <v>5.067882</v>
      </c>
      <c r="E3634">
        <v>0.56110199999999999</v>
      </c>
      <c r="F3634" t="s">
        <v>81</v>
      </c>
      <c r="G3634">
        <v>-168.41470000000001</v>
      </c>
      <c r="H3634">
        <v>0.992116</v>
      </c>
      <c r="I3634">
        <v>194.72819999999999</v>
      </c>
      <c r="J3634">
        <v>-211.12909999999999</v>
      </c>
      <c r="K3634">
        <v>1.107224</v>
      </c>
      <c r="L3634">
        <v>213.76920000000001</v>
      </c>
      <c r="M3634">
        <v>0.9975851</v>
      </c>
      <c r="N3634">
        <v>0</v>
      </c>
      <c r="O3634">
        <v>-6.8021970000000001E-2</v>
      </c>
      <c r="P3634">
        <v>0.96500810000000004</v>
      </c>
      <c r="Q3634">
        <v>-3.4840549999999998E-2</v>
      </c>
      <c r="R3634">
        <v>-0.2598954</v>
      </c>
      <c r="S3634">
        <v>2.779099</v>
      </c>
      <c r="T3634">
        <v>-7.4466469999999998E-3</v>
      </c>
      <c r="U3634">
        <v>-1.232864</v>
      </c>
      <c r="V3634">
        <v>0.1934912</v>
      </c>
      <c r="W3634">
        <v>-2.244987E-2</v>
      </c>
      <c r="X3634">
        <v>0.98084519999999997</v>
      </c>
      <c r="Y3634">
        <v>0.34238459999999898</v>
      </c>
      <c r="Z3634">
        <v>-2.6474540000000001E-4</v>
      </c>
      <c r="AA3634">
        <v>0.9395599</v>
      </c>
      <c r="AB3634">
        <v>26</v>
      </c>
      <c r="AC3634">
        <v>42.714399999999898</v>
      </c>
      <c r="AD3634">
        <v>-0.115108</v>
      </c>
      <c r="AE3634">
        <v>-19.041</v>
      </c>
      <c r="AF3634">
        <v>16.090987658542801</v>
      </c>
      <c r="AG3634">
        <v>-0.115108</v>
      </c>
      <c r="AH3634">
        <v>43.910514288380803</v>
      </c>
      <c r="AI3634">
        <v>90.141025482699206</v>
      </c>
      <c r="AJ3634">
        <v>69.874663569591604</v>
      </c>
      <c r="AK3634">
        <v>46.766081712595302</v>
      </c>
      <c r="AL3634">
        <v>91.286390778279994</v>
      </c>
      <c r="AM3634">
        <v>78.840555059301906</v>
      </c>
      <c r="AN3634">
        <v>1.00000007375174</v>
      </c>
    </row>
    <row r="3635" spans="1:40" x14ac:dyDescent="0.25">
      <c r="A3635" t="str">
        <f>"20190312161344283"</f>
        <v>20190312161344283</v>
      </c>
      <c r="B3635" t="str">
        <f>"1552378424280078"</f>
        <v>1552378424280078</v>
      </c>
      <c r="C3635" t="s">
        <v>40</v>
      </c>
      <c r="D3635">
        <v>5.0813610000000002</v>
      </c>
      <c r="E3635">
        <v>0.56168660000000004</v>
      </c>
      <c r="F3635" t="s">
        <v>81</v>
      </c>
      <c r="G3635">
        <v>-168.41489999999999</v>
      </c>
      <c r="H3635">
        <v>1.047399</v>
      </c>
      <c r="I3635">
        <v>194.35489999999999</v>
      </c>
      <c r="J3635">
        <v>-210.87110000000001</v>
      </c>
      <c r="K3635">
        <v>1.1071569999999999</v>
      </c>
      <c r="L3635">
        <v>213.74680000000001</v>
      </c>
      <c r="M3635">
        <v>0.99728269999999997</v>
      </c>
      <c r="N3635">
        <v>0</v>
      </c>
      <c r="O3635">
        <v>-7.2319830000000002E-2</v>
      </c>
      <c r="P3635">
        <v>0.96379060000000005</v>
      </c>
      <c r="Q3635">
        <v>-3.46208E-2</v>
      </c>
      <c r="R3635">
        <v>-0.26440350000000001</v>
      </c>
      <c r="S3635">
        <v>2.7696230000000002</v>
      </c>
      <c r="T3635">
        <v>-3.8769249999999998E-3</v>
      </c>
      <c r="U3635">
        <v>-1.2588349999999999</v>
      </c>
      <c r="V3635">
        <v>0.19384689999999999</v>
      </c>
      <c r="W3635">
        <v>-2.226071E-2</v>
      </c>
      <c r="X3635">
        <v>0.98077919999999996</v>
      </c>
      <c r="Y3635">
        <v>0.34685129999999997</v>
      </c>
      <c r="Z3635">
        <v>-1.3531719999999999E-4</v>
      </c>
      <c r="AA3635">
        <v>0.93792019999999998</v>
      </c>
      <c r="AB3635">
        <v>26</v>
      </c>
      <c r="AC3635">
        <v>42.456200000000003</v>
      </c>
      <c r="AD3635">
        <v>-5.9757999999999901E-2</v>
      </c>
      <c r="AE3635">
        <v>-19.3919</v>
      </c>
      <c r="AF3635">
        <v>16.270357741577801</v>
      </c>
      <c r="AG3635">
        <v>-5.9757999999999901E-2</v>
      </c>
      <c r="AH3635">
        <v>43.747491596564799</v>
      </c>
      <c r="AI3635">
        <v>90.073355542391695</v>
      </c>
      <c r="AJ3635">
        <v>69.599066375641002</v>
      </c>
      <c r="AK3635">
        <v>46.675166127706397</v>
      </c>
      <c r="AL3635">
        <v>91.2755500949104</v>
      </c>
      <c r="AM3635">
        <v>78.8198232762998</v>
      </c>
      <c r="AN3635">
        <v>0.99999999950097695</v>
      </c>
    </row>
    <row r="3636" spans="1:40" x14ac:dyDescent="0.25">
      <c r="A3636" t="str">
        <f>"20190312161344307"</f>
        <v>20190312161344307</v>
      </c>
      <c r="B3636" t="str">
        <f>"1552378424299597"</f>
        <v>1552378424299597</v>
      </c>
      <c r="C3636" t="s">
        <v>40</v>
      </c>
      <c r="D3636">
        <v>5.0362669999999996</v>
      </c>
      <c r="E3636">
        <v>0.56239459999999997</v>
      </c>
      <c r="F3636" t="s">
        <v>81</v>
      </c>
      <c r="G3636">
        <v>-168.41489999999999</v>
      </c>
      <c r="H3636">
        <v>1.0741560000000001</v>
      </c>
      <c r="I3636">
        <v>194.13210000000001</v>
      </c>
      <c r="J3636">
        <v>-210.60919999999999</v>
      </c>
      <c r="K3636">
        <v>1.1070869999999999</v>
      </c>
      <c r="L3636">
        <v>213.72280000000001</v>
      </c>
      <c r="M3636">
        <v>0.99694870000000002</v>
      </c>
      <c r="N3636">
        <v>0</v>
      </c>
      <c r="O3636">
        <v>-7.6786199999999999E-2</v>
      </c>
      <c r="P3636">
        <v>0.96242589999999995</v>
      </c>
      <c r="Q3636">
        <v>-3.5083120000000002E-2</v>
      </c>
      <c r="R3636">
        <v>-0.26926860000000002</v>
      </c>
      <c r="S3636">
        <v>2.7625120000000001</v>
      </c>
      <c r="T3636">
        <v>-2.145171E-3</v>
      </c>
      <c r="U3636">
        <v>-1.276276</v>
      </c>
      <c r="V3636">
        <v>0.19440209999999999</v>
      </c>
      <c r="W3636">
        <v>-2.2755790000000001E-2</v>
      </c>
      <c r="X3636">
        <v>0.98065789999999997</v>
      </c>
      <c r="Y3636">
        <v>0.34845019999999999</v>
      </c>
      <c r="Z3636" s="1">
        <v>-7.2281340000000005E-5</v>
      </c>
      <c r="AA3636">
        <v>0.93732729999999997</v>
      </c>
      <c r="AB3636">
        <v>25</v>
      </c>
      <c r="AC3636">
        <v>42.194299999999998</v>
      </c>
      <c r="AD3636">
        <v>-3.2931000000000203E-2</v>
      </c>
      <c r="AE3636">
        <v>-19.590699999999998</v>
      </c>
      <c r="AF3636">
        <v>16.292581050684401</v>
      </c>
      <c r="AG3636">
        <v>-3.2931000000000203E-2</v>
      </c>
      <c r="AH3636">
        <v>43.574122054115797</v>
      </c>
      <c r="AI3636">
        <v>90.040558657143904</v>
      </c>
      <c r="AJ3636">
        <v>69.498979738564202</v>
      </c>
      <c r="AK3636">
        <v>46.5204621057322</v>
      </c>
      <c r="AL3636">
        <v>91.303923329851003</v>
      </c>
      <c r="AM3636">
        <v>78.787260351164505</v>
      </c>
      <c r="AN3636">
        <v>0.99999995964767097</v>
      </c>
    </row>
    <row r="3637" spans="1:40" x14ac:dyDescent="0.25">
      <c r="A3637" t="str">
        <f>"20190312161344328"</f>
        <v>20190312161344328</v>
      </c>
      <c r="B3637" t="str">
        <f>"1552378424319118"</f>
        <v>1552378424319118</v>
      </c>
      <c r="C3637" t="s">
        <v>40</v>
      </c>
      <c r="D3637">
        <v>5.0243739999999999</v>
      </c>
      <c r="E3637">
        <v>0.56223500000000004</v>
      </c>
      <c r="F3637" t="s">
        <v>81</v>
      </c>
      <c r="G3637">
        <v>-168.41499999999999</v>
      </c>
      <c r="H3637">
        <v>1.0230109999999999</v>
      </c>
      <c r="I3637">
        <v>193.87870000000001</v>
      </c>
      <c r="J3637">
        <v>-210.3663</v>
      </c>
      <c r="K3637">
        <v>1.1070169999999999</v>
      </c>
      <c r="L3637">
        <v>213.6994</v>
      </c>
      <c r="M3637">
        <v>0.99661370000000005</v>
      </c>
      <c r="N3637">
        <v>0</v>
      </c>
      <c r="O3637">
        <v>-8.1019770000000005E-2</v>
      </c>
      <c r="P3637">
        <v>0.96117839999999999</v>
      </c>
      <c r="Q3637">
        <v>-3.5703110000000003E-2</v>
      </c>
      <c r="R3637">
        <v>-0.27360959999999901</v>
      </c>
      <c r="S3637">
        <v>2.7544710000000001</v>
      </c>
      <c r="T3637">
        <v>-5.4863689999999996E-3</v>
      </c>
      <c r="U3637">
        <v>-1.2954410000000001</v>
      </c>
      <c r="V3637">
        <v>0.194657</v>
      </c>
      <c r="W3637">
        <v>-2.340192E-2</v>
      </c>
      <c r="X3637">
        <v>0.98059220000000002</v>
      </c>
      <c r="Y3637">
        <v>0.3508638</v>
      </c>
      <c r="Z3637">
        <v>-1.794628E-4</v>
      </c>
      <c r="AA3637">
        <v>0.93642650000000005</v>
      </c>
      <c r="AB3637">
        <v>25</v>
      </c>
      <c r="AC3637">
        <v>41.951300000000003</v>
      </c>
      <c r="AD3637">
        <v>-8.4005999999999803E-2</v>
      </c>
      <c r="AE3637">
        <v>-19.820699999999899</v>
      </c>
      <c r="AF3637">
        <v>16.356253470679398</v>
      </c>
      <c r="AG3637">
        <v>-8.4005999999999803E-2</v>
      </c>
      <c r="AH3637">
        <v>43.4192420320324</v>
      </c>
      <c r="AI3637">
        <v>90.103737289813097</v>
      </c>
      <c r="AJ3637">
        <v>69.358348277852699</v>
      </c>
      <c r="AK3637">
        <v>46.397895030285198</v>
      </c>
      <c r="AL3637">
        <v>91.340953622637699</v>
      </c>
      <c r="AM3637">
        <v>78.772198323794996</v>
      </c>
      <c r="AN3637">
        <v>1.00000003010476</v>
      </c>
    </row>
    <row r="3638" spans="1:40" x14ac:dyDescent="0.25">
      <c r="A3638" t="str">
        <f>"20190312161344350"</f>
        <v>20190312161344350</v>
      </c>
      <c r="B3638" t="str">
        <f>"1552378424339613"</f>
        <v>1552378424339613</v>
      </c>
      <c r="C3638" t="s">
        <v>40</v>
      </c>
      <c r="D3638">
        <v>5.0468129999999896</v>
      </c>
      <c r="E3638">
        <v>0.56250800000000001</v>
      </c>
      <c r="F3638" t="s">
        <v>81</v>
      </c>
      <c r="G3638">
        <v>-168.41499999999999</v>
      </c>
      <c r="H3638">
        <v>0.99060820000000005</v>
      </c>
      <c r="I3638">
        <v>193.75880000000001</v>
      </c>
      <c r="J3638">
        <v>-210.11840000000001</v>
      </c>
      <c r="K3638">
        <v>1.1069659999999999</v>
      </c>
      <c r="L3638">
        <v>213.67420000000001</v>
      </c>
      <c r="M3638">
        <v>0.99624500000000005</v>
      </c>
      <c r="N3638">
        <v>0</v>
      </c>
      <c r="O3638">
        <v>-8.543133E-2</v>
      </c>
      <c r="P3638">
        <v>0.9600149</v>
      </c>
      <c r="Q3638">
        <v>-3.5580769999999998E-2</v>
      </c>
      <c r="R3638">
        <v>-0.27767839999999999</v>
      </c>
      <c r="S3638">
        <v>2.7489319999999999</v>
      </c>
      <c r="T3638">
        <v>-7.6256989999999997E-3</v>
      </c>
      <c r="U3638">
        <v>-1.3066409999999999</v>
      </c>
      <c r="V3638">
        <v>0.1944669</v>
      </c>
      <c r="W3638">
        <v>-2.329869E-2</v>
      </c>
      <c r="X3638">
        <v>0.98063239999999996</v>
      </c>
      <c r="Y3638">
        <v>0.35056079999999901</v>
      </c>
      <c r="Z3638">
        <v>-2.3782140000000001E-4</v>
      </c>
      <c r="AA3638">
        <v>0.93653989999999998</v>
      </c>
      <c r="AB3638">
        <v>25</v>
      </c>
      <c r="AC3638">
        <v>41.703400000000002</v>
      </c>
      <c r="AD3638">
        <v>-0.116357799999999</v>
      </c>
      <c r="AE3638">
        <v>-19.915400000000002</v>
      </c>
      <c r="AF3638">
        <v>16.279344309955398</v>
      </c>
      <c r="AG3638">
        <v>-0.116357799999999</v>
      </c>
      <c r="AH3638">
        <v>43.252197626711997</v>
      </c>
      <c r="AI3638">
        <v>90.144258034483101</v>
      </c>
      <c r="AJ3638">
        <v>69.374570865847602</v>
      </c>
      <c r="AK3638">
        <v>46.214534400336198</v>
      </c>
      <c r="AL3638">
        <v>91.335037334433096</v>
      </c>
      <c r="AM3638">
        <v>78.783333285066206</v>
      </c>
      <c r="AN3638">
        <v>1.00000005404054</v>
      </c>
    </row>
    <row r="3639" spans="1:40" x14ac:dyDescent="0.25">
      <c r="A3639" t="str">
        <f>"20190312161344372"</f>
        <v>20190312161344372</v>
      </c>
      <c r="B3639" t="str">
        <f>"1552378424369870"</f>
        <v>1552378424369870</v>
      </c>
      <c r="C3639" t="s">
        <v>40</v>
      </c>
      <c r="D3639">
        <v>4.9318229999999996</v>
      </c>
      <c r="E3639">
        <v>0.56292659999999906</v>
      </c>
      <c r="F3639" t="s">
        <v>81</v>
      </c>
      <c r="G3639">
        <v>-168.4151</v>
      </c>
      <c r="H3639">
        <v>0.96104809999999996</v>
      </c>
      <c r="I3639">
        <v>193.59739999999999</v>
      </c>
      <c r="J3639">
        <v>-209.86150000000001</v>
      </c>
      <c r="K3639">
        <v>1.106919</v>
      </c>
      <c r="L3639">
        <v>213.64680000000001</v>
      </c>
      <c r="M3639">
        <v>0.99583549999999998</v>
      </c>
      <c r="N3639">
        <v>0</v>
      </c>
      <c r="O3639">
        <v>-9.0078549999999993E-2</v>
      </c>
      <c r="P3639">
        <v>0.9589915</v>
      </c>
      <c r="Q3639">
        <v>-3.4780079999999998E-2</v>
      </c>
      <c r="R3639">
        <v>-0.28129300000000002</v>
      </c>
      <c r="S3639">
        <v>2.7426759999999999</v>
      </c>
      <c r="T3639">
        <v>-9.5943209999999994E-3</v>
      </c>
      <c r="U3639">
        <v>-1.3203739999999999</v>
      </c>
      <c r="V3639">
        <v>0.19358719999999999</v>
      </c>
      <c r="W3639">
        <v>-2.2505109999999998E-2</v>
      </c>
      <c r="X3639">
        <v>0.9808249</v>
      </c>
      <c r="Y3639">
        <v>0.35083309999999901</v>
      </c>
      <c r="Z3639">
        <v>-2.8477709999999998E-4</v>
      </c>
      <c r="AA3639">
        <v>0.93643799999999999</v>
      </c>
      <c r="AB3639">
        <v>25</v>
      </c>
      <c r="AC3639">
        <v>41.446399999999997</v>
      </c>
      <c r="AD3639">
        <v>-0.1458709</v>
      </c>
      <c r="AE3639">
        <v>-20.049399999999999</v>
      </c>
      <c r="AF3639">
        <v>16.2339129931066</v>
      </c>
      <c r="AG3639">
        <v>-0.1458709</v>
      </c>
      <c r="AH3639">
        <v>43.083639890961798</v>
      </c>
      <c r="AI3639">
        <v>90.181530058888399</v>
      </c>
      <c r="AJ3639">
        <v>69.353593813767304</v>
      </c>
      <c r="AK3639">
        <v>46.040864844627897</v>
      </c>
      <c r="AL3639">
        <v>91.289556712229199</v>
      </c>
      <c r="AM3639">
        <v>78.834932132378995</v>
      </c>
      <c r="AN3639">
        <v>0.99999998421998004</v>
      </c>
    </row>
    <row r="3640" spans="1:40" x14ac:dyDescent="0.25">
      <c r="A3640" t="str">
        <f>"20190312161344395"</f>
        <v>20190312161344395</v>
      </c>
      <c r="B3640" t="str">
        <f>"1552378424389390"</f>
        <v>1552378424389390</v>
      </c>
      <c r="C3640" t="s">
        <v>40</v>
      </c>
      <c r="D3640">
        <v>5.0025110000000002</v>
      </c>
      <c r="E3640">
        <v>0.56299690000000002</v>
      </c>
      <c r="F3640" t="s">
        <v>81</v>
      </c>
      <c r="G3640">
        <v>-168.4151</v>
      </c>
      <c r="H3640">
        <v>0.96196559999999998</v>
      </c>
      <c r="I3640">
        <v>193.45249999999999</v>
      </c>
      <c r="J3640">
        <v>-209.6053</v>
      </c>
      <c r="K3640">
        <v>1.106887</v>
      </c>
      <c r="L3640">
        <v>213.6183</v>
      </c>
      <c r="M3640">
        <v>0.99539929999999999</v>
      </c>
      <c r="N3640">
        <v>0</v>
      </c>
      <c r="O3640">
        <v>-9.477737E-2</v>
      </c>
      <c r="P3640">
        <v>0.95778269999999999</v>
      </c>
      <c r="Q3640">
        <v>-3.5263799999999998E-2</v>
      </c>
      <c r="R3640">
        <v>-0.28532190000000002</v>
      </c>
      <c r="S3640">
        <v>2.7368009999999998</v>
      </c>
      <c r="T3640">
        <v>-9.5694070000000003E-3</v>
      </c>
      <c r="U3640">
        <v>-1.3334809999999999</v>
      </c>
      <c r="V3640">
        <v>0.19307759999999999</v>
      </c>
      <c r="W3640">
        <v>-2.2996800000000001E-2</v>
      </c>
      <c r="X3640">
        <v>0.98091390000000001</v>
      </c>
      <c r="Y3640">
        <v>0.35083029999999998</v>
      </c>
      <c r="Z3640">
        <v>-2.689732E-4</v>
      </c>
      <c r="AA3640">
        <v>0.93643900000000002</v>
      </c>
      <c r="AB3640">
        <v>25</v>
      </c>
      <c r="AC3640">
        <v>41.190199999999997</v>
      </c>
      <c r="AD3640">
        <v>-0.14492140000000001</v>
      </c>
      <c r="AE3640">
        <v>-20.165800000000001</v>
      </c>
      <c r="AF3640">
        <v>16.170559714390102</v>
      </c>
      <c r="AG3640">
        <v>-0.14492140000000001</v>
      </c>
      <c r="AH3640">
        <v>42.915767037396897</v>
      </c>
      <c r="AI3640">
        <v>90.181054053549502</v>
      </c>
      <c r="AJ3640">
        <v>69.353709316793697</v>
      </c>
      <c r="AK3640">
        <v>45.861433297455498</v>
      </c>
      <c r="AL3640">
        <v>91.3177358191613</v>
      </c>
      <c r="AM3640">
        <v>78.864572699656307</v>
      </c>
      <c r="AN3640">
        <v>0.99999994582260299</v>
      </c>
    </row>
    <row r="3641" spans="1:40" x14ac:dyDescent="0.25">
      <c r="A3641" t="str">
        <f>"20190312161344417"</f>
        <v>20190312161344417</v>
      </c>
      <c r="B3641" t="str">
        <f>"1552378424409886"</f>
        <v>1552378424409886</v>
      </c>
      <c r="C3641" t="s">
        <v>40</v>
      </c>
      <c r="D3641">
        <v>5.0048519999999996</v>
      </c>
      <c r="E3641">
        <v>0.56342630000000005</v>
      </c>
      <c r="F3641" t="s">
        <v>81</v>
      </c>
      <c r="G3641">
        <v>-168.4152</v>
      </c>
      <c r="H3641">
        <v>0.93981650000000005</v>
      </c>
      <c r="I3641">
        <v>193.32310000000001</v>
      </c>
      <c r="J3641">
        <v>-209.3536</v>
      </c>
      <c r="K3641">
        <v>1.1068499999999999</v>
      </c>
      <c r="L3641">
        <v>213.589</v>
      </c>
      <c r="M3641">
        <v>0.99494269999999996</v>
      </c>
      <c r="N3641">
        <v>0</v>
      </c>
      <c r="O3641">
        <v>-9.9455189999999999E-2</v>
      </c>
      <c r="P3641">
        <v>0.95640840000000005</v>
      </c>
      <c r="Q3641">
        <v>-3.6199700000000001E-2</v>
      </c>
      <c r="R3641">
        <v>-0.28978009999999998</v>
      </c>
      <c r="S3641">
        <v>2.730988</v>
      </c>
      <c r="T3641">
        <v>-1.10749E-2</v>
      </c>
      <c r="U3641">
        <v>-1.345612</v>
      </c>
      <c r="V3641">
        <v>0.19303029999999999</v>
      </c>
      <c r="W3641">
        <v>-2.3943820000000001E-2</v>
      </c>
      <c r="X3641">
        <v>0.98090060000000001</v>
      </c>
      <c r="Y3641">
        <v>0.35056559999999998</v>
      </c>
      <c r="Z3641">
        <v>-2.934298E-4</v>
      </c>
      <c r="AA3641">
        <v>0.93653810000000004</v>
      </c>
      <c r="AB3641">
        <v>25</v>
      </c>
      <c r="AC3641">
        <v>40.938400000000001</v>
      </c>
      <c r="AD3641">
        <v>-0.167033499999999</v>
      </c>
      <c r="AE3641">
        <v>-20.265899999999998</v>
      </c>
      <c r="AF3641">
        <v>16.093248563093798</v>
      </c>
      <c r="AG3641">
        <v>-0.167033499999999</v>
      </c>
      <c r="AH3641">
        <v>42.750565479246603</v>
      </c>
      <c r="AI3641">
        <v>90.209509785664295</v>
      </c>
      <c r="AJ3641">
        <v>69.371390149054605</v>
      </c>
      <c r="AK3641">
        <v>45.679660663133099</v>
      </c>
      <c r="AL3641">
        <v>91.372010956503999</v>
      </c>
      <c r="AM3641">
        <v>78.867085318103804</v>
      </c>
      <c r="AN3641">
        <v>0.99999999515732096</v>
      </c>
    </row>
    <row r="3642" spans="1:40" x14ac:dyDescent="0.25">
      <c r="A3642" t="str">
        <f>"20190312161344440"</f>
        <v>20190312161344440</v>
      </c>
      <c r="B3642" t="str">
        <f>"1552378424429405"</f>
        <v>1552378424429405</v>
      </c>
      <c r="C3642" t="s">
        <v>40</v>
      </c>
      <c r="D3642">
        <v>5.1164709999999998</v>
      </c>
      <c r="E3642">
        <v>0.56370220000000004</v>
      </c>
      <c r="F3642" t="s">
        <v>81</v>
      </c>
      <c r="G3642">
        <v>-168.4152</v>
      </c>
      <c r="H3642">
        <v>0.85004619999999997</v>
      </c>
      <c r="I3642">
        <v>193.12430000000001</v>
      </c>
      <c r="J3642">
        <v>-209.1063</v>
      </c>
      <c r="K3642">
        <v>1.1068199999999999</v>
      </c>
      <c r="L3642">
        <v>213.559</v>
      </c>
      <c r="M3642">
        <v>0.99446699999999999</v>
      </c>
      <c r="N3642">
        <v>0</v>
      </c>
      <c r="O3642">
        <v>-0.1041057</v>
      </c>
      <c r="P3642">
        <v>0.95485039999999999</v>
      </c>
      <c r="Q3642">
        <v>-3.7501439999999997E-2</v>
      </c>
      <c r="R3642">
        <v>-0.29471120000000001</v>
      </c>
      <c r="S3642">
        <v>2.7235870000000002</v>
      </c>
      <c r="T3642">
        <v>-1.7082690000000001E-2</v>
      </c>
      <c r="U3642">
        <v>-1.36149599999999</v>
      </c>
      <c r="V3642">
        <v>0.19349849999999999</v>
      </c>
      <c r="W3642">
        <v>-2.526165E-2</v>
      </c>
      <c r="X3642">
        <v>0.98077530000000002</v>
      </c>
      <c r="Y3642">
        <v>0.35157329999999998</v>
      </c>
      <c r="Z3642">
        <v>-4.2906530000000001E-4</v>
      </c>
      <c r="AA3642">
        <v>0.93616029999999995</v>
      </c>
      <c r="AB3642">
        <v>25</v>
      </c>
      <c r="AC3642">
        <v>40.691099999999999</v>
      </c>
      <c r="AD3642">
        <v>-0.2567738</v>
      </c>
      <c r="AE3642">
        <v>-20.434699999999999</v>
      </c>
      <c r="AF3642">
        <v>16.086535582539501</v>
      </c>
      <c r="AG3642">
        <v>-0.2567738</v>
      </c>
      <c r="AH3642">
        <v>42.596174675347598</v>
      </c>
      <c r="AI3642">
        <v>90.323107481078097</v>
      </c>
      <c r="AJ3642">
        <v>69.310850111282306</v>
      </c>
      <c r="AK3642">
        <v>45.533247817450899</v>
      </c>
      <c r="AL3642">
        <v>91.447539907631693</v>
      </c>
      <c r="AM3642">
        <v>78.8393692072476</v>
      </c>
      <c r="AN3642">
        <v>1.0000000047765301</v>
      </c>
    </row>
    <row r="3643" spans="1:40" x14ac:dyDescent="0.25">
      <c r="A3643" t="str">
        <f>"20190312161344475"</f>
        <v>20190312161344475</v>
      </c>
      <c r="B3643" t="str">
        <f>"1552378424469421"</f>
        <v>1552378424469421</v>
      </c>
      <c r="C3643" t="s">
        <v>40</v>
      </c>
      <c r="D3643">
        <v>5.8408850000000001</v>
      </c>
      <c r="E3643">
        <v>0.56450459999999902</v>
      </c>
      <c r="F3643" t="s">
        <v>81</v>
      </c>
      <c r="G3643">
        <v>-168.4152</v>
      </c>
      <c r="H3643">
        <v>0.77128599999999903</v>
      </c>
      <c r="I3643">
        <v>192.91800000000001</v>
      </c>
      <c r="J3643">
        <v>-208.71850000000001</v>
      </c>
      <c r="K3643">
        <v>1.1067819999999999</v>
      </c>
      <c r="L3643">
        <v>213.5095</v>
      </c>
      <c r="M3643">
        <v>0.99366650000000001</v>
      </c>
      <c r="N3643">
        <v>0</v>
      </c>
      <c r="O3643">
        <v>-0.1114874</v>
      </c>
      <c r="P3643">
        <v>0.9521503</v>
      </c>
      <c r="Q3643">
        <v>-3.7400910000000002E-2</v>
      </c>
      <c r="R3643">
        <v>-0.30333399999999999</v>
      </c>
      <c r="S3643">
        <v>2.7157749999999998</v>
      </c>
      <c r="T3643">
        <v>-2.2391680000000001E-2</v>
      </c>
      <c r="U3643">
        <v>-1.3776090000000001</v>
      </c>
      <c r="V3643">
        <v>0.19508210000000001</v>
      </c>
      <c r="W3643">
        <v>-2.5193030000000002E-2</v>
      </c>
      <c r="X3643">
        <v>0.98046330000000004</v>
      </c>
      <c r="Y3643">
        <v>0.35012330000000003</v>
      </c>
      <c r="Z3643">
        <v>-5.0116270000000001E-4</v>
      </c>
      <c r="AA3643">
        <v>0.93670350000000002</v>
      </c>
      <c r="AB3643">
        <v>25</v>
      </c>
      <c r="AC3643">
        <v>40.3033</v>
      </c>
      <c r="AD3643">
        <v>-0.33549600000000002</v>
      </c>
      <c r="AE3643">
        <v>-20.5915</v>
      </c>
      <c r="AF3643">
        <v>15.9684727631654</v>
      </c>
      <c r="AG3643">
        <v>-0.33549600000000002</v>
      </c>
      <c r="AH3643">
        <v>42.345585887713703</v>
      </c>
      <c r="AI3643">
        <v>90.424738982709599</v>
      </c>
      <c r="AJ3643">
        <v>69.338597130102301</v>
      </c>
      <c r="AK3643">
        <v>45.257632772027698</v>
      </c>
      <c r="AL3643">
        <v>91.443607028534601</v>
      </c>
      <c r="AM3643">
        <v>78.746861989709501</v>
      </c>
      <c r="AN3643">
        <v>0.99999999857393995</v>
      </c>
    </row>
    <row r="3644" spans="1:40" x14ac:dyDescent="0.25">
      <c r="A3644" t="str">
        <f>"20190312161344495"</f>
        <v>20190312161344495</v>
      </c>
      <c r="B3644" t="str">
        <f>"1552378424489921"</f>
        <v>1552378424489921</v>
      </c>
      <c r="C3644" t="s">
        <v>40</v>
      </c>
      <c r="D3644">
        <v>5.0220370000000001</v>
      </c>
      <c r="E3644">
        <v>0.56476789999999999</v>
      </c>
      <c r="F3644" t="s">
        <v>81</v>
      </c>
      <c r="G3644">
        <v>-168.41540000000001</v>
      </c>
      <c r="H3644">
        <v>0.72546199999999905</v>
      </c>
      <c r="I3644">
        <v>192.50559999999999</v>
      </c>
      <c r="J3644">
        <v>-208.4778</v>
      </c>
      <c r="K3644">
        <v>1.1067739999999999</v>
      </c>
      <c r="L3644">
        <v>213.47720000000001</v>
      </c>
      <c r="M3644">
        <v>0.99313689999999999</v>
      </c>
      <c r="N3644">
        <v>0</v>
      </c>
      <c r="O3644">
        <v>-0.1161104</v>
      </c>
      <c r="P3644">
        <v>0.95047999999999999</v>
      </c>
      <c r="Q3644">
        <v>-3.6833079999999997E-2</v>
      </c>
      <c r="R3644">
        <v>-0.30859589999999998</v>
      </c>
      <c r="S3644">
        <v>2.7012939999999999</v>
      </c>
      <c r="T3644">
        <v>-2.555549E-2</v>
      </c>
      <c r="U3644">
        <v>-1.4077759999999999</v>
      </c>
      <c r="V3644">
        <v>0.1959429</v>
      </c>
      <c r="W3644">
        <v>-2.4640660000000002E-2</v>
      </c>
      <c r="X3644">
        <v>0.98030569999999895</v>
      </c>
      <c r="Y3644">
        <v>0.35604279999999999</v>
      </c>
      <c r="Z3644">
        <v>-5.5944589999999998E-4</v>
      </c>
      <c r="AA3644">
        <v>0.93446949999999995</v>
      </c>
      <c r="AB3644">
        <v>25</v>
      </c>
      <c r="AC3644">
        <v>40.062399999999997</v>
      </c>
      <c r="AD3644">
        <v>-0.38131199999999998</v>
      </c>
      <c r="AE3644">
        <v>-20.971599999999999</v>
      </c>
      <c r="AF3644">
        <v>16.1764556699937</v>
      </c>
      <c r="AG3644">
        <v>-0.38131199999999998</v>
      </c>
      <c r="AH3644">
        <v>42.223635745959903</v>
      </c>
      <c r="AI3644">
        <v>90.483167660229</v>
      </c>
      <c r="AJ3644">
        <v>69.037476416713901</v>
      </c>
      <c r="AK3644">
        <v>45.217900575901602</v>
      </c>
      <c r="AL3644">
        <v>91.4119486936643</v>
      </c>
      <c r="AM3644">
        <v>78.696712637259097</v>
      </c>
      <c r="AN3644">
        <v>1.0000000238190601</v>
      </c>
    </row>
    <row r="3645" spans="1:40" x14ac:dyDescent="0.25">
      <c r="A3645" t="str">
        <f>"20190312161344518"</f>
        <v>20190312161344518</v>
      </c>
      <c r="B3645" t="str">
        <f>"1552378424509437"</f>
        <v>1552378424509437</v>
      </c>
      <c r="C3645" t="s">
        <v>40</v>
      </c>
      <c r="D3645">
        <v>4.999517</v>
      </c>
      <c r="E3645">
        <v>0.56501749999999995</v>
      </c>
      <c r="F3645" t="s">
        <v>81</v>
      </c>
      <c r="G3645">
        <v>-168.41540000000001</v>
      </c>
      <c r="H3645">
        <v>0.73852489999999904</v>
      </c>
      <c r="I3645">
        <v>192.28190000000001</v>
      </c>
      <c r="J3645">
        <v>-208.2269</v>
      </c>
      <c r="K3645">
        <v>1.106773</v>
      </c>
      <c r="L3645">
        <v>213.44229999999999</v>
      </c>
      <c r="M3645">
        <v>0.99255839999999995</v>
      </c>
      <c r="N3645">
        <v>0</v>
      </c>
      <c r="O3645">
        <v>-0.1209551</v>
      </c>
      <c r="P3645">
        <v>0.94876070000000001</v>
      </c>
      <c r="Q3645">
        <v>-3.6796089999999997E-2</v>
      </c>
      <c r="R3645">
        <v>-0.31384600000000001</v>
      </c>
      <c r="S3645">
        <v>2.6928100000000001</v>
      </c>
      <c r="T3645">
        <v>-2.4749759999999999E-2</v>
      </c>
      <c r="U3645">
        <v>-1.424652</v>
      </c>
      <c r="V3645">
        <v>0.1965787</v>
      </c>
      <c r="W3645">
        <v>-2.4613489999999998E-2</v>
      </c>
      <c r="X3645">
        <v>0.98017909999999997</v>
      </c>
      <c r="Y3645">
        <v>0.357276599999999</v>
      </c>
      <c r="Z3645">
        <v>-5.0702760000000005E-4</v>
      </c>
      <c r="AA3645">
        <v>0.93399849999999995</v>
      </c>
      <c r="AB3645">
        <v>25</v>
      </c>
      <c r="AC3645">
        <v>39.811500000000002</v>
      </c>
      <c r="AD3645">
        <v>-0.36824810000000002</v>
      </c>
      <c r="AE3645">
        <v>-21.1603999999999</v>
      </c>
      <c r="AF3645">
        <v>16.188049130966899</v>
      </c>
      <c r="AG3645">
        <v>-0.36824810000000002</v>
      </c>
      <c r="AH3645">
        <v>42.076049476566197</v>
      </c>
      <c r="AI3645">
        <v>90.467997881739805</v>
      </c>
      <c r="AJ3645">
        <v>68.956613546785405</v>
      </c>
      <c r="AK3645">
        <v>45.084171067950201</v>
      </c>
      <c r="AL3645">
        <v>91.410391474191698</v>
      </c>
      <c r="AM3645">
        <v>78.659557582602204</v>
      </c>
      <c r="AN3645">
        <v>1.0000000386302299</v>
      </c>
    </row>
    <row r="3646" spans="1:40" x14ac:dyDescent="0.25">
      <c r="A3646" t="str">
        <f>"20190312161344540"</f>
        <v>20190312161344540</v>
      </c>
      <c r="B3646" t="str">
        <f>"1552378424529934"</f>
        <v>1552378424529934</v>
      </c>
      <c r="C3646" t="s">
        <v>40</v>
      </c>
      <c r="D3646">
        <v>4.9566290000000004</v>
      </c>
      <c r="E3646">
        <v>0.56533630000000001</v>
      </c>
      <c r="F3646" t="s">
        <v>81</v>
      </c>
      <c r="G3646">
        <v>-168.41550000000001</v>
      </c>
      <c r="H3646">
        <v>0.72016289999999905</v>
      </c>
      <c r="I3646">
        <v>192.06469999999999</v>
      </c>
      <c r="J3646">
        <v>-207.97989999999999</v>
      </c>
      <c r="K3646">
        <v>1.1067739999999999</v>
      </c>
      <c r="L3646">
        <v>213.4067</v>
      </c>
      <c r="M3646">
        <v>0.99196399999999996</v>
      </c>
      <c r="N3646">
        <v>0</v>
      </c>
      <c r="O3646">
        <v>-0.12573670000000001</v>
      </c>
      <c r="P3646">
        <v>0.94720649999999995</v>
      </c>
      <c r="Q3646">
        <v>-3.7720070000000001E-2</v>
      </c>
      <c r="R3646">
        <v>-0.31839849999999997</v>
      </c>
      <c r="S3646">
        <v>2.6842039999999998</v>
      </c>
      <c r="T3646">
        <v>-2.6064159999999999E-2</v>
      </c>
      <c r="U3646">
        <v>-1.4413450000000001</v>
      </c>
      <c r="V3646">
        <v>0.19655929999999999</v>
      </c>
      <c r="W3646">
        <v>-2.553689E-2</v>
      </c>
      <c r="X3646">
        <v>0.98015929999999996</v>
      </c>
      <c r="Y3646">
        <v>0.35853190000000001</v>
      </c>
      <c r="Z3646">
        <v>-4.9795999999999998E-4</v>
      </c>
      <c r="AA3646">
        <v>0.93351729999999999</v>
      </c>
      <c r="AB3646">
        <v>25</v>
      </c>
      <c r="AC3646">
        <v>39.5643999999999</v>
      </c>
      <c r="AD3646">
        <v>-0.38661109999999999</v>
      </c>
      <c r="AE3646">
        <v>-21.341999999999999</v>
      </c>
      <c r="AF3646">
        <v>16.196201890977999</v>
      </c>
      <c r="AG3646">
        <v>-0.38661109999999999</v>
      </c>
      <c r="AH3646">
        <v>41.9309772428917</v>
      </c>
      <c r="AI3646">
        <v>90.492781342753304</v>
      </c>
      <c r="AJ3646">
        <v>68.880515922227303</v>
      </c>
      <c r="AK3646">
        <v>44.951899585889201</v>
      </c>
      <c r="AL3646">
        <v>91.463315134820107</v>
      </c>
      <c r="AM3646">
        <v>78.660424624409004</v>
      </c>
      <c r="AN3646">
        <v>0.99999997227192505</v>
      </c>
    </row>
    <row r="3647" spans="1:40" x14ac:dyDescent="0.25">
      <c r="A3647" t="str">
        <f>"20190312161344562"</f>
        <v>20190312161344562</v>
      </c>
      <c r="B3647" t="str">
        <f>"1552378424559214"</f>
        <v>1552378424559214</v>
      </c>
      <c r="C3647" t="s">
        <v>40</v>
      </c>
      <c r="D3647">
        <v>5.0456960000000004</v>
      </c>
      <c r="E3647">
        <v>0.56561319999999904</v>
      </c>
      <c r="F3647" t="s">
        <v>81</v>
      </c>
      <c r="G3647">
        <v>-168.41550000000001</v>
      </c>
      <c r="H3647">
        <v>0.66212609999999905</v>
      </c>
      <c r="I3647">
        <v>191.87440000000001</v>
      </c>
      <c r="J3647">
        <v>-207.7328</v>
      </c>
      <c r="K3647">
        <v>1.106779</v>
      </c>
      <c r="L3647">
        <v>213.3699</v>
      </c>
      <c r="M3647">
        <v>0.99134500000000003</v>
      </c>
      <c r="N3647">
        <v>0</v>
      </c>
      <c r="O3647">
        <v>-0.13052719999999901</v>
      </c>
      <c r="P3647">
        <v>0.94577120000000003</v>
      </c>
      <c r="Q3647">
        <v>-3.8337080000000003E-2</v>
      </c>
      <c r="R3647">
        <v>-0.32256319999999999</v>
      </c>
      <c r="S3647">
        <v>2.6763919999999999</v>
      </c>
      <c r="T3647">
        <v>-3.0076619999999998E-2</v>
      </c>
      <c r="U3647">
        <v>-1.4565889999999999</v>
      </c>
      <c r="V3647">
        <v>0.19613649999999999</v>
      </c>
      <c r="W3647">
        <v>-2.614619E-2</v>
      </c>
      <c r="X3647">
        <v>0.98022790000000004</v>
      </c>
      <c r="Y3647">
        <v>0.35926649999999999</v>
      </c>
      <c r="Z3647">
        <v>-5.3010600000000002E-4</v>
      </c>
      <c r="AA3647">
        <v>0.93323489999999998</v>
      </c>
      <c r="AB3647">
        <v>25</v>
      </c>
      <c r="AC3647">
        <v>39.317299999999904</v>
      </c>
      <c r="AD3647">
        <v>-0.44465290000000002</v>
      </c>
      <c r="AE3647">
        <v>-21.4955</v>
      </c>
      <c r="AF3647">
        <v>16.177486101917602</v>
      </c>
      <c r="AG3647">
        <v>-0.44465290000000002</v>
      </c>
      <c r="AH3647">
        <v>41.782773591018099</v>
      </c>
      <c r="AI3647">
        <v>90.568591696695407</v>
      </c>
      <c r="AJ3647">
        <v>68.834555276479904</v>
      </c>
      <c r="AK3647">
        <v>44.807465245620598</v>
      </c>
      <c r="AL3647">
        <v>91.498237160925498</v>
      </c>
      <c r="AM3647">
        <v>78.684957608192803</v>
      </c>
      <c r="AN3647">
        <v>0.99999994291108596</v>
      </c>
    </row>
    <row r="3648" spans="1:40" x14ac:dyDescent="0.25">
      <c r="A3648" t="str">
        <f>"20190312161344585"</f>
        <v>20190312161344585</v>
      </c>
      <c r="B3648" t="str">
        <f>"1552378424579710"</f>
        <v>1552378424579710</v>
      </c>
      <c r="C3648" t="s">
        <v>40</v>
      </c>
      <c r="D3648">
        <v>5.0141289999999996</v>
      </c>
      <c r="E3648">
        <v>0.56577549999999999</v>
      </c>
      <c r="F3648" t="s">
        <v>81</v>
      </c>
      <c r="G3648">
        <v>-168.41560000000001</v>
      </c>
      <c r="H3648">
        <v>0.61650369999999999</v>
      </c>
      <c r="I3648">
        <v>191.7133</v>
      </c>
      <c r="J3648">
        <v>-207.47839999999999</v>
      </c>
      <c r="K3648">
        <v>1.106787</v>
      </c>
      <c r="L3648">
        <v>213.33070000000001</v>
      </c>
      <c r="M3648">
        <v>0.99068279999999997</v>
      </c>
      <c r="N3648">
        <v>0</v>
      </c>
      <c r="O3648">
        <v>-0.13546150000000001</v>
      </c>
      <c r="P3648">
        <v>0.94462930000000001</v>
      </c>
      <c r="Q3648">
        <v>-3.8840220000000002E-2</v>
      </c>
      <c r="R3648">
        <v>-0.32583260000000003</v>
      </c>
      <c r="S3648">
        <v>2.669235</v>
      </c>
      <c r="T3648">
        <v>-3.3282399999999997E-2</v>
      </c>
      <c r="U3648">
        <v>-1.470261</v>
      </c>
      <c r="V3648">
        <v>0.19464629999999999</v>
      </c>
      <c r="W3648">
        <v>-2.6628430000000002E-2</v>
      </c>
      <c r="X3648">
        <v>0.98051200000000005</v>
      </c>
      <c r="Y3648">
        <v>0.35934280000000002</v>
      </c>
      <c r="Z3648">
        <v>-5.3176760000000003E-4</v>
      </c>
      <c r="AA3648">
        <v>0.93320550000000002</v>
      </c>
      <c r="AB3648">
        <v>25</v>
      </c>
      <c r="AC3648">
        <v>39.062799999999903</v>
      </c>
      <c r="AD3648">
        <v>-0.49028329999999998</v>
      </c>
      <c r="AE3648">
        <v>-21.6174</v>
      </c>
      <c r="AF3648">
        <v>16.1241310605004</v>
      </c>
      <c r="AG3648">
        <v>-0.49028329999999998</v>
      </c>
      <c r="AH3648">
        <v>41.6262664151919</v>
      </c>
      <c r="AI3648">
        <v>90.629256402702694</v>
      </c>
      <c r="AJ3648">
        <v>68.825887725957898</v>
      </c>
      <c r="AK3648">
        <v>44.642737772665598</v>
      </c>
      <c r="AL3648">
        <v>91.525876988097593</v>
      </c>
      <c r="AM3648">
        <v>78.771904833422198</v>
      </c>
      <c r="AN3648">
        <v>1.0000000187659699</v>
      </c>
    </row>
    <row r="3649" spans="1:40" x14ac:dyDescent="0.25">
      <c r="A3649" t="str">
        <f>"20190312161344608"</f>
        <v>20190312161344608</v>
      </c>
      <c r="B3649" t="str">
        <f>"1552378424599230"</f>
        <v>1552378424599230</v>
      </c>
      <c r="C3649" t="s">
        <v>40</v>
      </c>
      <c r="D3649">
        <v>5.1153700000000004</v>
      </c>
      <c r="E3649">
        <v>0.56560540000000004</v>
      </c>
      <c r="F3649" t="s">
        <v>81</v>
      </c>
      <c r="G3649">
        <v>-168.41560000000001</v>
      </c>
      <c r="H3649">
        <v>0.57379340000000001</v>
      </c>
      <c r="I3649">
        <v>191.61680000000001</v>
      </c>
      <c r="J3649">
        <v>-207.23050000000001</v>
      </c>
      <c r="K3649">
        <v>1.1067959999999999</v>
      </c>
      <c r="L3649">
        <v>213.29130000000001</v>
      </c>
      <c r="M3649">
        <v>0.99001399999999995</v>
      </c>
      <c r="N3649">
        <v>0</v>
      </c>
      <c r="O3649">
        <v>-0.140266</v>
      </c>
      <c r="P3649">
        <v>0.94326140000000003</v>
      </c>
      <c r="Q3649">
        <v>-3.9560600000000001E-2</v>
      </c>
      <c r="R3649">
        <v>-0.32968589999999998</v>
      </c>
      <c r="S3649">
        <v>2.6636350000000002</v>
      </c>
      <c r="T3649">
        <v>-3.6341789999999999E-2</v>
      </c>
      <c r="U3649">
        <v>-1.480637</v>
      </c>
      <c r="V3649">
        <v>0.19389149999999999</v>
      </c>
      <c r="W3649">
        <v>-2.733623E-2</v>
      </c>
      <c r="X3649">
        <v>0.98064209999999996</v>
      </c>
      <c r="Y3649">
        <v>0.35842370000000001</v>
      </c>
      <c r="Z3649">
        <v>-5.1582829999999996E-4</v>
      </c>
      <c r="AA3649">
        <v>0.93355889999999997</v>
      </c>
      <c r="AB3649">
        <v>25</v>
      </c>
      <c r="AC3649">
        <v>38.814900000000002</v>
      </c>
      <c r="AD3649">
        <v>-0.53300259999999899</v>
      </c>
      <c r="AE3649">
        <v>-21.674499999999899</v>
      </c>
      <c r="AF3649">
        <v>16.012929342102101</v>
      </c>
      <c r="AG3649">
        <v>-0.53300259999999899</v>
      </c>
      <c r="AH3649">
        <v>41.465629683958298</v>
      </c>
      <c r="AI3649">
        <v>90.687002469650196</v>
      </c>
      <c r="AJ3649">
        <v>68.884758071844601</v>
      </c>
      <c r="AK3649">
        <v>44.453306322183998</v>
      </c>
      <c r="AL3649">
        <v>91.5664456535889</v>
      </c>
      <c r="AM3649">
        <v>78.815791780078897</v>
      </c>
      <c r="AN3649">
        <v>1.0000000557676301</v>
      </c>
    </row>
    <row r="3650" spans="1:40" x14ac:dyDescent="0.25">
      <c r="A3650" t="str">
        <f>"20190312161344629"</f>
        <v>20190312161344629</v>
      </c>
      <c r="B3650" t="str">
        <f>"1552378424619726"</f>
        <v>1552378424619726</v>
      </c>
      <c r="C3650" t="s">
        <v>40</v>
      </c>
      <c r="D3650">
        <v>5.1388680000000004</v>
      </c>
      <c r="E3650">
        <v>0.56555119999999903</v>
      </c>
      <c r="F3650" t="s">
        <v>81</v>
      </c>
      <c r="G3650">
        <v>-168.41560000000001</v>
      </c>
      <c r="H3650">
        <v>0.51803259999999995</v>
      </c>
      <c r="I3650">
        <v>191.52940000000001</v>
      </c>
      <c r="J3650">
        <v>-206.98699999999999</v>
      </c>
      <c r="K3650">
        <v>1.106797</v>
      </c>
      <c r="L3650">
        <v>213.25139999999999</v>
      </c>
      <c r="M3650">
        <v>0.98933479999999996</v>
      </c>
      <c r="N3650">
        <v>0</v>
      </c>
      <c r="O3650">
        <v>-0.14497939999999901</v>
      </c>
      <c r="P3650">
        <v>0.94188700000000003</v>
      </c>
      <c r="Q3650">
        <v>-4.0609279999999998E-2</v>
      </c>
      <c r="R3650">
        <v>-0.33346629999999999</v>
      </c>
      <c r="S3650">
        <v>2.6579130000000002</v>
      </c>
      <c r="T3650">
        <v>-4.0314320000000001E-2</v>
      </c>
      <c r="U3650">
        <v>-1.490189</v>
      </c>
      <c r="V3650">
        <v>0.1931532</v>
      </c>
      <c r="W3650">
        <v>-2.8373559999999999E-2</v>
      </c>
      <c r="X3650">
        <v>0.98075820000000002</v>
      </c>
      <c r="Y3650">
        <v>0.35738389999999998</v>
      </c>
      <c r="Z3650">
        <v>-5.007074E-4</v>
      </c>
      <c r="AA3650">
        <v>0.9339575</v>
      </c>
      <c r="AB3650">
        <v>25</v>
      </c>
      <c r="AC3650">
        <v>38.571399999999898</v>
      </c>
      <c r="AD3650">
        <v>-0.58876439999999997</v>
      </c>
      <c r="AE3650">
        <v>-21.721999999999898</v>
      </c>
      <c r="AF3650">
        <v>15.8970311853467</v>
      </c>
      <c r="AG3650">
        <v>-0.58876439999999997</v>
      </c>
      <c r="AH3650">
        <v>41.306046510529697</v>
      </c>
      <c r="AI3650">
        <v>90.762134924145698</v>
      </c>
      <c r="AJ3650">
        <v>68.950297420991305</v>
      </c>
      <c r="AK3650">
        <v>44.263435501061501</v>
      </c>
      <c r="AL3650">
        <v>91.625903555781704</v>
      </c>
      <c r="AM3650">
        <v>78.858597389095394</v>
      </c>
      <c r="AN3650">
        <v>0.99999993222227401</v>
      </c>
    </row>
    <row r="3651" spans="1:40" x14ac:dyDescent="0.25">
      <c r="A3651" t="str">
        <f>"20190312161344652"</f>
        <v>20190312161344652</v>
      </c>
      <c r="B3651" t="str">
        <f>"1552378424639246"</f>
        <v>1552378424639246</v>
      </c>
      <c r="C3651" t="s">
        <v>40</v>
      </c>
      <c r="D3651">
        <v>5.1361210000000002</v>
      </c>
      <c r="E3651">
        <v>0.56558999999999904</v>
      </c>
      <c r="F3651" t="s">
        <v>81</v>
      </c>
      <c r="G3651">
        <v>-168.41560000000001</v>
      </c>
      <c r="H3651">
        <v>0.50419519999999995</v>
      </c>
      <c r="I3651">
        <v>191.42869999999999</v>
      </c>
      <c r="J3651">
        <v>-206.73410000000001</v>
      </c>
      <c r="K3651">
        <v>1.10680499999999</v>
      </c>
      <c r="L3651">
        <v>213.20859999999999</v>
      </c>
      <c r="M3651">
        <v>0.98860490000000001</v>
      </c>
      <c r="N3651">
        <v>0</v>
      </c>
      <c r="O3651">
        <v>-0.14987690000000001</v>
      </c>
      <c r="P3651">
        <v>0.94034980000000001</v>
      </c>
      <c r="Q3651">
        <v>-4.1861349999999999E-2</v>
      </c>
      <c r="R3651">
        <v>-0.33762449999999999</v>
      </c>
      <c r="S3651">
        <v>2.6520999999999999</v>
      </c>
      <c r="T3651">
        <v>-4.1431549999999998E-2</v>
      </c>
      <c r="U3651">
        <v>-1.5004879999999901</v>
      </c>
      <c r="V3651">
        <v>0.19262870000000001</v>
      </c>
      <c r="W3651">
        <v>-2.9618180000000001E-2</v>
      </c>
      <c r="X3651">
        <v>0.98082460000000005</v>
      </c>
      <c r="Y3651">
        <v>0.35638320000000001</v>
      </c>
      <c r="Z3651">
        <v>-4.3871109999999997E-4</v>
      </c>
      <c r="AA3651">
        <v>0.93433980000000005</v>
      </c>
      <c r="AB3651">
        <v>25</v>
      </c>
      <c r="AC3651">
        <v>38.3185</v>
      </c>
      <c r="AD3651">
        <v>-0.60260979999999897</v>
      </c>
      <c r="AE3651">
        <v>-21.779900000000001</v>
      </c>
      <c r="AF3651">
        <v>15.787264313666499</v>
      </c>
      <c r="AG3651">
        <v>-0.60260979999999897</v>
      </c>
      <c r="AH3651">
        <v>41.142529069069703</v>
      </c>
      <c r="AI3651">
        <v>90.783453536266904</v>
      </c>
      <c r="AJ3651">
        <v>69.007128677007202</v>
      </c>
      <c r="AK3651">
        <v>44.071629777895303</v>
      </c>
      <c r="AL3651">
        <v>91.697244963739394</v>
      </c>
      <c r="AM3651">
        <v>78.888831052812904</v>
      </c>
      <c r="AN3651">
        <v>0.99999997430768095</v>
      </c>
    </row>
    <row r="3652" spans="1:40" x14ac:dyDescent="0.25">
      <c r="A3652" t="str">
        <f>"20190312161344675"</f>
        <v>20190312161344675</v>
      </c>
      <c r="B3652" t="str">
        <f>"1552378424669502"</f>
        <v>1552378424669502</v>
      </c>
      <c r="C3652" t="s">
        <v>40</v>
      </c>
      <c r="D3652">
        <v>5.2149729999999996</v>
      </c>
      <c r="E3652">
        <v>0.56561919999999899</v>
      </c>
      <c r="F3652" t="s">
        <v>81</v>
      </c>
      <c r="G3652">
        <v>-168.41569999999999</v>
      </c>
      <c r="H3652">
        <v>0.47141270000000002</v>
      </c>
      <c r="I3652">
        <v>191.29599999999999</v>
      </c>
      <c r="J3652">
        <v>-206.48660000000001</v>
      </c>
      <c r="K3652">
        <v>1.106811</v>
      </c>
      <c r="L3652">
        <v>213.16550000000001</v>
      </c>
      <c r="M3652">
        <v>0.98786560000000001</v>
      </c>
      <c r="N3652">
        <v>0</v>
      </c>
      <c r="O3652">
        <v>-0.15467410000000001</v>
      </c>
      <c r="P3652">
        <v>0.93877580000000005</v>
      </c>
      <c r="Q3652">
        <v>-4.2033929999999997E-2</v>
      </c>
      <c r="R3652">
        <v>-0.3419548</v>
      </c>
      <c r="S3652">
        <v>2.6452179999999998</v>
      </c>
      <c r="T3652">
        <v>-4.3860440000000001E-2</v>
      </c>
      <c r="U3652">
        <v>-1.51268</v>
      </c>
      <c r="V3652">
        <v>0.19238839999999999</v>
      </c>
      <c r="W3652">
        <v>-2.9786940000000001E-2</v>
      </c>
      <c r="X3652">
        <v>0.98086669999999998</v>
      </c>
      <c r="Y3652">
        <v>0.35613860000000003</v>
      </c>
      <c r="Z3652">
        <v>-3.9148310000000001E-4</v>
      </c>
      <c r="AA3652">
        <v>0.93443299999999996</v>
      </c>
      <c r="AB3652">
        <v>25</v>
      </c>
      <c r="AC3652">
        <v>38.070900000000002</v>
      </c>
      <c r="AD3652">
        <v>-0.63539829999999997</v>
      </c>
      <c r="AE3652">
        <v>-21.869499999999999</v>
      </c>
      <c r="AF3652">
        <v>15.713805421006001</v>
      </c>
      <c r="AG3652">
        <v>-0.63539829999999997</v>
      </c>
      <c r="AH3652">
        <v>40.987041462552398</v>
      </c>
      <c r="AI3652">
        <v>90.829302796958899</v>
      </c>
      <c r="AJ3652">
        <v>69.023939586601301</v>
      </c>
      <c r="AK3652">
        <v>43.900626187582702</v>
      </c>
      <c r="AL3652">
        <v>91.706918388651204</v>
      </c>
      <c r="AM3652">
        <v>78.902812203183601</v>
      </c>
      <c r="AN3652">
        <v>1.0000000207090001</v>
      </c>
    </row>
    <row r="3653" spans="1:40" x14ac:dyDescent="0.25">
      <c r="A3653" t="str">
        <f>"20190312161344697"</f>
        <v>20190312161344697</v>
      </c>
      <c r="B3653" t="str">
        <f>"1552378424689997"</f>
        <v>1552378424689997</v>
      </c>
      <c r="C3653" t="s">
        <v>40</v>
      </c>
      <c r="D3653">
        <v>5.2244409999999997</v>
      </c>
      <c r="E3653">
        <v>0.56564199999999998</v>
      </c>
      <c r="F3653" t="s">
        <v>81</v>
      </c>
      <c r="G3653">
        <v>-168.41569999999999</v>
      </c>
      <c r="H3653">
        <v>0.49140739999999999</v>
      </c>
      <c r="I3653">
        <v>191.1568</v>
      </c>
      <c r="J3653">
        <v>-206.24260000000001</v>
      </c>
      <c r="K3653">
        <v>1.1068150000000001</v>
      </c>
      <c r="L3653">
        <v>213.1217</v>
      </c>
      <c r="M3653">
        <v>0.9871122</v>
      </c>
      <c r="N3653">
        <v>0</v>
      </c>
      <c r="O3653">
        <v>-0.15941150000000001</v>
      </c>
      <c r="P3653">
        <v>0.93726770000000004</v>
      </c>
      <c r="Q3653">
        <v>-4.2317529999999999E-2</v>
      </c>
      <c r="R3653">
        <v>-0.34603240000000002</v>
      </c>
      <c r="S3653">
        <v>2.6381990000000002</v>
      </c>
      <c r="T3653">
        <v>-4.2643309999999997E-2</v>
      </c>
      <c r="U3653">
        <v>-1.525131</v>
      </c>
      <c r="V3653">
        <v>0.1919467</v>
      </c>
      <c r="W3653">
        <v>-3.006613E-2</v>
      </c>
      <c r="X3653">
        <v>0.9809447</v>
      </c>
      <c r="Y3653">
        <v>0.35604010000000003</v>
      </c>
      <c r="Z3653">
        <v>-3.1161349999999998E-4</v>
      </c>
      <c r="AA3653">
        <v>0.93447060000000004</v>
      </c>
      <c r="AB3653">
        <v>25</v>
      </c>
      <c r="AC3653">
        <v>37.826900000000002</v>
      </c>
      <c r="AD3653">
        <v>-0.61540759999999906</v>
      </c>
      <c r="AE3653">
        <v>-21.9649</v>
      </c>
      <c r="AF3653">
        <v>15.6502257445472</v>
      </c>
      <c r="AG3653">
        <v>-0.61540759999999906</v>
      </c>
      <c r="AH3653">
        <v>40.836802048807698</v>
      </c>
      <c r="AI3653">
        <v>90.806209114732596</v>
      </c>
      <c r="AJ3653">
        <v>69.031255173647494</v>
      </c>
      <c r="AK3653">
        <v>43.737314663144701</v>
      </c>
      <c r="AL3653">
        <v>91.722921990156294</v>
      </c>
      <c r="AM3653">
        <v>78.928518352545694</v>
      </c>
      <c r="AN3653">
        <v>1.0000000061360701</v>
      </c>
    </row>
    <row r="3654" spans="1:40" x14ac:dyDescent="0.25">
      <c r="A3654" t="str">
        <f>"20190312161344719"</f>
        <v>20190312161344719</v>
      </c>
      <c r="B3654" t="str">
        <f>"1552378424709517"</f>
        <v>1552378424709517</v>
      </c>
      <c r="C3654" t="s">
        <v>40</v>
      </c>
      <c r="D3654">
        <v>5.1863859999999997</v>
      </c>
      <c r="E3654">
        <v>0.56560790000000005</v>
      </c>
      <c r="F3654" t="s">
        <v>81</v>
      </c>
      <c r="G3654">
        <v>-168.41579999999999</v>
      </c>
      <c r="H3654">
        <v>0.4999228</v>
      </c>
      <c r="I3654">
        <v>191.03309999999999</v>
      </c>
      <c r="J3654">
        <v>-206.00059999999999</v>
      </c>
      <c r="K3654">
        <v>1.1068100000000001</v>
      </c>
      <c r="L3654">
        <v>213.0771</v>
      </c>
      <c r="M3654">
        <v>0.98633820000000005</v>
      </c>
      <c r="N3654">
        <v>0</v>
      </c>
      <c r="O3654">
        <v>-0.16413249999999999</v>
      </c>
      <c r="P3654">
        <v>0.93583430000000001</v>
      </c>
      <c r="Q3654">
        <v>-4.2365380000000001E-2</v>
      </c>
      <c r="R3654">
        <v>-0.34988449999999999</v>
      </c>
      <c r="S3654">
        <v>2.6315460000000002</v>
      </c>
      <c r="T3654">
        <v>-4.221809E-2</v>
      </c>
      <c r="U3654">
        <v>-1.536667</v>
      </c>
      <c r="V3654">
        <v>0.19128819999999999</v>
      </c>
      <c r="W3654">
        <v>-3.0109489999999999E-2</v>
      </c>
      <c r="X3654">
        <v>0.98107200000000006</v>
      </c>
      <c r="Y3654">
        <v>0.35565360000000001</v>
      </c>
      <c r="Z3654">
        <v>-2.3819809999999999E-4</v>
      </c>
      <c r="AA3654">
        <v>0.93461780000000005</v>
      </c>
      <c r="AB3654">
        <v>25</v>
      </c>
      <c r="AC3654">
        <v>37.584800000000001</v>
      </c>
      <c r="AD3654">
        <v>-0.60688719999999996</v>
      </c>
      <c r="AE3654">
        <v>-22.044</v>
      </c>
      <c r="AF3654">
        <v>15.5724690799439</v>
      </c>
      <c r="AG3654">
        <v>-0.60688719999999996</v>
      </c>
      <c r="AH3654">
        <v>40.685586193944602</v>
      </c>
      <c r="AI3654">
        <v>90.798132792987303</v>
      </c>
      <c r="AJ3654">
        <v>69.055577878525099</v>
      </c>
      <c r="AK3654">
        <v>43.568188271538602</v>
      </c>
      <c r="AL3654">
        <v>91.725407448540693</v>
      </c>
      <c r="AM3654">
        <v>78.9669634981923</v>
      </c>
      <c r="AN3654">
        <v>1.0000000130156499</v>
      </c>
    </row>
    <row r="3655" spans="1:40" x14ac:dyDescent="0.25">
      <c r="A3655" t="str">
        <f>"20190312161344740"</f>
        <v>20190312161344740</v>
      </c>
      <c r="B3655" t="str">
        <f>"1552378424730013"</f>
        <v>1552378424730013</v>
      </c>
      <c r="C3655" t="s">
        <v>40</v>
      </c>
      <c r="D3655">
        <v>5.2073850000000004</v>
      </c>
      <c r="E3655">
        <v>0.56555949999999999</v>
      </c>
      <c r="F3655" t="s">
        <v>81</v>
      </c>
      <c r="G3655">
        <v>-168.41579999999999</v>
      </c>
      <c r="H3655">
        <v>0.52388239999999997</v>
      </c>
      <c r="I3655">
        <v>190.9228</v>
      </c>
      <c r="J3655">
        <v>-205.76079999999999</v>
      </c>
      <c r="K3655">
        <v>1.1067979999999999</v>
      </c>
      <c r="L3655">
        <v>213.0318</v>
      </c>
      <c r="M3655">
        <v>0.98554260000000005</v>
      </c>
      <c r="N3655">
        <v>0</v>
      </c>
      <c r="O3655">
        <v>-0.1688441</v>
      </c>
      <c r="P3655">
        <v>0.93446929999999995</v>
      </c>
      <c r="Q3655">
        <v>-4.2901519999999999E-2</v>
      </c>
      <c r="R3655">
        <v>-0.35345009999999999</v>
      </c>
      <c r="S3655">
        <v>2.625305</v>
      </c>
      <c r="T3655">
        <v>-4.0715220000000003E-2</v>
      </c>
      <c r="U3655">
        <v>-1.547485</v>
      </c>
      <c r="V3655">
        <v>0.1903398</v>
      </c>
      <c r="W3655">
        <v>-3.0641539999999998E-2</v>
      </c>
      <c r="X3655">
        <v>0.98124</v>
      </c>
      <c r="Y3655">
        <v>0.35501919999999998</v>
      </c>
      <c r="Z3655">
        <v>-1.60187E-4</v>
      </c>
      <c r="AA3655">
        <v>0.934859</v>
      </c>
      <c r="AB3655">
        <v>25</v>
      </c>
      <c r="AC3655">
        <v>37.344999999999999</v>
      </c>
      <c r="AD3655">
        <v>-0.58291559999999898</v>
      </c>
      <c r="AE3655">
        <v>-22.109000000000002</v>
      </c>
      <c r="AF3655">
        <v>15.4826141415052</v>
      </c>
      <c r="AG3655">
        <v>-0.58291559999999898</v>
      </c>
      <c r="AH3655">
        <v>40.534752595894297</v>
      </c>
      <c r="AI3655">
        <v>90.769666679690602</v>
      </c>
      <c r="AJ3655">
        <v>69.095192411857198</v>
      </c>
      <c r="AK3655">
        <v>43.394899461363202</v>
      </c>
      <c r="AL3655">
        <v>91.755905692892298</v>
      </c>
      <c r="AM3655">
        <v>79.0221665057378</v>
      </c>
      <c r="AN3655">
        <v>1.0000000405188001</v>
      </c>
    </row>
    <row r="3656" spans="1:40" x14ac:dyDescent="0.25">
      <c r="A3656" t="str">
        <f>"20190312161344764"</f>
        <v>20190312161344764</v>
      </c>
      <c r="B3656" t="str">
        <f>"1552378424759294"</f>
        <v>1552378424759294</v>
      </c>
      <c r="C3656" t="s">
        <v>40</v>
      </c>
      <c r="D3656">
        <v>5.2455879999999997</v>
      </c>
      <c r="E3656">
        <v>0.56545829999999997</v>
      </c>
      <c r="F3656" t="s">
        <v>81</v>
      </c>
      <c r="G3656">
        <v>-168.41579999999999</v>
      </c>
      <c r="H3656">
        <v>0.51869540000000003</v>
      </c>
      <c r="I3656">
        <v>190.83850000000001</v>
      </c>
      <c r="J3656">
        <v>-205.51230000000001</v>
      </c>
      <c r="K3656">
        <v>1.106776</v>
      </c>
      <c r="L3656">
        <v>212.98349999999999</v>
      </c>
      <c r="M3656">
        <v>0.98468580000000006</v>
      </c>
      <c r="N3656">
        <v>0</v>
      </c>
      <c r="O3656">
        <v>-0.17377190000000001</v>
      </c>
      <c r="P3656">
        <v>0.93292790000000003</v>
      </c>
      <c r="Q3656">
        <v>-4.3256299999999998E-2</v>
      </c>
      <c r="R3656">
        <v>-0.357456</v>
      </c>
      <c r="S3656">
        <v>2.6196440000000001</v>
      </c>
      <c r="T3656">
        <v>-4.1251419999999997E-2</v>
      </c>
      <c r="U3656">
        <v>-1.5567930000000001</v>
      </c>
      <c r="V3656">
        <v>0.18964010000000001</v>
      </c>
      <c r="W3656">
        <v>-3.0998970000000001E-2</v>
      </c>
      <c r="X3656">
        <v>0.98136420000000002</v>
      </c>
      <c r="Y3656">
        <v>0.35368450000000001</v>
      </c>
      <c r="Z3656" s="1">
        <v>-8.3632529999999998E-5</v>
      </c>
      <c r="AA3656">
        <v>0.9353648</v>
      </c>
      <c r="AB3656">
        <v>25</v>
      </c>
      <c r="AC3656">
        <v>37.096499999999999</v>
      </c>
      <c r="AD3656">
        <v>-0.58808059999999995</v>
      </c>
      <c r="AE3656">
        <v>-22.1449999999999</v>
      </c>
      <c r="AF3656">
        <v>15.3582068400399</v>
      </c>
      <c r="AG3656">
        <v>-0.58808059999999995</v>
      </c>
      <c r="AH3656">
        <v>40.373076852157602</v>
      </c>
      <c r="AI3656">
        <v>90.779997382186494</v>
      </c>
      <c r="AJ3656">
        <v>69.172827607962404</v>
      </c>
      <c r="AK3656">
        <v>43.199602899144402</v>
      </c>
      <c r="AL3656">
        <v>91.776394730988699</v>
      </c>
      <c r="AM3656">
        <v>79.062897453806102</v>
      </c>
      <c r="AN3656">
        <v>0.99999999835535502</v>
      </c>
    </row>
    <row r="3657" spans="1:40" x14ac:dyDescent="0.25">
      <c r="A3657" t="str">
        <f>"20190312161344786"</f>
        <v>20190312161344786</v>
      </c>
      <c r="B3657" t="str">
        <f>"1552378424779808"</f>
        <v>1552378424779808</v>
      </c>
      <c r="C3657" t="s">
        <v>40</v>
      </c>
      <c r="D3657">
        <v>5.1807270000000001</v>
      </c>
      <c r="E3657">
        <v>0.56549079999999996</v>
      </c>
      <c r="F3657" t="s">
        <v>81</v>
      </c>
      <c r="G3657">
        <v>-168.41589999999999</v>
      </c>
      <c r="H3657">
        <v>0.50652029999999904</v>
      </c>
      <c r="I3657">
        <v>190.7413</v>
      </c>
      <c r="J3657">
        <v>-205.26400000000001</v>
      </c>
      <c r="K3657">
        <v>1.1067469999999999</v>
      </c>
      <c r="L3657">
        <v>212.93389999999999</v>
      </c>
      <c r="M3657">
        <v>0.98379309999999998</v>
      </c>
      <c r="N3657">
        <v>0</v>
      </c>
      <c r="O3657">
        <v>-0.17875669999999999</v>
      </c>
      <c r="P3657">
        <v>0.93117240000000001</v>
      </c>
      <c r="Q3657">
        <v>-4.3894099999999998E-2</v>
      </c>
      <c r="R3657">
        <v>-0.36192730000000001</v>
      </c>
      <c r="S3657">
        <v>2.6133579999999998</v>
      </c>
      <c r="T3657">
        <v>-4.2284250000000002E-2</v>
      </c>
      <c r="U3657">
        <v>-1.56691</v>
      </c>
      <c r="V3657">
        <v>0.18937560000000001</v>
      </c>
      <c r="W3657">
        <v>-3.1648509999999998E-2</v>
      </c>
      <c r="X3657">
        <v>0.98139449999999995</v>
      </c>
      <c r="Y3657">
        <v>0.35260219999999998</v>
      </c>
      <c r="Z3657" s="1">
        <v>-6.1311289999999998E-6</v>
      </c>
      <c r="AA3657">
        <v>0.93577330000000003</v>
      </c>
      <c r="AB3657">
        <v>25</v>
      </c>
      <c r="AC3657">
        <v>36.848100000000002</v>
      </c>
      <c r="AD3657">
        <v>-0.6002267</v>
      </c>
      <c r="AE3657">
        <v>-22.192599999999999</v>
      </c>
      <c r="AF3657">
        <v>15.2446170261164</v>
      </c>
      <c r="AG3657">
        <v>-0.6002267</v>
      </c>
      <c r="AH3657">
        <v>40.214117997366998</v>
      </c>
      <c r="AI3657">
        <v>90.799602114441598</v>
      </c>
      <c r="AJ3657">
        <v>69.238973562686795</v>
      </c>
      <c r="AK3657">
        <v>43.010858009001801</v>
      </c>
      <c r="AL3657">
        <v>91.813628981495796</v>
      </c>
      <c r="AM3657">
        <v>79.078113926434895</v>
      </c>
      <c r="AN3657">
        <v>0.99999995534541397</v>
      </c>
    </row>
    <row r="3658" spans="1:40" x14ac:dyDescent="0.25">
      <c r="A3658" t="str">
        <f>"20190312161344809"</f>
        <v>20190312161344809</v>
      </c>
      <c r="B3658" t="str">
        <f>"1552378424799310"</f>
        <v>1552378424799310</v>
      </c>
      <c r="C3658" t="s">
        <v>40</v>
      </c>
      <c r="D3658">
        <v>5.2766080000000004</v>
      </c>
      <c r="E3658">
        <v>0.5656061</v>
      </c>
      <c r="F3658" t="s">
        <v>81</v>
      </c>
      <c r="G3658">
        <v>-168.41589999999999</v>
      </c>
      <c r="H3658">
        <v>0.50129840000000003</v>
      </c>
      <c r="I3658">
        <v>190.5917</v>
      </c>
      <c r="J3658">
        <v>-205.02719999999999</v>
      </c>
      <c r="K3658">
        <v>1.1067039999999999</v>
      </c>
      <c r="L3658">
        <v>212.8853</v>
      </c>
      <c r="M3658">
        <v>0.98290409999999995</v>
      </c>
      <c r="N3658">
        <v>0</v>
      </c>
      <c r="O3658">
        <v>-0.1835812</v>
      </c>
      <c r="P3658">
        <v>0.92965830000000005</v>
      </c>
      <c r="Q3658">
        <v>-4.3991540000000003E-2</v>
      </c>
      <c r="R3658">
        <v>-0.36578739999999998</v>
      </c>
      <c r="S3658">
        <v>2.605667</v>
      </c>
      <c r="T3658">
        <v>-4.2811160000000001E-2</v>
      </c>
      <c r="U3658">
        <v>-1.579895</v>
      </c>
      <c r="V3658">
        <v>0.18862960000000001</v>
      </c>
      <c r="W3658">
        <v>-3.1755169999999999E-2</v>
      </c>
      <c r="X3658">
        <v>0.98153480000000004</v>
      </c>
      <c r="Y3658">
        <v>0.3526455</v>
      </c>
      <c r="Z3658" s="1">
        <v>6.3522249999999996E-5</v>
      </c>
      <c r="AA3658">
        <v>0.93575699999999995</v>
      </c>
      <c r="AB3658">
        <v>25</v>
      </c>
      <c r="AC3658">
        <v>36.6113</v>
      </c>
      <c r="AD3658">
        <v>-0.60540559999999999</v>
      </c>
      <c r="AE3658">
        <v>-22.293600000000001</v>
      </c>
      <c r="AF3658">
        <v>15.189794615770399</v>
      </c>
      <c r="AG3658">
        <v>-0.60540559999999999</v>
      </c>
      <c r="AH3658">
        <v>40.074046658342098</v>
      </c>
      <c r="AI3658">
        <v>90.809330496618003</v>
      </c>
      <c r="AJ3658">
        <v>69.241127890498205</v>
      </c>
      <c r="AK3658">
        <v>42.860536534028299</v>
      </c>
      <c r="AL3658">
        <v>91.819743068321898</v>
      </c>
      <c r="AM3658">
        <v>79.121627379648899</v>
      </c>
      <c r="AN3658">
        <v>1.00000004021446</v>
      </c>
    </row>
    <row r="3659" spans="1:40" x14ac:dyDescent="0.25">
      <c r="A3659" t="str">
        <f>"20190312161344830"</f>
        <v>20190312161344830</v>
      </c>
      <c r="B3659" t="str">
        <f>"1552378424819806"</f>
        <v>1552378424819806</v>
      </c>
      <c r="C3659" t="s">
        <v>40</v>
      </c>
      <c r="D3659">
        <v>5.2143759999999997</v>
      </c>
      <c r="E3659">
        <v>0.56568600000000002</v>
      </c>
      <c r="F3659" t="s">
        <v>81</v>
      </c>
      <c r="G3659">
        <v>-168.416</v>
      </c>
      <c r="H3659">
        <v>0.54184009999999905</v>
      </c>
      <c r="I3659">
        <v>190.4657</v>
      </c>
      <c r="J3659">
        <v>-204.7878</v>
      </c>
      <c r="K3659">
        <v>1.106646</v>
      </c>
      <c r="L3659">
        <v>212.8347</v>
      </c>
      <c r="M3659">
        <v>0.9819639</v>
      </c>
      <c r="N3659">
        <v>0</v>
      </c>
      <c r="O3659">
        <v>-0.18854509999999999</v>
      </c>
      <c r="P3659">
        <v>0.9280043</v>
      </c>
      <c r="Q3659">
        <v>-4.4236709999999999E-2</v>
      </c>
      <c r="R3659">
        <v>-0.36993399999999999</v>
      </c>
      <c r="S3659">
        <v>2.5989070000000001</v>
      </c>
      <c r="T3659">
        <v>-4.0095449999999998E-2</v>
      </c>
      <c r="U3659">
        <v>-1.5914919999999999</v>
      </c>
      <c r="V3659">
        <v>0.18804889999999999</v>
      </c>
      <c r="W3659">
        <v>-3.2014170000000002E-2</v>
      </c>
      <c r="X3659">
        <v>0.9816378</v>
      </c>
      <c r="Y3659">
        <v>0.352041099999999</v>
      </c>
      <c r="Z3659">
        <v>1.3136509999999999E-4</v>
      </c>
      <c r="AA3659">
        <v>0.93598460000000006</v>
      </c>
      <c r="AB3659">
        <v>25</v>
      </c>
      <c r="AC3659">
        <v>36.3718</v>
      </c>
      <c r="AD3659">
        <v>-0.56480589999999997</v>
      </c>
      <c r="AE3659">
        <v>-22.369</v>
      </c>
      <c r="AF3659">
        <v>15.1066759181353</v>
      </c>
      <c r="AG3659">
        <v>-0.56480589999999997</v>
      </c>
      <c r="AH3659">
        <v>39.930320496311701</v>
      </c>
      <c r="AI3659">
        <v>90.757959179163706</v>
      </c>
      <c r="AJ3659">
        <v>69.277069543956998</v>
      </c>
      <c r="AK3659">
        <v>42.6961492167434</v>
      </c>
      <c r="AL3659">
        <v>91.834590236627903</v>
      </c>
      <c r="AM3659">
        <v>79.1554322291543</v>
      </c>
      <c r="AN3659">
        <v>1.00000003313041</v>
      </c>
    </row>
    <row r="3660" spans="1:40" x14ac:dyDescent="0.25">
      <c r="A3660" t="str">
        <f>"20190312161344853"</f>
        <v>20190312161344853</v>
      </c>
      <c r="B3660" t="str">
        <f>"1552378424850062"</f>
        <v>1552378424850062</v>
      </c>
      <c r="C3660" t="s">
        <v>40</v>
      </c>
      <c r="D3660">
        <v>5.2457390000000004</v>
      </c>
      <c r="E3660">
        <v>0.56581230000000005</v>
      </c>
      <c r="F3660" t="s">
        <v>81</v>
      </c>
      <c r="G3660">
        <v>-168.416</v>
      </c>
      <c r="H3660">
        <v>0.55635979999999996</v>
      </c>
      <c r="I3660">
        <v>190.32749999999999</v>
      </c>
      <c r="J3660">
        <v>-204.54150000000001</v>
      </c>
      <c r="K3660">
        <v>1.106603</v>
      </c>
      <c r="L3660">
        <v>212.78129999999999</v>
      </c>
      <c r="M3660">
        <v>0.9809544</v>
      </c>
      <c r="N3660">
        <v>0</v>
      </c>
      <c r="O3660">
        <v>-0.1937286</v>
      </c>
      <c r="P3660">
        <v>0.9260448</v>
      </c>
      <c r="Q3660">
        <v>-4.575423E-2</v>
      </c>
      <c r="R3660">
        <v>-0.37463000000000002</v>
      </c>
      <c r="S3660">
        <v>2.591583</v>
      </c>
      <c r="T3660">
        <v>-3.9206980000000002E-2</v>
      </c>
      <c r="U3660">
        <v>-1.603699</v>
      </c>
      <c r="V3660">
        <v>0.1878348</v>
      </c>
      <c r="W3660">
        <v>-3.3549460000000003E-2</v>
      </c>
      <c r="X3660">
        <v>0.98162749999999999</v>
      </c>
      <c r="Y3660">
        <v>0.35147060000000002</v>
      </c>
      <c r="Z3660">
        <v>2.0147000000000001E-4</v>
      </c>
      <c r="AA3660">
        <v>0.93619889999999995</v>
      </c>
      <c r="AB3660">
        <v>25</v>
      </c>
      <c r="AC3660">
        <v>36.125500000000002</v>
      </c>
      <c r="AD3660">
        <v>-0.55024319999999904</v>
      </c>
      <c r="AE3660">
        <v>-22.453800000000001</v>
      </c>
      <c r="AF3660">
        <v>15.026582379961001</v>
      </c>
      <c r="AG3660">
        <v>-0.55024319999999904</v>
      </c>
      <c r="AH3660">
        <v>39.784687047624097</v>
      </c>
      <c r="AI3660">
        <v>90.741275215364993</v>
      </c>
      <c r="AJ3660">
        <v>69.308567513190098</v>
      </c>
      <c r="AK3660">
        <v>42.531426840376398</v>
      </c>
      <c r="AL3660">
        <v>91.922603221516496</v>
      </c>
      <c r="AM3660">
        <v>79.167375871336404</v>
      </c>
      <c r="AN3660">
        <v>1.0000000135567899</v>
      </c>
    </row>
    <row r="3661" spans="1:40" x14ac:dyDescent="0.25">
      <c r="A3661" t="str">
        <f>"20190312161344876"</f>
        <v>20190312161344876</v>
      </c>
      <c r="B3661" t="str">
        <f>"1552378424869582"</f>
        <v>1552378424869582</v>
      </c>
      <c r="C3661" t="s">
        <v>40</v>
      </c>
      <c r="D3661">
        <v>5.218445</v>
      </c>
      <c r="E3661">
        <v>0.56583490000000003</v>
      </c>
      <c r="F3661" t="s">
        <v>81</v>
      </c>
      <c r="G3661">
        <v>-168.4161</v>
      </c>
      <c r="H3661">
        <v>0.50871179999999905</v>
      </c>
      <c r="I3661">
        <v>190.15199999999999</v>
      </c>
      <c r="J3661">
        <v>-204.29769999999999</v>
      </c>
      <c r="K3661">
        <v>1.1065590000000001</v>
      </c>
      <c r="L3661">
        <v>212.727</v>
      </c>
      <c r="M3661">
        <v>0.97991039999999996</v>
      </c>
      <c r="N3661">
        <v>0</v>
      </c>
      <c r="O3661">
        <v>-0.19894210000000001</v>
      </c>
      <c r="P3661">
        <v>0.92399129999999996</v>
      </c>
      <c r="Q3661">
        <v>-4.6527310000000002E-2</v>
      </c>
      <c r="R3661">
        <v>-0.37957269999999999</v>
      </c>
      <c r="S3661">
        <v>2.582932</v>
      </c>
      <c r="T3661">
        <v>-4.2746190000000003E-2</v>
      </c>
      <c r="U3661">
        <v>-1.617966</v>
      </c>
      <c r="V3661">
        <v>0.1878573</v>
      </c>
      <c r="W3661">
        <v>-3.4341450000000003E-2</v>
      </c>
      <c r="X3661">
        <v>0.98159580000000002</v>
      </c>
      <c r="Y3661">
        <v>0.35161540000000002</v>
      </c>
      <c r="Z3661">
        <v>2.9432520000000003E-4</v>
      </c>
      <c r="AA3661">
        <v>0.93614450000000005</v>
      </c>
      <c r="AB3661">
        <v>25</v>
      </c>
      <c r="AC3661">
        <v>35.881599999999899</v>
      </c>
      <c r="AD3661">
        <v>-0.59784720000000002</v>
      </c>
      <c r="AE3661">
        <v>-22.5749999999999</v>
      </c>
      <c r="AF3661">
        <v>14.9816177136431</v>
      </c>
      <c r="AG3661">
        <v>-0.59784720000000002</v>
      </c>
      <c r="AH3661">
        <v>39.6479046721823</v>
      </c>
      <c r="AI3661">
        <v>90.808131206958905</v>
      </c>
      <c r="AJ3661">
        <v>69.300097395980501</v>
      </c>
      <c r="AK3661">
        <v>42.388236994321304</v>
      </c>
      <c r="AL3661">
        <v>91.968007085334193</v>
      </c>
      <c r="AM3661">
        <v>79.165767387754499</v>
      </c>
      <c r="AN3661">
        <v>1.0000000074645099</v>
      </c>
    </row>
    <row r="3662" spans="1:40" x14ac:dyDescent="0.25">
      <c r="A3662" t="str">
        <f>"20190312161344898"</f>
        <v>20190312161344898</v>
      </c>
      <c r="B3662" t="str">
        <f>"1552378424890079"</f>
        <v>1552378424890079</v>
      </c>
      <c r="C3662" t="s">
        <v>40</v>
      </c>
      <c r="D3662">
        <v>5.2122299999999999</v>
      </c>
      <c r="E3662">
        <v>0.56581700000000001</v>
      </c>
      <c r="F3662" t="s">
        <v>81</v>
      </c>
      <c r="G3662">
        <v>-168.4161</v>
      </c>
      <c r="H3662">
        <v>0.50128170000000005</v>
      </c>
      <c r="I3662">
        <v>189.98099999999999</v>
      </c>
      <c r="J3662">
        <v>-204.05850000000001</v>
      </c>
      <c r="K3662">
        <v>1.106506</v>
      </c>
      <c r="L3662">
        <v>212.67230000000001</v>
      </c>
      <c r="M3662">
        <v>0.97883969999999998</v>
      </c>
      <c r="N3662">
        <v>0</v>
      </c>
      <c r="O3662">
        <v>-0.2041453</v>
      </c>
      <c r="P3662">
        <v>0.92202899999999999</v>
      </c>
      <c r="Q3662">
        <v>-4.6761110000000002E-2</v>
      </c>
      <c r="R3662">
        <v>-0.38428639999999997</v>
      </c>
      <c r="S3662">
        <v>2.5742340000000001</v>
      </c>
      <c r="T3662">
        <v>-4.3421750000000002E-2</v>
      </c>
      <c r="U3662">
        <v>-1.6318509999999999</v>
      </c>
      <c r="V3662">
        <v>0.18765200000000001</v>
      </c>
      <c r="W3662">
        <v>-3.4591169999999997E-2</v>
      </c>
      <c r="X3662">
        <v>0.98162629999999995</v>
      </c>
      <c r="Y3662">
        <v>0.3516744</v>
      </c>
      <c r="Z3662">
        <v>3.754187E-4</v>
      </c>
      <c r="AA3662">
        <v>0.93612229999999996</v>
      </c>
      <c r="AB3662">
        <v>25</v>
      </c>
      <c r="AC3662">
        <v>35.642400000000002</v>
      </c>
      <c r="AD3662">
        <v>-0.60522429999999905</v>
      </c>
      <c r="AE3662">
        <v>-22.691299999999998</v>
      </c>
      <c r="AF3662">
        <v>14.933328204205999</v>
      </c>
      <c r="AG3662">
        <v>-0.60522429999999905</v>
      </c>
      <c r="AH3662">
        <v>39.516314538343998</v>
      </c>
      <c r="AI3662">
        <v>90.820815822205105</v>
      </c>
      <c r="AJ3662">
        <v>69.298278000072301</v>
      </c>
      <c r="AK3662">
        <v>42.248191705695298</v>
      </c>
      <c r="AL3662">
        <v>91.982323493203893</v>
      </c>
      <c r="AM3662">
        <v>79.177656133609702</v>
      </c>
      <c r="AN3662">
        <v>1.00000000749882</v>
      </c>
    </row>
    <row r="3663" spans="1:40" x14ac:dyDescent="0.25">
      <c r="A3663" t="str">
        <f>"20190312161344920"</f>
        <v>20190312161344920</v>
      </c>
      <c r="B3663" t="str">
        <f>"1552378424909598"</f>
        <v>1552378424909598</v>
      </c>
      <c r="C3663" t="s">
        <v>40</v>
      </c>
      <c r="D3663">
        <v>5.2234939999999996</v>
      </c>
      <c r="E3663">
        <v>0.56581539999999997</v>
      </c>
      <c r="F3663" t="s">
        <v>81</v>
      </c>
      <c r="G3663">
        <v>-168.4162</v>
      </c>
      <c r="H3663">
        <v>0.52009439999999996</v>
      </c>
      <c r="I3663">
        <v>189.82149999999999</v>
      </c>
      <c r="J3663">
        <v>-203.82429999999999</v>
      </c>
      <c r="K3663">
        <v>1.106457</v>
      </c>
      <c r="L3663">
        <v>212.6174</v>
      </c>
      <c r="M3663">
        <v>0.97774399999999995</v>
      </c>
      <c r="N3663">
        <v>0</v>
      </c>
      <c r="O3663">
        <v>-0.20932919999999999</v>
      </c>
      <c r="P3663">
        <v>0.91991089999999998</v>
      </c>
      <c r="Q3663">
        <v>-4.7170120000000003E-2</v>
      </c>
      <c r="R3663">
        <v>-0.38928059999999998</v>
      </c>
      <c r="S3663">
        <v>2.565903</v>
      </c>
      <c r="T3663">
        <v>-4.2213559999999997E-2</v>
      </c>
      <c r="U3663">
        <v>-1.64503499999999</v>
      </c>
      <c r="V3663">
        <v>0.18776979999999999</v>
      </c>
      <c r="W3663">
        <v>-3.5021169999999997E-2</v>
      </c>
      <c r="X3663">
        <v>0.98158849999999997</v>
      </c>
      <c r="Y3663">
        <v>0.35150500000000001</v>
      </c>
      <c r="Z3663">
        <v>4.4078779999999999E-4</v>
      </c>
      <c r="AA3663">
        <v>0.93618590000000002</v>
      </c>
      <c r="AB3663">
        <v>24</v>
      </c>
      <c r="AC3663">
        <v>35.408099999999898</v>
      </c>
      <c r="AD3663">
        <v>-0.58636259999999996</v>
      </c>
      <c r="AE3663">
        <v>-22.7959</v>
      </c>
      <c r="AF3663">
        <v>14.875193905386199</v>
      </c>
      <c r="AG3663">
        <v>-0.58636259999999996</v>
      </c>
      <c r="AH3663">
        <v>39.3881678480533</v>
      </c>
      <c r="AI3663">
        <v>90.797890509782803</v>
      </c>
      <c r="AJ3663">
        <v>69.310635094568397</v>
      </c>
      <c r="AK3663">
        <v>42.1075169209482</v>
      </c>
      <c r="AL3663">
        <v>92.006975667298505</v>
      </c>
      <c r="AM3663">
        <v>79.170615760367895</v>
      </c>
      <c r="AN3663">
        <v>0.99999998173622895</v>
      </c>
    </row>
    <row r="3664" spans="1:40" x14ac:dyDescent="0.25">
      <c r="A3664" t="str">
        <f>"20190312161344942"</f>
        <v>20190312161344942</v>
      </c>
      <c r="B3664" t="str">
        <f>"1552378424939854"</f>
        <v>1552378424939854</v>
      </c>
      <c r="C3664" t="s">
        <v>40</v>
      </c>
      <c r="D3664">
        <v>5.6471850000000003</v>
      </c>
      <c r="E3664">
        <v>0.56579290000000004</v>
      </c>
      <c r="F3664" t="s">
        <v>81</v>
      </c>
      <c r="G3664">
        <v>-168.4162</v>
      </c>
      <c r="H3664">
        <v>0.51926229999999995</v>
      </c>
      <c r="I3664">
        <v>189.64250000000001</v>
      </c>
      <c r="J3664">
        <v>-203.58199999999999</v>
      </c>
      <c r="K3664">
        <v>1.106398</v>
      </c>
      <c r="L3664">
        <v>212.5591</v>
      </c>
      <c r="M3664">
        <v>0.97655879999999995</v>
      </c>
      <c r="N3664">
        <v>0</v>
      </c>
      <c r="O3664">
        <v>-0.2147907</v>
      </c>
      <c r="P3664">
        <v>0.91763830000000002</v>
      </c>
      <c r="Q3664">
        <v>-4.7153609999999999E-2</v>
      </c>
      <c r="R3664">
        <v>-0.3946095</v>
      </c>
      <c r="S3664">
        <v>2.5569310000000001</v>
      </c>
      <c r="T3664">
        <v>-4.2400840000000002E-2</v>
      </c>
      <c r="U3664">
        <v>-1.6590879999999999</v>
      </c>
      <c r="V3664">
        <v>0.1879721</v>
      </c>
      <c r="W3664">
        <v>-3.5029530000000003E-2</v>
      </c>
      <c r="X3664">
        <v>0.98154949999999996</v>
      </c>
      <c r="Y3664">
        <v>0.35139409999999999</v>
      </c>
      <c r="Z3664">
        <v>5.2253459999999897E-4</v>
      </c>
      <c r="AA3664">
        <v>0.93622749999999999</v>
      </c>
      <c r="AB3664">
        <v>24</v>
      </c>
      <c r="AC3664">
        <v>35.165799999999898</v>
      </c>
      <c r="AD3664">
        <v>-0.58713570000000004</v>
      </c>
      <c r="AE3664">
        <v>-22.916599999999899</v>
      </c>
      <c r="AF3664">
        <v>14.824686889450801</v>
      </c>
      <c r="AG3664">
        <v>-0.58713570000000004</v>
      </c>
      <c r="AH3664">
        <v>39.259947140479397</v>
      </c>
      <c r="AI3664">
        <v>90.801565383645993</v>
      </c>
      <c r="AJ3664">
        <v>69.3132964363556</v>
      </c>
      <c r="AK3664">
        <v>41.969745283640997</v>
      </c>
      <c r="AL3664">
        <v>92.0074549181263</v>
      </c>
      <c r="AM3664">
        <v>79.158804161949803</v>
      </c>
      <c r="AN3664">
        <v>0.99999999965034003</v>
      </c>
    </row>
    <row r="3665" spans="1:40" x14ac:dyDescent="0.25">
      <c r="A3665" t="str">
        <f>"20190312161344965"</f>
        <v>20190312161344965</v>
      </c>
      <c r="B3665" t="str">
        <f>"1552378424959374"</f>
        <v>1552378424959374</v>
      </c>
      <c r="C3665" t="s">
        <v>40</v>
      </c>
      <c r="D3665">
        <v>5.3546699999999996</v>
      </c>
      <c r="E3665">
        <v>0.61109630000000004</v>
      </c>
      <c r="F3665" t="s">
        <v>81</v>
      </c>
      <c r="G3665">
        <v>-168.41630000000001</v>
      </c>
      <c r="H3665">
        <v>0.52966210000000002</v>
      </c>
      <c r="I3665">
        <v>189.45429999999999</v>
      </c>
      <c r="J3665">
        <v>-203.34360000000001</v>
      </c>
      <c r="K3665">
        <v>1.106339</v>
      </c>
      <c r="L3665">
        <v>212.50020000000001</v>
      </c>
      <c r="M3665">
        <v>0.97533729999999996</v>
      </c>
      <c r="N3665">
        <v>0</v>
      </c>
      <c r="O3665">
        <v>-0.2202702</v>
      </c>
      <c r="P3665">
        <v>0.91560750000000002</v>
      </c>
      <c r="Q3665">
        <v>-4.7413820000000002E-2</v>
      </c>
      <c r="R3665">
        <v>-0.39926820000000002</v>
      </c>
      <c r="S3665">
        <v>2.5473789999999998</v>
      </c>
      <c r="T3665">
        <v>-4.1775819999999998E-2</v>
      </c>
      <c r="U3665">
        <v>-1.673691</v>
      </c>
      <c r="V3665">
        <v>0.1874449</v>
      </c>
      <c r="W3665">
        <v>-3.5308699999999998E-2</v>
      </c>
      <c r="X3665">
        <v>0.98164030000000002</v>
      </c>
      <c r="Y3665">
        <v>0.35149809999999998</v>
      </c>
      <c r="Z3665">
        <v>5.9221339999999999E-4</v>
      </c>
      <c r="AA3665">
        <v>0.93618840000000003</v>
      </c>
      <c r="AB3665">
        <v>24</v>
      </c>
      <c r="AC3665">
        <v>34.927300000000002</v>
      </c>
      <c r="AD3665">
        <v>-0.57667689999999905</v>
      </c>
      <c r="AE3665">
        <v>-23.0459</v>
      </c>
      <c r="AF3665">
        <v>14.782740230029701</v>
      </c>
      <c r="AG3665">
        <v>-0.57667689999999905</v>
      </c>
      <c r="AH3665">
        <v>39.138669628988801</v>
      </c>
      <c r="AI3665">
        <v>90.789702279354202</v>
      </c>
      <c r="AJ3665">
        <v>69.308366238996001</v>
      </c>
      <c r="AK3665">
        <v>41.841336322859704</v>
      </c>
      <c r="AL3665">
        <v>92.023460108339506</v>
      </c>
      <c r="AM3665">
        <v>79.189469022474796</v>
      </c>
      <c r="AN3665">
        <v>0.99999998670789403</v>
      </c>
    </row>
    <row r="3666" spans="1:40" x14ac:dyDescent="0.25">
      <c r="A3666" t="str">
        <f>"20190312161344987"</f>
        <v>20190312161344987</v>
      </c>
      <c r="B3666" t="str">
        <f>"1552378424979874"</f>
        <v>1552378424979874</v>
      </c>
      <c r="C3666" t="s">
        <v>40</v>
      </c>
      <c r="D3666">
        <v>5.3908120000000004</v>
      </c>
      <c r="E3666">
        <v>0.62134990000000001</v>
      </c>
      <c r="F3666" t="s">
        <v>81</v>
      </c>
      <c r="G3666">
        <v>-168.41829999999999</v>
      </c>
      <c r="H3666">
        <v>0.17171</v>
      </c>
      <c r="I3666">
        <v>183.07640000000001</v>
      </c>
      <c r="J3666">
        <v>-203.10059999999999</v>
      </c>
      <c r="K3666">
        <v>1.10626</v>
      </c>
      <c r="L3666">
        <v>212.43860000000001</v>
      </c>
      <c r="M3666">
        <v>0.97403249999999997</v>
      </c>
      <c r="N3666">
        <v>0</v>
      </c>
      <c r="O3666">
        <v>-0.22597020000000001</v>
      </c>
      <c r="P3666">
        <v>0.91376780000000002</v>
      </c>
      <c r="Q3666">
        <v>-4.7509170000000003E-2</v>
      </c>
      <c r="R3666">
        <v>-0.40344940000000001</v>
      </c>
      <c r="S3666">
        <v>2.3937840000000001</v>
      </c>
      <c r="T3666">
        <v>-6.4057470000000005E-2</v>
      </c>
      <c r="U3666">
        <v>-2.0167079999999999</v>
      </c>
      <c r="V3666">
        <v>0.18618609999999999</v>
      </c>
      <c r="W3666">
        <v>-3.5416740000000002E-2</v>
      </c>
      <c r="X3666">
        <v>0.98187599999999997</v>
      </c>
      <c r="Y3666">
        <v>0.4547544</v>
      </c>
      <c r="Z3666">
        <v>-1.701885E-4</v>
      </c>
      <c r="AA3666">
        <v>0.89061689999999905</v>
      </c>
      <c r="AB3666">
        <v>24</v>
      </c>
      <c r="AC3666">
        <v>34.682299999999998</v>
      </c>
      <c r="AD3666">
        <v>-0.93454999999999999</v>
      </c>
      <c r="AE3666">
        <v>-29.362200000000001</v>
      </c>
      <c r="AF3666">
        <v>20.755849638349002</v>
      </c>
      <c r="AG3666">
        <v>-0.93454999999999999</v>
      </c>
      <c r="AH3666">
        <v>40.403586079368601</v>
      </c>
      <c r="AI3666">
        <v>91.1786570176277</v>
      </c>
      <c r="AJ3666">
        <v>62.809842468552603</v>
      </c>
      <c r="AK3666">
        <v>45.432680374210904</v>
      </c>
      <c r="AL3666">
        <v>92.029654101566805</v>
      </c>
      <c r="AM3666">
        <v>79.262891982339795</v>
      </c>
      <c r="AN3666">
        <v>1.00000004434071</v>
      </c>
    </row>
    <row r="3667" spans="1:40" x14ac:dyDescent="0.25">
      <c r="A3667" t="str">
        <f>"20190312161345009"</f>
        <v>20190312161345009</v>
      </c>
      <c r="B3667" t="str">
        <f>"1552378424999391"</f>
        <v>1552378424999391</v>
      </c>
      <c r="C3667" t="s">
        <v>40</v>
      </c>
      <c r="D3667">
        <v>5.5114010000000002</v>
      </c>
      <c r="E3667">
        <v>0.6281409</v>
      </c>
      <c r="F3667" t="s">
        <v>81</v>
      </c>
      <c r="G3667">
        <v>-168.4194</v>
      </c>
      <c r="H3667">
        <v>1.706091</v>
      </c>
      <c r="I3667">
        <v>181.3638</v>
      </c>
      <c r="J3667">
        <v>-202.87119999999999</v>
      </c>
      <c r="K3667">
        <v>1.106182</v>
      </c>
      <c r="L3667">
        <v>212.37880000000001</v>
      </c>
      <c r="M3667">
        <v>0.9727384</v>
      </c>
      <c r="N3667">
        <v>0</v>
      </c>
      <c r="O3667">
        <v>-0.23147719999999999</v>
      </c>
      <c r="P3667">
        <v>0.91156700000000002</v>
      </c>
      <c r="Q3667">
        <v>-4.7414619999999998E-2</v>
      </c>
      <c r="R3667">
        <v>-0.40840890000000002</v>
      </c>
      <c r="S3667">
        <v>2.3539729999999999</v>
      </c>
      <c r="T3667">
        <v>4.0715580000000001E-2</v>
      </c>
      <c r="U3667">
        <v>-2.1091920000000002</v>
      </c>
      <c r="V3667">
        <v>0.18596019999999999</v>
      </c>
      <c r="W3667">
        <v>-3.5346849999999999E-2</v>
      </c>
      <c r="X3667">
        <v>0.9819213</v>
      </c>
      <c r="Y3667">
        <v>0.4767612</v>
      </c>
      <c r="Z3667">
        <v>1.9752579999999999E-4</v>
      </c>
      <c r="AA3667">
        <v>0.87903290000000001</v>
      </c>
      <c r="AB3667">
        <v>24</v>
      </c>
      <c r="AC3667">
        <v>34.451799999999899</v>
      </c>
      <c r="AD3667">
        <v>0.59990900000000003</v>
      </c>
      <c r="AE3667">
        <v>-31.015000000000001</v>
      </c>
      <c r="AF3667">
        <v>22.193159415813899</v>
      </c>
      <c r="AG3667">
        <v>0.59990900000000003</v>
      </c>
      <c r="AH3667">
        <v>40.689074977824298</v>
      </c>
      <c r="AI3667">
        <v>89.258428969859807</v>
      </c>
      <c r="AJ3667">
        <v>61.3904969718267</v>
      </c>
      <c r="AK3667">
        <v>46.351882790400403</v>
      </c>
      <c r="AL3667">
        <v>92.025647245067105</v>
      </c>
      <c r="AM3667">
        <v>79.276100298116006</v>
      </c>
      <c r="AN3667">
        <v>1.00000001759132</v>
      </c>
    </row>
    <row r="3668" spans="1:40" x14ac:dyDescent="0.25">
      <c r="A3668" t="str">
        <f>"20190312161345031"</f>
        <v>20190312161345031</v>
      </c>
      <c r="B3668" t="str">
        <f>"1552378425019886"</f>
        <v>1552378425019886</v>
      </c>
      <c r="C3668" t="s">
        <v>40</v>
      </c>
      <c r="D3668">
        <v>5.4664979999999996</v>
      </c>
      <c r="E3668">
        <v>0.63174949999999996</v>
      </c>
      <c r="F3668" t="s">
        <v>81</v>
      </c>
      <c r="G3668">
        <v>-168.42009999999999</v>
      </c>
      <c r="H3668">
        <v>2.4915940000000001</v>
      </c>
      <c r="I3668">
        <v>180.10560000000001</v>
      </c>
      <c r="J3668">
        <v>-202.63570000000001</v>
      </c>
      <c r="K3668">
        <v>1.1060989999999999</v>
      </c>
      <c r="L3668">
        <v>212.3158</v>
      </c>
      <c r="M3668">
        <v>0.9713427</v>
      </c>
      <c r="N3668">
        <v>0</v>
      </c>
      <c r="O3668">
        <v>-0.23726510000000001</v>
      </c>
      <c r="P3668">
        <v>0.90894960000000002</v>
      </c>
      <c r="Q3668">
        <v>-4.8193409999999999E-2</v>
      </c>
      <c r="R3668">
        <v>-0.41411189999999998</v>
      </c>
      <c r="S3668">
        <v>2.3215180000000002</v>
      </c>
      <c r="T3668">
        <v>9.3359349999999994E-2</v>
      </c>
      <c r="U3668">
        <v>-2.1747589999999999</v>
      </c>
      <c r="V3668">
        <v>0.18626029999999999</v>
      </c>
      <c r="W3668">
        <v>-3.6158820000000001E-2</v>
      </c>
      <c r="X3668">
        <v>0.98183480000000001</v>
      </c>
      <c r="Y3668">
        <v>0.49085869999999998</v>
      </c>
      <c r="Z3668">
        <v>5.1457849999999997E-4</v>
      </c>
      <c r="AA3668">
        <v>0.87123909999999904</v>
      </c>
      <c r="AB3668">
        <v>24</v>
      </c>
      <c r="AC3668">
        <v>34.215600000000002</v>
      </c>
      <c r="AD3668">
        <v>1.3854949999999999</v>
      </c>
      <c r="AE3668">
        <v>-32.210199999999901</v>
      </c>
      <c r="AF3668">
        <v>23.151150924806402</v>
      </c>
      <c r="AG3668">
        <v>1.3854949999999999</v>
      </c>
      <c r="AH3668">
        <v>40.845982492744703</v>
      </c>
      <c r="AI3668">
        <v>88.309717379027802</v>
      </c>
      <c r="AJ3668">
        <v>60.455809139975003</v>
      </c>
      <c r="AK3668">
        <v>46.971157866671703</v>
      </c>
      <c r="AL3668">
        <v>92.072199566943496</v>
      </c>
      <c r="AM3668">
        <v>79.258272261219403</v>
      </c>
      <c r="AN3668">
        <v>0.99999996705546002</v>
      </c>
    </row>
    <row r="3669" spans="1:40" x14ac:dyDescent="0.25">
      <c r="A3669" t="str">
        <f>"20190312161345054"</f>
        <v>20190312161345054</v>
      </c>
      <c r="B3669" t="str">
        <f>"1552378425050143"</f>
        <v>1552378425050143</v>
      </c>
      <c r="C3669" t="s">
        <v>40</v>
      </c>
      <c r="D3669">
        <v>5.2642569999999997</v>
      </c>
      <c r="E3669">
        <v>0.62963040000000003</v>
      </c>
      <c r="F3669" t="s">
        <v>81</v>
      </c>
      <c r="G3669">
        <v>-168.4205</v>
      </c>
      <c r="H3669">
        <v>2.885478</v>
      </c>
      <c r="I3669">
        <v>179.2869</v>
      </c>
      <c r="J3669">
        <v>-202.3999</v>
      </c>
      <c r="K3669">
        <v>1.1060219999999901</v>
      </c>
      <c r="L3669">
        <v>212.25110000000001</v>
      </c>
      <c r="M3669">
        <v>0.96987909999999999</v>
      </c>
      <c r="N3669">
        <v>0</v>
      </c>
      <c r="O3669">
        <v>-0.24317839999999999</v>
      </c>
      <c r="P3669">
        <v>0.90628180000000003</v>
      </c>
      <c r="Q3669">
        <v>-4.8962029999999997E-2</v>
      </c>
      <c r="R3669">
        <v>-0.41982849999999999</v>
      </c>
      <c r="S3669">
        <v>2.2967680000000001</v>
      </c>
      <c r="T3669">
        <v>0.1194466</v>
      </c>
      <c r="U3669">
        <v>-2.217133</v>
      </c>
      <c r="V3669">
        <v>0.1864587</v>
      </c>
      <c r="W3669">
        <v>-3.6956129999999997E-2</v>
      </c>
      <c r="X3669">
        <v>0.98176750000000002</v>
      </c>
      <c r="Y3669">
        <v>0.49852220000000003</v>
      </c>
      <c r="Z3669">
        <v>5.9156859999999999E-4</v>
      </c>
      <c r="AA3669">
        <v>0.8668768</v>
      </c>
      <c r="AB3669">
        <v>24</v>
      </c>
      <c r="AC3669">
        <v>33.979399999999998</v>
      </c>
      <c r="AD3669">
        <v>1.7794559999999999</v>
      </c>
      <c r="AE3669">
        <v>-32.964199999999998</v>
      </c>
      <c r="AF3669">
        <v>23.677137910284099</v>
      </c>
      <c r="AG3669">
        <v>1.7794559999999999</v>
      </c>
      <c r="AH3669">
        <v>40.918354252680203</v>
      </c>
      <c r="AI3669">
        <v>87.844370815523405</v>
      </c>
      <c r="AJ3669">
        <v>59.944460516609396</v>
      </c>
      <c r="AK3669">
        <v>47.308403460974901</v>
      </c>
      <c r="AL3669">
        <v>92.117912526646407</v>
      </c>
      <c r="AM3669">
        <v>79.246377150909098</v>
      </c>
      <c r="AN3669">
        <v>1.00000001320325</v>
      </c>
    </row>
    <row r="3670" spans="1:40" x14ac:dyDescent="0.25">
      <c r="A3670" t="str">
        <f>"20190312161345077"</f>
        <v>20190312161345077</v>
      </c>
      <c r="B3670" t="str">
        <f>"1552378425069662"</f>
        <v>1552378425069662</v>
      </c>
      <c r="C3670" t="s">
        <v>40</v>
      </c>
      <c r="D3670">
        <v>5.1639589999999904</v>
      </c>
      <c r="E3670">
        <v>0.63163849999999999</v>
      </c>
      <c r="F3670" t="s">
        <v>81</v>
      </c>
      <c r="G3670">
        <v>-168.4203</v>
      </c>
      <c r="H3670">
        <v>2.6262750000000001</v>
      </c>
      <c r="I3670">
        <v>179.38140000000001</v>
      </c>
      <c r="J3670">
        <v>-202.15459999999999</v>
      </c>
      <c r="K3670">
        <v>1.1059479999999999</v>
      </c>
      <c r="L3670">
        <v>212.18199999999999</v>
      </c>
      <c r="M3670">
        <v>0.96828309999999995</v>
      </c>
      <c r="N3670">
        <v>0</v>
      </c>
      <c r="O3670">
        <v>-0.2494567</v>
      </c>
      <c r="P3670">
        <v>0.90365390000000001</v>
      </c>
      <c r="Q3670">
        <v>-4.9221969999999997E-2</v>
      </c>
      <c r="R3670">
        <v>-0.42542530000000001</v>
      </c>
      <c r="S3670">
        <v>2.2897029999999998</v>
      </c>
      <c r="T3670">
        <v>0.1024441</v>
      </c>
      <c r="U3670">
        <v>-2.2149200000000002</v>
      </c>
      <c r="V3670">
        <v>0.18616450000000001</v>
      </c>
      <c r="W3670">
        <v>-3.723754E-2</v>
      </c>
      <c r="X3670">
        <v>0.98181269999999998</v>
      </c>
      <c r="Y3670">
        <v>0.4938514</v>
      </c>
      <c r="Z3670">
        <v>2.032313E-4</v>
      </c>
      <c r="AA3670">
        <v>0.86954629999999999</v>
      </c>
      <c r="AB3670">
        <v>24</v>
      </c>
      <c r="AC3670">
        <v>33.734299999999898</v>
      </c>
      <c r="AD3670">
        <v>1.520327</v>
      </c>
      <c r="AE3670">
        <v>-32.800600000000003</v>
      </c>
      <c r="AF3670">
        <v>23.322994655114599</v>
      </c>
      <c r="AG3670">
        <v>1.520327</v>
      </c>
      <c r="AH3670">
        <v>40.808145244935602</v>
      </c>
      <c r="AI3670">
        <v>88.147389293231399</v>
      </c>
      <c r="AJ3670">
        <v>60.250827502236397</v>
      </c>
      <c r="AK3670">
        <v>47.027419578382101</v>
      </c>
      <c r="AL3670">
        <v>92.134047230328505</v>
      </c>
      <c r="AM3670">
        <v>79.263432590953101</v>
      </c>
      <c r="AN3670">
        <v>1.00000001666339</v>
      </c>
    </row>
    <row r="3671" spans="1:40" x14ac:dyDescent="0.25">
      <c r="A3671" t="str">
        <f>"20190312161345099"</f>
        <v>20190312161345099</v>
      </c>
      <c r="B3671" t="str">
        <f>"1552378425090158"</f>
        <v>1552378425090158</v>
      </c>
      <c r="C3671" t="s">
        <v>40</v>
      </c>
      <c r="D3671">
        <v>5.3690089999999904</v>
      </c>
      <c r="E3671">
        <v>0.63263649999999905</v>
      </c>
      <c r="F3671" t="s">
        <v>81</v>
      </c>
      <c r="G3671">
        <v>-168.42060000000001</v>
      </c>
      <c r="H3671">
        <v>2.8812090000000001</v>
      </c>
      <c r="I3671">
        <v>178.82859999999999</v>
      </c>
      <c r="J3671">
        <v>-201.91679999999999</v>
      </c>
      <c r="K3671">
        <v>1.1058790000000001</v>
      </c>
      <c r="L3671">
        <v>212.11330000000001</v>
      </c>
      <c r="M3671">
        <v>0.96665889999999999</v>
      </c>
      <c r="N3671">
        <v>0</v>
      </c>
      <c r="O3671">
        <v>-0.25567780000000001</v>
      </c>
      <c r="P3671">
        <v>0.90072600000000003</v>
      </c>
      <c r="Q3671">
        <v>-4.963422E-2</v>
      </c>
      <c r="R3671">
        <v>-0.4315427</v>
      </c>
      <c r="S3671">
        <v>2.2698360000000002</v>
      </c>
      <c r="T3671">
        <v>0.1194532</v>
      </c>
      <c r="U3671">
        <v>-2.2442319999999998</v>
      </c>
      <c r="V3671">
        <v>0.18650320000000001</v>
      </c>
      <c r="W3671">
        <v>-3.7679379999999998E-2</v>
      </c>
      <c r="X3671">
        <v>0.98173149999999998</v>
      </c>
      <c r="Y3671">
        <v>0.49771569999999998</v>
      </c>
      <c r="Z3671" s="1">
        <v>7.3811969999999894E-5</v>
      </c>
      <c r="AA3671">
        <v>0.86734029999999995</v>
      </c>
      <c r="AB3671">
        <v>24</v>
      </c>
      <c r="AC3671">
        <v>33.496199999999902</v>
      </c>
      <c r="AD3671">
        <v>1.7753299999999901</v>
      </c>
      <c r="AE3671">
        <v>-33.284700000000001</v>
      </c>
      <c r="AF3671">
        <v>23.579742803972</v>
      </c>
      <c r="AG3671">
        <v>1.7753299999999901</v>
      </c>
      <c r="AH3671">
        <v>40.835917329639102</v>
      </c>
      <c r="AI3671">
        <v>87.843891435371702</v>
      </c>
      <c r="AJ3671">
        <v>59.996722240582102</v>
      </c>
      <c r="AK3671">
        <v>47.188221109334997</v>
      </c>
      <c r="AL3671">
        <v>92.159380701886406</v>
      </c>
      <c r="AM3671">
        <v>79.243485349132598</v>
      </c>
      <c r="AN3671">
        <v>0.99999995868983604</v>
      </c>
    </row>
    <row r="3672" spans="1:40" x14ac:dyDescent="0.25">
      <c r="A3672" t="str">
        <f>"20190312161345122"</f>
        <v>20190312161345122</v>
      </c>
      <c r="B3672" t="str">
        <f>"1552378425109678"</f>
        <v>1552378425109678</v>
      </c>
      <c r="C3672" t="s">
        <v>40</v>
      </c>
      <c r="D3672">
        <v>5.4089029999999996</v>
      </c>
      <c r="E3672">
        <v>0.63367479999999998</v>
      </c>
      <c r="F3672" t="s">
        <v>81</v>
      </c>
      <c r="G3672">
        <v>-168.42080000000001</v>
      </c>
      <c r="H3672">
        <v>3.0544600000000002</v>
      </c>
      <c r="I3672">
        <v>178.38069999999999</v>
      </c>
      <c r="J3672">
        <v>-201.68989999999999</v>
      </c>
      <c r="K3672">
        <v>1.105799</v>
      </c>
      <c r="L3672">
        <v>212.04599999999999</v>
      </c>
      <c r="M3672">
        <v>0.96503240000000001</v>
      </c>
      <c r="N3672">
        <v>0</v>
      </c>
      <c r="O3672">
        <v>-0.26174969999999997</v>
      </c>
      <c r="P3672">
        <v>0.89776489999999998</v>
      </c>
      <c r="Q3672">
        <v>-5.0066729999999997E-2</v>
      </c>
      <c r="R3672">
        <v>-0.43762010000000001</v>
      </c>
      <c r="S3672">
        <v>2.2515260000000001</v>
      </c>
      <c r="T3672">
        <v>0.13098170000000001</v>
      </c>
      <c r="U3672">
        <v>-2.2674259999999999</v>
      </c>
      <c r="V3672">
        <v>0.18696070000000001</v>
      </c>
      <c r="W3672">
        <v>-3.8144629999999999E-2</v>
      </c>
      <c r="X3672">
        <v>0.98162660000000002</v>
      </c>
      <c r="Y3672">
        <v>0.50020240000000005</v>
      </c>
      <c r="Z3672">
        <v>-1.2495090000000001E-4</v>
      </c>
      <c r="AA3672">
        <v>0.86590849999999897</v>
      </c>
      <c r="AB3672">
        <v>24</v>
      </c>
      <c r="AC3672">
        <v>33.269099999999902</v>
      </c>
      <c r="AD3672">
        <v>1.948661</v>
      </c>
      <c r="AE3672">
        <v>-33.665300000000002</v>
      </c>
      <c r="AF3672">
        <v>23.742056906596801</v>
      </c>
      <c r="AG3672">
        <v>1.948661</v>
      </c>
      <c r="AH3672">
        <v>40.852477034031097</v>
      </c>
      <c r="AI3672">
        <v>87.638399454914406</v>
      </c>
      <c r="AJ3672">
        <v>59.836316391906102</v>
      </c>
      <c r="AK3672">
        <v>47.2906695413064</v>
      </c>
      <c r="AL3672">
        <v>92.186056545062101</v>
      </c>
      <c r="AM3672">
        <v>79.216591796739294</v>
      </c>
      <c r="AN3672">
        <v>1.0000000489849401</v>
      </c>
    </row>
    <row r="3673" spans="1:40" x14ac:dyDescent="0.25">
      <c r="A3673" t="str">
        <f>"20190312161345144"</f>
        <v>20190312161345144</v>
      </c>
      <c r="B3673" t="str">
        <f>"1552378425139934"</f>
        <v>1552378425139934</v>
      </c>
      <c r="C3673" t="s">
        <v>40</v>
      </c>
      <c r="D3673">
        <v>5.2177049999999996</v>
      </c>
      <c r="E3673">
        <v>0.63534639999999998</v>
      </c>
      <c r="F3673" t="s">
        <v>81</v>
      </c>
      <c r="G3673">
        <v>-168.42099999999999</v>
      </c>
      <c r="H3673">
        <v>3.1442839999999999</v>
      </c>
      <c r="I3673">
        <v>177.9091</v>
      </c>
      <c r="J3673">
        <v>-201.45849999999999</v>
      </c>
      <c r="K3673">
        <v>1.105704</v>
      </c>
      <c r="L3673">
        <v>211.97559999999999</v>
      </c>
      <c r="M3673">
        <v>0.96328970000000003</v>
      </c>
      <c r="N3673">
        <v>0</v>
      </c>
      <c r="O3673">
        <v>-0.26809129999999998</v>
      </c>
      <c r="P3673">
        <v>0.89462459999999899</v>
      </c>
      <c r="Q3673">
        <v>-5.0484069999999999E-2</v>
      </c>
      <c r="R3673">
        <v>-0.44395780000000001</v>
      </c>
      <c r="S3673">
        <v>2.2325740000000001</v>
      </c>
      <c r="T3673">
        <v>0.1367987</v>
      </c>
      <c r="U3673">
        <v>-2.2908170000000001</v>
      </c>
      <c r="V3673">
        <v>0.18743879999999999</v>
      </c>
      <c r="W3673">
        <v>-3.8599319999999999E-2</v>
      </c>
      <c r="X3673">
        <v>0.98151759999999999</v>
      </c>
      <c r="Y3673">
        <v>0.50259319999999996</v>
      </c>
      <c r="Z3673">
        <v>-3.6043300000000001E-4</v>
      </c>
      <c r="AA3673">
        <v>0.86452289999999998</v>
      </c>
      <c r="AB3673">
        <v>24</v>
      </c>
      <c r="AC3673">
        <v>33.037499999999902</v>
      </c>
      <c r="AD3673">
        <v>2.0385800000000001</v>
      </c>
      <c r="AE3673">
        <v>-34.066499999999898</v>
      </c>
      <c r="AF3673">
        <v>23.917102368327399</v>
      </c>
      <c r="AG3673">
        <v>2.0385800000000001</v>
      </c>
      <c r="AH3673">
        <v>40.886261466040096</v>
      </c>
      <c r="AI3673">
        <v>87.535670883009004</v>
      </c>
      <c r="AJ3673">
        <v>59.6737864201856</v>
      </c>
      <c r="AK3673">
        <v>47.411707106819598</v>
      </c>
      <c r="AL3673">
        <v>92.212127659611198</v>
      </c>
      <c r="AM3673">
        <v>79.188493000761198</v>
      </c>
      <c r="AN3673">
        <v>1.0000000051798299</v>
      </c>
    </row>
    <row r="3674" spans="1:40" x14ac:dyDescent="0.25">
      <c r="A3674" t="str">
        <f>"20190312161345167"</f>
        <v>20190312161345167</v>
      </c>
      <c r="B3674" t="str">
        <f>"1552378425159454"</f>
        <v>1552378425159454</v>
      </c>
      <c r="C3674" t="s">
        <v>40</v>
      </c>
      <c r="D3674">
        <v>5.0751549999999996</v>
      </c>
      <c r="E3674">
        <v>0.63640140000000001</v>
      </c>
      <c r="F3674" t="s">
        <v>81</v>
      </c>
      <c r="G3674">
        <v>-168.4211</v>
      </c>
      <c r="H3674">
        <v>2.8220149999999999</v>
      </c>
      <c r="I3674">
        <v>177.33779999999999</v>
      </c>
      <c r="J3674">
        <v>-201.2158</v>
      </c>
      <c r="K3674">
        <v>1.105591</v>
      </c>
      <c r="L3674">
        <v>211.8998</v>
      </c>
      <c r="M3674">
        <v>0.96136690000000002</v>
      </c>
      <c r="N3674">
        <v>0</v>
      </c>
      <c r="O3674">
        <v>-0.27490690000000001</v>
      </c>
      <c r="P3674">
        <v>0.89102729999999997</v>
      </c>
      <c r="Q3674">
        <v>-5.1244579999999998E-2</v>
      </c>
      <c r="R3674">
        <v>-0.45104860000000002</v>
      </c>
      <c r="S3674">
        <v>2.2100070000000001</v>
      </c>
      <c r="T3674">
        <v>0.1148134</v>
      </c>
      <c r="U3674">
        <v>-2.317062</v>
      </c>
      <c r="V3674">
        <v>0.18827530000000001</v>
      </c>
      <c r="W3674">
        <v>-3.9407999999999999E-2</v>
      </c>
      <c r="X3674">
        <v>0.98132529999999996</v>
      </c>
      <c r="Y3674">
        <v>0.50583940000000005</v>
      </c>
      <c r="Z3674">
        <v>-4.9564149999999996E-4</v>
      </c>
      <c r="AA3674">
        <v>0.86262749999999999</v>
      </c>
      <c r="AB3674">
        <v>24</v>
      </c>
      <c r="AC3674">
        <v>32.794699999999999</v>
      </c>
      <c r="AD3674">
        <v>1.7164239999999999</v>
      </c>
      <c r="AE3674">
        <v>-34.561999999999998</v>
      </c>
      <c r="AF3674">
        <v>24.182308932500899</v>
      </c>
      <c r="AG3674">
        <v>1.7164239999999999</v>
      </c>
      <c r="AH3674">
        <v>40.979987249243599</v>
      </c>
      <c r="AI3674">
        <v>87.934111006791994</v>
      </c>
      <c r="AJ3674">
        <v>59.455126082725499</v>
      </c>
      <c r="AK3674">
        <v>47.613963619959897</v>
      </c>
      <c r="AL3674">
        <v>92.258496993631098</v>
      </c>
      <c r="AM3674">
        <v>79.139310871746702</v>
      </c>
      <c r="AN3674">
        <v>0.99999996173708905</v>
      </c>
    </row>
    <row r="3675" spans="1:40" x14ac:dyDescent="0.25">
      <c r="A3675" t="str">
        <f>"20190312161345188"</f>
        <v>20190312161345188</v>
      </c>
      <c r="B3675" t="str">
        <f>"1552378425179950"</f>
        <v>1552378425179950</v>
      </c>
      <c r="C3675" t="s">
        <v>40</v>
      </c>
      <c r="D3675">
        <v>5.062055</v>
      </c>
      <c r="E3675">
        <v>0.62810859999999902</v>
      </c>
      <c r="F3675" t="s">
        <v>81</v>
      </c>
      <c r="G3675">
        <v>-168.4213</v>
      </c>
      <c r="H3675">
        <v>2.8780269999999999</v>
      </c>
      <c r="I3675">
        <v>176.78649999999999</v>
      </c>
      <c r="J3675">
        <v>-200.99619999999999</v>
      </c>
      <c r="K3675">
        <v>1.1054889999999999</v>
      </c>
      <c r="L3675">
        <v>211.82929999999999</v>
      </c>
      <c r="M3675">
        <v>0.95953310000000003</v>
      </c>
      <c r="N3675">
        <v>0</v>
      </c>
      <c r="O3675">
        <v>-0.28123890000000001</v>
      </c>
      <c r="P3675">
        <v>0.88752189999999997</v>
      </c>
      <c r="Q3675">
        <v>-5.1507450000000003E-2</v>
      </c>
      <c r="R3675">
        <v>-0.45787749999999999</v>
      </c>
      <c r="S3675">
        <v>2.1878660000000001</v>
      </c>
      <c r="T3675">
        <v>0.1182493</v>
      </c>
      <c r="U3675">
        <v>-2.3425600000000002</v>
      </c>
      <c r="V3675">
        <v>0.189332</v>
      </c>
      <c r="W3675">
        <v>-3.9721050000000001E-2</v>
      </c>
      <c r="X3675">
        <v>0.98110940000000002</v>
      </c>
      <c r="Y3675">
        <v>0.50918969999999997</v>
      </c>
      <c r="Z3675">
        <v>-6.8792609999999998E-4</v>
      </c>
      <c r="AA3675">
        <v>0.86065409999999998</v>
      </c>
      <c r="AB3675">
        <v>24</v>
      </c>
      <c r="AC3675">
        <v>32.5748999999999</v>
      </c>
      <c r="AD3675">
        <v>1.7725379999999999</v>
      </c>
      <c r="AE3675">
        <v>-35.0428</v>
      </c>
      <c r="AF3675">
        <v>24.4323212081786</v>
      </c>
      <c r="AG3675">
        <v>1.7725379999999999</v>
      </c>
      <c r="AH3675">
        <v>41.0598679211408</v>
      </c>
      <c r="AI3675">
        <v>87.875384842991593</v>
      </c>
      <c r="AJ3675">
        <v>59.245602719247401</v>
      </c>
      <c r="AK3675">
        <v>47.812058774775501</v>
      </c>
      <c r="AL3675">
        <v>92.276447379972197</v>
      </c>
      <c r="AM3675">
        <v>79.077471259714898</v>
      </c>
      <c r="AN3675">
        <v>1.0000000114027301</v>
      </c>
    </row>
    <row r="3676" spans="1:40" x14ac:dyDescent="0.25">
      <c r="A3676" t="str">
        <f>"20190312161345210"</f>
        <v>20190312161345210</v>
      </c>
      <c r="B3676" t="str">
        <f>"1552378425199470"</f>
        <v>1552378425199470</v>
      </c>
      <c r="C3676" t="s">
        <v>40</v>
      </c>
      <c r="D3676">
        <v>5.3758119999999998</v>
      </c>
      <c r="E3676">
        <v>0.62825469999999894</v>
      </c>
      <c r="F3676" t="s">
        <v>41</v>
      </c>
      <c r="G3676">
        <v>-169.95529999999999</v>
      </c>
      <c r="H3676">
        <v>-0.05</v>
      </c>
      <c r="I3676">
        <v>179.4881</v>
      </c>
      <c r="J3676">
        <v>-200.77109999999999</v>
      </c>
      <c r="K3676">
        <v>1.105372</v>
      </c>
      <c r="L3676">
        <v>211.7551</v>
      </c>
      <c r="M3676">
        <v>0.95755009999999996</v>
      </c>
      <c r="N3676">
        <v>0</v>
      </c>
      <c r="O3676">
        <v>-0.2879179</v>
      </c>
      <c r="P3676">
        <v>0.88402309999999995</v>
      </c>
      <c r="Q3676">
        <v>-5.1206170000000002E-2</v>
      </c>
      <c r="R3676">
        <v>-0.46462989999999998</v>
      </c>
      <c r="S3676">
        <v>2.195389</v>
      </c>
      <c r="T3676">
        <v>-8.1722740000000002E-2</v>
      </c>
      <c r="U3676">
        <v>-2.2873540000000001</v>
      </c>
      <c r="V3676">
        <v>0.18996209999999999</v>
      </c>
      <c r="W3676">
        <v>-3.9466300000000003E-2</v>
      </c>
      <c r="X3676">
        <v>0.98099789999999998</v>
      </c>
      <c r="Y3676">
        <v>0.49144959999999999</v>
      </c>
      <c r="Z3676">
        <v>9.3791399999999998E-4</v>
      </c>
      <c r="AA3676">
        <v>0.8709055</v>
      </c>
      <c r="AB3676">
        <v>24</v>
      </c>
      <c r="AC3676">
        <v>30.815799999999999</v>
      </c>
      <c r="AD3676">
        <v>-1.1553719999999901</v>
      </c>
      <c r="AE3676">
        <v>-32.267000000000003</v>
      </c>
      <c r="AF3676">
        <v>22.012303426014299</v>
      </c>
      <c r="AG3676">
        <v>-1.1553719999999901</v>
      </c>
      <c r="AH3676">
        <v>38.775820177902702</v>
      </c>
      <c r="AI3676">
        <v>91.4843200710459</v>
      </c>
      <c r="AJ3676">
        <v>60.417237985015198</v>
      </c>
      <c r="AK3676">
        <v>44.603145820069102</v>
      </c>
      <c r="AL3676">
        <v>92.261839774720301</v>
      </c>
      <c r="AM3676">
        <v>79.040784120875102</v>
      </c>
      <c r="AN3676">
        <v>1.00000003403825</v>
      </c>
    </row>
    <row r="3677" spans="1:40" x14ac:dyDescent="0.25">
      <c r="A3677" t="str">
        <f>"20190312161345233"</f>
        <v>20190312161345233</v>
      </c>
      <c r="B3677" t="str">
        <f>"1552378425229727"</f>
        <v>1552378425229727</v>
      </c>
      <c r="C3677" t="s">
        <v>40</v>
      </c>
      <c r="D3677">
        <v>5.0571820000000001</v>
      </c>
      <c r="E3677">
        <v>0.64126340000000004</v>
      </c>
      <c r="F3677" t="s">
        <v>81</v>
      </c>
      <c r="G3677">
        <v>-168.42009999999999</v>
      </c>
      <c r="H3677">
        <v>-2.1302700000000001E-2</v>
      </c>
      <c r="I3677">
        <v>177.5061</v>
      </c>
      <c r="J3677">
        <v>-200.5377</v>
      </c>
      <c r="K3677">
        <v>1.105262</v>
      </c>
      <c r="L3677">
        <v>211.67609999999999</v>
      </c>
      <c r="M3677">
        <v>0.95538869999999998</v>
      </c>
      <c r="N3677">
        <v>0</v>
      </c>
      <c r="O3677">
        <v>-0.295010099999999</v>
      </c>
      <c r="P3677">
        <v>0.8800848</v>
      </c>
      <c r="Q3677">
        <v>-5.1407210000000002E-2</v>
      </c>
      <c r="R3677">
        <v>-0.4720261</v>
      </c>
      <c r="S3677">
        <v>2.1775509999999998</v>
      </c>
      <c r="T3677">
        <v>-7.5834390000000002E-2</v>
      </c>
      <c r="U3677">
        <v>-2.3052980000000001</v>
      </c>
      <c r="V3677">
        <v>0.19090360000000001</v>
      </c>
      <c r="W3677">
        <v>-3.9714699999999999E-2</v>
      </c>
      <c r="X3677">
        <v>0.98080500000000004</v>
      </c>
      <c r="Y3677">
        <v>0.49194929999999898</v>
      </c>
      <c r="Z3677">
        <v>1.0463270000000001E-3</v>
      </c>
      <c r="AA3677">
        <v>0.87062320000000004</v>
      </c>
      <c r="AB3677">
        <v>24</v>
      </c>
      <c r="AC3677">
        <v>32.117600000000003</v>
      </c>
      <c r="AD3677">
        <v>-1.1265646999999901</v>
      </c>
      <c r="AE3677">
        <v>-34.169999999999902</v>
      </c>
      <c r="AF3677">
        <v>23.159584250152399</v>
      </c>
      <c r="AG3677">
        <v>-1.1265646999999901</v>
      </c>
      <c r="AH3677">
        <v>40.745879383231802</v>
      </c>
      <c r="AI3677">
        <v>91.376956908664994</v>
      </c>
      <c r="AJ3677">
        <v>60.386497083411598</v>
      </c>
      <c r="AK3677">
        <v>46.8813627935033</v>
      </c>
      <c r="AL3677">
        <v>92.276083415780803</v>
      </c>
      <c r="AM3677">
        <v>78.985679282327297</v>
      </c>
      <c r="AN3677">
        <v>0.99999994495702305</v>
      </c>
    </row>
    <row r="3678" spans="1:40" x14ac:dyDescent="0.25">
      <c r="A3678" t="str">
        <f>"20190312161345256"</f>
        <v>20190312161345256</v>
      </c>
      <c r="B3678" t="str">
        <f>"1552378425250222"</f>
        <v>1552378425250222</v>
      </c>
      <c r="C3678" t="s">
        <v>40</v>
      </c>
      <c r="D3678">
        <v>5.1698139999999997</v>
      </c>
      <c r="E3678">
        <v>0.64078690000000005</v>
      </c>
      <c r="F3678" t="s">
        <v>81</v>
      </c>
      <c r="G3678">
        <v>-168.42179999999999</v>
      </c>
      <c r="H3678">
        <v>2.5855299999999999</v>
      </c>
      <c r="I3678">
        <v>174.80760000000001</v>
      </c>
      <c r="J3678">
        <v>-200.30609999999999</v>
      </c>
      <c r="K3678">
        <v>1.105164</v>
      </c>
      <c r="L3678">
        <v>211.59559999999999</v>
      </c>
      <c r="M3678">
        <v>0.95313530000000002</v>
      </c>
      <c r="N3678">
        <v>0</v>
      </c>
      <c r="O3678">
        <v>-0.30221049999999999</v>
      </c>
      <c r="P3678">
        <v>0.87592389999999998</v>
      </c>
      <c r="Q3678">
        <v>-5.22836E-2</v>
      </c>
      <c r="R3678">
        <v>-0.47960839999999999</v>
      </c>
      <c r="S3678">
        <v>2.1132970000000002</v>
      </c>
      <c r="T3678">
        <v>9.7407099999999996E-2</v>
      </c>
      <c r="U3678">
        <v>-2.4260250000000001</v>
      </c>
      <c r="V3678">
        <v>0.1919681</v>
      </c>
      <c r="W3678">
        <v>-4.0636819999999997E-2</v>
      </c>
      <c r="X3678">
        <v>0.98055950000000003</v>
      </c>
      <c r="Y3678">
        <v>0.52015100000000003</v>
      </c>
      <c r="Z3678">
        <v>-1.0538539999999999E-3</v>
      </c>
      <c r="AA3678">
        <v>0.85407369999999905</v>
      </c>
      <c r="AB3678">
        <v>24</v>
      </c>
      <c r="AC3678">
        <v>31.8843</v>
      </c>
      <c r="AD3678">
        <v>1.4803659999999901</v>
      </c>
      <c r="AE3678">
        <v>-36.787999999999897</v>
      </c>
      <c r="AF3678">
        <v>25.407244880662201</v>
      </c>
      <c r="AG3678">
        <v>1.4803659999999901</v>
      </c>
      <c r="AH3678">
        <v>41.473612609926803</v>
      </c>
      <c r="AI3678">
        <v>88.256636033376793</v>
      </c>
      <c r="AJ3678">
        <v>58.507852230049998</v>
      </c>
      <c r="AK3678">
        <v>48.659840924916402</v>
      </c>
      <c r="AL3678">
        <v>92.328959525858807</v>
      </c>
      <c r="AM3678">
        <v>78.923072300832303</v>
      </c>
      <c r="AN3678">
        <v>1.00000001779878</v>
      </c>
    </row>
    <row r="3679" spans="1:40" x14ac:dyDescent="0.25">
      <c r="A3679" t="str">
        <f>"20190312161345278"</f>
        <v>20190312161345278</v>
      </c>
      <c r="B3679" t="str">
        <f>"1552378425269742"</f>
        <v>1552378425269742</v>
      </c>
      <c r="C3679" t="s">
        <v>40</v>
      </c>
      <c r="D3679">
        <v>5.4769920000000001</v>
      </c>
      <c r="E3679">
        <v>0.64096430000000004</v>
      </c>
      <c r="F3679" t="s">
        <v>81</v>
      </c>
      <c r="G3679">
        <v>-168.66099999999901</v>
      </c>
      <c r="H3679">
        <v>2.5136259999999999</v>
      </c>
      <c r="I3679">
        <v>174.7123</v>
      </c>
      <c r="J3679">
        <v>-200.07640000000001</v>
      </c>
      <c r="K3679">
        <v>1.1050660000000001</v>
      </c>
      <c r="L3679">
        <v>211.5136</v>
      </c>
      <c r="M3679">
        <v>0.95078439999999997</v>
      </c>
      <c r="N3679">
        <v>0</v>
      </c>
      <c r="O3679">
        <v>-0.30952649999999998</v>
      </c>
      <c r="P3679">
        <v>0.87136970000000002</v>
      </c>
      <c r="Q3679">
        <v>-5.3456530000000002E-2</v>
      </c>
      <c r="R3679">
        <v>-0.48770669999999999</v>
      </c>
      <c r="S3679">
        <v>2.0940859999999999</v>
      </c>
      <c r="T3679">
        <v>9.320581E-2</v>
      </c>
      <c r="U3679">
        <v>-2.4407199999999998</v>
      </c>
      <c r="V3679">
        <v>0.19351850000000001</v>
      </c>
      <c r="W3679">
        <v>-4.1862379999999998E-2</v>
      </c>
      <c r="X3679">
        <v>0.98020309999999999</v>
      </c>
      <c r="Y3679">
        <v>0.52000840000000004</v>
      </c>
      <c r="Z3679">
        <v>-1.242478E-3</v>
      </c>
      <c r="AA3679">
        <v>0.85416019999999904</v>
      </c>
      <c r="AB3679">
        <v>24</v>
      </c>
      <c r="AC3679">
        <v>31.415400000000002</v>
      </c>
      <c r="AD3679">
        <v>1.40856</v>
      </c>
      <c r="AE3679">
        <v>-36.801299999999998</v>
      </c>
      <c r="AF3679">
        <v>25.247364877155398</v>
      </c>
      <c r="AG3679">
        <v>1.40856</v>
      </c>
      <c r="AH3679">
        <v>41.229486551968101</v>
      </c>
      <c r="AI3679">
        <v>88.331147649841498</v>
      </c>
      <c r="AJ3679">
        <v>58.518286779139501</v>
      </c>
      <c r="AK3679">
        <v>48.3661455550548</v>
      </c>
      <c r="AL3679">
        <v>92.399238820714999</v>
      </c>
      <c r="AM3679">
        <v>78.831892603882395</v>
      </c>
      <c r="AN3679">
        <v>0.99999999297556197</v>
      </c>
    </row>
    <row r="3680" spans="1:40" x14ac:dyDescent="0.25">
      <c r="A3680" t="str">
        <f>"20190312161345300"</f>
        <v>20190312161345300</v>
      </c>
      <c r="B3680" t="str">
        <f>"1552378425290238"</f>
        <v>1552378425290238</v>
      </c>
      <c r="C3680" t="s">
        <v>40</v>
      </c>
      <c r="D3680">
        <v>5.5165300000000004</v>
      </c>
      <c r="E3680">
        <v>0.6408353</v>
      </c>
      <c r="F3680" t="s">
        <v>81</v>
      </c>
      <c r="G3680">
        <v>-169.113</v>
      </c>
      <c r="H3680">
        <v>2.3342130000000001</v>
      </c>
      <c r="I3680">
        <v>174.71250000000001</v>
      </c>
      <c r="J3680">
        <v>-199.84989999999999</v>
      </c>
      <c r="K3680">
        <v>1.1049659999999999</v>
      </c>
      <c r="L3680">
        <v>211.4306</v>
      </c>
      <c r="M3680">
        <v>0.94834609999999997</v>
      </c>
      <c r="N3680">
        <v>0</v>
      </c>
      <c r="O3680">
        <v>-0.31691740000000002</v>
      </c>
      <c r="P3680">
        <v>0.8667203</v>
      </c>
      <c r="Q3680">
        <v>-5.4411040000000001E-2</v>
      </c>
      <c r="R3680">
        <v>-0.49581779999999998</v>
      </c>
      <c r="S3680">
        <v>2.0705260000000001</v>
      </c>
      <c r="T3680">
        <v>8.2195279999999996E-2</v>
      </c>
      <c r="U3680">
        <v>-2.4608919999999999</v>
      </c>
      <c r="V3680">
        <v>0.19503319999999999</v>
      </c>
      <c r="W3680">
        <v>-4.287113E-2</v>
      </c>
      <c r="X3680">
        <v>0.97985919999999904</v>
      </c>
      <c r="Y3680">
        <v>0.52161740000000001</v>
      </c>
      <c r="Z3680">
        <v>-1.2774289999999901E-3</v>
      </c>
      <c r="AA3680">
        <v>0.85317860000000001</v>
      </c>
      <c r="AB3680">
        <v>24</v>
      </c>
      <c r="AC3680">
        <v>30.736899999999899</v>
      </c>
      <c r="AD3680">
        <v>1.229247</v>
      </c>
      <c r="AE3680">
        <v>-36.7180999999999</v>
      </c>
      <c r="AF3680">
        <v>25.066436474413798</v>
      </c>
      <c r="AG3680">
        <v>1.229247</v>
      </c>
      <c r="AH3680">
        <v>40.763102678702701</v>
      </c>
      <c r="AI3680">
        <v>88.528525806782298</v>
      </c>
      <c r="AJ3680">
        <v>58.411413059815303</v>
      </c>
      <c r="AK3680">
        <v>47.869278516678001</v>
      </c>
      <c r="AL3680">
        <v>92.4570879453304</v>
      </c>
      <c r="AM3680">
        <v>78.742851801549705</v>
      </c>
      <c r="AN3680">
        <v>0.999999967357177</v>
      </c>
    </row>
    <row r="3681" spans="1:40" x14ac:dyDescent="0.25">
      <c r="A3681" t="str">
        <f>"20190312161345323"</f>
        <v>20190312161345323</v>
      </c>
      <c r="B3681" t="str">
        <f>"1552378425319519"</f>
        <v>1552378425319519</v>
      </c>
      <c r="C3681" t="s">
        <v>40</v>
      </c>
      <c r="D3681">
        <v>5.1422780000000001</v>
      </c>
      <c r="E3681">
        <v>0.6405999</v>
      </c>
      <c r="F3681" t="s">
        <v>81</v>
      </c>
      <c r="G3681">
        <v>-169.40450000000001</v>
      </c>
      <c r="H3681">
        <v>2.2398359999999999</v>
      </c>
      <c r="I3681">
        <v>174.57919999999999</v>
      </c>
      <c r="J3681">
        <v>-199.6284</v>
      </c>
      <c r="K3681">
        <v>1.104854</v>
      </c>
      <c r="L3681">
        <v>211.34739999999999</v>
      </c>
      <c r="M3681">
        <v>0.94583759999999995</v>
      </c>
      <c r="N3681">
        <v>0</v>
      </c>
      <c r="O3681">
        <v>-0.32432719999999998</v>
      </c>
      <c r="P3681">
        <v>0.86211659999999901</v>
      </c>
      <c r="Q3681">
        <v>-5.4384670000000003E-2</v>
      </c>
      <c r="R3681">
        <v>-0.50378350000000005</v>
      </c>
      <c r="S3681">
        <v>2.048019</v>
      </c>
      <c r="T3681">
        <v>7.6343060000000004E-2</v>
      </c>
      <c r="U3681">
        <v>-2.4789430000000001</v>
      </c>
      <c r="V3681">
        <v>0.19638359999999999</v>
      </c>
      <c r="W3681">
        <v>-4.2899470000000002E-2</v>
      </c>
      <c r="X3681">
        <v>0.97958829999999997</v>
      </c>
      <c r="Y3681">
        <v>0.5226056</v>
      </c>
      <c r="Z3681">
        <v>-1.365345E-3</v>
      </c>
      <c r="AA3681">
        <v>0.85257349999999998</v>
      </c>
      <c r="AB3681">
        <v>24</v>
      </c>
      <c r="AC3681">
        <v>30.223899999999901</v>
      </c>
      <c r="AD3681">
        <v>1.1349819999999999</v>
      </c>
      <c r="AE3681">
        <v>-36.7682</v>
      </c>
      <c r="AF3681">
        <v>24.962655016258399</v>
      </c>
      <c r="AG3681">
        <v>1.1349819999999999</v>
      </c>
      <c r="AH3681">
        <v>40.492917214935197</v>
      </c>
      <c r="AI3681">
        <v>88.633199520231599</v>
      </c>
      <c r="AJ3681">
        <v>58.347427322866402</v>
      </c>
      <c r="AK3681">
        <v>47.582545898434802</v>
      </c>
      <c r="AL3681">
        <v>92.458712974628398</v>
      </c>
      <c r="AM3681">
        <v>78.663865435299201</v>
      </c>
      <c r="AN3681">
        <v>1.0000000601860599</v>
      </c>
    </row>
    <row r="3682" spans="1:40" x14ac:dyDescent="0.25">
      <c r="A3682" t="str">
        <f>"20190312161345344"</f>
        <v>20190312161345344</v>
      </c>
      <c r="B3682" t="str">
        <f>"1552378425340019"</f>
        <v>1552378425340019</v>
      </c>
      <c r="C3682" t="s">
        <v>40</v>
      </c>
      <c r="D3682">
        <v>5.4597769999999999</v>
      </c>
      <c r="E3682">
        <v>0.64067759999999996</v>
      </c>
      <c r="F3682" t="s">
        <v>81</v>
      </c>
      <c r="G3682">
        <v>-169.40459999999999</v>
      </c>
      <c r="H3682">
        <v>2.2065229999999998</v>
      </c>
      <c r="I3682">
        <v>174.11619999999999</v>
      </c>
      <c r="J3682">
        <v>-199.4041</v>
      </c>
      <c r="K3682">
        <v>1.104732</v>
      </c>
      <c r="L3682">
        <v>211.26079999999999</v>
      </c>
      <c r="M3682">
        <v>0.9431659</v>
      </c>
      <c r="N3682">
        <v>0</v>
      </c>
      <c r="O3682">
        <v>-0.33201510000000001</v>
      </c>
      <c r="P3682">
        <v>0.85720209999999997</v>
      </c>
      <c r="Q3682">
        <v>-5.4457970000000001E-2</v>
      </c>
      <c r="R3682">
        <v>-0.51209269999999996</v>
      </c>
      <c r="S3682">
        <v>2.0260470000000002</v>
      </c>
      <c r="T3682">
        <v>7.3852420000000002E-2</v>
      </c>
      <c r="U3682">
        <v>-2.4957889999999998</v>
      </c>
      <c r="V3682">
        <v>0.19786500000000001</v>
      </c>
      <c r="W3682">
        <v>-4.3034650000000001E-2</v>
      </c>
      <c r="X3682">
        <v>0.97928419999999905</v>
      </c>
      <c r="Y3682">
        <v>0.52300930000000001</v>
      </c>
      <c r="Z3682">
        <v>-1.509565E-3</v>
      </c>
      <c r="AA3682">
        <v>0.85232569999999996</v>
      </c>
      <c r="AB3682">
        <v>24</v>
      </c>
      <c r="AC3682">
        <v>29.999500000000001</v>
      </c>
      <c r="AD3682">
        <v>1.10179099999999</v>
      </c>
      <c r="AE3682">
        <v>-37.144599999999997</v>
      </c>
      <c r="AF3682">
        <v>25.0624458527966</v>
      </c>
      <c r="AG3682">
        <v>1.10179099999999</v>
      </c>
      <c r="AH3682">
        <v>40.609594536036902</v>
      </c>
      <c r="AI3682">
        <v>88.677371487403306</v>
      </c>
      <c r="AJ3682">
        <v>58.3189502279617</v>
      </c>
      <c r="AK3682">
        <v>47.733419151715502</v>
      </c>
      <c r="AL3682">
        <v>92.466465422326493</v>
      </c>
      <c r="AM3682">
        <v>78.577138114877698</v>
      </c>
      <c r="AN3682">
        <v>1.00000004184763</v>
      </c>
    </row>
    <row r="3683" spans="1:40" x14ac:dyDescent="0.25">
      <c r="A3683" t="str">
        <f>"20190312161345367"</f>
        <v>20190312161345367</v>
      </c>
      <c r="B3683" t="str">
        <f>"1552378425359534"</f>
        <v>1552378425359534</v>
      </c>
      <c r="C3683" t="s">
        <v>40</v>
      </c>
      <c r="D3683">
        <v>5.2475670000000001</v>
      </c>
      <c r="E3683">
        <v>0.64026780000000005</v>
      </c>
      <c r="F3683" t="s">
        <v>81</v>
      </c>
      <c r="G3683">
        <v>-169.40479999999999</v>
      </c>
      <c r="H3683">
        <v>2.2022520000000001</v>
      </c>
      <c r="I3683">
        <v>173.55500000000001</v>
      </c>
      <c r="J3683">
        <v>-199.17670000000001</v>
      </c>
      <c r="K3683">
        <v>1.1045940000000001</v>
      </c>
      <c r="L3683">
        <v>211.17070000000001</v>
      </c>
      <c r="M3683">
        <v>0.94031120000000001</v>
      </c>
      <c r="N3683">
        <v>0</v>
      </c>
      <c r="O3683">
        <v>-0.34001479999999901</v>
      </c>
      <c r="P3683">
        <v>0.85211589999999904</v>
      </c>
      <c r="Q3683">
        <v>-5.5060619999999998E-2</v>
      </c>
      <c r="R3683">
        <v>-0.52044889999999999</v>
      </c>
      <c r="S3683">
        <v>2.001541</v>
      </c>
      <c r="T3683">
        <v>7.3228119999999994E-2</v>
      </c>
      <c r="U3683">
        <v>-2.515717</v>
      </c>
      <c r="V3683">
        <v>0.19911090000000001</v>
      </c>
      <c r="W3683">
        <v>-4.3700259999999998E-2</v>
      </c>
      <c r="X3683">
        <v>0.97900209999999999</v>
      </c>
      <c r="Y3683">
        <v>0.52414519999999998</v>
      </c>
      <c r="Z3683">
        <v>-1.6818779999999999E-3</v>
      </c>
      <c r="AA3683">
        <v>0.85162729999999998</v>
      </c>
      <c r="AB3683">
        <v>24</v>
      </c>
      <c r="AC3683">
        <v>29.771899999999999</v>
      </c>
      <c r="AD3683">
        <v>1.097658</v>
      </c>
      <c r="AE3683">
        <v>-37.615699999999997</v>
      </c>
      <c r="AF3683">
        <v>25.2369500679191</v>
      </c>
      <c r="AG3683">
        <v>1.097658</v>
      </c>
      <c r="AH3683">
        <v>40.767578445227798</v>
      </c>
      <c r="AI3683">
        <v>88.688543559790503</v>
      </c>
      <c r="AJ3683">
        <v>58.240644181650403</v>
      </c>
      <c r="AK3683">
        <v>47.959399017329297</v>
      </c>
      <c r="AL3683">
        <v>92.504638114559199</v>
      </c>
      <c r="AM3683">
        <v>78.503896202472305</v>
      </c>
      <c r="AN3683">
        <v>0.99999998751364305</v>
      </c>
    </row>
    <row r="3684" spans="1:40" x14ac:dyDescent="0.25">
      <c r="A3684" t="str">
        <f>"20190312161345389"</f>
        <v>20190312161345389</v>
      </c>
      <c r="B3684" t="str">
        <f>"1552378425380030"</f>
        <v>1552378425380030</v>
      </c>
      <c r="C3684" t="s">
        <v>40</v>
      </c>
      <c r="D3684">
        <v>5.5496699999999999</v>
      </c>
      <c r="E3684">
        <v>0.64003350000000003</v>
      </c>
      <c r="F3684" t="s">
        <v>81</v>
      </c>
      <c r="G3684">
        <v>-169.405</v>
      </c>
      <c r="H3684">
        <v>2.1937920000000002</v>
      </c>
      <c r="I3684">
        <v>173.06950000000001</v>
      </c>
      <c r="J3684">
        <v>-198.9588</v>
      </c>
      <c r="K3684">
        <v>1.104455</v>
      </c>
      <c r="L3684">
        <v>211.08179999999999</v>
      </c>
      <c r="M3684">
        <v>0.93742099999999995</v>
      </c>
      <c r="N3684">
        <v>0</v>
      </c>
      <c r="O3684">
        <v>-0.34790330000000003</v>
      </c>
      <c r="P3684">
        <v>0.84697469999999997</v>
      </c>
      <c r="Q3684">
        <v>-5.5704280000000002E-2</v>
      </c>
      <c r="R3684">
        <v>-0.52870729999999999</v>
      </c>
      <c r="S3684">
        <v>1.978683</v>
      </c>
      <c r="T3684">
        <v>7.2392109999999996E-2</v>
      </c>
      <c r="U3684">
        <v>-2.5322719999999999</v>
      </c>
      <c r="V3684">
        <v>0.2003925</v>
      </c>
      <c r="W3684">
        <v>-4.440707E-2</v>
      </c>
      <c r="X3684">
        <v>0.97870880000000005</v>
      </c>
      <c r="Y3684">
        <v>0.52446400000000004</v>
      </c>
      <c r="Z3684">
        <v>-1.855132E-3</v>
      </c>
      <c r="AA3684">
        <v>0.85143060000000004</v>
      </c>
      <c r="AB3684">
        <v>24</v>
      </c>
      <c r="AC3684">
        <v>29.553799999999899</v>
      </c>
      <c r="AD3684">
        <v>1.08933699999999</v>
      </c>
      <c r="AE3684">
        <v>-38.012299999999897</v>
      </c>
      <c r="AF3684">
        <v>25.341293780244801</v>
      </c>
      <c r="AG3684">
        <v>1.08933699999999</v>
      </c>
      <c r="AH3684">
        <v>40.9122156085676</v>
      </c>
      <c r="AI3684">
        <v>88.703291559094794</v>
      </c>
      <c r="AJ3684">
        <v>58.2256552037707</v>
      </c>
      <c r="AK3684">
        <v>48.137066918936497</v>
      </c>
      <c r="AL3684">
        <v>92.545174595588307</v>
      </c>
      <c r="AM3684">
        <v>78.428515460439698</v>
      </c>
      <c r="AN3684">
        <v>1.0000000285598301</v>
      </c>
    </row>
    <row r="3685" spans="1:40" x14ac:dyDescent="0.25">
      <c r="A3685" t="str">
        <f>"20190312161345412"</f>
        <v>20190312161345412</v>
      </c>
      <c r="B3685" t="str">
        <f>"1552378425409311"</f>
        <v>1552378425409311</v>
      </c>
      <c r="C3685" t="s">
        <v>40</v>
      </c>
      <c r="D3685">
        <v>5.5495989999999997</v>
      </c>
      <c r="E3685">
        <v>0.63877689999999998</v>
      </c>
      <c r="F3685" t="s">
        <v>60</v>
      </c>
      <c r="G3685">
        <v>-127.503</v>
      </c>
      <c r="H3685">
        <v>3.6232259999999998</v>
      </c>
      <c r="I3685">
        <v>117.90130000000001</v>
      </c>
      <c r="J3685">
        <v>-198.73609999999999</v>
      </c>
      <c r="K3685">
        <v>1.104317</v>
      </c>
      <c r="L3685">
        <v>210.98840000000001</v>
      </c>
      <c r="M3685">
        <v>0.93430360000000001</v>
      </c>
      <c r="N3685">
        <v>0</v>
      </c>
      <c r="O3685">
        <v>-0.35618899999999998</v>
      </c>
      <c r="P3685">
        <v>0.84154269999999998</v>
      </c>
      <c r="Q3685">
        <v>-5.6119599999999999E-2</v>
      </c>
      <c r="R3685">
        <v>-0.53726759999999996</v>
      </c>
      <c r="S3685">
        <v>1.955093</v>
      </c>
      <c r="T3685">
        <v>6.8915959999999998E-2</v>
      </c>
      <c r="U3685">
        <v>-2.5495000000000001</v>
      </c>
      <c r="V3685">
        <v>0.2016395</v>
      </c>
      <c r="W3685">
        <v>-4.4884569999999999E-2</v>
      </c>
      <c r="X3685">
        <v>0.97843080000000004</v>
      </c>
      <c r="Y3685">
        <v>0.52466849999999998</v>
      </c>
      <c r="Z3685">
        <v>-1.960589E-3</v>
      </c>
      <c r="AA3685">
        <v>0.85130439999999996</v>
      </c>
      <c r="AB3685">
        <v>24</v>
      </c>
      <c r="AC3685">
        <v>71.233099999999993</v>
      </c>
      <c r="AD3685">
        <v>2.5189089999999998</v>
      </c>
      <c r="AE3685">
        <v>-93.087100000000007</v>
      </c>
      <c r="AF3685">
        <v>61.5770806199885</v>
      </c>
      <c r="AG3685">
        <v>2.5189089999999998</v>
      </c>
      <c r="AH3685">
        <v>99.674193471265596</v>
      </c>
      <c r="AI3685">
        <v>88.768355342159197</v>
      </c>
      <c r="AJ3685">
        <v>58.292908375475101</v>
      </c>
      <c r="AK3685">
        <v>117.187996844293</v>
      </c>
      <c r="AL3685">
        <v>92.572560783925795</v>
      </c>
      <c r="AM3685">
        <v>78.355250877715605</v>
      </c>
      <c r="AN3685">
        <v>0.999999971486487</v>
      </c>
    </row>
    <row r="3686" spans="1:40" x14ac:dyDescent="0.25">
      <c r="A3686" t="str">
        <f>"20190312161345435"</f>
        <v>20190312161345435</v>
      </c>
      <c r="B3686" t="str">
        <f>"1552378425429807"</f>
        <v>1552378425429807</v>
      </c>
      <c r="C3686" t="s">
        <v>40</v>
      </c>
      <c r="D3686">
        <v>5.1361840000000001</v>
      </c>
      <c r="E3686">
        <v>0.63696009999999903</v>
      </c>
      <c r="F3686" t="s">
        <v>41</v>
      </c>
      <c r="G3686">
        <v>-166.36429999999999</v>
      </c>
      <c r="H3686">
        <v>-0.05</v>
      </c>
      <c r="I3686">
        <v>168.20590000000001</v>
      </c>
      <c r="J3686">
        <v>-198.51730000000001</v>
      </c>
      <c r="K3686">
        <v>1.104201</v>
      </c>
      <c r="L3686">
        <v>210.89410000000001</v>
      </c>
      <c r="M3686">
        <v>0.93108550000000001</v>
      </c>
      <c r="N3686">
        <v>0</v>
      </c>
      <c r="O3686">
        <v>-0.36451810000000001</v>
      </c>
      <c r="P3686">
        <v>0.83616449999999998</v>
      </c>
      <c r="Q3686">
        <v>-5.6047840000000002E-2</v>
      </c>
      <c r="R3686">
        <v>-0.54560839999999999</v>
      </c>
      <c r="S3686">
        <v>1.931</v>
      </c>
      <c r="T3686">
        <v>-6.8855639999999996E-2</v>
      </c>
      <c r="U3686">
        <v>-2.5520019999999999</v>
      </c>
      <c r="V3686">
        <v>0.20261609999999999</v>
      </c>
      <c r="W3686">
        <v>-4.4862310000000002E-2</v>
      </c>
      <c r="X3686">
        <v>0.97823009999999999</v>
      </c>
      <c r="Y3686">
        <v>0.52255779999999996</v>
      </c>
      <c r="Z3686">
        <v>2.192215E-3</v>
      </c>
      <c r="AA3686">
        <v>0.8526011</v>
      </c>
      <c r="AB3686">
        <v>24</v>
      </c>
      <c r="AC3686">
        <v>32.152999999999999</v>
      </c>
      <c r="AD3686">
        <v>-1.154201</v>
      </c>
      <c r="AE3686">
        <v>-42.688200000000002</v>
      </c>
      <c r="AF3686">
        <v>28.0158380259845</v>
      </c>
      <c r="AG3686">
        <v>-1.154201</v>
      </c>
      <c r="AH3686">
        <v>45.4812945177109</v>
      </c>
      <c r="AI3686">
        <v>91.237805730484695</v>
      </c>
      <c r="AJ3686">
        <v>58.367514618847103</v>
      </c>
      <c r="AK3686">
        <v>53.430024436204</v>
      </c>
      <c r="AL3686">
        <v>92.5712839697687</v>
      </c>
      <c r="AM3686">
        <v>78.298068866507194</v>
      </c>
      <c r="AN3686">
        <v>1.0000000196918699</v>
      </c>
    </row>
    <row r="3687" spans="1:40" x14ac:dyDescent="0.25">
      <c r="A3687" t="str">
        <f>"20190312161345457"</f>
        <v>20190312161345457</v>
      </c>
      <c r="B3687" t="str">
        <f>"1552378425449326"</f>
        <v>1552378425449326</v>
      </c>
      <c r="C3687" t="s">
        <v>40</v>
      </c>
      <c r="D3687">
        <v>5.503654</v>
      </c>
      <c r="E3687">
        <v>0.63433619999999902</v>
      </c>
      <c r="F3687" t="s">
        <v>42</v>
      </c>
      <c r="G3687">
        <v>-140.25129999999999</v>
      </c>
      <c r="H3687" s="1">
        <v>-5.3444659999999997E-6</v>
      </c>
      <c r="I3687">
        <v>132.96379999999999</v>
      </c>
      <c r="J3687">
        <v>-198.2953</v>
      </c>
      <c r="K3687">
        <v>1.1040989999999999</v>
      </c>
      <c r="L3687">
        <v>210.79589999999999</v>
      </c>
      <c r="M3687">
        <v>0.92765660000000005</v>
      </c>
      <c r="N3687">
        <v>0</v>
      </c>
      <c r="O3687">
        <v>-0.37315670000000001</v>
      </c>
      <c r="P3687">
        <v>0.8303912</v>
      </c>
      <c r="Q3687">
        <v>-5.6098219999999997E-2</v>
      </c>
      <c r="R3687">
        <v>-0.5543496</v>
      </c>
      <c r="S3687">
        <v>1.91452</v>
      </c>
      <c r="T3687">
        <v>-3.6282300000000003E-2</v>
      </c>
      <c r="U3687">
        <v>-2.560654</v>
      </c>
      <c r="V3687">
        <v>0.20377329999999999</v>
      </c>
      <c r="W3687">
        <v>-4.4961330000000001E-2</v>
      </c>
      <c r="X3687">
        <v>0.97798510000000005</v>
      </c>
      <c r="Y3687">
        <v>0.51955249999999997</v>
      </c>
      <c r="Z3687">
        <v>1.285343E-3</v>
      </c>
      <c r="AA3687">
        <v>0.85443760000000002</v>
      </c>
      <c r="AB3687">
        <v>24</v>
      </c>
      <c r="AC3687">
        <v>58.043999999999997</v>
      </c>
      <c r="AD3687">
        <v>-1.1041043444659999</v>
      </c>
      <c r="AE3687">
        <v>-77.832099999999997</v>
      </c>
      <c r="AF3687">
        <v>50.540657823085198</v>
      </c>
      <c r="AG3687">
        <v>-1.1041043444659999</v>
      </c>
      <c r="AH3687">
        <v>82.886343949138293</v>
      </c>
      <c r="AI3687">
        <v>90.651605547550403</v>
      </c>
      <c r="AJ3687">
        <v>58.626891964983699</v>
      </c>
      <c r="AK3687">
        <v>97.086163549954506</v>
      </c>
      <c r="AL3687">
        <v>92.576963263104105</v>
      </c>
      <c r="AM3687">
        <v>78.230228520776294</v>
      </c>
      <c r="AN3687">
        <v>0.99999996740513397</v>
      </c>
    </row>
    <row r="3688" spans="1:40" x14ac:dyDescent="0.25">
      <c r="A3688" t="str">
        <f>"20190312161345479"</f>
        <v>20190312161345479</v>
      </c>
      <c r="B3688" t="str">
        <f>"1552378425469823"</f>
        <v>1552378425469823</v>
      </c>
      <c r="C3688" t="s">
        <v>40</v>
      </c>
      <c r="D3688">
        <v>5.5921770000000004</v>
      </c>
      <c r="E3688">
        <v>0.63317829999999997</v>
      </c>
      <c r="F3688" t="s">
        <v>60</v>
      </c>
      <c r="G3688">
        <v>-129.49889999999999</v>
      </c>
      <c r="H3688">
        <v>0.88748739999999904</v>
      </c>
      <c r="I3688">
        <v>117.9004</v>
      </c>
      <c r="J3688">
        <v>-198.07669999999999</v>
      </c>
      <c r="K3688">
        <v>1.1040000000000001</v>
      </c>
      <c r="L3688">
        <v>210.69649999999999</v>
      </c>
      <c r="M3688">
        <v>0.92411049999999995</v>
      </c>
      <c r="N3688">
        <v>0</v>
      </c>
      <c r="O3688">
        <v>-0.38185269999999999</v>
      </c>
      <c r="P3688">
        <v>0.82417229999999997</v>
      </c>
      <c r="Q3688">
        <v>-5.6215920000000003E-2</v>
      </c>
      <c r="R3688">
        <v>-0.5635424</v>
      </c>
      <c r="S3688">
        <v>1.8998109999999999</v>
      </c>
      <c r="T3688">
        <v>-5.9815650000000003E-3</v>
      </c>
      <c r="U3688">
        <v>-2.5653079999999999</v>
      </c>
      <c r="V3688">
        <v>0.20544370000000001</v>
      </c>
      <c r="W3688">
        <v>-4.5135620000000001E-2</v>
      </c>
      <c r="X3688">
        <v>0.97762760000000004</v>
      </c>
      <c r="Y3688">
        <v>0.5154299</v>
      </c>
      <c r="Z3688">
        <v>2.3490039999999999E-4</v>
      </c>
      <c r="AA3688">
        <v>0.85693169999999996</v>
      </c>
      <c r="AB3688">
        <v>24</v>
      </c>
      <c r="AC3688">
        <v>68.577799999999996</v>
      </c>
      <c r="AD3688">
        <v>-0.2165126</v>
      </c>
      <c r="AE3688">
        <v>-92.796099999999896</v>
      </c>
      <c r="AF3688">
        <v>59.5732274016544</v>
      </c>
      <c r="AG3688">
        <v>-0.2165126</v>
      </c>
      <c r="AH3688">
        <v>98.817850867563394</v>
      </c>
      <c r="AI3688">
        <v>90.107510788735794</v>
      </c>
      <c r="AJ3688">
        <v>58.915949278404597</v>
      </c>
      <c r="AK3688">
        <v>115.386238134533</v>
      </c>
      <c r="AL3688">
        <v>92.586959327930799</v>
      </c>
      <c r="AM3688">
        <v>78.132255819288503</v>
      </c>
      <c r="AN3688">
        <v>1.00000003117211</v>
      </c>
    </row>
    <row r="3689" spans="1:40" x14ac:dyDescent="0.25">
      <c r="A3689" t="str">
        <f>"20190312161345513"</f>
        <v>20190312161345513</v>
      </c>
      <c r="B3689" t="str">
        <f>"1552378425509839"</f>
        <v>1552378425509839</v>
      </c>
      <c r="C3689" t="s">
        <v>40</v>
      </c>
      <c r="D3689">
        <v>5.6118309999999996</v>
      </c>
      <c r="E3689">
        <v>0.63279940000000001</v>
      </c>
      <c r="F3689" t="s">
        <v>60</v>
      </c>
      <c r="G3689">
        <v>-130.5513</v>
      </c>
      <c r="H3689">
        <v>1.3747389999999999</v>
      </c>
      <c r="I3689">
        <v>117.90049999999999</v>
      </c>
      <c r="J3689">
        <v>-197.7567</v>
      </c>
      <c r="K3689">
        <v>1.103839</v>
      </c>
      <c r="L3689">
        <v>210.5461</v>
      </c>
      <c r="M3689">
        <v>0.9185951</v>
      </c>
      <c r="N3689">
        <v>0</v>
      </c>
      <c r="O3689">
        <v>-0.39493549999999999</v>
      </c>
      <c r="P3689">
        <v>0.814700599999999</v>
      </c>
      <c r="Q3689">
        <v>-5.6903120000000001E-2</v>
      </c>
      <c r="R3689">
        <v>-0.57708369999999998</v>
      </c>
      <c r="S3689">
        <v>1.8769070000000001</v>
      </c>
      <c r="T3689">
        <v>7.5255629999999999E-3</v>
      </c>
      <c r="U3689">
        <v>-2.5793149999999998</v>
      </c>
      <c r="V3689">
        <v>0.20770549999999999</v>
      </c>
      <c r="W3689">
        <v>-4.5906570000000001E-2</v>
      </c>
      <c r="X3689">
        <v>0.97711360000000003</v>
      </c>
      <c r="Y3689">
        <v>0.51043700000000003</v>
      </c>
      <c r="Z3689">
        <v>-3.3700640000000002E-4</v>
      </c>
      <c r="AA3689">
        <v>0.85991509999999904</v>
      </c>
      <c r="AB3689">
        <v>24</v>
      </c>
      <c r="AC3689">
        <v>67.205399999999997</v>
      </c>
      <c r="AD3689">
        <v>0.27089999999999897</v>
      </c>
      <c r="AE3689">
        <v>-92.645600000000002</v>
      </c>
      <c r="AF3689">
        <v>58.567788325480599</v>
      </c>
      <c r="AG3689">
        <v>0.27089999999999897</v>
      </c>
      <c r="AH3689">
        <v>98.333312701215604</v>
      </c>
      <c r="AI3689">
        <v>89.864386984026694</v>
      </c>
      <c r="AJ3689">
        <v>59.221771073541603</v>
      </c>
      <c r="AK3689">
        <v>114.45391912443699</v>
      </c>
      <c r="AL3689">
        <v>92.631177460976104</v>
      </c>
      <c r="AM3689">
        <v>77.999237403522599</v>
      </c>
      <c r="AN3689">
        <v>0.999999987602187</v>
      </c>
    </row>
    <row r="3690" spans="1:40" x14ac:dyDescent="0.25">
      <c r="A3690" t="str">
        <f>"20190312161345535"</f>
        <v>20190312161345535</v>
      </c>
      <c r="B3690" t="str">
        <f>"1552378425529359"</f>
        <v>1552378425529359</v>
      </c>
      <c r="C3690" t="s">
        <v>40</v>
      </c>
      <c r="D3690">
        <v>5.3094260000000002</v>
      </c>
      <c r="E3690">
        <v>0.63238490000000003</v>
      </c>
      <c r="F3690" t="s">
        <v>60</v>
      </c>
      <c r="G3690">
        <v>-132.55199999999999</v>
      </c>
      <c r="H3690">
        <v>1.5038009999999999</v>
      </c>
      <c r="I3690">
        <v>117.9006</v>
      </c>
      <c r="J3690">
        <v>-197.5421</v>
      </c>
      <c r="K3690">
        <v>1.1037170000000001</v>
      </c>
      <c r="L3690">
        <v>210.4417</v>
      </c>
      <c r="M3690">
        <v>0.9146611</v>
      </c>
      <c r="N3690">
        <v>0</v>
      </c>
      <c r="O3690">
        <v>-0.40396149999999997</v>
      </c>
      <c r="P3690">
        <v>0.80818269999999903</v>
      </c>
      <c r="Q3690">
        <v>-5.6588140000000002E-2</v>
      </c>
      <c r="R3690">
        <v>-0.58620719999999904</v>
      </c>
      <c r="S3690">
        <v>1.835663</v>
      </c>
      <c r="T3690">
        <v>1.1260030000000001E-2</v>
      </c>
      <c r="U3690">
        <v>-2.6081850000000002</v>
      </c>
      <c r="V3690">
        <v>0.20905180000000001</v>
      </c>
      <c r="W3690">
        <v>-4.5647510000000002E-2</v>
      </c>
      <c r="X3690">
        <v>0.9768386</v>
      </c>
      <c r="Y3690">
        <v>0.51553190000000004</v>
      </c>
      <c r="Z3690">
        <v>-5.2969170000000002E-4</v>
      </c>
      <c r="AA3690">
        <v>0.85687019999999903</v>
      </c>
      <c r="AB3690">
        <v>23</v>
      </c>
      <c r="AC3690">
        <v>64.990099999999899</v>
      </c>
      <c r="AD3690">
        <v>0.400083999999999</v>
      </c>
      <c r="AE3690">
        <v>-92.5411</v>
      </c>
      <c r="AF3690">
        <v>58.395652237276401</v>
      </c>
      <c r="AG3690">
        <v>0.400083999999999</v>
      </c>
      <c r="AH3690">
        <v>96.835922872659907</v>
      </c>
      <c r="AI3690">
        <v>89.797286133584393</v>
      </c>
      <c r="AJ3690">
        <v>58.9084649574732</v>
      </c>
      <c r="AK3690">
        <v>113.081422992566</v>
      </c>
      <c r="AL3690">
        <v>92.616318806167499</v>
      </c>
      <c r="AM3690">
        <v>77.920427636613297</v>
      </c>
      <c r="AN3690">
        <v>1.0000000003512</v>
      </c>
    </row>
    <row r="3691" spans="1:40" x14ac:dyDescent="0.25">
      <c r="A3691" t="str">
        <f>"20190312161345557"</f>
        <v>20190312161345557</v>
      </c>
      <c r="B3691" t="str">
        <f>"1552378425549855"</f>
        <v>1552378425549855</v>
      </c>
      <c r="C3691" t="s">
        <v>40</v>
      </c>
      <c r="D3691">
        <v>5.3517060000000001</v>
      </c>
      <c r="E3691">
        <v>0.63186940000000003</v>
      </c>
      <c r="F3691" t="s">
        <v>60</v>
      </c>
      <c r="G3691">
        <v>-133.81010000000001</v>
      </c>
      <c r="H3691">
        <v>1.5102329999999999</v>
      </c>
      <c r="I3691">
        <v>117.9006</v>
      </c>
      <c r="J3691">
        <v>-197.3304</v>
      </c>
      <c r="K3691">
        <v>1.1036090000000001</v>
      </c>
      <c r="L3691">
        <v>210.33580000000001</v>
      </c>
      <c r="M3691">
        <v>0.91059880000000004</v>
      </c>
      <c r="N3691">
        <v>0</v>
      </c>
      <c r="O3691">
        <v>-0.41303649999999997</v>
      </c>
      <c r="P3691">
        <v>0.8017263</v>
      </c>
      <c r="Q3691">
        <v>-5.6060789999999999E-2</v>
      </c>
      <c r="R3691">
        <v>-0.59505669999999899</v>
      </c>
      <c r="S3691">
        <v>1.8083039999999999</v>
      </c>
      <c r="T3691">
        <v>1.1534569999999999E-2</v>
      </c>
      <c r="U3691">
        <v>-2.6257169999999999</v>
      </c>
      <c r="V3691">
        <v>0.21005760000000001</v>
      </c>
      <c r="W3691">
        <v>-4.5167939999999997E-2</v>
      </c>
      <c r="X3691">
        <v>0.97664510000000004</v>
      </c>
      <c r="Y3691">
        <v>0.51573670000000005</v>
      </c>
      <c r="Z3691">
        <v>-5.79311E-4</v>
      </c>
      <c r="AA3691">
        <v>0.85674689999999998</v>
      </c>
      <c r="AB3691">
        <v>23</v>
      </c>
      <c r="AC3691">
        <v>63.520299999999899</v>
      </c>
      <c r="AD3691">
        <v>0.40662399999999899</v>
      </c>
      <c r="AE3691">
        <v>-92.435199999999995</v>
      </c>
      <c r="AF3691">
        <v>57.940521935193601</v>
      </c>
      <c r="AG3691">
        <v>0.40662399999999899</v>
      </c>
      <c r="AH3691">
        <v>96.029474378299099</v>
      </c>
      <c r="AI3691">
        <v>89.792272137295598</v>
      </c>
      <c r="AJ3691">
        <v>58.894821019554897</v>
      </c>
      <c r="AK3691">
        <v>112.15582630685</v>
      </c>
      <c r="AL3691">
        <v>92.588813112360199</v>
      </c>
      <c r="AM3691">
        <v>77.8616954758552</v>
      </c>
      <c r="AN3691">
        <v>0.99999999473780599</v>
      </c>
    </row>
    <row r="3692" spans="1:40" x14ac:dyDescent="0.25">
      <c r="A3692" t="str">
        <f>"20190312161345579"</f>
        <v>20190312161345579</v>
      </c>
      <c r="B3692" t="str">
        <f>"1552378425569375"</f>
        <v>1552378425569375</v>
      </c>
      <c r="C3692" t="s">
        <v>40</v>
      </c>
      <c r="D3692">
        <v>5.7770039999999998</v>
      </c>
      <c r="E3692">
        <v>0.63143190000000005</v>
      </c>
      <c r="F3692" t="s">
        <v>60</v>
      </c>
      <c r="G3692">
        <v>-134.9854</v>
      </c>
      <c r="H3692">
        <v>1.5706199999999999</v>
      </c>
      <c r="I3692">
        <v>117.9006</v>
      </c>
      <c r="J3692">
        <v>-197.1173</v>
      </c>
      <c r="K3692">
        <v>1.103494</v>
      </c>
      <c r="L3692">
        <v>210.22640000000001</v>
      </c>
      <c r="M3692">
        <v>0.90631010000000001</v>
      </c>
      <c r="N3692">
        <v>0</v>
      </c>
      <c r="O3692">
        <v>-0.42236269999999998</v>
      </c>
      <c r="P3692">
        <v>0.79461990000000005</v>
      </c>
      <c r="Q3692">
        <v>-5.6308450000000003E-2</v>
      </c>
      <c r="R3692">
        <v>-0.60449069999999905</v>
      </c>
      <c r="S3692">
        <v>1.7819370000000001</v>
      </c>
      <c r="T3692">
        <v>1.3348219999999999E-2</v>
      </c>
      <c r="U3692">
        <v>-2.6419679999999999</v>
      </c>
      <c r="V3692">
        <v>0.2115641</v>
      </c>
      <c r="W3692">
        <v>-4.547532E-2</v>
      </c>
      <c r="X3692">
        <v>0.9763056</v>
      </c>
      <c r="Y3692">
        <v>0.51525750000000003</v>
      </c>
      <c r="Z3692">
        <v>-7.1589989999999997E-4</v>
      </c>
      <c r="AA3692">
        <v>0.857035199999999</v>
      </c>
      <c r="AB3692">
        <v>23</v>
      </c>
      <c r="AC3692">
        <v>62.131900000000002</v>
      </c>
      <c r="AD3692">
        <v>0.46712599999999999</v>
      </c>
      <c r="AE3692">
        <v>-92.325800000000001</v>
      </c>
      <c r="AF3692">
        <v>57.438677767722403</v>
      </c>
      <c r="AG3692">
        <v>0.46712599999999999</v>
      </c>
      <c r="AH3692">
        <v>95.314155494762502</v>
      </c>
      <c r="AI3692">
        <v>89.759495156535706</v>
      </c>
      <c r="AJ3692">
        <v>58.925788945776901</v>
      </c>
      <c r="AK3692">
        <v>111.28435715806501</v>
      </c>
      <c r="AL3692">
        <v>92.606442793909295</v>
      </c>
      <c r="AM3692">
        <v>77.7731273033462</v>
      </c>
      <c r="AN3692">
        <v>0.99999999886463597</v>
      </c>
    </row>
    <row r="3693" spans="1:40" x14ac:dyDescent="0.25">
      <c r="A3693" t="str">
        <f>"20190312161345602"</f>
        <v>20190312161345602</v>
      </c>
      <c r="B3693" t="str">
        <f>"1552378425589402"</f>
        <v>1552378425589402</v>
      </c>
      <c r="C3693" t="s">
        <v>40</v>
      </c>
      <c r="D3693">
        <v>5.7268869999999996</v>
      </c>
      <c r="E3693">
        <v>0.63057240000000003</v>
      </c>
      <c r="F3693" t="s">
        <v>60</v>
      </c>
      <c r="G3693">
        <v>-136.2834</v>
      </c>
      <c r="H3693">
        <v>1.439001</v>
      </c>
      <c r="I3693">
        <v>117.90049999999999</v>
      </c>
      <c r="J3693">
        <v>-196.91210000000001</v>
      </c>
      <c r="K3693">
        <v>1.1033740000000001</v>
      </c>
      <c r="L3693">
        <v>210.1181</v>
      </c>
      <c r="M3693">
        <v>0.90197369999999999</v>
      </c>
      <c r="N3693">
        <v>0</v>
      </c>
      <c r="O3693">
        <v>-0.43154480000000001</v>
      </c>
      <c r="P3693">
        <v>0.78756729999999997</v>
      </c>
      <c r="Q3693">
        <v>-5.6694559999999998E-2</v>
      </c>
      <c r="R3693">
        <v>-0.61361549999999998</v>
      </c>
      <c r="S3693">
        <v>1.7526090000000001</v>
      </c>
      <c r="T3693">
        <v>9.6660849999999996E-3</v>
      </c>
      <c r="U3693">
        <v>-2.6598820000000001</v>
      </c>
      <c r="V3693">
        <v>0.21290190000000001</v>
      </c>
      <c r="W3693">
        <v>-4.5918779999999999E-2</v>
      </c>
      <c r="X3693">
        <v>0.97599400000000003</v>
      </c>
      <c r="Y3693">
        <v>0.51579090000000005</v>
      </c>
      <c r="Z3693">
        <v>-5.4924059999999998E-4</v>
      </c>
      <c r="AA3693">
        <v>0.85671439999999999</v>
      </c>
      <c r="AB3693">
        <v>23</v>
      </c>
      <c r="AC3693">
        <v>60.628700000000002</v>
      </c>
      <c r="AD3693">
        <v>0.33562699999999901</v>
      </c>
      <c r="AE3693">
        <v>-92.217600000000004</v>
      </c>
      <c r="AF3693">
        <v>57.019381865712397</v>
      </c>
      <c r="AG3693">
        <v>0.33562699999999901</v>
      </c>
      <c r="AH3693">
        <v>94.490686404857698</v>
      </c>
      <c r="AI3693">
        <v>89.825755172905701</v>
      </c>
      <c r="AJ3693">
        <v>58.891573411839502</v>
      </c>
      <c r="AK3693">
        <v>110.36218723408901</v>
      </c>
      <c r="AL3693">
        <v>92.631877693777895</v>
      </c>
      <c r="AM3693">
        <v>77.694351532875999</v>
      </c>
      <c r="AN3693">
        <v>1.0000000207081401</v>
      </c>
    </row>
    <row r="3694" spans="1:40" x14ac:dyDescent="0.25">
      <c r="A3694" t="str">
        <f>"20190312161345624"</f>
        <v>20190312161345624</v>
      </c>
      <c r="B3694" t="str">
        <f>"1552378425619659"</f>
        <v>1552378425619659</v>
      </c>
      <c r="C3694" t="s">
        <v>40</v>
      </c>
      <c r="D3694">
        <v>5.7521300000000002</v>
      </c>
      <c r="E3694">
        <v>0.62980380000000002</v>
      </c>
      <c r="F3694" t="s">
        <v>60</v>
      </c>
      <c r="G3694">
        <v>-137.40350000000001</v>
      </c>
      <c r="H3694">
        <v>1.3324180000000001</v>
      </c>
      <c r="I3694">
        <v>117.90049999999999</v>
      </c>
      <c r="J3694">
        <v>-196.7013</v>
      </c>
      <c r="K3694">
        <v>1.1032580000000001</v>
      </c>
      <c r="L3694">
        <v>210.00389999999999</v>
      </c>
      <c r="M3694">
        <v>0.89729429999999999</v>
      </c>
      <c r="N3694">
        <v>0</v>
      </c>
      <c r="O3694">
        <v>-0.4411911</v>
      </c>
      <c r="P3694">
        <v>0.78028540000000002</v>
      </c>
      <c r="Q3694">
        <v>-5.6353729999999998E-2</v>
      </c>
      <c r="R3694">
        <v>-0.62287999999999999</v>
      </c>
      <c r="S3694">
        <v>1.7258910000000001</v>
      </c>
      <c r="T3694">
        <v>6.643057E-3</v>
      </c>
      <c r="U3694">
        <v>-2.6745299999999999</v>
      </c>
      <c r="V3694">
        <v>0.21395149999999999</v>
      </c>
      <c r="W3694">
        <v>-4.5630940000000002E-2</v>
      </c>
      <c r="X3694">
        <v>0.97577789999999998</v>
      </c>
      <c r="Y3694">
        <v>0.51477890000000004</v>
      </c>
      <c r="Z3694">
        <v>-4.0178229999999999E-4</v>
      </c>
      <c r="AA3694">
        <v>0.857322899999999</v>
      </c>
      <c r="AB3694">
        <v>23</v>
      </c>
      <c r="AC3694">
        <v>59.297800000000002</v>
      </c>
      <c r="AD3694">
        <v>0.22916</v>
      </c>
      <c r="AE3694">
        <v>-92.103399999999993</v>
      </c>
      <c r="AF3694">
        <v>56.487973275764503</v>
      </c>
      <c r="AG3694">
        <v>0.22916</v>
      </c>
      <c r="AH3694">
        <v>93.852379957435105</v>
      </c>
      <c r="AI3694">
        <v>89.880136933577504</v>
      </c>
      <c r="AJ3694">
        <v>58.957060085111699</v>
      </c>
      <c r="AK3694">
        <v>109.540918668705</v>
      </c>
      <c r="AL3694">
        <v>92.615368507935599</v>
      </c>
      <c r="AM3694">
        <v>77.632892686399799</v>
      </c>
      <c r="AN3694">
        <v>0.99999996858297102</v>
      </c>
    </row>
    <row r="3695" spans="1:40" x14ac:dyDescent="0.25">
      <c r="A3695" t="str">
        <f>"20190312161345646"</f>
        <v>20190312161345646</v>
      </c>
      <c r="B3695" t="str">
        <f>"1552378425640154"</f>
        <v>1552378425640154</v>
      </c>
      <c r="C3695" t="s">
        <v>40</v>
      </c>
      <c r="D3695">
        <v>5.5812179999999998</v>
      </c>
      <c r="E3695">
        <v>0.65087069999999903</v>
      </c>
      <c r="F3695" t="s">
        <v>60</v>
      </c>
      <c r="G3695">
        <v>-138.55160000000001</v>
      </c>
      <c r="H3695">
        <v>1.2973889999999999</v>
      </c>
      <c r="I3695">
        <v>117.90049999999999</v>
      </c>
      <c r="J3695">
        <v>-196.49260000000001</v>
      </c>
      <c r="K3695">
        <v>1.1031329999999999</v>
      </c>
      <c r="L3695">
        <v>209.88759999999999</v>
      </c>
      <c r="M3695">
        <v>0.89242389999999905</v>
      </c>
      <c r="N3695">
        <v>0</v>
      </c>
      <c r="O3695">
        <v>-0.45096019999999998</v>
      </c>
      <c r="P3695">
        <v>0.77324409999999999</v>
      </c>
      <c r="Q3695">
        <v>-5.5628410000000003E-2</v>
      </c>
      <c r="R3695">
        <v>-0.631664</v>
      </c>
      <c r="S3695">
        <v>1.6981200000000001</v>
      </c>
      <c r="T3695">
        <v>5.6693550000000001E-3</v>
      </c>
      <c r="U3695">
        <v>-2.689651</v>
      </c>
      <c r="V3695">
        <v>0.2143081</v>
      </c>
      <c r="W3695">
        <v>-4.4945310000000002E-2</v>
      </c>
      <c r="X3695">
        <v>0.97573149999999997</v>
      </c>
      <c r="Y3695">
        <v>0.5139184</v>
      </c>
      <c r="Z3695">
        <v>-3.6380750000000002E-4</v>
      </c>
      <c r="AA3695">
        <v>0.85783899999999902</v>
      </c>
      <c r="AB3695">
        <v>23</v>
      </c>
      <c r="AC3695">
        <v>57.941000000000003</v>
      </c>
      <c r="AD3695">
        <v>0.19425600000000001</v>
      </c>
      <c r="AE3695">
        <v>-91.987099999999998</v>
      </c>
      <c r="AF3695">
        <v>55.968225280162599</v>
      </c>
      <c r="AG3695">
        <v>0.19425600000000001</v>
      </c>
      <c r="AH3695">
        <v>93.200152016900304</v>
      </c>
      <c r="AI3695">
        <v>89.897620839702299</v>
      </c>
      <c r="AJ3695">
        <v>59.014490389515501</v>
      </c>
      <c r="AK3695">
        <v>108.714066764048</v>
      </c>
      <c r="AL3695">
        <v>92.576044368339694</v>
      </c>
      <c r="AM3695">
        <v>77.612344967118602</v>
      </c>
      <c r="AN3695">
        <v>1.0000000013544199</v>
      </c>
    </row>
    <row r="3696" spans="1:40" x14ac:dyDescent="0.25">
      <c r="A3696" t="str">
        <f>"20190312161345669"</f>
        <v>20190312161345669</v>
      </c>
      <c r="B3696" t="str">
        <f>"1552378425659675"</f>
        <v>1552378425659675</v>
      </c>
      <c r="C3696" t="s">
        <v>40</v>
      </c>
      <c r="D3696">
        <v>5.1325139999999996</v>
      </c>
      <c r="E3696">
        <v>0.6407043</v>
      </c>
      <c r="F3696" t="s">
        <v>42</v>
      </c>
      <c r="G3696">
        <v>-189.25190000000001</v>
      </c>
      <c r="H3696" s="1">
        <v>-3.188813E-6</v>
      </c>
      <c r="I3696">
        <v>196.75659999999999</v>
      </c>
      <c r="J3696">
        <v>-196.28720000000001</v>
      </c>
      <c r="K3696">
        <v>1.103003</v>
      </c>
      <c r="L3696">
        <v>209.7698</v>
      </c>
      <c r="M3696">
        <v>0.88738329999999999</v>
      </c>
      <c r="N3696">
        <v>0</v>
      </c>
      <c r="O3696">
        <v>-0.4607984</v>
      </c>
      <c r="P3696">
        <v>0.76602789999999998</v>
      </c>
      <c r="Q3696">
        <v>-5.5270079999999999E-2</v>
      </c>
      <c r="R3696">
        <v>-0.64042690000000002</v>
      </c>
      <c r="S3696">
        <v>1.5566409999999999</v>
      </c>
      <c r="T3696">
        <v>-0.2371578</v>
      </c>
      <c r="U3696">
        <v>-2.8229519999999999</v>
      </c>
      <c r="V3696">
        <v>0.21461060000000001</v>
      </c>
      <c r="W3696">
        <v>-4.462646E-2</v>
      </c>
      <c r="X3696">
        <v>0.97567959999999998</v>
      </c>
      <c r="Y3696">
        <v>0.5543323</v>
      </c>
      <c r="Z3696">
        <v>1.412946E-2</v>
      </c>
      <c r="AA3696">
        <v>0.83217559999999902</v>
      </c>
      <c r="AB3696">
        <v>23</v>
      </c>
      <c r="AC3696">
        <v>7.0353000000000003</v>
      </c>
      <c r="AD3696">
        <v>-1.1030061888130001</v>
      </c>
      <c r="AE3696">
        <v>-13.013199999999999</v>
      </c>
      <c r="AF3696">
        <v>8.2608118227360503</v>
      </c>
      <c r="AG3696">
        <v>-1.1030061888130001</v>
      </c>
      <c r="AH3696">
        <v>12.17311401928</v>
      </c>
      <c r="AI3696">
        <v>94.287798213700498</v>
      </c>
      <c r="AJ3696">
        <v>55.838744196251497</v>
      </c>
      <c r="AK3696">
        <v>14.7527061771597</v>
      </c>
      <c r="AL3696">
        <v>92.557757375410503</v>
      </c>
      <c r="AM3696">
        <v>77.594761066496105</v>
      </c>
      <c r="AN3696">
        <v>0.999999956210324</v>
      </c>
    </row>
    <row r="3697" spans="1:40" x14ac:dyDescent="0.25">
      <c r="A3697" t="str">
        <f>"20190312161345691"</f>
        <v>20190312161345691</v>
      </c>
      <c r="B3697" t="str">
        <f>"1552378425680171"</f>
        <v>1552378425680171</v>
      </c>
      <c r="C3697" t="s">
        <v>40</v>
      </c>
      <c r="D3697">
        <v>5.5723699999999896</v>
      </c>
      <c r="E3697">
        <v>0.64061469999999998</v>
      </c>
      <c r="F3697" t="s">
        <v>60</v>
      </c>
      <c r="G3697">
        <v>-144.8954</v>
      </c>
      <c r="H3697">
        <v>3.7586979999999999</v>
      </c>
      <c r="I3697">
        <v>118.884</v>
      </c>
      <c r="J3697">
        <v>-196.083</v>
      </c>
      <c r="K3697">
        <v>1.102873</v>
      </c>
      <c r="L3697">
        <v>209.64920000000001</v>
      </c>
      <c r="M3697">
        <v>0.88210999999999995</v>
      </c>
      <c r="N3697">
        <v>0</v>
      </c>
      <c r="O3697">
        <v>-0.4708135</v>
      </c>
      <c r="P3697">
        <v>0.75870269999999995</v>
      </c>
      <c r="Q3697">
        <v>-5.4733129999999998E-2</v>
      </c>
      <c r="R3697">
        <v>-0.64913369999999904</v>
      </c>
      <c r="S3697">
        <v>1.5824739999999999</v>
      </c>
      <c r="T3697">
        <v>8.1775189999999998E-2</v>
      </c>
      <c r="U3697">
        <v>-2.798584</v>
      </c>
      <c r="V3697">
        <v>0.21468670000000001</v>
      </c>
      <c r="W3697">
        <v>-4.4122950000000001E-2</v>
      </c>
      <c r="X3697">
        <v>0.97568580000000005</v>
      </c>
      <c r="Y3697">
        <v>0.53614329999999999</v>
      </c>
      <c r="Z3697">
        <v>-5.4518469999999897E-3</v>
      </c>
      <c r="AA3697">
        <v>0.84410940000000001</v>
      </c>
      <c r="AB3697">
        <v>23</v>
      </c>
      <c r="AC3697">
        <v>51.187600000000003</v>
      </c>
      <c r="AD3697">
        <v>2.6558250000000001</v>
      </c>
      <c r="AE3697">
        <v>-90.765199999999993</v>
      </c>
      <c r="AF3697">
        <v>55.9348054942039</v>
      </c>
      <c r="AG3697">
        <v>2.6558250000000001</v>
      </c>
      <c r="AH3697">
        <v>87.839036763398894</v>
      </c>
      <c r="AI3697">
        <v>88.539084103400398</v>
      </c>
      <c r="AJ3697">
        <v>57.511523135794697</v>
      </c>
      <c r="AK3697">
        <v>104.170304077634</v>
      </c>
      <c r="AL3697">
        <v>92.528879826921596</v>
      </c>
      <c r="AM3697">
        <v>77.590574893123801</v>
      </c>
      <c r="AN3697">
        <v>0.999999997097616</v>
      </c>
    </row>
    <row r="3698" spans="1:40" x14ac:dyDescent="0.25">
      <c r="A3698" t="str">
        <f>"20190312161345714"</f>
        <v>20190312161345714</v>
      </c>
      <c r="B3698" t="str">
        <f>"1552378425709452"</f>
        <v>1552378425709452</v>
      </c>
      <c r="C3698" t="s">
        <v>40</v>
      </c>
      <c r="D3698">
        <v>5.834956</v>
      </c>
      <c r="E3698">
        <v>0.63939179999999995</v>
      </c>
      <c r="F3698" t="s">
        <v>60</v>
      </c>
      <c r="G3698">
        <v>-145.5291</v>
      </c>
      <c r="H3698">
        <v>4.544702</v>
      </c>
      <c r="I3698">
        <v>117.9016</v>
      </c>
      <c r="J3698">
        <v>-195.8811</v>
      </c>
      <c r="K3698">
        <v>1.1027629999999999</v>
      </c>
      <c r="L3698">
        <v>209.5266</v>
      </c>
      <c r="M3698">
        <v>0.87664909999999996</v>
      </c>
      <c r="N3698">
        <v>0</v>
      </c>
      <c r="O3698">
        <v>-0.480904</v>
      </c>
      <c r="P3698">
        <v>0.75115419999999999</v>
      </c>
      <c r="Q3698">
        <v>-5.4219469999999999E-2</v>
      </c>
      <c r="R3698">
        <v>-0.65789659999999905</v>
      </c>
      <c r="S3698">
        <v>1.5519559999999999</v>
      </c>
      <c r="T3698">
        <v>0.1056608</v>
      </c>
      <c r="U3698">
        <v>-2.8165589999999998</v>
      </c>
      <c r="V3698">
        <v>0.2147956</v>
      </c>
      <c r="W3698">
        <v>-4.3635710000000001E-2</v>
      </c>
      <c r="X3698">
        <v>0.97568370000000004</v>
      </c>
      <c r="Y3698">
        <v>0.53573809999999999</v>
      </c>
      <c r="Z3698">
        <v>-7.4326879999999998E-3</v>
      </c>
      <c r="AA3698">
        <v>0.84435149999999903</v>
      </c>
      <c r="AB3698">
        <v>23</v>
      </c>
      <c r="AC3698">
        <v>50.351999999999997</v>
      </c>
      <c r="AD3698">
        <v>3.4419390000000001</v>
      </c>
      <c r="AE3698">
        <v>-91.625</v>
      </c>
      <c r="AF3698">
        <v>56.053850176692798</v>
      </c>
      <c r="AG3698">
        <v>3.4419390000000001</v>
      </c>
      <c r="AH3698">
        <v>88.117960634699898</v>
      </c>
      <c r="AI3698">
        <v>88.112357371356794</v>
      </c>
      <c r="AJ3698">
        <v>57.538627426678097</v>
      </c>
      <c r="AK3698">
        <v>104.492373167276</v>
      </c>
      <c r="AL3698">
        <v>92.500936225230703</v>
      </c>
      <c r="AM3698">
        <v>77.584449465541198</v>
      </c>
      <c r="AN3698">
        <v>0.99999995370612604</v>
      </c>
    </row>
    <row r="3699" spans="1:40" x14ac:dyDescent="0.25">
      <c r="A3699" t="str">
        <f>"20190312161345737"</f>
        <v>20190312161345737</v>
      </c>
      <c r="B3699" t="str">
        <f>"1552378425729947"</f>
        <v>1552378425729947</v>
      </c>
      <c r="C3699" t="s">
        <v>40</v>
      </c>
      <c r="D3699">
        <v>5.744669</v>
      </c>
      <c r="E3699">
        <v>0.63979229999999998</v>
      </c>
      <c r="F3699" t="s">
        <v>60</v>
      </c>
      <c r="G3699">
        <v>-146.4151</v>
      </c>
      <c r="H3699">
        <v>2.9167459999999998</v>
      </c>
      <c r="I3699">
        <v>117.901</v>
      </c>
      <c r="J3699">
        <v>-195.67240000000001</v>
      </c>
      <c r="K3699">
        <v>1.1026609999999999</v>
      </c>
      <c r="L3699">
        <v>209.39619999999999</v>
      </c>
      <c r="M3699">
        <v>0.87073140000000004</v>
      </c>
      <c r="N3699">
        <v>0</v>
      </c>
      <c r="O3699">
        <v>-0.49153629999999998</v>
      </c>
      <c r="P3699">
        <v>0.74286409999999903</v>
      </c>
      <c r="Q3699">
        <v>-5.4602030000000003E-2</v>
      </c>
      <c r="R3699">
        <v>-0.66721180000000002</v>
      </c>
      <c r="S3699">
        <v>1.524551</v>
      </c>
      <c r="T3699">
        <v>5.5907489999999997E-2</v>
      </c>
      <c r="U3699">
        <v>-2.8239139999999998</v>
      </c>
      <c r="V3699">
        <v>0.21508440000000001</v>
      </c>
      <c r="W3699">
        <v>-4.4045330000000001E-2</v>
      </c>
      <c r="X3699">
        <v>0.97560170000000002</v>
      </c>
      <c r="Y3699">
        <v>0.53274009999999905</v>
      </c>
      <c r="Z3699">
        <v>-4.1861939999999999E-3</v>
      </c>
      <c r="AA3699">
        <v>0.84626849999999998</v>
      </c>
      <c r="AB3699">
        <v>23</v>
      </c>
      <c r="AC3699">
        <v>49.257300000000001</v>
      </c>
      <c r="AD3699">
        <v>1.8140849999999999</v>
      </c>
      <c r="AE3699">
        <v>-91.495199999999897</v>
      </c>
      <c r="AF3699">
        <v>55.445164556274001</v>
      </c>
      <c r="AG3699">
        <v>1.8140849999999999</v>
      </c>
      <c r="AH3699">
        <v>87.845934184015903</v>
      </c>
      <c r="AI3699">
        <v>88.999530672856395</v>
      </c>
      <c r="AJ3699">
        <v>57.741366701410797</v>
      </c>
      <c r="AK3699">
        <v>103.895935097201</v>
      </c>
      <c r="AL3699">
        <v>92.524428234746196</v>
      </c>
      <c r="AM3699">
        <v>77.567262607429996</v>
      </c>
      <c r="AN3699">
        <v>0.999999983630529</v>
      </c>
    </row>
    <row r="3700" spans="1:40" x14ac:dyDescent="0.25">
      <c r="A3700" t="str">
        <f>"20190312161345758"</f>
        <v>20190312161345758</v>
      </c>
      <c r="B3700" t="str">
        <f>"1552378425749468"</f>
        <v>1552378425749468</v>
      </c>
      <c r="C3700" t="s">
        <v>40</v>
      </c>
      <c r="D3700">
        <v>5.615818</v>
      </c>
      <c r="E3700">
        <v>0.63989680000000004</v>
      </c>
      <c r="F3700" t="s">
        <v>60</v>
      </c>
      <c r="G3700">
        <v>-147.87459999999999</v>
      </c>
      <c r="H3700">
        <v>3.6208019999999999</v>
      </c>
      <c r="I3700">
        <v>117.90130000000001</v>
      </c>
      <c r="J3700">
        <v>-195.48330000000001</v>
      </c>
      <c r="K3700">
        <v>1.1025689999999999</v>
      </c>
      <c r="L3700">
        <v>209.2748</v>
      </c>
      <c r="M3700">
        <v>0.86511909999999903</v>
      </c>
      <c r="N3700">
        <v>0</v>
      </c>
      <c r="O3700">
        <v>-0.50134729999999905</v>
      </c>
      <c r="P3700">
        <v>0.73516319999999902</v>
      </c>
      <c r="Q3700">
        <v>-5.4183380000000003E-2</v>
      </c>
      <c r="R3700">
        <v>-0.67572129999999997</v>
      </c>
      <c r="S3700">
        <v>1.487228</v>
      </c>
      <c r="T3700">
        <v>7.8352089999999999E-2</v>
      </c>
      <c r="U3700">
        <v>-2.8468629999999999</v>
      </c>
      <c r="V3700">
        <v>0.21527260000000001</v>
      </c>
      <c r="W3700">
        <v>-4.364734E-2</v>
      </c>
      <c r="X3700">
        <v>0.9755781</v>
      </c>
      <c r="Y3700">
        <v>0.53468979999999999</v>
      </c>
      <c r="Z3700">
        <v>-6.1136769999999997E-3</v>
      </c>
      <c r="AA3700">
        <v>0.84502630000000001</v>
      </c>
      <c r="AB3700">
        <v>23</v>
      </c>
      <c r="AC3700">
        <v>47.608699999999999</v>
      </c>
      <c r="AD3700">
        <v>2.5182329999999902</v>
      </c>
      <c r="AE3700">
        <v>-91.373500000000007</v>
      </c>
      <c r="AF3700">
        <v>55.1535859115316</v>
      </c>
      <c r="AG3700">
        <v>2.5182329999999902</v>
      </c>
      <c r="AH3700">
        <v>86.954672903528206</v>
      </c>
      <c r="AI3700">
        <v>88.599068424187493</v>
      </c>
      <c r="AJ3700">
        <v>57.6138722137242</v>
      </c>
      <c r="AK3700">
        <v>103.00181879997299</v>
      </c>
      <c r="AL3700">
        <v>92.501603079993799</v>
      </c>
      <c r="AM3700">
        <v>77.556430972850606</v>
      </c>
      <c r="AN3700">
        <v>1.00000000589972</v>
      </c>
    </row>
    <row r="3701" spans="1:40" x14ac:dyDescent="0.25">
      <c r="A3701" t="str">
        <f>"20190312161345780"</f>
        <v>20190312161345780</v>
      </c>
      <c r="B3701" t="str">
        <f>"1552378425769963"</f>
        <v>1552378425769963</v>
      </c>
      <c r="C3701" t="s">
        <v>40</v>
      </c>
      <c r="D3701">
        <v>5.6992379999999896</v>
      </c>
      <c r="E3701">
        <v>0.63906809999999903</v>
      </c>
      <c r="F3701" t="s">
        <v>60</v>
      </c>
      <c r="G3701">
        <v>-149.10130000000001</v>
      </c>
      <c r="H3701">
        <v>3.667262</v>
      </c>
      <c r="I3701">
        <v>117.90130000000001</v>
      </c>
      <c r="J3701">
        <v>-195.2937</v>
      </c>
      <c r="K3701">
        <v>1.102476</v>
      </c>
      <c r="L3701">
        <v>209.1497</v>
      </c>
      <c r="M3701">
        <v>0.85923430000000001</v>
      </c>
      <c r="N3701">
        <v>0</v>
      </c>
      <c r="O3701">
        <v>-0.5113664</v>
      </c>
      <c r="P3701">
        <v>0.72765080000000004</v>
      </c>
      <c r="Q3701">
        <v>-5.3425809999999997E-2</v>
      </c>
      <c r="R3701">
        <v>-0.68386409999999997</v>
      </c>
      <c r="S3701">
        <v>1.4539489999999999</v>
      </c>
      <c r="T3701">
        <v>8.0396179999999998E-2</v>
      </c>
      <c r="U3701">
        <v>-2.8643040000000002</v>
      </c>
      <c r="V3701">
        <v>0.2147732</v>
      </c>
      <c r="W3701">
        <v>-4.2895000000000003E-2</v>
      </c>
      <c r="X3701">
        <v>0.97572150000000002</v>
      </c>
      <c r="Y3701">
        <v>0.53475509999999904</v>
      </c>
      <c r="Z3701">
        <v>-6.5650989999999996E-3</v>
      </c>
      <c r="AA3701">
        <v>0.844981599999999</v>
      </c>
      <c r="AB3701">
        <v>23</v>
      </c>
      <c r="AC3701">
        <v>46.1923999999999</v>
      </c>
      <c r="AD3701">
        <v>2.5647859999999998</v>
      </c>
      <c r="AE3701">
        <v>-91.248400000000004</v>
      </c>
      <c r="AF3701">
        <v>54.754129445139398</v>
      </c>
      <c r="AG3701">
        <v>2.5647859999999998</v>
      </c>
      <c r="AH3701">
        <v>86.306719175294504</v>
      </c>
      <c r="AI3701">
        <v>88.562560228972501</v>
      </c>
      <c r="AJ3701">
        <v>57.608415381620603</v>
      </c>
      <c r="AK3701">
        <v>102.242078389105</v>
      </c>
      <c r="AL3701">
        <v>92.458456831142001</v>
      </c>
      <c r="AM3701">
        <v>77.586170104162505</v>
      </c>
      <c r="AN3701">
        <v>0.99999997701274401</v>
      </c>
    </row>
    <row r="3702" spans="1:40" x14ac:dyDescent="0.25">
      <c r="A3702" t="str">
        <f>"20190312161345803"</f>
        <v>20190312161345803</v>
      </c>
      <c r="B3702" t="str">
        <f>"1552378425799749"</f>
        <v>1552378425799749</v>
      </c>
      <c r="C3702" t="s">
        <v>40</v>
      </c>
      <c r="D3702">
        <v>5.6478970000000004</v>
      </c>
      <c r="E3702">
        <v>0.63703719999999997</v>
      </c>
      <c r="F3702" t="s">
        <v>60</v>
      </c>
      <c r="G3702">
        <v>-150.0138</v>
      </c>
      <c r="H3702">
        <v>3.2500149999999999</v>
      </c>
      <c r="I3702">
        <v>117.9012</v>
      </c>
      <c r="J3702">
        <v>-195.09790000000001</v>
      </c>
      <c r="K3702">
        <v>1.102366</v>
      </c>
      <c r="L3702">
        <v>209.017</v>
      </c>
      <c r="M3702">
        <v>0.85287869999999999</v>
      </c>
      <c r="N3702">
        <v>0</v>
      </c>
      <c r="O3702">
        <v>-0.52189649999999999</v>
      </c>
      <c r="P3702">
        <v>0.71947090000000002</v>
      </c>
      <c r="Q3702">
        <v>-5.3039389999999999E-2</v>
      </c>
      <c r="R3702">
        <v>-0.69249430000000001</v>
      </c>
      <c r="S3702">
        <v>1.426361</v>
      </c>
      <c r="T3702">
        <v>6.7649959999999995E-2</v>
      </c>
      <c r="U3702">
        <v>-2.8744200000000002</v>
      </c>
      <c r="V3702">
        <v>0.21439140000000001</v>
      </c>
      <c r="W3702">
        <v>-4.2517640000000002E-2</v>
      </c>
      <c r="X3702">
        <v>0.97582199999999997</v>
      </c>
      <c r="Y3702">
        <v>0.532049199999999</v>
      </c>
      <c r="Z3702">
        <v>-5.8222760000000004E-3</v>
      </c>
      <c r="AA3702">
        <v>0.84669340000000004</v>
      </c>
      <c r="AB3702">
        <v>23</v>
      </c>
      <c r="AC3702">
        <v>45.084099999999999</v>
      </c>
      <c r="AD3702">
        <v>2.1476489999999999</v>
      </c>
      <c r="AE3702">
        <v>-91.115799999999993</v>
      </c>
      <c r="AF3702">
        <v>54.163332014039099</v>
      </c>
      <c r="AG3702">
        <v>2.1476489999999999</v>
      </c>
      <c r="AH3702">
        <v>85.975461191226699</v>
      </c>
      <c r="AI3702">
        <v>88.789215471912897</v>
      </c>
      <c r="AJ3702">
        <v>57.7896488373786</v>
      </c>
      <c r="AK3702">
        <v>101.63689712960699</v>
      </c>
      <c r="AL3702">
        <v>92.436815898157107</v>
      </c>
      <c r="AM3702">
        <v>77.608792501691397</v>
      </c>
      <c r="AN3702">
        <v>0.99999999889456404</v>
      </c>
    </row>
    <row r="3703" spans="1:40" x14ac:dyDescent="0.25">
      <c r="A3703" t="str">
        <f>"20190312161345826"</f>
        <v>20190312161345826</v>
      </c>
      <c r="B3703" t="str">
        <f>"1552378425820244"</f>
        <v>1552378425820244</v>
      </c>
      <c r="C3703" t="s">
        <v>40</v>
      </c>
      <c r="D3703">
        <v>5.7122400000000004</v>
      </c>
      <c r="E3703">
        <v>0.6358627</v>
      </c>
      <c r="F3703" t="s">
        <v>60</v>
      </c>
      <c r="G3703">
        <v>-150.68870000000001</v>
      </c>
      <c r="H3703">
        <v>3.706413</v>
      </c>
      <c r="I3703">
        <v>117.90130000000001</v>
      </c>
      <c r="J3703">
        <v>-194.9016</v>
      </c>
      <c r="K3703">
        <v>1.1022639999999999</v>
      </c>
      <c r="L3703">
        <v>208.8801</v>
      </c>
      <c r="M3703">
        <v>0.84621069999999998</v>
      </c>
      <c r="N3703">
        <v>0</v>
      </c>
      <c r="O3703">
        <v>-0.53263919999999998</v>
      </c>
      <c r="P3703">
        <v>0.71050539999999995</v>
      </c>
      <c r="Q3703">
        <v>-5.2667459999999999E-2</v>
      </c>
      <c r="R3703">
        <v>-0.70171819999999996</v>
      </c>
      <c r="S3703">
        <v>1.4037170000000001</v>
      </c>
      <c r="T3703">
        <v>8.2310800000000003E-2</v>
      </c>
      <c r="U3703">
        <v>-2.8800509999999999</v>
      </c>
      <c r="V3703">
        <v>0.21462229999999999</v>
      </c>
      <c r="W3703">
        <v>-4.216905E-2</v>
      </c>
      <c r="X3703">
        <v>0.97578640000000005</v>
      </c>
      <c r="Y3703">
        <v>0.5273542</v>
      </c>
      <c r="Z3703">
        <v>-7.484905E-3</v>
      </c>
      <c r="AA3703">
        <v>0.84961260000000005</v>
      </c>
      <c r="AB3703">
        <v>23</v>
      </c>
      <c r="AC3703">
        <v>44.212899999999898</v>
      </c>
      <c r="AD3703">
        <v>2.604149</v>
      </c>
      <c r="AE3703">
        <v>-90.978800000000007</v>
      </c>
      <c r="AF3703">
        <v>53.408269538332398</v>
      </c>
      <c r="AG3703">
        <v>2.604149</v>
      </c>
      <c r="AH3703">
        <v>85.824994081575696</v>
      </c>
      <c r="AI3703">
        <v>88.524288230840597</v>
      </c>
      <c r="AJ3703">
        <v>58.106296170718203</v>
      </c>
      <c r="AK3703">
        <v>101.119505814634</v>
      </c>
      <c r="AL3703">
        <v>92.416825159149496</v>
      </c>
      <c r="AM3703">
        <v>77.5954214970333</v>
      </c>
      <c r="AN3703">
        <v>1.0000000294300699</v>
      </c>
    </row>
    <row r="3704" spans="1:40" x14ac:dyDescent="0.25">
      <c r="A3704" t="str">
        <f>"20190312161345847"</f>
        <v>20190312161345847</v>
      </c>
      <c r="B3704" t="str">
        <f>"1552378425839764"</f>
        <v>1552378425839764</v>
      </c>
      <c r="C3704" t="s">
        <v>40</v>
      </c>
      <c r="D3704">
        <v>5.7145549999999998</v>
      </c>
      <c r="E3704">
        <v>0.63500610000000002</v>
      </c>
      <c r="F3704" t="s">
        <v>60</v>
      </c>
      <c r="G3704">
        <v>-151.70099999999999</v>
      </c>
      <c r="H3704">
        <v>3.870571</v>
      </c>
      <c r="I3704">
        <v>117.9014</v>
      </c>
      <c r="J3704">
        <v>-194.7148</v>
      </c>
      <c r="K3704">
        <v>1.1021590000000001</v>
      </c>
      <c r="L3704">
        <v>208.74619999999999</v>
      </c>
      <c r="M3704">
        <v>0.83957559999999998</v>
      </c>
      <c r="N3704">
        <v>0</v>
      </c>
      <c r="O3704">
        <v>-0.54303679999999999</v>
      </c>
      <c r="P3704">
        <v>0.70177140000000005</v>
      </c>
      <c r="Q3704">
        <v>-5.2754759999999998E-2</v>
      </c>
      <c r="R3704">
        <v>-0.71044629999999998</v>
      </c>
      <c r="S3704">
        <v>1.3730469999999999</v>
      </c>
      <c r="T3704">
        <v>8.7985519999999998E-2</v>
      </c>
      <c r="U3704">
        <v>-2.8915860000000002</v>
      </c>
      <c r="V3704">
        <v>0.2146383</v>
      </c>
      <c r="W3704">
        <v>-4.2274619999999999E-2</v>
      </c>
      <c r="X3704">
        <v>0.97577829999999999</v>
      </c>
      <c r="Y3704">
        <v>0.52553219999999901</v>
      </c>
      <c r="Z3704">
        <v>-8.3723999999999899E-3</v>
      </c>
      <c r="AA3704">
        <v>0.8507325</v>
      </c>
      <c r="AB3704">
        <v>23</v>
      </c>
      <c r="AC3704">
        <v>43.013800000000003</v>
      </c>
      <c r="AD3704">
        <v>2.7684120000000001</v>
      </c>
      <c r="AE3704">
        <v>-90.844800000000006</v>
      </c>
      <c r="AF3704">
        <v>52.878810483478397</v>
      </c>
      <c r="AG3704">
        <v>2.7684120000000001</v>
      </c>
      <c r="AH3704">
        <v>85.390194364837299</v>
      </c>
      <c r="AI3704">
        <v>88.421122921457894</v>
      </c>
      <c r="AJ3704">
        <v>58.231685321363798</v>
      </c>
      <c r="AK3704">
        <v>100.475459674559</v>
      </c>
      <c r="AL3704">
        <v>92.422879303153294</v>
      </c>
      <c r="AM3704">
        <v>77.594425581284398</v>
      </c>
      <c r="AN3704">
        <v>1.0000000170369601</v>
      </c>
    </row>
    <row r="3705" spans="1:40" x14ac:dyDescent="0.25">
      <c r="A3705" t="str">
        <f>"20190312161345870"</f>
        <v>20190312161345870</v>
      </c>
      <c r="B3705" t="str">
        <f>"1552378425860261"</f>
        <v>1552378425860261</v>
      </c>
      <c r="C3705" t="s">
        <v>40</v>
      </c>
      <c r="D3705">
        <v>5.696968</v>
      </c>
      <c r="E3705">
        <v>0.6345807</v>
      </c>
      <c r="F3705" t="s">
        <v>60</v>
      </c>
      <c r="G3705">
        <v>-152.72049999999999</v>
      </c>
      <c r="H3705">
        <v>3.900846</v>
      </c>
      <c r="I3705">
        <v>117.9014</v>
      </c>
      <c r="J3705">
        <v>-194.53059999999999</v>
      </c>
      <c r="K3705">
        <v>1.102061</v>
      </c>
      <c r="L3705">
        <v>208.61009999999999</v>
      </c>
      <c r="M3705">
        <v>0.83272789999999997</v>
      </c>
      <c r="N3705">
        <v>0</v>
      </c>
      <c r="O3705">
        <v>-0.55347899999999906</v>
      </c>
      <c r="P3705">
        <v>0.69270319999999996</v>
      </c>
      <c r="Q3705">
        <v>-5.2566710000000003E-2</v>
      </c>
      <c r="R3705">
        <v>-0.71930469999999902</v>
      </c>
      <c r="S3705">
        <v>1.3421940000000001</v>
      </c>
      <c r="T3705">
        <v>8.9450000000000002E-2</v>
      </c>
      <c r="U3705">
        <v>-2.9035190000000002</v>
      </c>
      <c r="V3705">
        <v>0.21483530000000001</v>
      </c>
      <c r="W3705">
        <v>-4.2107249999999999E-2</v>
      </c>
      <c r="X3705">
        <v>0.9757422</v>
      </c>
      <c r="Y3705">
        <v>0.5236826</v>
      </c>
      <c r="Z3705">
        <v>-8.8914030000000008E-3</v>
      </c>
      <c r="AA3705">
        <v>0.85186709999999999</v>
      </c>
      <c r="AB3705">
        <v>23</v>
      </c>
      <c r="AC3705">
        <v>41.810099999999998</v>
      </c>
      <c r="AD3705">
        <v>2.7987849999999899</v>
      </c>
      <c r="AE3705">
        <v>-90.708699999999993</v>
      </c>
      <c r="AF3705">
        <v>52.359442410296602</v>
      </c>
      <c r="AG3705">
        <v>2.7987849999999899</v>
      </c>
      <c r="AH3705">
        <v>84.964660569138402</v>
      </c>
      <c r="AI3705">
        <v>88.393659206680596</v>
      </c>
      <c r="AJ3705">
        <v>58.356562590754599</v>
      </c>
      <c r="AK3705">
        <v>99.841564253682904</v>
      </c>
      <c r="AL3705">
        <v>92.413281121833705</v>
      </c>
      <c r="AM3705">
        <v>77.582947324760994</v>
      </c>
      <c r="AN3705">
        <v>1.0000000337447399</v>
      </c>
    </row>
    <row r="3706" spans="1:40" x14ac:dyDescent="0.25">
      <c r="A3706" t="str">
        <f>"20190312161345892"</f>
        <v>20190312161345892</v>
      </c>
      <c r="B3706" t="str">
        <f>"1552378425889911"</f>
        <v>1552378425889911</v>
      </c>
      <c r="C3706" t="s">
        <v>40</v>
      </c>
      <c r="D3706">
        <v>5.6609749999999996</v>
      </c>
      <c r="E3706">
        <v>0.6340228</v>
      </c>
      <c r="F3706" t="s">
        <v>60</v>
      </c>
      <c r="G3706">
        <v>-153.8699</v>
      </c>
      <c r="H3706">
        <v>3.9508839999999998</v>
      </c>
      <c r="I3706">
        <v>117.9014</v>
      </c>
      <c r="J3706">
        <v>-194.34059999999999</v>
      </c>
      <c r="K3706">
        <v>1.1019639999999999</v>
      </c>
      <c r="L3706">
        <v>208.46549999999999</v>
      </c>
      <c r="M3706">
        <v>0.82533709999999905</v>
      </c>
      <c r="N3706">
        <v>0</v>
      </c>
      <c r="O3706">
        <v>-0.56443980000000005</v>
      </c>
      <c r="P3706">
        <v>0.68320630000000004</v>
      </c>
      <c r="Q3706">
        <v>-5.2068650000000001E-2</v>
      </c>
      <c r="R3706">
        <v>-0.72836669999999903</v>
      </c>
      <c r="S3706">
        <v>1.307922</v>
      </c>
      <c r="T3706">
        <v>9.1637490000000002E-2</v>
      </c>
      <c r="U3706">
        <v>-2.9178009999999999</v>
      </c>
      <c r="V3706">
        <v>0.21476680000000001</v>
      </c>
      <c r="W3706">
        <v>-4.1620749999999998E-2</v>
      </c>
      <c r="X3706">
        <v>0.97577809999999998</v>
      </c>
      <c r="Y3706">
        <v>0.52230559999999904</v>
      </c>
      <c r="Z3706">
        <v>-9.5067069999999997E-3</v>
      </c>
      <c r="AA3706">
        <v>0.85270539999999995</v>
      </c>
      <c r="AB3706">
        <v>23</v>
      </c>
      <c r="AC3706">
        <v>40.470700000000001</v>
      </c>
      <c r="AD3706">
        <v>2.8489200000000001</v>
      </c>
      <c r="AE3706">
        <v>-90.564099999999996</v>
      </c>
      <c r="AF3706">
        <v>51.865732129326602</v>
      </c>
      <c r="AG3706">
        <v>2.8489200000000001</v>
      </c>
      <c r="AH3706">
        <v>84.459854191164396</v>
      </c>
      <c r="AI3706">
        <v>88.353545511797194</v>
      </c>
      <c r="AJ3706">
        <v>58.446438562125998</v>
      </c>
      <c r="AK3706">
        <v>99.154614035203707</v>
      </c>
      <c r="AL3706">
        <v>92.385382388885901</v>
      </c>
      <c r="AM3706">
        <v>77.587226277748996</v>
      </c>
      <c r="AN3706">
        <v>0.99999998282620595</v>
      </c>
    </row>
    <row r="3707" spans="1:40" x14ac:dyDescent="0.25">
      <c r="A3707" t="str">
        <f>"20190312161345917"</f>
        <v>20190312161345917</v>
      </c>
      <c r="B3707" t="str">
        <f>"1552378425909429"</f>
        <v>1552378425909429</v>
      </c>
      <c r="C3707" t="s">
        <v>40</v>
      </c>
      <c r="D3707">
        <v>5.9017489999999997</v>
      </c>
      <c r="E3707">
        <v>0.63382839999999996</v>
      </c>
      <c r="F3707" t="s">
        <v>60</v>
      </c>
      <c r="G3707">
        <v>-155.44899999999899</v>
      </c>
      <c r="H3707">
        <v>3.966828</v>
      </c>
      <c r="I3707">
        <v>118.884</v>
      </c>
      <c r="J3707">
        <v>-194.1412</v>
      </c>
      <c r="K3707">
        <v>1.101882</v>
      </c>
      <c r="L3707">
        <v>208.30930000000001</v>
      </c>
      <c r="M3707">
        <v>0.81723299999999999</v>
      </c>
      <c r="N3707">
        <v>0</v>
      </c>
      <c r="O3707">
        <v>-0.57610980000000001</v>
      </c>
      <c r="P3707">
        <v>0.67274069999999997</v>
      </c>
      <c r="Q3707">
        <v>-5.2071729999999997E-2</v>
      </c>
      <c r="R3707">
        <v>-0.73804360000000002</v>
      </c>
      <c r="S3707">
        <v>1.2727660000000001</v>
      </c>
      <c r="T3707">
        <v>9.3755720000000001E-2</v>
      </c>
      <c r="U3707">
        <v>-2.9316409999999999</v>
      </c>
      <c r="V3707">
        <v>0.21482100000000001</v>
      </c>
      <c r="W3707">
        <v>-4.163149E-2</v>
      </c>
      <c r="X3707">
        <v>0.97576569999999996</v>
      </c>
      <c r="Y3707">
        <v>0.52025969999999999</v>
      </c>
      <c r="Z3707">
        <v>-1.017125E-2</v>
      </c>
      <c r="AA3707">
        <v>0.85394749999999997</v>
      </c>
      <c r="AB3707">
        <v>23</v>
      </c>
      <c r="AC3707">
        <v>38.6922</v>
      </c>
      <c r="AD3707">
        <v>2.8649460000000002</v>
      </c>
      <c r="AE3707">
        <v>-89.425299999999993</v>
      </c>
      <c r="AF3707">
        <v>50.752257273726102</v>
      </c>
      <c r="AG3707">
        <v>2.8649460000000002</v>
      </c>
      <c r="AH3707">
        <v>83.076978971808003</v>
      </c>
      <c r="AI3707">
        <v>88.314358909294</v>
      </c>
      <c r="AJ3707">
        <v>58.578975427871903</v>
      </c>
      <c r="AK3707">
        <v>97.394989445266802</v>
      </c>
      <c r="AL3707">
        <v>92.385998304878598</v>
      </c>
      <c r="AM3707">
        <v>77.584037956419905</v>
      </c>
      <c r="AN3707">
        <v>0.99999997214855396</v>
      </c>
    </row>
    <row r="3708" spans="1:40" x14ac:dyDescent="0.25">
      <c r="A3708" t="str">
        <f>"20190312161345938"</f>
        <v>20190312161345938</v>
      </c>
      <c r="B3708" t="str">
        <f>"1552378425929925"</f>
        <v>1552378425929925</v>
      </c>
      <c r="C3708" t="s">
        <v>40</v>
      </c>
      <c r="D3708">
        <v>4.9738360000000004</v>
      </c>
      <c r="E3708">
        <v>0.63414289999999995</v>
      </c>
      <c r="F3708" t="s">
        <v>60</v>
      </c>
      <c r="G3708">
        <v>-156.78</v>
      </c>
      <c r="H3708">
        <v>4.0309850000000003</v>
      </c>
      <c r="I3708">
        <v>118.8841</v>
      </c>
      <c r="J3708">
        <v>-193.96559999999999</v>
      </c>
      <c r="K3708">
        <v>1.1018209999999999</v>
      </c>
      <c r="L3708">
        <v>208.16759999999999</v>
      </c>
      <c r="M3708">
        <v>0.80978640000000002</v>
      </c>
      <c r="N3708">
        <v>0</v>
      </c>
      <c r="O3708">
        <v>-0.58653029999999995</v>
      </c>
      <c r="P3708">
        <v>0.66378579999999998</v>
      </c>
      <c r="Q3708">
        <v>-5.1846839999999998E-2</v>
      </c>
      <c r="R3708">
        <v>-0.74612400000000001</v>
      </c>
      <c r="S3708">
        <v>1.231949</v>
      </c>
      <c r="T3708">
        <v>9.6584320000000001E-2</v>
      </c>
      <c r="U3708">
        <v>-2.9487000000000001</v>
      </c>
      <c r="V3708">
        <v>0.2141093</v>
      </c>
      <c r="W3708">
        <v>-4.1391280000000003E-2</v>
      </c>
      <c r="X3708">
        <v>0.97593240000000003</v>
      </c>
      <c r="Y3708">
        <v>0.52114300000000002</v>
      </c>
      <c r="Z3708">
        <v>-1.0843240000000001E-2</v>
      </c>
      <c r="AA3708">
        <v>0.85340049999999901</v>
      </c>
      <c r="AB3708">
        <v>23</v>
      </c>
      <c r="AC3708">
        <v>37.185600000000001</v>
      </c>
      <c r="AD3708">
        <v>2.9291640000000001</v>
      </c>
      <c r="AE3708">
        <v>-89.283499999999904</v>
      </c>
      <c r="AF3708">
        <v>50.449571094091098</v>
      </c>
      <c r="AG3708">
        <v>2.9291640000000001</v>
      </c>
      <c r="AH3708">
        <v>82.413691660247295</v>
      </c>
      <c r="AI3708">
        <v>88.263696742711403</v>
      </c>
      <c r="AJ3708">
        <v>58.527100590110102</v>
      </c>
      <c r="AK3708">
        <v>96.673449293934695</v>
      </c>
      <c r="AL3708">
        <v>92.372223250947698</v>
      </c>
      <c r="AM3708">
        <v>77.625951179015104</v>
      </c>
      <c r="AN3708">
        <v>1.0000000398881399</v>
      </c>
    </row>
    <row r="3709" spans="1:40" x14ac:dyDescent="0.25">
      <c r="A3709" t="str">
        <f>"20190312161345959"</f>
        <v>20190312161345959</v>
      </c>
      <c r="B3709" t="str">
        <f>"1552378425949445"</f>
        <v>1552378425949445</v>
      </c>
      <c r="C3709" t="s">
        <v>40</v>
      </c>
      <c r="D3709">
        <v>5.1060129999999999</v>
      </c>
      <c r="E3709">
        <v>0.69278009999999901</v>
      </c>
      <c r="F3709" t="s">
        <v>60</v>
      </c>
      <c r="G3709">
        <v>-157.352</v>
      </c>
      <c r="H3709">
        <v>4.2121219999999999</v>
      </c>
      <c r="I3709">
        <v>117.27889999999999</v>
      </c>
      <c r="J3709">
        <v>-193.7997</v>
      </c>
      <c r="K3709">
        <v>1.1017680000000001</v>
      </c>
      <c r="L3709">
        <v>208.03020000000001</v>
      </c>
      <c r="M3709">
        <v>0.80247209999999902</v>
      </c>
      <c r="N3709">
        <v>0</v>
      </c>
      <c r="O3709">
        <v>-0.59649759999999996</v>
      </c>
      <c r="P3709">
        <v>0.6547769</v>
      </c>
      <c r="Q3709">
        <v>-5.202561E-2</v>
      </c>
      <c r="R3709">
        <v>-0.75402959999999997</v>
      </c>
      <c r="S3709">
        <v>1.1944889999999999</v>
      </c>
      <c r="T3709">
        <v>0.1014712</v>
      </c>
      <c r="U3709">
        <v>-2.9651640000000001</v>
      </c>
      <c r="V3709">
        <v>0.2137455</v>
      </c>
      <c r="W3709">
        <v>-4.1561420000000002E-2</v>
      </c>
      <c r="X3709">
        <v>0.97600489999999995</v>
      </c>
      <c r="Y3709">
        <v>0.5215147</v>
      </c>
      <c r="Z3709">
        <v>-1.176347E-2</v>
      </c>
      <c r="AA3709">
        <v>0.85316119999999995</v>
      </c>
      <c r="AB3709">
        <v>23</v>
      </c>
      <c r="AC3709">
        <v>36.447699999999998</v>
      </c>
      <c r="AD3709">
        <v>3.1103540000000001</v>
      </c>
      <c r="AE3709">
        <v>-90.751300000000001</v>
      </c>
      <c r="AF3709">
        <v>51.0386484902074</v>
      </c>
      <c r="AG3709">
        <v>3.1103540000000001</v>
      </c>
      <c r="AH3709">
        <v>83.306484505299395</v>
      </c>
      <c r="AI3709">
        <v>88.176525140151796</v>
      </c>
      <c r="AJ3709">
        <v>58.505815869847403</v>
      </c>
      <c r="AK3709">
        <v>97.747574406447399</v>
      </c>
      <c r="AL3709">
        <v>92.381979979528495</v>
      </c>
      <c r="AM3709">
        <v>77.647219698846399</v>
      </c>
      <c r="AN3709">
        <v>1.0000000276133301</v>
      </c>
    </row>
    <row r="3710" spans="1:40" x14ac:dyDescent="0.25">
      <c r="A3710" t="str">
        <f>"20190312161345982"</f>
        <v>20190312161345982</v>
      </c>
      <c r="B3710" t="str">
        <f>"1552378425980046"</f>
        <v>1552378425980046</v>
      </c>
      <c r="C3710" t="s">
        <v>40</v>
      </c>
      <c r="D3710">
        <v>4.627243</v>
      </c>
      <c r="E3710">
        <v>0.69440970000000002</v>
      </c>
      <c r="F3710" t="s">
        <v>43</v>
      </c>
      <c r="G3710">
        <v>-193.63149999999999</v>
      </c>
      <c r="H3710">
        <v>1.187678</v>
      </c>
      <c r="I3710">
        <v>207.34229999999999</v>
      </c>
      <c r="J3710">
        <v>-193.62100000000001</v>
      </c>
      <c r="K3710">
        <v>1.1017159999999999</v>
      </c>
      <c r="L3710">
        <v>207.87799999999999</v>
      </c>
      <c r="M3710">
        <v>0.79428109999999996</v>
      </c>
      <c r="N3710">
        <v>0</v>
      </c>
      <c r="O3710">
        <v>-0.60736080000000003</v>
      </c>
      <c r="P3710">
        <v>0.64464650000000001</v>
      </c>
      <c r="Q3710">
        <v>-5.2357859999999999E-2</v>
      </c>
      <c r="R3710">
        <v>-0.76268570000000002</v>
      </c>
      <c r="S3710">
        <v>0.80935669999999904</v>
      </c>
      <c r="T3710">
        <v>0.41267490000000001</v>
      </c>
      <c r="U3710">
        <v>-3.3042760000000002</v>
      </c>
      <c r="V3710">
        <v>0.21347279999999999</v>
      </c>
      <c r="W3710">
        <v>-4.1886569999999998E-2</v>
      </c>
      <c r="X3710">
        <v>0.97605070000000005</v>
      </c>
      <c r="Y3710">
        <v>0.62643340000000003</v>
      </c>
      <c r="Z3710">
        <v>-3.9568539999999999E-2</v>
      </c>
      <c r="AA3710">
        <v>0.77847</v>
      </c>
      <c r="AB3710">
        <v>23</v>
      </c>
      <c r="AC3710">
        <v>-1.05000000000075E-2</v>
      </c>
      <c r="AD3710">
        <v>8.5962000000000094E-2</v>
      </c>
      <c r="AE3710">
        <v>-0.53569999999999096</v>
      </c>
      <c r="AF3710">
        <v>0.42108484901084398</v>
      </c>
      <c r="AG3710">
        <v>8.5962000000000094E-2</v>
      </c>
      <c r="AH3710">
        <v>0.30910353341566699</v>
      </c>
      <c r="AI3710">
        <v>80.654855737526702</v>
      </c>
      <c r="AJ3710">
        <v>36.281078979673403</v>
      </c>
      <c r="AK3710">
        <v>0.52938351870882405</v>
      </c>
      <c r="AL3710">
        <v>92.400625897341698</v>
      </c>
      <c r="AM3710">
        <v>77.663057816530497</v>
      </c>
      <c r="AN3710">
        <v>1.0000000450283399</v>
      </c>
    </row>
    <row r="3711" spans="1:40" x14ac:dyDescent="0.25">
      <c r="A3711" t="str">
        <f>"20190312161346006"</f>
        <v>20190312161346006</v>
      </c>
      <c r="B3711" t="str">
        <f>"1552378425999573"</f>
        <v>1552378425999573</v>
      </c>
      <c r="C3711" t="s">
        <v>40</v>
      </c>
      <c r="D3711">
        <v>4.9988630000000001</v>
      </c>
      <c r="E3711">
        <v>0.69371380000000005</v>
      </c>
      <c r="F3711" t="s">
        <v>43</v>
      </c>
      <c r="G3711">
        <v>-193.47139999999999</v>
      </c>
      <c r="H3711">
        <v>1.1964980000000001</v>
      </c>
      <c r="I3711">
        <v>207.21950000000001</v>
      </c>
      <c r="J3711">
        <v>-193.43989999999999</v>
      </c>
      <c r="K3711">
        <v>1.1016549999999901</v>
      </c>
      <c r="L3711">
        <v>207.7193</v>
      </c>
      <c r="M3711">
        <v>0.78563209999999895</v>
      </c>
      <c r="N3711">
        <v>0</v>
      </c>
      <c r="O3711">
        <v>-0.61850699999999903</v>
      </c>
      <c r="P3711">
        <v>0.6337026</v>
      </c>
      <c r="Q3711">
        <v>-5.2116999999999997E-2</v>
      </c>
      <c r="R3711">
        <v>-0.77181919999999904</v>
      </c>
      <c r="S3711">
        <v>0.75570680000000001</v>
      </c>
      <c r="T3711">
        <v>0.47893629999999998</v>
      </c>
      <c r="U3711">
        <v>-3.3276520000000001</v>
      </c>
      <c r="V3711">
        <v>0.2136353</v>
      </c>
      <c r="W3711">
        <v>-4.1648169999999998E-2</v>
      </c>
      <c r="X3711">
        <v>0.97602529999999998</v>
      </c>
      <c r="Y3711">
        <v>0.62842089999999995</v>
      </c>
      <c r="Z3711">
        <v>-4.7523639999999999E-2</v>
      </c>
      <c r="AA3711">
        <v>0.77642049999999996</v>
      </c>
      <c r="AB3711">
        <v>23</v>
      </c>
      <c r="AC3711">
        <v>-3.1499999999993998E-2</v>
      </c>
      <c r="AD3711">
        <v>9.4843000000000205E-2</v>
      </c>
      <c r="AE3711">
        <v>-0.49979999999999303</v>
      </c>
      <c r="AF3711">
        <v>0.39791741762279798</v>
      </c>
      <c r="AG3711">
        <v>9.4843000000000205E-2</v>
      </c>
      <c r="AH3711">
        <v>0.274567344055412</v>
      </c>
      <c r="AI3711">
        <v>78.900735254538901</v>
      </c>
      <c r="AJ3711">
        <v>34.606097527625799</v>
      </c>
      <c r="AK3711">
        <v>0.49266691822999398</v>
      </c>
      <c r="AL3711">
        <v>92.386954764328806</v>
      </c>
      <c r="AM3711">
        <v>77.653643140365702</v>
      </c>
      <c r="AN3711">
        <v>0.99999999885526403</v>
      </c>
    </row>
    <row r="3712" spans="1:40" x14ac:dyDescent="0.25">
      <c r="A3712" t="str">
        <f>"20190312161346027"</f>
        <v>20190312161346027</v>
      </c>
      <c r="B3712" t="str">
        <f>"1552378426020064"</f>
        <v>1552378426020064</v>
      </c>
      <c r="C3712" t="s">
        <v>40</v>
      </c>
      <c r="D3712">
        <v>5.0611009999999998</v>
      </c>
      <c r="E3712">
        <v>0.6915232</v>
      </c>
      <c r="F3712" t="s">
        <v>43</v>
      </c>
      <c r="G3712">
        <v>-193.3082</v>
      </c>
      <c r="H3712">
        <v>1.1931989999999999</v>
      </c>
      <c r="I3712">
        <v>207.10120000000001</v>
      </c>
      <c r="J3712">
        <v>-193.2715</v>
      </c>
      <c r="K3712">
        <v>1.1015969999999999</v>
      </c>
      <c r="L3712">
        <v>207.56739999999999</v>
      </c>
      <c r="M3712">
        <v>0.77726049999999902</v>
      </c>
      <c r="N3712">
        <v>0</v>
      </c>
      <c r="O3712">
        <v>-0.62899450000000001</v>
      </c>
      <c r="P3712">
        <v>0.62336250000000004</v>
      </c>
      <c r="Q3712">
        <v>-5.2073439999999999E-2</v>
      </c>
      <c r="R3712">
        <v>-0.78019729999999998</v>
      </c>
      <c r="S3712">
        <v>0.71226499999999904</v>
      </c>
      <c r="T3712">
        <v>0.49398570000000003</v>
      </c>
      <c r="U3712">
        <v>-3.33548</v>
      </c>
      <c r="V3712">
        <v>0.21354000000000001</v>
      </c>
      <c r="W3712">
        <v>-4.1601489999999998E-2</v>
      </c>
      <c r="X3712">
        <v>0.97604820000000003</v>
      </c>
      <c r="Y3712">
        <v>0.62802500000000006</v>
      </c>
      <c r="Z3712">
        <v>-5.0981190000000003E-2</v>
      </c>
      <c r="AA3712">
        <v>0.77652140000000003</v>
      </c>
      <c r="AB3712">
        <v>23</v>
      </c>
      <c r="AC3712">
        <v>-3.6699999999996097E-2</v>
      </c>
      <c r="AD3712">
        <v>9.1601999999999906E-2</v>
      </c>
      <c r="AE3712">
        <v>-0.46619999999998601</v>
      </c>
      <c r="AF3712">
        <v>0.37124337179009698</v>
      </c>
      <c r="AG3712">
        <v>9.1601999999999906E-2</v>
      </c>
      <c r="AH3712">
        <v>0.25495989439865402</v>
      </c>
      <c r="AI3712">
        <v>78.503083803399903</v>
      </c>
      <c r="AJ3712">
        <v>34.480225298474203</v>
      </c>
      <c r="AK3712">
        <v>0.459583632491251</v>
      </c>
      <c r="AL3712">
        <v>92.384277750174704</v>
      </c>
      <c r="AM3712">
        <v>77.659262560657496</v>
      </c>
      <c r="AN3712">
        <v>1.0000000521467201</v>
      </c>
    </row>
    <row r="3713" spans="1:40" x14ac:dyDescent="0.25">
      <c r="A3713" t="str">
        <f>"20190312161346050"</f>
        <v>20190312161346050</v>
      </c>
      <c r="B3713" t="str">
        <f>"1552378426039583"</f>
        <v>1552378426039583</v>
      </c>
      <c r="C3713" t="s">
        <v>40</v>
      </c>
      <c r="D3713">
        <v>5.0704599999999997</v>
      </c>
      <c r="E3713">
        <v>0.69026759999999998</v>
      </c>
      <c r="F3713" t="s">
        <v>43</v>
      </c>
      <c r="G3713">
        <v>-193.1506</v>
      </c>
      <c r="H3713">
        <v>1.189311</v>
      </c>
      <c r="I3713">
        <v>206.97579999999999</v>
      </c>
      <c r="J3713">
        <v>-193.1018</v>
      </c>
      <c r="K3713">
        <v>1.10154</v>
      </c>
      <c r="L3713">
        <v>207.40960000000001</v>
      </c>
      <c r="M3713">
        <v>0.76848090000000002</v>
      </c>
      <c r="N3713">
        <v>0</v>
      </c>
      <c r="O3713">
        <v>-0.63969069999999995</v>
      </c>
      <c r="P3713">
        <v>0.6121432</v>
      </c>
      <c r="Q3713">
        <v>-5.2556829999999999E-2</v>
      </c>
      <c r="R3713">
        <v>-0.7889988</v>
      </c>
      <c r="S3713">
        <v>0.68154910000000002</v>
      </c>
      <c r="T3713">
        <v>0.49426320000000001</v>
      </c>
      <c r="U3713">
        <v>-3.3336329999999998</v>
      </c>
      <c r="V3713">
        <v>0.21394840000000001</v>
      </c>
      <c r="W3713">
        <v>-4.2094529999999998E-2</v>
      </c>
      <c r="X3713">
        <v>0.97593750000000001</v>
      </c>
      <c r="Y3713">
        <v>0.62408999999999903</v>
      </c>
      <c r="Z3713">
        <v>-5.3427059999999998E-2</v>
      </c>
      <c r="AA3713">
        <v>0.77952369999999904</v>
      </c>
      <c r="AB3713">
        <v>23</v>
      </c>
      <c r="AC3713">
        <v>-4.8799999999999899E-2</v>
      </c>
      <c r="AD3713">
        <v>8.7771000000000002E-2</v>
      </c>
      <c r="AE3713">
        <v>-0.433800000000019</v>
      </c>
      <c r="AF3713">
        <v>0.35045871836188103</v>
      </c>
      <c r="AG3713">
        <v>8.7771000000000002E-2</v>
      </c>
      <c r="AH3713">
        <v>0.23069771049636201</v>
      </c>
      <c r="AI3713">
        <v>78.184649496083907</v>
      </c>
      <c r="AJ3713">
        <v>33.355853345408597</v>
      </c>
      <c r="AK3713">
        <v>0.428656617055091</v>
      </c>
      <c r="AL3713">
        <v>92.412551909677006</v>
      </c>
      <c r="AM3713">
        <v>77.6350265729006</v>
      </c>
      <c r="AN3713">
        <v>0.999999935612363</v>
      </c>
    </row>
    <row r="3714" spans="1:40" x14ac:dyDescent="0.25">
      <c r="A3714" t="str">
        <f>"20190312161346070"</f>
        <v>20190312161346070</v>
      </c>
      <c r="B3714" t="str">
        <f>"1552378426060079"</f>
        <v>1552378426060079</v>
      </c>
      <c r="C3714" t="s">
        <v>40</v>
      </c>
      <c r="D3714">
        <v>4.7144839999999997</v>
      </c>
      <c r="E3714">
        <v>0.66621600000000003</v>
      </c>
      <c r="F3714" t="s">
        <v>43</v>
      </c>
      <c r="G3714">
        <v>-192.9453</v>
      </c>
      <c r="H3714">
        <v>1.2215739999999999</v>
      </c>
      <c r="I3714">
        <v>206.59520000000001</v>
      </c>
      <c r="J3714">
        <v>-192.9427</v>
      </c>
      <c r="K3714">
        <v>1.1014969999999999</v>
      </c>
      <c r="L3714">
        <v>207.25739999999999</v>
      </c>
      <c r="M3714">
        <v>0.75992519999999997</v>
      </c>
      <c r="N3714">
        <v>0</v>
      </c>
      <c r="O3714">
        <v>-0.64983069999999998</v>
      </c>
      <c r="P3714">
        <v>0.60096490000000002</v>
      </c>
      <c r="Q3714">
        <v>-5.3196069999999998E-2</v>
      </c>
      <c r="R3714">
        <v>-0.79750350000000003</v>
      </c>
      <c r="S3714">
        <v>0.64172359999999995</v>
      </c>
      <c r="T3714">
        <v>0.49181279999999999</v>
      </c>
      <c r="U3714">
        <v>-3.3371430000000002</v>
      </c>
      <c r="V3714">
        <v>0.21470049999999999</v>
      </c>
      <c r="W3714">
        <v>-4.2750780000000002E-2</v>
      </c>
      <c r="X3714">
        <v>0.97574380000000005</v>
      </c>
      <c r="Y3714">
        <v>0.62289649999999996</v>
      </c>
      <c r="Z3714">
        <v>-5.5207949999999999E-2</v>
      </c>
      <c r="AA3714">
        <v>0.78035379999999999</v>
      </c>
      <c r="AB3714">
        <v>22</v>
      </c>
      <c r="AC3714">
        <v>-2.6000000000010398E-3</v>
      </c>
      <c r="AD3714">
        <v>0.120077</v>
      </c>
      <c r="AE3714">
        <v>-0.66219999999998402</v>
      </c>
      <c r="AF3714">
        <v>0.488896044027337</v>
      </c>
      <c r="AG3714">
        <v>0.120077</v>
      </c>
      <c r="AH3714">
        <v>0.41475492573276701</v>
      </c>
      <c r="AI3714">
        <v>79.391904840013694</v>
      </c>
      <c r="AJ3714">
        <v>40.309605400785003</v>
      </c>
      <c r="AK3714">
        <v>0.65227254749389296</v>
      </c>
      <c r="AL3714">
        <v>92.450186116407096</v>
      </c>
      <c r="AM3714">
        <v>77.590516763679901</v>
      </c>
      <c r="AN3714">
        <v>0.99999994856464702</v>
      </c>
    </row>
    <row r="3715" spans="1:40" x14ac:dyDescent="0.25">
      <c r="A3715" t="str">
        <f>"20190312161346094"</f>
        <v>20190312161346094</v>
      </c>
      <c r="B3715" t="str">
        <f>"1552378426089867"</f>
        <v>1552378426089867</v>
      </c>
      <c r="C3715" t="s">
        <v>40</v>
      </c>
      <c r="D3715">
        <v>5.1803319999999999</v>
      </c>
      <c r="E3715">
        <v>0.66681509999999999</v>
      </c>
      <c r="F3715" t="s">
        <v>60</v>
      </c>
      <c r="G3715">
        <v>-169.4726</v>
      </c>
      <c r="H3715">
        <v>4.5399789999999998</v>
      </c>
      <c r="I3715">
        <v>106.3027</v>
      </c>
      <c r="J3715">
        <v>-192.77520000000001</v>
      </c>
      <c r="K3715">
        <v>1.101469</v>
      </c>
      <c r="L3715">
        <v>207.0924</v>
      </c>
      <c r="M3715">
        <v>0.75058169999999902</v>
      </c>
      <c r="N3715">
        <v>0</v>
      </c>
      <c r="O3715">
        <v>-0.66060019999999997</v>
      </c>
      <c r="P3715">
        <v>0.58898709999999999</v>
      </c>
      <c r="Q3715">
        <v>-5.326376E-2</v>
      </c>
      <c r="R3715">
        <v>-0.80638529999999997</v>
      </c>
      <c r="S3715">
        <v>0.74560550000000003</v>
      </c>
      <c r="T3715">
        <v>0.10923480000000001</v>
      </c>
      <c r="U3715">
        <v>-3.2071529999999999</v>
      </c>
      <c r="V3715">
        <v>0.2153516</v>
      </c>
      <c r="W3715">
        <v>-4.2827789999999998E-2</v>
      </c>
      <c r="X3715">
        <v>0.97559700000000005</v>
      </c>
      <c r="Y3715">
        <v>0.58154569999999906</v>
      </c>
      <c r="Z3715">
        <v>-1.3926549999999999E-2</v>
      </c>
      <c r="AA3715">
        <v>0.81339450000000002</v>
      </c>
      <c r="AB3715">
        <v>22</v>
      </c>
      <c r="AC3715">
        <v>23.302600000000002</v>
      </c>
      <c r="AD3715">
        <v>3.43851</v>
      </c>
      <c r="AE3715">
        <v>-100.7897</v>
      </c>
      <c r="AF3715">
        <v>60.197760269029203</v>
      </c>
      <c r="AG3715">
        <v>3.43851</v>
      </c>
      <c r="AH3715">
        <v>83.9892664565008</v>
      </c>
      <c r="AI3715">
        <v>88.094151318104494</v>
      </c>
      <c r="AJ3715">
        <v>54.369635295522301</v>
      </c>
      <c r="AK3715">
        <v>103.391443419311</v>
      </c>
      <c r="AL3715">
        <v>92.454602336966204</v>
      </c>
      <c r="AM3715">
        <v>77.552240430566101</v>
      </c>
      <c r="AN3715">
        <v>1.00000001881392</v>
      </c>
    </row>
    <row r="3716" spans="1:40" x14ac:dyDescent="0.25">
      <c r="A3716" t="str">
        <f>"20190312161346118"</f>
        <v>20190312161346118</v>
      </c>
      <c r="B3716" t="str">
        <f>"1552378426109387"</f>
        <v>1552378426109387</v>
      </c>
      <c r="C3716" t="s">
        <v>40</v>
      </c>
      <c r="D3716">
        <v>5.846495</v>
      </c>
      <c r="E3716">
        <v>0.66663149999999904</v>
      </c>
      <c r="F3716" t="s">
        <v>43</v>
      </c>
      <c r="G3716">
        <v>-192.61869999999999</v>
      </c>
      <c r="H3716">
        <v>1.1930700000000001</v>
      </c>
      <c r="I3716">
        <v>206.36349999999999</v>
      </c>
      <c r="J3716">
        <v>-192.60679999999999</v>
      </c>
      <c r="K3716">
        <v>1.101451</v>
      </c>
      <c r="L3716">
        <v>206.92160000000001</v>
      </c>
      <c r="M3716">
        <v>0.74082840000000005</v>
      </c>
      <c r="N3716">
        <v>0</v>
      </c>
      <c r="O3716">
        <v>-0.67151930000000004</v>
      </c>
      <c r="P3716">
        <v>0.576546</v>
      </c>
      <c r="Q3716">
        <v>-5.3322910000000001E-2</v>
      </c>
      <c r="R3716">
        <v>-0.81532289999999996</v>
      </c>
      <c r="S3716">
        <v>0.69552609999999904</v>
      </c>
      <c r="T3716">
        <v>0.40707490000000002</v>
      </c>
      <c r="U3716">
        <v>-3.2391969999999999</v>
      </c>
      <c r="V3716">
        <v>0.216028</v>
      </c>
      <c r="W3716">
        <v>-4.2893050000000002E-2</v>
      </c>
      <c r="X3716">
        <v>0.97544459999999999</v>
      </c>
      <c r="Y3716">
        <v>0.58315399999999995</v>
      </c>
      <c r="Z3716">
        <v>-5.2934580000000002E-2</v>
      </c>
      <c r="AA3716">
        <v>0.81063509999999905</v>
      </c>
      <c r="AB3716">
        <v>22</v>
      </c>
      <c r="AC3716">
        <v>-1.18999999999971E-2</v>
      </c>
      <c r="AD3716">
        <v>9.1619000000000103E-2</v>
      </c>
      <c r="AE3716">
        <v>-0.55810000000002402</v>
      </c>
      <c r="AF3716">
        <v>0.41044090468427802</v>
      </c>
      <c r="AG3716">
        <v>9.1619000000000103E-2</v>
      </c>
      <c r="AH3716">
        <v>0.35640168995308902</v>
      </c>
      <c r="AI3716">
        <v>80.432938166648995</v>
      </c>
      <c r="AJ3716">
        <v>40.969043830032803</v>
      </c>
      <c r="AK3716">
        <v>0.55125125124616903</v>
      </c>
      <c r="AL3716">
        <v>92.458344848729297</v>
      </c>
      <c r="AM3716">
        <v>77.512477831199902</v>
      </c>
      <c r="AN3716">
        <v>1.00000003909573</v>
      </c>
    </row>
    <row r="3717" spans="1:40" x14ac:dyDescent="0.25">
      <c r="A3717" t="str">
        <f>"20190312161346140"</f>
        <v>20190312161346140</v>
      </c>
      <c r="B3717" t="str">
        <f>"1552378426129883"</f>
        <v>1552378426129883</v>
      </c>
      <c r="C3717" t="s">
        <v>40</v>
      </c>
      <c r="D3717">
        <v>5.3235939999999999</v>
      </c>
      <c r="E3717">
        <v>0.66595130000000002</v>
      </c>
      <c r="F3717" t="s">
        <v>43</v>
      </c>
      <c r="G3717">
        <v>-192.46950000000001</v>
      </c>
      <c r="H3717">
        <v>1.1858709999999999</v>
      </c>
      <c r="I3717">
        <v>206.2311</v>
      </c>
      <c r="J3717">
        <v>-192.4451</v>
      </c>
      <c r="K3717">
        <v>1.1014389999999901</v>
      </c>
      <c r="L3717">
        <v>206.75280000000001</v>
      </c>
      <c r="M3717">
        <v>0.73111719999999902</v>
      </c>
      <c r="N3717">
        <v>0</v>
      </c>
      <c r="O3717">
        <v>-0.68207899999999999</v>
      </c>
      <c r="P3717">
        <v>0.56462469999999998</v>
      </c>
      <c r="Q3717">
        <v>-5.3711250000000002E-2</v>
      </c>
      <c r="R3717">
        <v>-0.82359839999999995</v>
      </c>
      <c r="S3717">
        <v>0.64671330000000005</v>
      </c>
      <c r="T3717">
        <v>0.39709949999999999</v>
      </c>
      <c r="U3717">
        <v>-3.2481689999999999</v>
      </c>
      <c r="V3717">
        <v>0.21619479999999999</v>
      </c>
      <c r="W3717">
        <v>-4.3273520000000003E-2</v>
      </c>
      <c r="X3717">
        <v>0.9753908</v>
      </c>
      <c r="Y3717">
        <v>0.58368529999999996</v>
      </c>
      <c r="Z3717">
        <v>-5.3265270000000003E-2</v>
      </c>
      <c r="AA3717">
        <v>0.81023100000000003</v>
      </c>
      <c r="AB3717">
        <v>22</v>
      </c>
      <c r="AC3717">
        <v>-2.4400000000014101E-2</v>
      </c>
      <c r="AD3717">
        <v>8.4431999999999993E-2</v>
      </c>
      <c r="AE3717">
        <v>-0.52170000000000905</v>
      </c>
      <c r="AF3717">
        <v>0.38797380746188298</v>
      </c>
      <c r="AG3717">
        <v>8.4431999999999993E-2</v>
      </c>
      <c r="AH3717">
        <v>0.32943151242885399</v>
      </c>
      <c r="AI3717">
        <v>80.581063756371705</v>
      </c>
      <c r="AJ3717">
        <v>40.334839796743097</v>
      </c>
      <c r="AK3717">
        <v>0.51592398595300104</v>
      </c>
      <c r="AL3717">
        <v>92.480164527852807</v>
      </c>
      <c r="AM3717">
        <v>77.502471086230699</v>
      </c>
      <c r="AN3717">
        <v>1.0000000009024299</v>
      </c>
    </row>
    <row r="3718" spans="1:40" x14ac:dyDescent="0.25">
      <c r="A3718" t="str">
        <f>"20190312161346162"</f>
        <v>20190312161346162</v>
      </c>
      <c r="B3718" t="str">
        <f>"1552378426150379"</f>
        <v>1552378426150379</v>
      </c>
      <c r="C3718" t="s">
        <v>40</v>
      </c>
      <c r="D3718">
        <v>5.5249509999999997</v>
      </c>
      <c r="E3718">
        <v>0.65454290000000004</v>
      </c>
      <c r="F3718" t="s">
        <v>43</v>
      </c>
      <c r="G3718">
        <v>-192.31809999999999</v>
      </c>
      <c r="H3718">
        <v>1.181546</v>
      </c>
      <c r="I3718">
        <v>206.0686</v>
      </c>
      <c r="J3718">
        <v>-192.29490000000001</v>
      </c>
      <c r="K3718">
        <v>1.1014280000000001</v>
      </c>
      <c r="L3718">
        <v>206.59139999999999</v>
      </c>
      <c r="M3718">
        <v>0.72176980000000002</v>
      </c>
      <c r="N3718">
        <v>0</v>
      </c>
      <c r="O3718">
        <v>-0.69196259999999998</v>
      </c>
      <c r="P3718">
        <v>0.55314459999999999</v>
      </c>
      <c r="Q3718">
        <v>-5.431971E-2</v>
      </c>
      <c r="R3718">
        <v>-0.83131259999999996</v>
      </c>
      <c r="S3718">
        <v>0.60409550000000001</v>
      </c>
      <c r="T3718">
        <v>0.38085289999999999</v>
      </c>
      <c r="U3718">
        <v>-3.25325</v>
      </c>
      <c r="V3718">
        <v>0.21641440000000001</v>
      </c>
      <c r="W3718">
        <v>-4.3875259999999999E-2</v>
      </c>
      <c r="X3718">
        <v>0.97531520000000005</v>
      </c>
      <c r="Y3718">
        <v>0.5831655</v>
      </c>
      <c r="Z3718">
        <v>-5.2657570000000001E-2</v>
      </c>
      <c r="AA3718">
        <v>0.8106449</v>
      </c>
      <c r="AB3718">
        <v>22</v>
      </c>
      <c r="AC3718">
        <v>-2.31999999999743E-2</v>
      </c>
      <c r="AD3718">
        <v>8.0117999999999898E-2</v>
      </c>
      <c r="AE3718">
        <v>-0.52279999999998905</v>
      </c>
      <c r="AF3718">
        <v>0.38443065731742998</v>
      </c>
      <c r="AG3718">
        <v>8.0117999999999898E-2</v>
      </c>
      <c r="AH3718">
        <v>0.33715131772073897</v>
      </c>
      <c r="AI3718">
        <v>81.094977301882807</v>
      </c>
      <c r="AJ3718">
        <v>41.251236691191203</v>
      </c>
      <c r="AK3718">
        <v>0.51756819381637198</v>
      </c>
      <c r="AL3718">
        <v>92.514674508377297</v>
      </c>
      <c r="AM3718">
        <v>77.489236979357898</v>
      </c>
      <c r="AN3718">
        <v>0.99999998515923305</v>
      </c>
    </row>
    <row r="3719" spans="1:40" x14ac:dyDescent="0.25">
      <c r="A3719" t="str">
        <f>"20190312161346184"</f>
        <v>20190312161346184</v>
      </c>
      <c r="B3719" t="str">
        <f>"1552378426180165"</f>
        <v>1552378426180165</v>
      </c>
      <c r="C3719" t="s">
        <v>40</v>
      </c>
      <c r="D3719">
        <v>5.98665</v>
      </c>
      <c r="E3719">
        <v>0.654057</v>
      </c>
      <c r="F3719" t="s">
        <v>60</v>
      </c>
      <c r="G3719">
        <v>-169.67529999999999</v>
      </c>
      <c r="H3719">
        <v>11.916600000000001</v>
      </c>
      <c r="I3719">
        <v>92.279949999999999</v>
      </c>
      <c r="J3719">
        <v>-192.1437</v>
      </c>
      <c r="K3719">
        <v>1.1014219999999999</v>
      </c>
      <c r="L3719">
        <v>206.42429999999999</v>
      </c>
      <c r="M3719">
        <v>0.71203570000000005</v>
      </c>
      <c r="N3719">
        <v>0</v>
      </c>
      <c r="O3719">
        <v>-0.7019746</v>
      </c>
      <c r="P3719">
        <v>0.54144510000000001</v>
      </c>
      <c r="Q3719">
        <v>-5.469152E-2</v>
      </c>
      <c r="R3719">
        <v>-0.83895520000000001</v>
      </c>
      <c r="S3719">
        <v>0.63447569999999998</v>
      </c>
      <c r="T3719">
        <v>0.30336269999999999</v>
      </c>
      <c r="U3719">
        <v>-3.2064059999999999</v>
      </c>
      <c r="V3719">
        <v>0.21643119999999999</v>
      </c>
      <c r="W3719">
        <v>-4.4234589999999997E-2</v>
      </c>
      <c r="X3719">
        <v>0.97529520000000003</v>
      </c>
      <c r="Y3719">
        <v>0.56223120000000004</v>
      </c>
      <c r="Z3719">
        <v>-4.4672820000000002E-2</v>
      </c>
      <c r="AA3719">
        <v>0.82577259999999997</v>
      </c>
      <c r="AB3719">
        <v>22</v>
      </c>
      <c r="AC3719">
        <v>22.468399999999999</v>
      </c>
      <c r="AD3719">
        <v>10.815178</v>
      </c>
      <c r="AE3719">
        <v>-114.14435</v>
      </c>
      <c r="AF3719">
        <v>64.949029508271096</v>
      </c>
      <c r="AG3719">
        <v>10.815178</v>
      </c>
      <c r="AH3719">
        <v>95.312366627703199</v>
      </c>
      <c r="AI3719">
        <v>84.643065535260305</v>
      </c>
      <c r="AJ3719">
        <v>55.728175935101298</v>
      </c>
      <c r="AK3719">
        <v>115.84382478756299</v>
      </c>
      <c r="AL3719">
        <v>92.535282710774297</v>
      </c>
      <c r="AM3719">
        <v>77.488047870465493</v>
      </c>
      <c r="AN3719">
        <v>0.999999945214472</v>
      </c>
    </row>
    <row r="3720" spans="1:40" x14ac:dyDescent="0.25">
      <c r="A3720" t="str">
        <f>"20190312161346207"</f>
        <v>20190312161346207</v>
      </c>
      <c r="B3720" t="str">
        <f>"1552378426199686"</f>
        <v>1552378426199686</v>
      </c>
      <c r="C3720" t="s">
        <v>40</v>
      </c>
      <c r="D3720">
        <v>5.7608360000000003</v>
      </c>
      <c r="E3720">
        <v>0.65284929999999997</v>
      </c>
      <c r="F3720" t="s">
        <v>60</v>
      </c>
      <c r="G3720">
        <v>-168.86240000000001</v>
      </c>
      <c r="H3720">
        <v>12.56409</v>
      </c>
      <c r="I3720">
        <v>80.276780000000002</v>
      </c>
      <c r="J3720">
        <v>-191.98439999999999</v>
      </c>
      <c r="K3720">
        <v>1.101416</v>
      </c>
      <c r="L3720">
        <v>206.2432</v>
      </c>
      <c r="M3720">
        <v>0.70142190000000004</v>
      </c>
      <c r="N3720">
        <v>0</v>
      </c>
      <c r="O3720">
        <v>-0.71257999999999999</v>
      </c>
      <c r="P3720">
        <v>0.52924069999999901</v>
      </c>
      <c r="Q3720">
        <v>-5.5048939999999998E-2</v>
      </c>
      <c r="R3720">
        <v>-0.84668429999999995</v>
      </c>
      <c r="S3720">
        <v>0.59284969999999904</v>
      </c>
      <c r="T3720">
        <v>0.29189219999999999</v>
      </c>
      <c r="U3720">
        <v>-3.2122959999999998</v>
      </c>
      <c r="V3720">
        <v>0.21589510000000001</v>
      </c>
      <c r="W3720">
        <v>-4.4565760000000003E-2</v>
      </c>
      <c r="X3720">
        <v>0.97539900000000002</v>
      </c>
      <c r="Y3720">
        <v>0.56045800000000001</v>
      </c>
      <c r="Z3720">
        <v>-4.4328149999999997E-2</v>
      </c>
      <c r="AA3720">
        <v>0.8269957</v>
      </c>
      <c r="AB3720">
        <v>22</v>
      </c>
      <c r="AC3720">
        <v>23.1219999999999</v>
      </c>
      <c r="AD3720">
        <v>11.462674</v>
      </c>
      <c r="AE3720">
        <v>-125.96642</v>
      </c>
      <c r="AF3720">
        <v>71.316556506621595</v>
      </c>
      <c r="AG3720">
        <v>11.462674</v>
      </c>
      <c r="AH3720">
        <v>105.14966992724101</v>
      </c>
      <c r="AI3720">
        <v>84.844759491057403</v>
      </c>
      <c r="AJ3720">
        <v>55.853367927174702</v>
      </c>
      <c r="AK3720">
        <v>127.56918598548801</v>
      </c>
      <c r="AL3720">
        <v>92.5542759326961</v>
      </c>
      <c r="AM3720">
        <v>77.5193542008127</v>
      </c>
      <c r="AN3720">
        <v>1.00000000518469</v>
      </c>
    </row>
    <row r="3721" spans="1:40" x14ac:dyDescent="0.25">
      <c r="A3721" t="str">
        <f>"20190312161346228"</f>
        <v>20190312161346228</v>
      </c>
      <c r="B3721" t="str">
        <f>"1552378426220181"</f>
        <v>1552378426220181</v>
      </c>
      <c r="C3721" t="s">
        <v>40</v>
      </c>
      <c r="D3721">
        <v>5.7857379999999896</v>
      </c>
      <c r="E3721">
        <v>0.64187349999999999</v>
      </c>
      <c r="F3721" t="s">
        <v>60</v>
      </c>
      <c r="G3721">
        <v>-168.86250000000001</v>
      </c>
      <c r="H3721">
        <v>12.771319999999999</v>
      </c>
      <c r="I3721">
        <v>72.159450000000007</v>
      </c>
      <c r="J3721">
        <v>-191.84460000000001</v>
      </c>
      <c r="K3721">
        <v>1.101423</v>
      </c>
      <c r="L3721">
        <v>206.07919999999999</v>
      </c>
      <c r="M3721">
        <v>0.69177310000000003</v>
      </c>
      <c r="N3721">
        <v>0</v>
      </c>
      <c r="O3721">
        <v>-0.72195039999999999</v>
      </c>
      <c r="P3721">
        <v>0.51842840000000001</v>
      </c>
      <c r="Q3721">
        <v>-5.4604050000000001E-2</v>
      </c>
      <c r="R3721">
        <v>-0.85337619999999903</v>
      </c>
      <c r="S3721">
        <v>0.55438229999999999</v>
      </c>
      <c r="T3721">
        <v>0.27980240000000001</v>
      </c>
      <c r="U3721">
        <v>-3.2148439999999998</v>
      </c>
      <c r="V3721">
        <v>0.2152114</v>
      </c>
      <c r="W3721">
        <v>-4.4092449999999998E-2</v>
      </c>
      <c r="X3721">
        <v>0.97557159999999998</v>
      </c>
      <c r="Y3721">
        <v>0.55904480000000001</v>
      </c>
      <c r="Z3721">
        <v>-4.3666120000000003E-2</v>
      </c>
      <c r="AA3721">
        <v>0.82798689999999997</v>
      </c>
      <c r="AB3721">
        <v>22</v>
      </c>
      <c r="AC3721">
        <v>22.982099999999999</v>
      </c>
      <c r="AD3721">
        <v>11.669897000000001</v>
      </c>
      <c r="AE3721">
        <v>-133.919749999999</v>
      </c>
      <c r="AF3721">
        <v>75.502252302403207</v>
      </c>
      <c r="AG3721">
        <v>11.669897000000001</v>
      </c>
      <c r="AH3721">
        <v>111.77073659969101</v>
      </c>
      <c r="AI3721">
        <v>85.055140926232198</v>
      </c>
      <c r="AJ3721">
        <v>55.960579611984301</v>
      </c>
      <c r="AK3721">
        <v>135.386388380678</v>
      </c>
      <c r="AL3721">
        <v>92.527130548430804</v>
      </c>
      <c r="AM3721">
        <v>77.559778108623604</v>
      </c>
      <c r="AN3721">
        <v>1.0000000187817599</v>
      </c>
    </row>
    <row r="3722" spans="1:40" x14ac:dyDescent="0.25">
      <c r="A3722" t="str">
        <f>"20190312161346250"</f>
        <v>20190312161346250</v>
      </c>
      <c r="B3722" t="str">
        <f>"1552378426239701"</f>
        <v>1552378426239701</v>
      </c>
      <c r="C3722" t="s">
        <v>40</v>
      </c>
      <c r="D3722">
        <v>5.9075410000000002</v>
      </c>
      <c r="E3722">
        <v>0.64033989999999996</v>
      </c>
      <c r="F3722" t="s">
        <v>83</v>
      </c>
      <c r="G3722">
        <v>-173.4479</v>
      </c>
      <c r="H3722">
        <v>6.1313440000000003</v>
      </c>
      <c r="I3722">
        <v>106.97020000000001</v>
      </c>
      <c r="J3722">
        <v>-191.70410000000001</v>
      </c>
      <c r="K3722">
        <v>1.101429</v>
      </c>
      <c r="L3722">
        <v>205.90960000000001</v>
      </c>
      <c r="M3722">
        <v>0.68175569999999996</v>
      </c>
      <c r="N3722">
        <v>0</v>
      </c>
      <c r="O3722">
        <v>-0.7314174</v>
      </c>
      <c r="P3722">
        <v>0.50779830000000004</v>
      </c>
      <c r="Q3722">
        <v>-5.4622509999999999E-2</v>
      </c>
      <c r="R3722">
        <v>-0.85974280000000003</v>
      </c>
      <c r="S3722">
        <v>0.58813479999999996</v>
      </c>
      <c r="T3722">
        <v>0.16080529999999901</v>
      </c>
      <c r="U3722">
        <v>-3.168472</v>
      </c>
      <c r="V3722">
        <v>0.21387100000000001</v>
      </c>
      <c r="W3722">
        <v>-4.4066399999999999E-2</v>
      </c>
      <c r="X3722">
        <v>0.9758675</v>
      </c>
      <c r="Y3722">
        <v>0.53688859999999905</v>
      </c>
      <c r="Z3722">
        <v>-2.6567460000000001E-2</v>
      </c>
      <c r="AA3722">
        <v>0.84323479999999995</v>
      </c>
      <c r="AB3722">
        <v>22</v>
      </c>
      <c r="AC3722">
        <v>18.2562</v>
      </c>
      <c r="AD3722">
        <v>5.0299149999999999</v>
      </c>
      <c r="AE3722">
        <v>-98.939400000000006</v>
      </c>
      <c r="AF3722">
        <v>53.971132375093099</v>
      </c>
      <c r="AG3722">
        <v>5.0299149999999999</v>
      </c>
      <c r="AH3722">
        <v>84.610871456122098</v>
      </c>
      <c r="AI3722">
        <v>87.130774365003205</v>
      </c>
      <c r="AJ3722">
        <v>57.467227923127197</v>
      </c>
      <c r="AK3722">
        <v>100.48473885780599</v>
      </c>
      <c r="AL3722">
        <v>92.525636551074498</v>
      </c>
      <c r="AM3722">
        <v>77.638502928027293</v>
      </c>
      <c r="AN3722">
        <v>1.0000000149031001</v>
      </c>
    </row>
    <row r="3723" spans="1:40" x14ac:dyDescent="0.25">
      <c r="A3723" t="str">
        <f>"20190312161346272"</f>
        <v>20190312161346272</v>
      </c>
      <c r="B3723" t="str">
        <f>"1552378426269957"</f>
        <v>1552378426269957</v>
      </c>
      <c r="C3723" t="s">
        <v>40</v>
      </c>
      <c r="D3723">
        <v>5.7115809999999998</v>
      </c>
      <c r="E3723">
        <v>0.639594</v>
      </c>
      <c r="F3723" t="s">
        <v>60</v>
      </c>
      <c r="G3723">
        <v>-168.8612</v>
      </c>
      <c r="H3723">
        <v>8.8597719999999995</v>
      </c>
      <c r="I3723">
        <v>76.34563</v>
      </c>
      <c r="J3723">
        <v>-191.56209999999999</v>
      </c>
      <c r="K3723">
        <v>1.101437</v>
      </c>
      <c r="L3723">
        <v>205.73310000000001</v>
      </c>
      <c r="M3723">
        <v>0.67129459999999996</v>
      </c>
      <c r="N3723">
        <v>0</v>
      </c>
      <c r="O3723">
        <v>-0.74102999999999997</v>
      </c>
      <c r="P3723">
        <v>0.49663770000000002</v>
      </c>
      <c r="Q3723">
        <v>-5.5025629999999999E-2</v>
      </c>
      <c r="R3723">
        <v>-0.86621219999999999</v>
      </c>
      <c r="S3723">
        <v>0.55911250000000001</v>
      </c>
      <c r="T3723">
        <v>0.18989590000000001</v>
      </c>
      <c r="U3723">
        <v>-3.171249</v>
      </c>
      <c r="V3723">
        <v>0.2126025</v>
      </c>
      <c r="W3723">
        <v>-4.442567E-2</v>
      </c>
      <c r="X3723">
        <v>0.97612829999999995</v>
      </c>
      <c r="Y3723">
        <v>0.53250869999999995</v>
      </c>
      <c r="Z3723">
        <v>-3.2241239999999997E-2</v>
      </c>
      <c r="AA3723">
        <v>0.84581030000000001</v>
      </c>
      <c r="AB3723">
        <v>22</v>
      </c>
      <c r="AC3723">
        <v>22.700899999999901</v>
      </c>
      <c r="AD3723">
        <v>7.7583349999999998</v>
      </c>
      <c r="AE3723">
        <v>-129.38747000000001</v>
      </c>
      <c r="AF3723">
        <v>69.799933815844895</v>
      </c>
      <c r="AG3723">
        <v>7.7583349999999998</v>
      </c>
      <c r="AH3723">
        <v>110.745929552514</v>
      </c>
      <c r="AI3723">
        <v>86.608280234146093</v>
      </c>
      <c r="AJ3723">
        <v>57.777963361196001</v>
      </c>
      <c r="AK3723">
        <v>131.13688815554099</v>
      </c>
      <c r="AL3723">
        <v>92.546241522958098</v>
      </c>
      <c r="AM3723">
        <v>77.712769918494502</v>
      </c>
      <c r="AN3723">
        <v>0.99999996061104302</v>
      </c>
    </row>
    <row r="3724" spans="1:40" x14ac:dyDescent="0.25">
      <c r="A3724" t="str">
        <f>"20190312161346287"</f>
        <v>20190312161346287</v>
      </c>
      <c r="B3724" t="str">
        <f>"1552378426280225"</f>
        <v>1552378426280225</v>
      </c>
      <c r="C3724" t="s">
        <v>40</v>
      </c>
      <c r="D3724">
        <v>5.9241760000000001</v>
      </c>
      <c r="E3724">
        <v>0.65006519999999901</v>
      </c>
      <c r="F3724" t="s">
        <v>60</v>
      </c>
      <c r="G3724">
        <v>-169.31790000000001</v>
      </c>
      <c r="H3724">
        <v>8.9656939999999992</v>
      </c>
      <c r="I3724">
        <v>70.746319999999997</v>
      </c>
      <c r="J3724">
        <v>-191.46870000000001</v>
      </c>
      <c r="K3724">
        <v>1.101448</v>
      </c>
      <c r="L3724">
        <v>205.61439999999999</v>
      </c>
      <c r="M3724">
        <v>0.66423829999999995</v>
      </c>
      <c r="N3724">
        <v>0</v>
      </c>
      <c r="O3724">
        <v>-0.74736150000000001</v>
      </c>
      <c r="P3724">
        <v>0.48891689999999999</v>
      </c>
      <c r="Q3724">
        <v>-5.5340130000000001E-2</v>
      </c>
      <c r="R3724">
        <v>-0.87057329999999999</v>
      </c>
      <c r="S3724">
        <v>0.52322389999999996</v>
      </c>
      <c r="T3724">
        <v>0.18498120000000001</v>
      </c>
      <c r="U3724">
        <v>-3.175125</v>
      </c>
      <c r="V3724">
        <v>0.21200769999999999</v>
      </c>
      <c r="W3724">
        <v>-4.47163E-2</v>
      </c>
      <c r="X3724">
        <v>0.97624440000000001</v>
      </c>
      <c r="Y3724">
        <v>0.53395199999999998</v>
      </c>
      <c r="Z3724">
        <v>-3.1875399999999998E-2</v>
      </c>
      <c r="AA3724">
        <v>0.84491369999999899</v>
      </c>
      <c r="AB3724">
        <v>22</v>
      </c>
      <c r="AC3724">
        <v>22.1508</v>
      </c>
      <c r="AD3724">
        <v>7.8642459999999996</v>
      </c>
      <c r="AE3724">
        <v>-134.86807999999999</v>
      </c>
      <c r="AF3724">
        <v>72.797571124015803</v>
      </c>
      <c r="AG3724">
        <v>7.8642459999999996</v>
      </c>
      <c r="AH3724">
        <v>115.141171777333</v>
      </c>
      <c r="AI3724">
        <v>86.6959672191104</v>
      </c>
      <c r="AJ3724">
        <v>57.697033605851203</v>
      </c>
      <c r="AK3724">
        <v>136.45080492603199</v>
      </c>
      <c r="AL3724">
        <v>92.562909935634195</v>
      </c>
      <c r="AM3724">
        <v>77.747519189387006</v>
      </c>
      <c r="AN3724">
        <v>0.99999997043816902</v>
      </c>
    </row>
    <row r="3725" spans="1:40" x14ac:dyDescent="0.25">
      <c r="A3725" t="str">
        <f>"20190312161346307"</f>
        <v>20190312161346307</v>
      </c>
      <c r="B3725" t="str">
        <f>"1552378426299744"</f>
        <v>1552378426299744</v>
      </c>
      <c r="C3725" t="s">
        <v>40</v>
      </c>
      <c r="D3725">
        <v>5.3728680000000004</v>
      </c>
      <c r="E3725">
        <v>0.64718959999999903</v>
      </c>
      <c r="F3725" t="s">
        <v>42</v>
      </c>
      <c r="G3725">
        <v>-188.34630000000001</v>
      </c>
      <c r="H3725" s="1">
        <v>-1.30161E-6</v>
      </c>
      <c r="I3725">
        <v>181.98310000000001</v>
      </c>
      <c r="J3725">
        <v>-191.345</v>
      </c>
      <c r="K3725">
        <v>1.101467</v>
      </c>
      <c r="L3725">
        <v>205.45320000000001</v>
      </c>
      <c r="M3725">
        <v>0.65463579999999999</v>
      </c>
      <c r="N3725">
        <v>0</v>
      </c>
      <c r="O3725">
        <v>-0.75578699999999999</v>
      </c>
      <c r="P3725">
        <v>0.47869319999999999</v>
      </c>
      <c r="Q3725">
        <v>-5.583159E-2</v>
      </c>
      <c r="R3725">
        <v>-0.87620560000000003</v>
      </c>
      <c r="S3725">
        <v>0.42269899999999999</v>
      </c>
      <c r="T3725">
        <v>-0.1491102</v>
      </c>
      <c r="U3725">
        <v>-3.1991269999999998</v>
      </c>
      <c r="V3725">
        <v>0.21093500000000001</v>
      </c>
      <c r="W3725">
        <v>-4.5168109999999997E-2</v>
      </c>
      <c r="X3725">
        <v>0.97645599999999999</v>
      </c>
      <c r="Y3725">
        <v>0.55004779999999998</v>
      </c>
      <c r="Z3725">
        <v>2.5837260000000001E-2</v>
      </c>
      <c r="AA3725">
        <v>0.83473339999999996</v>
      </c>
      <c r="AB3725">
        <v>22</v>
      </c>
      <c r="AC3725">
        <v>2.9986999999999799</v>
      </c>
      <c r="AD3725">
        <v>-1.10146830161</v>
      </c>
      <c r="AE3725">
        <v>-23.470099999999999</v>
      </c>
      <c r="AF3725">
        <v>13.0712211919237</v>
      </c>
      <c r="AG3725">
        <v>-1.10146830161</v>
      </c>
      <c r="AH3725">
        <v>19.661189494096099</v>
      </c>
      <c r="AI3725">
        <v>92.671092262417304</v>
      </c>
      <c r="AJ3725">
        <v>56.383105536517498</v>
      </c>
      <c r="AK3725">
        <v>23.635406241281402</v>
      </c>
      <c r="AL3725">
        <v>92.588822781189407</v>
      </c>
      <c r="AM3725">
        <v>77.810217314684294</v>
      </c>
      <c r="AN3725">
        <v>1.00000002616098</v>
      </c>
    </row>
    <row r="3726" spans="1:40" x14ac:dyDescent="0.25">
      <c r="A3726" t="str">
        <f>"20190312161346329"</f>
        <v>20190312161346329</v>
      </c>
      <c r="B3726" t="str">
        <f>"1552378426319264"</f>
        <v>1552378426319264</v>
      </c>
      <c r="C3726" t="s">
        <v>40</v>
      </c>
      <c r="D3726">
        <v>5.3497440000000003</v>
      </c>
      <c r="E3726">
        <v>0.64595409999999998</v>
      </c>
      <c r="F3726" t="s">
        <v>84</v>
      </c>
      <c r="G3726">
        <v>-183.40989999999999</v>
      </c>
      <c r="H3726" s="1">
        <v>-9.460035E-6</v>
      </c>
      <c r="I3726">
        <v>142.78059999999999</v>
      </c>
      <c r="J3726">
        <v>-191.2088</v>
      </c>
      <c r="K3726">
        <v>1.1015010000000001</v>
      </c>
      <c r="L3726">
        <v>205.2705</v>
      </c>
      <c r="M3726">
        <v>0.64373780000000003</v>
      </c>
      <c r="N3726">
        <v>0</v>
      </c>
      <c r="O3726">
        <v>-0.76509059999999995</v>
      </c>
      <c r="P3726">
        <v>0.46620400000000001</v>
      </c>
      <c r="Q3726">
        <v>-5.5713110000000003E-2</v>
      </c>
      <c r="R3726">
        <v>-0.88292159999999997</v>
      </c>
      <c r="S3726">
        <v>0.40502929999999998</v>
      </c>
      <c r="T3726">
        <v>-5.6222559999999998E-2</v>
      </c>
      <c r="U3726">
        <v>-3.1989899999999998</v>
      </c>
      <c r="V3726">
        <v>0.210817</v>
      </c>
      <c r="W3726">
        <v>-4.5030189999999998E-2</v>
      </c>
      <c r="X3726">
        <v>0.97648780000000002</v>
      </c>
      <c r="Y3726">
        <v>0.54260069999999905</v>
      </c>
      <c r="Z3726">
        <v>1.003006E-2</v>
      </c>
      <c r="AA3726">
        <v>0.83993090000000004</v>
      </c>
      <c r="AB3726">
        <v>22</v>
      </c>
      <c r="AC3726">
        <v>7.7988999999999997</v>
      </c>
      <c r="AD3726">
        <v>-1.1015104600350001</v>
      </c>
      <c r="AE3726">
        <v>-62.489899999999999</v>
      </c>
      <c r="AF3726">
        <v>34.2538438454174</v>
      </c>
      <c r="AG3726">
        <v>-1.1015104600350001</v>
      </c>
      <c r="AH3726">
        <v>52.821009907326697</v>
      </c>
      <c r="AI3726">
        <v>91.002383296309802</v>
      </c>
      <c r="AJ3726">
        <v>57.037034910358202</v>
      </c>
      <c r="AK3726">
        <v>62.965055634929101</v>
      </c>
      <c r="AL3726">
        <v>92.580912632250801</v>
      </c>
      <c r="AM3726">
        <v>77.817217600943096</v>
      </c>
      <c r="AN3726">
        <v>0.99999997452463696</v>
      </c>
    </row>
    <row r="3727" spans="1:40" x14ac:dyDescent="0.25">
      <c r="A3727" t="str">
        <f>"20190312161346351"</f>
        <v>20190312161346351</v>
      </c>
      <c r="B3727" t="str">
        <f>"1552378426339761"</f>
        <v>1552378426339761</v>
      </c>
      <c r="C3727" t="s">
        <v>40</v>
      </c>
      <c r="D3727">
        <v>5.9892750000000001</v>
      </c>
      <c r="E3727">
        <v>0.64579839999999999</v>
      </c>
      <c r="F3727" t="s">
        <v>42</v>
      </c>
      <c r="G3727">
        <v>-176.2894</v>
      </c>
      <c r="H3727">
        <v>7.9985780000000006E-2</v>
      </c>
      <c r="I3727">
        <v>75.498719999999906</v>
      </c>
      <c r="J3727">
        <v>-191.08430000000001</v>
      </c>
      <c r="K3727">
        <v>1.1015280000000001</v>
      </c>
      <c r="L3727">
        <v>205.09880000000001</v>
      </c>
      <c r="M3727">
        <v>0.63347249999999999</v>
      </c>
      <c r="N3727">
        <v>0</v>
      </c>
      <c r="O3727">
        <v>-0.77361139999999995</v>
      </c>
      <c r="P3727">
        <v>0.45450590000000002</v>
      </c>
      <c r="Q3727">
        <v>-5.5780950000000003E-2</v>
      </c>
      <c r="R3727">
        <v>-0.8889958</v>
      </c>
      <c r="S3727">
        <v>0.36810300000000001</v>
      </c>
      <c r="T3727">
        <v>-2.5203590000000001E-2</v>
      </c>
      <c r="U3727">
        <v>-3.2018279999999999</v>
      </c>
      <c r="V3727">
        <v>0.2106808</v>
      </c>
      <c r="W3727">
        <v>-4.5079479999999998E-2</v>
      </c>
      <c r="X3727">
        <v>0.97651489999999996</v>
      </c>
      <c r="Y3727">
        <v>0.54103389999999996</v>
      </c>
      <c r="Z3727">
        <v>4.5943260000000001E-3</v>
      </c>
      <c r="AA3727">
        <v>0.84098819999999996</v>
      </c>
      <c r="AB3727">
        <v>22</v>
      </c>
      <c r="AC3727">
        <v>14.7949</v>
      </c>
      <c r="AD3727">
        <v>-1.0215422199999999</v>
      </c>
      <c r="AE3727">
        <v>-129.60007999999999</v>
      </c>
      <c r="AF3727">
        <v>70.656658873745101</v>
      </c>
      <c r="AG3727">
        <v>-1.0215422199999999</v>
      </c>
      <c r="AH3727">
        <v>109.63858560648499</v>
      </c>
      <c r="AI3727">
        <v>90.448724560520205</v>
      </c>
      <c r="AJ3727">
        <v>57.200217097748499</v>
      </c>
      <c r="AK3727">
        <v>130.43782597658699</v>
      </c>
      <c r="AL3727">
        <v>92.5837396639171</v>
      </c>
      <c r="AM3727">
        <v>77.825181309588203</v>
      </c>
      <c r="AN3727">
        <v>0.99999995446385903</v>
      </c>
    </row>
    <row r="3728" spans="1:40" x14ac:dyDescent="0.25">
      <c r="A3728" t="str">
        <f>"20190312161346374"</f>
        <v>20190312161346374</v>
      </c>
      <c r="B3728" t="str">
        <f>"1552378426370015"</f>
        <v>1552378426370015</v>
      </c>
      <c r="C3728" t="s">
        <v>40</v>
      </c>
      <c r="D3728">
        <v>5.7421319999999998</v>
      </c>
      <c r="E3728">
        <v>0.64336569999999904</v>
      </c>
      <c r="F3728" t="s">
        <v>58</v>
      </c>
      <c r="G3728">
        <v>-168.43360000000001</v>
      </c>
      <c r="H3728">
        <v>4.3704879999999999</v>
      </c>
      <c r="I3728">
        <v>-17.389949999999999</v>
      </c>
      <c r="J3728">
        <v>-190.95169999999999</v>
      </c>
      <c r="K3728">
        <v>1.1015569999999999</v>
      </c>
      <c r="L3728">
        <v>204.9102</v>
      </c>
      <c r="M3728">
        <v>0.62218649999999998</v>
      </c>
      <c r="N3728">
        <v>0</v>
      </c>
      <c r="O3728">
        <v>-0.78271689999999905</v>
      </c>
      <c r="P3728">
        <v>0.44171569999999999</v>
      </c>
      <c r="Q3728">
        <v>-5.6246820000000003E-2</v>
      </c>
      <c r="R3728">
        <v>-0.89539049999999998</v>
      </c>
      <c r="S3728">
        <v>0.3268433</v>
      </c>
      <c r="T3728">
        <v>4.7169919999999997E-2</v>
      </c>
      <c r="U3728">
        <v>-3.2104339999999998</v>
      </c>
      <c r="V3728">
        <v>0.21049300000000001</v>
      </c>
      <c r="W3728">
        <v>-4.552544E-2</v>
      </c>
      <c r="X3728">
        <v>0.97653469999999998</v>
      </c>
      <c r="Y3728">
        <v>0.53977419999999998</v>
      </c>
      <c r="Z3728">
        <v>-8.7760110000000002E-3</v>
      </c>
      <c r="AA3728">
        <v>0.84176410000000002</v>
      </c>
      <c r="AB3728">
        <v>22</v>
      </c>
      <c r="AC3728">
        <v>22.518099999999901</v>
      </c>
      <c r="AD3728">
        <v>3.2689309999999998</v>
      </c>
      <c r="AE3728">
        <v>-222.30015</v>
      </c>
      <c r="AF3728">
        <v>120.675402477489</v>
      </c>
      <c r="AG3728">
        <v>3.2689309999999998</v>
      </c>
      <c r="AH3728">
        <v>187.99070135114999</v>
      </c>
      <c r="AI3728">
        <v>89.161633692378203</v>
      </c>
      <c r="AJ3728">
        <v>57.302694214346801</v>
      </c>
      <c r="AK3728">
        <v>223.413836786095</v>
      </c>
      <c r="AL3728">
        <v>92.609317577487104</v>
      </c>
      <c r="AM3728">
        <v>77.835949864164306</v>
      </c>
      <c r="AN3728">
        <v>0.99999994452013996</v>
      </c>
    </row>
    <row r="3729" spans="1:40" x14ac:dyDescent="0.25">
      <c r="A3729" t="str">
        <f>"20190312161346396"</f>
        <v>20190312161346396</v>
      </c>
      <c r="B3729" t="str">
        <f>"1552378426390045"</f>
        <v>1552378426390045</v>
      </c>
      <c r="C3729" t="s">
        <v>40</v>
      </c>
      <c r="D3729">
        <v>5.6219159999999997</v>
      </c>
      <c r="E3729">
        <v>0.64204220000000001</v>
      </c>
      <c r="F3729" t="s">
        <v>59</v>
      </c>
      <c r="G3729">
        <v>-168.50149999999999</v>
      </c>
      <c r="H3729">
        <v>8.1550449999999994</v>
      </c>
      <c r="I3729">
        <v>-36.881070000000001</v>
      </c>
      <c r="J3729">
        <v>-190.82069999999999</v>
      </c>
      <c r="K3729">
        <v>1.1015809999999999</v>
      </c>
      <c r="L3729">
        <v>204.71799999999999</v>
      </c>
      <c r="M3729">
        <v>0.61066739999999997</v>
      </c>
      <c r="N3729">
        <v>0</v>
      </c>
      <c r="O3729">
        <v>-0.79173700000000002</v>
      </c>
      <c r="P3729">
        <v>0.428817</v>
      </c>
      <c r="Q3729">
        <v>-5.67316E-2</v>
      </c>
      <c r="R3729">
        <v>-0.90160850000000003</v>
      </c>
      <c r="S3729">
        <v>0.2979889</v>
      </c>
      <c r="T3729">
        <v>9.362268E-2</v>
      </c>
      <c r="U3729">
        <v>-3.2093660000000002</v>
      </c>
      <c r="V3729">
        <v>0.2101981</v>
      </c>
      <c r="W3729">
        <v>-4.5989040000000002E-2</v>
      </c>
      <c r="X3729">
        <v>0.97657660000000002</v>
      </c>
      <c r="Y3729">
        <v>0.53491339999999998</v>
      </c>
      <c r="Z3729">
        <v>-1.785018E-2</v>
      </c>
      <c r="AA3729">
        <v>0.84471830000000003</v>
      </c>
      <c r="AB3729">
        <v>22</v>
      </c>
      <c r="AC3729">
        <v>22.319199999999899</v>
      </c>
      <c r="AD3729">
        <v>7.053464</v>
      </c>
      <c r="AE3729">
        <v>-241.59907000000001</v>
      </c>
      <c r="AF3729">
        <v>129.771512617582</v>
      </c>
      <c r="AG3729">
        <v>7.053464</v>
      </c>
      <c r="AH3729">
        <v>204.76385207064601</v>
      </c>
      <c r="AI3729">
        <v>88.333409622010507</v>
      </c>
      <c r="AJ3729">
        <v>57.635037533862203</v>
      </c>
      <c r="AK3729">
        <v>242.52552846301401</v>
      </c>
      <c r="AL3729">
        <v>92.635907490086893</v>
      </c>
      <c r="AM3729">
        <v>77.852990917250295</v>
      </c>
      <c r="AN3729">
        <v>1.00000004435564</v>
      </c>
    </row>
    <row r="3730" spans="1:40" x14ac:dyDescent="0.25">
      <c r="A3730" t="str">
        <f>"20190312161346418"</f>
        <v>20190312161346418</v>
      </c>
      <c r="B3730" t="str">
        <f>"1552378426409568"</f>
        <v>1552378426409568</v>
      </c>
      <c r="C3730" t="s">
        <v>40</v>
      </c>
      <c r="D3730">
        <v>5.9804110000000001</v>
      </c>
      <c r="E3730">
        <v>0.64055289999999998</v>
      </c>
      <c r="F3730" t="s">
        <v>44</v>
      </c>
      <c r="G3730">
        <v>0</v>
      </c>
      <c r="H3730">
        <v>0</v>
      </c>
      <c r="I3730">
        <v>0</v>
      </c>
      <c r="J3730">
        <v>-190.69990000000001</v>
      </c>
      <c r="K3730">
        <v>1.101613</v>
      </c>
      <c r="L3730">
        <v>204.5352</v>
      </c>
      <c r="M3730">
        <v>0.5997015</v>
      </c>
      <c r="N3730">
        <v>0</v>
      </c>
      <c r="O3730">
        <v>-0.80007519999999999</v>
      </c>
      <c r="P3730">
        <v>0.41645539999999998</v>
      </c>
      <c r="Q3730">
        <v>-5.7317670000000001E-2</v>
      </c>
      <c r="R3730">
        <v>-0.90734780000000004</v>
      </c>
      <c r="S3730">
        <v>0.26159670000000002</v>
      </c>
      <c r="T3730">
        <v>9.1708540000000005E-2</v>
      </c>
      <c r="U3730">
        <v>-3.2087859999999999</v>
      </c>
      <c r="V3730">
        <v>0.2100591</v>
      </c>
      <c r="W3730">
        <v>-4.6560079999999997E-2</v>
      </c>
      <c r="X3730">
        <v>0.97657939999999999</v>
      </c>
      <c r="Y3730">
        <v>0.53276599999999996</v>
      </c>
      <c r="Z3730">
        <v>-1.7857230000000002E-2</v>
      </c>
      <c r="AA3730">
        <v>0.8460742</v>
      </c>
      <c r="AB3730">
        <v>22</v>
      </c>
      <c r="AC3730">
        <v>0.26159670000000002</v>
      </c>
      <c r="AD3730">
        <v>9.1708540000000005E-2</v>
      </c>
      <c r="AE3730">
        <v>-3.2087859999999999</v>
      </c>
      <c r="AF3730">
        <v>1.7138299991974499</v>
      </c>
      <c r="AG3730">
        <v>9.1708540000000005E-2</v>
      </c>
      <c r="AH3730">
        <v>2.7222649945064501</v>
      </c>
      <c r="AI3730">
        <v>88.366993764157797</v>
      </c>
      <c r="AJ3730">
        <v>57.807110263558101</v>
      </c>
      <c r="AK3730">
        <v>3.2181284037112801</v>
      </c>
      <c r="AL3730">
        <v>92.668660888075706</v>
      </c>
      <c r="AM3730">
        <v>77.8608189685215</v>
      </c>
      <c r="AN3730">
        <v>0.99999999552338803</v>
      </c>
    </row>
    <row r="3731" spans="1:40" x14ac:dyDescent="0.25">
      <c r="A3731" t="str">
        <f>"20190312161346440"</f>
        <v>20190312161346440</v>
      </c>
      <c r="B3731" t="str">
        <f>"1552378426430061"</f>
        <v>1552378426430061</v>
      </c>
      <c r="C3731" t="s">
        <v>40</v>
      </c>
      <c r="D3731">
        <v>6.0793900000000001</v>
      </c>
      <c r="E3731">
        <v>0.63944659999999998</v>
      </c>
      <c r="F3731" t="s">
        <v>44</v>
      </c>
      <c r="G3731">
        <v>0</v>
      </c>
      <c r="H3731">
        <v>0</v>
      </c>
      <c r="I3731">
        <v>0</v>
      </c>
      <c r="J3731">
        <v>-190.5831</v>
      </c>
      <c r="K3731">
        <v>1.101642</v>
      </c>
      <c r="L3731">
        <v>204.35329999999999</v>
      </c>
      <c r="M3731">
        <v>0.58877500000000005</v>
      </c>
      <c r="N3731">
        <v>0</v>
      </c>
      <c r="O3731">
        <v>-0.80814989999999998</v>
      </c>
      <c r="P3731">
        <v>0.40453240000000001</v>
      </c>
      <c r="Q3731">
        <v>-5.7800799999999999E-2</v>
      </c>
      <c r="R3731">
        <v>-0.9126957</v>
      </c>
      <c r="S3731">
        <v>0.22845460000000001</v>
      </c>
      <c r="T3731">
        <v>9.9378469999999997E-2</v>
      </c>
      <c r="U3731">
        <v>-3.2077330000000002</v>
      </c>
      <c r="V3731">
        <v>0.20955989999999999</v>
      </c>
      <c r="W3731">
        <v>-4.7020989999999999E-2</v>
      </c>
      <c r="X3731">
        <v>0.97666450000000005</v>
      </c>
      <c r="Y3731">
        <v>0.52993239999999997</v>
      </c>
      <c r="Z3731">
        <v>-1.9750750000000001E-2</v>
      </c>
      <c r="AA3731">
        <v>0.84780990000000001</v>
      </c>
      <c r="AB3731">
        <v>22</v>
      </c>
      <c r="AC3731">
        <v>0.22845460000000001</v>
      </c>
      <c r="AD3731">
        <v>9.9378469999999997E-2</v>
      </c>
      <c r="AE3731">
        <v>-3.2077330000000002</v>
      </c>
      <c r="AF3731">
        <v>1.70258410404567</v>
      </c>
      <c r="AG3731">
        <v>9.9378469999999997E-2</v>
      </c>
      <c r="AH3731">
        <v>2.7245597754087099</v>
      </c>
      <c r="AI3731">
        <v>88.228283757279797</v>
      </c>
      <c r="AJ3731">
        <v>57.998635789060899</v>
      </c>
      <c r="AK3731">
        <v>3.2143264739947801</v>
      </c>
      <c r="AL3731">
        <v>92.695098204396601</v>
      </c>
      <c r="AM3731">
        <v>77.889838905159095</v>
      </c>
      <c r="AN3731">
        <v>0.999999935374418</v>
      </c>
    </row>
    <row r="3732" spans="1:40" x14ac:dyDescent="0.25">
      <c r="A3732" t="str">
        <f>"20190312161346463"</f>
        <v>20190312161346463</v>
      </c>
      <c r="B3732" t="str">
        <f>"1552378426459340"</f>
        <v>1552378426459340</v>
      </c>
      <c r="C3732" t="s">
        <v>40</v>
      </c>
      <c r="D3732">
        <v>5.8128299999999999</v>
      </c>
      <c r="E3732">
        <v>0.63746380000000002</v>
      </c>
      <c r="F3732" t="s">
        <v>44</v>
      </c>
      <c r="G3732">
        <v>0</v>
      </c>
      <c r="H3732">
        <v>0</v>
      </c>
      <c r="I3732">
        <v>0</v>
      </c>
      <c r="J3732">
        <v>-190.46440000000001</v>
      </c>
      <c r="K3732">
        <v>1.1016680000000001</v>
      </c>
      <c r="L3732">
        <v>204.1626</v>
      </c>
      <c r="M3732">
        <v>0.57730380000000003</v>
      </c>
      <c r="N3732">
        <v>0</v>
      </c>
      <c r="O3732">
        <v>-0.81638379999999999</v>
      </c>
      <c r="P3732">
        <v>0.3923315</v>
      </c>
      <c r="Q3732">
        <v>-5.7300570000000002E-2</v>
      </c>
      <c r="R3732">
        <v>-0.91803769999999996</v>
      </c>
      <c r="S3732">
        <v>0.19416810000000001</v>
      </c>
      <c r="T3732">
        <v>0.103156399999999</v>
      </c>
      <c r="U3732">
        <v>-3.207443</v>
      </c>
      <c r="V3732">
        <v>0.20881759999999999</v>
      </c>
      <c r="W3732">
        <v>-4.6492510000000001E-2</v>
      </c>
      <c r="X3732">
        <v>0.97684879999999996</v>
      </c>
      <c r="Y3732">
        <v>0.52697179999999999</v>
      </c>
      <c r="Z3732">
        <v>-2.0921820000000001E-2</v>
      </c>
      <c r="AA3732">
        <v>0.84962519999999997</v>
      </c>
      <c r="AB3732">
        <v>22</v>
      </c>
      <c r="AC3732">
        <v>0.19416810000000001</v>
      </c>
      <c r="AD3732">
        <v>0.103156399999999</v>
      </c>
      <c r="AE3732">
        <v>-3.207443</v>
      </c>
      <c r="AF3732">
        <v>1.69161134693925</v>
      </c>
      <c r="AG3732">
        <v>0.103156399999999</v>
      </c>
      <c r="AH3732">
        <v>2.7281116673639501</v>
      </c>
      <c r="AI3732">
        <v>88.159382894086406</v>
      </c>
      <c r="AJ3732">
        <v>58.198324516734999</v>
      </c>
      <c r="AK3732">
        <v>3.2116636594702599</v>
      </c>
      <c r="AL3732">
        <v>92.664785307710304</v>
      </c>
      <c r="AM3732">
        <v>77.933685829176497</v>
      </c>
      <c r="AN3732">
        <v>0.99999996080864895</v>
      </c>
    </row>
    <row r="3733" spans="1:40" x14ac:dyDescent="0.25">
      <c r="A3733" t="str">
        <f>"20190312161346485"</f>
        <v>20190312161346485</v>
      </c>
      <c r="B3733" t="str">
        <f>"1552378426479838"</f>
        <v>1552378426479838</v>
      </c>
      <c r="C3733" t="s">
        <v>40</v>
      </c>
      <c r="D3733">
        <v>5.8392169999999997</v>
      </c>
      <c r="E3733">
        <v>0.636067099999999</v>
      </c>
      <c r="F3733" t="s">
        <v>62</v>
      </c>
      <c r="G3733">
        <v>-175.69909999999999</v>
      </c>
      <c r="H3733">
        <v>10.712339999999999</v>
      </c>
      <c r="I3733">
        <v>-80.952190000000002</v>
      </c>
      <c r="J3733">
        <v>-190.3475</v>
      </c>
      <c r="K3733">
        <v>1.1016999999999999</v>
      </c>
      <c r="L3733">
        <v>203.96889999999999</v>
      </c>
      <c r="M3733">
        <v>0.56563450000000004</v>
      </c>
      <c r="N3733">
        <v>0</v>
      </c>
      <c r="O3733">
        <v>-0.82451209999999997</v>
      </c>
      <c r="P3733">
        <v>0.37978260000000003</v>
      </c>
      <c r="Q3733">
        <v>-5.7906720000000002E-2</v>
      </c>
      <c r="R3733">
        <v>-0.92326209999999997</v>
      </c>
      <c r="S3733">
        <v>0.1659088</v>
      </c>
      <c r="T3733">
        <v>0.1079898</v>
      </c>
      <c r="U3733">
        <v>-3.2036739999999999</v>
      </c>
      <c r="V3733">
        <v>0.20820849999999999</v>
      </c>
      <c r="W3733">
        <v>-4.7075470000000001E-2</v>
      </c>
      <c r="X3733">
        <v>0.97695089999999996</v>
      </c>
      <c r="Y3733">
        <v>0.52228699999999995</v>
      </c>
      <c r="Z3733">
        <v>-2.2379489999999998E-2</v>
      </c>
      <c r="AA3733">
        <v>0.85247609999999996</v>
      </c>
      <c r="AB3733">
        <v>22</v>
      </c>
      <c r="AC3733">
        <v>14.648400000000001</v>
      </c>
      <c r="AD3733">
        <v>9.6106400000000001</v>
      </c>
      <c r="AE3733">
        <v>-284.92108999999999</v>
      </c>
      <c r="AF3733">
        <v>148.93211114256201</v>
      </c>
      <c r="AG3733">
        <v>9.6106400000000001</v>
      </c>
      <c r="AH3733">
        <v>242.95969744046999</v>
      </c>
      <c r="AI3733">
        <v>88.068453730330702</v>
      </c>
      <c r="AJ3733">
        <v>58.492077075415096</v>
      </c>
      <c r="AK3733">
        <v>285.13602492662102</v>
      </c>
      <c r="AL3733">
        <v>92.698223045179702</v>
      </c>
      <c r="AM3733">
        <v>77.969075767035406</v>
      </c>
      <c r="AN3733">
        <v>0.99999997017938902</v>
      </c>
    </row>
    <row r="3734" spans="1:40" x14ac:dyDescent="0.25">
      <c r="A3734" t="str">
        <f>"20190312161346508"</f>
        <v>20190312161346508</v>
      </c>
      <c r="B3734" t="str">
        <f>"1552378426499356"</f>
        <v>1552378426499356</v>
      </c>
      <c r="C3734" t="s">
        <v>40</v>
      </c>
      <c r="D3734">
        <v>5.9910779999999999</v>
      </c>
      <c r="E3734">
        <v>0.63472150000000005</v>
      </c>
      <c r="F3734" t="s">
        <v>62</v>
      </c>
      <c r="G3734">
        <v>-178.4982</v>
      </c>
      <c r="H3734">
        <v>10.600239999999999</v>
      </c>
      <c r="I3734">
        <v>-81.818680000000001</v>
      </c>
      <c r="J3734">
        <v>-190.2328</v>
      </c>
      <c r="K3734">
        <v>1.1017239999999999</v>
      </c>
      <c r="L3734">
        <v>203.77269999999999</v>
      </c>
      <c r="M3734">
        <v>0.55379860000000003</v>
      </c>
      <c r="N3734">
        <v>0</v>
      </c>
      <c r="O3734">
        <v>-0.83250840000000004</v>
      </c>
      <c r="P3734">
        <v>0.3675464</v>
      </c>
      <c r="Q3734">
        <v>-5.9246729999999997E-2</v>
      </c>
      <c r="R3734">
        <v>-0.92811650000000001</v>
      </c>
      <c r="S3734">
        <v>0.1327362</v>
      </c>
      <c r="T3734">
        <v>0.1064035</v>
      </c>
      <c r="U3734">
        <v>-3.201416</v>
      </c>
      <c r="V3734">
        <v>0.20709549999999999</v>
      </c>
      <c r="W3734">
        <v>-4.8382040000000001E-2</v>
      </c>
      <c r="X3734">
        <v>0.97712370000000004</v>
      </c>
      <c r="Y3734">
        <v>0.51888509999999999</v>
      </c>
      <c r="Z3734">
        <v>-2.2492809999999998E-2</v>
      </c>
      <c r="AA3734">
        <v>0.85454799999999997</v>
      </c>
      <c r="AB3734">
        <v>22</v>
      </c>
      <c r="AC3734">
        <v>11.7346</v>
      </c>
      <c r="AD3734">
        <v>9.4985160000000004</v>
      </c>
      <c r="AE3734">
        <v>-285.59138000000002</v>
      </c>
      <c r="AF3734">
        <v>148.24482410502799</v>
      </c>
      <c r="AG3734">
        <v>9.4985160000000004</v>
      </c>
      <c r="AH3734">
        <v>244.01529488661501</v>
      </c>
      <c r="AI3734">
        <v>88.094599890189301</v>
      </c>
      <c r="AJ3734">
        <v>58.720370454377402</v>
      </c>
      <c r="AK3734">
        <v>285.67501434100802</v>
      </c>
      <c r="AL3734">
        <v>92.773169201452006</v>
      </c>
      <c r="AM3734">
        <v>78.033584529315604</v>
      </c>
      <c r="AN3734">
        <v>1.0000000465082399</v>
      </c>
    </row>
    <row r="3735" spans="1:40" x14ac:dyDescent="0.25">
      <c r="A3735" t="str">
        <f>"20190312161346542"</f>
        <v>20190312161346542</v>
      </c>
      <c r="B3735" t="str">
        <f>"1552378426539372"</f>
        <v>1552378426539372</v>
      </c>
      <c r="C3735" t="s">
        <v>40</v>
      </c>
      <c r="D3735">
        <v>6.0115959999999999</v>
      </c>
      <c r="E3735">
        <v>0.6341445</v>
      </c>
      <c r="F3735" t="s">
        <v>54</v>
      </c>
      <c r="G3735">
        <v>-182.35900000000001</v>
      </c>
      <c r="H3735">
        <v>9.1591509999999996</v>
      </c>
      <c r="I3735">
        <v>-46.268549999999998</v>
      </c>
      <c r="J3735">
        <v>-190.0694</v>
      </c>
      <c r="K3735">
        <v>1.101772</v>
      </c>
      <c r="L3735">
        <v>203.48009999999999</v>
      </c>
      <c r="M3735">
        <v>0.53613409999999995</v>
      </c>
      <c r="N3735">
        <v>0</v>
      </c>
      <c r="O3735">
        <v>-0.84399239999999998</v>
      </c>
      <c r="P3735">
        <v>0.34942719999999999</v>
      </c>
      <c r="Q3735">
        <v>-5.8343890000000002E-2</v>
      </c>
      <c r="R3735">
        <v>-0.93514540000000002</v>
      </c>
      <c r="S3735">
        <v>0.10073849999999999</v>
      </c>
      <c r="T3735">
        <v>0.1030869</v>
      </c>
      <c r="U3735">
        <v>-3.199036</v>
      </c>
      <c r="V3735">
        <v>0.2055641</v>
      </c>
      <c r="W3735">
        <v>-4.7430609999999998E-2</v>
      </c>
      <c r="X3735">
        <v>0.97749359999999996</v>
      </c>
      <c r="Y3735">
        <v>0.50935269999999999</v>
      </c>
      <c r="Z3735">
        <v>-2.244852E-2</v>
      </c>
      <c r="AA3735">
        <v>0.86026499999999995</v>
      </c>
      <c r="AB3735">
        <v>22</v>
      </c>
      <c r="AC3735">
        <v>7.7103999999999902</v>
      </c>
      <c r="AD3735">
        <v>8.0573789999999992</v>
      </c>
      <c r="AE3735">
        <v>-249.74865</v>
      </c>
      <c r="AF3735">
        <v>127.274005864199</v>
      </c>
      <c r="AG3735">
        <v>8.0573789999999992</v>
      </c>
      <c r="AH3735">
        <v>214.72197234350699</v>
      </c>
      <c r="AI3735">
        <v>88.151127375718005</v>
      </c>
      <c r="AJ3735">
        <v>59.343140134066097</v>
      </c>
      <c r="AK3735">
        <v>249.73810148264499</v>
      </c>
      <c r="AL3735">
        <v>92.7185937430351</v>
      </c>
      <c r="AM3735">
        <v>78.123916545255696</v>
      </c>
      <c r="AN3735">
        <v>1.0000000000073701</v>
      </c>
    </row>
    <row r="3736" spans="1:40" x14ac:dyDescent="0.25">
      <c r="A3736" t="str">
        <f>"20190312161346568"</f>
        <v>20190312161346568</v>
      </c>
      <c r="B3736" t="str">
        <f>"1552378426559868"</f>
        <v>1552378426559868</v>
      </c>
      <c r="C3736" t="s">
        <v>40</v>
      </c>
      <c r="D3736">
        <v>6.0342440000000002</v>
      </c>
      <c r="E3736">
        <v>0.63345090000000004</v>
      </c>
      <c r="F3736" t="s">
        <v>62</v>
      </c>
      <c r="G3736">
        <v>-186.26509999999999</v>
      </c>
      <c r="H3736">
        <v>11.666740000000001</v>
      </c>
      <c r="I3736">
        <v>-81.819029999999998</v>
      </c>
      <c r="J3736">
        <v>-189.9469</v>
      </c>
      <c r="K3736">
        <v>1.10181</v>
      </c>
      <c r="L3736">
        <v>203.25190000000001</v>
      </c>
      <c r="M3736">
        <v>0.52231779999999906</v>
      </c>
      <c r="N3736">
        <v>0</v>
      </c>
      <c r="O3736">
        <v>-0.85261229999999999</v>
      </c>
      <c r="P3736">
        <v>0.33517709999999901</v>
      </c>
      <c r="Q3736">
        <v>-5.9302670000000002E-2</v>
      </c>
      <c r="R3736">
        <v>-0.94028719999999999</v>
      </c>
      <c r="S3736">
        <v>4.2663569999999998E-2</v>
      </c>
      <c r="T3736">
        <v>0.118482199999999</v>
      </c>
      <c r="U3736">
        <v>-3.1995239999999998</v>
      </c>
      <c r="V3736">
        <v>0.20445189999999999</v>
      </c>
      <c r="W3736">
        <v>-4.8355919999999997E-2</v>
      </c>
      <c r="X3736">
        <v>0.97768149999999998</v>
      </c>
      <c r="Y3736">
        <v>0.51094189999999995</v>
      </c>
      <c r="Z3736">
        <v>-2.6243389999999998E-2</v>
      </c>
      <c r="AA3736">
        <v>0.85921449999999999</v>
      </c>
      <c r="AB3736">
        <v>22</v>
      </c>
      <c r="AC3736">
        <v>3.6818</v>
      </c>
      <c r="AD3736">
        <v>10.56493</v>
      </c>
      <c r="AE3736">
        <v>-285.07092999999998</v>
      </c>
      <c r="AF3736">
        <v>145.57578899816701</v>
      </c>
      <c r="AG3736">
        <v>10.56493</v>
      </c>
      <c r="AH3736">
        <v>244.67101166745601</v>
      </c>
      <c r="AI3736">
        <v>87.874814373738303</v>
      </c>
      <c r="AJ3736">
        <v>59.247953358913698</v>
      </c>
      <c r="AK3736">
        <v>284.89968767747098</v>
      </c>
      <c r="AL3736">
        <v>92.771671025108304</v>
      </c>
      <c r="AM3736">
        <v>78.188568106365096</v>
      </c>
      <c r="AN3736">
        <v>0.99999999492745295</v>
      </c>
    </row>
    <row r="3737" spans="1:40" x14ac:dyDescent="0.25">
      <c r="A3737" t="str">
        <f>"20190312161346586"</f>
        <v>20190312161346586</v>
      </c>
      <c r="B3737" t="str">
        <f>"1552378426579406"</f>
        <v>1552378426579406</v>
      </c>
      <c r="C3737" t="s">
        <v>40</v>
      </c>
      <c r="D3737">
        <v>6.0305439999999999</v>
      </c>
      <c r="E3737">
        <v>0.62467709999999999</v>
      </c>
      <c r="F3737" t="s">
        <v>62</v>
      </c>
      <c r="G3737">
        <v>-190.023</v>
      </c>
      <c r="H3737">
        <v>11.193759999999999</v>
      </c>
      <c r="I3737">
        <v>-81.818879999999993</v>
      </c>
      <c r="J3737">
        <v>-189.86259999999999</v>
      </c>
      <c r="K3737">
        <v>1.101831</v>
      </c>
      <c r="L3737">
        <v>203.0891</v>
      </c>
      <c r="M3737">
        <v>0.51245509999999905</v>
      </c>
      <c r="N3737">
        <v>0</v>
      </c>
      <c r="O3737">
        <v>-0.85857629999999996</v>
      </c>
      <c r="P3737">
        <v>0.32549679999999998</v>
      </c>
      <c r="Q3737">
        <v>-6.019919E-2</v>
      </c>
      <c r="R3737">
        <v>-0.94362509999999999</v>
      </c>
      <c r="S3737">
        <v>-8.5449219999999995E-4</v>
      </c>
      <c r="T3737">
        <v>0.1132131</v>
      </c>
      <c r="U3737">
        <v>-3.1979679999999999</v>
      </c>
      <c r="V3737">
        <v>0.2031858</v>
      </c>
      <c r="W3737">
        <v>-4.9218320000000003E-2</v>
      </c>
      <c r="X3737">
        <v>0.97790239999999995</v>
      </c>
      <c r="Y3737">
        <v>0.51272059999999997</v>
      </c>
      <c r="Z3737">
        <v>-2.5378700000000001E-2</v>
      </c>
      <c r="AA3737">
        <v>0.85818030000000001</v>
      </c>
      <c r="AB3737">
        <v>22</v>
      </c>
      <c r="AC3737">
        <v>-0.16040000000000901</v>
      </c>
      <c r="AD3737">
        <v>10.091928999999899</v>
      </c>
      <c r="AE3737">
        <v>-284.90798000000001</v>
      </c>
      <c r="AF3737">
        <v>145.97439402804099</v>
      </c>
      <c r="AG3737">
        <v>10.091928999999899</v>
      </c>
      <c r="AH3737">
        <v>244.255496854001</v>
      </c>
      <c r="AI3737">
        <v>87.968790541972595</v>
      </c>
      <c r="AJ3737">
        <v>59.136197402977999</v>
      </c>
      <c r="AK3737">
        <v>284.72990444663498</v>
      </c>
      <c r="AL3737">
        <v>92.821141779711397</v>
      </c>
      <c r="AM3737">
        <v>78.2622543542074</v>
      </c>
      <c r="AN3737">
        <v>1.00000000813551</v>
      </c>
    </row>
    <row r="3738" spans="1:40" x14ac:dyDescent="0.25">
      <c r="A3738" t="str">
        <f>"20190312161346608"</f>
        <v>20190312161346608</v>
      </c>
      <c r="B3738" t="str">
        <f>"1552378426599884"</f>
        <v>1552378426599884</v>
      </c>
      <c r="C3738" t="s">
        <v>40</v>
      </c>
      <c r="D3738">
        <v>5.9007769999999997</v>
      </c>
      <c r="E3738">
        <v>0.62505029999999995</v>
      </c>
      <c r="F3738" t="s">
        <v>42</v>
      </c>
      <c r="G3738">
        <v>-189.67679999999999</v>
      </c>
      <c r="H3738" s="1">
        <v>-3.2440140000000002E-6</v>
      </c>
      <c r="I3738">
        <v>187.06100000000001</v>
      </c>
      <c r="J3738">
        <v>-189.7646</v>
      </c>
      <c r="K3738">
        <v>1.1018539999999999</v>
      </c>
      <c r="L3738">
        <v>202.8938</v>
      </c>
      <c r="M3738">
        <v>0.50060919999999998</v>
      </c>
      <c r="N3738">
        <v>0</v>
      </c>
      <c r="O3738">
        <v>-0.8655368</v>
      </c>
      <c r="P3738">
        <v>0.3132125</v>
      </c>
      <c r="Q3738">
        <v>-6.1697139999999998E-2</v>
      </c>
      <c r="R3738">
        <v>-0.94767699999999999</v>
      </c>
      <c r="S3738">
        <v>3.6544800000000002E-2</v>
      </c>
      <c r="T3738">
        <v>-0.2167357</v>
      </c>
      <c r="U3738">
        <v>-3.1527859999999999</v>
      </c>
      <c r="V3738">
        <v>0.20237659999999999</v>
      </c>
      <c r="W3738">
        <v>-5.069249E-2</v>
      </c>
      <c r="X3738">
        <v>0.9779949</v>
      </c>
      <c r="Y3738">
        <v>0.4905371</v>
      </c>
      <c r="Z3738">
        <v>5.037374E-2</v>
      </c>
      <c r="AA3738">
        <v>0.86996319999999905</v>
      </c>
      <c r="AB3738">
        <v>22</v>
      </c>
      <c r="AC3738">
        <v>8.7800000000015602E-2</v>
      </c>
      <c r="AD3738">
        <v>-1.101857244014</v>
      </c>
      <c r="AE3738">
        <v>-15.832800000000001</v>
      </c>
      <c r="AF3738">
        <v>7.8131398725735899</v>
      </c>
      <c r="AG3738">
        <v>-1.101857244014</v>
      </c>
      <c r="AH3738">
        <v>13.6831815679505</v>
      </c>
      <c r="AI3738">
        <v>94.000141805781098</v>
      </c>
      <c r="AJ3738">
        <v>60.2734966583279</v>
      </c>
      <c r="AK3738">
        <v>15.795211359019101</v>
      </c>
      <c r="AL3738">
        <v>92.905711058865194</v>
      </c>
      <c r="AM3738">
        <v>78.308786580035601</v>
      </c>
      <c r="AN3738">
        <v>1.00000002059798</v>
      </c>
    </row>
    <row r="3739" spans="1:40" x14ac:dyDescent="0.25">
      <c r="A3739" t="str">
        <f>"20190312161346630"</f>
        <v>20190312161346630</v>
      </c>
      <c r="B3739" t="str">
        <f>"1552378426619405"</f>
        <v>1552378426619405</v>
      </c>
      <c r="C3739" t="s">
        <v>40</v>
      </c>
      <c r="D3739">
        <v>5.8308819999999999</v>
      </c>
      <c r="E3739">
        <v>0.62579960000000001</v>
      </c>
      <c r="F3739" t="s">
        <v>42</v>
      </c>
      <c r="G3739">
        <v>-189.80670000000001</v>
      </c>
      <c r="H3739" s="1">
        <v>-2.5319779999999999E-6</v>
      </c>
      <c r="I3739">
        <v>185.45490000000001</v>
      </c>
      <c r="J3739">
        <v>-189.66980000000001</v>
      </c>
      <c r="K3739">
        <v>1.101877</v>
      </c>
      <c r="L3739">
        <v>202.69800000000001</v>
      </c>
      <c r="M3739">
        <v>0.48872300000000002</v>
      </c>
      <c r="N3739">
        <v>0</v>
      </c>
      <c r="O3739">
        <v>-0.87230379999999996</v>
      </c>
      <c r="P3739">
        <v>0.30090650000000002</v>
      </c>
      <c r="Q3739">
        <v>-6.3194819999999999E-2</v>
      </c>
      <c r="R3739">
        <v>-0.95155789999999996</v>
      </c>
      <c r="S3739">
        <v>-7.6141359999999996E-3</v>
      </c>
      <c r="T3739">
        <v>-0.19935639999999999</v>
      </c>
      <c r="U3739">
        <v>-3.1551819999999999</v>
      </c>
      <c r="V3739">
        <v>0.20159779999999999</v>
      </c>
      <c r="W3739">
        <v>-5.216726E-2</v>
      </c>
      <c r="X3739">
        <v>0.97807820000000001</v>
      </c>
      <c r="Y3739">
        <v>0.49081469999999999</v>
      </c>
      <c r="Z3739">
        <v>4.6935230000000001E-2</v>
      </c>
      <c r="AA3739">
        <v>0.86999889999999902</v>
      </c>
      <c r="AB3739">
        <v>22</v>
      </c>
      <c r="AC3739">
        <v>-0.136899999999997</v>
      </c>
      <c r="AD3739">
        <v>-1.1018795319779999</v>
      </c>
      <c r="AE3739">
        <v>-17.243099999999899</v>
      </c>
      <c r="AF3739">
        <v>8.5127661455492092</v>
      </c>
      <c r="AG3739">
        <v>-1.1018795319779999</v>
      </c>
      <c r="AH3739">
        <v>14.9151790883869</v>
      </c>
      <c r="AI3739">
        <v>93.671153636857696</v>
      </c>
      <c r="AJ3739">
        <v>60.284645813822898</v>
      </c>
      <c r="AK3739">
        <v>17.208831836892799</v>
      </c>
      <c r="AL3739">
        <v>92.990321103802799</v>
      </c>
      <c r="AM3739">
        <v>78.353510836935101</v>
      </c>
      <c r="AN3739">
        <v>1.0000000306479899</v>
      </c>
    </row>
    <row r="3740" spans="1:40" x14ac:dyDescent="0.25">
      <c r="A3740" t="str">
        <f>"20190312161346652"</f>
        <v>20190312161346652</v>
      </c>
      <c r="B3740" t="str">
        <f>"1552378426649661"</f>
        <v>1552378426649661</v>
      </c>
      <c r="C3740" t="s">
        <v>40</v>
      </c>
      <c r="D3740">
        <v>6.0118780000000003</v>
      </c>
      <c r="E3740">
        <v>0.622453699999999</v>
      </c>
      <c r="F3740" t="s">
        <v>42</v>
      </c>
      <c r="G3740">
        <v>-190.03909999999999</v>
      </c>
      <c r="H3740" s="1">
        <v>-7.5167919999999997E-7</v>
      </c>
      <c r="I3740">
        <v>181.31700000000001</v>
      </c>
      <c r="J3740">
        <v>-189.57689999999999</v>
      </c>
      <c r="K3740">
        <v>1.1019000000000001</v>
      </c>
      <c r="L3740">
        <v>202.4991</v>
      </c>
      <c r="M3740">
        <v>0.47663529999999998</v>
      </c>
      <c r="N3740">
        <v>0</v>
      </c>
      <c r="O3740">
        <v>-0.8789669</v>
      </c>
      <c r="P3740">
        <v>0.28833140000000002</v>
      </c>
      <c r="Q3740">
        <v>-6.374908E-2</v>
      </c>
      <c r="R3740">
        <v>-0.95540639999999999</v>
      </c>
      <c r="S3740">
        <v>-5.4565429999999998E-2</v>
      </c>
      <c r="T3740">
        <v>-0.16280810000000001</v>
      </c>
      <c r="U3740">
        <v>-3.1591490000000002</v>
      </c>
      <c r="V3740">
        <v>0.2009708</v>
      </c>
      <c r="W3740">
        <v>-5.2701270000000001E-2</v>
      </c>
      <c r="X3740">
        <v>0.97817860000000001</v>
      </c>
      <c r="Y3740">
        <v>0.49174370000000001</v>
      </c>
      <c r="Z3740">
        <v>3.8792149999999997E-2</v>
      </c>
      <c r="AA3740">
        <v>0.86987549999999902</v>
      </c>
      <c r="AB3740">
        <v>21</v>
      </c>
      <c r="AC3740">
        <v>-0.462199999999995</v>
      </c>
      <c r="AD3740">
        <v>-1.1019007516791901</v>
      </c>
      <c r="AE3740">
        <v>-21.182099999999899</v>
      </c>
      <c r="AF3740">
        <v>10.475300561645501</v>
      </c>
      <c r="AG3740">
        <v>-1.1019007516791901</v>
      </c>
      <c r="AH3740">
        <v>18.350599825256499</v>
      </c>
      <c r="AI3740">
        <v>92.985194398753507</v>
      </c>
      <c r="AJ3740">
        <v>60.2804428582226</v>
      </c>
      <c r="AK3740">
        <v>21.158700836064298</v>
      </c>
      <c r="AL3740">
        <v>93.020959771924296</v>
      </c>
      <c r="AM3740">
        <v>78.389907522743201</v>
      </c>
      <c r="AN3740">
        <v>1.0000000299051</v>
      </c>
    </row>
    <row r="3741" spans="1:40" x14ac:dyDescent="0.25">
      <c r="A3741" t="str">
        <f>"20190312161346676"</f>
        <v>20190312161346676</v>
      </c>
      <c r="B3741" t="str">
        <f>"1552378426670156"</f>
        <v>1552378426670156</v>
      </c>
      <c r="C3741" t="s">
        <v>40</v>
      </c>
      <c r="D3741">
        <v>5.893942</v>
      </c>
      <c r="E3741">
        <v>0.62149849999999995</v>
      </c>
      <c r="F3741" t="s">
        <v>42</v>
      </c>
      <c r="G3741">
        <v>-190.0086</v>
      </c>
      <c r="H3741" s="1">
        <v>-1.564661E-6</v>
      </c>
      <c r="I3741">
        <v>183.2311</v>
      </c>
      <c r="J3741">
        <v>-189.48269999999999</v>
      </c>
      <c r="K3741">
        <v>1.1019289999999999</v>
      </c>
      <c r="L3741">
        <v>202.29</v>
      </c>
      <c r="M3741">
        <v>0.46391510000000002</v>
      </c>
      <c r="N3741">
        <v>0</v>
      </c>
      <c r="O3741">
        <v>-0.885746699999999</v>
      </c>
      <c r="P3741">
        <v>0.27617720000000001</v>
      </c>
      <c r="Q3741">
        <v>-6.294835E-2</v>
      </c>
      <c r="R3741">
        <v>-0.95904310000000004</v>
      </c>
      <c r="S3741">
        <v>-7.0556640000000004E-2</v>
      </c>
      <c r="T3741">
        <v>-0.18010090000000001</v>
      </c>
      <c r="U3741">
        <v>-3.1492770000000001</v>
      </c>
      <c r="V3741">
        <v>0.1993354</v>
      </c>
      <c r="W3741">
        <v>-5.1855430000000001E-2</v>
      </c>
      <c r="X3741">
        <v>0.97855829999999999</v>
      </c>
      <c r="Y3741">
        <v>0.48362109999999903</v>
      </c>
      <c r="Z3741">
        <v>4.3739590000000002E-2</v>
      </c>
      <c r="AA3741">
        <v>0.87418390000000001</v>
      </c>
      <c r="AB3741">
        <v>21</v>
      </c>
      <c r="AC3741">
        <v>-0.52590000000000703</v>
      </c>
      <c r="AD3741">
        <v>-1.101930564661</v>
      </c>
      <c r="AE3741">
        <v>-19.058899999999898</v>
      </c>
      <c r="AF3741">
        <v>9.2776322937240998</v>
      </c>
      <c r="AG3741">
        <v>-1.101930564661</v>
      </c>
      <c r="AH3741">
        <v>16.583949798968099</v>
      </c>
      <c r="AI3741">
        <v>93.3187605703272</v>
      </c>
      <c r="AJ3741">
        <v>60.775848838613598</v>
      </c>
      <c r="AK3741">
        <v>19.0346027770894</v>
      </c>
      <c r="AL3741">
        <v>92.9724305357433</v>
      </c>
      <c r="AM3741">
        <v>78.486199735648697</v>
      </c>
      <c r="AN3741">
        <v>0.99999996690626602</v>
      </c>
    </row>
    <row r="3742" spans="1:40" x14ac:dyDescent="0.25">
      <c r="A3742" t="str">
        <f>"20190312161346698"</f>
        <v>20190312161346698</v>
      </c>
      <c r="B3742" t="str">
        <f>"1552378426689677"</f>
        <v>1552378426689677</v>
      </c>
      <c r="C3742" t="s">
        <v>40</v>
      </c>
      <c r="D3742">
        <v>6.06616</v>
      </c>
      <c r="E3742">
        <v>0.60201539999999998</v>
      </c>
      <c r="F3742" t="s">
        <v>42</v>
      </c>
      <c r="G3742">
        <v>-190.0941</v>
      </c>
      <c r="H3742" s="1">
        <v>-1.758248E-6</v>
      </c>
      <c r="I3742">
        <v>183.6293</v>
      </c>
      <c r="J3742">
        <v>-189.3931</v>
      </c>
      <c r="K3742">
        <v>1.101961</v>
      </c>
      <c r="L3742">
        <v>202.08330000000001</v>
      </c>
      <c r="M3742">
        <v>0.45133040000000002</v>
      </c>
      <c r="N3742">
        <v>0</v>
      </c>
      <c r="O3742">
        <v>-0.89222500000000005</v>
      </c>
      <c r="P3742">
        <v>0.26442840000000001</v>
      </c>
      <c r="Q3742">
        <v>-6.307807E-2</v>
      </c>
      <c r="R3742">
        <v>-0.96234050000000004</v>
      </c>
      <c r="S3742">
        <v>-0.10305789999999999</v>
      </c>
      <c r="T3742">
        <v>-0.18575</v>
      </c>
      <c r="U3742">
        <v>-3.1455989999999998</v>
      </c>
      <c r="V3742">
        <v>0.19744929999999999</v>
      </c>
      <c r="W3742">
        <v>-5.1935340000000003E-2</v>
      </c>
      <c r="X3742">
        <v>0.97893640000000004</v>
      </c>
      <c r="Y3742">
        <v>0.48027189999999997</v>
      </c>
      <c r="Z3742">
        <v>4.5773660000000001E-2</v>
      </c>
      <c r="AA3742">
        <v>0.87592449999999999</v>
      </c>
      <c r="AB3742">
        <v>21</v>
      </c>
      <c r="AC3742">
        <v>-0.70099999999999296</v>
      </c>
      <c r="AD3742">
        <v>-1.1019627582480001</v>
      </c>
      <c r="AE3742">
        <v>-18.454000000000001</v>
      </c>
      <c r="AF3742">
        <v>8.9235815678840602</v>
      </c>
      <c r="AG3742">
        <v>-1.1019627582480001</v>
      </c>
      <c r="AH3742">
        <v>16.093336356933101</v>
      </c>
      <c r="AI3742">
        <v>93.426977181430004</v>
      </c>
      <c r="AJ3742">
        <v>60.992103883338302</v>
      </c>
      <c r="AK3742">
        <v>18.434752643218001</v>
      </c>
      <c r="AL3742">
        <v>92.977015149288107</v>
      </c>
      <c r="AM3742">
        <v>78.596563802962393</v>
      </c>
      <c r="AN3742">
        <v>0.999999990428182</v>
      </c>
    </row>
    <row r="3743" spans="1:40" x14ac:dyDescent="0.25">
      <c r="A3743" t="str">
        <f>"20190312161346720"</f>
        <v>20190312161346720</v>
      </c>
      <c r="B3743" t="str">
        <f>"1552378426709197"</f>
        <v>1552378426709197</v>
      </c>
      <c r="C3743" t="s">
        <v>40</v>
      </c>
      <c r="D3743">
        <v>6.0923020000000001</v>
      </c>
      <c r="E3743">
        <v>0.60165519999999995</v>
      </c>
      <c r="F3743" t="s">
        <v>42</v>
      </c>
      <c r="G3743">
        <v>-189.34049999999999</v>
      </c>
      <c r="H3743" s="1">
        <v>-1.261381E-6</v>
      </c>
      <c r="I3743">
        <v>182.3004</v>
      </c>
      <c r="J3743">
        <v>-189.31129999999999</v>
      </c>
      <c r="K3743">
        <v>1.1019909999999999</v>
      </c>
      <c r="L3743">
        <v>201.88730000000001</v>
      </c>
      <c r="M3743">
        <v>0.43939270000000002</v>
      </c>
      <c r="N3743">
        <v>0</v>
      </c>
      <c r="O3743">
        <v>-0.89816430000000003</v>
      </c>
      <c r="P3743">
        <v>0.25358199999999997</v>
      </c>
      <c r="Q3743">
        <v>-6.3533430000000002E-2</v>
      </c>
      <c r="R3743">
        <v>-0.96522569999999996</v>
      </c>
      <c r="S3743">
        <v>8.2550049999999993E-3</v>
      </c>
      <c r="T3743">
        <v>-0.17289209999999999</v>
      </c>
      <c r="U3743">
        <v>-3.1038359999999998</v>
      </c>
      <c r="V3743">
        <v>0.1953956</v>
      </c>
      <c r="W3743">
        <v>-5.2337580000000002E-2</v>
      </c>
      <c r="X3743">
        <v>0.97932699999999995</v>
      </c>
      <c r="Y3743">
        <v>0.43702049999999998</v>
      </c>
      <c r="Z3743">
        <v>4.4339410000000003E-2</v>
      </c>
      <c r="AA3743">
        <v>0.89835799999999999</v>
      </c>
      <c r="AB3743">
        <v>21</v>
      </c>
      <c r="AC3743">
        <v>-2.9200000000002901E-2</v>
      </c>
      <c r="AD3743">
        <v>-1.101992261381</v>
      </c>
      <c r="AE3743">
        <v>-19.5869</v>
      </c>
      <c r="AF3743">
        <v>8.6063392802631693</v>
      </c>
      <c r="AG3743">
        <v>-1.101992261381</v>
      </c>
      <c r="AH3743">
        <v>17.526013181385402</v>
      </c>
      <c r="AI3743">
        <v>93.230330932361696</v>
      </c>
      <c r="AJ3743">
        <v>63.846151644049897</v>
      </c>
      <c r="AK3743">
        <v>19.556190855717301</v>
      </c>
      <c r="AL3743">
        <v>93.000093108491996</v>
      </c>
      <c r="AM3743">
        <v>78.716498587986607</v>
      </c>
      <c r="AN3743">
        <v>1.0000000178543</v>
      </c>
    </row>
    <row r="3744" spans="1:40" x14ac:dyDescent="0.25">
      <c r="A3744" t="str">
        <f>"20190312161346743"</f>
        <v>20190312161346743</v>
      </c>
      <c r="B3744" t="str">
        <f>"1552378426739453"</f>
        <v>1552378426739453</v>
      </c>
      <c r="C3744" t="s">
        <v>40</v>
      </c>
      <c r="D3744">
        <v>6.1959519999999904</v>
      </c>
      <c r="E3744">
        <v>0.59946940000000004</v>
      </c>
      <c r="F3744" t="s">
        <v>42</v>
      </c>
      <c r="G3744">
        <v>-189.43440000000001</v>
      </c>
      <c r="H3744" s="1">
        <v>-2.6443700000000001E-6</v>
      </c>
      <c r="I3744">
        <v>185.56299999999999</v>
      </c>
      <c r="J3744">
        <v>-189.22980000000001</v>
      </c>
      <c r="K3744">
        <v>1.1020299999999901</v>
      </c>
      <c r="L3744">
        <v>201.68430000000001</v>
      </c>
      <c r="M3744">
        <v>0.42704039999999999</v>
      </c>
      <c r="N3744">
        <v>0</v>
      </c>
      <c r="O3744">
        <v>-0.90410279999999998</v>
      </c>
      <c r="P3744">
        <v>0.24196400000000001</v>
      </c>
      <c r="Q3744">
        <v>-6.4346509999999996E-2</v>
      </c>
      <c r="R3744">
        <v>-0.9681495</v>
      </c>
      <c r="S3744">
        <v>-2.3391720000000001E-2</v>
      </c>
      <c r="T3744">
        <v>-0.20930170000000001</v>
      </c>
      <c r="U3744">
        <v>-3.1004640000000001</v>
      </c>
      <c r="V3744">
        <v>0.19370860000000001</v>
      </c>
      <c r="W3744">
        <v>-5.3105350000000003E-2</v>
      </c>
      <c r="X3744">
        <v>0.97962079999999996</v>
      </c>
      <c r="Y3744">
        <v>0.43383729999999998</v>
      </c>
      <c r="Z3744">
        <v>5.4341849999999997E-2</v>
      </c>
      <c r="AA3744">
        <v>0.89935089999999995</v>
      </c>
      <c r="AB3744">
        <v>21</v>
      </c>
      <c r="AC3744">
        <v>-0.204599999999999</v>
      </c>
      <c r="AD3744">
        <v>-1.1020326443699999</v>
      </c>
      <c r="AE3744">
        <v>-16.121300000000002</v>
      </c>
      <c r="AF3744">
        <v>7.0373754761317704</v>
      </c>
      <c r="AG3744">
        <v>-1.1020326443699999</v>
      </c>
      <c r="AH3744">
        <v>14.4222566422165</v>
      </c>
      <c r="AI3744">
        <v>93.928485208934006</v>
      </c>
      <c r="AJ3744">
        <v>63.9898244891112</v>
      </c>
      <c r="AK3744">
        <v>16.085416258066701</v>
      </c>
      <c r="AL3744">
        <v>93.044144237635805</v>
      </c>
      <c r="AM3744">
        <v>78.814720618057606</v>
      </c>
      <c r="AN3744">
        <v>1.0000000558526001</v>
      </c>
    </row>
    <row r="3745" spans="1:40" x14ac:dyDescent="0.25">
      <c r="A3745" t="str">
        <f>"20190312161346766"</f>
        <v>20190312161346766</v>
      </c>
      <c r="B3745" t="str">
        <f>"1552378426759949"</f>
        <v>1552378426759949</v>
      </c>
      <c r="C3745" t="s">
        <v>40</v>
      </c>
      <c r="D3745">
        <v>6.1166780000000003</v>
      </c>
      <c r="E3745">
        <v>0.59877530000000001</v>
      </c>
      <c r="F3745" t="s">
        <v>42</v>
      </c>
      <c r="G3745">
        <v>-189.46129999999999</v>
      </c>
      <c r="H3745" s="1">
        <v>-2.5217829999999999E-6</v>
      </c>
      <c r="I3745">
        <v>185.2884</v>
      </c>
      <c r="J3745">
        <v>-189.14830000000001</v>
      </c>
      <c r="K3745">
        <v>1.102068</v>
      </c>
      <c r="L3745">
        <v>201.4734</v>
      </c>
      <c r="M3745">
        <v>0.41420970000000001</v>
      </c>
      <c r="N3745">
        <v>0</v>
      </c>
      <c r="O3745">
        <v>-0.9100528</v>
      </c>
      <c r="P3745">
        <v>0.2296309</v>
      </c>
      <c r="Q3745">
        <v>-6.394097E-2</v>
      </c>
      <c r="R3745">
        <v>-0.97117529999999996</v>
      </c>
      <c r="S3745">
        <v>-4.3716430000000001E-2</v>
      </c>
      <c r="T3745">
        <v>-0.2080796</v>
      </c>
      <c r="U3745">
        <v>-3.0957949999999999</v>
      </c>
      <c r="V3745">
        <v>0.1923377</v>
      </c>
      <c r="W3745">
        <v>-5.2658539999999997E-2</v>
      </c>
      <c r="X3745">
        <v>0.97991490000000003</v>
      </c>
      <c r="Y3745">
        <v>0.42699819999999999</v>
      </c>
      <c r="Z3745">
        <v>5.4808719999999998E-2</v>
      </c>
      <c r="AA3745">
        <v>0.90258989999999995</v>
      </c>
      <c r="AB3745">
        <v>21</v>
      </c>
      <c r="AC3745">
        <v>-0.31299999999998801</v>
      </c>
      <c r="AD3745">
        <v>-1.102070521783</v>
      </c>
      <c r="AE3745">
        <v>-16.184999999999999</v>
      </c>
      <c r="AF3745">
        <v>6.9574029769949002</v>
      </c>
      <c r="AG3745">
        <v>-1.102070521783</v>
      </c>
      <c r="AH3745">
        <v>14.533905287451001</v>
      </c>
      <c r="AI3745">
        <v>93.912645625609201</v>
      </c>
      <c r="AJ3745">
        <v>64.419489483985501</v>
      </c>
      <c r="AK3745">
        <v>16.1509881593628</v>
      </c>
      <c r="AL3745">
        <v>93.018508324381401</v>
      </c>
      <c r="AM3745">
        <v>78.895155770760496</v>
      </c>
      <c r="AN3745">
        <v>0.999999961959115</v>
      </c>
    </row>
    <row r="3746" spans="1:40" x14ac:dyDescent="0.25">
      <c r="A3746" t="str">
        <f>"20190312161346789"</f>
        <v>20190312161346789</v>
      </c>
      <c r="B3746" t="str">
        <f>"1552378426779472"</f>
        <v>1552378426779472</v>
      </c>
      <c r="C3746" t="s">
        <v>40</v>
      </c>
      <c r="D3746">
        <v>6.084905</v>
      </c>
      <c r="E3746">
        <v>0.5983079</v>
      </c>
      <c r="F3746" t="s">
        <v>42</v>
      </c>
      <c r="G3746">
        <v>-189.54560000000001</v>
      </c>
      <c r="H3746" s="1">
        <v>-2.6682210000000001E-6</v>
      </c>
      <c r="I3746">
        <v>185.66460000000001</v>
      </c>
      <c r="J3746">
        <v>-189.0693</v>
      </c>
      <c r="K3746">
        <v>1.102128</v>
      </c>
      <c r="L3746">
        <v>201.25970000000001</v>
      </c>
      <c r="M3746">
        <v>0.40123969999999998</v>
      </c>
      <c r="N3746">
        <v>0</v>
      </c>
      <c r="O3746">
        <v>-0.91584549999999998</v>
      </c>
      <c r="P3746">
        <v>0.2171708</v>
      </c>
      <c r="Q3746">
        <v>-6.3637990000000005E-2</v>
      </c>
      <c r="R3746">
        <v>-0.97405699999999995</v>
      </c>
      <c r="S3746">
        <v>-7.7728270000000002E-2</v>
      </c>
      <c r="T3746">
        <v>-0.2156354</v>
      </c>
      <c r="U3746">
        <v>-3.093216</v>
      </c>
      <c r="V3746">
        <v>0.190992</v>
      </c>
      <c r="W3746">
        <v>-5.2313289999999998E-2</v>
      </c>
      <c r="X3746">
        <v>0.98019659999999997</v>
      </c>
      <c r="Y3746">
        <v>0.42407630000000002</v>
      </c>
      <c r="Z3746">
        <v>5.7476590000000001E-2</v>
      </c>
      <c r="AA3746">
        <v>0.90380070000000001</v>
      </c>
      <c r="AB3746">
        <v>21</v>
      </c>
      <c r="AC3746">
        <v>-0.47630000000000899</v>
      </c>
      <c r="AD3746">
        <v>-1.1021306682209999</v>
      </c>
      <c r="AE3746">
        <v>-15.5951</v>
      </c>
      <c r="AF3746">
        <v>6.6611349499881296</v>
      </c>
      <c r="AG3746">
        <v>-1.1021306682209999</v>
      </c>
      <c r="AH3746">
        <v>14.0232651661043</v>
      </c>
      <c r="AI3746">
        <v>94.060680042654496</v>
      </c>
      <c r="AJ3746">
        <v>64.592001880801106</v>
      </c>
      <c r="AK3746">
        <v>15.563976893797401</v>
      </c>
      <c r="AL3746">
        <v>92.998699539938301</v>
      </c>
      <c r="AM3746">
        <v>78.974031769767393</v>
      </c>
      <c r="AN3746">
        <v>0.99999999951309204</v>
      </c>
    </row>
    <row r="3747" spans="1:40" x14ac:dyDescent="0.25">
      <c r="A3747" t="str">
        <f>"20190312161346809"</f>
        <v>20190312161346809</v>
      </c>
      <c r="B3747" t="str">
        <f>"1552378426799969"</f>
        <v>1552378426799969</v>
      </c>
      <c r="C3747" t="s">
        <v>40</v>
      </c>
      <c r="D3747">
        <v>6.136539</v>
      </c>
      <c r="E3747">
        <v>0.59750859999999995</v>
      </c>
      <c r="F3747" t="s">
        <v>42</v>
      </c>
      <c r="G3747">
        <v>-189.64410000000001</v>
      </c>
      <c r="H3747" s="1">
        <v>-2.6300370000000002E-6</v>
      </c>
      <c r="I3747">
        <v>185.6163</v>
      </c>
      <c r="J3747">
        <v>-189.00229999999999</v>
      </c>
      <c r="K3747">
        <v>1.1021799999999999</v>
      </c>
      <c r="L3747">
        <v>201.07060000000001</v>
      </c>
      <c r="M3747">
        <v>0.3897948</v>
      </c>
      <c r="N3747">
        <v>0</v>
      </c>
      <c r="O3747">
        <v>-0.92077489999999995</v>
      </c>
      <c r="P3747">
        <v>0.2058528</v>
      </c>
      <c r="Q3747">
        <v>-6.4077690000000007E-2</v>
      </c>
      <c r="R3747">
        <v>-0.97648290000000004</v>
      </c>
      <c r="S3747">
        <v>-0.1135864</v>
      </c>
      <c r="T3747">
        <v>-0.2177702</v>
      </c>
      <c r="U3747">
        <v>-3.0909879999999998</v>
      </c>
      <c r="V3747">
        <v>0.190139</v>
      </c>
      <c r="W3747">
        <v>-5.2722779999999997E-2</v>
      </c>
      <c r="X3747">
        <v>0.98034049999999995</v>
      </c>
      <c r="Y3747">
        <v>0.42327949999999998</v>
      </c>
      <c r="Z3747">
        <v>5.8601069999999998E-2</v>
      </c>
      <c r="AA3747">
        <v>0.90410199999999996</v>
      </c>
      <c r="AB3747">
        <v>21</v>
      </c>
      <c r="AC3747">
        <v>-0.64180000000001702</v>
      </c>
      <c r="AD3747">
        <v>-1.1021826300369999</v>
      </c>
      <c r="AE3747">
        <v>-15.4543</v>
      </c>
      <c r="AF3747">
        <v>6.5823094050248896</v>
      </c>
      <c r="AG3747">
        <v>-1.1021826300369999</v>
      </c>
      <c r="AH3747">
        <v>13.9107607990661</v>
      </c>
      <c r="AI3747">
        <v>94.096485096955107</v>
      </c>
      <c r="AJ3747">
        <v>64.677371099608095</v>
      </c>
      <c r="AK3747">
        <v>15.428897227678601</v>
      </c>
      <c r="AL3747">
        <v>93.022193969812704</v>
      </c>
      <c r="AM3747">
        <v>79.023648773472203</v>
      </c>
      <c r="AN3747">
        <v>1.00000001339608</v>
      </c>
    </row>
    <row r="3748" spans="1:40" x14ac:dyDescent="0.25">
      <c r="A3748" t="str">
        <f>"20190312161346832"</f>
        <v>20190312161346832</v>
      </c>
      <c r="B3748" t="str">
        <f>"1552378426819495"</f>
        <v>1552378426819495</v>
      </c>
      <c r="C3748" t="s">
        <v>40</v>
      </c>
      <c r="D3748">
        <v>6.1339699999999997</v>
      </c>
      <c r="E3748">
        <v>0.59733190000000003</v>
      </c>
      <c r="F3748" t="s">
        <v>42</v>
      </c>
      <c r="G3748">
        <v>-189.68950000000001</v>
      </c>
      <c r="H3748" s="1">
        <v>-2.8913569999999998E-6</v>
      </c>
      <c r="I3748">
        <v>186.24420000000001</v>
      </c>
      <c r="J3748">
        <v>-188.9342</v>
      </c>
      <c r="K3748">
        <v>1.102244</v>
      </c>
      <c r="L3748">
        <v>200.87039999999999</v>
      </c>
      <c r="M3748">
        <v>0.3777103</v>
      </c>
      <c r="N3748">
        <v>0</v>
      </c>
      <c r="O3748">
        <v>-0.92579800000000001</v>
      </c>
      <c r="P3748">
        <v>0.19400819999999999</v>
      </c>
      <c r="Q3748">
        <v>-6.4475450000000004E-2</v>
      </c>
      <c r="R3748">
        <v>-0.97887900000000005</v>
      </c>
      <c r="S3748">
        <v>-0.1430969</v>
      </c>
      <c r="T3748">
        <v>-0.22951150000000001</v>
      </c>
      <c r="U3748">
        <v>-3.0873569999999999</v>
      </c>
      <c r="V3748">
        <v>0.1891756</v>
      </c>
      <c r="W3748">
        <v>-5.3087549999999997E-2</v>
      </c>
      <c r="X3748">
        <v>0.98050720000000002</v>
      </c>
      <c r="Y3748">
        <v>0.42007139999999998</v>
      </c>
      <c r="Z3748">
        <v>6.2414310000000001E-2</v>
      </c>
      <c r="AA3748">
        <v>0.90534219999999999</v>
      </c>
      <c r="AB3748">
        <v>21</v>
      </c>
      <c r="AC3748">
        <v>-0.75530000000000497</v>
      </c>
      <c r="AD3748">
        <v>-1.102246891357</v>
      </c>
      <c r="AE3748">
        <v>-14.6261999999999</v>
      </c>
      <c r="AF3748">
        <v>6.1893888840018398</v>
      </c>
      <c r="AG3748">
        <v>-1.102246891357</v>
      </c>
      <c r="AH3748">
        <v>13.182498383900199</v>
      </c>
      <c r="AI3748">
        <v>94.328301019632903</v>
      </c>
      <c r="AJ3748">
        <v>64.849211311238903</v>
      </c>
      <c r="AK3748">
        <v>14.6048535291677</v>
      </c>
      <c r="AL3748">
        <v>93.043123003509294</v>
      </c>
      <c r="AM3748">
        <v>79.079735396649397</v>
      </c>
      <c r="AN3748">
        <v>1.0000000324261</v>
      </c>
    </row>
    <row r="3749" spans="1:40" x14ac:dyDescent="0.25">
      <c r="A3749" t="str">
        <f>"20190312161346854"</f>
        <v>20190312161346854</v>
      </c>
      <c r="B3749" t="str">
        <f>"1552378426849741"</f>
        <v>1552378426849741</v>
      </c>
      <c r="C3749" t="s">
        <v>40</v>
      </c>
      <c r="D3749">
        <v>6.0787750000000003</v>
      </c>
      <c r="E3749">
        <v>0.59624560000000004</v>
      </c>
      <c r="F3749" t="s">
        <v>42</v>
      </c>
      <c r="G3749">
        <v>-189.8</v>
      </c>
      <c r="H3749" s="1">
        <v>-2.7452500000000001E-6</v>
      </c>
      <c r="I3749">
        <v>185.94929999999999</v>
      </c>
      <c r="J3749">
        <v>-188.8647</v>
      </c>
      <c r="K3749">
        <v>1.102311</v>
      </c>
      <c r="L3749">
        <v>200.65700000000001</v>
      </c>
      <c r="M3749">
        <v>0.36486809999999997</v>
      </c>
      <c r="N3749">
        <v>0</v>
      </c>
      <c r="O3749">
        <v>-0.93093440000000005</v>
      </c>
      <c r="P3749">
        <v>0.18068409999999999</v>
      </c>
      <c r="Q3749">
        <v>-6.4545619999999998E-2</v>
      </c>
      <c r="R3749">
        <v>-0.98142119999999999</v>
      </c>
      <c r="S3749">
        <v>-0.17903139999999901</v>
      </c>
      <c r="T3749">
        <v>-0.22791049999999999</v>
      </c>
      <c r="U3749">
        <v>-3.0852200000000001</v>
      </c>
      <c r="V3749">
        <v>0.18894659999999999</v>
      </c>
      <c r="W3749">
        <v>-5.3139909999999999E-2</v>
      </c>
      <c r="X3749">
        <v>0.98054850000000005</v>
      </c>
      <c r="Y3749">
        <v>0.41806569999999998</v>
      </c>
      <c r="Z3749">
        <v>6.2602660000000004E-2</v>
      </c>
      <c r="AA3749">
        <v>0.90625719999999998</v>
      </c>
      <c r="AB3749">
        <v>21</v>
      </c>
      <c r="AC3749">
        <v>-0.93530000000001201</v>
      </c>
      <c r="AD3749">
        <v>-1.10231374525</v>
      </c>
      <c r="AE3749">
        <v>-14.707700000000001</v>
      </c>
      <c r="AF3749">
        <v>6.20309464824079</v>
      </c>
      <c r="AG3749">
        <v>-1.10231374525</v>
      </c>
      <c r="AH3749">
        <v>13.2779099932613</v>
      </c>
      <c r="AI3749">
        <v>94.301428010534394</v>
      </c>
      <c r="AJ3749">
        <v>64.959240255380095</v>
      </c>
      <c r="AK3749">
        <v>14.696815049429899</v>
      </c>
      <c r="AL3749">
        <v>93.046127306374004</v>
      </c>
      <c r="AM3749">
        <v>79.093085681085597</v>
      </c>
      <c r="AN3749">
        <v>1.0000000142693</v>
      </c>
    </row>
    <row r="3750" spans="1:40" x14ac:dyDescent="0.25">
      <c r="A3750" t="str">
        <f>"20190312161346877"</f>
        <v>20190312161346877</v>
      </c>
      <c r="B3750" t="str">
        <f>"1552378426869262"</f>
        <v>1552378426869262</v>
      </c>
      <c r="C3750" t="s">
        <v>40</v>
      </c>
      <c r="D3750">
        <v>6.1197290000000004</v>
      </c>
      <c r="E3750">
        <v>0.59550360000000002</v>
      </c>
      <c r="F3750" t="s">
        <v>42</v>
      </c>
      <c r="G3750">
        <v>-189.86009999999999</v>
      </c>
      <c r="H3750" s="1">
        <v>-2.8523749999999999E-6</v>
      </c>
      <c r="I3750">
        <v>186.22389999999999</v>
      </c>
      <c r="J3750">
        <v>-188.80009999999999</v>
      </c>
      <c r="K3750">
        <v>1.1023829999999999</v>
      </c>
      <c r="L3750">
        <v>200.44919999999999</v>
      </c>
      <c r="M3750">
        <v>0.35241090000000003</v>
      </c>
      <c r="N3750">
        <v>0</v>
      </c>
      <c r="O3750">
        <v>-0.93572169999999999</v>
      </c>
      <c r="P3750">
        <v>0.16857349999999999</v>
      </c>
      <c r="Q3750">
        <v>-6.4110829999999994E-2</v>
      </c>
      <c r="R3750">
        <v>-0.98360230000000004</v>
      </c>
      <c r="S3750">
        <v>-0.2124481</v>
      </c>
      <c r="T3750">
        <v>-0.235266</v>
      </c>
      <c r="U3750">
        <v>-3.080444</v>
      </c>
      <c r="V3750">
        <v>0.187973</v>
      </c>
      <c r="W3750">
        <v>-5.2671179999999998E-2</v>
      </c>
      <c r="X3750">
        <v>0.98076090000000005</v>
      </c>
      <c r="Y3750">
        <v>0.41580080000000003</v>
      </c>
      <c r="Z3750">
        <v>6.5272499999999997E-2</v>
      </c>
      <c r="AA3750">
        <v>0.90711030000000004</v>
      </c>
      <c r="AB3750">
        <v>21</v>
      </c>
      <c r="AC3750">
        <v>-1.06</v>
      </c>
      <c r="AD3750">
        <v>-1.1023858523750001</v>
      </c>
      <c r="AE3750">
        <v>-14.225300000000001</v>
      </c>
      <c r="AF3750">
        <v>5.9700560482666196</v>
      </c>
      <c r="AG3750">
        <v>-1.1023858523750001</v>
      </c>
      <c r="AH3750">
        <v>12.8620481702298</v>
      </c>
      <c r="AI3750">
        <v>94.445348504473401</v>
      </c>
      <c r="AJ3750">
        <v>65.101128574731902</v>
      </c>
      <c r="AK3750">
        <v>14.2228375129674</v>
      </c>
      <c r="AL3750">
        <v>93.019233366692106</v>
      </c>
      <c r="AM3750">
        <v>79.150243188854006</v>
      </c>
      <c r="AN3750">
        <v>1.0000000224501999</v>
      </c>
    </row>
    <row r="3751" spans="1:40" x14ac:dyDescent="0.25">
      <c r="A3751" t="str">
        <f>"20190312161346898"</f>
        <v>20190312161346898</v>
      </c>
      <c r="B3751" t="str">
        <f>"1552378426889757"</f>
        <v>1552378426889757</v>
      </c>
      <c r="C3751" t="s">
        <v>40</v>
      </c>
      <c r="D3751">
        <v>6.0922210000000003</v>
      </c>
      <c r="E3751">
        <v>0.59433829999999999</v>
      </c>
      <c r="F3751" t="s">
        <v>42</v>
      </c>
      <c r="G3751">
        <v>-189.9469</v>
      </c>
      <c r="H3751" s="1">
        <v>-2.750917E-6</v>
      </c>
      <c r="I3751">
        <v>186.02330000000001</v>
      </c>
      <c r="J3751">
        <v>-188.73929999999999</v>
      </c>
      <c r="K3751">
        <v>1.1024529999999999</v>
      </c>
      <c r="L3751">
        <v>200.2448</v>
      </c>
      <c r="M3751">
        <v>0.34021570000000001</v>
      </c>
      <c r="N3751">
        <v>0</v>
      </c>
      <c r="O3751">
        <v>-0.94022450000000002</v>
      </c>
      <c r="P3751">
        <v>0.15694629999999901</v>
      </c>
      <c r="Q3751">
        <v>-6.3468759999999999E-2</v>
      </c>
      <c r="R3751">
        <v>-0.98556569999999999</v>
      </c>
      <c r="S3751">
        <v>-0.2445831</v>
      </c>
      <c r="T3751">
        <v>-0.2351048</v>
      </c>
      <c r="U3751">
        <v>-3.0765989999999999</v>
      </c>
      <c r="V3751">
        <v>0.18683910000000001</v>
      </c>
      <c r="W3751">
        <v>-5.1992330000000003E-2</v>
      </c>
      <c r="X3751">
        <v>0.98101369999999999</v>
      </c>
      <c r="Y3751">
        <v>0.41347679999999998</v>
      </c>
      <c r="Z3751">
        <v>6.5836359999999997E-2</v>
      </c>
      <c r="AA3751">
        <v>0.90813129999999997</v>
      </c>
      <c r="AB3751">
        <v>21</v>
      </c>
      <c r="AC3751">
        <v>-1.20760000000001</v>
      </c>
      <c r="AD3751">
        <v>-1.1024557509170001</v>
      </c>
      <c r="AE3751">
        <v>-14.221499999999899</v>
      </c>
      <c r="AF3751">
        <v>5.9390486187717704</v>
      </c>
      <c r="AG3751">
        <v>-1.1024557509170001</v>
      </c>
      <c r="AH3751">
        <v>12.885178584669299</v>
      </c>
      <c r="AI3751">
        <v>94.443139971326801</v>
      </c>
      <c r="AJ3751">
        <v>65.254034370327204</v>
      </c>
      <c r="AK3751">
        <v>14.2307952812795</v>
      </c>
      <c r="AL3751">
        <v>92.980284927250807</v>
      </c>
      <c r="AM3751">
        <v>79.216866102357599</v>
      </c>
      <c r="AN3751">
        <v>0.99999996562766302</v>
      </c>
    </row>
    <row r="3752" spans="1:40" x14ac:dyDescent="0.25">
      <c r="A3752" t="str">
        <f>"20190312161346920"</f>
        <v>20190312161346920</v>
      </c>
      <c r="B3752" t="str">
        <f>"1552378426909277"</f>
        <v>1552378426909277</v>
      </c>
      <c r="C3752" t="s">
        <v>40</v>
      </c>
      <c r="D3752">
        <v>6.1070489999999999</v>
      </c>
      <c r="E3752">
        <v>0.59314100000000003</v>
      </c>
      <c r="F3752" t="s">
        <v>42</v>
      </c>
      <c r="G3752">
        <v>-190.03389999999999</v>
      </c>
      <c r="H3752" s="1">
        <v>-2.589187E-6</v>
      </c>
      <c r="I3752">
        <v>185.6036</v>
      </c>
      <c r="J3752">
        <v>-188.6824</v>
      </c>
      <c r="K3752">
        <v>1.102517</v>
      </c>
      <c r="L3752">
        <v>200.04390000000001</v>
      </c>
      <c r="M3752">
        <v>0.32828659999999998</v>
      </c>
      <c r="N3752">
        <v>0</v>
      </c>
      <c r="O3752">
        <v>-0.94445599999999996</v>
      </c>
      <c r="P3752">
        <v>0.1451635</v>
      </c>
      <c r="Q3752">
        <v>-6.3267450000000003E-2</v>
      </c>
      <c r="R3752">
        <v>-0.98738300000000001</v>
      </c>
      <c r="S3752">
        <v>-0.27163700000000002</v>
      </c>
      <c r="T3752">
        <v>-0.2313354</v>
      </c>
      <c r="U3752">
        <v>-3.0722659999999999</v>
      </c>
      <c r="V3752">
        <v>0.18615509999999999</v>
      </c>
      <c r="W3752">
        <v>-5.1764749999999998E-2</v>
      </c>
      <c r="X3752">
        <v>0.98115580000000002</v>
      </c>
      <c r="Y3752">
        <v>0.40999819999999998</v>
      </c>
      <c r="Z3752">
        <v>6.5387699999999896E-2</v>
      </c>
      <c r="AA3752">
        <v>0.90973950000000003</v>
      </c>
      <c r="AB3752">
        <v>21</v>
      </c>
      <c r="AC3752">
        <v>-1.3514999999999799</v>
      </c>
      <c r="AD3752">
        <v>-1.1025195891870001</v>
      </c>
      <c r="AE3752">
        <v>-14.440300000000001</v>
      </c>
      <c r="AF3752">
        <v>5.9831088884366599</v>
      </c>
      <c r="AG3752">
        <v>-1.1025195891870001</v>
      </c>
      <c r="AH3752">
        <v>13.120252942735799</v>
      </c>
      <c r="AI3752">
        <v>94.372172024929796</v>
      </c>
      <c r="AJ3752">
        <v>65.486025266130895</v>
      </c>
      <c r="AK3752">
        <v>14.4621636934727</v>
      </c>
      <c r="AL3752">
        <v>92.967227847226098</v>
      </c>
      <c r="AM3752">
        <v>79.256941392877394</v>
      </c>
      <c r="AN3752">
        <v>1.0000000072360999</v>
      </c>
    </row>
    <row r="3753" spans="1:40" x14ac:dyDescent="0.25">
      <c r="A3753" t="str">
        <f>"20190312161346945"</f>
        <v>20190312161346945</v>
      </c>
      <c r="B3753" t="str">
        <f>"1552378426939533"</f>
        <v>1552378426939533</v>
      </c>
      <c r="C3753" t="s">
        <v>40</v>
      </c>
      <c r="D3753">
        <v>6.139697</v>
      </c>
      <c r="E3753">
        <v>0.59108609999999995</v>
      </c>
      <c r="F3753" t="s">
        <v>42</v>
      </c>
      <c r="G3753">
        <v>-190.08879999999999</v>
      </c>
      <c r="H3753" s="1">
        <v>-2.603871E-6</v>
      </c>
      <c r="I3753">
        <v>185.6037</v>
      </c>
      <c r="J3753">
        <v>-188.62219999999999</v>
      </c>
      <c r="K3753">
        <v>1.1026</v>
      </c>
      <c r="L3753">
        <v>199.82089999999999</v>
      </c>
      <c r="M3753">
        <v>0.3151119</v>
      </c>
      <c r="N3753">
        <v>0</v>
      </c>
      <c r="O3753">
        <v>-0.94893349999999999</v>
      </c>
      <c r="P3753">
        <v>0.13318479999999999</v>
      </c>
      <c r="Q3753">
        <v>-6.2955819999999996E-2</v>
      </c>
      <c r="R3753">
        <v>-0.98909000000000002</v>
      </c>
      <c r="S3753">
        <v>-0.29873660000000002</v>
      </c>
      <c r="T3753">
        <v>-0.23418710000000001</v>
      </c>
      <c r="U3753">
        <v>-3.0672609999999998</v>
      </c>
      <c r="V3753">
        <v>0.1844171</v>
      </c>
      <c r="W3753">
        <v>-5.1403169999999998E-2</v>
      </c>
      <c r="X3753">
        <v>0.98150300000000001</v>
      </c>
      <c r="Y3753">
        <v>0.405393</v>
      </c>
      <c r="Z3753">
        <v>6.6857910000000007E-2</v>
      </c>
      <c r="AA3753">
        <v>0.91169429999999996</v>
      </c>
      <c r="AB3753">
        <v>21</v>
      </c>
      <c r="AC3753">
        <v>-1.4665999999999899</v>
      </c>
      <c r="AD3753">
        <v>-1.102602603871</v>
      </c>
      <c r="AE3753">
        <v>-14.217199999999901</v>
      </c>
      <c r="AF3753">
        <v>5.8376475959683098</v>
      </c>
      <c r="AG3753">
        <v>-1.102602603871</v>
      </c>
      <c r="AH3753">
        <v>12.9534409171274</v>
      </c>
      <c r="AI3753">
        <v>94.437480448085395</v>
      </c>
      <c r="AJ3753">
        <v>65.740631782974404</v>
      </c>
      <c r="AK3753">
        <v>14.2508067684005</v>
      </c>
      <c r="AL3753">
        <v>92.946483107354993</v>
      </c>
      <c r="AM3753">
        <v>79.358618757007406</v>
      </c>
      <c r="AN3753">
        <v>1.0000000458337199</v>
      </c>
    </row>
    <row r="3754" spans="1:40" x14ac:dyDescent="0.25">
      <c r="A3754" t="str">
        <f>"20190312161346966"</f>
        <v>20190312161346966</v>
      </c>
      <c r="B3754" t="str">
        <f>"1552378426960029"</f>
        <v>1552378426960029</v>
      </c>
      <c r="C3754" t="s">
        <v>40</v>
      </c>
      <c r="D3754">
        <v>6.110754</v>
      </c>
      <c r="E3754">
        <v>0.58976289999999998</v>
      </c>
      <c r="F3754" t="s">
        <v>42</v>
      </c>
      <c r="G3754">
        <v>-190.1335</v>
      </c>
      <c r="H3754" s="1">
        <v>-2.5082469999999998E-6</v>
      </c>
      <c r="I3754">
        <v>185.35310000000001</v>
      </c>
      <c r="J3754">
        <v>-188.5684</v>
      </c>
      <c r="K3754">
        <v>1.1026830000000001</v>
      </c>
      <c r="L3754">
        <v>199.61089999999999</v>
      </c>
      <c r="M3754">
        <v>0.30277920000000003</v>
      </c>
      <c r="N3754">
        <v>0</v>
      </c>
      <c r="O3754">
        <v>-0.95294049999999997</v>
      </c>
      <c r="P3754">
        <v>0.122166899999999</v>
      </c>
      <c r="Q3754">
        <v>-6.3055630000000001E-2</v>
      </c>
      <c r="R3754">
        <v>-0.99050470000000002</v>
      </c>
      <c r="S3754">
        <v>-0.31977840000000002</v>
      </c>
      <c r="T3754">
        <v>-0.2333047</v>
      </c>
      <c r="U3754">
        <v>-3.0613100000000002</v>
      </c>
      <c r="V3754">
        <v>0.18262110000000001</v>
      </c>
      <c r="W3754">
        <v>-5.1453310000000002E-2</v>
      </c>
      <c r="X3754">
        <v>0.98183609999999999</v>
      </c>
      <c r="Y3754">
        <v>0.39990700000000001</v>
      </c>
      <c r="Z3754">
        <v>6.7260810000000004E-2</v>
      </c>
      <c r="AA3754">
        <v>0.91408449999999997</v>
      </c>
      <c r="AB3754">
        <v>21</v>
      </c>
      <c r="AC3754">
        <v>-1.5650999999999999</v>
      </c>
      <c r="AD3754">
        <v>-1.102685508247</v>
      </c>
      <c r="AE3754">
        <v>-14.2577999999999</v>
      </c>
      <c r="AF3754">
        <v>5.7749474530643097</v>
      </c>
      <c r="AG3754">
        <v>-1.102685508247</v>
      </c>
      <c r="AH3754">
        <v>13.0374054200812</v>
      </c>
      <c r="AI3754">
        <v>94.421977577519002</v>
      </c>
      <c r="AJ3754">
        <v>66.108946734380993</v>
      </c>
      <c r="AK3754">
        <v>14.301743722473701</v>
      </c>
      <c r="AL3754">
        <v>92.9493598056265</v>
      </c>
      <c r="AM3754">
        <v>79.4634154424363</v>
      </c>
      <c r="AN3754">
        <v>1.0000000182691799</v>
      </c>
    </row>
    <row r="3755" spans="1:40" x14ac:dyDescent="0.25">
      <c r="A3755" t="str">
        <f>"20190312161346990"</f>
        <v>20190312161346990</v>
      </c>
      <c r="B3755" t="str">
        <f>"1552378426979553"</f>
        <v>1552378426979553</v>
      </c>
      <c r="C3755" t="s">
        <v>40</v>
      </c>
      <c r="D3755">
        <v>6.1727179999999997</v>
      </c>
      <c r="E3755">
        <v>0.58846369999999903</v>
      </c>
      <c r="F3755" t="s">
        <v>42</v>
      </c>
      <c r="G3755">
        <v>-190.16149999999999</v>
      </c>
      <c r="H3755" s="1">
        <v>-2.5476360000000001E-6</v>
      </c>
      <c r="I3755">
        <v>185.42750000000001</v>
      </c>
      <c r="J3755">
        <v>-188.5171</v>
      </c>
      <c r="K3755">
        <v>1.10277</v>
      </c>
      <c r="L3755">
        <v>199.399</v>
      </c>
      <c r="M3755">
        <v>0.29042000000000001</v>
      </c>
      <c r="N3755">
        <v>0</v>
      </c>
      <c r="O3755">
        <v>-0.95677999999999996</v>
      </c>
      <c r="P3755">
        <v>0.1110013</v>
      </c>
      <c r="Q3755">
        <v>-6.3322719999999999E-2</v>
      </c>
      <c r="R3755">
        <v>-0.9918013</v>
      </c>
      <c r="S3755">
        <v>-0.3432617</v>
      </c>
      <c r="T3755">
        <v>-0.23758589999999999</v>
      </c>
      <c r="U3755">
        <v>-3.0559690000000002</v>
      </c>
      <c r="V3755">
        <v>0.18097530000000001</v>
      </c>
      <c r="W3755">
        <v>-5.1674039999999997E-2</v>
      </c>
      <c r="X3755">
        <v>0.98212920000000004</v>
      </c>
      <c r="Y3755">
        <v>0.39513470000000001</v>
      </c>
      <c r="Z3755">
        <v>6.9104079999999998E-2</v>
      </c>
      <c r="AA3755">
        <v>0.91602030000000001</v>
      </c>
      <c r="AB3755">
        <v>21</v>
      </c>
      <c r="AC3755">
        <v>-1.6443999999999901</v>
      </c>
      <c r="AD3755">
        <v>-1.102772547636</v>
      </c>
      <c r="AE3755">
        <v>-13.971499999999899</v>
      </c>
      <c r="AF3755">
        <v>5.5971809989070502</v>
      </c>
      <c r="AG3755">
        <v>-1.102772547636</v>
      </c>
      <c r="AH3755">
        <v>12.812823654194</v>
      </c>
      <c r="AI3755">
        <v>94.509626275176601</v>
      </c>
      <c r="AJ3755">
        <v>66.402268127201395</v>
      </c>
      <c r="AK3755">
        <v>14.0254408993022</v>
      </c>
      <c r="AL3755">
        <v>92.962023557341197</v>
      </c>
      <c r="AM3755">
        <v>79.559321895705494</v>
      </c>
      <c r="AN3755">
        <v>1.00000001555632</v>
      </c>
    </row>
    <row r="3756" spans="1:40" x14ac:dyDescent="0.25">
      <c r="A3756" t="str">
        <f>"20190312161347010"</f>
        <v>20190312161347010</v>
      </c>
      <c r="B3756" t="str">
        <f>"1552378427000045"</f>
        <v>1552378427000045</v>
      </c>
      <c r="C3756" t="s">
        <v>40</v>
      </c>
      <c r="D3756">
        <v>6.067977</v>
      </c>
      <c r="E3756">
        <v>0.56466780000000005</v>
      </c>
      <c r="F3756" t="s">
        <v>42</v>
      </c>
      <c r="G3756">
        <v>-190.19120000000001</v>
      </c>
      <c r="H3756" s="1">
        <v>-2.5852089999999999E-6</v>
      </c>
      <c r="I3756">
        <v>185.4967</v>
      </c>
      <c r="J3756">
        <v>-188.47200000000001</v>
      </c>
      <c r="K3756">
        <v>1.1028579999999999</v>
      </c>
      <c r="L3756">
        <v>199.20249999999999</v>
      </c>
      <c r="M3756">
        <v>0.27904329999999999</v>
      </c>
      <c r="N3756">
        <v>0</v>
      </c>
      <c r="O3756">
        <v>-0.96016009999999996</v>
      </c>
      <c r="P3756">
        <v>0.1005458</v>
      </c>
      <c r="Q3756">
        <v>-6.3327339999999996E-2</v>
      </c>
      <c r="R3756">
        <v>-0.9929152</v>
      </c>
      <c r="S3756">
        <v>-0.3673553</v>
      </c>
      <c r="T3756">
        <v>-0.24197569999999999</v>
      </c>
      <c r="U3756">
        <v>-3.0505070000000001</v>
      </c>
      <c r="V3756">
        <v>0.17967640000000001</v>
      </c>
      <c r="W3756">
        <v>-5.1640419999999999E-2</v>
      </c>
      <c r="X3756">
        <v>0.98236939999999995</v>
      </c>
      <c r="Y3756">
        <v>0.39153559999999998</v>
      </c>
      <c r="Z3756">
        <v>7.0926920000000004E-2</v>
      </c>
      <c r="AA3756">
        <v>0.91742539999999995</v>
      </c>
      <c r="AB3756">
        <v>21</v>
      </c>
      <c r="AC3756">
        <v>-1.7192000000000001</v>
      </c>
      <c r="AD3756">
        <v>-1.1028605852090001</v>
      </c>
      <c r="AE3756">
        <v>-13.705799999999901</v>
      </c>
      <c r="AF3756">
        <v>5.4411564441845304</v>
      </c>
      <c r="AG3756">
        <v>-1.1028605852090001</v>
      </c>
      <c r="AH3756">
        <v>12.6011459807918</v>
      </c>
      <c r="AI3756">
        <v>94.593846442051699</v>
      </c>
      <c r="AJ3756">
        <v>66.6453836440907</v>
      </c>
      <c r="AK3756">
        <v>13.769944260952</v>
      </c>
      <c r="AL3756">
        <v>92.960094774078996</v>
      </c>
      <c r="AM3756">
        <v>79.635106325104104</v>
      </c>
      <c r="AN3756">
        <v>0.99999998987554795</v>
      </c>
    </row>
    <row r="3757" spans="1:40" x14ac:dyDescent="0.25">
      <c r="A3757" t="str">
        <f>"20190312161347033"</f>
        <v>20190312161347033</v>
      </c>
      <c r="B3757" t="str">
        <f>"1552378427029325"</f>
        <v>1552378427029325</v>
      </c>
      <c r="C3757" t="s">
        <v>40</v>
      </c>
      <c r="D3757">
        <v>6.025353</v>
      </c>
      <c r="E3757">
        <v>0.56237519999999996</v>
      </c>
      <c r="F3757" t="s">
        <v>42</v>
      </c>
      <c r="G3757">
        <v>-189.26820000000001</v>
      </c>
      <c r="H3757" s="1">
        <v>-3.5935980000000001E-6</v>
      </c>
      <c r="I3757">
        <v>187.70689999999999</v>
      </c>
      <c r="J3757">
        <v>-188.42679999999999</v>
      </c>
      <c r="K3757">
        <v>1.1029409999999999</v>
      </c>
      <c r="L3757">
        <v>198.99420000000001</v>
      </c>
      <c r="M3757">
        <v>0.26705069999999997</v>
      </c>
      <c r="N3757">
        <v>0</v>
      </c>
      <c r="O3757">
        <v>-0.96356509999999995</v>
      </c>
      <c r="P3757">
        <v>8.8554640000000004E-2</v>
      </c>
      <c r="Q3757">
        <v>-6.3067769999999995E-2</v>
      </c>
      <c r="R3757">
        <v>-0.99407299999999998</v>
      </c>
      <c r="S3757">
        <v>-0.20945739999999999</v>
      </c>
      <c r="T3757">
        <v>-0.29012840000000001</v>
      </c>
      <c r="U3757">
        <v>-3.024124</v>
      </c>
      <c r="V3757">
        <v>0.1793042</v>
      </c>
      <c r="W3757">
        <v>-5.136309E-2</v>
      </c>
      <c r="X3757">
        <v>0.98245199999999999</v>
      </c>
      <c r="Y3757">
        <v>0.3327194</v>
      </c>
      <c r="Z3757">
        <v>8.7461109999999995E-2</v>
      </c>
      <c r="AA3757">
        <v>0.9389613</v>
      </c>
      <c r="AB3757">
        <v>21</v>
      </c>
      <c r="AC3757">
        <v>-0.84140000000002102</v>
      </c>
      <c r="AD3757">
        <v>-1.102944593598</v>
      </c>
      <c r="AE3757">
        <v>-11.2873</v>
      </c>
      <c r="AF3757">
        <v>3.7894745777954801</v>
      </c>
      <c r="AG3757">
        <v>-1.102944593598</v>
      </c>
      <c r="AH3757">
        <v>10.5523563341753</v>
      </c>
      <c r="AI3757">
        <v>95.618137408665405</v>
      </c>
      <c r="AJ3757">
        <v>70.246193125058895</v>
      </c>
      <c r="AK3757">
        <v>11.266269504841199</v>
      </c>
      <c r="AL3757">
        <v>92.944183649492302</v>
      </c>
      <c r="AM3757">
        <v>79.656964151741704</v>
      </c>
      <c r="AN3757">
        <v>1.00000004772799</v>
      </c>
    </row>
    <row r="3758" spans="1:40" x14ac:dyDescent="0.25">
      <c r="A3758" t="str">
        <f>"20190312161347056"</f>
        <v>20190312161347056</v>
      </c>
      <c r="B3758" t="str">
        <f>"1552378427049821"</f>
        <v>1552378427049821</v>
      </c>
      <c r="C3758" t="s">
        <v>40</v>
      </c>
      <c r="D3758">
        <v>5.9364509999999999</v>
      </c>
      <c r="E3758">
        <v>0.55964700000000001</v>
      </c>
      <c r="F3758" t="s">
        <v>42</v>
      </c>
      <c r="G3758">
        <v>-189.26679999999999</v>
      </c>
      <c r="H3758" s="1">
        <v>-3.6546020000000002E-6</v>
      </c>
      <c r="I3758">
        <v>187.8486</v>
      </c>
      <c r="J3758">
        <v>-188.38210000000001</v>
      </c>
      <c r="K3758">
        <v>1.1030169999999999</v>
      </c>
      <c r="L3758">
        <v>198.77549999999999</v>
      </c>
      <c r="M3758">
        <v>0.25454539999999998</v>
      </c>
      <c r="N3758">
        <v>0</v>
      </c>
      <c r="O3758">
        <v>-0.96694389999999997</v>
      </c>
      <c r="P3758">
        <v>7.7035969999999995E-2</v>
      </c>
      <c r="Q3758">
        <v>-6.2866420000000006E-2</v>
      </c>
      <c r="R3758">
        <v>-0.99504440000000005</v>
      </c>
      <c r="S3758">
        <v>-0.22755429999999999</v>
      </c>
      <c r="T3758">
        <v>-0.2987727</v>
      </c>
      <c r="U3758">
        <v>-3.019196</v>
      </c>
      <c r="V3758">
        <v>0.1779723</v>
      </c>
      <c r="W3758">
        <v>-5.112655E-2</v>
      </c>
      <c r="X3758">
        <v>0.98270639999999998</v>
      </c>
      <c r="Y3758">
        <v>0.326179099999999</v>
      </c>
      <c r="Z3758">
        <v>9.0779360000000003E-2</v>
      </c>
      <c r="AA3758">
        <v>0.94093899999999997</v>
      </c>
      <c r="AB3758">
        <v>21</v>
      </c>
      <c r="AC3758">
        <v>-0.88469999999998095</v>
      </c>
      <c r="AD3758">
        <v>-1.1030206546019901</v>
      </c>
      <c r="AE3758">
        <v>-10.9268999999999</v>
      </c>
      <c r="AF3758">
        <v>3.6008055027274501</v>
      </c>
      <c r="AG3758">
        <v>-1.1030206546019901</v>
      </c>
      <c r="AH3758">
        <v>10.238026499397201</v>
      </c>
      <c r="AI3758">
        <v>95.803316812613602</v>
      </c>
      <c r="AJ3758">
        <v>70.622770587640701</v>
      </c>
      <c r="AK3758">
        <v>10.908695679837701</v>
      </c>
      <c r="AL3758">
        <v>92.930613315639803</v>
      </c>
      <c r="AM3758">
        <v>79.7347551248603</v>
      </c>
      <c r="AN3758">
        <v>0.99999996614157505</v>
      </c>
    </row>
    <row r="3759" spans="1:40" x14ac:dyDescent="0.25">
      <c r="A3759" t="str">
        <f>"20190312161347079"</f>
        <v>20190312161347079</v>
      </c>
      <c r="B3759" t="str">
        <f>"1552378427069341"</f>
        <v>1552378427069341</v>
      </c>
      <c r="C3759" t="s">
        <v>40</v>
      </c>
      <c r="D3759">
        <v>5.7605909999999998</v>
      </c>
      <c r="E3759">
        <v>0.55942630000000004</v>
      </c>
      <c r="F3759" t="s">
        <v>42</v>
      </c>
      <c r="G3759">
        <v>-189.2467</v>
      </c>
      <c r="H3759" s="1">
        <v>-3.6991260000000002E-6</v>
      </c>
      <c r="I3759">
        <v>187.94409999999999</v>
      </c>
      <c r="J3759">
        <v>-188.34190000000001</v>
      </c>
      <c r="K3759">
        <v>1.1030960000000001</v>
      </c>
      <c r="L3759">
        <v>198.5658</v>
      </c>
      <c r="M3759">
        <v>0.2426355</v>
      </c>
      <c r="N3759">
        <v>0</v>
      </c>
      <c r="O3759">
        <v>-0.97000160000000002</v>
      </c>
      <c r="P3759">
        <v>6.5677330000000006E-2</v>
      </c>
      <c r="Q3759">
        <v>-6.3022049999999996E-2</v>
      </c>
      <c r="R3759">
        <v>-0.99584919999999999</v>
      </c>
      <c r="S3759">
        <v>-0.24061579999999999</v>
      </c>
      <c r="T3759">
        <v>-0.3069519</v>
      </c>
      <c r="U3759">
        <v>-3.0142060000000002</v>
      </c>
      <c r="V3759">
        <v>0.1771056</v>
      </c>
      <c r="W3759">
        <v>-5.1257539999999997E-2</v>
      </c>
      <c r="X3759">
        <v>0.98285619999999996</v>
      </c>
      <c r="Y3759">
        <v>0.31869350000000002</v>
      </c>
      <c r="Z3759">
        <v>9.3970150000000002E-2</v>
      </c>
      <c r="AA3759">
        <v>0.94318829999999998</v>
      </c>
      <c r="AB3759">
        <v>21</v>
      </c>
      <c r="AC3759">
        <v>-0.90479999999999405</v>
      </c>
      <c r="AD3759">
        <v>-1.10309969912599</v>
      </c>
      <c r="AE3759">
        <v>-10.621700000000001</v>
      </c>
      <c r="AF3759">
        <v>3.4186412904954202</v>
      </c>
      <c r="AG3759">
        <v>-1.10309969912599</v>
      </c>
      <c r="AH3759">
        <v>9.9778227012078808</v>
      </c>
      <c r="AI3759">
        <v>95.970668494072697</v>
      </c>
      <c r="AJ3759">
        <v>71.087310657718206</v>
      </c>
      <c r="AK3759">
        <v>10.604757567998901</v>
      </c>
      <c r="AL3759">
        <v>92.938128186883702</v>
      </c>
      <c r="AM3759">
        <v>79.785214369084898</v>
      </c>
      <c r="AN3759">
        <v>1.0000000194183201</v>
      </c>
    </row>
    <row r="3760" spans="1:40" x14ac:dyDescent="0.25">
      <c r="A3760" t="str">
        <f>"20190312161347101"</f>
        <v>20190312161347101</v>
      </c>
      <c r="B3760" t="str">
        <f>"1552378427089837"</f>
        <v>1552378427089837</v>
      </c>
      <c r="C3760" t="s">
        <v>40</v>
      </c>
      <c r="D3760">
        <v>5.7357680000000002</v>
      </c>
      <c r="E3760">
        <v>0.55960940000000003</v>
      </c>
      <c r="F3760" t="s">
        <v>42</v>
      </c>
      <c r="G3760">
        <v>-189.45249999999999</v>
      </c>
      <c r="H3760" s="1">
        <v>-2.9820340000000001E-6</v>
      </c>
      <c r="I3760">
        <v>186.35759999999999</v>
      </c>
      <c r="J3760">
        <v>-188.3047</v>
      </c>
      <c r="K3760">
        <v>1.103173</v>
      </c>
      <c r="L3760">
        <v>198.3588</v>
      </c>
      <c r="M3760">
        <v>0.23097790000000001</v>
      </c>
      <c r="N3760">
        <v>0</v>
      </c>
      <c r="O3760">
        <v>-0.97284369999999998</v>
      </c>
      <c r="P3760">
        <v>5.507869E-2</v>
      </c>
      <c r="Q3760">
        <v>-6.3558710000000004E-2</v>
      </c>
      <c r="R3760">
        <v>-0.99645720000000004</v>
      </c>
      <c r="S3760">
        <v>-0.27413939999999998</v>
      </c>
      <c r="T3760">
        <v>-0.27227950000000001</v>
      </c>
      <c r="U3760">
        <v>-3.0133670000000001</v>
      </c>
      <c r="V3760">
        <v>0.17576169999999999</v>
      </c>
      <c r="W3760">
        <v>-5.1760380000000002E-2</v>
      </c>
      <c r="X3760">
        <v>0.98307100000000003</v>
      </c>
      <c r="Y3760">
        <v>0.31785160000000001</v>
      </c>
      <c r="Z3760">
        <v>8.3824620000000002E-2</v>
      </c>
      <c r="AA3760">
        <v>0.94442769999999998</v>
      </c>
      <c r="AB3760">
        <v>21</v>
      </c>
      <c r="AC3760">
        <v>-1.1477999999999799</v>
      </c>
      <c r="AD3760">
        <v>-1.1031759820339999</v>
      </c>
      <c r="AE3760">
        <v>-12.001200000000001</v>
      </c>
      <c r="AF3760">
        <v>3.85678503516626</v>
      </c>
      <c r="AG3760">
        <v>-1.1031759820339999</v>
      </c>
      <c r="AH3760">
        <v>11.3166997534552</v>
      </c>
      <c r="AI3760">
        <v>95.271798217004203</v>
      </c>
      <c r="AJ3760">
        <v>71.180645973321603</v>
      </c>
      <c r="AK3760">
        <v>12.0066432180136</v>
      </c>
      <c r="AL3760">
        <v>92.966977293832798</v>
      </c>
      <c r="AM3760">
        <v>79.863280915651998</v>
      </c>
      <c r="AN3760">
        <v>0.99999995158281596</v>
      </c>
    </row>
    <row r="3761" spans="1:40" x14ac:dyDescent="0.25">
      <c r="A3761" t="str">
        <f>"20190312161347123"</f>
        <v>20190312161347123</v>
      </c>
      <c r="B3761" t="str">
        <f>"1552378427120094"</f>
        <v>1552378427120094</v>
      </c>
      <c r="C3761" t="s">
        <v>40</v>
      </c>
      <c r="D3761">
        <v>5.7242829999999998</v>
      </c>
      <c r="E3761">
        <v>0.55841730000000001</v>
      </c>
      <c r="F3761" t="s">
        <v>42</v>
      </c>
      <c r="G3761">
        <v>-189.6464</v>
      </c>
      <c r="H3761" s="1">
        <v>-2.471447E-6</v>
      </c>
      <c r="I3761">
        <v>185.24760000000001</v>
      </c>
      <c r="J3761">
        <v>-188.2696</v>
      </c>
      <c r="K3761">
        <v>1.103261</v>
      </c>
      <c r="L3761">
        <v>198.15049999999999</v>
      </c>
      <c r="M3761">
        <v>0.21934809999999999</v>
      </c>
      <c r="N3761">
        <v>0</v>
      </c>
      <c r="O3761">
        <v>-0.97553219999999996</v>
      </c>
      <c r="P3761">
        <v>4.3866660000000002E-2</v>
      </c>
      <c r="Q3761">
        <v>-6.4152829999999994E-2</v>
      </c>
      <c r="R3761">
        <v>-0.99697559999999996</v>
      </c>
      <c r="S3761">
        <v>-0.30818179999999901</v>
      </c>
      <c r="T3761">
        <v>-0.25339129999999999</v>
      </c>
      <c r="U3761">
        <v>-3.0115660000000002</v>
      </c>
      <c r="V3761">
        <v>0.17507779999999901</v>
      </c>
      <c r="W3761">
        <v>-5.2332009999999998E-2</v>
      </c>
      <c r="X3761">
        <v>0.9831628</v>
      </c>
      <c r="Y3761">
        <v>0.31721329999999998</v>
      </c>
      <c r="Z3761">
        <v>7.840163E-2</v>
      </c>
      <c r="AA3761">
        <v>0.9451079</v>
      </c>
      <c r="AB3761">
        <v>21</v>
      </c>
      <c r="AC3761">
        <v>-1.3768</v>
      </c>
      <c r="AD3761">
        <v>-1.103263471447</v>
      </c>
      <c r="AE3761">
        <v>-12.902899999999899</v>
      </c>
      <c r="AF3761">
        <v>4.1438503281505703</v>
      </c>
      <c r="AG3761">
        <v>-1.103263471447</v>
      </c>
      <c r="AH3761">
        <v>12.198388209533199</v>
      </c>
      <c r="AI3761">
        <v>94.894698342879806</v>
      </c>
      <c r="AJ3761">
        <v>71.237132176284007</v>
      </c>
      <c r="AK3761">
        <v>12.9301724945965</v>
      </c>
      <c r="AL3761">
        <v>92.999773636767202</v>
      </c>
      <c r="AM3761">
        <v>79.902833756441893</v>
      </c>
      <c r="AN3761">
        <v>0.99999998331365902</v>
      </c>
    </row>
    <row r="3762" spans="1:40" x14ac:dyDescent="0.25">
      <c r="A3762" t="str">
        <f>"20190312161347139"</f>
        <v>20190312161347139</v>
      </c>
      <c r="B3762" t="str">
        <f>"1552378427129853"</f>
        <v>1552378427129853</v>
      </c>
      <c r="C3762" t="s">
        <v>40</v>
      </c>
      <c r="D3762">
        <v>5.7595900000000002</v>
      </c>
      <c r="E3762">
        <v>0.5580058</v>
      </c>
      <c r="F3762" t="s">
        <v>42</v>
      </c>
      <c r="G3762">
        <v>-189.85929999999999</v>
      </c>
      <c r="H3762" s="1">
        <v>-1.8081469999999999E-6</v>
      </c>
      <c r="I3762">
        <v>183.7894</v>
      </c>
      <c r="J3762">
        <v>-188.2457</v>
      </c>
      <c r="K3762">
        <v>1.103334</v>
      </c>
      <c r="L3762">
        <v>197.99850000000001</v>
      </c>
      <c r="M3762">
        <v>0.21093400000000001</v>
      </c>
      <c r="N3762">
        <v>0</v>
      </c>
      <c r="O3762">
        <v>-0.97738630000000004</v>
      </c>
      <c r="P3762">
        <v>3.5872910000000001E-2</v>
      </c>
      <c r="Q3762">
        <v>-6.399415E-2</v>
      </c>
      <c r="R3762">
        <v>-0.99730560000000001</v>
      </c>
      <c r="S3762">
        <v>-0.3330688</v>
      </c>
      <c r="T3762">
        <v>-0.2311523</v>
      </c>
      <c r="U3762">
        <v>-3.008896</v>
      </c>
      <c r="V3762">
        <v>0.17450189999999999</v>
      </c>
      <c r="W3762">
        <v>-5.2153320000000003E-2</v>
      </c>
      <c r="X3762">
        <v>0.98327469999999995</v>
      </c>
      <c r="Y3762">
        <v>0.31691710000000001</v>
      </c>
      <c r="Z3762">
        <v>7.181042E-2</v>
      </c>
      <c r="AA3762">
        <v>0.94573090000000004</v>
      </c>
      <c r="AB3762">
        <v>21</v>
      </c>
      <c r="AC3762">
        <v>-1.6135999999999899</v>
      </c>
      <c r="AD3762">
        <v>-1.1033358081469999</v>
      </c>
      <c r="AE3762">
        <v>-14.209099999999999</v>
      </c>
      <c r="AF3762">
        <v>4.5477311601289703</v>
      </c>
      <c r="AG3762">
        <v>-1.1033358081469999</v>
      </c>
      <c r="AH3762">
        <v>13.4687504137066</v>
      </c>
      <c r="AI3762">
        <v>94.438018764184093</v>
      </c>
      <c r="AJ3762">
        <v>71.342717119342794</v>
      </c>
      <c r="AK3762">
        <v>14.258556950725</v>
      </c>
      <c r="AL3762">
        <v>92.989521377372697</v>
      </c>
      <c r="AM3762">
        <v>79.936489176326205</v>
      </c>
      <c r="AN3762">
        <v>1.00000000877536</v>
      </c>
    </row>
    <row r="3763" spans="1:40" x14ac:dyDescent="0.25">
      <c r="A3763" t="str">
        <f>"20190312161347158"</f>
        <v>20190312161347158</v>
      </c>
      <c r="B3763" t="str">
        <f>"1552378427149373"</f>
        <v>1552378427149373</v>
      </c>
      <c r="C3763" t="s">
        <v>40</v>
      </c>
      <c r="D3763">
        <v>5.7256280000000004</v>
      </c>
      <c r="E3763">
        <v>0.55748030000000004</v>
      </c>
      <c r="F3763" t="s">
        <v>42</v>
      </c>
      <c r="G3763">
        <v>-189.98769999999999</v>
      </c>
      <c r="H3763" s="1">
        <v>-1.5472420000000001E-6</v>
      </c>
      <c r="I3763">
        <v>183.20339999999999</v>
      </c>
      <c r="J3763">
        <v>-188.21979999999999</v>
      </c>
      <c r="K3763">
        <v>1.103423</v>
      </c>
      <c r="L3763">
        <v>197.82480000000001</v>
      </c>
      <c r="M3763">
        <v>0.20139789999999999</v>
      </c>
      <c r="N3763">
        <v>0</v>
      </c>
      <c r="O3763">
        <v>-0.9793963</v>
      </c>
      <c r="P3763">
        <v>2.7005299999999999E-2</v>
      </c>
      <c r="Q3763">
        <v>-6.3568669999999994E-2</v>
      </c>
      <c r="R3763">
        <v>-0.99761230000000001</v>
      </c>
      <c r="S3763">
        <v>-0.35398859999999999</v>
      </c>
      <c r="T3763">
        <v>-0.22420660000000001</v>
      </c>
      <c r="U3763">
        <v>-3.0064850000000001</v>
      </c>
      <c r="V3763">
        <v>0.1736839</v>
      </c>
      <c r="W3763">
        <v>-5.170019E-2</v>
      </c>
      <c r="X3763">
        <v>0.98344339999999997</v>
      </c>
      <c r="Y3763">
        <v>0.31426949999999998</v>
      </c>
      <c r="Z3763">
        <v>6.9949109999999995E-2</v>
      </c>
      <c r="AA3763">
        <v>0.94675330000000002</v>
      </c>
      <c r="AB3763">
        <v>21</v>
      </c>
      <c r="AC3763">
        <v>-1.76789999999999</v>
      </c>
      <c r="AD3763">
        <v>-1.1034245472419999</v>
      </c>
      <c r="AE3763">
        <v>-14.6214</v>
      </c>
      <c r="AF3763">
        <v>4.6506081803354897</v>
      </c>
      <c r="AG3763">
        <v>-1.1034245472419999</v>
      </c>
      <c r="AH3763">
        <v>13.8876891801317</v>
      </c>
      <c r="AI3763">
        <v>94.308597163776795</v>
      </c>
      <c r="AJ3763">
        <v>71.485707806258603</v>
      </c>
      <c r="AK3763">
        <v>14.6871921394937</v>
      </c>
      <c r="AL3763">
        <v>92.963524000615905</v>
      </c>
      <c r="AM3763">
        <v>79.984389109746303</v>
      </c>
      <c r="AN3763">
        <v>0.99999996388440204</v>
      </c>
    </row>
    <row r="3764" spans="1:40" x14ac:dyDescent="0.25">
      <c r="A3764" t="str">
        <f>"20190312161347180"</f>
        <v>20190312161347180</v>
      </c>
      <c r="B3764" t="str">
        <f>"1552378427169869"</f>
        <v>1552378427169869</v>
      </c>
      <c r="C3764" t="s">
        <v>40</v>
      </c>
      <c r="D3764">
        <v>5.590211</v>
      </c>
      <c r="E3764">
        <v>0.55648390000000003</v>
      </c>
      <c r="F3764" t="s">
        <v>42</v>
      </c>
      <c r="G3764">
        <v>-190.09110000000001</v>
      </c>
      <c r="H3764" s="1">
        <v>-1.44521E-6</v>
      </c>
      <c r="I3764">
        <v>182.9014</v>
      </c>
      <c r="J3764">
        <v>-188.19040000000001</v>
      </c>
      <c r="K3764">
        <v>1.1035429999999999</v>
      </c>
      <c r="L3764">
        <v>197.61269999999999</v>
      </c>
      <c r="M3764">
        <v>0.1898792</v>
      </c>
      <c r="N3764">
        <v>0</v>
      </c>
      <c r="O3764">
        <v>-0.98169510000000004</v>
      </c>
      <c r="P3764">
        <v>1.7196799999999901E-2</v>
      </c>
      <c r="Q3764">
        <v>-6.3351389999999994E-2</v>
      </c>
      <c r="R3764">
        <v>-0.99784349999999999</v>
      </c>
      <c r="S3764">
        <v>-0.3765869</v>
      </c>
      <c r="T3764">
        <v>-0.22205630000000001</v>
      </c>
      <c r="U3764">
        <v>-3.0032199999999998</v>
      </c>
      <c r="V3764">
        <v>0.1718211</v>
      </c>
      <c r="W3764">
        <v>-5.143238E-2</v>
      </c>
      <c r="X3764">
        <v>0.98378460000000001</v>
      </c>
      <c r="Y3764">
        <v>0.31026039999999999</v>
      </c>
      <c r="Z3764">
        <v>6.9627439999999999E-2</v>
      </c>
      <c r="AA3764">
        <v>0.94809840000000001</v>
      </c>
      <c r="AB3764">
        <v>21</v>
      </c>
      <c r="AC3764">
        <v>-1.9007000000000001</v>
      </c>
      <c r="AD3764">
        <v>-1.1035444452099901</v>
      </c>
      <c r="AE3764">
        <v>-14.7112999999999</v>
      </c>
      <c r="AF3764">
        <v>4.6341435740025902</v>
      </c>
      <c r="AG3764">
        <v>-1.1035444452099901</v>
      </c>
      <c r="AH3764">
        <v>14.0051480890222</v>
      </c>
      <c r="AI3764">
        <v>94.278144442897002</v>
      </c>
      <c r="AJ3764">
        <v>71.691210107387406</v>
      </c>
      <c r="AK3764">
        <v>14.7931494281125</v>
      </c>
      <c r="AL3764">
        <v>92.948159188014301</v>
      </c>
      <c r="AM3764">
        <v>80.093036973225097</v>
      </c>
      <c r="AN3764">
        <v>0.99999995965741595</v>
      </c>
    </row>
    <row r="3765" spans="1:40" x14ac:dyDescent="0.25">
      <c r="A3765" t="str">
        <f>"20190312161347201"</f>
        <v>20190312161347201</v>
      </c>
      <c r="B3765" t="str">
        <f>"1552378427189389"</f>
        <v>1552378427189389</v>
      </c>
      <c r="C3765" t="s">
        <v>40</v>
      </c>
      <c r="D3765">
        <v>5.6118930000000002</v>
      </c>
      <c r="E3765">
        <v>0.55577159999999903</v>
      </c>
      <c r="F3765" t="s">
        <v>42</v>
      </c>
      <c r="G3765">
        <v>-190.38249999999999</v>
      </c>
      <c r="H3765" s="1">
        <v>-7.5631209999999896E-7</v>
      </c>
      <c r="I3765">
        <v>181.1148</v>
      </c>
      <c r="J3765">
        <v>-188.16489999999999</v>
      </c>
      <c r="K3765">
        <v>1.1036570000000001</v>
      </c>
      <c r="L3765">
        <v>197.41399999999999</v>
      </c>
      <c r="M3765">
        <v>0.17922650000000001</v>
      </c>
      <c r="N3765">
        <v>0</v>
      </c>
      <c r="O3765">
        <v>-0.98369600000000001</v>
      </c>
      <c r="P3765">
        <v>8.0035729999999999E-3</v>
      </c>
      <c r="Q3765">
        <v>-6.3424159999999993E-2</v>
      </c>
      <c r="R3765">
        <v>-0.99795469999999997</v>
      </c>
      <c r="S3765">
        <v>-0.39871220000000002</v>
      </c>
      <c r="T3765">
        <v>-0.20071149999999999</v>
      </c>
      <c r="U3765">
        <v>-3.00061</v>
      </c>
      <c r="V3765">
        <v>0.17023279999999999</v>
      </c>
      <c r="W3765">
        <v>-5.1461890000000003E-2</v>
      </c>
      <c r="X3765">
        <v>0.98405920000000002</v>
      </c>
      <c r="Y3765">
        <v>0.30699320000000002</v>
      </c>
      <c r="Z3765">
        <v>6.3225509999999999E-2</v>
      </c>
      <c r="AA3765">
        <v>0.94960929999999999</v>
      </c>
      <c r="AB3765">
        <v>21</v>
      </c>
      <c r="AC3765">
        <v>-2.2176</v>
      </c>
      <c r="AD3765">
        <v>-1.1036577563120999</v>
      </c>
      <c r="AE3765">
        <v>-16.299199999999999</v>
      </c>
      <c r="AF3765">
        <v>5.0803842671077</v>
      </c>
      <c r="AG3765">
        <v>-1.1036577563120999</v>
      </c>
      <c r="AH3765">
        <v>15.567645834485001</v>
      </c>
      <c r="AI3765">
        <v>93.855691213813103</v>
      </c>
      <c r="AJ3765">
        <v>71.9262953832406</v>
      </c>
      <c r="AK3765">
        <v>16.412798712361699</v>
      </c>
      <c r="AL3765">
        <v>92.949852048337505</v>
      </c>
      <c r="AM3765">
        <v>80.185512351753601</v>
      </c>
      <c r="AN3765">
        <v>1.0000000207114199</v>
      </c>
    </row>
    <row r="3766" spans="1:40" x14ac:dyDescent="0.25">
      <c r="A3766" t="str">
        <f>"20190312161347223"</f>
        <v>20190312161347223</v>
      </c>
      <c r="B3766" t="str">
        <f>"1552378427219646"</f>
        <v>1552378427219646</v>
      </c>
      <c r="C3766" t="s">
        <v>40</v>
      </c>
      <c r="D3766">
        <v>5.6836900000000004</v>
      </c>
      <c r="E3766">
        <v>0.554562</v>
      </c>
      <c r="F3766" t="s">
        <v>42</v>
      </c>
      <c r="G3766">
        <v>-190.63980000000001</v>
      </c>
      <c r="H3766" s="1">
        <v>-2.562213E-7</v>
      </c>
      <c r="I3766">
        <v>179.78960000000001</v>
      </c>
      <c r="J3766">
        <v>-188.1412</v>
      </c>
      <c r="K3766">
        <v>1.1037699999999999</v>
      </c>
      <c r="L3766">
        <v>197.21279999999999</v>
      </c>
      <c r="M3766">
        <v>0.16857269999999999</v>
      </c>
      <c r="N3766">
        <v>0</v>
      </c>
      <c r="O3766">
        <v>-0.98557819999999996</v>
      </c>
      <c r="P3766">
        <v>-1.0142269999999999E-3</v>
      </c>
      <c r="Q3766">
        <v>-6.3539780000000004E-2</v>
      </c>
      <c r="R3766">
        <v>-0.99797930000000001</v>
      </c>
      <c r="S3766">
        <v>-0.420929</v>
      </c>
      <c r="T3766">
        <v>-0.18771090000000001</v>
      </c>
      <c r="U3766">
        <v>-2.9975890000000001</v>
      </c>
      <c r="V3766">
        <v>0.16848959999999999</v>
      </c>
      <c r="W3766">
        <v>-5.1532920000000003E-2</v>
      </c>
      <c r="X3766">
        <v>0.98435539999999999</v>
      </c>
      <c r="Y3766">
        <v>0.30376429999999999</v>
      </c>
      <c r="Z3766">
        <v>5.9384359999999997E-2</v>
      </c>
      <c r="AA3766">
        <v>0.95089469999999998</v>
      </c>
      <c r="AB3766">
        <v>21</v>
      </c>
      <c r="AC3766">
        <v>-2.4986000000000099</v>
      </c>
      <c r="AD3766">
        <v>-1.1037702562213001</v>
      </c>
      <c r="AE3766">
        <v>-17.423199999999898</v>
      </c>
      <c r="AF3766">
        <v>5.37907968877128</v>
      </c>
      <c r="AG3766">
        <v>-1.1037702562213001</v>
      </c>
      <c r="AH3766">
        <v>16.686943461438101</v>
      </c>
      <c r="AI3766">
        <v>93.602339783539904</v>
      </c>
      <c r="AJ3766">
        <v>72.133138493363802</v>
      </c>
      <c r="AK3766">
        <v>17.567210625534798</v>
      </c>
      <c r="AL3766">
        <v>92.953927323595806</v>
      </c>
      <c r="AM3766">
        <v>80.286956323423396</v>
      </c>
      <c r="AN3766">
        <v>0.99999997033052201</v>
      </c>
    </row>
    <row r="3767" spans="1:40" x14ac:dyDescent="0.25">
      <c r="A3767" t="str">
        <f>"20190312161347246"</f>
        <v>20190312161347246</v>
      </c>
      <c r="B3767" t="str">
        <f>"1552378427240141"</f>
        <v>1552378427240141</v>
      </c>
      <c r="C3767" t="s">
        <v>40</v>
      </c>
      <c r="D3767">
        <v>5.6360700000000001</v>
      </c>
      <c r="E3767">
        <v>0.55364809999999998</v>
      </c>
      <c r="F3767" t="s">
        <v>42</v>
      </c>
      <c r="G3767">
        <v>-190.99510000000001</v>
      </c>
      <c r="H3767" s="1">
        <v>-3.7635149999999998E-6</v>
      </c>
      <c r="I3767">
        <v>177.7448</v>
      </c>
      <c r="J3767">
        <v>-188.11770000000001</v>
      </c>
      <c r="K3767">
        <v>1.103899</v>
      </c>
      <c r="L3767">
        <v>196.99469999999999</v>
      </c>
      <c r="M3767">
        <v>0.15719029999999901</v>
      </c>
      <c r="N3767">
        <v>0</v>
      </c>
      <c r="O3767">
        <v>-0.98745810000000001</v>
      </c>
      <c r="P3767">
        <v>-1.0436549999999999E-2</v>
      </c>
      <c r="Q3767">
        <v>-6.3467049999999997E-2</v>
      </c>
      <c r="R3767">
        <v>-0.99792939999999997</v>
      </c>
      <c r="S3767">
        <v>-0.43902590000000002</v>
      </c>
      <c r="T3767">
        <v>-0.16979749999999999</v>
      </c>
      <c r="U3767">
        <v>-2.9948429999999999</v>
      </c>
      <c r="V3767">
        <v>0.1664447</v>
      </c>
      <c r="W3767">
        <v>-5.1410490000000003E-2</v>
      </c>
      <c r="X3767">
        <v>0.98470970000000002</v>
      </c>
      <c r="Y3767">
        <v>0.29856559999999999</v>
      </c>
      <c r="Z3767">
        <v>5.396753E-2</v>
      </c>
      <c r="AA3767">
        <v>0.95286210000000005</v>
      </c>
      <c r="AB3767">
        <v>21</v>
      </c>
      <c r="AC3767">
        <v>-2.87739999999999</v>
      </c>
      <c r="AD3767">
        <v>-1.1039027635150001</v>
      </c>
      <c r="AE3767">
        <v>-19.2499</v>
      </c>
      <c r="AF3767">
        <v>5.8490337965441297</v>
      </c>
      <c r="AG3767">
        <v>-1.1039027635150001</v>
      </c>
      <c r="AH3767">
        <v>18.498686199734099</v>
      </c>
      <c r="AI3767">
        <v>93.256517206651196</v>
      </c>
      <c r="AJ3767">
        <v>72.4537517873773</v>
      </c>
      <c r="AK3767">
        <v>19.432734979427</v>
      </c>
      <c r="AL3767">
        <v>92.946903099796202</v>
      </c>
      <c r="AM3767">
        <v>80.406023331840004</v>
      </c>
      <c r="AN3767">
        <v>1.0000000349571001</v>
      </c>
    </row>
    <row r="3768" spans="1:40" x14ac:dyDescent="0.25">
      <c r="A3768" t="str">
        <f>"20190312161347269"</f>
        <v>20190312161347269</v>
      </c>
      <c r="B3768" t="str">
        <f>"1552378427259665"</f>
        <v>1552378427259665</v>
      </c>
      <c r="C3768" t="s">
        <v>40</v>
      </c>
      <c r="D3768">
        <v>5.3722599999999998</v>
      </c>
      <c r="E3768">
        <v>0.553019699999999</v>
      </c>
      <c r="F3768" t="s">
        <v>42</v>
      </c>
      <c r="G3768">
        <v>-191.26130000000001</v>
      </c>
      <c r="H3768" s="1">
        <v>-3.3274149999999999E-6</v>
      </c>
      <c r="I3768">
        <v>176.56309999999999</v>
      </c>
      <c r="J3768">
        <v>-188.09710000000001</v>
      </c>
      <c r="K3768">
        <v>1.104026</v>
      </c>
      <c r="L3768">
        <v>196.7818</v>
      </c>
      <c r="M3768">
        <v>0.14625779999999999</v>
      </c>
      <c r="N3768">
        <v>0</v>
      </c>
      <c r="O3768">
        <v>-0.98913700000000004</v>
      </c>
      <c r="P3768">
        <v>-1.9407339999999999E-2</v>
      </c>
      <c r="Q3768">
        <v>-6.2943990000000005E-2</v>
      </c>
      <c r="R3768">
        <v>-0.99782839999999995</v>
      </c>
      <c r="S3768">
        <v>-0.46022030000000003</v>
      </c>
      <c r="T3768">
        <v>-0.16160920000000001</v>
      </c>
      <c r="U3768">
        <v>-2.9911500000000002</v>
      </c>
      <c r="V3768">
        <v>0.16443369999999999</v>
      </c>
      <c r="W3768">
        <v>-5.08399E-2</v>
      </c>
      <c r="X3768">
        <v>0.98507710000000004</v>
      </c>
      <c r="Y3768">
        <v>0.29479880000000003</v>
      </c>
      <c r="Z3768">
        <v>5.1575349999999999E-2</v>
      </c>
      <c r="AA3768">
        <v>0.95416650000000003</v>
      </c>
      <c r="AB3768">
        <v>21</v>
      </c>
      <c r="AC3768">
        <v>-3.1641999999999899</v>
      </c>
      <c r="AD3768">
        <v>-1.1040293274149999</v>
      </c>
      <c r="AE3768">
        <v>-20.218699999999998</v>
      </c>
      <c r="AF3768">
        <v>6.0699635971432198</v>
      </c>
      <c r="AG3768">
        <v>-1.1040293274149999</v>
      </c>
      <c r="AH3768">
        <v>19.4816932717677</v>
      </c>
      <c r="AI3768">
        <v>93.096953197655097</v>
      </c>
      <c r="AJ3768">
        <v>72.694392080756998</v>
      </c>
      <c r="AK3768">
        <v>20.435256581743101</v>
      </c>
      <c r="AL3768">
        <v>92.914167950366505</v>
      </c>
      <c r="AM3768">
        <v>80.523293712447</v>
      </c>
      <c r="AN3768">
        <v>1.00000001503605</v>
      </c>
    </row>
    <row r="3769" spans="1:40" x14ac:dyDescent="0.25">
      <c r="A3769" t="str">
        <f>"20190312161347290"</f>
        <v>20190312161347290</v>
      </c>
      <c r="B3769" t="str">
        <f>"1552378427280157"</f>
        <v>1552378427280157</v>
      </c>
      <c r="C3769" t="s">
        <v>40</v>
      </c>
      <c r="D3769">
        <v>5.6050360000000001</v>
      </c>
      <c r="E3769">
        <v>0.52626309999999998</v>
      </c>
      <c r="F3769" t="s">
        <v>42</v>
      </c>
      <c r="G3769">
        <v>-191.52709999999999</v>
      </c>
      <c r="H3769" s="1">
        <v>-2.9529370000000001E-6</v>
      </c>
      <c r="I3769">
        <v>175.52529999999999</v>
      </c>
      <c r="J3769">
        <v>-188.0795</v>
      </c>
      <c r="K3769">
        <v>1.104149</v>
      </c>
      <c r="L3769">
        <v>196.57849999999999</v>
      </c>
      <c r="M3769">
        <v>0.1360017</v>
      </c>
      <c r="N3769">
        <v>0</v>
      </c>
      <c r="O3769">
        <v>-0.99059980000000003</v>
      </c>
      <c r="P3769">
        <v>-2.7590489999999999E-2</v>
      </c>
      <c r="Q3769">
        <v>-6.2515559999999998E-2</v>
      </c>
      <c r="R3769">
        <v>-0.99766250000000001</v>
      </c>
      <c r="S3769">
        <v>-0.48205569999999998</v>
      </c>
      <c r="T3769">
        <v>-0.1551604</v>
      </c>
      <c r="U3769">
        <v>-2.9873810000000001</v>
      </c>
      <c r="V3769">
        <v>0.1623327</v>
      </c>
      <c r="W3769">
        <v>-5.0364260000000001E-2</v>
      </c>
      <c r="X3769">
        <v>0.98544989999999999</v>
      </c>
      <c r="Y3769">
        <v>0.29189969999999998</v>
      </c>
      <c r="Z3769">
        <v>4.9692930000000003E-2</v>
      </c>
      <c r="AA3769">
        <v>0.95515720000000004</v>
      </c>
      <c r="AB3769">
        <v>21</v>
      </c>
      <c r="AC3769">
        <v>-3.4475999999999898</v>
      </c>
      <c r="AD3769">
        <v>-1.1041519529369901</v>
      </c>
      <c r="AE3769">
        <v>-21.0532</v>
      </c>
      <c r="AF3769">
        <v>6.2623645306244304</v>
      </c>
      <c r="AG3769">
        <v>-1.1041519529369901</v>
      </c>
      <c r="AH3769">
        <v>20.334144335779101</v>
      </c>
      <c r="AI3769">
        <v>92.970704072259693</v>
      </c>
      <c r="AJ3769">
        <v>72.882588094251105</v>
      </c>
      <c r="AK3769">
        <v>21.305252566395399</v>
      </c>
      <c r="AL3769">
        <v>92.886880915641996</v>
      </c>
      <c r="AM3769">
        <v>80.645701565583195</v>
      </c>
      <c r="AN3769">
        <v>0.99999998479232299</v>
      </c>
    </row>
    <row r="3770" spans="1:40" x14ac:dyDescent="0.25">
      <c r="A3770" t="str">
        <f>"20190312161347305"</f>
        <v>20190312161347305</v>
      </c>
      <c r="B3770" t="str">
        <f>"1552378427299677"</f>
        <v>1552378427299677</v>
      </c>
      <c r="C3770" t="s">
        <v>40</v>
      </c>
      <c r="D3770">
        <v>6.0622860000000003</v>
      </c>
      <c r="E3770">
        <v>0.52610040000000002</v>
      </c>
      <c r="F3770" t="s">
        <v>85</v>
      </c>
      <c r="G3770">
        <v>-210.947</v>
      </c>
      <c r="H3770">
        <v>2.004203</v>
      </c>
      <c r="I3770">
        <v>-33.297089999999997</v>
      </c>
      <c r="J3770">
        <v>-188.06829999999999</v>
      </c>
      <c r="K3770">
        <v>1.104228</v>
      </c>
      <c r="L3770">
        <v>196.4366</v>
      </c>
      <c r="M3770">
        <v>0.12891920000000001</v>
      </c>
      <c r="N3770">
        <v>0</v>
      </c>
      <c r="O3770">
        <v>-0.99154690000000001</v>
      </c>
      <c r="P3770">
        <v>-3.3633589999999998E-2</v>
      </c>
      <c r="Q3770">
        <v>-6.2195769999999997E-2</v>
      </c>
      <c r="R3770">
        <v>-0.99749730000000003</v>
      </c>
      <c r="S3770">
        <v>-0.29838559999999997</v>
      </c>
      <c r="T3770">
        <v>1.1744259999999999E-2</v>
      </c>
      <c r="U3770">
        <v>-2.9995120000000002</v>
      </c>
      <c r="V3770">
        <v>0.16127729999999901</v>
      </c>
      <c r="W3770">
        <v>-5.0020849999999999E-2</v>
      </c>
      <c r="X3770">
        <v>0.98564059999999998</v>
      </c>
      <c r="Y3770">
        <v>0.22646230000000001</v>
      </c>
      <c r="Z3770">
        <v>-3.8059819999999999E-3</v>
      </c>
      <c r="AA3770">
        <v>0.97401249999999995</v>
      </c>
      <c r="AB3770">
        <v>21</v>
      </c>
      <c r="AC3770">
        <v>-22.878699999999998</v>
      </c>
      <c r="AD3770">
        <v>0.89997499999999997</v>
      </c>
      <c r="AE3770">
        <v>-229.73369</v>
      </c>
      <c r="AF3770">
        <v>52.307205291975002</v>
      </c>
      <c r="AG3770">
        <v>0.89997499999999997</v>
      </c>
      <c r="AH3770">
        <v>224.862935220927</v>
      </c>
      <c r="AI3770">
        <v>89.776648030814798</v>
      </c>
      <c r="AJ3770">
        <v>76.904843767907394</v>
      </c>
      <c r="AK3770">
        <v>230.868346285558</v>
      </c>
      <c r="AL3770">
        <v>92.867180318267799</v>
      </c>
      <c r="AM3770">
        <v>80.707220387067693</v>
      </c>
      <c r="AN3770">
        <v>0.99999992264918303</v>
      </c>
    </row>
    <row r="3771" spans="1:40" x14ac:dyDescent="0.25">
      <c r="A3771" t="str">
        <f>"20190312161347324"</f>
        <v>20190312161347324</v>
      </c>
      <c r="B3771" t="str">
        <f>"1552378427320173"</f>
        <v>1552378427320173</v>
      </c>
      <c r="C3771" t="s">
        <v>40</v>
      </c>
      <c r="D3771">
        <v>5.5680860000000001</v>
      </c>
      <c r="E3771">
        <v>0.52626680000000003</v>
      </c>
      <c r="F3771" t="s">
        <v>85</v>
      </c>
      <c r="G3771">
        <v>-210.8596</v>
      </c>
      <c r="H3771">
        <v>1.133931</v>
      </c>
      <c r="I3771">
        <v>-20.631930000000001</v>
      </c>
      <c r="J3771">
        <v>-188.0566</v>
      </c>
      <c r="K3771">
        <v>1.1043050000000001</v>
      </c>
      <c r="L3771">
        <v>196.27289999999999</v>
      </c>
      <c r="M3771">
        <v>0.1208357</v>
      </c>
      <c r="N3771">
        <v>0</v>
      </c>
      <c r="O3771">
        <v>-0.99256469999999997</v>
      </c>
      <c r="P3771">
        <v>-3.9792660000000001E-2</v>
      </c>
      <c r="Q3771">
        <v>-6.2111380000000001E-2</v>
      </c>
      <c r="R3771">
        <v>-0.99727580000000005</v>
      </c>
      <c r="S3771">
        <v>-0.31466670000000002</v>
      </c>
      <c r="T3771">
        <v>4.1008E-4</v>
      </c>
      <c r="U3771">
        <v>-2.9969480000000002</v>
      </c>
      <c r="V3771">
        <v>0.15934609999999999</v>
      </c>
      <c r="W3771">
        <v>-4.9899930000000002E-2</v>
      </c>
      <c r="X3771">
        <v>0.98596079999999997</v>
      </c>
      <c r="Y3771">
        <v>0.2238444</v>
      </c>
      <c r="Z3771">
        <v>-1.3322280000000001E-4</v>
      </c>
      <c r="AA3771">
        <v>0.97462490000000002</v>
      </c>
      <c r="AB3771">
        <v>21</v>
      </c>
      <c r="AC3771">
        <v>-22.803000000000001</v>
      </c>
      <c r="AD3771">
        <v>2.96260000000001E-2</v>
      </c>
      <c r="AE3771">
        <v>-216.90482999999901</v>
      </c>
      <c r="AF3771">
        <v>48.848527210744301</v>
      </c>
      <c r="AG3771">
        <v>2.96260000000001E-2</v>
      </c>
      <c r="AH3771">
        <v>212.55940750827801</v>
      </c>
      <c r="AI3771">
        <v>89.992217132056197</v>
      </c>
      <c r="AJ3771">
        <v>77.057511218374003</v>
      </c>
      <c r="AK3771">
        <v>218.100163247598</v>
      </c>
      <c r="AL3771">
        <v>92.860243397152004</v>
      </c>
      <c r="AM3771">
        <v>80.819520338018506</v>
      </c>
      <c r="AN3771">
        <v>0.99999994086792499</v>
      </c>
    </row>
    <row r="3772" spans="1:40" x14ac:dyDescent="0.25">
      <c r="A3772" t="str">
        <f>"20190312161347337"</f>
        <v>20190312161347337</v>
      </c>
      <c r="B3772" t="str">
        <f>"1552378427329933"</f>
        <v>1552378427329933</v>
      </c>
      <c r="C3772" t="s">
        <v>40</v>
      </c>
      <c r="D3772">
        <v>5.6212920000000004</v>
      </c>
      <c r="E3772">
        <v>0.52720449999999996</v>
      </c>
      <c r="F3772" t="s">
        <v>86</v>
      </c>
      <c r="G3772">
        <v>-211.06720000000001</v>
      </c>
      <c r="H3772">
        <v>1.1662859999999999</v>
      </c>
      <c r="I3772">
        <v>-9.6628609999999995</v>
      </c>
      <c r="J3772">
        <v>-188.048</v>
      </c>
      <c r="K3772">
        <v>1.1043769999999999</v>
      </c>
      <c r="L3772">
        <v>196.1387</v>
      </c>
      <c r="M3772">
        <v>0.1142883</v>
      </c>
      <c r="N3772">
        <v>0</v>
      </c>
      <c r="O3772">
        <v>-0.99334040000000001</v>
      </c>
      <c r="P3772">
        <v>-4.5287139999999997E-2</v>
      </c>
      <c r="Q3772">
        <v>-6.2043269999999998E-2</v>
      </c>
      <c r="R3772">
        <v>-0.99704559999999998</v>
      </c>
      <c r="S3772">
        <v>-0.33464050000000001</v>
      </c>
      <c r="T3772">
        <v>9.009838E-4</v>
      </c>
      <c r="U3772">
        <v>-2.994904</v>
      </c>
      <c r="V3772">
        <v>0.15828819999999999</v>
      </c>
      <c r="W3772">
        <v>-4.9809970000000002E-2</v>
      </c>
      <c r="X3772">
        <v>0.98613580000000001</v>
      </c>
      <c r="Y3772">
        <v>0.22391140000000001</v>
      </c>
      <c r="Z3772">
        <v>-2.9314389999999998E-4</v>
      </c>
      <c r="AA3772">
        <v>0.97460939999999996</v>
      </c>
      <c r="AB3772">
        <v>21</v>
      </c>
      <c r="AC3772">
        <v>-23.019200000000001</v>
      </c>
      <c r="AD3772">
        <v>6.19090000000002E-2</v>
      </c>
      <c r="AE3772">
        <v>-205.80156099999999</v>
      </c>
      <c r="AF3772">
        <v>46.391549490740303</v>
      </c>
      <c r="AG3772">
        <v>6.19090000000002E-2</v>
      </c>
      <c r="AH3772">
        <v>201.821660257459</v>
      </c>
      <c r="AI3772">
        <v>89.982871159604301</v>
      </c>
      <c r="AJ3772">
        <v>77.054632287553005</v>
      </c>
      <c r="AK3772">
        <v>207.08491554421201</v>
      </c>
      <c r="AL3772">
        <v>92.855082477128803</v>
      </c>
      <c r="AM3772">
        <v>80.8810332142683</v>
      </c>
      <c r="AN3772">
        <v>1.0000000017061399</v>
      </c>
    </row>
    <row r="3773" spans="1:40" x14ac:dyDescent="0.25">
      <c r="A3773" t="str">
        <f>"20190312161347359"</f>
        <v>20190312161347359</v>
      </c>
      <c r="B3773" t="str">
        <f>"1552378427349455"</f>
        <v>1552378427349455</v>
      </c>
      <c r="C3773" t="s">
        <v>40</v>
      </c>
      <c r="D3773">
        <v>5.7060950000000004</v>
      </c>
      <c r="E3773">
        <v>0.52651139999999996</v>
      </c>
      <c r="F3773" t="s">
        <v>86</v>
      </c>
      <c r="G3773">
        <v>-210.93520000000001</v>
      </c>
      <c r="H3773">
        <v>0.57015039999999995</v>
      </c>
      <c r="I3773">
        <v>4.9903420000000001</v>
      </c>
      <c r="J3773">
        <v>-188.03659999999999</v>
      </c>
      <c r="K3773">
        <v>1.1044889999999901</v>
      </c>
      <c r="L3773">
        <v>195.941</v>
      </c>
      <c r="M3773">
        <v>0.1047737</v>
      </c>
      <c r="N3773">
        <v>0</v>
      </c>
      <c r="O3773">
        <v>-0.99438950000000004</v>
      </c>
      <c r="P3773">
        <v>-5.3018950000000002E-2</v>
      </c>
      <c r="Q3773">
        <v>-6.1800609999999999E-2</v>
      </c>
      <c r="R3773">
        <v>-0.99667969999999895</v>
      </c>
      <c r="S3773">
        <v>-0.3582611</v>
      </c>
      <c r="T3773">
        <v>-8.3625319999999902E-3</v>
      </c>
      <c r="U3773">
        <v>-2.992111</v>
      </c>
      <c r="V3773">
        <v>0.1565156</v>
      </c>
      <c r="W3773">
        <v>-4.9530320000000003E-2</v>
      </c>
      <c r="X3773">
        <v>0.9864328</v>
      </c>
      <c r="Y3773">
        <v>0.22227269999999999</v>
      </c>
      <c r="Z3773">
        <v>2.7270250000000001E-3</v>
      </c>
      <c r="AA3773">
        <v>0.97498070000000003</v>
      </c>
      <c r="AB3773">
        <v>20</v>
      </c>
      <c r="AC3773">
        <v>-22.898599999999998</v>
      </c>
      <c r="AD3773">
        <v>-0.534338599999999</v>
      </c>
      <c r="AE3773">
        <v>-190.950658</v>
      </c>
      <c r="AF3773">
        <v>42.780939041036902</v>
      </c>
      <c r="AG3773">
        <v>-0.534338599999999</v>
      </c>
      <c r="AH3773">
        <v>187.498586390653</v>
      </c>
      <c r="AI3773">
        <v>90.159191472307498</v>
      </c>
      <c r="AJ3773">
        <v>77.147036701511297</v>
      </c>
      <c r="AK3773">
        <v>192.318002697266</v>
      </c>
      <c r="AL3773">
        <v>92.839039837984402</v>
      </c>
      <c r="AM3773">
        <v>80.984135617126199</v>
      </c>
      <c r="AN3773">
        <v>1.00000002727925</v>
      </c>
    </row>
    <row r="3774" spans="1:40" x14ac:dyDescent="0.25">
      <c r="A3774" t="str">
        <f>"20190312161347402"</f>
        <v>20190312161347402</v>
      </c>
      <c r="B3774" t="str">
        <f>"1552378427389473"</f>
        <v>1552378427389473</v>
      </c>
      <c r="C3774" t="s">
        <v>40</v>
      </c>
      <c r="D3774">
        <v>5.4955850000000002</v>
      </c>
      <c r="E3774">
        <v>0.52471800000000002</v>
      </c>
      <c r="F3774" t="s">
        <v>54</v>
      </c>
      <c r="G3774">
        <v>-203.05410000000001</v>
      </c>
      <c r="H3774">
        <v>0.71560979999999996</v>
      </c>
      <c r="I3774">
        <v>76.472920000000002</v>
      </c>
      <c r="J3774">
        <v>-188.0187</v>
      </c>
      <c r="K3774">
        <v>1.1047419999999999</v>
      </c>
      <c r="L3774">
        <v>195.53700000000001</v>
      </c>
      <c r="M3774">
        <v>8.5838399999999995E-2</v>
      </c>
      <c r="N3774">
        <v>0</v>
      </c>
      <c r="O3774">
        <v>-0.99620370000000003</v>
      </c>
      <c r="P3774">
        <v>-6.8296540000000003E-2</v>
      </c>
      <c r="Q3774">
        <v>-6.1597449999999998E-2</v>
      </c>
      <c r="R3774">
        <v>-0.99576160000000002</v>
      </c>
      <c r="S3774">
        <v>-0.37577820000000001</v>
      </c>
      <c r="T3774">
        <v>-9.7308159999999998E-3</v>
      </c>
      <c r="U3774">
        <v>-2.9894099999999999</v>
      </c>
      <c r="V3774">
        <v>0.15291170000000001</v>
      </c>
      <c r="W3774">
        <v>-4.925235E-2</v>
      </c>
      <c r="X3774">
        <v>0.98701170000000005</v>
      </c>
      <c r="Y3774">
        <v>0.2094376</v>
      </c>
      <c r="Z3774">
        <v>3.1883789999999999E-3</v>
      </c>
      <c r="AA3774">
        <v>0.97781680000000004</v>
      </c>
      <c r="AB3774">
        <v>20</v>
      </c>
      <c r="AC3774">
        <v>-15.035399999999999</v>
      </c>
      <c r="AD3774">
        <v>-0.38913219999999998</v>
      </c>
      <c r="AE3774">
        <v>-119.06408</v>
      </c>
      <c r="AF3774">
        <v>25.200972005669001</v>
      </c>
      <c r="AG3774">
        <v>-0.38913219999999998</v>
      </c>
      <c r="AH3774">
        <v>117.332546918635</v>
      </c>
      <c r="AI3774">
        <v>90.185783286767901</v>
      </c>
      <c r="AJ3774">
        <v>77.878034282170603</v>
      </c>
      <c r="AK3774">
        <v>120.00902874497901</v>
      </c>
      <c r="AL3774">
        <v>92.8230941180759</v>
      </c>
      <c r="AM3774">
        <v>81.193525083782703</v>
      </c>
      <c r="AN3774">
        <v>0.999999938957149</v>
      </c>
    </row>
    <row r="3775" spans="1:40" x14ac:dyDescent="0.25">
      <c r="A3775" t="str">
        <f>"20190312161347416"</f>
        <v>20190312161347416</v>
      </c>
      <c r="B3775" t="str">
        <f>"1552378427409966"</f>
        <v>1552378427409966</v>
      </c>
      <c r="C3775" t="s">
        <v>40</v>
      </c>
      <c r="D3775">
        <v>6.3020680000000002</v>
      </c>
      <c r="E3775">
        <v>0.52392709999999998</v>
      </c>
      <c r="F3775" t="s">
        <v>41</v>
      </c>
      <c r="G3775">
        <v>-210.40639999999999</v>
      </c>
      <c r="H3775">
        <v>-0.05</v>
      </c>
      <c r="I3775">
        <v>31.347180000000002</v>
      </c>
      <c r="J3775">
        <v>-188.01439999999999</v>
      </c>
      <c r="K3775">
        <v>1.104827</v>
      </c>
      <c r="L3775">
        <v>195.40520000000001</v>
      </c>
      <c r="M3775">
        <v>7.9809610000000003E-2</v>
      </c>
      <c r="N3775">
        <v>0</v>
      </c>
      <c r="O3775">
        <v>-0.99670519999999996</v>
      </c>
      <c r="P3775">
        <v>-7.3699410000000007E-2</v>
      </c>
      <c r="Q3775">
        <v>-6.181358E-2</v>
      </c>
      <c r="R3775">
        <v>-0.9953632</v>
      </c>
      <c r="S3775">
        <v>-0.40681460000000003</v>
      </c>
      <c r="T3775">
        <v>-2.098322E-2</v>
      </c>
      <c r="U3775">
        <v>-2.9835509999999998</v>
      </c>
      <c r="V3775">
        <v>0.15230299999999999</v>
      </c>
      <c r="W3775">
        <v>-4.9452530000000001E-2</v>
      </c>
      <c r="X3775">
        <v>0.98709579999999997</v>
      </c>
      <c r="Y3775">
        <v>0.21375420000000001</v>
      </c>
      <c r="Z3775">
        <v>6.8859460000000004E-3</v>
      </c>
      <c r="AA3775">
        <v>0.97686320000000004</v>
      </c>
      <c r="AB3775">
        <v>20</v>
      </c>
      <c r="AC3775">
        <v>-22.391999999999999</v>
      </c>
      <c r="AD3775">
        <v>-1.154827</v>
      </c>
      <c r="AE3775">
        <v>-164.05802</v>
      </c>
      <c r="AF3775">
        <v>35.413610911959999</v>
      </c>
      <c r="AG3775">
        <v>-1.154827</v>
      </c>
      <c r="AH3775">
        <v>161.739434573946</v>
      </c>
      <c r="AI3775">
        <v>90.399620858499901</v>
      </c>
      <c r="AJ3775">
        <v>77.649719829978196</v>
      </c>
      <c r="AK3775">
        <v>165.57506502950099</v>
      </c>
      <c r="AL3775">
        <v>92.834577585652696</v>
      </c>
      <c r="AM3775">
        <v>81.228770715512596</v>
      </c>
      <c r="AN3775">
        <v>0.99999993745501803</v>
      </c>
    </row>
    <row r="3776" spans="1:40" x14ac:dyDescent="0.25">
      <c r="A3776" t="str">
        <f>"20190312161347429"</f>
        <v>20190312161347429</v>
      </c>
      <c r="B3776" t="str">
        <f>"1552378427419725"</f>
        <v>1552378427419725</v>
      </c>
      <c r="C3776" t="s">
        <v>40</v>
      </c>
      <c r="D3776">
        <v>5.7037959999999996</v>
      </c>
      <c r="E3776">
        <v>0.52316269999999998</v>
      </c>
      <c r="F3776" t="s">
        <v>41</v>
      </c>
      <c r="G3776">
        <v>-207.15530000000001</v>
      </c>
      <c r="H3776">
        <v>-0.05</v>
      </c>
      <c r="I3776">
        <v>58.41404</v>
      </c>
      <c r="J3776">
        <v>-188.01089999999999</v>
      </c>
      <c r="K3776">
        <v>1.104911</v>
      </c>
      <c r="L3776">
        <v>195.2861</v>
      </c>
      <c r="M3776">
        <v>7.4411270000000002E-2</v>
      </c>
      <c r="N3776">
        <v>0</v>
      </c>
      <c r="O3776">
        <v>-0.99712310000000004</v>
      </c>
      <c r="P3776">
        <v>-7.8606399999999896E-2</v>
      </c>
      <c r="Q3776">
        <v>-6.1937600000000002E-2</v>
      </c>
      <c r="R3776">
        <v>-0.99497999999999998</v>
      </c>
      <c r="S3776">
        <v>-0.41659550000000001</v>
      </c>
      <c r="T3776">
        <v>-2.5134440000000001E-2</v>
      </c>
      <c r="U3776">
        <v>-2.9815670000000001</v>
      </c>
      <c r="V3776">
        <v>0.151832299999999</v>
      </c>
      <c r="W3776">
        <v>-4.9562559999999999E-2</v>
      </c>
      <c r="X3776">
        <v>0.98716280000000001</v>
      </c>
      <c r="Y3776">
        <v>0.21169399999999999</v>
      </c>
      <c r="Z3776">
        <v>8.258886E-3</v>
      </c>
      <c r="AA3776">
        <v>0.97730110000000003</v>
      </c>
      <c r="AB3776">
        <v>20</v>
      </c>
      <c r="AC3776">
        <v>-19.144400000000001</v>
      </c>
      <c r="AD3776">
        <v>-1.154911</v>
      </c>
      <c r="AE3776">
        <v>-136.87206</v>
      </c>
      <c r="AF3776">
        <v>29.275155059273299</v>
      </c>
      <c r="AG3776">
        <v>-1.154911</v>
      </c>
      <c r="AH3776">
        <v>135.05838291948399</v>
      </c>
      <c r="AI3776">
        <v>90.478816769738003</v>
      </c>
      <c r="AJ3776">
        <v>77.769810128969993</v>
      </c>
      <c r="AK3776">
        <v>138.19962127295599</v>
      </c>
      <c r="AL3776">
        <v>92.8408895616069</v>
      </c>
      <c r="AM3776">
        <v>81.256043336798598</v>
      </c>
      <c r="AN3776">
        <v>0.99999994419044003</v>
      </c>
    </row>
    <row r="3777" spans="1:40" x14ac:dyDescent="0.25">
      <c r="A3777" t="str">
        <f>"20190312161347447"</f>
        <v>20190312161347447</v>
      </c>
      <c r="B3777" t="str">
        <f>"1552378427440221"</f>
        <v>1552378427440221</v>
      </c>
      <c r="C3777" t="s">
        <v>40</v>
      </c>
      <c r="D3777">
        <v>5.2420330000000002</v>
      </c>
      <c r="E3777">
        <v>0.52192950000000005</v>
      </c>
      <c r="F3777" t="s">
        <v>42</v>
      </c>
      <c r="G3777">
        <v>-203.4469</v>
      </c>
      <c r="H3777">
        <v>7.9986230000000005E-2</v>
      </c>
      <c r="I3777">
        <v>87.127139999999997</v>
      </c>
      <c r="J3777">
        <v>-188.00720000000001</v>
      </c>
      <c r="K3777">
        <v>1.105027</v>
      </c>
      <c r="L3777">
        <v>195.1173</v>
      </c>
      <c r="M3777">
        <v>6.6897949999999998E-2</v>
      </c>
      <c r="N3777">
        <v>0</v>
      </c>
      <c r="O3777">
        <v>-0.99765570000000003</v>
      </c>
      <c r="P3777">
        <v>-8.4918590000000002E-2</v>
      </c>
      <c r="Q3777">
        <v>-6.1384639999999997E-2</v>
      </c>
      <c r="R3777">
        <v>-0.99449549999999998</v>
      </c>
      <c r="S3777">
        <v>-0.42526249999999999</v>
      </c>
      <c r="T3777">
        <v>-2.8236870000000001E-2</v>
      </c>
      <c r="U3777">
        <v>-2.979797</v>
      </c>
      <c r="V3777">
        <v>0.1506834</v>
      </c>
      <c r="W3777">
        <v>-4.8981549999999999E-2</v>
      </c>
      <c r="X3777">
        <v>0.98736789999999997</v>
      </c>
      <c r="Y3777">
        <v>0.20719470000000001</v>
      </c>
      <c r="Z3777">
        <v>9.293885E-3</v>
      </c>
      <c r="AA3777">
        <v>0.9782556</v>
      </c>
      <c r="AB3777">
        <v>20</v>
      </c>
      <c r="AC3777">
        <v>-15.439699999999901</v>
      </c>
      <c r="AD3777">
        <v>-1.0250407699999999</v>
      </c>
      <c r="AE3777">
        <v>-107.99016</v>
      </c>
      <c r="AF3777">
        <v>22.628178169087398</v>
      </c>
      <c r="AG3777">
        <v>-1.0250407699999999</v>
      </c>
      <c r="AH3777">
        <v>106.70577963156801</v>
      </c>
      <c r="AI3777">
        <v>90.538407529894798</v>
      </c>
      <c r="AJ3777">
        <v>78.027146426620007</v>
      </c>
      <c r="AK3777">
        <v>109.083493538724</v>
      </c>
      <c r="AL3777">
        <v>92.807559429762804</v>
      </c>
      <c r="AM3777">
        <v>81.322972167082895</v>
      </c>
      <c r="AN3777">
        <v>1.0000000246131799</v>
      </c>
    </row>
    <row r="3778" spans="1:40" x14ac:dyDescent="0.25">
      <c r="A3778" t="str">
        <f>"20190312161347461"</f>
        <v>20190312161347461</v>
      </c>
      <c r="B3778" t="str">
        <f>"1552378427449982"</f>
        <v>1552378427449982</v>
      </c>
      <c r="C3778" t="s">
        <v>40</v>
      </c>
      <c r="D3778">
        <v>5.5287769999999998</v>
      </c>
      <c r="E3778">
        <v>0.52119649999999995</v>
      </c>
      <c r="F3778" t="s">
        <v>42</v>
      </c>
      <c r="G3778">
        <v>-201.80449999999999</v>
      </c>
      <c r="H3778">
        <v>7.9986630000000003E-2</v>
      </c>
      <c r="I3778">
        <v>100.52589999999999</v>
      </c>
      <c r="J3778">
        <v>-188.0052</v>
      </c>
      <c r="K3778">
        <v>1.1051120000000001</v>
      </c>
      <c r="L3778">
        <v>194.9905</v>
      </c>
      <c r="M3778">
        <v>6.135906E-2</v>
      </c>
      <c r="N3778">
        <v>0</v>
      </c>
      <c r="O3778">
        <v>-0.99801200000000001</v>
      </c>
      <c r="P3778">
        <v>-8.9758279999999996E-2</v>
      </c>
      <c r="Q3778">
        <v>-6.1238389999999997E-2</v>
      </c>
      <c r="R3778">
        <v>-0.99407920000000005</v>
      </c>
      <c r="S3778">
        <v>-0.4343109</v>
      </c>
      <c r="T3778">
        <v>-3.2266259999999998E-2</v>
      </c>
      <c r="U3778">
        <v>-2.977554</v>
      </c>
      <c r="V3778">
        <v>0.15002109999999999</v>
      </c>
      <c r="W3778">
        <v>-4.8818559999999997E-2</v>
      </c>
      <c r="X3778">
        <v>0.98747680000000004</v>
      </c>
      <c r="Y3778">
        <v>0.20477699999999999</v>
      </c>
      <c r="Z3778">
        <v>1.063411E-2</v>
      </c>
      <c r="AA3778">
        <v>0.97875089999999998</v>
      </c>
      <c r="AB3778">
        <v>20</v>
      </c>
      <c r="AC3778">
        <v>-13.799299999999899</v>
      </c>
      <c r="AD3778">
        <v>-1.02512537</v>
      </c>
      <c r="AE3778">
        <v>-94.464600000000004</v>
      </c>
      <c r="AF3778">
        <v>19.567896514037599</v>
      </c>
      <c r="AG3778">
        <v>-1.02512537</v>
      </c>
      <c r="AH3778">
        <v>93.428996350573698</v>
      </c>
      <c r="AI3778">
        <v>90.615288679642902</v>
      </c>
      <c r="AJ3778">
        <v>78.1708798474709</v>
      </c>
      <c r="AK3778">
        <v>95.461671968826394</v>
      </c>
      <c r="AL3778">
        <v>92.798209656494805</v>
      </c>
      <c r="AM3778">
        <v>81.361472065764801</v>
      </c>
      <c r="AN3778">
        <v>1.0000000063919601</v>
      </c>
    </row>
    <row r="3779" spans="1:40" x14ac:dyDescent="0.25">
      <c r="A3779" t="str">
        <f>"20190312161347490"</f>
        <v>20190312161347490</v>
      </c>
      <c r="B3779" t="str">
        <f>"1552378427480238"</f>
        <v>1552378427480238</v>
      </c>
      <c r="C3779" t="s">
        <v>40</v>
      </c>
      <c r="D3779">
        <v>5.6083619999999996</v>
      </c>
      <c r="E3779">
        <v>0.51986860000000001</v>
      </c>
      <c r="F3779" t="s">
        <v>42</v>
      </c>
      <c r="G3779">
        <v>-201.1294</v>
      </c>
      <c r="H3779">
        <v>7.998624E-2</v>
      </c>
      <c r="I3779">
        <v>106.7777</v>
      </c>
      <c r="J3779">
        <v>-188.00280000000001</v>
      </c>
      <c r="K3779">
        <v>1.1052919999999999</v>
      </c>
      <c r="L3779">
        <v>194.7166</v>
      </c>
      <c r="M3779">
        <v>4.9642810000000002E-2</v>
      </c>
      <c r="N3779">
        <v>0</v>
      </c>
      <c r="O3779">
        <v>-0.9986642</v>
      </c>
      <c r="P3779">
        <v>-9.8950819999999995E-2</v>
      </c>
      <c r="Q3779">
        <v>-6.1143589999999998E-2</v>
      </c>
      <c r="R3779">
        <v>-0.99321219999999999</v>
      </c>
      <c r="S3779">
        <v>-0.44273380000000001</v>
      </c>
      <c r="T3779">
        <v>-3.4581779999999999E-2</v>
      </c>
      <c r="U3779">
        <v>-2.975784</v>
      </c>
      <c r="V3779">
        <v>0.1475929</v>
      </c>
      <c r="W3779">
        <v>-4.8672710000000001E-2</v>
      </c>
      <c r="X3779">
        <v>0.9878498</v>
      </c>
      <c r="Y3779">
        <v>0.19607530000000001</v>
      </c>
      <c r="Z3779">
        <v>1.142312E-2</v>
      </c>
      <c r="AA3779">
        <v>0.98052229999999996</v>
      </c>
      <c r="AB3779">
        <v>20</v>
      </c>
      <c r="AC3779">
        <v>-13.1265999999999</v>
      </c>
      <c r="AD3779">
        <v>-1.02530576</v>
      </c>
      <c r="AE3779">
        <v>-87.938900000000004</v>
      </c>
      <c r="AF3779">
        <v>17.474070934090001</v>
      </c>
      <c r="AG3779">
        <v>-1.02530576</v>
      </c>
      <c r="AH3779">
        <v>87.167152765579402</v>
      </c>
      <c r="AI3779">
        <v>90.660766876642896</v>
      </c>
      <c r="AJ3779">
        <v>78.664383965056302</v>
      </c>
      <c r="AK3779">
        <v>88.907294009934603</v>
      </c>
      <c r="AL3779">
        <v>92.7898432448508</v>
      </c>
      <c r="AM3779">
        <v>81.502396532290902</v>
      </c>
      <c r="AN3779">
        <v>0.99999996209459596</v>
      </c>
    </row>
    <row r="3780" spans="1:40" x14ac:dyDescent="0.25">
      <c r="A3780" t="str">
        <f>"20190312161347503"</f>
        <v>20190312161347503</v>
      </c>
      <c r="B3780" t="str">
        <f>"1552378427499757"</f>
        <v>1552378427499757</v>
      </c>
      <c r="C3780" t="s">
        <v>40</v>
      </c>
      <c r="D3780">
        <v>5.4321960000000002</v>
      </c>
      <c r="E3780">
        <v>0.51828129999999994</v>
      </c>
      <c r="F3780" t="s">
        <v>42</v>
      </c>
      <c r="G3780">
        <v>-200.2662</v>
      </c>
      <c r="H3780">
        <v>7.9986600000000005E-2</v>
      </c>
      <c r="I3780">
        <v>115.4046</v>
      </c>
      <c r="J3780">
        <v>-188.0026</v>
      </c>
      <c r="K3780">
        <v>1.1053770000000001</v>
      </c>
      <c r="L3780">
        <v>194.59819999999999</v>
      </c>
      <c r="M3780">
        <v>4.4716060000000002E-2</v>
      </c>
      <c r="N3780">
        <v>0</v>
      </c>
      <c r="O3780">
        <v>-0.99889729999999999</v>
      </c>
      <c r="P3780">
        <v>-0.103322</v>
      </c>
      <c r="Q3780">
        <v>-6.1274149999999999E-2</v>
      </c>
      <c r="R3780">
        <v>-0.9927589</v>
      </c>
      <c r="S3780">
        <v>-0.45959470000000002</v>
      </c>
      <c r="T3780">
        <v>-3.8425090000000002E-2</v>
      </c>
      <c r="U3780">
        <v>-2.9723510000000002</v>
      </c>
      <c r="V3780">
        <v>0.14707709999999999</v>
      </c>
      <c r="W3780">
        <v>-4.8788570000000003E-2</v>
      </c>
      <c r="X3780">
        <v>0.9879211</v>
      </c>
      <c r="Y3780">
        <v>0.1968376</v>
      </c>
      <c r="Z3780">
        <v>1.2705080000000001E-2</v>
      </c>
      <c r="AA3780">
        <v>0.98035380000000005</v>
      </c>
      <c r="AB3780">
        <v>20</v>
      </c>
      <c r="AC3780">
        <v>-12.263599999999901</v>
      </c>
      <c r="AD3780">
        <v>-1.0253904</v>
      </c>
      <c r="AE3780">
        <v>-79.193599999999904</v>
      </c>
      <c r="AF3780">
        <v>15.7903336310907</v>
      </c>
      <c r="AG3780">
        <v>-1.0253904</v>
      </c>
      <c r="AH3780">
        <v>78.553072473998895</v>
      </c>
      <c r="AI3780">
        <v>90.733201542356298</v>
      </c>
      <c r="AJ3780">
        <v>78.634168554904093</v>
      </c>
      <c r="AK3780">
        <v>80.130963158812094</v>
      </c>
      <c r="AL3780">
        <v>92.7964891872289</v>
      </c>
      <c r="AM3780">
        <v>81.532264491251496</v>
      </c>
      <c r="AN3780">
        <v>1.00000004886613</v>
      </c>
    </row>
    <row r="3781" spans="1:40" x14ac:dyDescent="0.25">
      <c r="A3781" t="str">
        <f>"20190312161347526"</f>
        <v>20190312161347526</v>
      </c>
      <c r="B3781" t="str">
        <f>"1552378427520253"</f>
        <v>1552378427520253</v>
      </c>
      <c r="C3781" t="s">
        <v>40</v>
      </c>
      <c r="D3781">
        <v>5.4244009999999996</v>
      </c>
      <c r="E3781">
        <v>0.51699589999999995</v>
      </c>
      <c r="F3781" t="s">
        <v>84</v>
      </c>
      <c r="G3781">
        <v>-198.20079999999999</v>
      </c>
      <c r="H3781" s="1">
        <v>-5.8700429999999998E-6</v>
      </c>
      <c r="I3781">
        <v>128.69200000000001</v>
      </c>
      <c r="J3781">
        <v>-188.0034</v>
      </c>
      <c r="K3781">
        <v>1.1055170000000001</v>
      </c>
      <c r="L3781">
        <v>194.3997</v>
      </c>
      <c r="M3781">
        <v>3.6592720000000002E-2</v>
      </c>
      <c r="N3781">
        <v>0</v>
      </c>
      <c r="O3781">
        <v>-0.99922820000000001</v>
      </c>
      <c r="P3781">
        <v>-0.1105259</v>
      </c>
      <c r="Q3781">
        <v>-6.1198950000000002E-2</v>
      </c>
      <c r="R3781">
        <v>-0.99198710000000001</v>
      </c>
      <c r="S3781">
        <v>-0.45971679999999998</v>
      </c>
      <c r="T3781">
        <v>-4.9828890000000001E-2</v>
      </c>
      <c r="U3781">
        <v>-2.9709469999999998</v>
      </c>
      <c r="V3781">
        <v>0.1462338</v>
      </c>
      <c r="W3781">
        <v>-4.868989E-2</v>
      </c>
      <c r="X3781">
        <v>0.98805109999999996</v>
      </c>
      <c r="Y3781">
        <v>0.1889603</v>
      </c>
      <c r="Z3781">
        <v>1.6503589999999999E-2</v>
      </c>
      <c r="AA3781">
        <v>0.981846</v>
      </c>
      <c r="AB3781">
        <v>20</v>
      </c>
      <c r="AC3781">
        <v>-10.197399999999901</v>
      </c>
      <c r="AD3781">
        <v>-1.105522870043</v>
      </c>
      <c r="AE3781">
        <v>-65.707699999999903</v>
      </c>
      <c r="AF3781">
        <v>12.5917571573603</v>
      </c>
      <c r="AG3781">
        <v>-1.105522870043</v>
      </c>
      <c r="AH3781">
        <v>65.272452912649399</v>
      </c>
      <c r="AI3781">
        <v>90.952765661014794</v>
      </c>
      <c r="AJ3781">
        <v>79.081156860322807</v>
      </c>
      <c r="AK3781">
        <v>66.485093354526896</v>
      </c>
      <c r="AL3781">
        <v>92.790828640780305</v>
      </c>
      <c r="AM3781">
        <v>81.581210170712296</v>
      </c>
      <c r="AN3781">
        <v>1.0000000029309299</v>
      </c>
    </row>
    <row r="3782" spans="1:40" x14ac:dyDescent="0.25">
      <c r="A3782" t="str">
        <f>"20190312161347549"</f>
        <v>20190312161347549</v>
      </c>
      <c r="B3782" t="str">
        <f>"1552378427539773"</f>
        <v>1552378427539773</v>
      </c>
      <c r="C3782" t="s">
        <v>40</v>
      </c>
      <c r="D3782">
        <v>5.4454750000000001</v>
      </c>
      <c r="E3782">
        <v>0.51575249999999995</v>
      </c>
      <c r="F3782" t="s">
        <v>84</v>
      </c>
      <c r="G3782">
        <v>-197.53229999999999</v>
      </c>
      <c r="H3782" s="1">
        <v>-7.4845460000000001E-6</v>
      </c>
      <c r="I3782">
        <v>134.33459999999999</v>
      </c>
      <c r="J3782">
        <v>-188.00579999999999</v>
      </c>
      <c r="K3782">
        <v>1.1056709999999901</v>
      </c>
      <c r="L3782">
        <v>194.17920000000001</v>
      </c>
      <c r="M3782">
        <v>2.7815489999999998E-2</v>
      </c>
      <c r="N3782">
        <v>0</v>
      </c>
      <c r="O3782">
        <v>-0.99951179999999995</v>
      </c>
      <c r="P3782">
        <v>-0.117799</v>
      </c>
      <c r="Q3782">
        <v>-6.1606380000000002E-2</v>
      </c>
      <c r="R3782">
        <v>-0.99112489999999998</v>
      </c>
      <c r="S3782">
        <v>-0.47091670000000002</v>
      </c>
      <c r="T3782">
        <v>-5.4634929999999998E-2</v>
      </c>
      <c r="U3782">
        <v>-2.9684140000000001</v>
      </c>
      <c r="V3782">
        <v>0.14481740000000001</v>
      </c>
      <c r="W3782">
        <v>-4.9065110000000002E-2</v>
      </c>
      <c r="X3782">
        <v>0.98824109999999998</v>
      </c>
      <c r="Y3782">
        <v>0.1840715</v>
      </c>
      <c r="Z3782">
        <v>1.8121129999999999E-2</v>
      </c>
      <c r="AA3782">
        <v>0.9827458</v>
      </c>
      <c r="AB3782">
        <v>20</v>
      </c>
      <c r="AC3782">
        <v>-9.5265000000000004</v>
      </c>
      <c r="AD3782">
        <v>-1.1056784845459999</v>
      </c>
      <c r="AE3782">
        <v>-59.8446</v>
      </c>
      <c r="AF3782">
        <v>11.183865283246</v>
      </c>
      <c r="AG3782">
        <v>-1.1056784845459999</v>
      </c>
      <c r="AH3782">
        <v>59.536607892794102</v>
      </c>
      <c r="AI3782">
        <v>91.045655888543493</v>
      </c>
      <c r="AJ3782">
        <v>79.361053908586996</v>
      </c>
      <c r="AK3782">
        <v>60.5880272575803</v>
      </c>
      <c r="AL3782">
        <v>92.812352987618894</v>
      </c>
      <c r="AM3782">
        <v>81.663182009701302</v>
      </c>
      <c r="AN3782">
        <v>0.99999996804563995</v>
      </c>
    </row>
    <row r="3783" spans="1:40" x14ac:dyDescent="0.25">
      <c r="A3783" t="str">
        <f>"20190312161347572"</f>
        <v>20190312161347572</v>
      </c>
      <c r="B3783" t="str">
        <f>"1552378427560270"</f>
        <v>1552378427560270</v>
      </c>
      <c r="C3783" t="s">
        <v>40</v>
      </c>
      <c r="D3783">
        <v>5.4229500000000002</v>
      </c>
      <c r="E3783">
        <v>0.51514539999999998</v>
      </c>
      <c r="F3783" t="s">
        <v>84</v>
      </c>
      <c r="G3783">
        <v>-196.89769999999999</v>
      </c>
      <c r="H3783" s="1">
        <v>-9.0250639999999992E-6</v>
      </c>
      <c r="I3783">
        <v>139.5478</v>
      </c>
      <c r="J3783">
        <v>-188.00980000000001</v>
      </c>
      <c r="K3783">
        <v>1.105823</v>
      </c>
      <c r="L3783">
        <v>193.9699</v>
      </c>
      <c r="M3783">
        <v>1.9750569999999999E-2</v>
      </c>
      <c r="N3783">
        <v>0</v>
      </c>
      <c r="O3783">
        <v>-0.99970420000000004</v>
      </c>
      <c r="P3783">
        <v>-0.1244186</v>
      </c>
      <c r="Q3783">
        <v>-6.1795530000000001E-2</v>
      </c>
      <c r="R3783">
        <v>-0.99030390000000001</v>
      </c>
      <c r="S3783">
        <v>-0.48271180000000002</v>
      </c>
      <c r="T3783">
        <v>-6.0024260000000003E-2</v>
      </c>
      <c r="U3783">
        <v>-2.9657900000000001</v>
      </c>
      <c r="V3783">
        <v>0.1434637</v>
      </c>
      <c r="W3783">
        <v>-4.9223330000000003E-2</v>
      </c>
      <c r="X3783">
        <v>0.9884307</v>
      </c>
      <c r="Y3783">
        <v>0.18007879999999901</v>
      </c>
      <c r="Z3783">
        <v>1.993232E-2</v>
      </c>
      <c r="AA3783">
        <v>0.98345020000000005</v>
      </c>
      <c r="AB3783">
        <v>20</v>
      </c>
      <c r="AC3783">
        <v>-8.8878999999999699</v>
      </c>
      <c r="AD3783">
        <v>-1.1058320250639999</v>
      </c>
      <c r="AE3783">
        <v>-54.4221</v>
      </c>
      <c r="AF3783">
        <v>9.9571373912533403</v>
      </c>
      <c r="AG3783">
        <v>-1.1058320250639999</v>
      </c>
      <c r="AH3783">
        <v>54.214120812000601</v>
      </c>
      <c r="AI3783">
        <v>91.149309793117595</v>
      </c>
      <c r="AJ3783">
        <v>79.592859435246993</v>
      </c>
      <c r="AK3783">
        <v>55.132008351901597</v>
      </c>
      <c r="AL3783">
        <v>92.821429177282496</v>
      </c>
      <c r="AM3783">
        <v>81.741593866273703</v>
      </c>
      <c r="AN3783">
        <v>1.0000000090682299</v>
      </c>
    </row>
    <row r="3784" spans="1:40" x14ac:dyDescent="0.25">
      <c r="A3784" t="str">
        <f>"20190312161347591"</f>
        <v>20190312161347591</v>
      </c>
      <c r="B3784" t="str">
        <f>"1552378427579790"</f>
        <v>1552378427579790</v>
      </c>
      <c r="C3784" t="s">
        <v>40</v>
      </c>
      <c r="D3784">
        <v>5.4755390000000004</v>
      </c>
      <c r="E3784">
        <v>0.49716919999999998</v>
      </c>
      <c r="F3784" t="s">
        <v>84</v>
      </c>
      <c r="G3784">
        <v>-196.81610000000001</v>
      </c>
      <c r="H3784" s="1">
        <v>-9.6092839999999992E-6</v>
      </c>
      <c r="I3784">
        <v>141.54580000000001</v>
      </c>
      <c r="J3784">
        <v>-188.01410000000001</v>
      </c>
      <c r="K3784">
        <v>1.1059429999999999</v>
      </c>
      <c r="L3784">
        <v>193.79519999999999</v>
      </c>
      <c r="M3784">
        <v>1.317337E-2</v>
      </c>
      <c r="N3784">
        <v>0</v>
      </c>
      <c r="O3784">
        <v>-0.99981299999999995</v>
      </c>
      <c r="P3784">
        <v>-0.12981909999999999</v>
      </c>
      <c r="Q3784">
        <v>-6.1786880000000002E-2</v>
      </c>
      <c r="R3784">
        <v>-0.98961080000000001</v>
      </c>
      <c r="S3784">
        <v>-0.49772640000000001</v>
      </c>
      <c r="T3784">
        <v>-6.2501070000000006E-2</v>
      </c>
      <c r="U3784">
        <v>-2.9629819999999998</v>
      </c>
      <c r="V3784">
        <v>0.14236760000000001</v>
      </c>
      <c r="W3784">
        <v>-4.919279E-2</v>
      </c>
      <c r="X3784">
        <v>0.98859070000000004</v>
      </c>
      <c r="Y3784">
        <v>0.17860309999999999</v>
      </c>
      <c r="Z3784">
        <v>2.0771540000000002E-2</v>
      </c>
      <c r="AA3784">
        <v>0.98370190000000002</v>
      </c>
      <c r="AB3784">
        <v>20</v>
      </c>
      <c r="AC3784">
        <v>-8.8019999999999907</v>
      </c>
      <c r="AD3784">
        <v>-1.105952609284</v>
      </c>
      <c r="AE3784">
        <v>-52.249399999999902</v>
      </c>
      <c r="AF3784">
        <v>9.4854732092412704</v>
      </c>
      <c r="AG3784">
        <v>-1.105952609284</v>
      </c>
      <c r="AH3784">
        <v>52.106200568871103</v>
      </c>
      <c r="AI3784">
        <v>91.196264612666198</v>
      </c>
      <c r="AJ3784">
        <v>79.682787115249596</v>
      </c>
      <c r="AK3784">
        <v>52.974083011418401</v>
      </c>
      <c r="AL3784">
        <v>92.819677216259393</v>
      </c>
      <c r="AM3784">
        <v>81.805138254225696</v>
      </c>
      <c r="AN3784">
        <v>1.00000001812211</v>
      </c>
    </row>
    <row r="3785" spans="1:40" x14ac:dyDescent="0.25">
      <c r="A3785" t="str">
        <f>"20190312161347613"</f>
        <v>20190312161347613</v>
      </c>
      <c r="B3785" t="str">
        <f>"1552378427610046"</f>
        <v>1552378427610046</v>
      </c>
      <c r="C3785" t="s">
        <v>40</v>
      </c>
      <c r="D3785">
        <v>5.4605300000000003</v>
      </c>
      <c r="E3785">
        <v>0.49431639999999999</v>
      </c>
      <c r="F3785" t="s">
        <v>42</v>
      </c>
      <c r="G3785">
        <v>-191.49799999999999</v>
      </c>
      <c r="H3785" s="1">
        <v>-3.3076330000000002E-6</v>
      </c>
      <c r="I3785">
        <v>165.7456</v>
      </c>
      <c r="J3785">
        <v>-188.0206</v>
      </c>
      <c r="K3785">
        <v>1.1060730000000001</v>
      </c>
      <c r="L3785">
        <v>193.5881</v>
      </c>
      <c r="M3785">
        <v>5.5740499999999997E-3</v>
      </c>
      <c r="N3785">
        <v>0</v>
      </c>
      <c r="O3785">
        <v>-0.99988480000000002</v>
      </c>
      <c r="P3785">
        <v>-0.13639899999999999</v>
      </c>
      <c r="Q3785">
        <v>-6.167719E-2</v>
      </c>
      <c r="R3785">
        <v>-0.98873259999999996</v>
      </c>
      <c r="S3785">
        <v>-0.36959839999999999</v>
      </c>
      <c r="T3785">
        <v>-0.11732579999999999</v>
      </c>
      <c r="U3785">
        <v>-2.9756770000000001</v>
      </c>
      <c r="V3785">
        <v>0.1414464</v>
      </c>
      <c r="W3785">
        <v>-4.9064280000000002E-2</v>
      </c>
      <c r="X3785">
        <v>0.98872930000000003</v>
      </c>
      <c r="Y3785">
        <v>0.12869529999999901</v>
      </c>
      <c r="Z3785">
        <v>3.9082980000000003E-2</v>
      </c>
      <c r="AA3785">
        <v>0.99091370000000001</v>
      </c>
      <c r="AB3785">
        <v>20</v>
      </c>
      <c r="AC3785">
        <v>-3.4773999999999798</v>
      </c>
      <c r="AD3785">
        <v>-1.10607630763299</v>
      </c>
      <c r="AE3785">
        <v>-27.842500000000001</v>
      </c>
      <c r="AF3785">
        <v>3.6269209411768002</v>
      </c>
      <c r="AG3785">
        <v>-1.10607630763299</v>
      </c>
      <c r="AH3785">
        <v>27.7795148151163</v>
      </c>
      <c r="AI3785">
        <v>92.2609305872856</v>
      </c>
      <c r="AJ3785">
        <v>82.561481990316096</v>
      </c>
      <c r="AK3785">
        <v>28.037107619637201</v>
      </c>
      <c r="AL3785">
        <v>92.8123052618663</v>
      </c>
      <c r="AM3785">
        <v>81.858576488147605</v>
      </c>
      <c r="AN3785">
        <v>1.00000000816168</v>
      </c>
    </row>
    <row r="3786" spans="1:40" x14ac:dyDescent="0.25">
      <c r="A3786" t="str">
        <f>"20190312161347637"</f>
        <v>20190312161347637</v>
      </c>
      <c r="B3786" t="str">
        <f>"1552378427629569"</f>
        <v>1552378427629569</v>
      </c>
      <c r="C3786" t="s">
        <v>40</v>
      </c>
      <c r="D3786">
        <v>5.5462569999999998</v>
      </c>
      <c r="E3786">
        <v>0.4927551</v>
      </c>
      <c r="F3786" t="s">
        <v>42</v>
      </c>
      <c r="G3786">
        <v>-191.41300000000001</v>
      </c>
      <c r="H3786" s="1">
        <v>-3.436891E-6</v>
      </c>
      <c r="I3786">
        <v>166.0669</v>
      </c>
      <c r="J3786">
        <v>-188.02860000000001</v>
      </c>
      <c r="K3786">
        <v>1.106206</v>
      </c>
      <c r="L3786">
        <v>193.374</v>
      </c>
      <c r="M3786">
        <v>-2.0584800000000001E-3</v>
      </c>
      <c r="N3786">
        <v>0</v>
      </c>
      <c r="O3786">
        <v>-0.99989859999999997</v>
      </c>
      <c r="P3786">
        <v>-0.14253370000000001</v>
      </c>
      <c r="Q3786">
        <v>-6.1170450000000001E-2</v>
      </c>
      <c r="R3786">
        <v>-0.9878981</v>
      </c>
      <c r="S3786">
        <v>-0.36685180000000001</v>
      </c>
      <c r="T3786">
        <v>-0.1196096</v>
      </c>
      <c r="U3786">
        <v>-2.976105</v>
      </c>
      <c r="V3786">
        <v>0.14005719999999999</v>
      </c>
      <c r="W3786">
        <v>-4.8532619999999999E-2</v>
      </c>
      <c r="X3786">
        <v>0.98895330000000004</v>
      </c>
      <c r="Y3786">
        <v>0.1201991</v>
      </c>
      <c r="Z3786">
        <v>3.9861269999999997E-2</v>
      </c>
      <c r="AA3786">
        <v>0.99194919999999998</v>
      </c>
      <c r="AB3786">
        <v>20</v>
      </c>
      <c r="AC3786">
        <v>-3.3843999999999701</v>
      </c>
      <c r="AD3786">
        <v>-1.106209436891</v>
      </c>
      <c r="AE3786">
        <v>-27.307099999999998</v>
      </c>
      <c r="AF3786">
        <v>3.3228057090988501</v>
      </c>
      <c r="AG3786">
        <v>-1.106209436891</v>
      </c>
      <c r="AH3786">
        <v>27.269935055508</v>
      </c>
      <c r="AI3786">
        <v>92.305902894474301</v>
      </c>
      <c r="AJ3786">
        <v>83.052831343866998</v>
      </c>
      <c r="AK3786">
        <v>27.493891958584399</v>
      </c>
      <c r="AL3786">
        <v>92.781806987009304</v>
      </c>
      <c r="AM3786">
        <v>81.939282262307003</v>
      </c>
      <c r="AN3786">
        <v>1.0000000320283899</v>
      </c>
    </row>
    <row r="3787" spans="1:40" x14ac:dyDescent="0.25">
      <c r="A3787" t="str">
        <f>"20190312161347659"</f>
        <v>20190312161347659</v>
      </c>
      <c r="B3787" t="str">
        <f>"1552378427650072"</f>
        <v>1552378427650072</v>
      </c>
      <c r="C3787" t="s">
        <v>40</v>
      </c>
      <c r="D3787">
        <v>5.361669</v>
      </c>
      <c r="E3787">
        <v>0.49550050000000001</v>
      </c>
      <c r="F3787" t="s">
        <v>42</v>
      </c>
      <c r="G3787">
        <v>-191.55529999999999</v>
      </c>
      <c r="H3787" s="1">
        <v>-3.079612E-6</v>
      </c>
      <c r="I3787">
        <v>165.23099999999999</v>
      </c>
      <c r="J3787">
        <v>-188.0377</v>
      </c>
      <c r="K3787">
        <v>1.1063350000000001</v>
      </c>
      <c r="L3787">
        <v>193.167</v>
      </c>
      <c r="M3787">
        <v>-9.2052709999999992E-3</v>
      </c>
      <c r="N3787">
        <v>0</v>
      </c>
      <c r="O3787">
        <v>-0.99985869999999999</v>
      </c>
      <c r="P3787">
        <v>-0.148119899999999</v>
      </c>
      <c r="Q3787">
        <v>-6.0396909999999998E-2</v>
      </c>
      <c r="R3787">
        <v>-0.98712339999999998</v>
      </c>
      <c r="S3787">
        <v>-0.37289430000000001</v>
      </c>
      <c r="T3787">
        <v>-0.11696620000000001</v>
      </c>
      <c r="U3787">
        <v>-2.9757229999999999</v>
      </c>
      <c r="V3787">
        <v>0.1386057</v>
      </c>
      <c r="W3787">
        <v>-4.7732009999999998E-2</v>
      </c>
      <c r="X3787">
        <v>0.98919670000000004</v>
      </c>
      <c r="Y3787">
        <v>0.1151051</v>
      </c>
      <c r="Z3787">
        <v>3.8991240000000003E-2</v>
      </c>
      <c r="AA3787">
        <v>0.99258769999999996</v>
      </c>
      <c r="AB3787">
        <v>20</v>
      </c>
      <c r="AC3787">
        <v>-3.5175999999999799</v>
      </c>
      <c r="AD3787">
        <v>-1.1063380796119999</v>
      </c>
      <c r="AE3787">
        <v>-27.936</v>
      </c>
      <c r="AF3787">
        <v>3.25524131336946</v>
      </c>
      <c r="AG3787">
        <v>-1.1063380796119999</v>
      </c>
      <c r="AH3787">
        <v>27.924088155053099</v>
      </c>
      <c r="AI3787">
        <v>92.253597580173803</v>
      </c>
      <c r="AJ3787">
        <v>83.350775346623195</v>
      </c>
      <c r="AK3787">
        <v>28.134947649601902</v>
      </c>
      <c r="AL3787">
        <v>92.735882277888905</v>
      </c>
      <c r="AM3787">
        <v>82.0236771589082</v>
      </c>
      <c r="AN3787">
        <v>0.99999999807101003</v>
      </c>
    </row>
    <row r="3788" spans="1:40" x14ac:dyDescent="0.25">
      <c r="A3788" t="str">
        <f>"20190312161347681"</f>
        <v>20190312161347681</v>
      </c>
      <c r="B3788" t="str">
        <f>"1552378427669581"</f>
        <v>1552378427669581</v>
      </c>
      <c r="C3788" t="s">
        <v>40</v>
      </c>
      <c r="D3788">
        <v>5.3713319999999998</v>
      </c>
      <c r="E3788">
        <v>0.51745889999999894</v>
      </c>
      <c r="F3788" t="s">
        <v>42</v>
      </c>
      <c r="G3788">
        <v>-192.30090000000001</v>
      </c>
      <c r="H3788" s="1">
        <v>-1.9400749999999998E-6</v>
      </c>
      <c r="I3788">
        <v>162.4007</v>
      </c>
      <c r="J3788">
        <v>-188.047</v>
      </c>
      <c r="K3788">
        <v>1.1064700000000001</v>
      </c>
      <c r="L3788">
        <v>192.9768</v>
      </c>
      <c r="M3788">
        <v>-1.5563169999999999E-2</v>
      </c>
      <c r="N3788">
        <v>0</v>
      </c>
      <c r="O3788">
        <v>-0.99978069999999997</v>
      </c>
      <c r="P3788">
        <v>-0.15322479999999999</v>
      </c>
      <c r="Q3788">
        <v>-6.0695930000000002E-2</v>
      </c>
      <c r="R3788">
        <v>-0.98632600000000004</v>
      </c>
      <c r="S3788">
        <v>-0.4116669</v>
      </c>
      <c r="T3788">
        <v>-0.1068287</v>
      </c>
      <c r="U3788">
        <v>-2.970825</v>
      </c>
      <c r="V3788">
        <v>0.13744690000000001</v>
      </c>
      <c r="W3788">
        <v>-4.8005689999999997E-2</v>
      </c>
      <c r="X3788">
        <v>0.98934509999999998</v>
      </c>
      <c r="Y3788">
        <v>0.1217372</v>
      </c>
      <c r="Z3788">
        <v>3.5625900000000002E-2</v>
      </c>
      <c r="AA3788">
        <v>0.99192279999999999</v>
      </c>
      <c r="AB3788">
        <v>20</v>
      </c>
      <c r="AC3788">
        <v>-4.2539000000000096</v>
      </c>
      <c r="AD3788">
        <v>-1.1064719400749901</v>
      </c>
      <c r="AE3788">
        <v>-30.5761</v>
      </c>
      <c r="AF3788">
        <v>3.7726303531310301</v>
      </c>
      <c r="AG3788">
        <v>-1.1064719400749901</v>
      </c>
      <c r="AH3788">
        <v>30.599296832462102</v>
      </c>
      <c r="AI3788">
        <v>92.055366492971899</v>
      </c>
      <c r="AJ3788">
        <v>82.971392934265296</v>
      </c>
      <c r="AK3788">
        <v>30.850834455110999</v>
      </c>
      <c r="AL3788">
        <v>92.751581083474804</v>
      </c>
      <c r="AM3788">
        <v>82.090686317720198</v>
      </c>
      <c r="AN3788">
        <v>0.99999996174299699</v>
      </c>
    </row>
    <row r="3789" spans="1:40" x14ac:dyDescent="0.25">
      <c r="A3789" t="str">
        <f>"20190312161347704"</f>
        <v>20190312161347704</v>
      </c>
      <c r="B3789" t="str">
        <f>"1552378427699838"</f>
        <v>1552378427699838</v>
      </c>
      <c r="C3789" t="s">
        <v>40</v>
      </c>
      <c r="D3789">
        <v>5.3503990000000003</v>
      </c>
      <c r="E3789">
        <v>0.51715489999999997</v>
      </c>
      <c r="F3789" t="s">
        <v>87</v>
      </c>
      <c r="G3789">
        <v>-212.2252</v>
      </c>
      <c r="H3789">
        <v>-4.6968820000000001E-2</v>
      </c>
      <c r="I3789">
        <v>74.931950000000001</v>
      </c>
      <c r="J3789">
        <v>-188.05840000000001</v>
      </c>
      <c r="K3789">
        <v>1.1066419999999999</v>
      </c>
      <c r="L3789">
        <v>192.76769999999999</v>
      </c>
      <c r="M3789">
        <v>-2.230101E-2</v>
      </c>
      <c r="N3789">
        <v>0</v>
      </c>
      <c r="O3789">
        <v>-0.99965340000000003</v>
      </c>
      <c r="P3789">
        <v>-0.15917000000000001</v>
      </c>
      <c r="Q3789">
        <v>-6.069049E-2</v>
      </c>
      <c r="R3789">
        <v>-0.98538400000000004</v>
      </c>
      <c r="S3789">
        <v>-0.60342410000000002</v>
      </c>
      <c r="T3789">
        <v>-2.8786300000000001E-2</v>
      </c>
      <c r="U3789">
        <v>-2.946091</v>
      </c>
      <c r="V3789">
        <v>0.13676489999999999</v>
      </c>
      <c r="W3789">
        <v>-4.7973229999999999E-2</v>
      </c>
      <c r="X3789">
        <v>0.98944120000000002</v>
      </c>
      <c r="Y3789">
        <v>0.1787475</v>
      </c>
      <c r="Z3789">
        <v>9.5887070000000001E-3</v>
      </c>
      <c r="AA3789">
        <v>0.98384830000000001</v>
      </c>
      <c r="AB3789">
        <v>20</v>
      </c>
      <c r="AC3789">
        <v>-24.166799999999899</v>
      </c>
      <c r="AD3789">
        <v>-1.1536108199999999</v>
      </c>
      <c r="AE3789">
        <v>-117.83575</v>
      </c>
      <c r="AF3789">
        <v>21.530694814036998</v>
      </c>
      <c r="AG3789">
        <v>-1.1536108199999999</v>
      </c>
      <c r="AH3789">
        <v>118.334551642541</v>
      </c>
      <c r="AI3789">
        <v>90.549521698078706</v>
      </c>
      <c r="AJ3789">
        <v>79.687972513926098</v>
      </c>
      <c r="AK3789">
        <v>120.28286556920899</v>
      </c>
      <c r="AL3789">
        <v>92.749719071110505</v>
      </c>
      <c r="AM3789">
        <v>82.130193481203307</v>
      </c>
      <c r="AN3789">
        <v>0.99999997846304101</v>
      </c>
    </row>
    <row r="3790" spans="1:40" x14ac:dyDescent="0.25">
      <c r="A3790" t="str">
        <f>"20190312161347727"</f>
        <v>20190312161347727</v>
      </c>
      <c r="B3790" t="str">
        <f>"1552378427720334"</f>
        <v>1552378427720334</v>
      </c>
      <c r="C3790" t="s">
        <v>40</v>
      </c>
      <c r="D3790">
        <v>5.4431799999999999</v>
      </c>
      <c r="E3790">
        <v>0.51695690000000005</v>
      </c>
      <c r="F3790" t="s">
        <v>41</v>
      </c>
      <c r="G3790">
        <v>-210.58330000000001</v>
      </c>
      <c r="H3790">
        <v>-0.05</v>
      </c>
      <c r="I3790">
        <v>85.640349999999998</v>
      </c>
      <c r="J3790">
        <v>-188.07060000000001</v>
      </c>
      <c r="K3790">
        <v>1.1068229999999999</v>
      </c>
      <c r="L3790">
        <v>192.56379999999999</v>
      </c>
      <c r="M3790">
        <v>-2.860029E-2</v>
      </c>
      <c r="N3790">
        <v>0</v>
      </c>
      <c r="O3790">
        <v>-0.99949350000000003</v>
      </c>
      <c r="P3790">
        <v>-0.1643001</v>
      </c>
      <c r="Q3790">
        <v>-6.052304E-2</v>
      </c>
      <c r="R3790">
        <v>-0.98455199999999998</v>
      </c>
      <c r="S3790">
        <v>-0.61871339999999997</v>
      </c>
      <c r="T3790">
        <v>-3.1770710000000001E-2</v>
      </c>
      <c r="U3790">
        <v>-2.9425810000000001</v>
      </c>
      <c r="V3790">
        <v>0.1357052</v>
      </c>
      <c r="W3790">
        <v>-4.7770630000000001E-2</v>
      </c>
      <c r="X3790">
        <v>0.9895969</v>
      </c>
      <c r="Y3790">
        <v>0.17767620000000001</v>
      </c>
      <c r="Z3790">
        <v>1.0588E-2</v>
      </c>
      <c r="AA3790">
        <v>0.98403200000000002</v>
      </c>
      <c r="AB3790">
        <v>20</v>
      </c>
      <c r="AC3790">
        <v>-22.512699999999899</v>
      </c>
      <c r="AD3790">
        <v>-1.1568229999999999</v>
      </c>
      <c r="AE3790">
        <v>-106.92345</v>
      </c>
      <c r="AF3790">
        <v>19.442970091136999</v>
      </c>
      <c r="AG3790">
        <v>-1.1568229999999999</v>
      </c>
      <c r="AH3790">
        <v>107.511584056071</v>
      </c>
      <c r="AI3790">
        <v>90.606638416086994</v>
      </c>
      <c r="AJ3790">
        <v>79.749118236927302</v>
      </c>
      <c r="AK3790">
        <v>109.261649409405</v>
      </c>
      <c r="AL3790">
        <v>92.738097619021502</v>
      </c>
      <c r="AM3790">
        <v>82.191629609788606</v>
      </c>
      <c r="AN3790">
        <v>0.99999997944362295</v>
      </c>
    </row>
    <row r="3791" spans="1:40" x14ac:dyDescent="0.25">
      <c r="A3791" t="str">
        <f>"20190312161347752"</f>
        <v>20190312161347752</v>
      </c>
      <c r="B3791" t="str">
        <f>"1552378427739854"</f>
        <v>1552378427739854</v>
      </c>
      <c r="C3791" t="s">
        <v>40</v>
      </c>
      <c r="D3791">
        <v>5.3279389999999998</v>
      </c>
      <c r="E3791">
        <v>0.51920040000000001</v>
      </c>
      <c r="F3791" t="s">
        <v>42</v>
      </c>
      <c r="G3791">
        <v>-204.15989999999999</v>
      </c>
      <c r="H3791">
        <v>7.9986080000000001E-2</v>
      </c>
      <c r="I3791">
        <v>117.7671</v>
      </c>
      <c r="J3791">
        <v>-188.0848</v>
      </c>
      <c r="K3791">
        <v>1.107027</v>
      </c>
      <c r="L3791">
        <v>192.34360000000001</v>
      </c>
      <c r="M3791">
        <v>-3.5051409999999998E-2</v>
      </c>
      <c r="N3791">
        <v>0</v>
      </c>
      <c r="O3791">
        <v>-0.99928879999999998</v>
      </c>
      <c r="P3791">
        <v>-0.17012469999999999</v>
      </c>
      <c r="Q3791">
        <v>-6.0943200000000003E-2</v>
      </c>
      <c r="R3791">
        <v>-0.98353670000000004</v>
      </c>
      <c r="S3791">
        <v>-0.63221740000000004</v>
      </c>
      <c r="T3791">
        <v>-4.0348889999999998E-2</v>
      </c>
      <c r="U3791">
        <v>-2.9390869999999998</v>
      </c>
      <c r="V3791">
        <v>0.13519600000000001</v>
      </c>
      <c r="W3791">
        <v>-4.81568E-2</v>
      </c>
      <c r="X3791">
        <v>0.98964790000000002</v>
      </c>
      <c r="Y3791">
        <v>0.17587729999999999</v>
      </c>
      <c r="Z3791">
        <v>1.3453619999999999E-2</v>
      </c>
      <c r="AA3791">
        <v>0.98432019999999998</v>
      </c>
      <c r="AB3791">
        <v>20</v>
      </c>
      <c r="AC3791">
        <v>-16.0750999999999</v>
      </c>
      <c r="AD3791">
        <v>-1.0270409199999999</v>
      </c>
      <c r="AE3791">
        <v>-74.576499999999996</v>
      </c>
      <c r="AF3791">
        <v>13.4485185862756</v>
      </c>
      <c r="AG3791">
        <v>-1.0270409199999999</v>
      </c>
      <c r="AH3791">
        <v>75.080566642560797</v>
      </c>
      <c r="AI3791">
        <v>90.771434378004599</v>
      </c>
      <c r="AJ3791">
        <v>79.844807007917794</v>
      </c>
      <c r="AK3791">
        <v>76.282428858714098</v>
      </c>
      <c r="AL3791">
        <v>92.760248966077299</v>
      </c>
      <c r="AM3791">
        <v>82.220965142129998</v>
      </c>
      <c r="AN3791">
        <v>1.0000000008883201</v>
      </c>
    </row>
    <row r="3792" spans="1:40" x14ac:dyDescent="0.25">
      <c r="A3792" t="str">
        <f>"20190312161347795"</f>
        <v>20190312161347795</v>
      </c>
      <c r="B3792" t="str">
        <f>"1552378427789630"</f>
        <v>1552378427789630</v>
      </c>
      <c r="C3792" t="s">
        <v>40</v>
      </c>
      <c r="D3792">
        <v>5.3725489999999896</v>
      </c>
      <c r="E3792">
        <v>0.51299419999999996</v>
      </c>
      <c r="F3792" t="s">
        <v>42</v>
      </c>
      <c r="G3792">
        <v>-193.1661</v>
      </c>
      <c r="H3792" s="1">
        <v>-9.8415430000000007E-7</v>
      </c>
      <c r="I3792">
        <v>169.9195</v>
      </c>
      <c r="J3792">
        <v>-188.11250000000001</v>
      </c>
      <c r="K3792">
        <v>1.107351</v>
      </c>
      <c r="L3792">
        <v>191.95339999999999</v>
      </c>
      <c r="M3792">
        <v>-4.5664709999999997E-2</v>
      </c>
      <c r="N3792">
        <v>0</v>
      </c>
      <c r="O3792">
        <v>-0.99886079999999999</v>
      </c>
      <c r="P3792">
        <v>-0.1799509</v>
      </c>
      <c r="Q3792">
        <v>-6.024939E-2</v>
      </c>
      <c r="R3792">
        <v>-0.98182930000000002</v>
      </c>
      <c r="S3792">
        <v>-0.66316219999999904</v>
      </c>
      <c r="T3792">
        <v>-0.14447839999999901</v>
      </c>
      <c r="U3792">
        <v>-2.9265750000000001</v>
      </c>
      <c r="V3792">
        <v>0.13461970000000001</v>
      </c>
      <c r="W3792">
        <v>-4.741327E-2</v>
      </c>
      <c r="X3792">
        <v>0.98976240000000004</v>
      </c>
      <c r="Y3792">
        <v>0.17596970000000001</v>
      </c>
      <c r="Z3792">
        <v>4.8236170000000002E-2</v>
      </c>
      <c r="AA3792">
        <v>0.98321309999999995</v>
      </c>
      <c r="AB3792">
        <v>20</v>
      </c>
      <c r="AC3792">
        <v>-5.0535999999999799</v>
      </c>
      <c r="AD3792">
        <v>-1.1073519841543</v>
      </c>
      <c r="AE3792">
        <v>-22.0338999999999</v>
      </c>
      <c r="AF3792">
        <v>4.0323832439709202</v>
      </c>
      <c r="AG3792">
        <v>-1.1073519841543</v>
      </c>
      <c r="AH3792">
        <v>22.188462083182099</v>
      </c>
      <c r="AI3792">
        <v>92.811102044510406</v>
      </c>
      <c r="AJ3792">
        <v>79.6998593247435</v>
      </c>
      <c r="AK3792">
        <v>22.5790653628505</v>
      </c>
      <c r="AL3792">
        <v>92.7175989925002</v>
      </c>
      <c r="AM3792">
        <v>82.254606635803498</v>
      </c>
      <c r="AN3792">
        <v>1.0000000451269699</v>
      </c>
    </row>
    <row r="3793" spans="1:40" x14ac:dyDescent="0.25">
      <c r="A3793" t="str">
        <f>"20190312161347815"</f>
        <v>20190312161347815</v>
      </c>
      <c r="B3793" t="str">
        <f>"1552378427810126"</f>
        <v>1552378427810126</v>
      </c>
      <c r="C3793" t="s">
        <v>40</v>
      </c>
      <c r="D3793">
        <v>5.3806149999999997</v>
      </c>
      <c r="E3793">
        <v>0.51143620000000001</v>
      </c>
      <c r="F3793" t="s">
        <v>84</v>
      </c>
      <c r="G3793">
        <v>-199.77930000000001</v>
      </c>
      <c r="H3793" s="1">
        <v>-9.2858750000000003E-6</v>
      </c>
      <c r="I3793">
        <v>139.05439999999999</v>
      </c>
      <c r="J3793">
        <v>-188.12710000000001</v>
      </c>
      <c r="K3793">
        <v>1.107483</v>
      </c>
      <c r="L3793">
        <v>191.76220000000001</v>
      </c>
      <c r="M3793">
        <v>-5.0521900000000002E-2</v>
      </c>
      <c r="N3793">
        <v>0</v>
      </c>
      <c r="O3793">
        <v>-0.99862709999999999</v>
      </c>
      <c r="P3793">
        <v>-0.18449840000000001</v>
      </c>
      <c r="Q3793">
        <v>-5.99552E-2</v>
      </c>
      <c r="R3793">
        <v>-0.98100229999999999</v>
      </c>
      <c r="S3793">
        <v>-0.64691160000000003</v>
      </c>
      <c r="T3793">
        <v>-6.1401959999999998E-2</v>
      </c>
      <c r="U3793">
        <v>-2.9331969999999998</v>
      </c>
      <c r="V3793">
        <v>0.13440820000000001</v>
      </c>
      <c r="W3793">
        <v>-4.7102930000000001E-2</v>
      </c>
      <c r="X3793">
        <v>0.98980590000000002</v>
      </c>
      <c r="Y3793">
        <v>0.1657112</v>
      </c>
      <c r="Z3793">
        <v>2.0497990000000001E-2</v>
      </c>
      <c r="AA3793">
        <v>0.98596130000000004</v>
      </c>
      <c r="AB3793">
        <v>20</v>
      </c>
      <c r="AC3793">
        <v>-11.652199999999899</v>
      </c>
      <c r="AD3793">
        <v>-1.107492285875</v>
      </c>
      <c r="AE3793">
        <v>-52.707799999999999</v>
      </c>
      <c r="AF3793">
        <v>8.9703877026145999</v>
      </c>
      <c r="AG3793">
        <v>-1.107492285875</v>
      </c>
      <c r="AH3793">
        <v>53.206828131426903</v>
      </c>
      <c r="AI3793">
        <v>91.175841707484196</v>
      </c>
      <c r="AJ3793">
        <v>80.430230561740601</v>
      </c>
      <c r="AK3793">
        <v>53.9690740564047</v>
      </c>
      <c r="AL3793">
        <v>92.699798094667599</v>
      </c>
      <c r="AM3793">
        <v>82.266963752482198</v>
      </c>
      <c r="AN3793">
        <v>0.99999998495831699</v>
      </c>
    </row>
    <row r="3794" spans="1:40" x14ac:dyDescent="0.25">
      <c r="A3794" t="str">
        <f>"20190312161347839"</f>
        <v>20190312161347839</v>
      </c>
      <c r="B3794" t="str">
        <f>"1552378427829650"</f>
        <v>1552378427829650</v>
      </c>
      <c r="C3794" t="s">
        <v>40</v>
      </c>
      <c r="D3794">
        <v>5.4425670000000004</v>
      </c>
      <c r="E3794">
        <v>0.51073359999999901</v>
      </c>
      <c r="F3794" t="s">
        <v>84</v>
      </c>
      <c r="G3794">
        <v>-200.5402</v>
      </c>
      <c r="H3794" s="1">
        <v>-8.0387889999999999E-6</v>
      </c>
      <c r="I3794">
        <v>135.6189</v>
      </c>
      <c r="J3794">
        <v>-188.14359999999999</v>
      </c>
      <c r="K3794">
        <v>1.107612</v>
      </c>
      <c r="L3794">
        <v>191.5573</v>
      </c>
      <c r="M3794">
        <v>-5.5463800000000001E-2</v>
      </c>
      <c r="N3794">
        <v>0</v>
      </c>
      <c r="O3794">
        <v>-0.99836539999999996</v>
      </c>
      <c r="P3794">
        <v>-0.18922610000000001</v>
      </c>
      <c r="Q3794">
        <v>-5.9966730000000003E-2</v>
      </c>
      <c r="R3794">
        <v>-0.98010090000000005</v>
      </c>
      <c r="S3794">
        <v>-0.64839169999999902</v>
      </c>
      <c r="T3794">
        <v>-5.7849169999999998E-2</v>
      </c>
      <c r="U3794">
        <v>-2.932617</v>
      </c>
      <c r="V3794">
        <v>0.13429650000000001</v>
      </c>
      <c r="W3794">
        <v>-4.709932E-2</v>
      </c>
      <c r="X3794">
        <v>0.98982130000000002</v>
      </c>
      <c r="Y3794">
        <v>0.1613493</v>
      </c>
      <c r="Z3794">
        <v>1.931451E-2</v>
      </c>
      <c r="AA3794">
        <v>0.98670829999999998</v>
      </c>
      <c r="AB3794">
        <v>20</v>
      </c>
      <c r="AC3794">
        <v>-12.396599999999999</v>
      </c>
      <c r="AD3794">
        <v>-1.1076200387890001</v>
      </c>
      <c r="AE3794">
        <v>-55.938400000000001</v>
      </c>
      <c r="AF3794">
        <v>9.2711980106777396</v>
      </c>
      <c r="AG3794">
        <v>-1.1076200387890001</v>
      </c>
      <c r="AH3794">
        <v>56.518783638930898</v>
      </c>
      <c r="AI3794">
        <v>91.107900268810496</v>
      </c>
      <c r="AJ3794">
        <v>80.684310721814896</v>
      </c>
      <c r="AK3794">
        <v>57.284856975712202</v>
      </c>
      <c r="AL3794">
        <v>92.699590848947096</v>
      </c>
      <c r="AM3794">
        <v>82.273431393534807</v>
      </c>
      <c r="AN3794">
        <v>1.0000000508951901</v>
      </c>
    </row>
    <row r="3795" spans="1:40" x14ac:dyDescent="0.25">
      <c r="A3795" t="str">
        <f>"20190312161347860"</f>
        <v>20190312161347860</v>
      </c>
      <c r="B3795" t="str">
        <f>"1552378427850141"</f>
        <v>1552378427850141</v>
      </c>
      <c r="C3795" t="s">
        <v>40</v>
      </c>
      <c r="D3795">
        <v>5.3971239999999998</v>
      </c>
      <c r="E3795">
        <v>0.50975499999999996</v>
      </c>
      <c r="F3795" t="s">
        <v>84</v>
      </c>
      <c r="G3795">
        <v>-199.52549999999999</v>
      </c>
      <c r="H3795" s="1">
        <v>-9.7734280000000002E-6</v>
      </c>
      <c r="I3795">
        <v>140.78970000000001</v>
      </c>
      <c r="J3795">
        <v>-188.15960000000001</v>
      </c>
      <c r="K3795">
        <v>1.1077459999999999</v>
      </c>
      <c r="L3795">
        <v>191.36529999999999</v>
      </c>
      <c r="M3795">
        <v>-5.9849880000000001E-2</v>
      </c>
      <c r="N3795">
        <v>0</v>
      </c>
      <c r="O3795">
        <v>-0.99811260000000002</v>
      </c>
      <c r="P3795">
        <v>-0.19293179999999999</v>
      </c>
      <c r="Q3795">
        <v>-6.0119569999999997E-2</v>
      </c>
      <c r="R3795">
        <v>-0.97936869999999998</v>
      </c>
      <c r="S3795">
        <v>-0.65693659999999998</v>
      </c>
      <c r="T3795">
        <v>-6.3928960000000007E-2</v>
      </c>
      <c r="U3795">
        <v>-2.9301759999999999</v>
      </c>
      <c r="V3795">
        <v>0.133706399999999</v>
      </c>
      <c r="W3795">
        <v>-4.7231389999999998E-2</v>
      </c>
      <c r="X3795">
        <v>0.98989490000000002</v>
      </c>
      <c r="Y3795">
        <v>0.15991859999999999</v>
      </c>
      <c r="Z3795">
        <v>2.1348530000000001E-2</v>
      </c>
      <c r="AA3795">
        <v>0.98689930000000003</v>
      </c>
      <c r="AB3795">
        <v>20</v>
      </c>
      <c r="AC3795">
        <v>-11.3658999999999</v>
      </c>
      <c r="AD3795">
        <v>-1.1077557734279999</v>
      </c>
      <c r="AE3795">
        <v>-50.575599999999902</v>
      </c>
      <c r="AF3795">
        <v>8.3144944494109403</v>
      </c>
      <c r="AG3795">
        <v>-1.1077557734279999</v>
      </c>
      <c r="AH3795">
        <v>51.141877308947301</v>
      </c>
      <c r="AI3795">
        <v>91.224782265428999</v>
      </c>
      <c r="AJ3795">
        <v>80.765813939033194</v>
      </c>
      <c r="AK3795">
        <v>51.825182638233599</v>
      </c>
      <c r="AL3795">
        <v>92.707166310122702</v>
      </c>
      <c r="AM3795">
        <v>82.307539687680304</v>
      </c>
      <c r="AN3795">
        <v>1.00000005932414</v>
      </c>
    </row>
    <row r="3796" spans="1:40" x14ac:dyDescent="0.25">
      <c r="A3796" t="str">
        <f>"20190312161347882"</f>
        <v>20190312161347882</v>
      </c>
      <c r="B3796" t="str">
        <f>"1552378427869662"</f>
        <v>1552378427869662</v>
      </c>
      <c r="C3796" t="s">
        <v>40</v>
      </c>
      <c r="D3796">
        <v>5.430256</v>
      </c>
      <c r="E3796">
        <v>0.50884039999999997</v>
      </c>
      <c r="F3796" t="s">
        <v>84</v>
      </c>
      <c r="G3796">
        <v>-199.20099999999999</v>
      </c>
      <c r="H3796" s="1">
        <v>-1.020386E-5</v>
      </c>
      <c r="I3796">
        <v>142.39320000000001</v>
      </c>
      <c r="J3796">
        <v>-188.1764</v>
      </c>
      <c r="K3796">
        <v>1.1078950000000001</v>
      </c>
      <c r="L3796">
        <v>191.17240000000001</v>
      </c>
      <c r="M3796">
        <v>-6.4013990000000007E-2</v>
      </c>
      <c r="N3796">
        <v>0</v>
      </c>
      <c r="O3796">
        <v>-0.99785449999999998</v>
      </c>
      <c r="P3796">
        <v>-0.1960645</v>
      </c>
      <c r="Q3796">
        <v>-5.9603749999999997E-2</v>
      </c>
      <c r="R3796">
        <v>-0.97877800000000004</v>
      </c>
      <c r="S3796">
        <v>-0.66038509999999995</v>
      </c>
      <c r="T3796">
        <v>-6.6255090000000003E-2</v>
      </c>
      <c r="U3796">
        <v>-2.9290310000000002</v>
      </c>
      <c r="V3796">
        <v>0.13276170000000001</v>
      </c>
      <c r="W3796">
        <v>-4.6686409999999998E-2</v>
      </c>
      <c r="X3796">
        <v>0.99004780000000003</v>
      </c>
      <c r="Y3796">
        <v>0.1569837</v>
      </c>
      <c r="Z3796">
        <v>2.2127190000000001E-2</v>
      </c>
      <c r="AA3796">
        <v>0.98735329999999999</v>
      </c>
      <c r="AB3796">
        <v>20</v>
      </c>
      <c r="AC3796">
        <v>-11.0245999999999</v>
      </c>
      <c r="AD3796">
        <v>-1.1079052038599999</v>
      </c>
      <c r="AE3796">
        <v>-48.779200000000003</v>
      </c>
      <c r="AF3796">
        <v>7.87527341872826</v>
      </c>
      <c r="AG3796">
        <v>-1.1079052038599999</v>
      </c>
      <c r="AH3796">
        <v>49.360704255514101</v>
      </c>
      <c r="AI3796">
        <v>91.269739222978799</v>
      </c>
      <c r="AJ3796">
        <v>80.935121260424097</v>
      </c>
      <c r="AK3796">
        <v>49.997265024807</v>
      </c>
      <c r="AL3796">
        <v>92.675907017198895</v>
      </c>
      <c r="AM3796">
        <v>82.362412399670504</v>
      </c>
      <c r="AN3796">
        <v>0.99999996807520797</v>
      </c>
    </row>
    <row r="3797" spans="1:40" x14ac:dyDescent="0.25">
      <c r="A3797" t="str">
        <f>"20190312161347905"</f>
        <v>20190312161347905</v>
      </c>
      <c r="B3797" t="str">
        <f>"1552378427899450"</f>
        <v>1552378427899450</v>
      </c>
      <c r="C3797" t="s">
        <v>40</v>
      </c>
      <c r="D3797">
        <v>5.5627750000000002</v>
      </c>
      <c r="E3797">
        <v>0.50837759999999999</v>
      </c>
      <c r="F3797" t="s">
        <v>84</v>
      </c>
      <c r="G3797">
        <v>-199.0316</v>
      </c>
      <c r="H3797" s="1">
        <v>-1.0417220000000001E-5</v>
      </c>
      <c r="I3797">
        <v>143.19210000000001</v>
      </c>
      <c r="J3797">
        <v>-188.1943</v>
      </c>
      <c r="K3797">
        <v>1.1080650000000001</v>
      </c>
      <c r="L3797">
        <v>190.97110000000001</v>
      </c>
      <c r="M3797">
        <v>-6.8105200000000005E-2</v>
      </c>
      <c r="N3797">
        <v>0</v>
      </c>
      <c r="O3797">
        <v>-0.99758389999999997</v>
      </c>
      <c r="P3797">
        <v>-0.1993528</v>
      </c>
      <c r="Q3797">
        <v>-5.943847E-2</v>
      </c>
      <c r="R3797">
        <v>-0.97812379999999999</v>
      </c>
      <c r="S3797">
        <v>-0.66249080000000005</v>
      </c>
      <c r="T3797">
        <v>-6.7614789999999994E-2</v>
      </c>
      <c r="U3797">
        <v>-2.928207</v>
      </c>
      <c r="V3797">
        <v>0.1320491</v>
      </c>
      <c r="W3797">
        <v>-4.6487559999999997E-2</v>
      </c>
      <c r="X3797">
        <v>0.99015249999999999</v>
      </c>
      <c r="Y3797">
        <v>0.153666</v>
      </c>
      <c r="Z3797">
        <v>2.25822E-2</v>
      </c>
      <c r="AA3797">
        <v>0.98786479999999999</v>
      </c>
      <c r="AB3797">
        <v>20</v>
      </c>
      <c r="AC3797">
        <v>-10.837300000000001</v>
      </c>
      <c r="AD3797">
        <v>-1.10807541721999</v>
      </c>
      <c r="AE3797">
        <v>-47.779000000000003</v>
      </c>
      <c r="AF3797">
        <v>7.55396415547186</v>
      </c>
      <c r="AG3797">
        <v>-1.10807541721999</v>
      </c>
      <c r="AH3797">
        <v>48.381440227889797</v>
      </c>
      <c r="AI3797">
        <v>91.296310372633002</v>
      </c>
      <c r="AJ3797">
        <v>81.125856199784195</v>
      </c>
      <c r="AK3797">
        <v>48.980138465680902</v>
      </c>
      <c r="AL3797">
        <v>92.664501240369304</v>
      </c>
      <c r="AM3797">
        <v>82.403721112882906</v>
      </c>
      <c r="AN3797">
        <v>1.0000000156508999</v>
      </c>
    </row>
    <row r="3798" spans="1:40" x14ac:dyDescent="0.25">
      <c r="A3798" t="str">
        <f>"20190312161347929"</f>
        <v>20190312161347929</v>
      </c>
      <c r="B3798" t="str">
        <f>"1552378427919945"</f>
        <v>1552378427919945</v>
      </c>
      <c r="C3798" t="s">
        <v>40</v>
      </c>
      <c r="D3798">
        <v>5.6696410000000004</v>
      </c>
      <c r="E3798">
        <v>0.50669370000000002</v>
      </c>
      <c r="F3798" t="s">
        <v>84</v>
      </c>
      <c r="G3798">
        <v>-198.4496</v>
      </c>
      <c r="H3798" s="1">
        <v>-1.119252E-5</v>
      </c>
      <c r="I3798">
        <v>146.07919999999999</v>
      </c>
      <c r="J3798">
        <v>-188.2139</v>
      </c>
      <c r="K3798">
        <v>1.10825</v>
      </c>
      <c r="L3798">
        <v>190.7578</v>
      </c>
      <c r="M3798">
        <v>-7.2143029999999997E-2</v>
      </c>
      <c r="N3798">
        <v>0</v>
      </c>
      <c r="O3798">
        <v>-0.99730070000000004</v>
      </c>
      <c r="P3798">
        <v>-0.2022747</v>
      </c>
      <c r="Q3798">
        <v>-6.0018139999999998E-2</v>
      </c>
      <c r="R3798">
        <v>-0.97748809999999997</v>
      </c>
      <c r="S3798">
        <v>-0.6685333</v>
      </c>
      <c r="T3798">
        <v>-7.2234270000000003E-2</v>
      </c>
      <c r="U3798">
        <v>-2.926453</v>
      </c>
      <c r="V3798">
        <v>0.13102130000000001</v>
      </c>
      <c r="W3798">
        <v>-4.702783E-2</v>
      </c>
      <c r="X3798">
        <v>0.99026349999999996</v>
      </c>
      <c r="Y3798">
        <v>0.15172459999999999</v>
      </c>
      <c r="Z3798">
        <v>2.4126129999999999E-2</v>
      </c>
      <c r="AA3798">
        <v>0.98812829999999996</v>
      </c>
      <c r="AB3798">
        <v>20</v>
      </c>
      <c r="AC3798">
        <v>-10.2357</v>
      </c>
      <c r="AD3798">
        <v>-1.1082611925200001</v>
      </c>
      <c r="AE3798">
        <v>-44.678600000000003</v>
      </c>
      <c r="AF3798">
        <v>6.9813918895345699</v>
      </c>
      <c r="AG3798">
        <v>-1.1082611925200001</v>
      </c>
      <c r="AH3798">
        <v>45.274194487135397</v>
      </c>
      <c r="AI3798">
        <v>91.385882263476105</v>
      </c>
      <c r="AJ3798">
        <v>81.233896326487596</v>
      </c>
      <c r="AK3798">
        <v>45.822710112400202</v>
      </c>
      <c r="AL3798">
        <v>92.6954903709223</v>
      </c>
      <c r="AM3798">
        <v>82.462999232323099</v>
      </c>
      <c r="AN3798">
        <v>0.99999999864022404</v>
      </c>
    </row>
    <row r="3799" spans="1:40" x14ac:dyDescent="0.25">
      <c r="A3799" t="str">
        <f>"20190312161347952"</f>
        <v>20190312161347952</v>
      </c>
      <c r="B3799" t="str">
        <f>"1552378427939469"</f>
        <v>1552378427939469</v>
      </c>
      <c r="C3799" t="s">
        <v>40</v>
      </c>
      <c r="D3799">
        <v>5.4108850000000004</v>
      </c>
      <c r="E3799">
        <v>0.50612500000000005</v>
      </c>
      <c r="F3799" t="s">
        <v>84</v>
      </c>
      <c r="G3799">
        <v>-196.77440000000001</v>
      </c>
      <c r="H3799" s="1">
        <v>-1.302999E-5</v>
      </c>
      <c r="I3799">
        <v>152.9983</v>
      </c>
      <c r="J3799">
        <v>-188.23249999999999</v>
      </c>
      <c r="K3799">
        <v>1.1084149999999999</v>
      </c>
      <c r="L3799">
        <v>190.55930000000001</v>
      </c>
      <c r="M3799">
        <v>-7.5599620000000006E-2</v>
      </c>
      <c r="N3799">
        <v>0</v>
      </c>
      <c r="O3799">
        <v>-0.99704470000000001</v>
      </c>
      <c r="P3799">
        <v>-0.2052281</v>
      </c>
      <c r="Q3799">
        <v>-6.0132560000000002E-2</v>
      </c>
      <c r="R3799">
        <v>-0.97686539999999999</v>
      </c>
      <c r="S3799">
        <v>-0.66348269999999998</v>
      </c>
      <c r="T3799">
        <v>-8.5895299999999994E-2</v>
      </c>
      <c r="U3799">
        <v>-2.9265289999999999</v>
      </c>
      <c r="V3799">
        <v>0.13060060000000001</v>
      </c>
      <c r="W3799">
        <v>-4.7110760000000002E-2</v>
      </c>
      <c r="X3799">
        <v>0.9903151</v>
      </c>
      <c r="Y3799">
        <v>0.14664279999999999</v>
      </c>
      <c r="Z3799">
        <v>2.86901E-2</v>
      </c>
      <c r="AA3799">
        <v>0.98877329999999997</v>
      </c>
      <c r="AB3799">
        <v>20</v>
      </c>
      <c r="AC3799">
        <v>-8.5419000000000196</v>
      </c>
      <c r="AD3799">
        <v>-1.10842802999</v>
      </c>
      <c r="AE3799">
        <v>-37.561</v>
      </c>
      <c r="AF3799">
        <v>5.6728911593582998</v>
      </c>
      <c r="AG3799">
        <v>-1.10842802999</v>
      </c>
      <c r="AH3799">
        <v>38.067793549100003</v>
      </c>
      <c r="AI3799">
        <v>91.649616296941005</v>
      </c>
      <c r="AJ3799">
        <v>81.524114502833598</v>
      </c>
      <c r="AK3799">
        <v>38.504119422478603</v>
      </c>
      <c r="AL3799">
        <v>92.700247262727601</v>
      </c>
      <c r="AM3799">
        <v>82.487310097167395</v>
      </c>
      <c r="AN3799">
        <v>0.99999996885807296</v>
      </c>
    </row>
    <row r="3800" spans="1:40" x14ac:dyDescent="0.25">
      <c r="A3800" t="str">
        <f>"20190312161347973"</f>
        <v>20190312161347973</v>
      </c>
      <c r="B3800" t="str">
        <f>"1552378427969721"</f>
        <v>1552378427969721</v>
      </c>
      <c r="C3800" t="s">
        <v>40</v>
      </c>
      <c r="D3800">
        <v>5.3257919999999999</v>
      </c>
      <c r="E3800">
        <v>0.50522489999999998</v>
      </c>
      <c r="F3800" t="s">
        <v>84</v>
      </c>
      <c r="G3800">
        <v>-196.61449999999999</v>
      </c>
      <c r="H3800" s="1">
        <v>-1.3231269999999999E-5</v>
      </c>
      <c r="I3800">
        <v>153.85470000000001</v>
      </c>
      <c r="J3800">
        <v>-188.2509</v>
      </c>
      <c r="K3800">
        <v>1.108541</v>
      </c>
      <c r="L3800">
        <v>190.36750000000001</v>
      </c>
      <c r="M3800">
        <v>-7.8723799999999997E-2</v>
      </c>
      <c r="N3800">
        <v>0</v>
      </c>
      <c r="O3800">
        <v>-0.99680299999999999</v>
      </c>
      <c r="P3800">
        <v>-0.20716039999999999</v>
      </c>
      <c r="Q3800">
        <v>-5.9474640000000002E-2</v>
      </c>
      <c r="R3800">
        <v>-0.97649759999999997</v>
      </c>
      <c r="S3800">
        <v>-0.66801449999999996</v>
      </c>
      <c r="T3800">
        <v>-8.8338379999999994E-2</v>
      </c>
      <c r="U3800">
        <v>-2.9252470000000002</v>
      </c>
      <c r="V3800">
        <v>0.12947069999999999</v>
      </c>
      <c r="W3800">
        <v>-4.6426559999999999E-2</v>
      </c>
      <c r="X3800">
        <v>0.99049580000000004</v>
      </c>
      <c r="Y3800">
        <v>0.1450872</v>
      </c>
      <c r="Z3800">
        <v>2.950566E-2</v>
      </c>
      <c r="AA3800">
        <v>0.98897880000000005</v>
      </c>
      <c r="AB3800">
        <v>20</v>
      </c>
      <c r="AC3800">
        <v>-8.3635999999999893</v>
      </c>
      <c r="AD3800">
        <v>-1.1085542312700001</v>
      </c>
      <c r="AE3800">
        <v>-36.512799999999999</v>
      </c>
      <c r="AF3800">
        <v>5.4581638527266696</v>
      </c>
      <c r="AG3800">
        <v>-1.1085542312700001</v>
      </c>
      <c r="AH3800">
        <v>37.025508184049997</v>
      </c>
      <c r="AI3800">
        <v>91.696614523886197</v>
      </c>
      <c r="AJ3800">
        <v>81.614065934113896</v>
      </c>
      <c r="AK3800">
        <v>37.442071275692399</v>
      </c>
      <c r="AL3800">
        <v>92.661002438598402</v>
      </c>
      <c r="AM3800">
        <v>82.552917292507701</v>
      </c>
      <c r="AN3800">
        <v>1.00000000872478</v>
      </c>
    </row>
    <row r="3801" spans="1:40" x14ac:dyDescent="0.25">
      <c r="A3801" t="str">
        <f>"20190312161347997"</f>
        <v>20190312161347997</v>
      </c>
      <c r="B3801" t="str">
        <f>"1552378427989628"</f>
        <v>1552378427989628</v>
      </c>
      <c r="C3801" t="s">
        <v>40</v>
      </c>
      <c r="D3801">
        <v>5.4774909999999997</v>
      </c>
      <c r="E3801">
        <v>0.50556319999999999</v>
      </c>
      <c r="F3801" t="s">
        <v>84</v>
      </c>
      <c r="G3801">
        <v>-196.70160000000001</v>
      </c>
      <c r="H3801" s="1">
        <v>-1.3092530000000001E-5</v>
      </c>
      <c r="I3801">
        <v>153.27260000000001</v>
      </c>
      <c r="J3801">
        <v>-188.27090000000001</v>
      </c>
      <c r="K3801">
        <v>1.108649</v>
      </c>
      <c r="L3801">
        <v>190.1636</v>
      </c>
      <c r="M3801">
        <v>-8.1821229999999995E-2</v>
      </c>
      <c r="N3801">
        <v>0</v>
      </c>
      <c r="O3801">
        <v>-0.99655400000000005</v>
      </c>
      <c r="P3801">
        <v>-0.20942450000000001</v>
      </c>
      <c r="Q3801">
        <v>-5.8882879999999999E-2</v>
      </c>
      <c r="R3801">
        <v>-0.97605059999999999</v>
      </c>
      <c r="S3801">
        <v>-0.66645810000000005</v>
      </c>
      <c r="T3801">
        <v>-8.7426069999999995E-2</v>
      </c>
      <c r="U3801">
        <v>-2.9254910000000001</v>
      </c>
      <c r="V3801">
        <v>0.12870100000000001</v>
      </c>
      <c r="W3801">
        <v>-4.5816969999999999E-2</v>
      </c>
      <c r="X3801">
        <v>0.99062450000000002</v>
      </c>
      <c r="Y3801">
        <v>0.14149539999999999</v>
      </c>
      <c r="Z3801">
        <v>2.9197210000000001E-2</v>
      </c>
      <c r="AA3801">
        <v>0.98950830000000001</v>
      </c>
      <c r="AB3801">
        <v>20</v>
      </c>
      <c r="AC3801">
        <v>-8.4306999999999999</v>
      </c>
      <c r="AD3801">
        <v>-1.1086620925299999</v>
      </c>
      <c r="AE3801">
        <v>-36.890999999999899</v>
      </c>
      <c r="AF3801">
        <v>5.3790629829673398</v>
      </c>
      <c r="AG3801">
        <v>-1.1086620925299999</v>
      </c>
      <c r="AH3801">
        <v>37.425033907612402</v>
      </c>
      <c r="AI3801">
        <v>91.679558282860498</v>
      </c>
      <c r="AJ3801">
        <v>81.820948545818197</v>
      </c>
      <c r="AK3801">
        <v>37.825872272772301</v>
      </c>
      <c r="AL3801">
        <v>92.626038263721099</v>
      </c>
      <c r="AM3801">
        <v>82.597648586642194</v>
      </c>
      <c r="AN3801">
        <v>1.0000000210706099</v>
      </c>
    </row>
    <row r="3802" spans="1:40" x14ac:dyDescent="0.25">
      <c r="A3802" t="str">
        <f>"20190312161348017"</f>
        <v>20190312161348017</v>
      </c>
      <c r="B3802" t="str">
        <f>"1552378428010126"</f>
        <v>1552378428010126</v>
      </c>
      <c r="C3802" t="s">
        <v>40</v>
      </c>
      <c r="D3802">
        <v>5.4307730000000003</v>
      </c>
      <c r="E3802">
        <v>0.53077209999999997</v>
      </c>
      <c r="F3802" t="s">
        <v>84</v>
      </c>
      <c r="G3802">
        <v>-197.3296</v>
      </c>
      <c r="H3802" s="1">
        <v>-1.2572700000000001E-5</v>
      </c>
      <c r="I3802">
        <v>150.98519999999999</v>
      </c>
      <c r="J3802">
        <v>-188.2895</v>
      </c>
      <c r="K3802">
        <v>1.108733</v>
      </c>
      <c r="L3802">
        <v>189.97720000000001</v>
      </c>
      <c r="M3802">
        <v>-8.4460930000000004E-2</v>
      </c>
      <c r="N3802">
        <v>0</v>
      </c>
      <c r="O3802">
        <v>-0.99633400000000005</v>
      </c>
      <c r="P3802">
        <v>-0.2108574</v>
      </c>
      <c r="Q3802">
        <v>-5.8888759999999998E-2</v>
      </c>
      <c r="R3802">
        <v>-0.97574170000000005</v>
      </c>
      <c r="S3802">
        <v>-0.67597959999999901</v>
      </c>
      <c r="T3802">
        <v>-8.2730410000000004E-2</v>
      </c>
      <c r="U3802">
        <v>-2.9235690000000001</v>
      </c>
      <c r="V3802">
        <v>0.12754119999999999</v>
      </c>
      <c r="W3802">
        <v>-4.5807849999999997E-2</v>
      </c>
      <c r="X3802">
        <v>0.99077490000000001</v>
      </c>
      <c r="Y3802">
        <v>0.14208519999999999</v>
      </c>
      <c r="Z3802">
        <v>2.7627700000000002E-2</v>
      </c>
      <c r="AA3802">
        <v>0.98946880000000004</v>
      </c>
      <c r="AB3802">
        <v>20</v>
      </c>
      <c r="AC3802">
        <v>-9.04009999999999</v>
      </c>
      <c r="AD3802">
        <v>-1.1087455727</v>
      </c>
      <c r="AE3802">
        <v>-38.991999999999997</v>
      </c>
      <c r="AF3802">
        <v>5.7098055195965403</v>
      </c>
      <c r="AG3802">
        <v>-1.1087455727</v>
      </c>
      <c r="AH3802">
        <v>39.585878623313199</v>
      </c>
      <c r="AI3802">
        <v>91.587931236625593</v>
      </c>
      <c r="AJ3802">
        <v>81.792352842453994</v>
      </c>
      <c r="AK3802">
        <v>40.010910789386998</v>
      </c>
      <c r="AL3802">
        <v>92.6255152070338</v>
      </c>
      <c r="AM3802">
        <v>82.664727063541307</v>
      </c>
      <c r="AN3802">
        <v>1.0000000096445301</v>
      </c>
    </row>
    <row r="3803" spans="1:40" x14ac:dyDescent="0.25">
      <c r="A3803" t="str">
        <f>"20190312161348039"</f>
        <v>20190312161348039</v>
      </c>
      <c r="B3803" t="str">
        <f>"1552378428029648"</f>
        <v>1552378428029648</v>
      </c>
      <c r="C3803" t="s">
        <v>40</v>
      </c>
      <c r="D3803">
        <v>5.3827299999999996</v>
      </c>
      <c r="E3803">
        <v>0.53071780000000002</v>
      </c>
      <c r="F3803" t="s">
        <v>87</v>
      </c>
      <c r="G3803">
        <v>-216.6849</v>
      </c>
      <c r="H3803">
        <v>3.0639340000000002</v>
      </c>
      <c r="I3803">
        <v>97.150019999999998</v>
      </c>
      <c r="J3803">
        <v>-188.309</v>
      </c>
      <c r="K3803">
        <v>1.1088229999999999</v>
      </c>
      <c r="L3803">
        <v>189.7852</v>
      </c>
      <c r="M3803">
        <v>-8.7004120000000004E-2</v>
      </c>
      <c r="N3803">
        <v>0</v>
      </c>
      <c r="O3803">
        <v>-0.99611530000000004</v>
      </c>
      <c r="P3803">
        <v>-0.21263979999999999</v>
      </c>
      <c r="Q3803">
        <v>-5.8791639999999999E-2</v>
      </c>
      <c r="R3803">
        <v>-0.97536060000000002</v>
      </c>
      <c r="S3803">
        <v>-0.88323969999999896</v>
      </c>
      <c r="T3803">
        <v>6.0817360000000001E-2</v>
      </c>
      <c r="U3803">
        <v>-2.8873899999999999</v>
      </c>
      <c r="V3803">
        <v>0.12683169999999999</v>
      </c>
      <c r="W3803">
        <v>-4.5697500000000002E-2</v>
      </c>
      <c r="X3803">
        <v>0.9908711</v>
      </c>
      <c r="Y3803">
        <v>0.20814009999999999</v>
      </c>
      <c r="Z3803">
        <v>-2.024575E-2</v>
      </c>
      <c r="AA3803">
        <v>0.97788949999999997</v>
      </c>
      <c r="AB3803">
        <v>20</v>
      </c>
      <c r="AC3803">
        <v>-28.375899999999898</v>
      </c>
      <c r="AD3803">
        <v>1.955111</v>
      </c>
      <c r="AE3803">
        <v>-92.635180000000005</v>
      </c>
      <c r="AF3803">
        <v>20.1996650941708</v>
      </c>
      <c r="AG3803">
        <v>1.955111</v>
      </c>
      <c r="AH3803">
        <v>94.714315464009701</v>
      </c>
      <c r="AI3803">
        <v>88.843459687799694</v>
      </c>
      <c r="AJ3803">
        <v>77.960928636594502</v>
      </c>
      <c r="AK3803">
        <v>96.864082521618499</v>
      </c>
      <c r="AL3803">
        <v>92.619185912327893</v>
      </c>
      <c r="AM3803">
        <v>82.705792358665605</v>
      </c>
      <c r="AN3803">
        <v>1.00000003922317</v>
      </c>
    </row>
    <row r="3804" spans="1:40" x14ac:dyDescent="0.25">
      <c r="A3804" t="str">
        <f>"20190312161348054"</f>
        <v>20190312161348054</v>
      </c>
      <c r="B3804" t="str">
        <f>"1552378428050140"</f>
        <v>1552378428050140</v>
      </c>
      <c r="C3804" t="s">
        <v>40</v>
      </c>
      <c r="D3804">
        <v>5.3423939999999996</v>
      </c>
      <c r="E3804">
        <v>0.5314624</v>
      </c>
      <c r="F3804" t="s">
        <v>88</v>
      </c>
      <c r="G3804">
        <v>-211.38560000000001</v>
      </c>
      <c r="H3804">
        <v>2.902215</v>
      </c>
      <c r="I3804">
        <v>114.81789999999999</v>
      </c>
      <c r="J3804">
        <v>-188.3218</v>
      </c>
      <c r="K3804">
        <v>1.108878</v>
      </c>
      <c r="L3804">
        <v>189.66069999999999</v>
      </c>
      <c r="M3804">
        <v>-8.8569949999999995E-2</v>
      </c>
      <c r="N3804">
        <v>0</v>
      </c>
      <c r="O3804">
        <v>-0.99597729999999995</v>
      </c>
      <c r="P3804">
        <v>-0.21390690000000001</v>
      </c>
      <c r="Q3804">
        <v>-5.8494909999999997E-2</v>
      </c>
      <c r="R3804">
        <v>-0.97510110000000005</v>
      </c>
      <c r="S3804">
        <v>-0.88845830000000003</v>
      </c>
      <c r="T3804">
        <v>6.9046969999999999E-2</v>
      </c>
      <c r="U3804">
        <v>-2.8862610000000002</v>
      </c>
      <c r="V3804">
        <v>0.12656709999999999</v>
      </c>
      <c r="W3804">
        <v>-4.5391790000000001E-2</v>
      </c>
      <c r="X3804">
        <v>0.99091890000000005</v>
      </c>
      <c r="Y3804">
        <v>0.20830799999999999</v>
      </c>
      <c r="Z3804">
        <v>-2.2981370000000001E-2</v>
      </c>
      <c r="AA3804">
        <v>0.97779320000000003</v>
      </c>
      <c r="AB3804">
        <v>20</v>
      </c>
      <c r="AC3804">
        <v>-23.063800000000001</v>
      </c>
      <c r="AD3804">
        <v>1.793337</v>
      </c>
      <c r="AE3804">
        <v>-74.842799999999997</v>
      </c>
      <c r="AF3804">
        <v>16.335141264194299</v>
      </c>
      <c r="AG3804">
        <v>1.793337</v>
      </c>
      <c r="AH3804">
        <v>76.551418553026195</v>
      </c>
      <c r="AI3804">
        <v>88.687539711095397</v>
      </c>
      <c r="AJ3804">
        <v>77.954438254893006</v>
      </c>
      <c r="AK3804">
        <v>78.295418641178202</v>
      </c>
      <c r="AL3804">
        <v>92.601652042099204</v>
      </c>
      <c r="AM3804">
        <v>82.721193730314297</v>
      </c>
      <c r="AN3804">
        <v>0.99999995588951096</v>
      </c>
    </row>
    <row r="3805" spans="1:40" x14ac:dyDescent="0.25">
      <c r="A3805" t="str">
        <f>"20190312161348066"</f>
        <v>20190312161348066</v>
      </c>
      <c r="B3805" t="str">
        <f>"1552378428059900"</f>
        <v>1552378428059900</v>
      </c>
      <c r="C3805" t="s">
        <v>40</v>
      </c>
      <c r="D3805">
        <v>5.3713480000000002</v>
      </c>
      <c r="E3805">
        <v>0.53149969999999902</v>
      </c>
      <c r="F3805" t="s">
        <v>88</v>
      </c>
      <c r="G3805">
        <v>-211.65170000000001</v>
      </c>
      <c r="H3805">
        <v>2.9889420000000002</v>
      </c>
      <c r="I3805">
        <v>114.7482</v>
      </c>
      <c r="J3805">
        <v>-188.3339</v>
      </c>
      <c r="K3805">
        <v>1.108938</v>
      </c>
      <c r="L3805">
        <v>189.54349999999999</v>
      </c>
      <c r="M3805">
        <v>-8.9990329999999993E-2</v>
      </c>
      <c r="N3805">
        <v>0</v>
      </c>
      <c r="O3805">
        <v>-0.99585029999999997</v>
      </c>
      <c r="P3805">
        <v>-0.214783</v>
      </c>
      <c r="Q3805">
        <v>-5.8702730000000002E-2</v>
      </c>
      <c r="R3805">
        <v>-0.97489630000000005</v>
      </c>
      <c r="S3805">
        <v>-0.89814760000000005</v>
      </c>
      <c r="T3805">
        <v>7.2378750000000006E-2</v>
      </c>
      <c r="U3805">
        <v>-2.8839419999999998</v>
      </c>
      <c r="V3805">
        <v>0.12605130000000001</v>
      </c>
      <c r="W3805">
        <v>-4.5589339999999999E-2</v>
      </c>
      <c r="X3805">
        <v>0.99097559999999996</v>
      </c>
      <c r="Y3805">
        <v>0.21012359999999999</v>
      </c>
      <c r="Z3805">
        <v>-2.408706E-2</v>
      </c>
      <c r="AA3805">
        <v>0.97737810000000003</v>
      </c>
      <c r="AB3805">
        <v>20</v>
      </c>
      <c r="AC3805">
        <v>-23.317799999999998</v>
      </c>
      <c r="AD3805">
        <v>1.880004</v>
      </c>
      <c r="AE3805">
        <v>-74.795299999999997</v>
      </c>
      <c r="AF3805">
        <v>16.4822102623014</v>
      </c>
      <c r="AG3805">
        <v>1.880004</v>
      </c>
      <c r="AH3805">
        <v>76.546265190368899</v>
      </c>
      <c r="AI3805">
        <v>88.624588891592097</v>
      </c>
      <c r="AJ3805">
        <v>77.848404377813907</v>
      </c>
      <c r="AK3805">
        <v>78.323230173206099</v>
      </c>
      <c r="AL3805">
        <v>92.612982493202296</v>
      </c>
      <c r="AM3805">
        <v>82.750951276565402</v>
      </c>
      <c r="AN3805">
        <v>0.99999997897434201</v>
      </c>
    </row>
    <row r="3806" spans="1:40" x14ac:dyDescent="0.25">
      <c r="A3806" t="str">
        <f>"20190312161348084"</f>
        <v>20190312161348084</v>
      </c>
      <c r="B3806" t="str">
        <f>"1552378428079421"</f>
        <v>1552378428079421</v>
      </c>
      <c r="C3806" t="s">
        <v>40</v>
      </c>
      <c r="D3806">
        <v>5.3892519999999999</v>
      </c>
      <c r="E3806">
        <v>0.53148649999999997</v>
      </c>
      <c r="F3806" t="s">
        <v>88</v>
      </c>
      <c r="G3806">
        <v>-211.7003</v>
      </c>
      <c r="H3806">
        <v>3.0646629999999999</v>
      </c>
      <c r="I3806">
        <v>114.7833</v>
      </c>
      <c r="J3806">
        <v>-188.34970000000001</v>
      </c>
      <c r="K3806">
        <v>1.1090120000000001</v>
      </c>
      <c r="L3806">
        <v>189.39250000000001</v>
      </c>
      <c r="M3806">
        <v>-9.1723009999999994E-2</v>
      </c>
      <c r="N3806">
        <v>0</v>
      </c>
      <c r="O3806">
        <v>-0.99569240000000003</v>
      </c>
      <c r="P3806">
        <v>-0.21561820000000001</v>
      </c>
      <c r="Q3806">
        <v>-5.9262189999999999E-2</v>
      </c>
      <c r="R3806">
        <v>-0.97467809999999999</v>
      </c>
      <c r="S3806">
        <v>-0.90116879999999999</v>
      </c>
      <c r="T3806">
        <v>7.5426820000000006E-2</v>
      </c>
      <c r="U3806">
        <v>-2.8832550000000001</v>
      </c>
      <c r="V3806">
        <v>0.1251862</v>
      </c>
      <c r="W3806">
        <v>-4.6133830000000001E-2</v>
      </c>
      <c r="X3806">
        <v>0.9910601</v>
      </c>
      <c r="Y3806">
        <v>0.2094144</v>
      </c>
      <c r="Z3806">
        <v>-2.5098599999999999E-2</v>
      </c>
      <c r="AA3806">
        <v>0.97750479999999995</v>
      </c>
      <c r="AB3806">
        <v>20</v>
      </c>
      <c r="AC3806">
        <v>-23.350599999999901</v>
      </c>
      <c r="AD3806">
        <v>1.955651</v>
      </c>
      <c r="AE3806">
        <v>-74.609200000000001</v>
      </c>
      <c r="AF3806">
        <v>16.397879051414101</v>
      </c>
      <c r="AG3806">
        <v>1.955651</v>
      </c>
      <c r="AH3806">
        <v>76.388813578083202</v>
      </c>
      <c r="AI3806">
        <v>88.566125899865497</v>
      </c>
      <c r="AJ3806">
        <v>77.884557200191495</v>
      </c>
      <c r="AK3806">
        <v>78.153476238013596</v>
      </c>
      <c r="AL3806">
        <v>92.644212228887895</v>
      </c>
      <c r="AM3806">
        <v>82.800785649319906</v>
      </c>
      <c r="AN3806">
        <v>1.0000000183764499</v>
      </c>
    </row>
    <row r="3807" spans="1:40" x14ac:dyDescent="0.25">
      <c r="A3807" t="str">
        <f>"20190312161348098"</f>
        <v>20190312161348098</v>
      </c>
      <c r="B3807" t="str">
        <f>"1552378428090157"</f>
        <v>1552378428090157</v>
      </c>
      <c r="C3807" t="s">
        <v>40</v>
      </c>
      <c r="D3807">
        <v>5.3555570000000001</v>
      </c>
      <c r="E3807">
        <v>0.53155620000000003</v>
      </c>
      <c r="F3807" t="s">
        <v>88</v>
      </c>
      <c r="G3807">
        <v>-211.73490000000001</v>
      </c>
      <c r="H3807">
        <v>3.0890460000000002</v>
      </c>
      <c r="I3807">
        <v>114.7847</v>
      </c>
      <c r="J3807">
        <v>-188.36250000000001</v>
      </c>
      <c r="K3807">
        <v>1.109064</v>
      </c>
      <c r="L3807">
        <v>189.2706</v>
      </c>
      <c r="M3807">
        <v>-9.3049450000000006E-2</v>
      </c>
      <c r="N3807">
        <v>0</v>
      </c>
      <c r="O3807">
        <v>-0.99556909999999998</v>
      </c>
      <c r="P3807">
        <v>-0.2168011</v>
      </c>
      <c r="Q3807">
        <v>-5.9561299999999998E-2</v>
      </c>
      <c r="R3807">
        <v>-0.97439690000000001</v>
      </c>
      <c r="S3807">
        <v>-0.90356449999999999</v>
      </c>
      <c r="T3807">
        <v>7.6505779999999995E-2</v>
      </c>
      <c r="U3807">
        <v>-2.8827060000000002</v>
      </c>
      <c r="V3807">
        <v>0.12507660000000001</v>
      </c>
      <c r="W3807">
        <v>-4.6422669999999999E-2</v>
      </c>
      <c r="X3807">
        <v>0.99106039999999995</v>
      </c>
      <c r="Y3807">
        <v>0.2089018</v>
      </c>
      <c r="Z3807">
        <v>-2.545561E-2</v>
      </c>
      <c r="AA3807">
        <v>0.97760530000000001</v>
      </c>
      <c r="AB3807">
        <v>20</v>
      </c>
      <c r="AC3807">
        <v>-23.372399999999999</v>
      </c>
      <c r="AD3807">
        <v>1.9799819999999999</v>
      </c>
      <c r="AE3807">
        <v>-74.485900000000001</v>
      </c>
      <c r="AF3807">
        <v>16.328966375972801</v>
      </c>
      <c r="AG3807">
        <v>1.9799819999999999</v>
      </c>
      <c r="AH3807">
        <v>76.288597700928193</v>
      </c>
      <c r="AI3807">
        <v>88.546202884843495</v>
      </c>
      <c r="AJ3807">
        <v>77.918592659127199</v>
      </c>
      <c r="AK3807">
        <v>78.041691491164102</v>
      </c>
      <c r="AL3807">
        <v>92.660779425079298</v>
      </c>
      <c r="AM3807">
        <v>82.807024641523498</v>
      </c>
      <c r="AN3807">
        <v>0.99999996830282301</v>
      </c>
    </row>
    <row r="3808" spans="1:40" x14ac:dyDescent="0.25">
      <c r="A3808" t="str">
        <f>"20190312161348119"</f>
        <v>20190312161348119</v>
      </c>
      <c r="B3808" t="str">
        <f>"1552378428109677"</f>
        <v>1552378428109677</v>
      </c>
      <c r="C3808" t="s">
        <v>40</v>
      </c>
      <c r="D3808">
        <v>5.4836359999999997</v>
      </c>
      <c r="E3808">
        <v>0.53490119999999997</v>
      </c>
      <c r="F3808" t="s">
        <v>88</v>
      </c>
      <c r="G3808">
        <v>-211.84620000000001</v>
      </c>
      <c r="H3808">
        <v>3.0774189999999999</v>
      </c>
      <c r="I3808">
        <v>114.71729999999999</v>
      </c>
      <c r="J3808">
        <v>-188.3817</v>
      </c>
      <c r="K3808">
        <v>1.109148</v>
      </c>
      <c r="L3808">
        <v>189.09</v>
      </c>
      <c r="M3808">
        <v>-9.4910400000000006E-2</v>
      </c>
      <c r="N3808">
        <v>0</v>
      </c>
      <c r="O3808">
        <v>-0.99539390000000005</v>
      </c>
      <c r="P3808">
        <v>-0.21793399999999999</v>
      </c>
      <c r="Q3808">
        <v>-5.963471E-2</v>
      </c>
      <c r="R3808">
        <v>-0.97414020000000001</v>
      </c>
      <c r="S3808">
        <v>-0.90766910000000001</v>
      </c>
      <c r="T3808">
        <v>7.6079960000000002E-2</v>
      </c>
      <c r="U3808">
        <v>-2.881561</v>
      </c>
      <c r="V3808">
        <v>0.1243866</v>
      </c>
      <c r="W3808">
        <v>-4.6478720000000001E-2</v>
      </c>
      <c r="X3808">
        <v>0.99114469999999999</v>
      </c>
      <c r="Y3808">
        <v>0.208453</v>
      </c>
      <c r="Z3808">
        <v>-2.5312830000000001E-2</v>
      </c>
      <c r="AA3808">
        <v>0.97770480000000004</v>
      </c>
      <c r="AB3808">
        <v>20</v>
      </c>
      <c r="AC3808">
        <v>-23.464500000000001</v>
      </c>
      <c r="AD3808">
        <v>1.9682710000000001</v>
      </c>
      <c r="AE3808">
        <v>-74.372699999999995</v>
      </c>
      <c r="AF3808">
        <v>16.288793121080001</v>
      </c>
      <c r="AG3808">
        <v>1.9682710000000001</v>
      </c>
      <c r="AH3808">
        <v>76.215586986620906</v>
      </c>
      <c r="AI3808">
        <v>88.5533189104016</v>
      </c>
      <c r="AJ3808">
        <v>77.936238072715497</v>
      </c>
      <c r="AK3808">
        <v>77.961622429154005</v>
      </c>
      <c r="AL3808">
        <v>92.663994087363804</v>
      </c>
      <c r="AM3808">
        <v>82.846895464908798</v>
      </c>
      <c r="AN3808">
        <v>1.0000000570052401</v>
      </c>
    </row>
    <row r="3809" spans="1:40" x14ac:dyDescent="0.25">
      <c r="A3809" t="str">
        <f>"20190312161348141"</f>
        <v>20190312161348141</v>
      </c>
      <c r="B3809" t="str">
        <f>"1552378428130173"</f>
        <v>1552378428130173</v>
      </c>
      <c r="C3809" t="s">
        <v>40</v>
      </c>
      <c r="D3809">
        <v>5.3991410000000002</v>
      </c>
      <c r="E3809">
        <v>0.53671459999999904</v>
      </c>
      <c r="F3809" t="s">
        <v>42</v>
      </c>
      <c r="G3809">
        <v>-197.91630000000001</v>
      </c>
      <c r="H3809" s="1">
        <v>-2.1461180000000002E-6</v>
      </c>
      <c r="I3809">
        <v>159.67580000000001</v>
      </c>
      <c r="J3809">
        <v>-188.40219999999999</v>
      </c>
      <c r="K3809">
        <v>1.1092219999999999</v>
      </c>
      <c r="L3809">
        <v>188.89930000000001</v>
      </c>
      <c r="M3809">
        <v>-9.6734169999999994E-2</v>
      </c>
      <c r="N3809">
        <v>0</v>
      </c>
      <c r="O3809">
        <v>-0.99521839999999995</v>
      </c>
      <c r="P3809">
        <v>-0.21946889999999999</v>
      </c>
      <c r="Q3809">
        <v>-5.9930410000000003E-2</v>
      </c>
      <c r="R3809">
        <v>-0.973777</v>
      </c>
      <c r="S3809">
        <v>-0.92877200000000004</v>
      </c>
      <c r="T3809">
        <v>-0.1080434</v>
      </c>
      <c r="U3809">
        <v>-2.865265</v>
      </c>
      <c r="V3809">
        <v>0.12414260000000001</v>
      </c>
      <c r="W3809">
        <v>-4.6760839999999998E-2</v>
      </c>
      <c r="X3809">
        <v>0.99116190000000004</v>
      </c>
      <c r="Y3809">
        <v>0.2146776</v>
      </c>
      <c r="Z3809">
        <v>3.6056249999999998E-2</v>
      </c>
      <c r="AA3809">
        <v>0.97601919999999998</v>
      </c>
      <c r="AB3809">
        <v>20</v>
      </c>
      <c r="AC3809">
        <v>-9.5141000000000098</v>
      </c>
      <c r="AD3809">
        <v>-1.1092241461179999</v>
      </c>
      <c r="AE3809">
        <v>-29.223500000000001</v>
      </c>
      <c r="AF3809">
        <v>6.6336623847120899</v>
      </c>
      <c r="AG3809">
        <v>-1.1092241461179999</v>
      </c>
      <c r="AH3809">
        <v>29.967809694282199</v>
      </c>
      <c r="AI3809">
        <v>92.069713468390304</v>
      </c>
      <c r="AJ3809">
        <v>77.518299601353604</v>
      </c>
      <c r="AK3809">
        <v>30.713278442937099</v>
      </c>
      <c r="AL3809">
        <v>92.680176289058593</v>
      </c>
      <c r="AM3809">
        <v>82.860904866532806</v>
      </c>
      <c r="AN3809">
        <v>0.99999993665193498</v>
      </c>
    </row>
    <row r="3810" spans="1:40" x14ac:dyDescent="0.25">
      <c r="A3810" t="str">
        <f>"20190312161348164"</f>
        <v>20190312161348164</v>
      </c>
      <c r="B3810" t="str">
        <f>"1552378428159453"</f>
        <v>1552378428159453</v>
      </c>
      <c r="C3810" t="s">
        <v>40</v>
      </c>
      <c r="D3810">
        <v>5.4810040000000004</v>
      </c>
      <c r="E3810">
        <v>0.53423240000000005</v>
      </c>
      <c r="F3810" t="s">
        <v>84</v>
      </c>
      <c r="G3810">
        <v>-199.16839999999999</v>
      </c>
      <c r="H3810" s="1">
        <v>-1.4168879999999999E-5</v>
      </c>
      <c r="I3810">
        <v>156.40260000000001</v>
      </c>
      <c r="J3810">
        <v>-188.423</v>
      </c>
      <c r="K3810">
        <v>1.109286</v>
      </c>
      <c r="L3810">
        <v>188.70699999999999</v>
      </c>
      <c r="M3810">
        <v>-9.8440230000000004E-2</v>
      </c>
      <c r="N3810">
        <v>0</v>
      </c>
      <c r="O3810">
        <v>-0.99505109999999997</v>
      </c>
      <c r="P3810">
        <v>-0.22081609999999999</v>
      </c>
      <c r="Q3810">
        <v>-6.0161480000000003E-2</v>
      </c>
      <c r="R3810">
        <v>-0.9734583</v>
      </c>
      <c r="S3810">
        <v>-0.94789120000000004</v>
      </c>
      <c r="T3810">
        <v>-9.7661139999999994E-2</v>
      </c>
      <c r="U3810">
        <v>-2.8611300000000002</v>
      </c>
      <c r="V3810">
        <v>0.1238234</v>
      </c>
      <c r="W3810">
        <v>-4.6981450000000001E-2</v>
      </c>
      <c r="X3810">
        <v>0.99119139999999994</v>
      </c>
      <c r="Y3810">
        <v>0.21934090000000001</v>
      </c>
      <c r="Z3810">
        <v>3.2581690000000003E-2</v>
      </c>
      <c r="AA3810">
        <v>0.97510410000000003</v>
      </c>
      <c r="AB3810">
        <v>19</v>
      </c>
      <c r="AC3810">
        <v>-10.745399999999901</v>
      </c>
      <c r="AD3810">
        <v>-1.1093001688799999</v>
      </c>
      <c r="AE3810">
        <v>-32.304399999999902</v>
      </c>
      <c r="AF3810">
        <v>7.5048884248434096</v>
      </c>
      <c r="AG3810">
        <v>-1.1093001688799999</v>
      </c>
      <c r="AH3810">
        <v>33.170127379670099</v>
      </c>
      <c r="AI3810">
        <v>91.868227622514894</v>
      </c>
      <c r="AJ3810">
        <v>77.251224373936907</v>
      </c>
      <c r="AK3810">
        <v>34.026625567598799</v>
      </c>
      <c r="AL3810">
        <v>92.692830206839503</v>
      </c>
      <c r="AM3810">
        <v>82.879282246110606</v>
      </c>
      <c r="AN3810">
        <v>0.999999941232809</v>
      </c>
    </row>
    <row r="3811" spans="1:40" x14ac:dyDescent="0.25">
      <c r="A3811" t="str">
        <f>"20190312161348185"</f>
        <v>20190312161348185</v>
      </c>
      <c r="B3811" t="str">
        <f>"1552378428179949"</f>
        <v>1552378428179949</v>
      </c>
      <c r="C3811" t="s">
        <v>40</v>
      </c>
      <c r="D3811">
        <v>5.4943819999999999</v>
      </c>
      <c r="E3811">
        <v>0.53442659999999997</v>
      </c>
      <c r="F3811" t="s">
        <v>42</v>
      </c>
      <c r="G3811">
        <v>-197.38159999999999</v>
      </c>
      <c r="H3811" s="1">
        <v>-2.7139310000000002E-6</v>
      </c>
      <c r="I3811">
        <v>161.178</v>
      </c>
      <c r="J3811">
        <v>-188.44370000000001</v>
      </c>
      <c r="K3811">
        <v>1.109335</v>
      </c>
      <c r="L3811">
        <v>188.5171</v>
      </c>
      <c r="M3811">
        <v>-9.9999480000000002E-2</v>
      </c>
      <c r="N3811">
        <v>0</v>
      </c>
      <c r="O3811">
        <v>-0.9948958</v>
      </c>
      <c r="P3811">
        <v>-0.222693</v>
      </c>
      <c r="Q3811">
        <v>-6.0592510000000002E-2</v>
      </c>
      <c r="R3811">
        <v>-0.97300430000000004</v>
      </c>
      <c r="S3811">
        <v>-0.93179319999999999</v>
      </c>
      <c r="T3811">
        <v>-0.11537849999999999</v>
      </c>
      <c r="U3811">
        <v>-2.863327</v>
      </c>
      <c r="V3811">
        <v>0.1241892</v>
      </c>
      <c r="W3811">
        <v>-4.7407030000000003E-2</v>
      </c>
      <c r="X3811">
        <v>0.99112540000000005</v>
      </c>
      <c r="Y3811">
        <v>0.21256910000000001</v>
      </c>
      <c r="Z3811">
        <v>3.8509330000000001E-2</v>
      </c>
      <c r="AA3811">
        <v>0.97638689999999995</v>
      </c>
      <c r="AB3811">
        <v>19</v>
      </c>
      <c r="AC3811">
        <v>-8.9378999999999795</v>
      </c>
      <c r="AD3811">
        <v>-1.1093377139309999</v>
      </c>
      <c r="AE3811">
        <v>-27.339099999999998</v>
      </c>
      <c r="AF3811">
        <v>6.1497974208508301</v>
      </c>
      <c r="AG3811">
        <v>-1.1093377139309999</v>
      </c>
      <c r="AH3811">
        <v>28.0541736182652</v>
      </c>
      <c r="AI3811">
        <v>92.2119806642594</v>
      </c>
      <c r="AJ3811">
        <v>77.635680777377004</v>
      </c>
      <c r="AK3811">
        <v>28.741734392426999</v>
      </c>
      <c r="AL3811">
        <v>92.717241265371896</v>
      </c>
      <c r="AM3811">
        <v>82.857992404667499</v>
      </c>
      <c r="AN3811">
        <v>0.99999997120760997</v>
      </c>
    </row>
    <row r="3812" spans="1:40" x14ac:dyDescent="0.25">
      <c r="A3812" t="str">
        <f>"20190312161348209"</f>
        <v>20190312161348209</v>
      </c>
      <c r="B3812" t="str">
        <f>"1552378428200445"</f>
        <v>1552378428200445</v>
      </c>
      <c r="C3812" t="s">
        <v>40</v>
      </c>
      <c r="D3812">
        <v>5.2907729999999997</v>
      </c>
      <c r="E3812">
        <v>0.53425059999999902</v>
      </c>
      <c r="F3812" t="s">
        <v>42</v>
      </c>
      <c r="G3812">
        <v>-196.72880000000001</v>
      </c>
      <c r="H3812" s="1">
        <v>-3.4860670000000001E-6</v>
      </c>
      <c r="I3812">
        <v>163.2559</v>
      </c>
      <c r="J3812">
        <v>-188.4657</v>
      </c>
      <c r="K3812">
        <v>1.109386</v>
      </c>
      <c r="L3812">
        <v>188.31729999999999</v>
      </c>
      <c r="M3812">
        <v>-0.1015147</v>
      </c>
      <c r="N3812">
        <v>0</v>
      </c>
      <c r="O3812">
        <v>-0.99474240000000003</v>
      </c>
      <c r="P3812">
        <v>-0.2237884</v>
      </c>
      <c r="Q3812">
        <v>-6.089406E-2</v>
      </c>
      <c r="R3812">
        <v>-0.97273370000000003</v>
      </c>
      <c r="S3812">
        <v>-0.93823239999999997</v>
      </c>
      <c r="T3812">
        <v>-0.1256264</v>
      </c>
      <c r="U3812">
        <v>-2.860687</v>
      </c>
      <c r="V3812">
        <v>0.123803</v>
      </c>
      <c r="W3812">
        <v>-4.7700920000000001E-2</v>
      </c>
      <c r="X3812">
        <v>0.99115960000000003</v>
      </c>
      <c r="Y3812">
        <v>0.21328849999999999</v>
      </c>
      <c r="Z3812">
        <v>4.1933159999999997E-2</v>
      </c>
      <c r="AA3812">
        <v>0.97608890000000004</v>
      </c>
      <c r="AB3812">
        <v>19</v>
      </c>
      <c r="AC3812">
        <v>-8.2630999999999997</v>
      </c>
      <c r="AD3812">
        <v>-1.1093894860669999</v>
      </c>
      <c r="AE3812">
        <v>-25.0613999999999</v>
      </c>
      <c r="AF3812">
        <v>5.6660586014601897</v>
      </c>
      <c r="AG3812">
        <v>-1.1093894860669999</v>
      </c>
      <c r="AH3812">
        <v>25.725345319431401</v>
      </c>
      <c r="AI3812">
        <v>92.411584111131901</v>
      </c>
      <c r="AJ3812">
        <v>77.578810559169</v>
      </c>
      <c r="AK3812">
        <v>26.365286968113399</v>
      </c>
      <c r="AL3812">
        <v>92.734099034118799</v>
      </c>
      <c r="AM3812">
        <v>82.880217273058904</v>
      </c>
      <c r="AN3812">
        <v>0.99999995662500196</v>
      </c>
    </row>
    <row r="3813" spans="1:40" x14ac:dyDescent="0.25">
      <c r="A3813" t="str">
        <f>"20190312161348229"</f>
        <v>20190312161348229</v>
      </c>
      <c r="B3813" t="str">
        <f>"1552378428219964"</f>
        <v>1552378428219964</v>
      </c>
      <c r="C3813" t="s">
        <v>40</v>
      </c>
      <c r="D3813">
        <v>5.2931749999999997</v>
      </c>
      <c r="E3813">
        <v>0.53463509999999903</v>
      </c>
      <c r="F3813" t="s">
        <v>84</v>
      </c>
      <c r="G3813">
        <v>-199.64619999999999</v>
      </c>
      <c r="H3813" s="1">
        <v>-1.362295E-5</v>
      </c>
      <c r="I3813">
        <v>154.34270000000001</v>
      </c>
      <c r="J3813">
        <v>-188.4863</v>
      </c>
      <c r="K3813">
        <v>1.1094299999999999</v>
      </c>
      <c r="L3813">
        <v>188.13220000000001</v>
      </c>
      <c r="M3813">
        <v>-0.1028063</v>
      </c>
      <c r="N3813">
        <v>0</v>
      </c>
      <c r="O3813">
        <v>-0.99460970000000004</v>
      </c>
      <c r="P3813">
        <v>-0.2243637</v>
      </c>
      <c r="Q3813">
        <v>-6.0890819999999998E-2</v>
      </c>
      <c r="R3813">
        <v>-0.9726011</v>
      </c>
      <c r="S3813">
        <v>-0.94171139999999998</v>
      </c>
      <c r="T3813">
        <v>-9.3442559999999994E-2</v>
      </c>
      <c r="U3813">
        <v>-2.861618</v>
      </c>
      <c r="V3813">
        <v>0.1231081</v>
      </c>
      <c r="W3813">
        <v>-4.7688759999999997E-2</v>
      </c>
      <c r="X3813">
        <v>0.99124679999999998</v>
      </c>
      <c r="Y3813">
        <v>0.21312020000000001</v>
      </c>
      <c r="Z3813">
        <v>3.1181960000000002E-2</v>
      </c>
      <c r="AA3813">
        <v>0.97652830000000002</v>
      </c>
      <c r="AB3813">
        <v>19</v>
      </c>
      <c r="AC3813">
        <v>-11.159899999999899</v>
      </c>
      <c r="AD3813">
        <v>-1.10944362295</v>
      </c>
      <c r="AE3813">
        <v>-33.789499999999997</v>
      </c>
      <c r="AF3813">
        <v>7.6192607315089704</v>
      </c>
      <c r="AG3813">
        <v>-1.10944362295</v>
      </c>
      <c r="AH3813">
        <v>34.724089600077299</v>
      </c>
      <c r="AI3813">
        <v>91.7874960683842</v>
      </c>
      <c r="AJ3813">
        <v>77.624123741274303</v>
      </c>
      <c r="AK3813">
        <v>35.567490743675101</v>
      </c>
      <c r="AL3813">
        <v>92.733401349392906</v>
      </c>
      <c r="AM3813">
        <v>82.9203900638975</v>
      </c>
      <c r="AN3813">
        <v>1.0000000203130901</v>
      </c>
    </row>
    <row r="3814" spans="1:40" x14ac:dyDescent="0.25">
      <c r="A3814" t="str">
        <f>"20190312161348243"</f>
        <v>20190312161348243</v>
      </c>
      <c r="B3814" t="str">
        <f>"1552378428229725"</f>
        <v>1552378428229725</v>
      </c>
      <c r="C3814" t="s">
        <v>40</v>
      </c>
      <c r="D3814">
        <v>5.3238659999999998</v>
      </c>
      <c r="E3814">
        <v>0.53455949999999997</v>
      </c>
      <c r="F3814" t="s">
        <v>84</v>
      </c>
      <c r="G3814">
        <v>-202.88390000000001</v>
      </c>
      <c r="H3814" s="1">
        <v>-9.7121279999999997E-6</v>
      </c>
      <c r="I3814">
        <v>144.6438</v>
      </c>
      <c r="J3814">
        <v>-188.49879999999999</v>
      </c>
      <c r="K3814">
        <v>1.1094569999999999</v>
      </c>
      <c r="L3814">
        <v>188.02029999999999</v>
      </c>
      <c r="M3814">
        <v>-0.1035498</v>
      </c>
      <c r="N3814">
        <v>0</v>
      </c>
      <c r="O3814">
        <v>-0.99453270000000005</v>
      </c>
      <c r="P3814">
        <v>-0.2246079</v>
      </c>
      <c r="Q3814">
        <v>-6.1106059999999997E-2</v>
      </c>
      <c r="R3814">
        <v>-0.97253140000000005</v>
      </c>
      <c r="S3814">
        <v>-0.94732669999999997</v>
      </c>
      <c r="T3814">
        <v>-7.2998519999999997E-2</v>
      </c>
      <c r="U3814">
        <v>-2.8614350000000002</v>
      </c>
      <c r="V3814">
        <v>0.1226202</v>
      </c>
      <c r="W3814">
        <v>-4.7899410000000003E-2</v>
      </c>
      <c r="X3814">
        <v>0.99129710000000004</v>
      </c>
      <c r="Y3814">
        <v>0.214196</v>
      </c>
      <c r="Z3814">
        <v>2.435292E-2</v>
      </c>
      <c r="AA3814">
        <v>0.97648710000000005</v>
      </c>
      <c r="AB3814">
        <v>19</v>
      </c>
      <c r="AC3814">
        <v>-14.3851</v>
      </c>
      <c r="AD3814">
        <v>-1.109466712128</v>
      </c>
      <c r="AE3814">
        <v>-43.376499999999901</v>
      </c>
      <c r="AF3814">
        <v>9.8099365422185993</v>
      </c>
      <c r="AG3814">
        <v>-1.109466712128</v>
      </c>
      <c r="AH3814">
        <v>44.6066961486043</v>
      </c>
      <c r="AI3814">
        <v>91.391538309671503</v>
      </c>
      <c r="AJ3814">
        <v>77.596914485836805</v>
      </c>
      <c r="AK3814">
        <v>45.686136985321802</v>
      </c>
      <c r="AL3814">
        <v>92.745484559299697</v>
      </c>
      <c r="AM3814">
        <v>82.948519032274902</v>
      </c>
      <c r="AN3814">
        <v>1.0000000036973899</v>
      </c>
    </row>
    <row r="3815" spans="1:40" x14ac:dyDescent="0.25">
      <c r="A3815" t="str">
        <f>"20190312161348262"</f>
        <v>20190312161348262</v>
      </c>
      <c r="B3815" t="str">
        <f>"1552378428250221"</f>
        <v>1552378428250221</v>
      </c>
      <c r="C3815" t="s">
        <v>40</v>
      </c>
      <c r="D3815">
        <v>5.4192519999999904</v>
      </c>
      <c r="E3815">
        <v>0.53475890000000004</v>
      </c>
      <c r="F3815" t="s">
        <v>84</v>
      </c>
      <c r="G3815">
        <v>-202.94110000000001</v>
      </c>
      <c r="H3815" s="1">
        <v>-9.6265729999999998E-6</v>
      </c>
      <c r="I3815">
        <v>144.4014</v>
      </c>
      <c r="J3815">
        <v>-188.51769999999999</v>
      </c>
      <c r="K3815">
        <v>1.109486</v>
      </c>
      <c r="L3815">
        <v>187.8511</v>
      </c>
      <c r="M3815">
        <v>-0.10463219999999999</v>
      </c>
      <c r="N3815">
        <v>0</v>
      </c>
      <c r="O3815">
        <v>-0.99441959999999996</v>
      </c>
      <c r="P3815">
        <v>-0.22467300000000001</v>
      </c>
      <c r="Q3815">
        <v>-6.1570710000000001E-2</v>
      </c>
      <c r="R3815">
        <v>-0.97248730000000005</v>
      </c>
      <c r="S3815">
        <v>-0.947403</v>
      </c>
      <c r="T3815">
        <v>-7.2779659999999996E-2</v>
      </c>
      <c r="U3815">
        <v>-2.8613430000000002</v>
      </c>
      <c r="V3815">
        <v>0.1216148</v>
      </c>
      <c r="W3815">
        <v>-4.8357329999999997E-2</v>
      </c>
      <c r="X3815">
        <v>0.99139869999999997</v>
      </c>
      <c r="Y3815">
        <v>0.2131661</v>
      </c>
      <c r="Z3815">
        <v>2.4279200000000001E-2</v>
      </c>
      <c r="AA3815">
        <v>0.97671430000000004</v>
      </c>
      <c r="AB3815">
        <v>19</v>
      </c>
      <c r="AC3815">
        <v>-14.423400000000001</v>
      </c>
      <c r="AD3815">
        <v>-1.109495626573</v>
      </c>
      <c r="AE3815">
        <v>-43.4497</v>
      </c>
      <c r="AF3815">
        <v>9.7918134352060893</v>
      </c>
      <c r="AG3815">
        <v>-1.109495626573</v>
      </c>
      <c r="AH3815">
        <v>44.694199774338301</v>
      </c>
      <c r="AI3815">
        <v>91.389094251424098</v>
      </c>
      <c r="AJ3815">
        <v>77.642615183962306</v>
      </c>
      <c r="AK3815">
        <v>45.767696952804201</v>
      </c>
      <c r="AL3815">
        <v>92.771751929731906</v>
      </c>
      <c r="AM3815">
        <v>83.006470929658605</v>
      </c>
      <c r="AN3815">
        <v>0.99999998665272904</v>
      </c>
    </row>
    <row r="3816" spans="1:40" x14ac:dyDescent="0.25">
      <c r="A3816" t="str">
        <f>"20190312161348276"</f>
        <v>20190312161348276</v>
      </c>
      <c r="B3816" t="str">
        <f>"1552378428269741"</f>
        <v>1552378428269741</v>
      </c>
      <c r="C3816" t="s">
        <v>40</v>
      </c>
      <c r="D3816">
        <v>5.2966879999999996</v>
      </c>
      <c r="E3816">
        <v>0.53408469999999997</v>
      </c>
      <c r="F3816" t="s">
        <v>84</v>
      </c>
      <c r="G3816">
        <v>-205.38149999999999</v>
      </c>
      <c r="H3816" s="1">
        <v>-6.5923749999999997E-6</v>
      </c>
      <c r="I3816">
        <v>137.04040000000001</v>
      </c>
      <c r="J3816">
        <v>-188.5301</v>
      </c>
      <c r="K3816">
        <v>1.1095060000000001</v>
      </c>
      <c r="L3816">
        <v>187.74170000000001</v>
      </c>
      <c r="M3816">
        <v>-0.1052966</v>
      </c>
      <c r="N3816">
        <v>0</v>
      </c>
      <c r="O3816">
        <v>-0.99434959999999994</v>
      </c>
      <c r="P3816">
        <v>-0.22502449999999999</v>
      </c>
      <c r="Q3816">
        <v>-6.1806100000000003E-2</v>
      </c>
      <c r="R3816">
        <v>-0.97239120000000001</v>
      </c>
      <c r="S3816">
        <v>-0.94972230000000002</v>
      </c>
      <c r="T3816">
        <v>-6.2483789999999997E-2</v>
      </c>
      <c r="U3816">
        <v>-2.861526</v>
      </c>
      <c r="V3816">
        <v>0.12131459999999999</v>
      </c>
      <c r="W3816">
        <v>-4.8589229999999997E-2</v>
      </c>
      <c r="X3816">
        <v>0.99142410000000003</v>
      </c>
      <c r="Y3816">
        <v>0.21323249999999999</v>
      </c>
      <c r="Z3816">
        <v>2.0839949999999999E-2</v>
      </c>
      <c r="AA3816">
        <v>0.97677919999999996</v>
      </c>
      <c r="AB3816">
        <v>19</v>
      </c>
      <c r="AC3816">
        <v>-16.851399999999899</v>
      </c>
      <c r="AD3816">
        <v>-1.10951259237499</v>
      </c>
      <c r="AE3816">
        <v>-50.701300000000003</v>
      </c>
      <c r="AF3816">
        <v>11.4136225909352</v>
      </c>
      <c r="AG3816">
        <v>-1.10951259237499</v>
      </c>
      <c r="AH3816">
        <v>52.171450797341301</v>
      </c>
      <c r="AI3816">
        <v>91.190166325628098</v>
      </c>
      <c r="AJ3816">
        <v>77.659741269570802</v>
      </c>
      <c r="AK3816">
        <v>53.416870716472602</v>
      </c>
      <c r="AL3816">
        <v>92.785054572600203</v>
      </c>
      <c r="AM3816">
        <v>83.023740746062202</v>
      </c>
      <c r="AN3816">
        <v>0.99999994575298001</v>
      </c>
    </row>
    <row r="3817" spans="1:40" x14ac:dyDescent="0.25">
      <c r="A3817" t="str">
        <f>"20190312161348289"</f>
        <v>20190312161348289</v>
      </c>
      <c r="B3817" t="str">
        <f>"1552378428279501"</f>
        <v>1552378428279501</v>
      </c>
      <c r="C3817" t="s">
        <v>40</v>
      </c>
      <c r="D3817">
        <v>5.4049680000000002</v>
      </c>
      <c r="E3817">
        <v>0.53379739999999998</v>
      </c>
      <c r="F3817" t="s">
        <v>84</v>
      </c>
      <c r="G3817">
        <v>-208.08799999999999</v>
      </c>
      <c r="H3817">
        <v>7.9987320000000001E-2</v>
      </c>
      <c r="I3817">
        <v>128.57470000000001</v>
      </c>
      <c r="J3817">
        <v>-188.5438</v>
      </c>
      <c r="K3817">
        <v>1.109532</v>
      </c>
      <c r="L3817">
        <v>187.6199</v>
      </c>
      <c r="M3817">
        <v>-0.1060077</v>
      </c>
      <c r="N3817">
        <v>0</v>
      </c>
      <c r="O3817">
        <v>-0.99427399999999999</v>
      </c>
      <c r="P3817">
        <v>-0.22524649999999999</v>
      </c>
      <c r="Q3817">
        <v>-6.1824289999999997E-2</v>
      </c>
      <c r="R3817">
        <v>-0.97233890000000001</v>
      </c>
      <c r="S3817">
        <v>-0.94638060000000002</v>
      </c>
      <c r="T3817">
        <v>-4.9816970000000002E-2</v>
      </c>
      <c r="U3817">
        <v>-2.8630070000000001</v>
      </c>
      <c r="V3817">
        <v>0.12083530000000001</v>
      </c>
      <c r="W3817">
        <v>-4.8602560000000003E-2</v>
      </c>
      <c r="X3817">
        <v>0.99148199999999997</v>
      </c>
      <c r="Y3817">
        <v>0.21137990000000001</v>
      </c>
      <c r="Z3817">
        <v>1.6612910000000002E-2</v>
      </c>
      <c r="AA3817">
        <v>0.97726279999999999</v>
      </c>
      <c r="AB3817">
        <v>19</v>
      </c>
      <c r="AC3817">
        <v>-19.544199999999901</v>
      </c>
      <c r="AD3817">
        <v>-1.0295446800000001</v>
      </c>
      <c r="AE3817">
        <v>-59.045200000000001</v>
      </c>
      <c r="AF3817">
        <v>13.1706313034544</v>
      </c>
      <c r="AG3817">
        <v>-1.0295446800000001</v>
      </c>
      <c r="AH3817">
        <v>60.767810675224297</v>
      </c>
      <c r="AI3817">
        <v>90.948607204551607</v>
      </c>
      <c r="AJ3817">
        <v>77.771029783330206</v>
      </c>
      <c r="AK3817">
        <v>62.187235872319903</v>
      </c>
      <c r="AL3817">
        <v>92.785819168331699</v>
      </c>
      <c r="AM3817">
        <v>83.051434960177602</v>
      </c>
      <c r="AN3817">
        <v>0.99999996744432096</v>
      </c>
    </row>
    <row r="3818" spans="1:40" x14ac:dyDescent="0.25">
      <c r="A3818" t="str">
        <f>"20190312161348307"</f>
        <v>20190312161348307</v>
      </c>
      <c r="B3818" t="str">
        <f>"1552378428299996"</f>
        <v>1552378428299996</v>
      </c>
      <c r="C3818" t="s">
        <v>40</v>
      </c>
      <c r="D3818">
        <v>5.2889699999999999</v>
      </c>
      <c r="E3818">
        <v>0.53327860000000005</v>
      </c>
      <c r="F3818" t="s">
        <v>41</v>
      </c>
      <c r="G3818">
        <v>-213.22149999999999</v>
      </c>
      <c r="H3818">
        <v>-0.05</v>
      </c>
      <c r="I3818">
        <v>112.8355</v>
      </c>
      <c r="J3818">
        <v>-188.5617</v>
      </c>
      <c r="K3818">
        <v>1.109569</v>
      </c>
      <c r="L3818">
        <v>187.46170000000001</v>
      </c>
      <c r="M3818">
        <v>-0.106865</v>
      </c>
      <c r="N3818">
        <v>0</v>
      </c>
      <c r="O3818">
        <v>-0.99418220000000002</v>
      </c>
      <c r="P3818">
        <v>-0.22548860000000001</v>
      </c>
      <c r="Q3818">
        <v>-6.1507149999999997E-2</v>
      </c>
      <c r="R3818">
        <v>-0.97230229999999995</v>
      </c>
      <c r="S3818">
        <v>-0.94494630000000002</v>
      </c>
      <c r="T3818">
        <v>-4.4400330000000002E-2</v>
      </c>
      <c r="U3818">
        <v>-2.8636170000000001</v>
      </c>
      <c r="V3818">
        <v>0.1202302</v>
      </c>
      <c r="W3818">
        <v>-4.8277670000000002E-2</v>
      </c>
      <c r="X3818">
        <v>0.99157150000000005</v>
      </c>
      <c r="Y3818">
        <v>0.21004239999999999</v>
      </c>
      <c r="Z3818">
        <v>1.4805260000000001E-2</v>
      </c>
      <c r="AA3818">
        <v>0.97758020000000001</v>
      </c>
      <c r="AB3818">
        <v>19</v>
      </c>
      <c r="AC3818">
        <v>-24.659799999999901</v>
      </c>
      <c r="AD3818">
        <v>-1.1595690000000001</v>
      </c>
      <c r="AE3818">
        <v>-74.626199999999997</v>
      </c>
      <c r="AF3818">
        <v>16.539307573549902</v>
      </c>
      <c r="AG3818">
        <v>-1.1595690000000001</v>
      </c>
      <c r="AH3818">
        <v>76.817565990651502</v>
      </c>
      <c r="AI3818">
        <v>90.845448701662903</v>
      </c>
      <c r="AJ3818">
        <v>77.849345393699394</v>
      </c>
      <c r="AK3818">
        <v>78.586460284239493</v>
      </c>
      <c r="AL3818">
        <v>92.767182271338299</v>
      </c>
      <c r="AM3818">
        <v>83.086511267703401</v>
      </c>
      <c r="AN3818">
        <v>1.00000003701245</v>
      </c>
    </row>
    <row r="3819" spans="1:40" x14ac:dyDescent="0.25">
      <c r="A3819" t="str">
        <f>"20190312161348320"</f>
        <v>20190312161348320</v>
      </c>
      <c r="B3819" t="str">
        <f>"1552378428309758"</f>
        <v>1552378428309758</v>
      </c>
      <c r="C3819" t="s">
        <v>40</v>
      </c>
      <c r="D3819">
        <v>5.2731050000000002</v>
      </c>
      <c r="E3819">
        <v>0.53309399999999996</v>
      </c>
      <c r="F3819" t="s">
        <v>89</v>
      </c>
      <c r="G3819">
        <v>-210.7706</v>
      </c>
      <c r="H3819">
        <v>0.31209429999999999</v>
      </c>
      <c r="I3819">
        <v>119.91719999999999</v>
      </c>
      <c r="J3819">
        <v>-188.57390000000001</v>
      </c>
      <c r="K3819">
        <v>1.109594</v>
      </c>
      <c r="L3819">
        <v>187.35470000000001</v>
      </c>
      <c r="M3819">
        <v>-0.1074</v>
      </c>
      <c r="N3819">
        <v>0</v>
      </c>
      <c r="O3819">
        <v>-0.99412469999999997</v>
      </c>
      <c r="P3819">
        <v>-0.22616310000000001</v>
      </c>
      <c r="Q3819">
        <v>-6.1508199999999999E-2</v>
      </c>
      <c r="R3819">
        <v>-0.9721457</v>
      </c>
      <c r="S3819">
        <v>-0.94198610000000005</v>
      </c>
      <c r="T3819">
        <v>-3.3823489999999998E-2</v>
      </c>
      <c r="U3819">
        <v>-2.8648829999999998</v>
      </c>
      <c r="V3819">
        <v>0.1203873</v>
      </c>
      <c r="W3819">
        <v>-4.8274600000000001E-2</v>
      </c>
      <c r="X3819">
        <v>0.99155249999999995</v>
      </c>
      <c r="Y3819">
        <v>0.20849039999999999</v>
      </c>
      <c r="Z3819">
        <v>1.1276909999999999E-2</v>
      </c>
      <c r="AA3819">
        <v>0.97795940000000003</v>
      </c>
      <c r="AB3819">
        <v>19</v>
      </c>
      <c r="AC3819">
        <v>-22.1967</v>
      </c>
      <c r="AD3819">
        <v>-0.79749969999999903</v>
      </c>
      <c r="AE3819">
        <v>-67.4375</v>
      </c>
      <c r="AF3819">
        <v>14.822973970210899</v>
      </c>
      <c r="AG3819">
        <v>-0.79749969999999903</v>
      </c>
      <c r="AH3819">
        <v>69.422745328792502</v>
      </c>
      <c r="AI3819">
        <v>90.643653967067905</v>
      </c>
      <c r="AJ3819">
        <v>77.947330267080602</v>
      </c>
      <c r="AK3819">
        <v>70.992070909922305</v>
      </c>
      <c r="AL3819">
        <v>92.767006409942297</v>
      </c>
      <c r="AM3819">
        <v>83.077433926423495</v>
      </c>
      <c r="AN3819">
        <v>0.99999994963134797</v>
      </c>
    </row>
    <row r="3820" spans="1:40" x14ac:dyDescent="0.25">
      <c r="A3820" t="str">
        <f>"20190312161348340"</f>
        <v>20190312161348340</v>
      </c>
      <c r="B3820" t="str">
        <f>"1552378428330252"</f>
        <v>1552378428330252</v>
      </c>
      <c r="C3820" t="s">
        <v>40</v>
      </c>
      <c r="D3820">
        <v>5.2878360000000004</v>
      </c>
      <c r="E3820">
        <v>0.53261440000000004</v>
      </c>
      <c r="F3820" t="s">
        <v>89</v>
      </c>
      <c r="G3820">
        <v>-210.99160000000001</v>
      </c>
      <c r="H3820">
        <v>0.40148699999999998</v>
      </c>
      <c r="I3820">
        <v>119.22839999999999</v>
      </c>
      <c r="J3820">
        <v>-188.59370000000001</v>
      </c>
      <c r="K3820">
        <v>1.1096429999999999</v>
      </c>
      <c r="L3820">
        <v>187.18090000000001</v>
      </c>
      <c r="M3820">
        <v>-0.1082198</v>
      </c>
      <c r="N3820">
        <v>0</v>
      </c>
      <c r="O3820">
        <v>-0.99403580000000002</v>
      </c>
      <c r="P3820">
        <v>-0.22729679999999999</v>
      </c>
      <c r="Q3820">
        <v>-6.2245689999999999E-2</v>
      </c>
      <c r="R3820">
        <v>-0.97183459999999999</v>
      </c>
      <c r="S3820">
        <v>-0.94268799999999997</v>
      </c>
      <c r="T3820">
        <v>-2.9775380000000001E-2</v>
      </c>
      <c r="U3820">
        <v>-2.8647770000000001</v>
      </c>
      <c r="V3820">
        <v>0.1207356</v>
      </c>
      <c r="W3820">
        <v>-4.9005100000000003E-2</v>
      </c>
      <c r="X3820">
        <v>0.99147439999999998</v>
      </c>
      <c r="Y3820">
        <v>0.2079154</v>
      </c>
      <c r="Z3820">
        <v>9.9266649999999994E-3</v>
      </c>
      <c r="AA3820">
        <v>0.97809639999999998</v>
      </c>
      <c r="AB3820">
        <v>19</v>
      </c>
      <c r="AC3820">
        <v>-22.3979</v>
      </c>
      <c r="AD3820">
        <v>-0.70815600000000001</v>
      </c>
      <c r="AE3820">
        <v>-67.952500000000001</v>
      </c>
      <c r="AF3820">
        <v>14.9103996866637</v>
      </c>
      <c r="AG3820">
        <v>-0.70815600000000001</v>
      </c>
      <c r="AH3820">
        <v>69.970603394300895</v>
      </c>
      <c r="AI3820">
        <v>90.5671246633203</v>
      </c>
      <c r="AJ3820">
        <v>77.970475630568103</v>
      </c>
      <c r="AK3820">
        <v>71.545138500801997</v>
      </c>
      <c r="AL3820">
        <v>92.808910337362605</v>
      </c>
      <c r="AM3820">
        <v>83.057059470541702</v>
      </c>
      <c r="AN3820">
        <v>1.0000000353943601</v>
      </c>
    </row>
    <row r="3821" spans="1:40" x14ac:dyDescent="0.25">
      <c r="A3821" t="str">
        <f>"20190312161348355"</f>
        <v>20190312161348355</v>
      </c>
      <c r="B3821" t="str">
        <f>"1552378428349774"</f>
        <v>1552378428349774</v>
      </c>
      <c r="C3821" t="s">
        <v>40</v>
      </c>
      <c r="D3821">
        <v>5.3886710000000004</v>
      </c>
      <c r="E3821">
        <v>0.53292499999999998</v>
      </c>
      <c r="F3821" t="s">
        <v>89</v>
      </c>
      <c r="G3821">
        <v>-210.9717</v>
      </c>
      <c r="H3821">
        <v>0.50008649999999999</v>
      </c>
      <c r="I3821">
        <v>119.1589</v>
      </c>
      <c r="J3821">
        <v>-188.60740000000001</v>
      </c>
      <c r="K3821">
        <v>1.109675</v>
      </c>
      <c r="L3821">
        <v>187.0615</v>
      </c>
      <c r="M3821">
        <v>-0.10873919999999999</v>
      </c>
      <c r="N3821">
        <v>0</v>
      </c>
      <c r="O3821">
        <v>-0.99397899999999995</v>
      </c>
      <c r="P3821">
        <v>-0.22799230000000001</v>
      </c>
      <c r="Q3821">
        <v>-6.2338669999999999E-2</v>
      </c>
      <c r="R3821">
        <v>-0.97166509999999995</v>
      </c>
      <c r="S3821">
        <v>-0.94248960000000004</v>
      </c>
      <c r="T3821">
        <v>-2.5671360000000001E-2</v>
      </c>
      <c r="U3821">
        <v>-2.864868</v>
      </c>
      <c r="V3821">
        <v>0.120931399999999</v>
      </c>
      <c r="W3821">
        <v>-4.9092320000000002E-2</v>
      </c>
      <c r="X3821">
        <v>0.99144620000000006</v>
      </c>
      <c r="Y3821">
        <v>0.20733779999999999</v>
      </c>
      <c r="Z3821">
        <v>8.5581879999999996E-3</v>
      </c>
      <c r="AA3821">
        <v>0.97823199999999999</v>
      </c>
      <c r="AB3821">
        <v>19</v>
      </c>
      <c r="AC3821">
        <v>-22.364299999999901</v>
      </c>
      <c r="AD3821">
        <v>-0.60958849999999998</v>
      </c>
      <c r="AE3821">
        <v>-67.902599999999893</v>
      </c>
      <c r="AF3821">
        <v>14.846238435035101</v>
      </c>
      <c r="AG3821">
        <v>-0.60958849999999998</v>
      </c>
      <c r="AH3821">
        <v>69.9268981890839</v>
      </c>
      <c r="AI3821">
        <v>90.488574382850501</v>
      </c>
      <c r="AJ3821">
        <v>78.0134709443481</v>
      </c>
      <c r="AK3821">
        <v>71.488135268418802</v>
      </c>
      <c r="AL3821">
        <v>92.813913759004194</v>
      </c>
      <c r="AM3821">
        <v>83.045714230368304</v>
      </c>
      <c r="AN3821">
        <v>1.00000001344169</v>
      </c>
    </row>
    <row r="3822" spans="1:40" x14ac:dyDescent="0.25">
      <c r="A3822" t="str">
        <f>"20190312161348376"</f>
        <v>20190312161348376</v>
      </c>
      <c r="B3822" t="str">
        <f>"1552378428370269"</f>
        <v>1552378428370269</v>
      </c>
      <c r="C3822" t="s">
        <v>40</v>
      </c>
      <c r="D3822">
        <v>5.3005420000000001</v>
      </c>
      <c r="E3822">
        <v>0.53296540000000003</v>
      </c>
      <c r="F3822" t="s">
        <v>89</v>
      </c>
      <c r="G3822">
        <v>-211.07560000000001</v>
      </c>
      <c r="H3822">
        <v>0.54029890000000003</v>
      </c>
      <c r="I3822">
        <v>119.1305</v>
      </c>
      <c r="J3822">
        <v>-188.62719999999999</v>
      </c>
      <c r="K3822">
        <v>1.109718</v>
      </c>
      <c r="L3822">
        <v>186.8878</v>
      </c>
      <c r="M3822">
        <v>-0.10943120000000001</v>
      </c>
      <c r="N3822">
        <v>0</v>
      </c>
      <c r="O3822">
        <v>-0.99390330000000005</v>
      </c>
      <c r="P3822">
        <v>-0.22842029999999999</v>
      </c>
      <c r="Q3822">
        <v>-6.2182639999999997E-2</v>
      </c>
      <c r="R3822">
        <v>-0.97157499999999997</v>
      </c>
      <c r="S3822">
        <v>-0.94717410000000002</v>
      </c>
      <c r="T3822">
        <v>-2.4001479999999999E-2</v>
      </c>
      <c r="U3822">
        <v>-2.8637079999999999</v>
      </c>
      <c r="V3822">
        <v>0.120682399999999</v>
      </c>
      <c r="W3822">
        <v>-4.8926499999999998E-2</v>
      </c>
      <c r="X3822">
        <v>0.9914847</v>
      </c>
      <c r="Y3822">
        <v>0.20821880000000001</v>
      </c>
      <c r="Z3822">
        <v>8.0009260000000002E-3</v>
      </c>
      <c r="AA3822">
        <v>0.97804950000000002</v>
      </c>
      <c r="AB3822">
        <v>19</v>
      </c>
      <c r="AC3822">
        <v>-22.448399999999999</v>
      </c>
      <c r="AD3822">
        <v>-0.56941909999999996</v>
      </c>
      <c r="AE3822">
        <v>-67.757300000000001</v>
      </c>
      <c r="AF3822">
        <v>14.897176814361501</v>
      </c>
      <c r="AG3822">
        <v>-0.56941909999999996</v>
      </c>
      <c r="AH3822">
        <v>69.802636586921196</v>
      </c>
      <c r="AI3822">
        <v>90.457090025018005</v>
      </c>
      <c r="AJ3822">
        <v>77.952755448394598</v>
      </c>
      <c r="AK3822">
        <v>71.376874333607404</v>
      </c>
      <c r="AL3822">
        <v>92.804401644000706</v>
      </c>
      <c r="AM3822">
        <v>83.0601603052054</v>
      </c>
      <c r="AN3822">
        <v>0.99999997720304901</v>
      </c>
    </row>
    <row r="3823" spans="1:40" x14ac:dyDescent="0.25">
      <c r="A3823" t="str">
        <f>"20190312161348398"</f>
        <v>20190312161348398</v>
      </c>
      <c r="B3823" t="str">
        <f>"1552378428389788"</f>
        <v>1552378428389788</v>
      </c>
      <c r="C3823" t="s">
        <v>40</v>
      </c>
      <c r="D3823">
        <v>5.3315869999999999</v>
      </c>
      <c r="E3823">
        <v>0.53261510000000001</v>
      </c>
      <c r="F3823" t="s">
        <v>89</v>
      </c>
      <c r="G3823">
        <v>-211.0924</v>
      </c>
      <c r="H3823">
        <v>0.62022819999999901</v>
      </c>
      <c r="I3823">
        <v>119.0742</v>
      </c>
      <c r="J3823">
        <v>-188.64949999999999</v>
      </c>
      <c r="K3823">
        <v>1.1097600000000001</v>
      </c>
      <c r="L3823">
        <v>186.69390000000001</v>
      </c>
      <c r="M3823">
        <v>-0.11011700000000001</v>
      </c>
      <c r="N3823">
        <v>0</v>
      </c>
      <c r="O3823">
        <v>-0.99382780000000004</v>
      </c>
      <c r="P3823">
        <v>-0.22869590000000001</v>
      </c>
      <c r="Q3823">
        <v>-6.2541239999999998E-2</v>
      </c>
      <c r="R3823">
        <v>-0.9714874</v>
      </c>
      <c r="S3823">
        <v>-0.94859309999999997</v>
      </c>
      <c r="T3823">
        <v>-2.066755E-2</v>
      </c>
      <c r="U3823">
        <v>-2.8634339999999998</v>
      </c>
      <c r="V3823">
        <v>0.1202874</v>
      </c>
      <c r="W3823">
        <v>-4.9275760000000002E-2</v>
      </c>
      <c r="X3823">
        <v>0.99151549999999999</v>
      </c>
      <c r="Y3823">
        <v>0.20801130000000001</v>
      </c>
      <c r="Z3823">
        <v>6.8890829999999998E-3</v>
      </c>
      <c r="AA3823">
        <v>0.97810209999999997</v>
      </c>
      <c r="AB3823">
        <v>19</v>
      </c>
      <c r="AC3823">
        <v>-22.442900000000002</v>
      </c>
      <c r="AD3823">
        <v>-0.48953180000000002</v>
      </c>
      <c r="AE3823">
        <v>-67.619699999999995</v>
      </c>
      <c r="AF3823">
        <v>14.8589394585956</v>
      </c>
      <c r="AG3823">
        <v>-0.48953180000000002</v>
      </c>
      <c r="AH3823">
        <v>69.676683745980597</v>
      </c>
      <c r="AI3823">
        <v>90.393687657686499</v>
      </c>
      <c r="AJ3823">
        <v>77.961687627071399</v>
      </c>
      <c r="AK3823">
        <v>71.245126016134094</v>
      </c>
      <c r="AL3823">
        <v>92.824436664241802</v>
      </c>
      <c r="AM3823">
        <v>83.082867135228497</v>
      </c>
      <c r="AN3823">
        <v>1.0000000729312899</v>
      </c>
    </row>
    <row r="3824" spans="1:40" x14ac:dyDescent="0.25">
      <c r="A3824" t="str">
        <f>"20190312161348420"</f>
        <v>20190312161348420</v>
      </c>
      <c r="B3824" t="str">
        <f>"1552378428409308"</f>
        <v>1552378428409308</v>
      </c>
      <c r="C3824" t="s">
        <v>40</v>
      </c>
      <c r="D3824">
        <v>5.0326909999999998</v>
      </c>
      <c r="E3824">
        <v>0.532281</v>
      </c>
      <c r="F3824" t="s">
        <v>89</v>
      </c>
      <c r="G3824">
        <v>-211.00800000000001</v>
      </c>
      <c r="H3824">
        <v>0.66001460000000001</v>
      </c>
      <c r="I3824">
        <v>119.0461</v>
      </c>
      <c r="J3824">
        <v>-188.67099999999999</v>
      </c>
      <c r="K3824">
        <v>1.109791</v>
      </c>
      <c r="L3824">
        <v>186.50620000000001</v>
      </c>
      <c r="M3824">
        <v>-0.1106998</v>
      </c>
      <c r="N3824">
        <v>0</v>
      </c>
      <c r="O3824">
        <v>-0.9937629</v>
      </c>
      <c r="P3824">
        <v>-0.2284225</v>
      </c>
      <c r="Q3824">
        <v>-6.2676999999999997E-2</v>
      </c>
      <c r="R3824">
        <v>-0.97154260000000003</v>
      </c>
      <c r="S3824">
        <v>-0.94659420000000005</v>
      </c>
      <c r="T3824">
        <v>-1.9039629999999998E-2</v>
      </c>
      <c r="U3824">
        <v>-2.863998</v>
      </c>
      <c r="V3824">
        <v>0.11943280000000001</v>
      </c>
      <c r="W3824">
        <v>-4.9403200000000001E-2</v>
      </c>
      <c r="X3824">
        <v>0.99161239999999995</v>
      </c>
      <c r="Y3824">
        <v>0.2067657</v>
      </c>
      <c r="Z3824">
        <v>6.3461949999999998E-3</v>
      </c>
      <c r="AA3824">
        <v>0.97836990000000001</v>
      </c>
      <c r="AB3824">
        <v>19</v>
      </c>
      <c r="AC3824">
        <v>-22.3369999999999</v>
      </c>
      <c r="AD3824">
        <v>-0.44977640000000002</v>
      </c>
      <c r="AE3824">
        <v>-67.460099999999997</v>
      </c>
      <c r="AF3824">
        <v>14.7306043505241</v>
      </c>
      <c r="AG3824">
        <v>-0.44977640000000002</v>
      </c>
      <c r="AH3824">
        <v>69.515547780116904</v>
      </c>
      <c r="AI3824">
        <v>90.362654874345495</v>
      </c>
      <c r="AJ3824">
        <v>78.035791971382594</v>
      </c>
      <c r="AK3824">
        <v>71.060568436449998</v>
      </c>
      <c r="AL3824">
        <v>92.831747517689294</v>
      </c>
      <c r="AM3824">
        <v>83.132204604552996</v>
      </c>
      <c r="AN3824">
        <v>1.0000000108599101</v>
      </c>
    </row>
    <row r="3825" spans="1:40" x14ac:dyDescent="0.25">
      <c r="A3825" t="str">
        <f>"20190312161348435"</f>
        <v>20190312161348435</v>
      </c>
      <c r="B3825" t="str">
        <f>"1552378428429804"</f>
        <v>1552378428429804</v>
      </c>
      <c r="C3825" t="s">
        <v>40</v>
      </c>
      <c r="D3825">
        <v>5.3263680000000004</v>
      </c>
      <c r="E3825">
        <v>0.4618737</v>
      </c>
      <c r="F3825" t="s">
        <v>89</v>
      </c>
      <c r="G3825">
        <v>-210.8929</v>
      </c>
      <c r="H3825">
        <v>0.68204129999999996</v>
      </c>
      <c r="I3825">
        <v>119.03060000000001</v>
      </c>
      <c r="J3825">
        <v>-188.68559999999999</v>
      </c>
      <c r="K3825">
        <v>1.109812</v>
      </c>
      <c r="L3825">
        <v>186.37989999999999</v>
      </c>
      <c r="M3825">
        <v>-0.11104840000000001</v>
      </c>
      <c r="N3825">
        <v>0</v>
      </c>
      <c r="O3825">
        <v>-0.99372400000000005</v>
      </c>
      <c r="P3825">
        <v>-0.22840269999999999</v>
      </c>
      <c r="Q3825">
        <v>-6.2630569999999997E-2</v>
      </c>
      <c r="R3825">
        <v>-0.97155029999999998</v>
      </c>
      <c r="S3825">
        <v>-0.94349669999999997</v>
      </c>
      <c r="T3825">
        <v>-1.8160099999999998E-2</v>
      </c>
      <c r="U3825">
        <v>-2.864868</v>
      </c>
      <c r="V3825">
        <v>0.1190673</v>
      </c>
      <c r="W3825">
        <v>-4.9352189999999997E-2</v>
      </c>
      <c r="X3825">
        <v>0.99165890000000001</v>
      </c>
      <c r="Y3825">
        <v>0.20538049999999999</v>
      </c>
      <c r="Z3825">
        <v>6.0528419999999897E-3</v>
      </c>
      <c r="AA3825">
        <v>0.97866350000000002</v>
      </c>
      <c r="AB3825">
        <v>19</v>
      </c>
      <c r="AC3825">
        <v>-22.2073</v>
      </c>
      <c r="AD3825">
        <v>-0.4277707</v>
      </c>
      <c r="AE3825">
        <v>-67.3492999999999</v>
      </c>
      <c r="AF3825">
        <v>14.589683608036401</v>
      </c>
      <c r="AG3825">
        <v>-0.4277707</v>
      </c>
      <c r="AH3825">
        <v>69.396452073772096</v>
      </c>
      <c r="AI3825">
        <v>90.345620420460506</v>
      </c>
      <c r="AJ3825">
        <v>78.127230403297503</v>
      </c>
      <c r="AK3825">
        <v>70.914803926836996</v>
      </c>
      <c r="AL3825">
        <v>92.828821272387998</v>
      </c>
      <c r="AM3825">
        <v>83.153340293444003</v>
      </c>
      <c r="AN3825">
        <v>1.00000001726814</v>
      </c>
    </row>
    <row r="3826" spans="1:40" x14ac:dyDescent="0.25">
      <c r="A3826" t="str">
        <f>"20190312161348451"</f>
        <v>20190312161348451</v>
      </c>
      <c r="B3826" t="str">
        <f>"1552378428439565"</f>
        <v>1552378428439565</v>
      </c>
      <c r="C3826" t="s">
        <v>40</v>
      </c>
      <c r="D3826">
        <v>5.320119</v>
      </c>
      <c r="E3826">
        <v>0.45670859999999902</v>
      </c>
      <c r="F3826" t="s">
        <v>42</v>
      </c>
      <c r="G3826">
        <v>-191.98429999999999</v>
      </c>
      <c r="H3826" s="1">
        <v>-1.2953469999999999E-6</v>
      </c>
      <c r="I3826">
        <v>161.215</v>
      </c>
      <c r="J3826">
        <v>-188.70169999999999</v>
      </c>
      <c r="K3826">
        <v>1.1098349999999999</v>
      </c>
      <c r="L3826">
        <v>186.23920000000001</v>
      </c>
      <c r="M3826">
        <v>-0.1113987</v>
      </c>
      <c r="N3826">
        <v>0</v>
      </c>
      <c r="O3826">
        <v>-0.99368480000000003</v>
      </c>
      <c r="P3826">
        <v>-0.22804769999999999</v>
      </c>
      <c r="Q3826">
        <v>-6.2850069999999994E-2</v>
      </c>
      <c r="R3826">
        <v>-0.97161949999999997</v>
      </c>
      <c r="S3826">
        <v>-0.3915863</v>
      </c>
      <c r="T3826">
        <v>-0.1317451</v>
      </c>
      <c r="U3826">
        <v>-2.9873050000000001</v>
      </c>
      <c r="V3826">
        <v>0.1183603</v>
      </c>
      <c r="W3826">
        <v>-4.9566359999999997E-2</v>
      </c>
      <c r="X3826">
        <v>0.99173279999999997</v>
      </c>
      <c r="Y3826">
        <v>1.857518E-2</v>
      </c>
      <c r="Z3826">
        <v>4.3459360000000002E-2</v>
      </c>
      <c r="AA3826">
        <v>0.99888250000000001</v>
      </c>
      <c r="AB3826">
        <v>19</v>
      </c>
      <c r="AC3826">
        <v>-3.2826</v>
      </c>
      <c r="AD3826">
        <v>-1.109836295347</v>
      </c>
      <c r="AE3826">
        <v>-25.0242</v>
      </c>
      <c r="AF3826">
        <v>0.47333397792092902</v>
      </c>
      <c r="AG3826">
        <v>-1.109836295347</v>
      </c>
      <c r="AH3826">
        <v>25.185425491145899</v>
      </c>
      <c r="AI3826">
        <v>92.522753395476002</v>
      </c>
      <c r="AJ3826">
        <v>88.923311942051299</v>
      </c>
      <c r="AK3826">
        <v>25.2143101993131</v>
      </c>
      <c r="AL3826">
        <v>92.841107492553405</v>
      </c>
      <c r="AM3826">
        <v>83.194114424175595</v>
      </c>
      <c r="AN3826">
        <v>0.99999996562778903</v>
      </c>
    </row>
    <row r="3827" spans="1:40" x14ac:dyDescent="0.25">
      <c r="A3827" t="str">
        <f>"20190312161348463"</f>
        <v>20190312161348463</v>
      </c>
      <c r="B3827" t="str">
        <f>"1552378428460062"</f>
        <v>1552378428460062</v>
      </c>
      <c r="C3827" t="s">
        <v>40</v>
      </c>
      <c r="D3827">
        <v>5.3292469999999996</v>
      </c>
      <c r="E3827">
        <v>0.45316590000000001</v>
      </c>
      <c r="F3827" t="s">
        <v>42</v>
      </c>
      <c r="G3827">
        <v>-191.27119999999999</v>
      </c>
      <c r="H3827" s="1">
        <v>-2.52092E-6</v>
      </c>
      <c r="I3827">
        <v>164.209</v>
      </c>
      <c r="J3827">
        <v>-188.7141</v>
      </c>
      <c r="K3827">
        <v>1.109855</v>
      </c>
      <c r="L3827">
        <v>186.13120000000001</v>
      </c>
      <c r="M3827">
        <v>-0.111637899999999</v>
      </c>
      <c r="N3827">
        <v>0</v>
      </c>
      <c r="O3827">
        <v>-0.99365809999999999</v>
      </c>
      <c r="P3827">
        <v>-0.2282901</v>
      </c>
      <c r="Q3827">
        <v>-6.2839839999999994E-2</v>
      </c>
      <c r="R3827">
        <v>-0.97156350000000002</v>
      </c>
      <c r="S3827">
        <v>-0.34942630000000002</v>
      </c>
      <c r="T3827">
        <v>-0.1509259</v>
      </c>
      <c r="U3827">
        <v>-2.9958650000000002</v>
      </c>
      <c r="V3827">
        <v>0.11837110000000001</v>
      </c>
      <c r="W3827">
        <v>-4.9552859999999997E-2</v>
      </c>
      <c r="X3827">
        <v>0.99173219999999995</v>
      </c>
      <c r="Y3827">
        <v>4.0863879999999998E-3</v>
      </c>
      <c r="Z3827">
        <v>4.9675660000000003E-2</v>
      </c>
      <c r="AA3827">
        <v>0.99875709999999995</v>
      </c>
      <c r="AB3827">
        <v>19</v>
      </c>
      <c r="AC3827">
        <v>-2.5570999999999899</v>
      </c>
      <c r="AD3827">
        <v>-1.1098575209199999</v>
      </c>
      <c r="AE3827">
        <v>-21.9222</v>
      </c>
      <c r="AF3827">
        <v>9.3307255650204299E-2</v>
      </c>
      <c r="AG3827">
        <v>-1.1098575209199999</v>
      </c>
      <c r="AH3827">
        <v>22.0149642878491</v>
      </c>
      <c r="AI3827">
        <v>92.886027466847196</v>
      </c>
      <c r="AJ3827">
        <v>89.757161544064502</v>
      </c>
      <c r="AK3827">
        <v>22.043120073074299</v>
      </c>
      <c r="AL3827">
        <v>92.840333007317497</v>
      </c>
      <c r="AM3827">
        <v>83.193495155473002</v>
      </c>
      <c r="AN3827">
        <v>0.99999997988311395</v>
      </c>
    </row>
    <row r="3828" spans="1:40" x14ac:dyDescent="0.25">
      <c r="A3828" t="str">
        <f>"20190312161348477"</f>
        <v>20190312161348477</v>
      </c>
      <c r="B3828" t="str">
        <f>"1552378428469820"</f>
        <v>1552378428469820</v>
      </c>
      <c r="C3828" t="s">
        <v>40</v>
      </c>
      <c r="D3828">
        <v>5.3494849999999996</v>
      </c>
      <c r="E3828">
        <v>0.45232050000000001</v>
      </c>
      <c r="F3828" t="s">
        <v>42</v>
      </c>
      <c r="G3828">
        <v>-191.114</v>
      </c>
      <c r="H3828" s="1">
        <v>-2.2937889999999999E-6</v>
      </c>
      <c r="I3828">
        <v>163.81700000000001</v>
      </c>
      <c r="J3828">
        <v>-188.72659999999999</v>
      </c>
      <c r="K3828">
        <v>1.1098749999999999</v>
      </c>
      <c r="L3828">
        <v>186.02330000000001</v>
      </c>
      <c r="M3828">
        <v>-0.11185349999999999</v>
      </c>
      <c r="N3828">
        <v>0</v>
      </c>
      <c r="O3828">
        <v>-0.99363400000000002</v>
      </c>
      <c r="P3828">
        <v>-0.22851959999999999</v>
      </c>
      <c r="Q3828">
        <v>-6.2425139999999997E-2</v>
      </c>
      <c r="R3828">
        <v>-0.97153610000000001</v>
      </c>
      <c r="S3828">
        <v>-0.32289119999999999</v>
      </c>
      <c r="T3828">
        <v>-0.14932670000000001</v>
      </c>
      <c r="U3828">
        <v>-3.0022739999999999</v>
      </c>
      <c r="V3828">
        <v>0.1183896</v>
      </c>
      <c r="W3828">
        <v>-4.9134379999999998E-2</v>
      </c>
      <c r="X3828">
        <v>0.99175080000000004</v>
      </c>
      <c r="Y3828">
        <v>-5.0907249999999999E-3</v>
      </c>
      <c r="Z3828">
        <v>4.906862E-2</v>
      </c>
      <c r="AA3828">
        <v>0.99878250000000002</v>
      </c>
      <c r="AB3828">
        <v>19</v>
      </c>
      <c r="AC3828">
        <v>-2.3874000000000102</v>
      </c>
      <c r="AD3828">
        <v>-1.109877293789</v>
      </c>
      <c r="AE3828">
        <v>-22.206299999999999</v>
      </c>
      <c r="AF3828">
        <v>-0.11138556526411</v>
      </c>
      <c r="AG3828">
        <v>-1.109877293789</v>
      </c>
      <c r="AH3828">
        <v>22.2789692867124</v>
      </c>
      <c r="AI3828">
        <v>92.851925653050998</v>
      </c>
      <c r="AJ3828">
        <v>90.286452642092698</v>
      </c>
      <c r="AK3828">
        <v>22.306875774740199</v>
      </c>
      <c r="AL3828">
        <v>92.816326662083597</v>
      </c>
      <c r="AM3828">
        <v>83.192567837529396</v>
      </c>
      <c r="AN3828">
        <v>0.999999966993391</v>
      </c>
    </row>
    <row r="3829" spans="1:40" x14ac:dyDescent="0.25">
      <c r="A3829" t="str">
        <f>"20190312161348490"</f>
        <v>20190312161348490</v>
      </c>
      <c r="B3829" t="str">
        <f>"1552378428479581"</f>
        <v>1552378428479581</v>
      </c>
      <c r="C3829" t="s">
        <v>40</v>
      </c>
      <c r="D3829">
        <v>5.183859</v>
      </c>
      <c r="E3829">
        <v>0.4516271</v>
      </c>
      <c r="F3829" t="s">
        <v>42</v>
      </c>
      <c r="G3829">
        <v>-191.09450000000001</v>
      </c>
      <c r="H3829" s="1">
        <v>-2.1802479999999999E-6</v>
      </c>
      <c r="I3829">
        <v>163.58779999999999</v>
      </c>
      <c r="J3829">
        <v>-188.739</v>
      </c>
      <c r="K3829">
        <v>1.109901</v>
      </c>
      <c r="L3829">
        <v>185.9151</v>
      </c>
      <c r="M3829">
        <v>-0.112055</v>
      </c>
      <c r="N3829">
        <v>0</v>
      </c>
      <c r="O3829">
        <v>-0.99361129999999998</v>
      </c>
      <c r="P3829">
        <v>-0.2286628</v>
      </c>
      <c r="Q3829">
        <v>-6.1815700000000001E-2</v>
      </c>
      <c r="R3829">
        <v>-0.9715414</v>
      </c>
      <c r="S3829">
        <v>-0.31703189999999998</v>
      </c>
      <c r="T3829">
        <v>-0.1485957</v>
      </c>
      <c r="U3829">
        <v>-3.0037690000000001</v>
      </c>
      <c r="V3829">
        <v>0.1183328</v>
      </c>
      <c r="W3829">
        <v>-4.8520679999999997E-2</v>
      </c>
      <c r="X3829">
        <v>0.99178789999999994</v>
      </c>
      <c r="Y3829">
        <v>-7.2714750000000003E-3</v>
      </c>
      <c r="Z3829">
        <v>4.880789E-2</v>
      </c>
      <c r="AA3829">
        <v>0.99878169999999999</v>
      </c>
      <c r="AB3829">
        <v>19</v>
      </c>
      <c r="AC3829">
        <v>-2.3555000000000001</v>
      </c>
      <c r="AD3829">
        <v>-1.1099031802479999</v>
      </c>
      <c r="AE3829">
        <v>-22.327300000000001</v>
      </c>
      <c r="AF3829">
        <v>-0.16105512720141399</v>
      </c>
      <c r="AG3829">
        <v>-1.1099031802479999</v>
      </c>
      <c r="AH3829">
        <v>22.395892464245399</v>
      </c>
      <c r="AI3829">
        <v>92.837089098018794</v>
      </c>
      <c r="AJ3829">
        <v>90.412022874607203</v>
      </c>
      <c r="AK3829">
        <v>22.4239564549516</v>
      </c>
      <c r="AL3829">
        <v>92.781121953739202</v>
      </c>
      <c r="AM3829">
        <v>83.196055364133301</v>
      </c>
      <c r="AN3829">
        <v>1.0000000732649501</v>
      </c>
    </row>
    <row r="3830" spans="1:40" x14ac:dyDescent="0.25">
      <c r="A3830" t="str">
        <f>"20190312161348508"</f>
        <v>20190312161348508</v>
      </c>
      <c r="B3830" t="str">
        <f>"1552378428500076"</f>
        <v>1552378428500076</v>
      </c>
      <c r="C3830" t="s">
        <v>40</v>
      </c>
      <c r="D3830">
        <v>5.2553580000000002</v>
      </c>
      <c r="E3830">
        <v>0.4509708</v>
      </c>
      <c r="F3830" t="s">
        <v>42</v>
      </c>
      <c r="G3830">
        <v>-191.0411</v>
      </c>
      <c r="H3830" s="1">
        <v>-2.2358740000000002E-6</v>
      </c>
      <c r="I3830">
        <v>163.7355</v>
      </c>
      <c r="J3830">
        <v>-188.75749999999999</v>
      </c>
      <c r="K3830">
        <v>1.1099410000000001</v>
      </c>
      <c r="L3830">
        <v>185.75450000000001</v>
      </c>
      <c r="M3830">
        <v>-0.11230660000000001</v>
      </c>
      <c r="N3830">
        <v>0</v>
      </c>
      <c r="O3830">
        <v>-0.99358299999999999</v>
      </c>
      <c r="P3830">
        <v>-0.22904540000000001</v>
      </c>
      <c r="Q3830">
        <v>-6.0862949999999999E-2</v>
      </c>
      <c r="R3830">
        <v>-0.97151180000000004</v>
      </c>
      <c r="S3830">
        <v>-0.31188959999999999</v>
      </c>
      <c r="T3830">
        <v>-0.15037210000000001</v>
      </c>
      <c r="U3830">
        <v>-3.0049290000000002</v>
      </c>
      <c r="V3830">
        <v>0.1184694</v>
      </c>
      <c r="W3830">
        <v>-4.7561010000000001E-2</v>
      </c>
      <c r="X3830">
        <v>0.99181799999999998</v>
      </c>
      <c r="Y3830">
        <v>-9.2583890000000005E-3</v>
      </c>
      <c r="Z3830">
        <v>4.9372869999999999E-2</v>
      </c>
      <c r="AA3830">
        <v>0.99873749999999994</v>
      </c>
      <c r="AB3830">
        <v>19</v>
      </c>
      <c r="AC3830">
        <v>-2.2835999999999999</v>
      </c>
      <c r="AD3830">
        <v>-1.109943235874</v>
      </c>
      <c r="AE3830">
        <v>-22.018999999999998</v>
      </c>
      <c r="AF3830">
        <v>-0.203439806538672</v>
      </c>
      <c r="AG3830">
        <v>-1.109943235874</v>
      </c>
      <c r="AH3830">
        <v>22.080650230945398</v>
      </c>
      <c r="AI3830">
        <v>92.877582235516499</v>
      </c>
      <c r="AJ3830">
        <v>90.527879041969896</v>
      </c>
      <c r="AK3830">
        <v>22.1094657638554</v>
      </c>
      <c r="AL3830">
        <v>92.726073562967599</v>
      </c>
      <c r="AM3830">
        <v>83.1884796251354</v>
      </c>
      <c r="AN3830">
        <v>0.99999999676629003</v>
      </c>
    </row>
    <row r="3831" spans="1:40" x14ac:dyDescent="0.25">
      <c r="A3831" t="str">
        <f>"20190312161348530"</f>
        <v>20190312161348530</v>
      </c>
      <c r="B3831" t="str">
        <f>"1552378428519609"</f>
        <v>1552378428519609</v>
      </c>
      <c r="C3831" t="s">
        <v>40</v>
      </c>
      <c r="D3831">
        <v>5.3522589999999903</v>
      </c>
      <c r="E3831">
        <v>0.4505247</v>
      </c>
      <c r="F3831" t="s">
        <v>42</v>
      </c>
      <c r="G3831">
        <v>-191.10599999999999</v>
      </c>
      <c r="H3831" s="1">
        <v>-1.8291640000000001E-6</v>
      </c>
      <c r="I3831">
        <v>162.83860000000001</v>
      </c>
      <c r="J3831">
        <v>-188.77799999999999</v>
      </c>
      <c r="K3831">
        <v>1.1099840000000001</v>
      </c>
      <c r="L3831">
        <v>185.57570000000001</v>
      </c>
      <c r="M3831">
        <v>-0.1125249</v>
      </c>
      <c r="N3831">
        <v>0</v>
      </c>
      <c r="O3831">
        <v>-0.9935581</v>
      </c>
      <c r="P3831">
        <v>-0.2295315</v>
      </c>
      <c r="Q3831">
        <v>-6.0841449999999998E-2</v>
      </c>
      <c r="R3831">
        <v>-0.97139790000000004</v>
      </c>
      <c r="S3831">
        <v>-0.30809019999999998</v>
      </c>
      <c r="T3831">
        <v>-0.1456075</v>
      </c>
      <c r="U3831">
        <v>-3.0062099999999998</v>
      </c>
      <c r="V3831">
        <v>0.1187516</v>
      </c>
      <c r="W3831">
        <v>-4.7532390000000001E-2</v>
      </c>
      <c r="X3831">
        <v>0.99178560000000004</v>
      </c>
      <c r="Y3831">
        <v>-1.076299E-2</v>
      </c>
      <c r="Z3831">
        <v>4.779282E-2</v>
      </c>
      <c r="AA3831">
        <v>0.99879929999999995</v>
      </c>
      <c r="AB3831">
        <v>19</v>
      </c>
      <c r="AC3831">
        <v>-2.3279999999999998</v>
      </c>
      <c r="AD3831">
        <v>-1.1099858291639999</v>
      </c>
      <c r="AE3831">
        <v>-22.737100000000002</v>
      </c>
      <c r="AF3831">
        <v>-0.24493112916922799</v>
      </c>
      <c r="AG3831">
        <v>-1.1099858291639999</v>
      </c>
      <c r="AH3831">
        <v>22.8008741550086</v>
      </c>
      <c r="AI3831">
        <v>92.786896400832106</v>
      </c>
      <c r="AJ3831">
        <v>90.615457991562096</v>
      </c>
      <c r="AK3831">
        <v>22.829190130872401</v>
      </c>
      <c r="AL3831">
        <v>92.724431964536805</v>
      </c>
      <c r="AM3831">
        <v>83.172186290367605</v>
      </c>
      <c r="AN3831">
        <v>0.99999997348451497</v>
      </c>
    </row>
    <row r="3832" spans="1:40" x14ac:dyDescent="0.25">
      <c r="A3832" t="str">
        <f>"20190312161348551"</f>
        <v>20190312161348551</v>
      </c>
      <c r="B3832" t="str">
        <f>"1552378428540093"</f>
        <v>1552378428540093</v>
      </c>
      <c r="C3832" t="s">
        <v>40</v>
      </c>
      <c r="D3832">
        <v>5.331194</v>
      </c>
      <c r="E3832">
        <v>0.45035259999999999</v>
      </c>
      <c r="F3832" t="s">
        <v>42</v>
      </c>
      <c r="G3832">
        <v>-191.14279999999999</v>
      </c>
      <c r="H3832" s="1">
        <v>-1.602175E-6</v>
      </c>
      <c r="I3832">
        <v>162.33770000000001</v>
      </c>
      <c r="J3832">
        <v>-188.7988</v>
      </c>
      <c r="K3832">
        <v>1.110023</v>
      </c>
      <c r="L3832">
        <v>185.39439999999999</v>
      </c>
      <c r="M3832">
        <v>-0.11268690000000001</v>
      </c>
      <c r="N3832">
        <v>0</v>
      </c>
      <c r="O3832">
        <v>-0.99353959999999997</v>
      </c>
      <c r="P3832">
        <v>-0.23031579999999999</v>
      </c>
      <c r="Q3832">
        <v>-6.0397579999999999E-2</v>
      </c>
      <c r="R3832">
        <v>-0.97123970000000004</v>
      </c>
      <c r="S3832">
        <v>-0.30601499999999998</v>
      </c>
      <c r="T3832">
        <v>-0.1436347</v>
      </c>
      <c r="U3832">
        <v>-3.00705</v>
      </c>
      <c r="V3832">
        <v>0.1193912</v>
      </c>
      <c r="W3832">
        <v>-4.7082150000000003E-2</v>
      </c>
      <c r="X3832">
        <v>0.99173029999999995</v>
      </c>
      <c r="Y3832">
        <v>-1.163322E-2</v>
      </c>
      <c r="Z3832">
        <v>4.7133799999999997E-2</v>
      </c>
      <c r="AA3832">
        <v>0.99882079999999995</v>
      </c>
      <c r="AB3832">
        <v>19</v>
      </c>
      <c r="AC3832">
        <v>-2.3439999999999901</v>
      </c>
      <c r="AD3832">
        <v>-1.110024602175</v>
      </c>
      <c r="AE3832">
        <v>-23.0566999999999</v>
      </c>
      <c r="AF3832">
        <v>-0.26873906124913899</v>
      </c>
      <c r="AG3832">
        <v>-1.110024602175</v>
      </c>
      <c r="AH3832">
        <v>23.120935859747</v>
      </c>
      <c r="AI3832">
        <v>92.748445953055807</v>
      </c>
      <c r="AJ3832">
        <v>90.665929820094803</v>
      </c>
      <c r="AK3832">
        <v>23.1491263405557</v>
      </c>
      <c r="AL3832">
        <v>92.698606158506394</v>
      </c>
      <c r="AM3832">
        <v>83.135382306201706</v>
      </c>
      <c r="AN3832">
        <v>0.99999998771207599</v>
      </c>
    </row>
    <row r="3833" spans="1:40" x14ac:dyDescent="0.25">
      <c r="A3833" t="str">
        <f>"20190312161348576"</f>
        <v>20190312161348576</v>
      </c>
      <c r="B3833" t="str">
        <f>"1552378428569373"</f>
        <v>1552378428569373</v>
      </c>
      <c r="C3833" t="s">
        <v>40</v>
      </c>
      <c r="D3833">
        <v>5.3401129999999997</v>
      </c>
      <c r="E3833">
        <v>0.44992959999999899</v>
      </c>
      <c r="F3833" t="s">
        <v>42</v>
      </c>
      <c r="G3833">
        <v>-191.1815</v>
      </c>
      <c r="H3833" s="1">
        <v>-1.481848E-6</v>
      </c>
      <c r="I3833">
        <v>162.06139999999999</v>
      </c>
      <c r="J3833">
        <v>-188.82169999999999</v>
      </c>
      <c r="K3833">
        <v>1.1100589999999999</v>
      </c>
      <c r="L3833">
        <v>185.19390000000001</v>
      </c>
      <c r="M3833">
        <v>-0.1127937</v>
      </c>
      <c r="N3833">
        <v>0</v>
      </c>
      <c r="O3833">
        <v>-0.99352770000000001</v>
      </c>
      <c r="P3833">
        <v>-0.23032330000000001</v>
      </c>
      <c r="Q3833">
        <v>-5.9206630000000003E-2</v>
      </c>
      <c r="R3833">
        <v>-0.97131160000000005</v>
      </c>
      <c r="S3833">
        <v>-0.307083099999999</v>
      </c>
      <c r="T3833">
        <v>-0.14305680000000001</v>
      </c>
      <c r="U3833">
        <v>-3.0070950000000001</v>
      </c>
      <c r="V3833">
        <v>0.1192877</v>
      </c>
      <c r="W3833">
        <v>-4.5883340000000002E-2</v>
      </c>
      <c r="X3833">
        <v>0.99179890000000004</v>
      </c>
      <c r="Y3833">
        <v>-1.1390229999999999E-2</v>
      </c>
      <c r="Z3833">
        <v>4.6942230000000001E-2</v>
      </c>
      <c r="AA3833">
        <v>0.99883259999999996</v>
      </c>
      <c r="AB3833">
        <v>19</v>
      </c>
      <c r="AC3833">
        <v>-2.3597999999999999</v>
      </c>
      <c r="AD3833">
        <v>-1.110060481848</v>
      </c>
      <c r="AE3833">
        <v>-23.1325</v>
      </c>
      <c r="AF3833">
        <v>-0.264095576631318</v>
      </c>
      <c r="AG3833">
        <v>-1.110060481848</v>
      </c>
      <c r="AH3833">
        <v>23.1981765808459</v>
      </c>
      <c r="AI3833">
        <v>92.739404604598406</v>
      </c>
      <c r="AJ3833">
        <v>90.652245586168803</v>
      </c>
      <c r="AK3833">
        <v>23.2262217638397</v>
      </c>
      <c r="AL3833">
        <v>92.629845182484303</v>
      </c>
      <c r="AM3833">
        <v>83.141746398370401</v>
      </c>
      <c r="AN3833">
        <v>0.99999994715102603</v>
      </c>
    </row>
    <row r="3834" spans="1:40" x14ac:dyDescent="0.25">
      <c r="A3834" t="str">
        <f>"20190312161348599"</f>
        <v>20190312161348599</v>
      </c>
      <c r="B3834" t="str">
        <f>"1552378428589868"</f>
        <v>1552378428589868</v>
      </c>
      <c r="C3834" t="s">
        <v>40</v>
      </c>
      <c r="D3834">
        <v>5.3608219999999998</v>
      </c>
      <c r="E3834">
        <v>0.44971529999999998</v>
      </c>
      <c r="F3834" t="s">
        <v>42</v>
      </c>
      <c r="G3834">
        <v>-191.11330000000001</v>
      </c>
      <c r="H3834" s="1">
        <v>-1.66275999999999E-6</v>
      </c>
      <c r="I3834">
        <v>162.48249999999999</v>
      </c>
      <c r="J3834">
        <v>-188.84440000000001</v>
      </c>
      <c r="K3834">
        <v>1.1100920000000001</v>
      </c>
      <c r="L3834">
        <v>184.9948</v>
      </c>
      <c r="M3834">
        <v>-0.11282929999999999</v>
      </c>
      <c r="N3834">
        <v>0</v>
      </c>
      <c r="O3834">
        <v>-0.99352399999999996</v>
      </c>
      <c r="P3834">
        <v>-0.23033239999999999</v>
      </c>
      <c r="Q3834">
        <v>-5.9059840000000002E-2</v>
      </c>
      <c r="R3834">
        <v>-0.97131849999999997</v>
      </c>
      <c r="S3834">
        <v>-0.30348209999999998</v>
      </c>
      <c r="T3834">
        <v>-0.147007</v>
      </c>
      <c r="U3834">
        <v>-3.0077060000000002</v>
      </c>
      <c r="V3834">
        <v>0.1192637</v>
      </c>
      <c r="W3834">
        <v>-4.5730609999999998E-2</v>
      </c>
      <c r="X3834">
        <v>0.99180889999999999</v>
      </c>
      <c r="Y3834">
        <v>-1.2636349999999999E-2</v>
      </c>
      <c r="Z3834">
        <v>4.822796E-2</v>
      </c>
      <c r="AA3834">
        <v>0.99875639999999999</v>
      </c>
      <c r="AB3834">
        <v>19</v>
      </c>
      <c r="AC3834">
        <v>-2.2688999999999999</v>
      </c>
      <c r="AD3834">
        <v>-1.11009366276</v>
      </c>
      <c r="AE3834">
        <v>-22.5123</v>
      </c>
      <c r="AF3834">
        <v>-0.28517967017117501</v>
      </c>
      <c r="AG3834">
        <v>-1.11009366276</v>
      </c>
      <c r="AH3834">
        <v>22.570212349232801</v>
      </c>
      <c r="AI3834">
        <v>92.815543053058903</v>
      </c>
      <c r="AJ3834">
        <v>90.723906439239499</v>
      </c>
      <c r="AK3834">
        <v>22.599294698592701</v>
      </c>
      <c r="AL3834">
        <v>92.6210850467412</v>
      </c>
      <c r="AM3834">
        <v>83.143181578056698</v>
      </c>
      <c r="AN3834">
        <v>1.0000000064739301</v>
      </c>
    </row>
    <row r="3835" spans="1:40" x14ac:dyDescent="0.25">
      <c r="A3835" t="str">
        <f>"20190312161348620"</f>
        <v>20190312161348620</v>
      </c>
      <c r="B3835" t="str">
        <f>"1552378428609388"</f>
        <v>1552378428609388</v>
      </c>
      <c r="C3835" t="s">
        <v>40</v>
      </c>
      <c r="D3835">
        <v>5.3926610000000004</v>
      </c>
      <c r="E3835">
        <v>0.44941779999999998</v>
      </c>
      <c r="F3835" t="s">
        <v>42</v>
      </c>
      <c r="G3835">
        <v>-191.14429999999999</v>
      </c>
      <c r="H3835" s="1">
        <v>-1.4858809999999999E-6</v>
      </c>
      <c r="I3835">
        <v>162.0909</v>
      </c>
      <c r="J3835">
        <v>-188.86429999999999</v>
      </c>
      <c r="K3835">
        <v>1.110114</v>
      </c>
      <c r="L3835">
        <v>184.8193</v>
      </c>
      <c r="M3835">
        <v>-0.1128096</v>
      </c>
      <c r="N3835">
        <v>0</v>
      </c>
      <c r="O3835">
        <v>-0.99352589999999996</v>
      </c>
      <c r="P3835">
        <v>-0.23043269999999999</v>
      </c>
      <c r="Q3835">
        <v>-5.9357430000000003E-2</v>
      </c>
      <c r="R3835">
        <v>-0.97127640000000004</v>
      </c>
      <c r="S3835">
        <v>-0.30206300000000003</v>
      </c>
      <c r="T3835">
        <v>-0.14579339999999999</v>
      </c>
      <c r="U3835">
        <v>-3.0080719999999999</v>
      </c>
      <c r="V3835">
        <v>0.1193902</v>
      </c>
      <c r="W3835">
        <v>-4.6024530000000001E-2</v>
      </c>
      <c r="X3835">
        <v>0.99178010000000005</v>
      </c>
      <c r="Y3835">
        <v>-1.3093250000000001E-2</v>
      </c>
      <c r="Z3835">
        <v>4.7826109999999998E-2</v>
      </c>
      <c r="AA3835">
        <v>0.99876989999999999</v>
      </c>
      <c r="AB3835">
        <v>19</v>
      </c>
      <c r="AC3835">
        <v>-2.2799999999999998</v>
      </c>
      <c r="AD3835">
        <v>-1.1101154858810001</v>
      </c>
      <c r="AE3835">
        <v>-22.728399999999901</v>
      </c>
      <c r="AF3835">
        <v>-0.29806561031741002</v>
      </c>
      <c r="AG3835">
        <v>-1.1101154858810001</v>
      </c>
      <c r="AH3835">
        <v>22.7867004002178</v>
      </c>
      <c r="AI3835">
        <v>92.788874839472996</v>
      </c>
      <c r="AJ3835">
        <v>90.749425202212194</v>
      </c>
      <c r="AK3835">
        <v>22.8156725657898</v>
      </c>
      <c r="AL3835">
        <v>92.637943131683599</v>
      </c>
      <c r="AM3835">
        <v>83.1357806540463</v>
      </c>
      <c r="AN3835">
        <v>1.0000000219868801</v>
      </c>
    </row>
    <row r="3836" spans="1:40" x14ac:dyDescent="0.25">
      <c r="A3836" t="str">
        <f>"20190312161348641"</f>
        <v>20190312161348641</v>
      </c>
      <c r="B3836" t="str">
        <f>"1552378428629885"</f>
        <v>1552378428629885</v>
      </c>
      <c r="C3836" t="s">
        <v>40</v>
      </c>
      <c r="D3836">
        <v>5.4042500000000002</v>
      </c>
      <c r="E3836">
        <v>0.44915749999999999</v>
      </c>
      <c r="F3836" t="s">
        <v>42</v>
      </c>
      <c r="G3836">
        <v>-191.12690000000001</v>
      </c>
      <c r="H3836" s="1">
        <v>-1.4992570000000001E-6</v>
      </c>
      <c r="I3836">
        <v>162.12899999999999</v>
      </c>
      <c r="J3836">
        <v>-188.8843</v>
      </c>
      <c r="K3836">
        <v>1.110134</v>
      </c>
      <c r="L3836">
        <v>184.64269999999999</v>
      </c>
      <c r="M3836">
        <v>-0.1127418</v>
      </c>
      <c r="N3836">
        <v>0</v>
      </c>
      <c r="O3836">
        <v>-0.99353380000000002</v>
      </c>
      <c r="P3836">
        <v>-0.2306975</v>
      </c>
      <c r="Q3836">
        <v>-5.86886E-2</v>
      </c>
      <c r="R3836">
        <v>-0.97125450000000002</v>
      </c>
      <c r="S3836">
        <v>-0.30000310000000002</v>
      </c>
      <c r="T3836">
        <v>-0.14719279999999901</v>
      </c>
      <c r="U3836">
        <v>-3.0085600000000001</v>
      </c>
      <c r="V3836">
        <v>0.11972579999999999</v>
      </c>
      <c r="W3836">
        <v>-4.5351620000000002E-2</v>
      </c>
      <c r="X3836">
        <v>0.99177059999999995</v>
      </c>
      <c r="Y3836">
        <v>-1.372028E-2</v>
      </c>
      <c r="Z3836">
        <v>4.8278300000000003E-2</v>
      </c>
      <c r="AA3836">
        <v>0.99873970000000001</v>
      </c>
      <c r="AB3836">
        <v>19</v>
      </c>
      <c r="AC3836">
        <v>-2.2425999999999999</v>
      </c>
      <c r="AD3836">
        <v>-1.1101354992569901</v>
      </c>
      <c r="AE3836">
        <v>-22.5137</v>
      </c>
      <c r="AF3836">
        <v>-0.30941912597857602</v>
      </c>
      <c r="AG3836">
        <v>-1.1101354992569901</v>
      </c>
      <c r="AH3836">
        <v>22.568656876538402</v>
      </c>
      <c r="AI3836">
        <v>92.815802940883501</v>
      </c>
      <c r="AJ3836">
        <v>90.785483134988098</v>
      </c>
      <c r="AK3836">
        <v>22.598062178716901</v>
      </c>
      <c r="AL3836">
        <v>92.599348035617396</v>
      </c>
      <c r="AM3836">
        <v>83.116605231939104</v>
      </c>
      <c r="AN3836">
        <v>0.99999997982331101</v>
      </c>
    </row>
    <row r="3837" spans="1:40" x14ac:dyDescent="0.25">
      <c r="A3837" t="str">
        <f>"20190312161348665"</f>
        <v>20190312161348665</v>
      </c>
      <c r="B3837" t="str">
        <f>"1552378428660140"</f>
        <v>1552378428660140</v>
      </c>
      <c r="C3837" t="s">
        <v>40</v>
      </c>
      <c r="D3837">
        <v>5.3841919999999996</v>
      </c>
      <c r="E3837">
        <v>0.44872269999999997</v>
      </c>
      <c r="F3837" t="s">
        <v>42</v>
      </c>
      <c r="G3837">
        <v>-191.18860000000001</v>
      </c>
      <c r="H3837" s="1">
        <v>-1.188449E-6</v>
      </c>
      <c r="I3837">
        <v>161.4367</v>
      </c>
      <c r="J3837">
        <v>-188.90600000000001</v>
      </c>
      <c r="K3837">
        <v>1.1101570000000001</v>
      </c>
      <c r="L3837">
        <v>184.45009999999999</v>
      </c>
      <c r="M3837">
        <v>-0.1126109</v>
      </c>
      <c r="N3837">
        <v>0</v>
      </c>
      <c r="O3837">
        <v>-0.99354869999999995</v>
      </c>
      <c r="P3837">
        <v>-0.23054939999999999</v>
      </c>
      <c r="Q3837">
        <v>-5.840033E-2</v>
      </c>
      <c r="R3837">
        <v>-0.97130680000000003</v>
      </c>
      <c r="S3837">
        <v>-0.298797599999999</v>
      </c>
      <c r="T3837">
        <v>-0.14395259999999999</v>
      </c>
      <c r="U3837">
        <v>-3.0091399999999999</v>
      </c>
      <c r="V3837">
        <v>0.119706199999999</v>
      </c>
      <c r="W3837">
        <v>-4.5057720000000002E-2</v>
      </c>
      <c r="X3837">
        <v>0.99178639999999996</v>
      </c>
      <c r="Y3837">
        <v>-1.399861E-2</v>
      </c>
      <c r="Z3837">
        <v>4.7210820000000001E-2</v>
      </c>
      <c r="AA3837">
        <v>0.99878690000000003</v>
      </c>
      <c r="AB3837">
        <v>19</v>
      </c>
      <c r="AC3837">
        <v>-2.2826000000000302</v>
      </c>
      <c r="AD3837">
        <v>-1.1101581884489999</v>
      </c>
      <c r="AE3837">
        <v>-23.013399999999901</v>
      </c>
      <c r="AF3837">
        <v>-0.32297027075455698</v>
      </c>
      <c r="AG3837">
        <v>-1.1101581884489999</v>
      </c>
      <c r="AH3837">
        <v>23.0708934410838</v>
      </c>
      <c r="AI3837">
        <v>92.754645624553305</v>
      </c>
      <c r="AJ3837">
        <v>90.802033297748906</v>
      </c>
      <c r="AK3837">
        <v>23.099845998816001</v>
      </c>
      <c r="AL3837">
        <v>92.582491475800694</v>
      </c>
      <c r="AM3837">
        <v>83.117829874736501</v>
      </c>
      <c r="AN3837">
        <v>1.0000000178374899</v>
      </c>
    </row>
    <row r="3838" spans="1:40" x14ac:dyDescent="0.25">
      <c r="A3838" t="str">
        <f>"20190312161348687"</f>
        <v>20190312161348687</v>
      </c>
      <c r="B3838" t="str">
        <f>"1552378428679661"</f>
        <v>1552378428679661</v>
      </c>
      <c r="C3838" t="s">
        <v>40</v>
      </c>
      <c r="D3838">
        <v>5.3224619999999998</v>
      </c>
      <c r="E3838">
        <v>0.44840279999999999</v>
      </c>
      <c r="F3838" t="s">
        <v>42</v>
      </c>
      <c r="G3838">
        <v>-191.22020000000001</v>
      </c>
      <c r="H3838" s="1">
        <v>-9.0970449999999997E-7</v>
      </c>
      <c r="I3838">
        <v>160.82919999999999</v>
      </c>
      <c r="J3838">
        <v>-188.92789999999999</v>
      </c>
      <c r="K3838">
        <v>1.1101939999999999</v>
      </c>
      <c r="L3838">
        <v>184.2551</v>
      </c>
      <c r="M3838">
        <v>-0.1124144</v>
      </c>
      <c r="N3838">
        <v>0</v>
      </c>
      <c r="O3838">
        <v>-0.99357110000000004</v>
      </c>
      <c r="P3838">
        <v>-0.2308277</v>
      </c>
      <c r="Q3838">
        <v>-5.8566229999999997E-2</v>
      </c>
      <c r="R3838">
        <v>-0.97123060000000005</v>
      </c>
      <c r="S3838">
        <v>-0.29490660000000002</v>
      </c>
      <c r="T3838">
        <v>-0.1414716</v>
      </c>
      <c r="U3838">
        <v>-3.0101010000000001</v>
      </c>
      <c r="V3838">
        <v>0.1201907</v>
      </c>
      <c r="W3838">
        <v>-4.5217300000000002E-2</v>
      </c>
      <c r="X3838">
        <v>0.9917205</v>
      </c>
      <c r="Y3838">
        <v>-1.51071E-2</v>
      </c>
      <c r="Z3838">
        <v>4.6388319999999997E-2</v>
      </c>
      <c r="AA3838">
        <v>0.99880919999999895</v>
      </c>
      <c r="AB3838">
        <v>19</v>
      </c>
      <c r="AC3838">
        <v>-2.2923000000000102</v>
      </c>
      <c r="AD3838">
        <v>-1.1101949097045001</v>
      </c>
      <c r="AE3838">
        <v>-23.425899999999999</v>
      </c>
      <c r="AF3838">
        <v>-0.35508744157738897</v>
      </c>
      <c r="AG3838">
        <v>-1.1101949097045001</v>
      </c>
      <c r="AH3838">
        <v>23.482855004606002</v>
      </c>
      <c r="AI3838">
        <v>92.706438394969396</v>
      </c>
      <c r="AJ3838">
        <v>90.866311244892401</v>
      </c>
      <c r="AK3838">
        <v>23.511765118681499</v>
      </c>
      <c r="AL3838">
        <v>92.591644164420202</v>
      </c>
      <c r="AM3838">
        <v>83.0897889600122</v>
      </c>
      <c r="AN3838">
        <v>0.99999997935301399</v>
      </c>
    </row>
    <row r="3839" spans="1:40" x14ac:dyDescent="0.25">
      <c r="A3839" t="str">
        <f>"20190312161348709"</f>
        <v>20190312161348709</v>
      </c>
      <c r="B3839" t="str">
        <f>"1552378428700157"</f>
        <v>1552378428700157</v>
      </c>
      <c r="C3839" t="s">
        <v>40</v>
      </c>
      <c r="D3839">
        <v>5.3979350000000004</v>
      </c>
      <c r="E3839">
        <v>0.44810660000000002</v>
      </c>
      <c r="F3839" t="s">
        <v>42</v>
      </c>
      <c r="G3839">
        <v>-191.2637</v>
      </c>
      <c r="H3839" s="1">
        <v>-6.6997349999999995E-7</v>
      </c>
      <c r="I3839">
        <v>160.29759999999999</v>
      </c>
      <c r="J3839">
        <v>-188.94829999999999</v>
      </c>
      <c r="K3839">
        <v>1.1102299999999901</v>
      </c>
      <c r="L3839">
        <v>184.07310000000001</v>
      </c>
      <c r="M3839">
        <v>-0.11216329999999999</v>
      </c>
      <c r="N3839">
        <v>0</v>
      </c>
      <c r="O3839">
        <v>-0.99359909999999996</v>
      </c>
      <c r="P3839">
        <v>-0.2308356</v>
      </c>
      <c r="Q3839">
        <v>-5.8194790000000003E-2</v>
      </c>
      <c r="R3839">
        <v>-0.97125079999999997</v>
      </c>
      <c r="S3839">
        <v>-0.2935333</v>
      </c>
      <c r="T3839">
        <v>-0.1395158</v>
      </c>
      <c r="U3839">
        <v>-3.0106809999999999</v>
      </c>
      <c r="V3839">
        <v>0.1204504</v>
      </c>
      <c r="W3839">
        <v>-4.4837759999999997E-2</v>
      </c>
      <c r="X3839">
        <v>0.99170630000000004</v>
      </c>
      <c r="Y3839">
        <v>-1.532152E-2</v>
      </c>
      <c r="Z3839">
        <v>4.574251E-2</v>
      </c>
      <c r="AA3839">
        <v>0.99883569999999999</v>
      </c>
      <c r="AB3839">
        <v>19</v>
      </c>
      <c r="AC3839">
        <v>-2.3154000000000101</v>
      </c>
      <c r="AD3839">
        <v>-1.1102306699734901</v>
      </c>
      <c r="AE3839">
        <v>-23.775500000000001</v>
      </c>
      <c r="AF3839">
        <v>-0.36540288701722601</v>
      </c>
      <c r="AG3839">
        <v>-1.1102306699734901</v>
      </c>
      <c r="AH3839">
        <v>23.833688310849801</v>
      </c>
      <c r="AI3839">
        <v>92.666734645727402</v>
      </c>
      <c r="AJ3839">
        <v>90.878353482801003</v>
      </c>
      <c r="AK3839">
        <v>23.8623307727709</v>
      </c>
      <c r="AL3839">
        <v>92.569875851987902</v>
      </c>
      <c r="AM3839">
        <v>83.074904477333305</v>
      </c>
      <c r="AN3839">
        <v>1.0000000545208301</v>
      </c>
    </row>
    <row r="3840" spans="1:40" x14ac:dyDescent="0.25">
      <c r="A3840" t="str">
        <f>"20190312161348730"</f>
        <v>20190312161348730</v>
      </c>
      <c r="B3840" t="str">
        <f>"1552378428719677"</f>
        <v>1552378428719677</v>
      </c>
      <c r="C3840" t="s">
        <v>40</v>
      </c>
      <c r="D3840">
        <v>5.239001</v>
      </c>
      <c r="E3840">
        <v>0.44790829999999998</v>
      </c>
      <c r="F3840" t="s">
        <v>42</v>
      </c>
      <c r="G3840">
        <v>-191.31309999999999</v>
      </c>
      <c r="H3840" s="1">
        <v>-3.6669120000000002E-7</v>
      </c>
      <c r="I3840">
        <v>159.6283</v>
      </c>
      <c r="J3840">
        <v>-188.9674</v>
      </c>
      <c r="K3840">
        <v>1.110268</v>
      </c>
      <c r="L3840">
        <v>183.90049999999999</v>
      </c>
      <c r="M3840">
        <v>-0.11186749999999999</v>
      </c>
      <c r="N3840">
        <v>0</v>
      </c>
      <c r="O3840">
        <v>-0.99363279999999998</v>
      </c>
      <c r="P3840">
        <v>-0.23079240000000001</v>
      </c>
      <c r="Q3840">
        <v>-5.7687500000000003E-2</v>
      </c>
      <c r="R3840">
        <v>-0.97129169999999998</v>
      </c>
      <c r="S3840">
        <v>-0.29132079999999999</v>
      </c>
      <c r="T3840">
        <v>-0.13676949999999999</v>
      </c>
      <c r="U3840">
        <v>-3.011368</v>
      </c>
      <c r="V3840">
        <v>0.1207014</v>
      </c>
      <c r="W3840">
        <v>-4.4322140000000003E-2</v>
      </c>
      <c r="X3840">
        <v>0.99169890000000005</v>
      </c>
      <c r="Y3840">
        <v>-1.5768830000000001E-2</v>
      </c>
      <c r="Z3840">
        <v>4.4837490000000001E-2</v>
      </c>
      <c r="AA3840">
        <v>0.99886980000000003</v>
      </c>
      <c r="AB3840">
        <v>19</v>
      </c>
      <c r="AC3840">
        <v>-2.3456999999999901</v>
      </c>
      <c r="AD3840">
        <v>-1.1102683666911899</v>
      </c>
      <c r="AE3840">
        <v>-24.272200000000002</v>
      </c>
      <c r="AF3840">
        <v>-0.38374488759379199</v>
      </c>
      <c r="AG3840">
        <v>-1.1102683666911899</v>
      </c>
      <c r="AH3840">
        <v>24.331810341989499</v>
      </c>
      <c r="AI3840">
        <v>92.612288258885101</v>
      </c>
      <c r="AJ3840">
        <v>90.903555446899205</v>
      </c>
      <c r="AK3840">
        <v>24.360150871933801</v>
      </c>
      <c r="AL3840">
        <v>92.540303756735</v>
      </c>
      <c r="AM3840">
        <v>83.060562938374005</v>
      </c>
      <c r="AN3840">
        <v>0.99999999415867402</v>
      </c>
    </row>
    <row r="3841" spans="1:40" x14ac:dyDescent="0.25">
      <c r="A3841" t="str">
        <f>"20190312161348753"</f>
        <v>20190312161348753</v>
      </c>
      <c r="B3841" t="str">
        <f>"1552378428749933"</f>
        <v>1552378428749933</v>
      </c>
      <c r="C3841" t="s">
        <v>40</v>
      </c>
      <c r="D3841">
        <v>5.3943250000000003</v>
      </c>
      <c r="E3841">
        <v>0.4476716</v>
      </c>
      <c r="F3841" t="s">
        <v>84</v>
      </c>
      <c r="G3841">
        <v>-191.35570000000001</v>
      </c>
      <c r="H3841" s="1">
        <v>-1.483786E-5</v>
      </c>
      <c r="I3841">
        <v>159.06139999999999</v>
      </c>
      <c r="J3841">
        <v>-188.9879</v>
      </c>
      <c r="K3841">
        <v>1.110301</v>
      </c>
      <c r="L3841">
        <v>183.71459999999999</v>
      </c>
      <c r="M3841">
        <v>-0.11149340000000001</v>
      </c>
      <c r="N3841">
        <v>0</v>
      </c>
      <c r="O3841">
        <v>-0.99367470000000002</v>
      </c>
      <c r="P3841">
        <v>-0.2308518</v>
      </c>
      <c r="Q3841">
        <v>-5.8029520000000001E-2</v>
      </c>
      <c r="R3841">
        <v>-0.97125720000000004</v>
      </c>
      <c r="S3841">
        <v>-0.28959659999999998</v>
      </c>
      <c r="T3841">
        <v>-0.13462750000000001</v>
      </c>
      <c r="U3841">
        <v>-3.0118710000000002</v>
      </c>
      <c r="V3841">
        <v>0.121140899999999</v>
      </c>
      <c r="W3841">
        <v>-4.465765E-2</v>
      </c>
      <c r="X3841">
        <v>0.99163029999999996</v>
      </c>
      <c r="Y3841">
        <v>-1.5971889999999999E-2</v>
      </c>
      <c r="Z3841">
        <v>4.4133249999999999E-2</v>
      </c>
      <c r="AA3841">
        <v>0.99889799999999995</v>
      </c>
      <c r="AB3841">
        <v>19</v>
      </c>
      <c r="AC3841">
        <v>-2.3678000000000101</v>
      </c>
      <c r="AD3841">
        <v>-1.11031583786</v>
      </c>
      <c r="AE3841">
        <v>-24.653199999999998</v>
      </c>
      <c r="AF3841">
        <v>-0.39508767015341401</v>
      </c>
      <c r="AG3841">
        <v>-1.11031583786</v>
      </c>
      <c r="AH3841">
        <v>24.7138111908288</v>
      </c>
      <c r="AI3841">
        <v>92.572065866494896</v>
      </c>
      <c r="AJ3841">
        <v>90.915881720349603</v>
      </c>
      <c r="AK3841">
        <v>24.741894816340199</v>
      </c>
      <c r="AL3841">
        <v>92.559546005737701</v>
      </c>
      <c r="AM3841">
        <v>83.035065592743507</v>
      </c>
      <c r="AN3841">
        <v>1.00000003761721</v>
      </c>
    </row>
    <row r="3842" spans="1:40" x14ac:dyDescent="0.25">
      <c r="A3842" t="str">
        <f>"20190312161348779"</f>
        <v>20190312161348779</v>
      </c>
      <c r="B3842" t="str">
        <f>"1552378428769453"</f>
        <v>1552378428769453</v>
      </c>
      <c r="C3842" t="s">
        <v>40</v>
      </c>
      <c r="D3842">
        <v>5.3938059999999997</v>
      </c>
      <c r="E3842">
        <v>0.4475094</v>
      </c>
      <c r="F3842" t="s">
        <v>84</v>
      </c>
      <c r="G3842">
        <v>-191.36859999999999</v>
      </c>
      <c r="H3842" s="1">
        <v>-1.4760869999999999E-5</v>
      </c>
      <c r="I3842">
        <v>158.81970000000001</v>
      </c>
      <c r="J3842">
        <v>-189.0111</v>
      </c>
      <c r="K3842">
        <v>1.1103289999999999</v>
      </c>
      <c r="L3842">
        <v>183.50319999999999</v>
      </c>
      <c r="M3842">
        <v>-0.11100260000000001</v>
      </c>
      <c r="N3842">
        <v>0</v>
      </c>
      <c r="O3842">
        <v>-0.9937298</v>
      </c>
      <c r="P3842">
        <v>-0.2309795</v>
      </c>
      <c r="Q3842">
        <v>-5.7711819999999997E-2</v>
      </c>
      <c r="R3842">
        <v>-0.97124600000000005</v>
      </c>
      <c r="S3842">
        <v>-0.28805540000000002</v>
      </c>
      <c r="T3842">
        <v>-0.13434839999999901</v>
      </c>
      <c r="U3842">
        <v>-3.012283</v>
      </c>
      <c r="V3842">
        <v>0.1217612</v>
      </c>
      <c r="W3842">
        <v>-4.4334489999999997E-2</v>
      </c>
      <c r="X3842">
        <v>0.99156880000000003</v>
      </c>
      <c r="Y3842">
        <v>-1.599712E-2</v>
      </c>
      <c r="Z3842">
        <v>4.4040669999999997E-2</v>
      </c>
      <c r="AA3842">
        <v>0.9989017</v>
      </c>
      <c r="AB3842">
        <v>19</v>
      </c>
      <c r="AC3842">
        <v>-2.3574999999999799</v>
      </c>
      <c r="AD3842">
        <v>-1.11034376087</v>
      </c>
      <c r="AE3842">
        <v>-24.683499999999899</v>
      </c>
      <c r="AF3842">
        <v>-0.39645535748608302</v>
      </c>
      <c r="AG3842">
        <v>-1.11034376087</v>
      </c>
      <c r="AH3842">
        <v>24.743028750525099</v>
      </c>
      <c r="AI3842">
        <v>92.569095766671694</v>
      </c>
      <c r="AJ3842">
        <v>90.917966646567706</v>
      </c>
      <c r="AK3842">
        <v>24.771102354701402</v>
      </c>
      <c r="AL3842">
        <v>92.541012013087695</v>
      </c>
      <c r="AM3842">
        <v>82.999324857001398</v>
      </c>
      <c r="AN3842">
        <v>1.0000000109812199</v>
      </c>
    </row>
    <row r="3843" spans="1:40" x14ac:dyDescent="0.25">
      <c r="A3843" t="str">
        <f>"20190312161348800"</f>
        <v>20190312161348800</v>
      </c>
      <c r="B3843" t="str">
        <f>"1552378428789949"</f>
        <v>1552378428789949</v>
      </c>
      <c r="C3843" t="s">
        <v>40</v>
      </c>
      <c r="D3843">
        <v>5.4031149999999997</v>
      </c>
      <c r="E3843">
        <v>0.44734800000000002</v>
      </c>
      <c r="F3843" t="s">
        <v>84</v>
      </c>
      <c r="G3843">
        <v>-191.42140000000001</v>
      </c>
      <c r="H3843" s="1">
        <v>-1.4511729999999901E-5</v>
      </c>
      <c r="I3843">
        <v>158.22799999999901</v>
      </c>
      <c r="J3843">
        <v>-189.03049999999999</v>
      </c>
      <c r="K3843">
        <v>1.110352</v>
      </c>
      <c r="L3843">
        <v>183.3246</v>
      </c>
      <c r="M3843">
        <v>-0.1105353</v>
      </c>
      <c r="N3843">
        <v>0</v>
      </c>
      <c r="O3843">
        <v>-0.99378180000000005</v>
      </c>
      <c r="P3843">
        <v>-0.229933</v>
      </c>
      <c r="Q3843">
        <v>-5.6811260000000002E-2</v>
      </c>
      <c r="R3843">
        <v>-0.97154700000000005</v>
      </c>
      <c r="S3843">
        <v>-0.28729250000000001</v>
      </c>
      <c r="T3843">
        <v>-0.13234570000000001</v>
      </c>
      <c r="U3843">
        <v>-3.0126339999999998</v>
      </c>
      <c r="V3843">
        <v>0.1211551</v>
      </c>
      <c r="W3843">
        <v>-4.3429099999999998E-2</v>
      </c>
      <c r="X3843">
        <v>0.99168310000000004</v>
      </c>
      <c r="Y3843">
        <v>-1.578591E-2</v>
      </c>
      <c r="Z3843">
        <v>4.3384409999999998E-2</v>
      </c>
      <c r="AA3843">
        <v>0.99893370000000004</v>
      </c>
      <c r="AB3843">
        <v>19</v>
      </c>
      <c r="AC3843">
        <v>-2.39090000000001</v>
      </c>
      <c r="AD3843">
        <v>-1.1103665117299999</v>
      </c>
      <c r="AE3843">
        <v>-25.096599999999999</v>
      </c>
      <c r="AF3843">
        <v>-0.39729236127492901</v>
      </c>
      <c r="AG3843">
        <v>-1.1103665117299999</v>
      </c>
      <c r="AH3843">
        <v>25.158283372258101</v>
      </c>
      <c r="AI3843">
        <v>92.526807491882906</v>
      </c>
      <c r="AJ3843">
        <v>90.904723238353</v>
      </c>
      <c r="AK3843">
        <v>25.185908307018401</v>
      </c>
      <c r="AL3843">
        <v>92.489086975890004</v>
      </c>
      <c r="AM3843">
        <v>83.034624423857395</v>
      </c>
      <c r="AN3843">
        <v>1.00000000790421</v>
      </c>
    </row>
    <row r="3844" spans="1:40" x14ac:dyDescent="0.25">
      <c r="A3844" t="str">
        <f>"20190312161348820"</f>
        <v>20190312161348820</v>
      </c>
      <c r="B3844" t="str">
        <f>"1552378428809469"</f>
        <v>1552378428809469</v>
      </c>
      <c r="C3844" t="s">
        <v>40</v>
      </c>
      <c r="D3844">
        <v>5.4096950000000001</v>
      </c>
      <c r="E3844">
        <v>0.44721420000000001</v>
      </c>
      <c r="F3844" t="s">
        <v>84</v>
      </c>
      <c r="G3844">
        <v>-191.4478</v>
      </c>
      <c r="H3844" s="1">
        <v>-1.4231019999999999E-5</v>
      </c>
      <c r="I3844">
        <v>157.56819999999999</v>
      </c>
      <c r="J3844">
        <v>-189.04859999999999</v>
      </c>
      <c r="K3844">
        <v>1.1103700000000001</v>
      </c>
      <c r="L3844">
        <v>183.1568</v>
      </c>
      <c r="M3844">
        <v>-0.1100541</v>
      </c>
      <c r="N3844">
        <v>0</v>
      </c>
      <c r="O3844">
        <v>-0.99383540000000004</v>
      </c>
      <c r="P3844">
        <v>-0.2288319</v>
      </c>
      <c r="Q3844">
        <v>-5.6804800000000003E-2</v>
      </c>
      <c r="R3844">
        <v>-0.97180759999999999</v>
      </c>
      <c r="S3844">
        <v>-0.28280640000000001</v>
      </c>
      <c r="T3844">
        <v>-0.12990650000000001</v>
      </c>
      <c r="U3844">
        <v>-3.0133510000000001</v>
      </c>
      <c r="V3844">
        <v>0.1205136</v>
      </c>
      <c r="W3844">
        <v>-4.3418850000000002E-2</v>
      </c>
      <c r="X3844">
        <v>0.99176169999999997</v>
      </c>
      <c r="Y3844">
        <v>-1.6794900000000001E-2</v>
      </c>
      <c r="Z3844">
        <v>4.258228E-2</v>
      </c>
      <c r="AA3844">
        <v>0.99895179999999995</v>
      </c>
      <c r="AB3844">
        <v>19</v>
      </c>
      <c r="AC3844">
        <v>-2.3992</v>
      </c>
      <c r="AD3844">
        <v>-1.1103842310200001</v>
      </c>
      <c r="AE3844">
        <v>-25.5886</v>
      </c>
      <c r="AF3844">
        <v>-0.430954736915651</v>
      </c>
      <c r="AG3844">
        <v>-1.1103842310200001</v>
      </c>
      <c r="AH3844">
        <v>25.6493249325958</v>
      </c>
      <c r="AI3844">
        <v>92.4784928939835</v>
      </c>
      <c r="AJ3844">
        <v>90.962581453319899</v>
      </c>
      <c r="AK3844">
        <v>25.676965253387099</v>
      </c>
      <c r="AL3844">
        <v>92.488499166936705</v>
      </c>
      <c r="AM3844">
        <v>83.071689486288804</v>
      </c>
      <c r="AN3844">
        <v>0.99999999695358599</v>
      </c>
    </row>
    <row r="3845" spans="1:40" x14ac:dyDescent="0.25">
      <c r="A3845" t="str">
        <f>"20190312161348842"</f>
        <v>20190312161348842</v>
      </c>
      <c r="B3845" t="str">
        <f>"1552378428839725"</f>
        <v>1552378428839725</v>
      </c>
      <c r="C3845" t="s">
        <v>40</v>
      </c>
      <c r="D3845">
        <v>5.4162720000000002</v>
      </c>
      <c r="E3845">
        <v>0.44696590000000003</v>
      </c>
      <c r="F3845" t="s">
        <v>84</v>
      </c>
      <c r="G3845">
        <v>-191.4248</v>
      </c>
      <c r="H3845" s="1">
        <v>-1.416383E-5</v>
      </c>
      <c r="I3845">
        <v>157.41640000000001</v>
      </c>
      <c r="J3845">
        <v>-189.0677</v>
      </c>
      <c r="K3845">
        <v>1.1103860000000001</v>
      </c>
      <c r="L3845">
        <v>182.9785</v>
      </c>
      <c r="M3845">
        <v>-0.10950650000000001</v>
      </c>
      <c r="N3845">
        <v>0</v>
      </c>
      <c r="O3845">
        <v>-0.99389590000000005</v>
      </c>
      <c r="P3845">
        <v>-0.22843569999999999</v>
      </c>
      <c r="Q3845">
        <v>-5.7625599999999999E-2</v>
      </c>
      <c r="R3845">
        <v>-0.9718523</v>
      </c>
      <c r="S3845">
        <v>-0.2782288</v>
      </c>
      <c r="T3845">
        <v>-0.1300135</v>
      </c>
      <c r="U3845">
        <v>-3.013916</v>
      </c>
      <c r="V3845">
        <v>0.1206634</v>
      </c>
      <c r="W3845">
        <v>-4.4236900000000003E-2</v>
      </c>
      <c r="X3845">
        <v>0.99170729999999996</v>
      </c>
      <c r="Y3845">
        <v>-1.776575E-2</v>
      </c>
      <c r="Z3845">
        <v>4.261583E-2</v>
      </c>
      <c r="AA3845">
        <v>0.99893359999999998</v>
      </c>
      <c r="AB3845">
        <v>19</v>
      </c>
      <c r="AC3845">
        <v>-2.3571</v>
      </c>
      <c r="AD3845">
        <v>-1.1104001638299901</v>
      </c>
      <c r="AE3845">
        <v>-25.562099999999901</v>
      </c>
      <c r="AF3845">
        <v>-0.45569237117378197</v>
      </c>
      <c r="AG3845">
        <v>-1.1104001638299901</v>
      </c>
      <c r="AH3845">
        <v>25.618550857026101</v>
      </c>
      <c r="AI3845">
        <v>92.481459764420407</v>
      </c>
      <c r="AJ3845">
        <v>91.019046574903598</v>
      </c>
      <c r="AK3845">
        <v>25.646652648542901</v>
      </c>
      <c r="AL3845">
        <v>92.535415145683302</v>
      </c>
      <c r="AM3845">
        <v>83.062784552192298</v>
      </c>
      <c r="AN3845">
        <v>0.99999996414722903</v>
      </c>
    </row>
    <row r="3846" spans="1:40" x14ac:dyDescent="0.25">
      <c r="A3846" t="str">
        <f>"20190312161348866"</f>
        <v>20190312161348866</v>
      </c>
      <c r="B3846" t="str">
        <f>"1552378428860221"</f>
        <v>1552378428860221</v>
      </c>
      <c r="C3846" t="s">
        <v>40</v>
      </c>
      <c r="D3846">
        <v>5.426933</v>
      </c>
      <c r="E3846">
        <v>0.44679570000000002</v>
      </c>
      <c r="F3846" t="s">
        <v>84</v>
      </c>
      <c r="G3846">
        <v>-191.38919999999999</v>
      </c>
      <c r="H3846" s="1">
        <v>-1.421855E-5</v>
      </c>
      <c r="I3846">
        <v>157.5513</v>
      </c>
      <c r="J3846">
        <v>-189.08840000000001</v>
      </c>
      <c r="K3846">
        <v>1.1103940000000001</v>
      </c>
      <c r="L3846">
        <v>182.7842</v>
      </c>
      <c r="M3846">
        <v>-0.10887719999999999</v>
      </c>
      <c r="N3846">
        <v>0</v>
      </c>
      <c r="O3846">
        <v>-0.99396499999999999</v>
      </c>
      <c r="P3846">
        <v>-0.2278607</v>
      </c>
      <c r="Q3846">
        <v>-5.831944E-2</v>
      </c>
      <c r="R3846">
        <v>-0.97194570000000002</v>
      </c>
      <c r="S3846">
        <v>-0.27520749999999999</v>
      </c>
      <c r="T3846">
        <v>-0.13163729999999901</v>
      </c>
      <c r="U3846">
        <v>-3.014389</v>
      </c>
      <c r="V3846">
        <v>0.1207116</v>
      </c>
      <c r="W3846">
        <v>-4.492815E-2</v>
      </c>
      <c r="X3846">
        <v>0.99167039999999995</v>
      </c>
      <c r="Y3846">
        <v>-1.8141919999999999E-2</v>
      </c>
      <c r="Z3846">
        <v>4.3146700000000003E-2</v>
      </c>
      <c r="AA3846">
        <v>0.99890400000000001</v>
      </c>
      <c r="AB3846">
        <v>19</v>
      </c>
      <c r="AC3846">
        <v>-2.3007999999999802</v>
      </c>
      <c r="AD3846">
        <v>-1.1104082185499999</v>
      </c>
      <c r="AE3846">
        <v>-25.232900000000001</v>
      </c>
      <c r="AF3846">
        <v>-0.45953154114677802</v>
      </c>
      <c r="AG3846">
        <v>-1.1104082185499999</v>
      </c>
      <c r="AH3846">
        <v>25.284833935511401</v>
      </c>
      <c r="AI3846">
        <v>92.514169837258606</v>
      </c>
      <c r="AJ3846">
        <v>91.041190131721393</v>
      </c>
      <c r="AK3846">
        <v>25.313375965989302</v>
      </c>
      <c r="AL3846">
        <v>92.575060167536293</v>
      </c>
      <c r="AM3846">
        <v>83.0597847260169</v>
      </c>
      <c r="AN3846">
        <v>1.0000000056365701</v>
      </c>
    </row>
    <row r="3847" spans="1:40" x14ac:dyDescent="0.25">
      <c r="A3847" t="str">
        <f>"20190312161348888"</f>
        <v>20190312161348888</v>
      </c>
      <c r="B3847" t="str">
        <f>"1552378428879747"</f>
        <v>1552378428879747</v>
      </c>
      <c r="C3847" t="s">
        <v>40</v>
      </c>
      <c r="D3847">
        <v>5.4800219999999999</v>
      </c>
      <c r="E3847">
        <v>0.44666250000000002</v>
      </c>
      <c r="F3847" t="s">
        <v>84</v>
      </c>
      <c r="G3847">
        <v>-191.35720000000001</v>
      </c>
      <c r="H3847" s="1">
        <v>-1.426193E-5</v>
      </c>
      <c r="I3847">
        <v>157.65899999999999</v>
      </c>
      <c r="J3847">
        <v>-189.10810000000001</v>
      </c>
      <c r="K3847">
        <v>1.1104099999999999</v>
      </c>
      <c r="L3847">
        <v>182.59729999999999</v>
      </c>
      <c r="M3847">
        <v>-0.108248499999999</v>
      </c>
      <c r="N3847">
        <v>0</v>
      </c>
      <c r="O3847">
        <v>-0.99403350000000001</v>
      </c>
      <c r="P3847">
        <v>-0.22661719999999999</v>
      </c>
      <c r="Q3847">
        <v>-5.7351449999999998E-2</v>
      </c>
      <c r="R3847">
        <v>-0.97229399999999999</v>
      </c>
      <c r="S3847">
        <v>-0.27223209999999998</v>
      </c>
      <c r="T3847">
        <v>-0.13323779999999999</v>
      </c>
      <c r="U3847">
        <v>-3.0147710000000001</v>
      </c>
      <c r="V3847">
        <v>0.1200647</v>
      </c>
      <c r="W3847">
        <v>-4.3957650000000001E-2</v>
      </c>
      <c r="X3847">
        <v>0.99179240000000002</v>
      </c>
      <c r="Y3847">
        <v>-1.8500880000000001E-2</v>
      </c>
      <c r="Z3847">
        <v>4.3671099999999997E-2</v>
      </c>
      <c r="AA3847">
        <v>0.9988747</v>
      </c>
      <c r="AB3847">
        <v>19</v>
      </c>
      <c r="AC3847">
        <v>-2.2490999999999901</v>
      </c>
      <c r="AD3847">
        <v>-1.11042426193</v>
      </c>
      <c r="AE3847">
        <v>-24.938300000000002</v>
      </c>
      <c r="AF3847">
        <v>-0.46298397156645699</v>
      </c>
      <c r="AG3847">
        <v>-1.11042426193</v>
      </c>
      <c r="AH3847">
        <v>24.986077629346799</v>
      </c>
      <c r="AI3847">
        <v>92.544212414435705</v>
      </c>
      <c r="AJ3847">
        <v>91.061550858945196</v>
      </c>
      <c r="AK3847">
        <v>25.015024915021701</v>
      </c>
      <c r="AL3847">
        <v>92.519399664557</v>
      </c>
      <c r="AM3847">
        <v>83.097458841283498</v>
      </c>
      <c r="AN3847">
        <v>0.999999985938686</v>
      </c>
    </row>
    <row r="3848" spans="1:40" x14ac:dyDescent="0.25">
      <c r="A3848" t="str">
        <f>"20190312161348909"</f>
        <v>20190312161348909</v>
      </c>
      <c r="B3848" t="str">
        <f>"1552378428900237"</f>
        <v>1552378428900237</v>
      </c>
      <c r="C3848" t="s">
        <v>40</v>
      </c>
      <c r="D3848">
        <v>5.4528349999999897</v>
      </c>
      <c r="E3848">
        <v>0.44655850000000002</v>
      </c>
      <c r="F3848" t="s">
        <v>84</v>
      </c>
      <c r="G3848">
        <v>-191.39250000000001</v>
      </c>
      <c r="H3848" s="1">
        <v>-1.390956E-5</v>
      </c>
      <c r="I3848">
        <v>156.83029999999999</v>
      </c>
      <c r="J3848">
        <v>-189.12649999999999</v>
      </c>
      <c r="K3848">
        <v>1.110414</v>
      </c>
      <c r="L3848">
        <v>182.42169999999999</v>
      </c>
      <c r="M3848">
        <v>-0.107643</v>
      </c>
      <c r="N3848">
        <v>0</v>
      </c>
      <c r="O3848">
        <v>-0.99409930000000002</v>
      </c>
      <c r="P3848">
        <v>-0.22524720000000001</v>
      </c>
      <c r="Q3848">
        <v>-5.6535410000000001E-2</v>
      </c>
      <c r="R3848">
        <v>-0.97265990000000002</v>
      </c>
      <c r="S3848">
        <v>-0.26734920000000001</v>
      </c>
      <c r="T3848">
        <v>-0.12995329999999999</v>
      </c>
      <c r="U3848">
        <v>-3.0155180000000001</v>
      </c>
      <c r="V3848">
        <v>0.11926639999999999</v>
      </c>
      <c r="W3848">
        <v>-4.3141829999999999E-2</v>
      </c>
      <c r="X3848">
        <v>0.99192449999999999</v>
      </c>
      <c r="Y3848">
        <v>-1.9514480000000001E-2</v>
      </c>
      <c r="Z3848">
        <v>4.2592890000000001E-2</v>
      </c>
      <c r="AA3848">
        <v>0.99890190000000001</v>
      </c>
      <c r="AB3848">
        <v>19</v>
      </c>
      <c r="AC3848">
        <v>-2.26600000000002</v>
      </c>
      <c r="AD3848">
        <v>-1.11042790956</v>
      </c>
      <c r="AE3848">
        <v>-25.5914</v>
      </c>
      <c r="AF3848">
        <v>-0.50121482196835498</v>
      </c>
      <c r="AG3848">
        <v>-1.11042790956</v>
      </c>
      <c r="AH3848">
        <v>25.638722405789</v>
      </c>
      <c r="AI3848">
        <v>92.479490355194997</v>
      </c>
      <c r="AJ3848">
        <v>91.119940221817203</v>
      </c>
      <c r="AK3848">
        <v>25.6676518801622</v>
      </c>
      <c r="AL3848">
        <v>92.472612312921697</v>
      </c>
      <c r="AM3848">
        <v>83.143819337257398</v>
      </c>
      <c r="AN3848">
        <v>0.99999995268247799</v>
      </c>
    </row>
    <row r="3849" spans="1:40" x14ac:dyDescent="0.25">
      <c r="A3849" t="str">
        <f>"20190312161348931"</f>
        <v>20190312161348931</v>
      </c>
      <c r="B3849" t="str">
        <f>"1552378428929516"</f>
        <v>1552378428929516</v>
      </c>
      <c r="C3849" t="s">
        <v>40</v>
      </c>
      <c r="D3849">
        <v>5.5086680000000001</v>
      </c>
      <c r="E3849">
        <v>0.42405789999999999</v>
      </c>
      <c r="F3849" t="s">
        <v>84</v>
      </c>
      <c r="G3849">
        <v>-191.39959999999999</v>
      </c>
      <c r="H3849" s="1">
        <v>-1.366592E-5</v>
      </c>
      <c r="I3849">
        <v>156.26089999999999</v>
      </c>
      <c r="J3849">
        <v>-189.14510000000001</v>
      </c>
      <c r="K3849">
        <v>1.110414</v>
      </c>
      <c r="L3849">
        <v>182.24270000000001</v>
      </c>
      <c r="M3849">
        <v>-0.1070185</v>
      </c>
      <c r="N3849">
        <v>0</v>
      </c>
      <c r="O3849">
        <v>-0.99416669999999996</v>
      </c>
      <c r="P3849">
        <v>-0.22430659999999999</v>
      </c>
      <c r="Q3849">
        <v>-5.724315E-2</v>
      </c>
      <c r="R3849">
        <v>-0.97283569999999997</v>
      </c>
      <c r="S3849">
        <v>-0.26206970000000002</v>
      </c>
      <c r="T3849">
        <v>-0.12802539999999901</v>
      </c>
      <c r="U3849">
        <v>-3.0161739999999999</v>
      </c>
      <c r="V3849">
        <v>0.1189349</v>
      </c>
      <c r="W3849">
        <v>-4.3853499999999997E-2</v>
      </c>
      <c r="X3849">
        <v>0.99193319999999996</v>
      </c>
      <c r="Y3849">
        <v>-2.0638279999999998E-2</v>
      </c>
      <c r="Z3849">
        <v>4.1960070000000002E-2</v>
      </c>
      <c r="AA3849">
        <v>0.99890610000000002</v>
      </c>
      <c r="AB3849">
        <v>18</v>
      </c>
      <c r="AC3849">
        <v>-2.2544999999999802</v>
      </c>
      <c r="AD3849">
        <v>-1.1104276659200001</v>
      </c>
      <c r="AE3849">
        <v>-25.9818</v>
      </c>
      <c r="AF3849">
        <v>-0.53825703726695195</v>
      </c>
      <c r="AG3849">
        <v>-1.1104276659200001</v>
      </c>
      <c r="AH3849">
        <v>26.026670394498002</v>
      </c>
      <c r="AI3849">
        <v>92.442520647402503</v>
      </c>
      <c r="AJ3849">
        <v>91.184763952656496</v>
      </c>
      <c r="AK3849">
        <v>26.055908006884799</v>
      </c>
      <c r="AL3849">
        <v>92.513426371402005</v>
      </c>
      <c r="AM3849">
        <v>83.1627547861914</v>
      </c>
      <c r="AN3849">
        <v>1.0000000565812399</v>
      </c>
    </row>
    <row r="3850" spans="1:40" x14ac:dyDescent="0.25">
      <c r="A3850" t="str">
        <f>"20190312161348953"</f>
        <v>20190312161348953</v>
      </c>
      <c r="B3850" t="str">
        <f>"1552378428950013"</f>
        <v>1552378428950013</v>
      </c>
      <c r="C3850" t="s">
        <v>40</v>
      </c>
      <c r="D3850">
        <v>5.4490629999999998</v>
      </c>
      <c r="E3850">
        <v>0.41687410000000003</v>
      </c>
      <c r="F3850" t="s">
        <v>84</v>
      </c>
      <c r="G3850">
        <v>-190.18799999999999</v>
      </c>
      <c r="H3850" s="1">
        <v>-9.5532989999999994E-6</v>
      </c>
      <c r="I3850">
        <v>145.16050000000001</v>
      </c>
      <c r="J3850">
        <v>-189.16390000000001</v>
      </c>
      <c r="K3850">
        <v>1.1104000000000001</v>
      </c>
      <c r="L3850">
        <v>182.06120000000001</v>
      </c>
      <c r="M3850">
        <v>-0.1063854</v>
      </c>
      <c r="N3850">
        <v>0</v>
      </c>
      <c r="O3850">
        <v>-0.99423490000000003</v>
      </c>
      <c r="P3850">
        <v>-0.2233137</v>
      </c>
      <c r="Q3850">
        <v>-5.7916879999999997E-2</v>
      </c>
      <c r="R3850">
        <v>-0.97302469999999996</v>
      </c>
      <c r="S3850">
        <v>-8.6013790000000007E-2</v>
      </c>
      <c r="T3850">
        <v>-9.1588139999999998E-2</v>
      </c>
      <c r="U3850">
        <v>-3.058548</v>
      </c>
      <c r="V3850">
        <v>0.1185582</v>
      </c>
      <c r="W3850">
        <v>-4.4532710000000003E-2</v>
      </c>
      <c r="X3850">
        <v>0.99194800000000005</v>
      </c>
      <c r="Y3850">
        <v>-7.8413460000000004E-2</v>
      </c>
      <c r="Z3850">
        <v>2.9624959999999999E-2</v>
      </c>
      <c r="AA3850">
        <v>0.99648060000000005</v>
      </c>
      <c r="AB3850">
        <v>18</v>
      </c>
      <c r="AC3850">
        <v>-1.02409999999997</v>
      </c>
      <c r="AD3850">
        <v>-1.1104095532989999</v>
      </c>
      <c r="AE3850">
        <v>-36.900700000000001</v>
      </c>
      <c r="AF3850">
        <v>-2.9051315604409198</v>
      </c>
      <c r="AG3850">
        <v>-1.1104095532989999</v>
      </c>
      <c r="AH3850">
        <v>36.766941348042401</v>
      </c>
      <c r="AI3850">
        <v>91.724509691758499</v>
      </c>
      <c r="AJ3850">
        <v>94.517826569693298</v>
      </c>
      <c r="AK3850">
        <v>36.898248940158702</v>
      </c>
      <c r="AL3850">
        <v>92.552380382684504</v>
      </c>
      <c r="AM3850">
        <v>83.184306945467398</v>
      </c>
      <c r="AN3850">
        <v>1.00000002187559</v>
      </c>
    </row>
    <row r="3851" spans="1:40" x14ac:dyDescent="0.25">
      <c r="A3851" t="str">
        <f>"20190312161348979"</f>
        <v>20190312161348979</v>
      </c>
      <c r="B3851" t="str">
        <f>"1552378428969533"</f>
        <v>1552378428969533</v>
      </c>
      <c r="C3851" t="s">
        <v>40</v>
      </c>
      <c r="D3851">
        <v>5.4860319999999998</v>
      </c>
      <c r="E3851">
        <v>0.41441080000000002</v>
      </c>
      <c r="F3851" t="s">
        <v>84</v>
      </c>
      <c r="G3851">
        <v>-189.61429999999999</v>
      </c>
      <c r="H3851" s="1">
        <v>-5.9981460000000002E-6</v>
      </c>
      <c r="I3851">
        <v>133.13839999999999</v>
      </c>
      <c r="J3851">
        <v>-189.18440000000001</v>
      </c>
      <c r="K3851">
        <v>1.110384</v>
      </c>
      <c r="L3851">
        <v>181.8605</v>
      </c>
      <c r="M3851">
        <v>-0.105693</v>
      </c>
      <c r="N3851">
        <v>0</v>
      </c>
      <c r="O3851">
        <v>-0.99430890000000005</v>
      </c>
      <c r="P3851">
        <v>-0.22223280000000001</v>
      </c>
      <c r="Q3851">
        <v>-5.7334070000000001E-2</v>
      </c>
      <c r="R3851">
        <v>-0.97330700000000003</v>
      </c>
      <c r="S3851">
        <v>-2.8289789999999999E-2</v>
      </c>
      <c r="T3851">
        <v>-6.9737080000000007E-2</v>
      </c>
      <c r="U3851">
        <v>-3.0725099999999999</v>
      </c>
      <c r="V3851">
        <v>0.1181417</v>
      </c>
      <c r="W3851">
        <v>-4.3955649999999999E-2</v>
      </c>
      <c r="X3851">
        <v>0.9920234</v>
      </c>
      <c r="Y3851">
        <v>-9.65448E-2</v>
      </c>
      <c r="Z3851">
        <v>2.2447160000000001E-2</v>
      </c>
      <c r="AA3851">
        <v>0.9950755</v>
      </c>
      <c r="AB3851">
        <v>18</v>
      </c>
      <c r="AC3851">
        <v>-0.42989999999997502</v>
      </c>
      <c r="AD3851">
        <v>-1.1103899981459999</v>
      </c>
      <c r="AE3851">
        <v>-48.722099999999998</v>
      </c>
      <c r="AF3851">
        <v>-4.7201023228950101</v>
      </c>
      <c r="AG3851">
        <v>-1.1103899981459999</v>
      </c>
      <c r="AH3851">
        <v>48.469417825071403</v>
      </c>
      <c r="AI3851">
        <v>91.306187486719907</v>
      </c>
      <c r="AJ3851">
        <v>95.562102385816701</v>
      </c>
      <c r="AK3851">
        <v>48.711362085122701</v>
      </c>
      <c r="AL3851">
        <v>92.519284943580701</v>
      </c>
      <c r="AM3851">
        <v>83.208538106702093</v>
      </c>
      <c r="AN3851">
        <v>0.99999999329668599</v>
      </c>
    </row>
    <row r="3852" spans="1:40" x14ac:dyDescent="0.25">
      <c r="A3852" t="str">
        <f>"20190312161349021"</f>
        <v>20190312161349021</v>
      </c>
      <c r="B3852" t="str">
        <f>"1552378429009550"</f>
        <v>1552378429009550</v>
      </c>
      <c r="C3852" t="s">
        <v>40</v>
      </c>
      <c r="D3852">
        <v>5.4793989999999999</v>
      </c>
      <c r="E3852">
        <v>0.41254439999999998</v>
      </c>
      <c r="F3852" t="s">
        <v>84</v>
      </c>
      <c r="G3852">
        <v>-189.29769999999999</v>
      </c>
      <c r="H3852" s="1">
        <v>-1.847006E-6</v>
      </c>
      <c r="I3852">
        <v>122.81789999999999</v>
      </c>
      <c r="J3852">
        <v>-189.2201</v>
      </c>
      <c r="K3852">
        <v>1.1103590000000001</v>
      </c>
      <c r="L3852">
        <v>181.5102</v>
      </c>
      <c r="M3852">
        <v>-0.104516</v>
      </c>
      <c r="N3852">
        <v>0</v>
      </c>
      <c r="O3852">
        <v>-0.99443309999999996</v>
      </c>
      <c r="P3852">
        <v>-0.22092290000000001</v>
      </c>
      <c r="Q3852">
        <v>-5.7310359999999998E-2</v>
      </c>
      <c r="R3852">
        <v>-0.97360590000000002</v>
      </c>
      <c r="S3852">
        <v>-5.905151E-3</v>
      </c>
      <c r="T3852">
        <v>-5.78773E-2</v>
      </c>
      <c r="U3852">
        <v>-3.077515</v>
      </c>
      <c r="V3852">
        <v>0.1179786</v>
      </c>
      <c r="W3852">
        <v>-4.394199E-2</v>
      </c>
      <c r="X3852">
        <v>0.99204340000000002</v>
      </c>
      <c r="Y3852">
        <v>-0.10261720000000001</v>
      </c>
      <c r="Z3852">
        <v>1.8599049999999999E-2</v>
      </c>
      <c r="AA3852">
        <v>0.99454699999999996</v>
      </c>
      <c r="AB3852">
        <v>18</v>
      </c>
      <c r="AC3852">
        <v>-7.7599999999989594E-2</v>
      </c>
      <c r="AD3852">
        <v>-1.110360847006</v>
      </c>
      <c r="AE3852">
        <v>-58.692300000000003</v>
      </c>
      <c r="AF3852">
        <v>-6.0554919770158202</v>
      </c>
      <c r="AG3852">
        <v>-1.110360847006</v>
      </c>
      <c r="AH3852">
        <v>58.358021202664403</v>
      </c>
      <c r="AI3852">
        <v>91.084198570291704</v>
      </c>
      <c r="AJ3852">
        <v>95.924068055366504</v>
      </c>
      <c r="AK3852">
        <v>58.6818585508749</v>
      </c>
      <c r="AL3852">
        <v>92.5185015647928</v>
      </c>
      <c r="AM3852">
        <v>83.217962090621796</v>
      </c>
      <c r="AN3852">
        <v>0.99999997801333895</v>
      </c>
    </row>
    <row r="3853" spans="1:40" x14ac:dyDescent="0.25">
      <c r="A3853" t="str">
        <f>"20190312161349032"</f>
        <v>20190312161349032</v>
      </c>
      <c r="B3853" t="str">
        <f>"1552378429030046"</f>
        <v>1552378429030046</v>
      </c>
      <c r="C3853" t="s">
        <v>40</v>
      </c>
      <c r="D3853">
        <v>5.4597540000000002</v>
      </c>
      <c r="E3853">
        <v>0.41209829999999997</v>
      </c>
      <c r="F3853" t="s">
        <v>42</v>
      </c>
      <c r="G3853">
        <v>-188.96350000000001</v>
      </c>
      <c r="H3853" s="1">
        <v>-3.845313E-6</v>
      </c>
      <c r="I3853">
        <v>118.1677</v>
      </c>
      <c r="J3853">
        <v>-189.2296</v>
      </c>
      <c r="K3853">
        <v>1.1103529999999999</v>
      </c>
      <c r="L3853">
        <v>181.41630000000001</v>
      </c>
      <c r="M3853">
        <v>-0.10420690000000001</v>
      </c>
      <c r="N3853">
        <v>0</v>
      </c>
      <c r="O3853">
        <v>-0.99446540000000005</v>
      </c>
      <c r="P3853">
        <v>-0.22074009999999999</v>
      </c>
      <c r="Q3853">
        <v>-5.7274310000000002E-2</v>
      </c>
      <c r="R3853">
        <v>-0.9736494</v>
      </c>
      <c r="S3853">
        <v>1.248169E-2</v>
      </c>
      <c r="T3853">
        <v>-5.4007769999999997E-2</v>
      </c>
      <c r="U3853">
        <v>-3.0809630000000001</v>
      </c>
      <c r="V3853">
        <v>0.1180998</v>
      </c>
      <c r="W3853">
        <v>-4.3908349999999999E-2</v>
      </c>
      <c r="X3853">
        <v>0.99203050000000004</v>
      </c>
      <c r="Y3853">
        <v>-0.1082439</v>
      </c>
      <c r="Z3853">
        <v>1.7332090000000001E-2</v>
      </c>
      <c r="AA3853">
        <v>0.99397329999999995</v>
      </c>
      <c r="AB3853">
        <v>18</v>
      </c>
      <c r="AC3853">
        <v>0.26609999999999401</v>
      </c>
      <c r="AD3853">
        <v>-1.1103568453129999</v>
      </c>
      <c r="AE3853">
        <v>-63.248600000000003</v>
      </c>
      <c r="AF3853">
        <v>-6.8540707728234596</v>
      </c>
      <c r="AG3853">
        <v>-1.1103568453129999</v>
      </c>
      <c r="AH3853">
        <v>62.8570861540896</v>
      </c>
      <c r="AI3853">
        <v>91.006050158032494</v>
      </c>
      <c r="AJ3853">
        <v>96.2230672754105</v>
      </c>
      <c r="AK3853">
        <v>63.239421710397103</v>
      </c>
      <c r="AL3853">
        <v>92.516572193469798</v>
      </c>
      <c r="AM3853">
        <v>83.210972408790894</v>
      </c>
      <c r="AN3853">
        <v>1.0000000094449999</v>
      </c>
    </row>
    <row r="3854" spans="1:40" x14ac:dyDescent="0.25">
      <c r="A3854" t="str">
        <f>"20190312161349044"</f>
        <v>20190312161349044</v>
      </c>
      <c r="B3854" t="str">
        <f>"1552378429039805"</f>
        <v>1552378429039805</v>
      </c>
      <c r="C3854" t="s">
        <v>40</v>
      </c>
      <c r="D3854">
        <v>5.5093909999999999</v>
      </c>
      <c r="E3854">
        <v>0.41202309999999998</v>
      </c>
      <c r="F3854" t="s">
        <v>42</v>
      </c>
      <c r="G3854">
        <v>-188.87710000000001</v>
      </c>
      <c r="H3854" s="1">
        <v>-2.6587309999999999E-6</v>
      </c>
      <c r="I3854">
        <v>115.366</v>
      </c>
      <c r="J3854">
        <v>-189.23949999999999</v>
      </c>
      <c r="K3854">
        <v>1.1103499999999999</v>
      </c>
      <c r="L3854">
        <v>181.31809999999999</v>
      </c>
      <c r="M3854">
        <v>-0.10388550000000001</v>
      </c>
      <c r="N3854">
        <v>0</v>
      </c>
      <c r="O3854">
        <v>-0.99449929999999997</v>
      </c>
      <c r="P3854">
        <v>-0.22061910000000001</v>
      </c>
      <c r="Q3854">
        <v>-5.7379569999999998E-2</v>
      </c>
      <c r="R3854">
        <v>-0.97367110000000001</v>
      </c>
      <c r="S3854">
        <v>1.644897E-2</v>
      </c>
      <c r="T3854">
        <v>-5.1808479999999997E-2</v>
      </c>
      <c r="U3854">
        <v>-3.0818629999999998</v>
      </c>
      <c r="V3854">
        <v>0.11829729999999999</v>
      </c>
      <c r="W3854">
        <v>-4.4016050000000001E-2</v>
      </c>
      <c r="X3854">
        <v>0.99200219999999995</v>
      </c>
      <c r="Y3854">
        <v>-0.10920100000000001</v>
      </c>
      <c r="Z3854">
        <v>1.6621560000000001E-2</v>
      </c>
      <c r="AA3854">
        <v>0.99388069999999895</v>
      </c>
      <c r="AB3854">
        <v>18</v>
      </c>
      <c r="AC3854">
        <v>0.36239999999997902</v>
      </c>
      <c r="AD3854">
        <v>-1.110352658731</v>
      </c>
      <c r="AE3854">
        <v>-65.952099999999902</v>
      </c>
      <c r="AF3854">
        <v>-7.21047509079553</v>
      </c>
      <c r="AG3854">
        <v>-1.110352658731</v>
      </c>
      <c r="AH3854">
        <v>65.538959093102093</v>
      </c>
      <c r="AI3854">
        <v>90.964784707560895</v>
      </c>
      <c r="AJ3854">
        <v>96.278326023874797</v>
      </c>
      <c r="AK3854">
        <v>65.943756285709497</v>
      </c>
      <c r="AL3854">
        <v>92.522748908239194</v>
      </c>
      <c r="AM3854">
        <v>83.199533070824302</v>
      </c>
      <c r="AN3854">
        <v>1.00000001432486</v>
      </c>
    </row>
    <row r="3855" spans="1:40" x14ac:dyDescent="0.25">
      <c r="A3855" t="str">
        <f>"20190312161349056"</f>
        <v>20190312161349056</v>
      </c>
      <c r="B3855" t="str">
        <f>"1552378429049566"</f>
        <v>1552378429049566</v>
      </c>
      <c r="C3855" t="s">
        <v>40</v>
      </c>
      <c r="D3855">
        <v>5.5002610000000001</v>
      </c>
      <c r="E3855">
        <v>0.41190199999999999</v>
      </c>
      <c r="F3855" t="s">
        <v>42</v>
      </c>
      <c r="G3855">
        <v>-188.87190000000001</v>
      </c>
      <c r="H3855" s="1">
        <v>-2.8125959999999999E-6</v>
      </c>
      <c r="I3855">
        <v>115.7225</v>
      </c>
      <c r="J3855">
        <v>-189.249</v>
      </c>
      <c r="K3855">
        <v>1.1103449999999999</v>
      </c>
      <c r="L3855">
        <v>181.22380000000001</v>
      </c>
      <c r="M3855">
        <v>-0.1035783</v>
      </c>
      <c r="N3855">
        <v>0</v>
      </c>
      <c r="O3855">
        <v>-0.99453130000000001</v>
      </c>
      <c r="P3855">
        <v>-0.22030069999999999</v>
      </c>
      <c r="Q3855">
        <v>-5.6703959999999998E-2</v>
      </c>
      <c r="R3855">
        <v>-0.9737827</v>
      </c>
      <c r="S3855">
        <v>1.7272949999999999E-2</v>
      </c>
      <c r="T3855">
        <v>-5.2169559999999997E-2</v>
      </c>
      <c r="U3855">
        <v>-3.081985</v>
      </c>
      <c r="V3855">
        <v>0.1182745</v>
      </c>
      <c r="W3855">
        <v>-4.3341959999999999E-2</v>
      </c>
      <c r="X3855">
        <v>0.99203459999999999</v>
      </c>
      <c r="Y3855">
        <v>-0.1091594</v>
      </c>
      <c r="Z3855">
        <v>1.673755E-2</v>
      </c>
      <c r="AA3855">
        <v>0.99388330000000003</v>
      </c>
      <c r="AB3855">
        <v>18</v>
      </c>
      <c r="AC3855">
        <v>0.37710000000001198</v>
      </c>
      <c r="AD3855">
        <v>-1.110347812596</v>
      </c>
      <c r="AE3855">
        <v>-65.501300000000001</v>
      </c>
      <c r="AF3855">
        <v>-7.1581351697178297</v>
      </c>
      <c r="AG3855">
        <v>-1.110347812596</v>
      </c>
      <c r="AH3855">
        <v>65.091158576527803</v>
      </c>
      <c r="AI3855">
        <v>90.971421509222594</v>
      </c>
      <c r="AJ3855">
        <v>96.275652744647005</v>
      </c>
      <c r="AK3855">
        <v>65.492982037830402</v>
      </c>
      <c r="AL3855">
        <v>92.484089497926504</v>
      </c>
      <c r="AM3855">
        <v>83.201051468860499</v>
      </c>
      <c r="AN3855">
        <v>1.0000000152220201</v>
      </c>
    </row>
    <row r="3856" spans="1:40" x14ac:dyDescent="0.25">
      <c r="A3856" t="str">
        <f>"20190312161349069"</f>
        <v>20190312161349069</v>
      </c>
      <c r="B3856" t="str">
        <f>"1552378429060301"</f>
        <v>1552378429060301</v>
      </c>
      <c r="C3856" t="s">
        <v>40</v>
      </c>
      <c r="D3856">
        <v>5.5625640000000001</v>
      </c>
      <c r="E3856">
        <v>0.41208919999999999</v>
      </c>
      <c r="F3856" t="s">
        <v>42</v>
      </c>
      <c r="G3856">
        <v>-188.8211</v>
      </c>
      <c r="H3856" s="1">
        <v>-2.1550889999999998E-6</v>
      </c>
      <c r="I3856">
        <v>114.16889999999999</v>
      </c>
      <c r="J3856">
        <v>-189.25890000000001</v>
      </c>
      <c r="K3856">
        <v>1.1103430000000001</v>
      </c>
      <c r="L3856">
        <v>181.1251</v>
      </c>
      <c r="M3856">
        <v>-0.1032573</v>
      </c>
      <c r="N3856">
        <v>0</v>
      </c>
      <c r="O3856">
        <v>-0.99456469999999997</v>
      </c>
      <c r="P3856">
        <v>-0.21954750000000001</v>
      </c>
      <c r="Q3856">
        <v>-5.5979010000000003E-2</v>
      </c>
      <c r="R3856">
        <v>-0.97399469999999999</v>
      </c>
      <c r="S3856">
        <v>1.9668580000000001E-2</v>
      </c>
      <c r="T3856">
        <v>-5.1037909999999999E-2</v>
      </c>
      <c r="U3856">
        <v>-3.08223</v>
      </c>
      <c r="V3856">
        <v>0.1178225</v>
      </c>
      <c r="W3856">
        <v>-4.2618129999999997E-2</v>
      </c>
      <c r="X3856">
        <v>0.99211970000000005</v>
      </c>
      <c r="Y3856">
        <v>-0.1096106</v>
      </c>
      <c r="Z3856">
        <v>1.6373660000000002E-2</v>
      </c>
      <c r="AA3856">
        <v>0.99383969999999999</v>
      </c>
      <c r="AB3856">
        <v>18</v>
      </c>
      <c r="AC3856">
        <v>0.43780000000001001</v>
      </c>
      <c r="AD3856">
        <v>-1.110345155089</v>
      </c>
      <c r="AE3856">
        <v>-66.956199999999995</v>
      </c>
      <c r="AF3856">
        <v>-7.3477740866157797</v>
      </c>
      <c r="AG3856">
        <v>-1.110345155089</v>
      </c>
      <c r="AH3856">
        <v>66.534726926828895</v>
      </c>
      <c r="AI3856">
        <v>90.950298703579094</v>
      </c>
      <c r="AJ3856">
        <v>96.301932816581598</v>
      </c>
      <c r="AK3856">
        <v>66.948431928007594</v>
      </c>
      <c r="AL3856">
        <v>92.442578838383199</v>
      </c>
      <c r="AM3856">
        <v>83.227368186062805</v>
      </c>
      <c r="AN3856">
        <v>0.99999997281951802</v>
      </c>
    </row>
    <row r="3857" spans="1:40" x14ac:dyDescent="0.25">
      <c r="A3857" t="str">
        <f>"20190312161349080"</f>
        <v>20190312161349080</v>
      </c>
      <c r="B3857" t="str">
        <f>"1552378429070061"</f>
        <v>1552378429070061</v>
      </c>
      <c r="C3857" t="s">
        <v>40</v>
      </c>
      <c r="D3857">
        <v>5.50603</v>
      </c>
      <c r="E3857">
        <v>0.41198499999999999</v>
      </c>
      <c r="F3857" t="s">
        <v>42</v>
      </c>
      <c r="G3857">
        <v>-188.79480000000001</v>
      </c>
      <c r="H3857" s="1">
        <v>-1.0986209999999999E-6</v>
      </c>
      <c r="I3857">
        <v>111.69540000000001</v>
      </c>
      <c r="J3857">
        <v>-189.2688</v>
      </c>
      <c r="K3857">
        <v>1.110339</v>
      </c>
      <c r="L3857">
        <v>181.02629999999999</v>
      </c>
      <c r="M3857">
        <v>-0.1029361</v>
      </c>
      <c r="N3857">
        <v>0</v>
      </c>
      <c r="O3857">
        <v>-0.99459799999999998</v>
      </c>
      <c r="P3857">
        <v>-0.21889420000000001</v>
      </c>
      <c r="Q3857">
        <v>-5.5104220000000002E-2</v>
      </c>
      <c r="R3857">
        <v>-0.97419149999999999</v>
      </c>
      <c r="S3857">
        <v>2.0599369999999999E-2</v>
      </c>
      <c r="T3857">
        <v>-4.9286959999999998E-2</v>
      </c>
      <c r="U3857">
        <v>-3.081909</v>
      </c>
      <c r="V3857">
        <v>0.1174716</v>
      </c>
      <c r="W3857">
        <v>-4.1744299999999998E-2</v>
      </c>
      <c r="X3857">
        <v>0.99219849999999998</v>
      </c>
      <c r="Y3857">
        <v>-0.10959049999999999</v>
      </c>
      <c r="Z3857">
        <v>1.581453E-2</v>
      </c>
      <c r="AA3857">
        <v>0.99385100000000004</v>
      </c>
      <c r="AB3857">
        <v>18</v>
      </c>
      <c r="AC3857">
        <v>0.47399999999998899</v>
      </c>
      <c r="AD3857">
        <v>-1.1103400986209999</v>
      </c>
      <c r="AE3857">
        <v>-69.3308999999999</v>
      </c>
      <c r="AF3857">
        <v>-7.6068219099787404</v>
      </c>
      <c r="AG3857">
        <v>-1.1103400986209999</v>
      </c>
      <c r="AH3857">
        <v>68.896080216662</v>
      </c>
      <c r="AI3857">
        <v>90.917732043542003</v>
      </c>
      <c r="AJ3857">
        <v>96.300512555214198</v>
      </c>
      <c r="AK3857">
        <v>69.323635680231504</v>
      </c>
      <c r="AL3857">
        <v>92.392467366968503</v>
      </c>
      <c r="AM3857">
        <v>83.247883304917394</v>
      </c>
      <c r="AN3857">
        <v>1.0000000133956499</v>
      </c>
    </row>
    <row r="3858" spans="1:40" x14ac:dyDescent="0.25">
      <c r="A3858" t="str">
        <f>"20190312161349094"</f>
        <v>20190312161349094</v>
      </c>
      <c r="B3858" t="str">
        <f>"1552378429089582"</f>
        <v>1552378429089582</v>
      </c>
      <c r="C3858" t="s">
        <v>40</v>
      </c>
      <c r="D3858">
        <v>5.5824800000000003</v>
      </c>
      <c r="E3858">
        <v>0.41247470000000003</v>
      </c>
      <c r="F3858" t="s">
        <v>42</v>
      </c>
      <c r="G3858">
        <v>-188.71260000000001</v>
      </c>
      <c r="H3858" s="1">
        <v>-4.1744159999999998E-6</v>
      </c>
      <c r="I3858">
        <v>108.83110000000001</v>
      </c>
      <c r="J3858">
        <v>-189.27959999999999</v>
      </c>
      <c r="K3858">
        <v>1.1103430000000001</v>
      </c>
      <c r="L3858">
        <v>180.91759999999999</v>
      </c>
      <c r="M3858">
        <v>-0.1025829</v>
      </c>
      <c r="N3858">
        <v>0</v>
      </c>
      <c r="O3858">
        <v>-0.99463460000000004</v>
      </c>
      <c r="P3858">
        <v>-0.21822939999999999</v>
      </c>
      <c r="Q3858">
        <v>-5.5068939999999997E-2</v>
      </c>
      <c r="R3858">
        <v>-0.97434290000000001</v>
      </c>
      <c r="S3858">
        <v>2.3742679999999999E-2</v>
      </c>
      <c r="T3858">
        <v>-4.7402260000000002E-2</v>
      </c>
      <c r="U3858">
        <v>-3.0821230000000002</v>
      </c>
      <c r="V3858">
        <v>0.11714670000000001</v>
      </c>
      <c r="W3858">
        <v>-4.1710610000000002E-2</v>
      </c>
      <c r="X3858">
        <v>0.99223830000000002</v>
      </c>
      <c r="Y3858">
        <v>-0.1102506</v>
      </c>
      <c r="Z3858">
        <v>1.52091E-2</v>
      </c>
      <c r="AA3858">
        <v>0.99378750000000005</v>
      </c>
      <c r="AB3858">
        <v>18</v>
      </c>
      <c r="AC3858">
        <v>0.56699999999997797</v>
      </c>
      <c r="AD3858">
        <v>-1.1103471744159901</v>
      </c>
      <c r="AE3858">
        <v>-72.086499999999901</v>
      </c>
      <c r="AF3858">
        <v>-7.9576236518472303</v>
      </c>
      <c r="AG3858">
        <v>-1.1103471744159901</v>
      </c>
      <c r="AH3858">
        <v>71.630973276517693</v>
      </c>
      <c r="AI3858">
        <v>90.882638186231404</v>
      </c>
      <c r="AJ3858">
        <v>96.339106609778796</v>
      </c>
      <c r="AK3858">
        <v>72.080184361399702</v>
      </c>
      <c r="AL3858">
        <v>92.390535459448998</v>
      </c>
      <c r="AM3858">
        <v>83.2666540382195</v>
      </c>
      <c r="AN3858">
        <v>0.99999998414717595</v>
      </c>
    </row>
    <row r="3859" spans="1:40" x14ac:dyDescent="0.25">
      <c r="A3859" t="str">
        <f>"20190312161349112"</f>
        <v>20190312161349112</v>
      </c>
      <c r="B3859" t="str">
        <f>"1552378429100318"</f>
        <v>1552378429100318</v>
      </c>
      <c r="C3859" t="s">
        <v>40</v>
      </c>
      <c r="D3859">
        <v>5.6097010000000003</v>
      </c>
      <c r="E3859">
        <v>0.41287649999999998</v>
      </c>
      <c r="F3859" t="s">
        <v>42</v>
      </c>
      <c r="G3859">
        <v>-188.80029999999999</v>
      </c>
      <c r="H3859" s="1">
        <v>-1.9206310000000001E-6</v>
      </c>
      <c r="I3859">
        <v>113.61369999999999</v>
      </c>
      <c r="J3859">
        <v>-189.29329999999999</v>
      </c>
      <c r="K3859">
        <v>1.110344</v>
      </c>
      <c r="L3859">
        <v>180.77879999999999</v>
      </c>
      <c r="M3859">
        <v>-0.102131</v>
      </c>
      <c r="N3859">
        <v>0</v>
      </c>
      <c r="O3859">
        <v>-0.99468089999999998</v>
      </c>
      <c r="P3859">
        <v>-0.21789700000000001</v>
      </c>
      <c r="Q3859">
        <v>-5.6354179999999997E-2</v>
      </c>
      <c r="R3859">
        <v>-0.97434339999999997</v>
      </c>
      <c r="S3859">
        <v>2.1942139999999999E-2</v>
      </c>
      <c r="T3859">
        <v>-5.0829649999999997E-2</v>
      </c>
      <c r="U3859">
        <v>-3.0810550000000001</v>
      </c>
      <c r="V3859">
        <v>0.117267</v>
      </c>
      <c r="W3859">
        <v>-4.299907E-2</v>
      </c>
      <c r="X3859">
        <v>0.99216910000000003</v>
      </c>
      <c r="Y3859">
        <v>-0.10922080000000001</v>
      </c>
      <c r="Z3859">
        <v>1.6316279999999999E-2</v>
      </c>
      <c r="AA3859">
        <v>0.99388359999999998</v>
      </c>
      <c r="AB3859">
        <v>18</v>
      </c>
      <c r="AC3859">
        <v>0.492999999999995</v>
      </c>
      <c r="AD3859">
        <v>-1.110345920631</v>
      </c>
      <c r="AE3859">
        <v>-67.165099999999995</v>
      </c>
      <c r="AF3859">
        <v>-7.34866680234411</v>
      </c>
      <c r="AG3859">
        <v>-1.110345920631</v>
      </c>
      <c r="AH3859">
        <v>66.745232619963105</v>
      </c>
      <c r="AI3859">
        <v>90.947337345461705</v>
      </c>
      <c r="AJ3859">
        <v>96.282973663220901</v>
      </c>
      <c r="AK3859">
        <v>67.157738566216807</v>
      </c>
      <c r="AL3859">
        <v>92.464425062488303</v>
      </c>
      <c r="AM3859">
        <v>83.259337254653502</v>
      </c>
      <c r="AN3859">
        <v>0.99999999615233703</v>
      </c>
    </row>
    <row r="3860" spans="1:40" x14ac:dyDescent="0.25">
      <c r="A3860" t="str">
        <f>"20190312161349135"</f>
        <v>20190312161349135</v>
      </c>
      <c r="B3860" t="str">
        <f>"1552378429129597"</f>
        <v>1552378429129597</v>
      </c>
      <c r="C3860" t="s">
        <v>40</v>
      </c>
      <c r="D3860">
        <v>5.6099189999999997</v>
      </c>
      <c r="E3860">
        <v>0.4135527</v>
      </c>
      <c r="F3860" t="s">
        <v>42</v>
      </c>
      <c r="G3860">
        <v>-188.8989</v>
      </c>
      <c r="H3860" s="1">
        <v>-4.3017179999999999E-6</v>
      </c>
      <c r="I3860">
        <v>119.20489999999999</v>
      </c>
      <c r="J3860">
        <v>-189.31180000000001</v>
      </c>
      <c r="K3860">
        <v>1.1103499999999999</v>
      </c>
      <c r="L3860">
        <v>180.5916</v>
      </c>
      <c r="M3860">
        <v>-0.1015192</v>
      </c>
      <c r="N3860">
        <v>0</v>
      </c>
      <c r="O3860">
        <v>-0.99474359999999995</v>
      </c>
      <c r="P3860">
        <v>-0.21792449999999999</v>
      </c>
      <c r="Q3860">
        <v>-5.6025760000000001E-2</v>
      </c>
      <c r="R3860">
        <v>-0.97435640000000001</v>
      </c>
      <c r="S3860">
        <v>1.9729610000000002E-2</v>
      </c>
      <c r="T3860">
        <v>-5.5544610000000001E-2</v>
      </c>
      <c r="U3860">
        <v>-3.0802</v>
      </c>
      <c r="V3860">
        <v>0.11790249999999999</v>
      </c>
      <c r="W3860">
        <v>-4.267373E-2</v>
      </c>
      <c r="X3860">
        <v>0.99210779999999998</v>
      </c>
      <c r="Y3860">
        <v>-0.1078972</v>
      </c>
      <c r="Z3860">
        <v>1.7837289999999999E-2</v>
      </c>
      <c r="AA3860">
        <v>0.99400200000000005</v>
      </c>
      <c r="AB3860">
        <v>18</v>
      </c>
      <c r="AC3860">
        <v>0.41290000000000698</v>
      </c>
      <c r="AD3860">
        <v>-1.110354301718</v>
      </c>
      <c r="AE3860">
        <v>-61.386699999999998</v>
      </c>
      <c r="AF3860">
        <v>-6.6410803093751802</v>
      </c>
      <c r="AG3860">
        <v>-1.110354301718</v>
      </c>
      <c r="AH3860">
        <v>61.0076135558921</v>
      </c>
      <c r="AI3860">
        <v>91.036560784360901</v>
      </c>
      <c r="AJ3860">
        <v>96.2125606970734</v>
      </c>
      <c r="AK3860">
        <v>61.378055900590297</v>
      </c>
      <c r="AL3860">
        <v>92.445767399377203</v>
      </c>
      <c r="AM3860">
        <v>83.222731878398605</v>
      </c>
      <c r="AN3860">
        <v>0.99999996677960001</v>
      </c>
    </row>
    <row r="3861" spans="1:40" x14ac:dyDescent="0.25">
      <c r="A3861" t="str">
        <f>"20190312161349156"</f>
        <v>20190312161349156</v>
      </c>
      <c r="B3861" t="str">
        <f>"1552378429150093"</f>
        <v>1552378429150093</v>
      </c>
      <c r="C3861" t="s">
        <v>40</v>
      </c>
      <c r="D3861">
        <v>5.6013780000000004</v>
      </c>
      <c r="E3861">
        <v>0.41386089999999998</v>
      </c>
      <c r="F3861" t="s">
        <v>84</v>
      </c>
      <c r="G3861">
        <v>-189.0437</v>
      </c>
      <c r="H3861" s="1">
        <v>-2.60285E-6</v>
      </c>
      <c r="I3861">
        <v>124.13209999999999</v>
      </c>
      <c r="J3861">
        <v>-189.3288</v>
      </c>
      <c r="K3861">
        <v>1.1103499999999999</v>
      </c>
      <c r="L3861">
        <v>180.4179</v>
      </c>
      <c r="M3861">
        <v>-0.10094939999999999</v>
      </c>
      <c r="N3861">
        <v>0</v>
      </c>
      <c r="O3861">
        <v>-0.99480170000000001</v>
      </c>
      <c r="P3861">
        <v>-0.2179712</v>
      </c>
      <c r="Q3861">
        <v>-5.561091E-2</v>
      </c>
      <c r="R3861">
        <v>-0.97436979999999995</v>
      </c>
      <c r="S3861">
        <v>1.461792E-2</v>
      </c>
      <c r="T3861">
        <v>-6.0547829999999997E-2</v>
      </c>
      <c r="U3861">
        <v>-3.078751</v>
      </c>
      <c r="V3861">
        <v>0.1185151</v>
      </c>
      <c r="W3861">
        <v>-4.226125E-2</v>
      </c>
      <c r="X3861">
        <v>0.9920525</v>
      </c>
      <c r="Y3861">
        <v>-0.10568</v>
      </c>
      <c r="Z3861">
        <v>1.9456709999999999E-2</v>
      </c>
      <c r="AA3861">
        <v>0.99420980000000003</v>
      </c>
      <c r="AB3861">
        <v>18</v>
      </c>
      <c r="AC3861">
        <v>0.28509999999999902</v>
      </c>
      <c r="AD3861">
        <v>-1.1103526028499999</v>
      </c>
      <c r="AE3861">
        <v>-56.285800000000002</v>
      </c>
      <c r="AF3861">
        <v>-5.9638482815582901</v>
      </c>
      <c r="AG3861">
        <v>-1.1103526028499999</v>
      </c>
      <c r="AH3861">
        <v>55.947660809801299</v>
      </c>
      <c r="AI3861">
        <v>91.130555104641502</v>
      </c>
      <c r="AJ3861">
        <v>96.084576849256706</v>
      </c>
      <c r="AK3861">
        <v>56.275581910067103</v>
      </c>
      <c r="AL3861">
        <v>92.422112608685595</v>
      </c>
      <c r="AM3861">
        <v>83.187472331384598</v>
      </c>
      <c r="AN3861">
        <v>1.0000000024679101</v>
      </c>
    </row>
    <row r="3862" spans="1:40" x14ac:dyDescent="0.25">
      <c r="A3862" t="str">
        <f>"20190312161349180"</f>
        <v>20190312161349180</v>
      </c>
      <c r="B3862" t="str">
        <f>"1552378429169613"</f>
        <v>1552378429169613</v>
      </c>
      <c r="C3862" t="s">
        <v>40</v>
      </c>
      <c r="D3862">
        <v>5.6454250000000004</v>
      </c>
      <c r="E3862">
        <v>0.41438359999999902</v>
      </c>
      <c r="F3862" t="s">
        <v>84</v>
      </c>
      <c r="G3862">
        <v>-189.11170000000001</v>
      </c>
      <c r="H3862" s="1">
        <v>-3.470765E-6</v>
      </c>
      <c r="I3862">
        <v>126.22880000000001</v>
      </c>
      <c r="J3862">
        <v>-189.34710000000001</v>
      </c>
      <c r="K3862">
        <v>1.110349</v>
      </c>
      <c r="L3862">
        <v>180.23</v>
      </c>
      <c r="M3862">
        <v>-0.1003305</v>
      </c>
      <c r="N3862">
        <v>0</v>
      </c>
      <c r="O3862">
        <v>-0.99486419999999998</v>
      </c>
      <c r="P3862">
        <v>-0.2175774</v>
      </c>
      <c r="Q3862">
        <v>-5.5687599999999997E-2</v>
      </c>
      <c r="R3862">
        <v>-0.97445329999999997</v>
      </c>
      <c r="S3862">
        <v>1.2329100000000001E-2</v>
      </c>
      <c r="T3862">
        <v>-6.3070539999999994E-2</v>
      </c>
      <c r="U3862">
        <v>-3.0780639999999999</v>
      </c>
      <c r="V3862">
        <v>0.11873160000000001</v>
      </c>
      <c r="W3862">
        <v>-4.2340200000000001E-2</v>
      </c>
      <c r="X3862">
        <v>0.99202319999999999</v>
      </c>
      <c r="Y3862">
        <v>-0.1043231</v>
      </c>
      <c r="Z3862">
        <v>2.027497E-2</v>
      </c>
      <c r="AA3862">
        <v>0.99433680000000002</v>
      </c>
      <c r="AB3862">
        <v>18</v>
      </c>
      <c r="AC3862">
        <v>0.235399999999998</v>
      </c>
      <c r="AD3862">
        <v>-1.1103524707649901</v>
      </c>
      <c r="AE3862">
        <v>-54.001199999999898</v>
      </c>
      <c r="AF3862">
        <v>-5.6502756251596402</v>
      </c>
      <c r="AG3862">
        <v>-1.1103524707649901</v>
      </c>
      <c r="AH3862">
        <v>53.6823546199902</v>
      </c>
      <c r="AI3862">
        <v>91.178415061270101</v>
      </c>
      <c r="AJ3862">
        <v>96.008479685188604</v>
      </c>
      <c r="AK3862">
        <v>53.990311119644304</v>
      </c>
      <c r="AL3862">
        <v>92.426640272509303</v>
      </c>
      <c r="AM3862">
        <v>83.174945004599905</v>
      </c>
      <c r="AN3862">
        <v>0.999999957356419</v>
      </c>
    </row>
    <row r="3863" spans="1:40" x14ac:dyDescent="0.25">
      <c r="A3863" t="str">
        <f>"20190312161349201"</f>
        <v>20190312161349201</v>
      </c>
      <c r="B3863" t="str">
        <f>"1552378429190109"</f>
        <v>1552378429190109</v>
      </c>
      <c r="C3863" t="s">
        <v>40</v>
      </c>
      <c r="D3863">
        <v>5.6281179999999997</v>
      </c>
      <c r="E3863">
        <v>0.41470649999999998</v>
      </c>
      <c r="F3863" t="s">
        <v>84</v>
      </c>
      <c r="G3863">
        <v>-189.18770000000001</v>
      </c>
      <c r="H3863" s="1">
        <v>-5.1961640000000002E-6</v>
      </c>
      <c r="I3863">
        <v>130.5538</v>
      </c>
      <c r="J3863">
        <v>-189.3639</v>
      </c>
      <c r="K3863">
        <v>1.110339</v>
      </c>
      <c r="L3863">
        <v>180.0566</v>
      </c>
      <c r="M3863">
        <v>-9.9759009999999995E-2</v>
      </c>
      <c r="N3863">
        <v>0</v>
      </c>
      <c r="O3863">
        <v>-0.99492170000000002</v>
      </c>
      <c r="P3863">
        <v>-0.2170629</v>
      </c>
      <c r="Q3863">
        <v>-5.6474709999999997E-2</v>
      </c>
      <c r="R3863">
        <v>-0.97452289999999997</v>
      </c>
      <c r="S3863">
        <v>9.8724369999999995E-3</v>
      </c>
      <c r="T3863">
        <v>-6.8775180000000005E-2</v>
      </c>
      <c r="U3863">
        <v>-3.0769350000000002</v>
      </c>
      <c r="V3863">
        <v>0.1187827</v>
      </c>
      <c r="W3863">
        <v>-4.3129689999999998E-2</v>
      </c>
      <c r="X3863">
        <v>0.99198310000000001</v>
      </c>
      <c r="Y3863">
        <v>-0.1029591</v>
      </c>
      <c r="Z3863">
        <v>2.21196E-2</v>
      </c>
      <c r="AA3863">
        <v>0.99443959999999998</v>
      </c>
      <c r="AB3863">
        <v>18</v>
      </c>
      <c r="AC3863">
        <v>0.176199999999994</v>
      </c>
      <c r="AD3863">
        <v>-1.1103441961639999</v>
      </c>
      <c r="AE3863">
        <v>-49.502800000000001</v>
      </c>
      <c r="AF3863">
        <v>-5.1115415392385</v>
      </c>
      <c r="AG3863">
        <v>-1.1103441961639999</v>
      </c>
      <c r="AH3863">
        <v>49.213479133279897</v>
      </c>
      <c r="AI3863">
        <v>91.285562786822496</v>
      </c>
      <c r="AJ3863">
        <v>95.929744857523104</v>
      </c>
      <c r="AK3863">
        <v>49.490678410616802</v>
      </c>
      <c r="AL3863">
        <v>92.4719160133413</v>
      </c>
      <c r="AM3863">
        <v>83.171761937952695</v>
      </c>
      <c r="AN3863">
        <v>0.99999998533219803</v>
      </c>
    </row>
    <row r="3864" spans="1:40" x14ac:dyDescent="0.25">
      <c r="A3864" t="str">
        <f>"20190312161349216"</f>
        <v>20190312161349216</v>
      </c>
      <c r="B3864" t="str">
        <f>"1552378429209629"</f>
        <v>1552378429209629</v>
      </c>
      <c r="C3864" t="s">
        <v>40</v>
      </c>
      <c r="D3864">
        <v>5.6594530000000001</v>
      </c>
      <c r="E3864">
        <v>0.41525709999999999</v>
      </c>
      <c r="F3864" t="s">
        <v>84</v>
      </c>
      <c r="G3864">
        <v>-189.22989999999999</v>
      </c>
      <c r="H3864" s="1">
        <v>-6.1873659999999997E-6</v>
      </c>
      <c r="I3864">
        <v>133.6602</v>
      </c>
      <c r="J3864">
        <v>-189.37569999999999</v>
      </c>
      <c r="K3864">
        <v>1.1103369999999999</v>
      </c>
      <c r="L3864">
        <v>179.93369999999999</v>
      </c>
      <c r="M3864">
        <v>-9.9354490000000004E-2</v>
      </c>
      <c r="N3864">
        <v>0</v>
      </c>
      <c r="O3864">
        <v>-0.99496249999999997</v>
      </c>
      <c r="P3864">
        <v>-0.21652279999999999</v>
      </c>
      <c r="Q3864">
        <v>-5.632947E-2</v>
      </c>
      <c r="R3864">
        <v>-0.97465159999999995</v>
      </c>
      <c r="S3864">
        <v>8.8806149999999997E-3</v>
      </c>
      <c r="T3864">
        <v>-7.3617580000000002E-2</v>
      </c>
      <c r="U3864">
        <v>-3.0761569999999998</v>
      </c>
      <c r="V3864">
        <v>0.1186354</v>
      </c>
      <c r="W3864">
        <v>-4.298561E-2</v>
      </c>
      <c r="X3864">
        <v>0.99200699999999997</v>
      </c>
      <c r="Y3864">
        <v>-0.1022347</v>
      </c>
      <c r="Z3864">
        <v>2.3684509999999999E-2</v>
      </c>
      <c r="AA3864">
        <v>0.99447830000000004</v>
      </c>
      <c r="AB3864">
        <v>18</v>
      </c>
      <c r="AC3864">
        <v>0.14580000000000801</v>
      </c>
      <c r="AD3864">
        <v>-1.1103431873659999</v>
      </c>
      <c r="AE3864">
        <v>-46.273499999999899</v>
      </c>
      <c r="AF3864">
        <v>-4.74023913613388</v>
      </c>
      <c r="AG3864">
        <v>-1.1103431873659999</v>
      </c>
      <c r="AH3864">
        <v>46.003528089902801</v>
      </c>
      <c r="AI3864">
        <v>91.375345824527898</v>
      </c>
      <c r="AJ3864">
        <v>95.883039224054002</v>
      </c>
      <c r="AK3864">
        <v>46.260429373060703</v>
      </c>
      <c r="AL3864">
        <v>92.463653127189403</v>
      </c>
      <c r="AM3864">
        <v>83.180312456153601</v>
      </c>
      <c r="AN3864">
        <v>1.00000000442461</v>
      </c>
    </row>
    <row r="3865" spans="1:40" x14ac:dyDescent="0.25">
      <c r="A3865" t="str">
        <f>"20190312161349234"</f>
        <v>20190312161349234</v>
      </c>
      <c r="B3865" t="str">
        <f>"1552378429230126"</f>
        <v>1552378429230126</v>
      </c>
      <c r="C3865" t="s">
        <v>40</v>
      </c>
      <c r="D3865">
        <v>5.6471179999999999</v>
      </c>
      <c r="E3865">
        <v>0.41546240000000001</v>
      </c>
      <c r="F3865" t="s">
        <v>84</v>
      </c>
      <c r="G3865">
        <v>-189.28200000000001</v>
      </c>
      <c r="H3865" s="1">
        <v>-7.0313989999999999E-6</v>
      </c>
      <c r="I3865">
        <v>136.3082</v>
      </c>
      <c r="J3865">
        <v>-189.38910000000001</v>
      </c>
      <c r="K3865">
        <v>1.1103339999999999</v>
      </c>
      <c r="L3865">
        <v>179.79400000000001</v>
      </c>
      <c r="M3865">
        <v>-9.8897109999999996E-2</v>
      </c>
      <c r="N3865">
        <v>0</v>
      </c>
      <c r="O3865">
        <v>-0.99500789999999995</v>
      </c>
      <c r="P3865">
        <v>-0.21523870000000001</v>
      </c>
      <c r="Q3865">
        <v>-5.6211869999999997E-2</v>
      </c>
      <c r="R3865">
        <v>-0.97494289999999995</v>
      </c>
      <c r="S3865">
        <v>6.607056E-3</v>
      </c>
      <c r="T3865">
        <v>-7.8262810000000002E-2</v>
      </c>
      <c r="U3865">
        <v>-3.074951</v>
      </c>
      <c r="V3865">
        <v>0.11778420000000001</v>
      </c>
      <c r="W3865">
        <v>-4.2869049999999999E-2</v>
      </c>
      <c r="X3865">
        <v>0.99211349999999998</v>
      </c>
      <c r="Y3865">
        <v>-0.1010431</v>
      </c>
      <c r="Z3865">
        <v>2.5191229999999998E-2</v>
      </c>
      <c r="AA3865">
        <v>0.99456299999999997</v>
      </c>
      <c r="AB3865">
        <v>18</v>
      </c>
      <c r="AC3865">
        <v>0.107100000000002</v>
      </c>
      <c r="AD3865">
        <v>-1.1103410313990001</v>
      </c>
      <c r="AE3865">
        <v>-43.485799999999998</v>
      </c>
      <c r="AF3865">
        <v>-4.4047073408544</v>
      </c>
      <c r="AG3865">
        <v>-1.1103410313990001</v>
      </c>
      <c r="AH3865">
        <v>43.233800666538201</v>
      </c>
      <c r="AI3865">
        <v>91.463587901252794</v>
      </c>
      <c r="AJ3865">
        <v>95.8172853394681</v>
      </c>
      <c r="AK3865">
        <v>43.471781928494103</v>
      </c>
      <c r="AL3865">
        <v>92.456968494020202</v>
      </c>
      <c r="AM3865">
        <v>83.229507375473602</v>
      </c>
      <c r="AN3865">
        <v>1.0000000350498901</v>
      </c>
    </row>
    <row r="3866" spans="1:40" x14ac:dyDescent="0.25">
      <c r="A3866" t="str">
        <f>"20190312161349246"</f>
        <v>20190312161349246</v>
      </c>
      <c r="B3866" t="str">
        <f>"1552378429239886"</f>
        <v>1552378429239886</v>
      </c>
      <c r="C3866" t="s">
        <v>40</v>
      </c>
      <c r="D3866">
        <v>5.7442199999999897</v>
      </c>
      <c r="E3866">
        <v>0.41546240000000001</v>
      </c>
      <c r="F3866" t="s">
        <v>84</v>
      </c>
      <c r="G3866">
        <v>-189.26009999999999</v>
      </c>
      <c r="H3866" s="1">
        <v>-6.8500779999999997E-6</v>
      </c>
      <c r="I3866">
        <v>135.73740000000001</v>
      </c>
      <c r="J3866">
        <v>-189.3991</v>
      </c>
      <c r="K3866">
        <v>1.11032999999999</v>
      </c>
      <c r="L3866">
        <v>179.68960000000001</v>
      </c>
      <c r="M3866">
        <v>-9.8557820000000004E-2</v>
      </c>
      <c r="N3866">
        <v>0</v>
      </c>
      <c r="O3866">
        <v>-0.99504150000000002</v>
      </c>
      <c r="P3866">
        <v>-0.2143989</v>
      </c>
      <c r="Q3866">
        <v>-5.5765780000000001E-2</v>
      </c>
      <c r="R3866">
        <v>-0.97515339999999995</v>
      </c>
      <c r="S3866">
        <v>9.0026859999999993E-3</v>
      </c>
      <c r="T3866">
        <v>-7.7488779999999993E-2</v>
      </c>
      <c r="U3866">
        <v>-3.0746310000000001</v>
      </c>
      <c r="V3866">
        <v>0.1172652</v>
      </c>
      <c r="W3866">
        <v>-4.242398E-2</v>
      </c>
      <c r="X3866">
        <v>0.99219409999999997</v>
      </c>
      <c r="Y3866">
        <v>-0.101479</v>
      </c>
      <c r="Z3866">
        <v>2.494553E-2</v>
      </c>
      <c r="AA3866">
        <v>0.99452490000000004</v>
      </c>
      <c r="AB3866">
        <v>18</v>
      </c>
      <c r="AC3866">
        <v>0.13900000000001</v>
      </c>
      <c r="AD3866">
        <v>-1.11033685007799</v>
      </c>
      <c r="AE3866">
        <v>-43.952199999999998</v>
      </c>
      <c r="AF3866">
        <v>-4.4676922040829297</v>
      </c>
      <c r="AG3866">
        <v>-1.11033685007799</v>
      </c>
      <c r="AH3866">
        <v>43.696585618353801</v>
      </c>
      <c r="AI3866">
        <v>91.448035427544099</v>
      </c>
      <c r="AJ3866">
        <v>95.837835499062095</v>
      </c>
      <c r="AK3866">
        <v>43.938419592119899</v>
      </c>
      <c r="AL3866">
        <v>92.4314446615696</v>
      </c>
      <c r="AM3866">
        <v>83.259608046055604</v>
      </c>
      <c r="AN3866">
        <v>1.00000002664244</v>
      </c>
    </row>
    <row r="3867" spans="1:40" x14ac:dyDescent="0.25">
      <c r="A3867" t="str">
        <f>"20190312161349272"</f>
        <v>20190312161349272</v>
      </c>
      <c r="B3867" t="str">
        <f>"1552378429259405"</f>
        <v>1552378429259405</v>
      </c>
      <c r="C3867" t="s">
        <v>40</v>
      </c>
      <c r="D3867">
        <v>5.8239589999999897</v>
      </c>
      <c r="E3867">
        <v>0.4511018</v>
      </c>
      <c r="F3867" t="s">
        <v>84</v>
      </c>
      <c r="G3867">
        <v>-189.22919999999999</v>
      </c>
      <c r="H3867" s="1">
        <v>-6.599751E-6</v>
      </c>
      <c r="I3867">
        <v>134.94919999999999</v>
      </c>
      <c r="J3867">
        <v>-189.41810000000001</v>
      </c>
      <c r="K3867">
        <v>1.110325</v>
      </c>
      <c r="L3867">
        <v>179.48949999999999</v>
      </c>
      <c r="M3867">
        <v>-9.7921049999999996E-2</v>
      </c>
      <c r="N3867">
        <v>0</v>
      </c>
      <c r="O3867">
        <v>-0.99510460000000001</v>
      </c>
      <c r="P3867">
        <v>-0.2120774</v>
      </c>
      <c r="Q3867">
        <v>-5.5663509999999999E-2</v>
      </c>
      <c r="R3867">
        <v>-0.97566660000000005</v>
      </c>
      <c r="S3867">
        <v>1.167297E-2</v>
      </c>
      <c r="T3867">
        <v>-7.6304199999999905E-2</v>
      </c>
      <c r="U3867">
        <v>-3.0746310000000001</v>
      </c>
      <c r="V3867">
        <v>0.11553819999999999</v>
      </c>
      <c r="W3867">
        <v>-4.232466E-2</v>
      </c>
      <c r="X3867">
        <v>0.99240090000000003</v>
      </c>
      <c r="Y3867">
        <v>-0.10170609999999999</v>
      </c>
      <c r="Z3867">
        <v>2.456643E-2</v>
      </c>
      <c r="AA3867">
        <v>0.99451109999999998</v>
      </c>
      <c r="AB3867">
        <v>18</v>
      </c>
      <c r="AC3867">
        <v>0.188900000000018</v>
      </c>
      <c r="AD3867">
        <v>-1.1103315997509999</v>
      </c>
      <c r="AE3867">
        <v>-44.540300000000002</v>
      </c>
      <c r="AF3867">
        <v>-4.54698821411327</v>
      </c>
      <c r="AG3867">
        <v>-1.1103315997509999</v>
      </c>
      <c r="AH3867">
        <v>44.280193421151203</v>
      </c>
      <c r="AI3867">
        <v>91.428887507495006</v>
      </c>
      <c r="AJ3867">
        <v>95.862966326470399</v>
      </c>
      <c r="AK3867">
        <v>44.526884771958301</v>
      </c>
      <c r="AL3867">
        <v>92.425748995113594</v>
      </c>
      <c r="AM3867">
        <v>83.359354063192598</v>
      </c>
      <c r="AN3867">
        <v>0.99999999941208195</v>
      </c>
    </row>
    <row r="3868" spans="1:40" x14ac:dyDescent="0.25">
      <c r="A3868" t="str">
        <f>"20190312161349290"</f>
        <v>20190312161349290</v>
      </c>
      <c r="B3868" t="str">
        <f>"1552378429279901"</f>
        <v>1552378429279901</v>
      </c>
      <c r="C3868" t="s">
        <v>40</v>
      </c>
      <c r="D3868">
        <v>5.3976379999999997</v>
      </c>
      <c r="E3868">
        <v>0.52842630000000002</v>
      </c>
      <c r="F3868" t="s">
        <v>42</v>
      </c>
      <c r="G3868">
        <v>-190.95830000000001</v>
      </c>
      <c r="H3868" s="1">
        <v>-1.0465649999999999E-6</v>
      </c>
      <c r="I3868">
        <v>161.2662</v>
      </c>
      <c r="J3868">
        <v>-189.43190000000001</v>
      </c>
      <c r="K3868">
        <v>1.110309</v>
      </c>
      <c r="L3868">
        <v>179.34389999999999</v>
      </c>
      <c r="M3868">
        <v>-9.7473489999999996E-2</v>
      </c>
      <c r="N3868">
        <v>0</v>
      </c>
      <c r="O3868">
        <v>-0.99514840000000004</v>
      </c>
      <c r="P3868">
        <v>-0.2105774</v>
      </c>
      <c r="Q3868">
        <v>-5.6252259999999998E-2</v>
      </c>
      <c r="R3868">
        <v>-0.97595750000000003</v>
      </c>
      <c r="S3868">
        <v>-0.25431819999999999</v>
      </c>
      <c r="T3868">
        <v>-0.18334159999999999</v>
      </c>
      <c r="U3868">
        <v>-3.0090940000000002</v>
      </c>
      <c r="V3868">
        <v>0.1144622</v>
      </c>
      <c r="W3868">
        <v>-4.2917419999999998E-2</v>
      </c>
      <c r="X3868">
        <v>0.9925001</v>
      </c>
      <c r="Y3868">
        <v>-1.347453E-2</v>
      </c>
      <c r="Z3868">
        <v>6.0273199999999999E-2</v>
      </c>
      <c r="AA3868">
        <v>0.99809099999999995</v>
      </c>
      <c r="AB3868">
        <v>18</v>
      </c>
      <c r="AC3868">
        <v>-1.52639999999999</v>
      </c>
      <c r="AD3868">
        <v>-1.110310046565</v>
      </c>
      <c r="AE3868">
        <v>-18.0777</v>
      </c>
      <c r="AF3868">
        <v>-0.242216465316</v>
      </c>
      <c r="AG3868">
        <v>-1.110310046565</v>
      </c>
      <c r="AH3868">
        <v>18.072705171927598</v>
      </c>
      <c r="AI3868">
        <v>93.5152752245166</v>
      </c>
      <c r="AJ3868">
        <v>90.767851310340802</v>
      </c>
      <c r="AK3868">
        <v>18.1083994170382</v>
      </c>
      <c r="AL3868">
        <v>92.4597425931874</v>
      </c>
      <c r="AM3868">
        <v>83.421305081157698</v>
      </c>
      <c r="AN3868">
        <v>0.999999974334152</v>
      </c>
    </row>
    <row r="3869" spans="1:40" x14ac:dyDescent="0.25">
      <c r="A3869" t="str">
        <f>"20190312161349304"</f>
        <v>20190312161349304</v>
      </c>
      <c r="B3869" t="str">
        <f>"1552378429300398"</f>
        <v>1552378429300398</v>
      </c>
      <c r="C3869" t="s">
        <v>40</v>
      </c>
      <c r="D3869">
        <v>5.7066910000000002</v>
      </c>
      <c r="E3869">
        <v>0.53924320000000003</v>
      </c>
      <c r="F3869" t="s">
        <v>84</v>
      </c>
      <c r="G3869">
        <v>-201.07900000000001</v>
      </c>
      <c r="H3869" s="1">
        <v>-9.2057220000000008E-6</v>
      </c>
      <c r="I3869">
        <v>140.15180000000001</v>
      </c>
      <c r="J3869">
        <v>-189.44309999999999</v>
      </c>
      <c r="K3869">
        <v>1.1102959999999999</v>
      </c>
      <c r="L3869">
        <v>179.22460000000001</v>
      </c>
      <c r="M3869">
        <v>-9.7121479999999996E-2</v>
      </c>
      <c r="N3869">
        <v>0</v>
      </c>
      <c r="O3869">
        <v>-0.99518280000000003</v>
      </c>
      <c r="P3869">
        <v>-0.20967669999999999</v>
      </c>
      <c r="Q3869">
        <v>-5.6490659999999998E-2</v>
      </c>
      <c r="R3869">
        <v>-0.97613760000000005</v>
      </c>
      <c r="S3869">
        <v>-0.8571472</v>
      </c>
      <c r="T3869">
        <v>-8.1711530000000004E-2</v>
      </c>
      <c r="U3869">
        <v>-2.8842620000000001</v>
      </c>
      <c r="V3869">
        <v>0.113898</v>
      </c>
      <c r="W3869">
        <v>-4.3160160000000003E-2</v>
      </c>
      <c r="X3869">
        <v>0.99255450000000001</v>
      </c>
      <c r="Y3869">
        <v>0.1903088</v>
      </c>
      <c r="Z3869">
        <v>2.727127E-2</v>
      </c>
      <c r="AA3869">
        <v>0.98134540000000003</v>
      </c>
      <c r="AB3869">
        <v>18</v>
      </c>
      <c r="AC3869">
        <v>-11.635899999999999</v>
      </c>
      <c r="AD3869">
        <v>-1.110305205722</v>
      </c>
      <c r="AE3869">
        <v>-39.072800000000001</v>
      </c>
      <c r="AF3869">
        <v>7.77996425806574</v>
      </c>
      <c r="AG3869">
        <v>-1.110305205722</v>
      </c>
      <c r="AH3869">
        <v>39.988588495582903</v>
      </c>
      <c r="AI3869">
        <v>91.561183050661896</v>
      </c>
      <c r="AJ3869">
        <v>78.990377181076795</v>
      </c>
      <c r="AK3869">
        <v>40.7535008480952</v>
      </c>
      <c r="AL3869">
        <v>92.473663419887501</v>
      </c>
      <c r="AM3869">
        <v>83.453805887923494</v>
      </c>
      <c r="AN3869">
        <v>0.99999999464273703</v>
      </c>
    </row>
    <row r="3870" spans="1:40" x14ac:dyDescent="0.25">
      <c r="A3870" t="str">
        <f>"20190312161349323"</f>
        <v>20190312161349323</v>
      </c>
      <c r="B3870" t="str">
        <f>"1552378429319918"</f>
        <v>1552378429319918</v>
      </c>
      <c r="C3870" t="s">
        <v>40</v>
      </c>
      <c r="D3870">
        <v>5.4506139999999998</v>
      </c>
      <c r="E3870">
        <v>0.54092079999999998</v>
      </c>
      <c r="F3870" t="s">
        <v>84</v>
      </c>
      <c r="G3870">
        <v>-200.56489999999999</v>
      </c>
      <c r="H3870" s="1">
        <v>-1.0892350000000001E-5</v>
      </c>
      <c r="I3870">
        <v>145.24719999999999</v>
      </c>
      <c r="J3870">
        <v>-189.4564</v>
      </c>
      <c r="K3870">
        <v>1.1102799999999999</v>
      </c>
      <c r="L3870">
        <v>179.083</v>
      </c>
      <c r="M3870">
        <v>-9.6721639999999998E-2</v>
      </c>
      <c r="N3870">
        <v>0</v>
      </c>
      <c r="O3870">
        <v>-0.99522189999999999</v>
      </c>
      <c r="P3870">
        <v>-0.20817559999999999</v>
      </c>
      <c r="Q3870">
        <v>-5.6664470000000002E-2</v>
      </c>
      <c r="R3870">
        <v>-0.97644869999999995</v>
      </c>
      <c r="S3870">
        <v>-0.93824770000000002</v>
      </c>
      <c r="T3870">
        <v>-9.3666550000000001E-2</v>
      </c>
      <c r="U3870">
        <v>-2.8663639999999999</v>
      </c>
      <c r="V3870">
        <v>0.1127707</v>
      </c>
      <c r="W3870">
        <v>-4.3339269999999999E-2</v>
      </c>
      <c r="X3870">
        <v>0.99267539999999999</v>
      </c>
      <c r="Y3870">
        <v>0.2175472</v>
      </c>
      <c r="Z3870">
        <v>3.122658E-2</v>
      </c>
      <c r="AA3870">
        <v>0.97555020000000003</v>
      </c>
      <c r="AB3870">
        <v>18</v>
      </c>
      <c r="AC3870">
        <v>-11.1084999999999</v>
      </c>
      <c r="AD3870">
        <v>-1.1102908923499999</v>
      </c>
      <c r="AE3870">
        <v>-33.835799999999999</v>
      </c>
      <c r="AF3870">
        <v>7.77590415259791</v>
      </c>
      <c r="AG3870">
        <v>-1.1102908923499999</v>
      </c>
      <c r="AH3870">
        <v>34.717913917652702</v>
      </c>
      <c r="AI3870">
        <v>91.787459630302905</v>
      </c>
      <c r="AJ3870">
        <v>77.375590914352401</v>
      </c>
      <c r="AK3870">
        <v>35.595378605228603</v>
      </c>
      <c r="AL3870">
        <v>92.483935298874897</v>
      </c>
      <c r="AM3870">
        <v>83.518825133699593</v>
      </c>
      <c r="AN3870">
        <v>0.99999998643389099</v>
      </c>
    </row>
    <row r="3871" spans="1:40" x14ac:dyDescent="0.25">
      <c r="A3871" t="str">
        <f>"20190312161349335"</f>
        <v>20190312161349335</v>
      </c>
      <c r="B3871" t="str">
        <f>"1552378429329678"</f>
        <v>1552378429329678</v>
      </c>
      <c r="C3871" t="s">
        <v>40</v>
      </c>
      <c r="D3871">
        <v>5.461843</v>
      </c>
      <c r="E3871">
        <v>0.54165920000000001</v>
      </c>
      <c r="F3871" t="s">
        <v>84</v>
      </c>
      <c r="G3871">
        <v>-202.29910000000001</v>
      </c>
      <c r="H3871" s="1">
        <v>-8.7674670000000001E-6</v>
      </c>
      <c r="I3871">
        <v>140.23150000000001</v>
      </c>
      <c r="J3871">
        <v>-189.46619999999999</v>
      </c>
      <c r="K3871">
        <v>1.1102650000000001</v>
      </c>
      <c r="L3871">
        <v>178.97880000000001</v>
      </c>
      <c r="M3871">
        <v>-9.644461E-2</v>
      </c>
      <c r="N3871">
        <v>0</v>
      </c>
      <c r="O3871">
        <v>-0.99524869999999999</v>
      </c>
      <c r="P3871">
        <v>-0.20699029999999999</v>
      </c>
      <c r="Q3871">
        <v>-5.6219949999999998E-2</v>
      </c>
      <c r="R3871">
        <v>-0.9767266</v>
      </c>
      <c r="S3871">
        <v>-0.94726560000000004</v>
      </c>
      <c r="T3871">
        <v>-8.1894159999999994E-2</v>
      </c>
      <c r="U3871">
        <v>-2.8656619999999999</v>
      </c>
      <c r="V3871">
        <v>0.1118384</v>
      </c>
      <c r="W3871">
        <v>-4.2898829999999999E-2</v>
      </c>
      <c r="X3871">
        <v>0.99280000000000002</v>
      </c>
      <c r="Y3871">
        <v>0.2206948</v>
      </c>
      <c r="Z3871">
        <v>2.72897E-2</v>
      </c>
      <c r="AA3871">
        <v>0.97496099999999997</v>
      </c>
      <c r="AB3871">
        <v>18</v>
      </c>
      <c r="AC3871">
        <v>-12.8329</v>
      </c>
      <c r="AD3871">
        <v>-1.110273767467</v>
      </c>
      <c r="AE3871">
        <v>-38.747300000000003</v>
      </c>
      <c r="AF3871">
        <v>9.0290844535444208</v>
      </c>
      <c r="AG3871">
        <v>-1.110273767467</v>
      </c>
      <c r="AH3871">
        <v>39.774986254106203</v>
      </c>
      <c r="AI3871">
        <v>91.559281140927695</v>
      </c>
      <c r="AJ3871">
        <v>77.210370729623193</v>
      </c>
      <c r="AK3871">
        <v>40.802041682032197</v>
      </c>
      <c r="AL3871">
        <v>92.458676447498405</v>
      </c>
      <c r="AM3871">
        <v>83.572756091156094</v>
      </c>
      <c r="AN3871">
        <v>0.99999998866496398</v>
      </c>
    </row>
    <row r="3872" spans="1:40" x14ac:dyDescent="0.25">
      <c r="A3872" t="str">
        <f>"20190312161349348"</f>
        <v>20190312161349348</v>
      </c>
      <c r="B3872" t="str">
        <f>"1552378429340413"</f>
        <v>1552378429340413</v>
      </c>
      <c r="C3872" t="s">
        <v>40</v>
      </c>
      <c r="D3872">
        <v>5.4923070000000003</v>
      </c>
      <c r="E3872">
        <v>0.54226160000000001</v>
      </c>
      <c r="F3872" t="s">
        <v>84</v>
      </c>
      <c r="G3872">
        <v>-203.92339999999999</v>
      </c>
      <c r="H3872" s="1">
        <v>-6.6554440000000002E-6</v>
      </c>
      <c r="I3872">
        <v>135.35159999999999</v>
      </c>
      <c r="J3872">
        <v>-189.47550000000001</v>
      </c>
      <c r="K3872">
        <v>1.110249</v>
      </c>
      <c r="L3872">
        <v>178.87960000000001</v>
      </c>
      <c r="M3872">
        <v>-9.6190529999999996E-2</v>
      </c>
      <c r="N3872">
        <v>0</v>
      </c>
      <c r="O3872">
        <v>-0.99527339999999997</v>
      </c>
      <c r="P3872">
        <v>-0.2061693</v>
      </c>
      <c r="Q3872">
        <v>-5.5867529999999999E-2</v>
      </c>
      <c r="R3872">
        <v>-0.97692060000000003</v>
      </c>
      <c r="S3872">
        <v>-0.94973750000000001</v>
      </c>
      <c r="T3872">
        <v>-7.2936890000000004E-2</v>
      </c>
      <c r="U3872">
        <v>-2.8659970000000001</v>
      </c>
      <c r="V3872">
        <v>0.11125400000000001</v>
      </c>
      <c r="W3872">
        <v>-4.255101E-2</v>
      </c>
      <c r="X3872">
        <v>0.9928806</v>
      </c>
      <c r="Y3872">
        <v>0.22169179999999999</v>
      </c>
      <c r="Z3872">
        <v>2.4298980000000001E-2</v>
      </c>
      <c r="AA3872">
        <v>0.97481399999999996</v>
      </c>
      <c r="AB3872">
        <v>18</v>
      </c>
      <c r="AC3872">
        <v>-14.447899999999899</v>
      </c>
      <c r="AD3872">
        <v>-1.110255655444</v>
      </c>
      <c r="AE3872">
        <v>-43.527999999999999</v>
      </c>
      <c r="AF3872">
        <v>10.187567462967801</v>
      </c>
      <c r="AG3872">
        <v>-1.110255655444</v>
      </c>
      <c r="AH3872">
        <v>44.689807538150703</v>
      </c>
      <c r="AI3872">
        <v>91.387558362981096</v>
      </c>
      <c r="AJ3872">
        <v>77.158199548440706</v>
      </c>
      <c r="AK3872">
        <v>45.849733873054397</v>
      </c>
      <c r="AL3872">
        <v>92.438729676785499</v>
      </c>
      <c r="AM3872">
        <v>83.606576878291804</v>
      </c>
      <c r="AN3872">
        <v>0.999999963412189</v>
      </c>
    </row>
    <row r="3873" spans="1:40" x14ac:dyDescent="0.25">
      <c r="A3873" t="str">
        <f>"20190312161349359"</f>
        <v>20190312161349359</v>
      </c>
      <c r="B3873" t="str">
        <f>"1552378429350173"</f>
        <v>1552378429350173</v>
      </c>
      <c r="C3873" t="s">
        <v>40</v>
      </c>
      <c r="D3873">
        <v>5.5081600000000002</v>
      </c>
      <c r="E3873">
        <v>0.54275509999999905</v>
      </c>
      <c r="F3873" t="s">
        <v>84</v>
      </c>
      <c r="G3873">
        <v>-205.5497</v>
      </c>
      <c r="H3873" s="1">
        <v>-4.4067700000000003E-6</v>
      </c>
      <c r="I3873">
        <v>130.50030000000001</v>
      </c>
      <c r="J3873">
        <v>-189.4847</v>
      </c>
      <c r="K3873">
        <v>1.1102320000000001</v>
      </c>
      <c r="L3873">
        <v>178.78129999999999</v>
      </c>
      <c r="M3873">
        <v>-9.596702E-2</v>
      </c>
      <c r="N3873">
        <v>0</v>
      </c>
      <c r="O3873">
        <v>-0.99529469999999998</v>
      </c>
      <c r="P3873">
        <v>-0.2053595</v>
      </c>
      <c r="Q3873">
        <v>-5.5935840000000001E-2</v>
      </c>
      <c r="R3873">
        <v>-0.97708709999999999</v>
      </c>
      <c r="S3873">
        <v>-0.95228579999999996</v>
      </c>
      <c r="T3873">
        <v>-6.5775040000000007E-2</v>
      </c>
      <c r="U3873">
        <v>-2.8661500000000002</v>
      </c>
      <c r="V3873">
        <v>0.1106528</v>
      </c>
      <c r="W3873">
        <v>-4.2625049999999998E-2</v>
      </c>
      <c r="X3873">
        <v>0.99294470000000001</v>
      </c>
      <c r="Y3873">
        <v>0.22269340000000001</v>
      </c>
      <c r="Z3873">
        <v>2.190833E-2</v>
      </c>
      <c r="AA3873">
        <v>0.97464229999999996</v>
      </c>
      <c r="AB3873">
        <v>18</v>
      </c>
      <c r="AC3873">
        <v>-16.064999999999898</v>
      </c>
      <c r="AD3873">
        <v>-1.1102364067699999</v>
      </c>
      <c r="AE3873">
        <v>-48.280999999999899</v>
      </c>
      <c r="AF3873">
        <v>11.351636745497499</v>
      </c>
      <c r="AG3873">
        <v>-1.1102364067699999</v>
      </c>
      <c r="AH3873">
        <v>49.576365727934402</v>
      </c>
      <c r="AI3873">
        <v>91.250541577095504</v>
      </c>
      <c r="AJ3873">
        <v>77.103148051171402</v>
      </c>
      <c r="AK3873">
        <v>50.871488286372703</v>
      </c>
      <c r="AL3873">
        <v>92.442975479674402</v>
      </c>
      <c r="AM3873">
        <v>83.641249350861898</v>
      </c>
      <c r="AN3873">
        <v>1.00000005714671</v>
      </c>
    </row>
    <row r="3874" spans="1:40" x14ac:dyDescent="0.25">
      <c r="A3874" t="str">
        <f>"20190312161349380"</f>
        <v>20190312161349380</v>
      </c>
      <c r="B3874" t="str">
        <f>"1552378429369697"</f>
        <v>1552378429369697</v>
      </c>
      <c r="C3874" t="s">
        <v>40</v>
      </c>
      <c r="D3874">
        <v>5.4016799999999998</v>
      </c>
      <c r="E3874">
        <v>0.5432401</v>
      </c>
      <c r="F3874" t="s">
        <v>84</v>
      </c>
      <c r="G3874">
        <v>-205.8167</v>
      </c>
      <c r="H3874" s="1">
        <v>-3.949804E-6</v>
      </c>
      <c r="I3874">
        <v>129.70500000000001</v>
      </c>
      <c r="J3874">
        <v>-189.4992</v>
      </c>
      <c r="K3874">
        <v>1.1102000000000001</v>
      </c>
      <c r="L3874">
        <v>178.62629999999999</v>
      </c>
      <c r="M3874">
        <v>-9.5643160000000005E-2</v>
      </c>
      <c r="N3874">
        <v>0</v>
      </c>
      <c r="O3874">
        <v>-0.99532619999999905</v>
      </c>
      <c r="P3874">
        <v>-0.20575260000000001</v>
      </c>
      <c r="Q3874">
        <v>-5.7109489999999999E-2</v>
      </c>
      <c r="R3874">
        <v>-0.97693660000000004</v>
      </c>
      <c r="S3874">
        <v>-0.95382690000000003</v>
      </c>
      <c r="T3874">
        <v>-6.4840560000000005E-2</v>
      </c>
      <c r="U3874">
        <v>-2.8661799999999999</v>
      </c>
      <c r="V3874">
        <v>0.1113784</v>
      </c>
      <c r="W3874">
        <v>-4.3810889999999998E-2</v>
      </c>
      <c r="X3874">
        <v>0.99281189999999997</v>
      </c>
      <c r="Y3874">
        <v>0.2234814</v>
      </c>
      <c r="Z3874">
        <v>2.1594249999999999E-2</v>
      </c>
      <c r="AA3874">
        <v>0.97446889999999997</v>
      </c>
      <c r="AB3874">
        <v>18</v>
      </c>
      <c r="AC3874">
        <v>-16.3174999999999</v>
      </c>
      <c r="AD3874">
        <v>-1.1102039498039999</v>
      </c>
      <c r="AE3874">
        <v>-48.921299999999903</v>
      </c>
      <c r="AF3874">
        <v>11.557921099377699</v>
      </c>
      <c r="AG3874">
        <v>-1.1102039498039999</v>
      </c>
      <c r="AH3874">
        <v>50.234504743026598</v>
      </c>
      <c r="AI3874">
        <v>91.233829207508407</v>
      </c>
      <c r="AJ3874">
        <v>77.042918754440095</v>
      </c>
      <c r="AK3874">
        <v>51.558932880023399</v>
      </c>
      <c r="AL3874">
        <v>92.510982778266296</v>
      </c>
      <c r="AM3874">
        <v>83.599048065857502</v>
      </c>
      <c r="AN3874">
        <v>1.0000000054253799</v>
      </c>
    </row>
    <row r="3875" spans="1:40" x14ac:dyDescent="0.25">
      <c r="A3875" t="str">
        <f>"20190312161349397"</f>
        <v>20190312161349397</v>
      </c>
      <c r="B3875" t="str">
        <f>"1552378429390190"</f>
        <v>1552378429390190</v>
      </c>
      <c r="C3875" t="s">
        <v>40</v>
      </c>
      <c r="D3875">
        <v>5.4728979999999998</v>
      </c>
      <c r="E3875">
        <v>0.54396069999999996</v>
      </c>
      <c r="F3875" t="s">
        <v>84</v>
      </c>
      <c r="G3875">
        <v>-205.34289999999999</v>
      </c>
      <c r="H3875" s="1">
        <v>-4.7692080000000002E-6</v>
      </c>
      <c r="I3875">
        <v>131.28739999999999</v>
      </c>
      <c r="J3875">
        <v>-189.512</v>
      </c>
      <c r="K3875">
        <v>1.1101669999999999</v>
      </c>
      <c r="L3875">
        <v>178.4905</v>
      </c>
      <c r="M3875">
        <v>-9.5399979999999995E-2</v>
      </c>
      <c r="N3875">
        <v>0</v>
      </c>
      <c r="O3875">
        <v>-0.9953495</v>
      </c>
      <c r="P3875">
        <v>-0.206232</v>
      </c>
      <c r="Q3875">
        <v>-5.7550650000000002E-2</v>
      </c>
      <c r="R3875">
        <v>-0.97680929999999999</v>
      </c>
      <c r="S3875">
        <v>-0.95886229999999995</v>
      </c>
      <c r="T3875">
        <v>-6.7189810000000003E-2</v>
      </c>
      <c r="U3875">
        <v>-2.86496</v>
      </c>
      <c r="V3875">
        <v>0.112107</v>
      </c>
      <c r="W3875">
        <v>-4.4263209999999997E-2</v>
      </c>
      <c r="X3875">
        <v>0.99270979999999998</v>
      </c>
      <c r="Y3875">
        <v>0.2253791</v>
      </c>
      <c r="Z3875">
        <v>2.2375039999999999E-2</v>
      </c>
      <c r="AA3875">
        <v>0.97401420000000005</v>
      </c>
      <c r="AB3875">
        <v>18</v>
      </c>
      <c r="AC3875">
        <v>-15.8308999999999</v>
      </c>
      <c r="AD3875">
        <v>-1.110171769208</v>
      </c>
      <c r="AE3875">
        <v>-47.203099999999999</v>
      </c>
      <c r="AF3875">
        <v>11.2495131016138</v>
      </c>
      <c r="AG3875">
        <v>-1.110171769208</v>
      </c>
      <c r="AH3875">
        <v>48.474069087537103</v>
      </c>
      <c r="AI3875">
        <v>91.278027780440098</v>
      </c>
      <c r="AJ3875">
        <v>76.9344907070696</v>
      </c>
      <c r="AK3875">
        <v>49.774686340386403</v>
      </c>
      <c r="AL3875">
        <v>92.536924037723693</v>
      </c>
      <c r="AM3875">
        <v>83.556869078086507</v>
      </c>
      <c r="AN3875">
        <v>0.99999997911227101</v>
      </c>
    </row>
    <row r="3876" spans="1:40" x14ac:dyDescent="0.25">
      <c r="A3876" t="str">
        <f>"20190312161349413"</f>
        <v>20190312161349413</v>
      </c>
      <c r="B3876" t="str">
        <f>"1552378429409709"</f>
        <v>1552378429409709</v>
      </c>
      <c r="C3876" t="s">
        <v>40</v>
      </c>
      <c r="D3876">
        <v>5.3635140000000003</v>
      </c>
      <c r="E3876">
        <v>0.54351000000000005</v>
      </c>
      <c r="F3876" t="s">
        <v>84</v>
      </c>
      <c r="G3876">
        <v>-206.00309999999999</v>
      </c>
      <c r="H3876">
        <v>2.2388669999999999E-2</v>
      </c>
      <c r="I3876">
        <v>129.6163</v>
      </c>
      <c r="J3876">
        <v>-189.52420000000001</v>
      </c>
      <c r="K3876">
        <v>1.1101350000000001</v>
      </c>
      <c r="L3876">
        <v>178.3605</v>
      </c>
      <c r="M3876">
        <v>-9.5203159999999995E-2</v>
      </c>
      <c r="N3876">
        <v>0</v>
      </c>
      <c r="O3876">
        <v>-0.99536849999999999</v>
      </c>
      <c r="P3876">
        <v>-0.20784330000000001</v>
      </c>
      <c r="Q3876">
        <v>-5.8192389999999997E-2</v>
      </c>
      <c r="R3876">
        <v>-0.97642980000000001</v>
      </c>
      <c r="S3876">
        <v>-0.9662018</v>
      </c>
      <c r="T3876">
        <v>-6.3731910000000003E-2</v>
      </c>
      <c r="U3876">
        <v>-2.8634949999999999</v>
      </c>
      <c r="V3876">
        <v>0.1139401</v>
      </c>
      <c r="W3876">
        <v>-4.4917779999999997E-2</v>
      </c>
      <c r="X3876">
        <v>0.99247169999999896</v>
      </c>
      <c r="Y3876">
        <v>0.22797200000000001</v>
      </c>
      <c r="Z3876">
        <v>2.1219999999999999E-2</v>
      </c>
      <c r="AA3876">
        <v>0.97343639999999998</v>
      </c>
      <c r="AB3876">
        <v>18</v>
      </c>
      <c r="AC3876">
        <v>-16.4788999999999</v>
      </c>
      <c r="AD3876">
        <v>-1.0877463300000001</v>
      </c>
      <c r="AE3876">
        <v>-48.744199999999999</v>
      </c>
      <c r="AF3876">
        <v>11.757767961712901</v>
      </c>
      <c r="AG3876">
        <v>-1.0877463300000001</v>
      </c>
      <c r="AH3876">
        <v>50.0693646116517</v>
      </c>
      <c r="AI3876">
        <v>91.211594740433696</v>
      </c>
      <c r="AJ3876">
        <v>76.784702382953299</v>
      </c>
      <c r="AK3876">
        <v>51.442876787116397</v>
      </c>
      <c r="AL3876">
        <v>92.574465387488999</v>
      </c>
      <c r="AM3876">
        <v>83.4508656482151</v>
      </c>
      <c r="AN3876">
        <v>1.00000001432451</v>
      </c>
    </row>
    <row r="3877" spans="1:40" x14ac:dyDescent="0.25">
      <c r="A3877" t="str">
        <f>"20190312161349436"</f>
        <v>20190312161349436</v>
      </c>
      <c r="B3877" t="str">
        <f>"1552378429430206"</f>
        <v>1552378429430206</v>
      </c>
      <c r="C3877" t="s">
        <v>40</v>
      </c>
      <c r="D3877">
        <v>5.44841</v>
      </c>
      <c r="E3877">
        <v>0.54389549999999998</v>
      </c>
      <c r="F3877" t="s">
        <v>84</v>
      </c>
      <c r="G3877">
        <v>-206.80959999999999</v>
      </c>
      <c r="H3877">
        <v>7.9987639999999999E-2</v>
      </c>
      <c r="I3877">
        <v>127.2133</v>
      </c>
      <c r="J3877">
        <v>-189.5403</v>
      </c>
      <c r="K3877">
        <v>1.1101000000000001</v>
      </c>
      <c r="L3877">
        <v>178.18889999999999</v>
      </c>
      <c r="M3877">
        <v>-9.5005469999999995E-2</v>
      </c>
      <c r="N3877">
        <v>0</v>
      </c>
      <c r="O3877">
        <v>-0.99538729999999997</v>
      </c>
      <c r="P3877">
        <v>-0.20971870000000001</v>
      </c>
      <c r="Q3877">
        <v>-5.765298E-2</v>
      </c>
      <c r="R3877">
        <v>-0.97606099999999996</v>
      </c>
      <c r="S3877">
        <v>-0.96757510000000002</v>
      </c>
      <c r="T3877">
        <v>-5.7663680000000002E-2</v>
      </c>
      <c r="U3877">
        <v>-2.863022</v>
      </c>
      <c r="V3877">
        <v>0.1160344</v>
      </c>
      <c r="W3877">
        <v>-4.4394870000000003E-2</v>
      </c>
      <c r="X3877">
        <v>0.99225249999999998</v>
      </c>
      <c r="Y3877">
        <v>0.2286463</v>
      </c>
      <c r="Z3877">
        <v>1.920092E-2</v>
      </c>
      <c r="AA3877">
        <v>0.97332019999999997</v>
      </c>
      <c r="AB3877">
        <v>18</v>
      </c>
      <c r="AC3877">
        <v>-17.269299999999902</v>
      </c>
      <c r="AD3877">
        <v>-1.0301123599999999</v>
      </c>
      <c r="AE3877">
        <v>-50.975599999999901</v>
      </c>
      <c r="AF3877">
        <v>12.34325900941</v>
      </c>
      <c r="AG3877">
        <v>-1.0301123599999999</v>
      </c>
      <c r="AH3877">
        <v>52.366624652512598</v>
      </c>
      <c r="AI3877">
        <v>91.096878273517007</v>
      </c>
      <c r="AJ3877">
        <v>76.736984825708902</v>
      </c>
      <c r="AK3877">
        <v>53.811528058072703</v>
      </c>
      <c r="AL3877">
        <v>92.544475084060807</v>
      </c>
      <c r="AM3877">
        <v>83.330102526175693</v>
      </c>
      <c r="AN3877">
        <v>0.99999995511096196</v>
      </c>
    </row>
    <row r="3878" spans="1:40" x14ac:dyDescent="0.25">
      <c r="A3878" t="str">
        <f>"20190312161349448"</f>
        <v>20190312161349448</v>
      </c>
      <c r="B3878" t="str">
        <f>"1552378429439965"</f>
        <v>1552378429439965</v>
      </c>
      <c r="C3878" t="s">
        <v>40</v>
      </c>
      <c r="D3878">
        <v>5.4664549999999998</v>
      </c>
      <c r="E3878">
        <v>0.54407450000000002</v>
      </c>
      <c r="F3878" t="s">
        <v>84</v>
      </c>
      <c r="G3878">
        <v>-206.5318</v>
      </c>
      <c r="H3878">
        <v>7.9987669999999997E-2</v>
      </c>
      <c r="I3878">
        <v>128.37950000000001</v>
      </c>
      <c r="J3878">
        <v>-189.5505</v>
      </c>
      <c r="K3878">
        <v>1.1100730000000001</v>
      </c>
      <c r="L3878">
        <v>178.0806</v>
      </c>
      <c r="M3878">
        <v>-9.4909460000000001E-2</v>
      </c>
      <c r="N3878">
        <v>0</v>
      </c>
      <c r="O3878">
        <v>-0.99539659999999996</v>
      </c>
      <c r="P3878">
        <v>-0.21037359999999999</v>
      </c>
      <c r="Q3878">
        <v>-5.71196E-2</v>
      </c>
      <c r="R3878">
        <v>-0.97595160000000003</v>
      </c>
      <c r="S3878">
        <v>-0.97578430000000005</v>
      </c>
      <c r="T3878">
        <v>-5.9156779999999999E-2</v>
      </c>
      <c r="U3878">
        <v>-2.8604280000000002</v>
      </c>
      <c r="V3878">
        <v>0.1167894</v>
      </c>
      <c r="W3878">
        <v>-4.3871149999999998E-2</v>
      </c>
      <c r="X3878">
        <v>0.99218729999999999</v>
      </c>
      <c r="Y3878">
        <v>0.2315082</v>
      </c>
      <c r="Z3878">
        <v>1.9699439999999999E-2</v>
      </c>
      <c r="AA3878">
        <v>0.97263350000000004</v>
      </c>
      <c r="AB3878">
        <v>18</v>
      </c>
      <c r="AC3878">
        <v>-16.981300000000001</v>
      </c>
      <c r="AD3878">
        <v>-1.0300853299999999</v>
      </c>
      <c r="AE3878">
        <v>-49.701099999999997</v>
      </c>
      <c r="AF3878">
        <v>12.182421279456101</v>
      </c>
      <c r="AG3878">
        <v>-1.0300853299999999</v>
      </c>
      <c r="AH3878">
        <v>51.068890480308298</v>
      </c>
      <c r="AI3878">
        <v>91.1239981912601</v>
      </c>
      <c r="AJ3878">
        <v>76.582913079720598</v>
      </c>
      <c r="AK3878">
        <v>52.511941869511404</v>
      </c>
      <c r="AL3878">
        <v>92.514438657726501</v>
      </c>
      <c r="AM3878">
        <v>83.286661269608203</v>
      </c>
      <c r="AN3878">
        <v>1.00000004001798</v>
      </c>
    </row>
    <row r="3879" spans="1:40" x14ac:dyDescent="0.25">
      <c r="A3879" t="str">
        <f>"20190312161349470"</f>
        <v>20190312161349470</v>
      </c>
      <c r="B3879" t="str">
        <f>"1552378429460461"</f>
        <v>1552378429460461</v>
      </c>
      <c r="C3879" t="s">
        <v>40</v>
      </c>
      <c r="D3879">
        <v>5.4609120000000004</v>
      </c>
      <c r="E3879">
        <v>0.54463989999999995</v>
      </c>
      <c r="F3879" t="s">
        <v>84</v>
      </c>
      <c r="G3879">
        <v>-206.34979999999999</v>
      </c>
      <c r="H3879">
        <v>7.998769E-2</v>
      </c>
      <c r="I3879">
        <v>129.02080000000001</v>
      </c>
      <c r="J3879">
        <v>-189.56620000000001</v>
      </c>
      <c r="K3879">
        <v>1.1100399999999999</v>
      </c>
      <c r="L3879">
        <v>177.91370000000001</v>
      </c>
      <c r="M3879">
        <v>-9.4821559999999999E-2</v>
      </c>
      <c r="N3879">
        <v>0</v>
      </c>
      <c r="O3879">
        <v>-0.99540470000000003</v>
      </c>
      <c r="P3879">
        <v>-0.21211920000000001</v>
      </c>
      <c r="Q3879">
        <v>-5.6439969999999999E-2</v>
      </c>
      <c r="R3879">
        <v>-0.9756127</v>
      </c>
      <c r="S3879">
        <v>-0.9791107</v>
      </c>
      <c r="T3879">
        <v>-6.0036300000000001E-2</v>
      </c>
      <c r="U3879">
        <v>-2.8593440000000001</v>
      </c>
      <c r="V3879">
        <v>0.1186427</v>
      </c>
      <c r="W3879">
        <v>-4.3207120000000002E-2</v>
      </c>
      <c r="X3879">
        <v>0.99199649999999995</v>
      </c>
      <c r="Y3879">
        <v>0.2327177</v>
      </c>
      <c r="Z3879">
        <v>1.9993029999999998E-2</v>
      </c>
      <c r="AA3879">
        <v>0.97233879999999995</v>
      </c>
      <c r="AB3879">
        <v>18</v>
      </c>
      <c r="AC3879">
        <v>-16.7835999999999</v>
      </c>
      <c r="AD3879">
        <v>-1.0300523100000001</v>
      </c>
      <c r="AE3879">
        <v>-48.892899999999997</v>
      </c>
      <c r="AF3879">
        <v>12.0666587149707</v>
      </c>
      <c r="AG3879">
        <v>-1.0300523100000001</v>
      </c>
      <c r="AH3879">
        <v>50.244202595571998</v>
      </c>
      <c r="AI3879">
        <v>91.141989007655795</v>
      </c>
      <c r="AJ3879">
        <v>76.495587107747795</v>
      </c>
      <c r="AK3879">
        <v>51.683122533084202</v>
      </c>
      <c r="AL3879">
        <v>92.476356526857003</v>
      </c>
      <c r="AM3879">
        <v>83.179825263512996</v>
      </c>
      <c r="AN3879">
        <v>1.0000000007471099</v>
      </c>
    </row>
    <row r="3880" spans="1:40" x14ac:dyDescent="0.25">
      <c r="A3880" t="str">
        <f>"20190312161349482"</f>
        <v>20190312161349482</v>
      </c>
      <c r="B3880" t="str">
        <f>"1552378429470223"</f>
        <v>1552378429470223</v>
      </c>
      <c r="C3880" t="s">
        <v>40</v>
      </c>
      <c r="D3880">
        <v>5.4656799999999999</v>
      </c>
      <c r="E3880">
        <v>0.54476829999999998</v>
      </c>
      <c r="F3880" t="s">
        <v>84</v>
      </c>
      <c r="G3880">
        <v>-207.4691</v>
      </c>
      <c r="H3880">
        <v>7.9987630000000004E-2</v>
      </c>
      <c r="I3880">
        <v>126.1782</v>
      </c>
      <c r="J3880">
        <v>-189.57579999999999</v>
      </c>
      <c r="K3880">
        <v>1.11002</v>
      </c>
      <c r="L3880">
        <v>177.81319999999999</v>
      </c>
      <c r="M3880">
        <v>-9.4799919999999996E-2</v>
      </c>
      <c r="N3880">
        <v>0</v>
      </c>
      <c r="O3880">
        <v>-0.99540669999999998</v>
      </c>
      <c r="P3880">
        <v>-0.21285080000000001</v>
      </c>
      <c r="Q3880">
        <v>-5.6389750000000002E-2</v>
      </c>
      <c r="R3880">
        <v>-0.9754564</v>
      </c>
      <c r="S3880">
        <v>-0.98857119999999998</v>
      </c>
      <c r="T3880">
        <v>-5.6878089999999999E-2</v>
      </c>
      <c r="U3880">
        <v>-2.8567659999999999</v>
      </c>
      <c r="V3880">
        <v>0.1194052</v>
      </c>
      <c r="W3880">
        <v>-4.316557E-2</v>
      </c>
      <c r="X3880">
        <v>0.99190679999999998</v>
      </c>
      <c r="Y3880">
        <v>0.23589189999999999</v>
      </c>
      <c r="Z3880">
        <v>1.8940599999999998E-2</v>
      </c>
      <c r="AA3880">
        <v>0.97159470000000003</v>
      </c>
      <c r="AB3880">
        <v>18</v>
      </c>
      <c r="AC3880">
        <v>-17.8933</v>
      </c>
      <c r="AD3880">
        <v>-1.03003237</v>
      </c>
      <c r="AE3880">
        <v>-51.634999999999899</v>
      </c>
      <c r="AF3880">
        <v>12.912682078439</v>
      </c>
      <c r="AG3880">
        <v>-1.03003237</v>
      </c>
      <c r="AH3880">
        <v>53.079989151535798</v>
      </c>
      <c r="AI3880">
        <v>91.080205633556005</v>
      </c>
      <c r="AJ3880">
        <v>76.3273340097508</v>
      </c>
      <c r="AK3880">
        <v>54.637748612742499</v>
      </c>
      <c r="AL3880">
        <v>92.473973705416896</v>
      </c>
      <c r="AM3880">
        <v>83.135795008678699</v>
      </c>
      <c r="AN3880">
        <v>0.999999984053352</v>
      </c>
    </row>
    <row r="3881" spans="1:40" x14ac:dyDescent="0.25">
      <c r="A3881" t="str">
        <f>"20190312161349496"</f>
        <v>20190312161349496</v>
      </c>
      <c r="B3881" t="str">
        <f>"1552378429489742"</f>
        <v>1552378429489742</v>
      </c>
      <c r="C3881" t="s">
        <v>40</v>
      </c>
      <c r="D3881">
        <v>5.399864</v>
      </c>
      <c r="E3881">
        <v>0.54510340000000002</v>
      </c>
      <c r="F3881" t="s">
        <v>84</v>
      </c>
      <c r="G3881">
        <v>-207.0675</v>
      </c>
      <c r="H3881">
        <v>7.9987569999999994E-2</v>
      </c>
      <c r="I3881">
        <v>127.4538</v>
      </c>
      <c r="J3881">
        <v>-189.58600000000001</v>
      </c>
      <c r="K3881">
        <v>1.1099950000000001</v>
      </c>
      <c r="L3881">
        <v>177.70519999999999</v>
      </c>
      <c r="M3881">
        <v>-9.4794299999999998E-2</v>
      </c>
      <c r="N3881">
        <v>0</v>
      </c>
      <c r="O3881">
        <v>-0.9954075</v>
      </c>
      <c r="P3881">
        <v>-0.213225</v>
      </c>
      <c r="Q3881">
        <v>-5.6416220000000003E-2</v>
      </c>
      <c r="R3881">
        <v>-0.97537339999999995</v>
      </c>
      <c r="S3881">
        <v>-0.99188229999999999</v>
      </c>
      <c r="T3881">
        <v>-5.840886E-2</v>
      </c>
      <c r="U3881">
        <v>-2.855667</v>
      </c>
      <c r="V3881">
        <v>0.11978900000000001</v>
      </c>
      <c r="W3881">
        <v>-4.3199910000000001E-2</v>
      </c>
      <c r="X3881">
        <v>0.99185900000000005</v>
      </c>
      <c r="Y3881">
        <v>0.23701510000000001</v>
      </c>
      <c r="Z3881">
        <v>1.945094E-2</v>
      </c>
      <c r="AA3881">
        <v>0.97131120000000004</v>
      </c>
      <c r="AB3881">
        <v>18</v>
      </c>
      <c r="AC3881">
        <v>-17.4815</v>
      </c>
      <c r="AD3881">
        <v>-1.0300074299999999</v>
      </c>
      <c r="AE3881">
        <v>-50.251399999999897</v>
      </c>
      <c r="AF3881">
        <v>12.6340595791255</v>
      </c>
      <c r="AG3881">
        <v>-1.0300074299999999</v>
      </c>
      <c r="AH3881">
        <v>51.663003632843399</v>
      </c>
      <c r="AI3881">
        <v>91.109472083356096</v>
      </c>
      <c r="AJ3881">
        <v>76.258158852089196</v>
      </c>
      <c r="AK3881">
        <v>53.195359958570997</v>
      </c>
      <c r="AL3881">
        <v>92.475943148294306</v>
      </c>
      <c r="AM3881">
        <v>83.113614476343898</v>
      </c>
      <c r="AN3881">
        <v>0.99999995631300298</v>
      </c>
    </row>
    <row r="3882" spans="1:40" x14ac:dyDescent="0.25">
      <c r="A3882" t="str">
        <f>"20190312161349513"</f>
        <v>20190312161349513</v>
      </c>
      <c r="B3882" t="str">
        <f>"1552378429500478"</f>
        <v>1552378429500478</v>
      </c>
      <c r="C3882" t="s">
        <v>40</v>
      </c>
      <c r="D3882">
        <v>5.4036439999999999</v>
      </c>
      <c r="E3882">
        <v>0.54517479999999996</v>
      </c>
      <c r="F3882" t="s">
        <v>84</v>
      </c>
      <c r="G3882">
        <v>-207.48840000000001</v>
      </c>
      <c r="H3882">
        <v>7.9987589999999997E-2</v>
      </c>
      <c r="I3882">
        <v>126.3746</v>
      </c>
      <c r="J3882">
        <v>-189.59819999999999</v>
      </c>
      <c r="K3882">
        <v>1.1099760000000001</v>
      </c>
      <c r="L3882">
        <v>177.57689999999999</v>
      </c>
      <c r="M3882">
        <v>-9.480922E-2</v>
      </c>
      <c r="N3882">
        <v>0</v>
      </c>
      <c r="O3882">
        <v>-0.99540620000000002</v>
      </c>
      <c r="P3882">
        <v>-0.21325520000000001</v>
      </c>
      <c r="Q3882">
        <v>-5.6216120000000001E-2</v>
      </c>
      <c r="R3882">
        <v>-0.97537850000000004</v>
      </c>
      <c r="S3882">
        <v>-0.99565119999999896</v>
      </c>
      <c r="T3882">
        <v>-5.7284590000000003E-2</v>
      </c>
      <c r="U3882">
        <v>-2.8547820000000002</v>
      </c>
      <c r="V3882">
        <v>0.11980159999999999</v>
      </c>
      <c r="W3882">
        <v>-4.3007070000000001E-2</v>
      </c>
      <c r="X3882">
        <v>0.99186589999999997</v>
      </c>
      <c r="Y3882">
        <v>0.2382399</v>
      </c>
      <c r="Z3882">
        <v>1.9075290000000002E-2</v>
      </c>
      <c r="AA3882">
        <v>0.97101899999999997</v>
      </c>
      <c r="AB3882">
        <v>18</v>
      </c>
      <c r="AC3882">
        <v>-17.8902</v>
      </c>
      <c r="AD3882">
        <v>-1.0299884100000001</v>
      </c>
      <c r="AE3882">
        <v>-51.202300000000001</v>
      </c>
      <c r="AF3882">
        <v>12.9500468408595</v>
      </c>
      <c r="AG3882">
        <v>-1.0299884100000001</v>
      </c>
      <c r="AH3882">
        <v>52.648936011071299</v>
      </c>
      <c r="AI3882">
        <v>91.088322399373595</v>
      </c>
      <c r="AJ3882">
        <v>76.181293536527207</v>
      </c>
      <c r="AK3882">
        <v>54.227991410369199</v>
      </c>
      <c r="AL3882">
        <v>92.464883849792201</v>
      </c>
      <c r="AM3882">
        <v>83.112944539496695</v>
      </c>
      <c r="AN3882">
        <v>0.99999999750767699</v>
      </c>
    </row>
    <row r="3883" spans="1:40" x14ac:dyDescent="0.25">
      <c r="A3883" t="str">
        <f>"20190312161349525"</f>
        <v>20190312161349525</v>
      </c>
      <c r="B3883" t="str">
        <f>"1552378429519998"</f>
        <v>1552378429519998</v>
      </c>
      <c r="C3883" t="s">
        <v>40</v>
      </c>
      <c r="D3883">
        <v>5.2090870000000002</v>
      </c>
      <c r="E3883">
        <v>0.54532519999999995</v>
      </c>
      <c r="F3883" t="s">
        <v>84</v>
      </c>
      <c r="G3883">
        <v>-207.2543</v>
      </c>
      <c r="H3883">
        <v>7.9987550000000004E-2</v>
      </c>
      <c r="I3883">
        <v>126.9773</v>
      </c>
      <c r="J3883">
        <v>-189.6086</v>
      </c>
      <c r="K3883">
        <v>1.1099619999999999</v>
      </c>
      <c r="L3883">
        <v>177.46889999999999</v>
      </c>
      <c r="M3883">
        <v>-9.4838430000000001E-2</v>
      </c>
      <c r="N3883">
        <v>0</v>
      </c>
      <c r="O3883">
        <v>-0.99540329999999999</v>
      </c>
      <c r="P3883">
        <v>-0.21309410000000001</v>
      </c>
      <c r="Q3883">
        <v>-5.6124109999999998E-2</v>
      </c>
      <c r="R3883">
        <v>-0.97541849999999997</v>
      </c>
      <c r="S3883">
        <v>-0.99607849999999998</v>
      </c>
      <c r="T3883">
        <v>-5.8107609999999997E-2</v>
      </c>
      <c r="U3883">
        <v>-2.8546140000000002</v>
      </c>
      <c r="V3883">
        <v>0.119607</v>
      </c>
      <c r="W3883">
        <v>-4.2919770000000003E-2</v>
      </c>
      <c r="X3883">
        <v>0.99189320000000003</v>
      </c>
      <c r="Y3883">
        <v>0.23835690000000001</v>
      </c>
      <c r="Z3883">
        <v>1.934949E-2</v>
      </c>
      <c r="AA3883">
        <v>0.97098479999999998</v>
      </c>
      <c r="AB3883">
        <v>18</v>
      </c>
      <c r="AC3883">
        <v>-17.645700000000001</v>
      </c>
      <c r="AD3883">
        <v>-1.0299744500000001</v>
      </c>
      <c r="AE3883">
        <v>-50.491599999999899</v>
      </c>
      <c r="AF3883">
        <v>12.7724444430748</v>
      </c>
      <c r="AG3883">
        <v>-1.0299744500000001</v>
      </c>
      <c r="AH3883">
        <v>51.918364254354103</v>
      </c>
      <c r="AI3883">
        <v>91.103607731599396</v>
      </c>
      <c r="AJ3883">
        <v>76.179112247476098</v>
      </c>
      <c r="AK3883">
        <v>53.476281950663697</v>
      </c>
      <c r="AL3883">
        <v>92.459877223822701</v>
      </c>
      <c r="AM3883">
        <v>83.124211793077393</v>
      </c>
      <c r="AN3883">
        <v>1.0000000306560399</v>
      </c>
    </row>
    <row r="3884" spans="1:40" x14ac:dyDescent="0.25">
      <c r="A3884" t="str">
        <f>"20190312161349538"</f>
        <v>20190312161349538</v>
      </c>
      <c r="B3884" t="str">
        <f>"1552378429529759"</f>
        <v>1552378429529759</v>
      </c>
      <c r="C3884" t="s">
        <v>40</v>
      </c>
      <c r="D3884">
        <v>5.3863459999999996</v>
      </c>
      <c r="E3884">
        <v>0.54561590000000004</v>
      </c>
      <c r="F3884" t="s">
        <v>41</v>
      </c>
      <c r="G3884">
        <v>-211.2953</v>
      </c>
      <c r="H3884">
        <v>-0.05</v>
      </c>
      <c r="I3884">
        <v>115.374</v>
      </c>
      <c r="J3884">
        <v>-189.61799999999999</v>
      </c>
      <c r="K3884">
        <v>1.1099559999999999</v>
      </c>
      <c r="L3884">
        <v>177.36949999999999</v>
      </c>
      <c r="M3884">
        <v>-9.4880629999999994E-2</v>
      </c>
      <c r="N3884">
        <v>0</v>
      </c>
      <c r="O3884">
        <v>-0.99539929999999999</v>
      </c>
      <c r="P3884">
        <v>-0.21317829999999999</v>
      </c>
      <c r="Q3884">
        <v>-5.5928529999999997E-2</v>
      </c>
      <c r="R3884">
        <v>-0.97541180000000005</v>
      </c>
      <c r="S3884">
        <v>-0.99700929999999999</v>
      </c>
      <c r="T3884">
        <v>-5.3327319999999998E-2</v>
      </c>
      <c r="U3884">
        <v>-2.8547060000000002</v>
      </c>
      <c r="V3884">
        <v>0.11964859999999999</v>
      </c>
      <c r="W3884">
        <v>-4.2727830000000001E-2</v>
      </c>
      <c r="X3884">
        <v>0.99189649999999996</v>
      </c>
      <c r="Y3884">
        <v>0.238598</v>
      </c>
      <c r="Z3884">
        <v>1.775612E-2</v>
      </c>
      <c r="AA3884">
        <v>0.97095609999999999</v>
      </c>
      <c r="AB3884">
        <v>18</v>
      </c>
      <c r="AC3884">
        <v>-21.677299999999999</v>
      </c>
      <c r="AD3884">
        <v>-1.159956</v>
      </c>
      <c r="AE3884">
        <v>-61.9954999999999</v>
      </c>
      <c r="AF3884">
        <v>15.6918985345549</v>
      </c>
      <c r="AG3884">
        <v>-1.159956</v>
      </c>
      <c r="AH3884">
        <v>63.752819064654403</v>
      </c>
      <c r="AI3884">
        <v>91.012155416438404</v>
      </c>
      <c r="AJ3884">
        <v>76.172283753666306</v>
      </c>
      <c r="AK3884">
        <v>65.665844365478705</v>
      </c>
      <c r="AL3884">
        <v>92.448869700507501</v>
      </c>
      <c r="AM3884">
        <v>83.121865924220401</v>
      </c>
      <c r="AN3884">
        <v>1.0000000608253501</v>
      </c>
    </row>
    <row r="3885" spans="1:40" x14ac:dyDescent="0.25">
      <c r="A3885" t="str">
        <f>"20190312161349571"</f>
        <v>20190312161349571</v>
      </c>
      <c r="B3885" t="str">
        <f>"1552378429560014"</f>
        <v>1552378429560014</v>
      </c>
      <c r="C3885" t="s">
        <v>40</v>
      </c>
      <c r="D3885">
        <v>5.2677690000000004</v>
      </c>
      <c r="E3885">
        <v>0.54537139999999995</v>
      </c>
      <c r="F3885" t="s">
        <v>41</v>
      </c>
      <c r="G3885">
        <v>-212.7193</v>
      </c>
      <c r="H3885">
        <v>-0.05</v>
      </c>
      <c r="I3885">
        <v>111.40940000000001</v>
      </c>
      <c r="J3885">
        <v>-189.64250000000001</v>
      </c>
      <c r="K3885">
        <v>1.1099410000000001</v>
      </c>
      <c r="L3885">
        <v>177.11449999999999</v>
      </c>
      <c r="M3885">
        <v>-9.5035129999999995E-2</v>
      </c>
      <c r="N3885">
        <v>0</v>
      </c>
      <c r="O3885">
        <v>-0.99538450000000001</v>
      </c>
      <c r="P3885">
        <v>-0.21363879999999999</v>
      </c>
      <c r="Q3885">
        <v>-5.4823610000000002E-2</v>
      </c>
      <c r="R3885">
        <v>-0.97537339999999995</v>
      </c>
      <c r="S3885">
        <v>-0.99966429999999995</v>
      </c>
      <c r="T3885">
        <v>-5.0194860000000001E-2</v>
      </c>
      <c r="U3885">
        <v>-2.8542939999999999</v>
      </c>
      <c r="V3885">
        <v>0.119955199999999</v>
      </c>
      <c r="W3885">
        <v>-4.1631179999999997E-2</v>
      </c>
      <c r="X3885">
        <v>0.99190599999999995</v>
      </c>
      <c r="Y3885">
        <v>0.2393015</v>
      </c>
      <c r="Z3885">
        <v>1.6711360000000001E-2</v>
      </c>
      <c r="AA3885">
        <v>0.97080149999999998</v>
      </c>
      <c r="AB3885">
        <v>18</v>
      </c>
      <c r="AC3885">
        <v>-23.076799999999899</v>
      </c>
      <c r="AD3885">
        <v>-1.1599409999999899</v>
      </c>
      <c r="AE3885">
        <v>-65.705099999999902</v>
      </c>
      <c r="AF3885">
        <v>16.722845841795099</v>
      </c>
      <c r="AG3885">
        <v>-1.1599409999999899</v>
      </c>
      <c r="AH3885">
        <v>67.582212780918098</v>
      </c>
      <c r="AI3885">
        <v>90.954512096200702</v>
      </c>
      <c r="AJ3885">
        <v>76.101646444489006</v>
      </c>
      <c r="AK3885">
        <v>69.630126529665404</v>
      </c>
      <c r="AL3885">
        <v>92.385980559175195</v>
      </c>
      <c r="AM3885">
        <v>83.104475572872403</v>
      </c>
      <c r="AN3885">
        <v>0.999999958995615</v>
      </c>
    </row>
    <row r="3886" spans="1:40" x14ac:dyDescent="0.25">
      <c r="A3886" t="str">
        <f>"20190312161349583"</f>
        <v>20190312161349583</v>
      </c>
      <c r="B3886" t="str">
        <f>"1552378429579534"</f>
        <v>1552378429579534</v>
      </c>
      <c r="C3886" t="s">
        <v>40</v>
      </c>
      <c r="D3886">
        <v>5.1621899999999998</v>
      </c>
      <c r="E3886">
        <v>0.54584940000000004</v>
      </c>
      <c r="F3886" t="s">
        <v>41</v>
      </c>
      <c r="G3886">
        <v>-212.76820000000001</v>
      </c>
      <c r="H3886">
        <v>-0.05</v>
      </c>
      <c r="I3886">
        <v>111.0491</v>
      </c>
      <c r="J3886">
        <v>-189.6516</v>
      </c>
      <c r="K3886">
        <v>1.109936</v>
      </c>
      <c r="L3886">
        <v>177.0206</v>
      </c>
      <c r="M3886">
        <v>-9.5111860000000006E-2</v>
      </c>
      <c r="N3886">
        <v>0</v>
      </c>
      <c r="O3886">
        <v>-0.99537739999999997</v>
      </c>
      <c r="P3886">
        <v>-0.21369850000000001</v>
      </c>
      <c r="Q3886">
        <v>-5.4547720000000001E-2</v>
      </c>
      <c r="R3886">
        <v>-0.97537589999999996</v>
      </c>
      <c r="S3886">
        <v>-0.999054</v>
      </c>
      <c r="T3886">
        <v>-5.0110700000000001E-2</v>
      </c>
      <c r="U3886">
        <v>-2.854095</v>
      </c>
      <c r="V3886">
        <v>0.1199374</v>
      </c>
      <c r="W3886">
        <v>-4.1358100000000002E-2</v>
      </c>
      <c r="X3886">
        <v>0.99191960000000001</v>
      </c>
      <c r="Y3886">
        <v>0.239063</v>
      </c>
      <c r="Z3886">
        <v>1.6685330000000002E-2</v>
      </c>
      <c r="AA3886">
        <v>0.97086070000000002</v>
      </c>
      <c r="AB3886">
        <v>18</v>
      </c>
      <c r="AC3886">
        <v>-23.116599999999998</v>
      </c>
      <c r="AD3886">
        <v>-1.1599360000000001</v>
      </c>
      <c r="AE3886">
        <v>-65.971500000000006</v>
      </c>
      <c r="AF3886">
        <v>16.7319482433061</v>
      </c>
      <c r="AG3886">
        <v>-1.1599360000000001</v>
      </c>
      <c r="AH3886">
        <v>67.852546921121004</v>
      </c>
      <c r="AI3886">
        <v>90.950894284339597</v>
      </c>
      <c r="AJ3886">
        <v>76.147639101760603</v>
      </c>
      <c r="AK3886">
        <v>69.8947184501354</v>
      </c>
      <c r="AL3886">
        <v>92.370320683623206</v>
      </c>
      <c r="AM3886">
        <v>83.105582560867504</v>
      </c>
      <c r="AN3886">
        <v>0.99999998260926404</v>
      </c>
    </row>
    <row r="3887" spans="1:40" x14ac:dyDescent="0.25">
      <c r="A3887" t="str">
        <f>"20190312161349602"</f>
        <v>20190312161349602</v>
      </c>
      <c r="B3887" t="str">
        <f>"1552378429600029"</f>
        <v>1552378429600029</v>
      </c>
      <c r="C3887" t="s">
        <v>40</v>
      </c>
      <c r="D3887">
        <v>5.5698040000000004</v>
      </c>
      <c r="E3887">
        <v>0.59373100000000001</v>
      </c>
      <c r="F3887" t="s">
        <v>41</v>
      </c>
      <c r="G3887">
        <v>-211.95959999999999</v>
      </c>
      <c r="H3887">
        <v>-0.05</v>
      </c>
      <c r="I3887">
        <v>113.5608</v>
      </c>
      <c r="J3887">
        <v>-189.6661</v>
      </c>
      <c r="K3887">
        <v>1.1099270000000001</v>
      </c>
      <c r="L3887">
        <v>176.87</v>
      </c>
      <c r="M3887">
        <v>-9.5252379999999998E-2</v>
      </c>
      <c r="N3887">
        <v>0</v>
      </c>
      <c r="O3887">
        <v>-0.99536389999999997</v>
      </c>
      <c r="P3887">
        <v>-0.2142713</v>
      </c>
      <c r="Q3887">
        <v>-5.4384370000000001E-2</v>
      </c>
      <c r="R3887">
        <v>-0.97525910000000005</v>
      </c>
      <c r="S3887">
        <v>-1.002945</v>
      </c>
      <c r="T3887">
        <v>-5.2149529999999999E-2</v>
      </c>
      <c r="U3887">
        <v>-2.8530880000000001</v>
      </c>
      <c r="V3887">
        <v>0.1203777</v>
      </c>
      <c r="W3887">
        <v>-4.1200599999999997E-2</v>
      </c>
      <c r="X3887">
        <v>0.9918728</v>
      </c>
      <c r="Y3887">
        <v>0.2402077</v>
      </c>
      <c r="Z3887">
        <v>1.7363110000000001E-2</v>
      </c>
      <c r="AA3887">
        <v>0.97056620000000005</v>
      </c>
      <c r="AB3887">
        <v>18</v>
      </c>
      <c r="AC3887">
        <v>-22.293499999999899</v>
      </c>
      <c r="AD3887">
        <v>-1.1599269999999999</v>
      </c>
      <c r="AE3887">
        <v>-63.309199999999997</v>
      </c>
      <c r="AF3887">
        <v>16.156403946800701</v>
      </c>
      <c r="AG3887">
        <v>-1.1599269999999999</v>
      </c>
      <c r="AH3887">
        <v>65.125539552945796</v>
      </c>
      <c r="AI3887">
        <v>90.990352203482502</v>
      </c>
      <c r="AJ3887">
        <v>76.0672902541301</v>
      </c>
      <c r="AK3887">
        <v>67.109691708424904</v>
      </c>
      <c r="AL3887">
        <v>92.361288939750295</v>
      </c>
      <c r="AM3887">
        <v>83.080194207173705</v>
      </c>
      <c r="AN3887">
        <v>0.99999996573874395</v>
      </c>
    </row>
    <row r="3888" spans="1:40" x14ac:dyDescent="0.25">
      <c r="A3888" t="str">
        <f>"20190312161349626"</f>
        <v>20190312161349626</v>
      </c>
      <c r="B3888" t="str">
        <f>"1552378429619549"</f>
        <v>1552378429619549</v>
      </c>
      <c r="C3888" t="s">
        <v>40</v>
      </c>
      <c r="D3888">
        <v>5.2851689999999998</v>
      </c>
      <c r="E3888">
        <v>0.59327890000000005</v>
      </c>
      <c r="F3888" t="s">
        <v>42</v>
      </c>
      <c r="G3888">
        <v>-194.0204</v>
      </c>
      <c r="H3888" s="1">
        <v>-4.8594450000000002E-6</v>
      </c>
      <c r="I3888">
        <v>168.08330000000001</v>
      </c>
      <c r="J3888">
        <v>-189.68360000000001</v>
      </c>
      <c r="K3888">
        <v>1.109912</v>
      </c>
      <c r="L3888">
        <v>176.68969999999999</v>
      </c>
      <c r="M3888">
        <v>-9.5450339999999995E-2</v>
      </c>
      <c r="N3888">
        <v>0</v>
      </c>
      <c r="O3888">
        <v>-0.99534480000000003</v>
      </c>
      <c r="P3888">
        <v>-0.21519569999999999</v>
      </c>
      <c r="Q3888">
        <v>-5.4392509999999998E-2</v>
      </c>
      <c r="R3888">
        <v>-0.97505500000000001</v>
      </c>
      <c r="S3888">
        <v>-1.366028</v>
      </c>
      <c r="T3888">
        <v>-0.34820770000000001</v>
      </c>
      <c r="U3888">
        <v>-2.756561</v>
      </c>
      <c r="V3888">
        <v>0.1211185</v>
      </c>
      <c r="W3888">
        <v>-4.12171E-2</v>
      </c>
      <c r="X3888">
        <v>0.99178189999999999</v>
      </c>
      <c r="Y3888">
        <v>0.35357949999999999</v>
      </c>
      <c r="Z3888">
        <v>0.113924499999999</v>
      </c>
      <c r="AA3888">
        <v>0.92844099999999996</v>
      </c>
      <c r="AB3888">
        <v>18</v>
      </c>
      <c r="AC3888">
        <v>-4.3367999999999798</v>
      </c>
      <c r="AD3888">
        <v>-1.109916859445</v>
      </c>
      <c r="AE3888">
        <v>-8.6063999999999794</v>
      </c>
      <c r="AF3888">
        <v>3.4496826327201902</v>
      </c>
      <c r="AG3888">
        <v>-1.109916859445</v>
      </c>
      <c r="AH3888">
        <v>8.8635196715055393</v>
      </c>
      <c r="AI3888">
        <v>96.656093577465199</v>
      </c>
      <c r="AJ3888">
        <v>68.734008075571396</v>
      </c>
      <c r="AK3888">
        <v>9.5757091992466705</v>
      </c>
      <c r="AL3888">
        <v>92.362235187616506</v>
      </c>
      <c r="AM3888">
        <v>83.037394812208007</v>
      </c>
      <c r="AN3888">
        <v>0.99999993877113302</v>
      </c>
    </row>
    <row r="3889" spans="1:40" x14ac:dyDescent="0.25">
      <c r="A3889" t="str">
        <f>"20190312161349648"</f>
        <v>20190312161349648</v>
      </c>
      <c r="B3889" t="str">
        <f>"1552378429640046"</f>
        <v>1552378429640046</v>
      </c>
      <c r="C3889" t="s">
        <v>40</v>
      </c>
      <c r="D3889">
        <v>5.3171010000000001</v>
      </c>
      <c r="E3889">
        <v>0.58812699999999996</v>
      </c>
      <c r="F3889" t="s">
        <v>42</v>
      </c>
      <c r="G3889">
        <v>-196.24850000000001</v>
      </c>
      <c r="H3889" s="1">
        <v>-3.4763530000000001E-6</v>
      </c>
      <c r="I3889">
        <v>163.45240000000001</v>
      </c>
      <c r="J3889">
        <v>-189.7012</v>
      </c>
      <c r="K3889">
        <v>1.1098950000000001</v>
      </c>
      <c r="L3889">
        <v>176.5093</v>
      </c>
      <c r="M3889">
        <v>-9.5683889999999994E-2</v>
      </c>
      <c r="N3889">
        <v>0</v>
      </c>
      <c r="O3889">
        <v>-0.99532229999999999</v>
      </c>
      <c r="P3889">
        <v>-0.2161777</v>
      </c>
      <c r="Q3889">
        <v>-5.4731469999999997E-2</v>
      </c>
      <c r="R3889">
        <v>-0.97481910000000005</v>
      </c>
      <c r="S3889">
        <v>-1.3695679999999999</v>
      </c>
      <c r="T3889">
        <v>-0.2315506</v>
      </c>
      <c r="U3889">
        <v>-2.7615660000000002</v>
      </c>
      <c r="V3889">
        <v>0.12188400000000001</v>
      </c>
      <c r="W3889">
        <v>-4.1565079999999997E-2</v>
      </c>
      <c r="X3889">
        <v>0.99167360000000004</v>
      </c>
      <c r="Y3889">
        <v>0.35525469999999998</v>
      </c>
      <c r="Z3889">
        <v>7.5881680000000007E-2</v>
      </c>
      <c r="AA3889">
        <v>0.93168459999999997</v>
      </c>
      <c r="AB3889">
        <v>18</v>
      </c>
      <c r="AC3889">
        <v>-6.5472999999999999</v>
      </c>
      <c r="AD3889">
        <v>-1.109898476353</v>
      </c>
      <c r="AE3889">
        <v>-13.056899999999899</v>
      </c>
      <c r="AF3889">
        <v>5.2375663262732903</v>
      </c>
      <c r="AG3889">
        <v>-1.109898476353</v>
      </c>
      <c r="AH3889">
        <v>13.5452980747897</v>
      </c>
      <c r="AI3889">
        <v>94.370355528725497</v>
      </c>
      <c r="AJ3889">
        <v>68.859987263101004</v>
      </c>
      <c r="AK3889">
        <v>14.564994870744901</v>
      </c>
      <c r="AL3889">
        <v>92.382190055268794</v>
      </c>
      <c r="AM3889">
        <v>82.993067829005398</v>
      </c>
      <c r="AN3889">
        <v>0.99999994713418106</v>
      </c>
    </row>
    <row r="3890" spans="1:40" x14ac:dyDescent="0.25">
      <c r="A3890" t="str">
        <f>"20190312161349660"</f>
        <v>20190312161349660</v>
      </c>
      <c r="B3890" t="str">
        <f>"1552378429649806"</f>
        <v>1552378429649806</v>
      </c>
      <c r="C3890" t="s">
        <v>40</v>
      </c>
      <c r="D3890">
        <v>5.3538160000000001</v>
      </c>
      <c r="E3890">
        <v>0.58685390000000004</v>
      </c>
      <c r="F3890" t="s">
        <v>84</v>
      </c>
      <c r="G3890">
        <v>-198.59100000000001</v>
      </c>
      <c r="H3890" s="1">
        <v>-1.458287E-5</v>
      </c>
      <c r="I3890">
        <v>158.0479</v>
      </c>
      <c r="J3890">
        <v>-189.7107</v>
      </c>
      <c r="K3890">
        <v>1.1098859999999999</v>
      </c>
      <c r="L3890">
        <v>176.41200000000001</v>
      </c>
      <c r="M3890">
        <v>-9.5829380000000006E-2</v>
      </c>
      <c r="N3890">
        <v>0</v>
      </c>
      <c r="O3890">
        <v>-0.99530850000000004</v>
      </c>
      <c r="P3890">
        <v>-0.21680179999999999</v>
      </c>
      <c r="Q3890">
        <v>-5.4549640000000003E-2</v>
      </c>
      <c r="R3890">
        <v>-0.97469070000000002</v>
      </c>
      <c r="S3890">
        <v>-1.3348850000000001</v>
      </c>
      <c r="T3890">
        <v>-0.1666619</v>
      </c>
      <c r="U3890">
        <v>-2.772125</v>
      </c>
      <c r="V3890">
        <v>0.12237190000000001</v>
      </c>
      <c r="W3890">
        <v>-4.1387859999999999E-2</v>
      </c>
      <c r="X3890">
        <v>0.99162099999999997</v>
      </c>
      <c r="Y3890">
        <v>0.34486209999999901</v>
      </c>
      <c r="Z3890">
        <v>5.4762579999999998E-2</v>
      </c>
      <c r="AA3890">
        <v>0.93705450000000001</v>
      </c>
      <c r="AB3890">
        <v>18</v>
      </c>
      <c r="AC3890">
        <v>-8.8802999999999699</v>
      </c>
      <c r="AD3890">
        <v>-1.1099005828699999</v>
      </c>
      <c r="AE3890">
        <v>-18.364100000000001</v>
      </c>
      <c r="AF3890">
        <v>7.0585497615239001</v>
      </c>
      <c r="AG3890">
        <v>-1.1099005828699999</v>
      </c>
      <c r="AH3890">
        <v>19.074168700136202</v>
      </c>
      <c r="AI3890">
        <v>93.123641510441203</v>
      </c>
      <c r="AJ3890">
        <v>69.692600598748299</v>
      </c>
      <c r="AK3890">
        <v>20.368576671947899</v>
      </c>
      <c r="AL3890">
        <v>92.372027173186694</v>
      </c>
      <c r="AM3890">
        <v>82.964930243339893</v>
      </c>
      <c r="AN3890">
        <v>1.0000000222529899</v>
      </c>
    </row>
    <row r="3891" spans="1:40" x14ac:dyDescent="0.25">
      <c r="A3891" t="str">
        <f>"20190312161349681"</f>
        <v>20190312161349681</v>
      </c>
      <c r="B3891" t="str">
        <f>"1552378429670301"</f>
        <v>1552378429670301</v>
      </c>
      <c r="C3891" t="s">
        <v>40</v>
      </c>
      <c r="D3891">
        <v>5.3928419999999999</v>
      </c>
      <c r="E3891">
        <v>0.58419460000000001</v>
      </c>
      <c r="F3891" t="s">
        <v>84</v>
      </c>
      <c r="G3891">
        <v>-199.673</v>
      </c>
      <c r="H3891" s="1">
        <v>-1.396527E-5</v>
      </c>
      <c r="I3891">
        <v>155.5934</v>
      </c>
      <c r="J3891">
        <v>-189.7253</v>
      </c>
      <c r="K3891">
        <v>1.1098760000000001</v>
      </c>
      <c r="L3891">
        <v>176.26329999999999</v>
      </c>
      <c r="M3891">
        <v>-9.6066760000000001E-2</v>
      </c>
      <c r="N3891">
        <v>0</v>
      </c>
      <c r="O3891">
        <v>-0.99528559999999999</v>
      </c>
      <c r="P3891">
        <v>-0.21739790000000001</v>
      </c>
      <c r="Q3891">
        <v>-5.4258870000000001E-2</v>
      </c>
      <c r="R3891">
        <v>-0.9745741</v>
      </c>
      <c r="S3891">
        <v>-1.327591</v>
      </c>
      <c r="T3891">
        <v>-0.1479065</v>
      </c>
      <c r="U3891">
        <v>-2.7743229999999999</v>
      </c>
      <c r="V3891">
        <v>0.1227391</v>
      </c>
      <c r="W3891">
        <v>-4.1102640000000003E-2</v>
      </c>
      <c r="X3891">
        <v>0.99158749999999996</v>
      </c>
      <c r="Y3891">
        <v>0.34248119999999999</v>
      </c>
      <c r="Z3891">
        <v>4.8628169999999998E-2</v>
      </c>
      <c r="AA3891">
        <v>0.93826540000000003</v>
      </c>
      <c r="AB3891">
        <v>18</v>
      </c>
      <c r="AC3891">
        <v>-9.9476999999999904</v>
      </c>
      <c r="AD3891">
        <v>-1.1098899652700001</v>
      </c>
      <c r="AE3891">
        <v>-20.669899999999899</v>
      </c>
      <c r="AF3891">
        <v>7.8973278830988498</v>
      </c>
      <c r="AG3891">
        <v>-1.1098899652700001</v>
      </c>
      <c r="AH3891">
        <v>21.479725944726301</v>
      </c>
      <c r="AI3891">
        <v>92.776526893488196</v>
      </c>
      <c r="AJ3891">
        <v>69.813327995156499</v>
      </c>
      <c r="AK3891">
        <v>22.9124042843331</v>
      </c>
      <c r="AL3891">
        <v>92.355671306965306</v>
      </c>
      <c r="AM3891">
        <v>82.943796685949593</v>
      </c>
      <c r="AN3891">
        <v>1.0000000419200099</v>
      </c>
    </row>
    <row r="3892" spans="1:40" x14ac:dyDescent="0.25">
      <c r="A3892" t="str">
        <f>"20190312161349693"</f>
        <v>20190312161349693</v>
      </c>
      <c r="B3892" t="str">
        <f>"1552378429689822"</f>
        <v>1552378429689822</v>
      </c>
      <c r="C3892" t="s">
        <v>40</v>
      </c>
      <c r="D3892">
        <v>5.4122969999999997</v>
      </c>
      <c r="E3892">
        <v>0.58110509999999904</v>
      </c>
      <c r="F3892" t="s">
        <v>84</v>
      </c>
      <c r="G3892">
        <v>-200.2937</v>
      </c>
      <c r="H3892">
        <v>7.9984760000000002E-2</v>
      </c>
      <c r="I3892">
        <v>153.83150000000001</v>
      </c>
      <c r="J3892">
        <v>-189.73519999999999</v>
      </c>
      <c r="K3892">
        <v>1.1098730000000001</v>
      </c>
      <c r="L3892">
        <v>176.16249999999999</v>
      </c>
      <c r="M3892">
        <v>-9.6239560000000002E-2</v>
      </c>
      <c r="N3892">
        <v>0</v>
      </c>
      <c r="O3892">
        <v>-0.99526919999999997</v>
      </c>
      <c r="P3892">
        <v>-0.21795139999999999</v>
      </c>
      <c r="Q3892">
        <v>-5.4315339999999997E-2</v>
      </c>
      <c r="R3892">
        <v>-0.97444750000000002</v>
      </c>
      <c r="S3892">
        <v>-1.309326</v>
      </c>
      <c r="T3892">
        <v>-0.1275936</v>
      </c>
      <c r="U3892">
        <v>-2.779083</v>
      </c>
      <c r="V3892">
        <v>0.1231295</v>
      </c>
      <c r="W3892">
        <v>-4.116276E-2</v>
      </c>
      <c r="X3892">
        <v>0.99153659999999999</v>
      </c>
      <c r="Y3892">
        <v>0.33677990000000002</v>
      </c>
      <c r="Z3892">
        <v>4.1998260000000003E-2</v>
      </c>
      <c r="AA3892">
        <v>0.94064630000000005</v>
      </c>
      <c r="AB3892">
        <v>18</v>
      </c>
      <c r="AC3892">
        <v>-10.5585</v>
      </c>
      <c r="AD3892">
        <v>-1.02988823999999</v>
      </c>
      <c r="AE3892">
        <v>-22.3309999999999</v>
      </c>
      <c r="AF3892">
        <v>8.3456570826349594</v>
      </c>
      <c r="AG3892">
        <v>-1.02988823999999</v>
      </c>
      <c r="AH3892">
        <v>23.203225427069999</v>
      </c>
      <c r="AI3892">
        <v>92.391632456544997</v>
      </c>
      <c r="AJ3892">
        <v>70.217529213908193</v>
      </c>
      <c r="AK3892">
        <v>24.6799581066754</v>
      </c>
      <c r="AL3892">
        <v>92.359118856347393</v>
      </c>
      <c r="AM3892">
        <v>82.921220440378804</v>
      </c>
      <c r="AN3892">
        <v>1.00000003786031</v>
      </c>
    </row>
    <row r="3893" spans="1:40" x14ac:dyDescent="0.25">
      <c r="A3893" t="str">
        <f>"20190312161349706"</f>
        <v>20190312161349706</v>
      </c>
      <c r="B3893" t="str">
        <f>"1552378429699582"</f>
        <v>1552378429699582</v>
      </c>
      <c r="C3893" t="s">
        <v>40</v>
      </c>
      <c r="D3893">
        <v>5.3765049999999999</v>
      </c>
      <c r="E3893">
        <v>0.58020530000000003</v>
      </c>
      <c r="F3893" t="s">
        <v>84</v>
      </c>
      <c r="G3893">
        <v>-200.72800000000001</v>
      </c>
      <c r="H3893">
        <v>7.9984780000000005E-2</v>
      </c>
      <c r="I3893">
        <v>152.3819</v>
      </c>
      <c r="J3893">
        <v>-189.74520000000001</v>
      </c>
      <c r="K3893">
        <v>1.1098669999999999</v>
      </c>
      <c r="L3893">
        <v>176.06139999999999</v>
      </c>
      <c r="M3893">
        <v>-9.6422229999999998E-2</v>
      </c>
      <c r="N3893">
        <v>0</v>
      </c>
      <c r="O3893">
        <v>-0.9952512</v>
      </c>
      <c r="P3893">
        <v>-0.21829509999999999</v>
      </c>
      <c r="Q3893">
        <v>-5.4210429999999997E-2</v>
      </c>
      <c r="R3893">
        <v>-0.97437580000000001</v>
      </c>
      <c r="S3893">
        <v>-1.2869569999999999</v>
      </c>
      <c r="T3893">
        <v>-0.12057279999999999</v>
      </c>
      <c r="U3893">
        <v>-2.7840880000000001</v>
      </c>
      <c r="V3893">
        <v>0.1232963</v>
      </c>
      <c r="W3893">
        <v>-4.106054E-2</v>
      </c>
      <c r="X3893">
        <v>0.99151999999999996</v>
      </c>
      <c r="Y3893">
        <v>0.32977600000000001</v>
      </c>
      <c r="Z3893">
        <v>3.9740610000000003E-2</v>
      </c>
      <c r="AA3893">
        <v>0.94322240000000002</v>
      </c>
      <c r="AB3893">
        <v>18</v>
      </c>
      <c r="AC3893">
        <v>-10.9827999999999</v>
      </c>
      <c r="AD3893">
        <v>-1.02988222</v>
      </c>
      <c r="AE3893">
        <v>-23.679499999999901</v>
      </c>
      <c r="AF3893">
        <v>8.6347416669297097</v>
      </c>
      <c r="AG3893">
        <v>-1.02988222</v>
      </c>
      <c r="AH3893">
        <v>24.589946743399999</v>
      </c>
      <c r="AI3893">
        <v>92.262964261948696</v>
      </c>
      <c r="AJ3893">
        <v>70.651312990449398</v>
      </c>
      <c r="AK3893">
        <v>26.082271793019402</v>
      </c>
      <c r="AL3893">
        <v>92.353257384983706</v>
      </c>
      <c r="AM3893">
        <v>82.911611036934602</v>
      </c>
      <c r="AN3893">
        <v>0.99999992796938797</v>
      </c>
    </row>
    <row r="3894" spans="1:40" x14ac:dyDescent="0.25">
      <c r="A3894" t="str">
        <f>"20190312161349719"</f>
        <v>20190312161349719</v>
      </c>
      <c r="B3894" t="str">
        <f>"1552378429710318"</f>
        <v>1552378429710318</v>
      </c>
      <c r="C3894" t="s">
        <v>40</v>
      </c>
      <c r="D3894">
        <v>5.420941</v>
      </c>
      <c r="E3894">
        <v>0.57964459999999995</v>
      </c>
      <c r="F3894" t="s">
        <v>84</v>
      </c>
      <c r="G3894">
        <v>-201.32839999999999</v>
      </c>
      <c r="H3894">
        <v>7.9984849999999996E-2</v>
      </c>
      <c r="I3894">
        <v>150.8801</v>
      </c>
      <c r="J3894">
        <v>-189.755</v>
      </c>
      <c r="K3894">
        <v>1.1098650000000001</v>
      </c>
      <c r="L3894">
        <v>175.96250000000001</v>
      </c>
      <c r="M3894">
        <v>-9.6611520000000006E-2</v>
      </c>
      <c r="N3894">
        <v>0</v>
      </c>
      <c r="O3894">
        <v>-0.99523309999999998</v>
      </c>
      <c r="P3894">
        <v>-0.21865470000000001</v>
      </c>
      <c r="Q3894">
        <v>-5.3974040000000001E-2</v>
      </c>
      <c r="R3894">
        <v>-0.97430859999999997</v>
      </c>
      <c r="S3894">
        <v>-1.2813110000000001</v>
      </c>
      <c r="T3894">
        <v>-0.11392339999999999</v>
      </c>
      <c r="U3894">
        <v>-2.785507</v>
      </c>
      <c r="V3894">
        <v>0.1234721</v>
      </c>
      <c r="W3894">
        <v>-4.0826210000000002E-2</v>
      </c>
      <c r="X3894">
        <v>0.9915079</v>
      </c>
      <c r="Y3894">
        <v>0.32787119999999997</v>
      </c>
      <c r="Z3894">
        <v>3.7561990000000003E-2</v>
      </c>
      <c r="AA3894">
        <v>0.94397540000000002</v>
      </c>
      <c r="AB3894">
        <v>18</v>
      </c>
      <c r="AC3894">
        <v>-11.5733999999999</v>
      </c>
      <c r="AD3894">
        <v>-1.0298801500000001</v>
      </c>
      <c r="AE3894">
        <v>-25.0824</v>
      </c>
      <c r="AF3894">
        <v>9.0831628847171206</v>
      </c>
      <c r="AG3894">
        <v>-1.0298801500000001</v>
      </c>
      <c r="AH3894">
        <v>26.047065818676799</v>
      </c>
      <c r="AI3894">
        <v>92.138102918328002</v>
      </c>
      <c r="AJ3894">
        <v>70.775255874897596</v>
      </c>
      <c r="AK3894">
        <v>27.604603581217201</v>
      </c>
      <c r="AL3894">
        <v>92.3398197636768</v>
      </c>
      <c r="AM3894">
        <v>82.901521461397905</v>
      </c>
      <c r="AN3894">
        <v>1.0000000273318901</v>
      </c>
    </row>
    <row r="3895" spans="1:40" x14ac:dyDescent="0.25">
      <c r="A3895" t="str">
        <f>"20190312161349730"</f>
        <v>20190312161349730</v>
      </c>
      <c r="B3895" t="str">
        <f>"1552378429720078"</f>
        <v>1552378429720078</v>
      </c>
      <c r="C3895" t="s">
        <v>40</v>
      </c>
      <c r="D3895">
        <v>5.4225019999999997</v>
      </c>
      <c r="E3895">
        <v>0.57909909999999998</v>
      </c>
      <c r="F3895" t="s">
        <v>84</v>
      </c>
      <c r="G3895">
        <v>-203.3672</v>
      </c>
      <c r="H3895" s="1">
        <v>-9.9658519999999993E-6</v>
      </c>
      <c r="I3895">
        <v>146.29429999999999</v>
      </c>
      <c r="J3895">
        <v>-189.76439999999999</v>
      </c>
      <c r="K3895">
        <v>1.109861</v>
      </c>
      <c r="L3895">
        <v>175.86779999999999</v>
      </c>
      <c r="M3895">
        <v>-9.6796489999999999E-2</v>
      </c>
      <c r="N3895">
        <v>0</v>
      </c>
      <c r="O3895">
        <v>-0.99521490000000001</v>
      </c>
      <c r="P3895">
        <v>-0.21925539999999999</v>
      </c>
      <c r="Q3895">
        <v>-5.381035E-2</v>
      </c>
      <c r="R3895">
        <v>-0.97418249999999995</v>
      </c>
      <c r="S3895">
        <v>-1.2784580000000001</v>
      </c>
      <c r="T3895">
        <v>-0.10423929999999999</v>
      </c>
      <c r="U3895">
        <v>-2.786438</v>
      </c>
      <c r="V3895">
        <v>0.12389790000000001</v>
      </c>
      <c r="W3895">
        <v>-4.0664899999999997E-2</v>
      </c>
      <c r="X3895">
        <v>0.99146140000000005</v>
      </c>
      <c r="Y3895">
        <v>0.32682519999999998</v>
      </c>
      <c r="Z3895">
        <v>3.4375280000000001E-2</v>
      </c>
      <c r="AA3895">
        <v>0.94445939999999995</v>
      </c>
      <c r="AB3895">
        <v>17</v>
      </c>
      <c r="AC3895">
        <v>-13.6028</v>
      </c>
      <c r="AD3895">
        <v>-1.1098709658520001</v>
      </c>
      <c r="AE3895">
        <v>-29.573499999999999</v>
      </c>
      <c r="AF3895">
        <v>10.6636506267843</v>
      </c>
      <c r="AG3895">
        <v>-1.1098709658520001</v>
      </c>
      <c r="AH3895">
        <v>30.715717272510101</v>
      </c>
      <c r="AI3895">
        <v>91.955034263316307</v>
      </c>
      <c r="AJ3895">
        <v>70.854407816292806</v>
      </c>
      <c r="AK3895">
        <v>32.533068496773197</v>
      </c>
      <c r="AL3895">
        <v>92.330569727174407</v>
      </c>
      <c r="AM3895">
        <v>82.876962362481805</v>
      </c>
      <c r="AN3895">
        <v>1.0000000157031801</v>
      </c>
    </row>
    <row r="3896" spans="1:40" x14ac:dyDescent="0.25">
      <c r="A3896" t="str">
        <f>"20190312161349748"</f>
        <v>20190312161349748</v>
      </c>
      <c r="B3896" t="str">
        <f>"1552378429739601"</f>
        <v>1552378429739601</v>
      </c>
      <c r="C3896" t="s">
        <v>40</v>
      </c>
      <c r="D3896">
        <v>5.4563750000000004</v>
      </c>
      <c r="E3896">
        <v>0.5781828</v>
      </c>
      <c r="F3896" t="s">
        <v>84</v>
      </c>
      <c r="G3896">
        <v>-204.52250000000001</v>
      </c>
      <c r="H3896" s="1">
        <v>-8.8298690000000001E-6</v>
      </c>
      <c r="I3896">
        <v>143.63849999999999</v>
      </c>
      <c r="J3896">
        <v>-189.77799999999999</v>
      </c>
      <c r="K3896">
        <v>1.109861</v>
      </c>
      <c r="L3896">
        <v>175.732</v>
      </c>
      <c r="M3896">
        <v>-9.7071160000000004E-2</v>
      </c>
      <c r="N3896">
        <v>0</v>
      </c>
      <c r="O3896">
        <v>-0.99518819999999997</v>
      </c>
      <c r="P3896">
        <v>-0.21987110000000001</v>
      </c>
      <c r="Q3896">
        <v>-5.3632109999999997E-2</v>
      </c>
      <c r="R3896">
        <v>-0.97405390000000003</v>
      </c>
      <c r="S3896">
        <v>-1.276184</v>
      </c>
      <c r="T3896">
        <v>-9.5974329999999997E-2</v>
      </c>
      <c r="U3896">
        <v>-2.7869869999999999</v>
      </c>
      <c r="V3896">
        <v>0.12424979999999999</v>
      </c>
      <c r="W3896">
        <v>-4.0489030000000002E-2</v>
      </c>
      <c r="X3896">
        <v>0.99142459999999999</v>
      </c>
      <c r="Y3896">
        <v>0.32589430000000003</v>
      </c>
      <c r="Z3896">
        <v>3.1656129999999998E-2</v>
      </c>
      <c r="AA3896">
        <v>0.9448761</v>
      </c>
      <c r="AB3896">
        <v>17</v>
      </c>
      <c r="AC3896">
        <v>-14.7445</v>
      </c>
      <c r="AD3896">
        <v>-1.109869829869</v>
      </c>
      <c r="AE3896">
        <v>-32.093499999999999</v>
      </c>
      <c r="AF3896">
        <v>11.5478222860571</v>
      </c>
      <c r="AG3896">
        <v>-1.109869829869</v>
      </c>
      <c r="AH3896">
        <v>33.340378602278101</v>
      </c>
      <c r="AI3896">
        <v>91.801683508710198</v>
      </c>
      <c r="AJ3896">
        <v>70.895885990108397</v>
      </c>
      <c r="AK3896">
        <v>35.301060266412101</v>
      </c>
      <c r="AL3896">
        <v>92.3204847194324</v>
      </c>
      <c r="AM3896">
        <v>82.856677501435001</v>
      </c>
      <c r="AN3896">
        <v>1.00000005591776</v>
      </c>
    </row>
    <row r="3897" spans="1:40" x14ac:dyDescent="0.25">
      <c r="A3897" t="str">
        <f>"20190312161349770"</f>
        <v>20190312161349770</v>
      </c>
      <c r="B3897" t="str">
        <f>"1552378429760093"</f>
        <v>1552378429760093</v>
      </c>
      <c r="C3897" t="s">
        <v>40</v>
      </c>
      <c r="D3897">
        <v>5.4378000000000002</v>
      </c>
      <c r="E3897">
        <v>0.57691380000000003</v>
      </c>
      <c r="F3897" t="s">
        <v>84</v>
      </c>
      <c r="G3897">
        <v>-205.9864</v>
      </c>
      <c r="H3897" s="1">
        <v>-7.2968809999999899E-6</v>
      </c>
      <c r="I3897">
        <v>140.18</v>
      </c>
      <c r="J3897">
        <v>-189.79519999999999</v>
      </c>
      <c r="K3897">
        <v>1.1098669999999999</v>
      </c>
      <c r="L3897">
        <v>175.56010000000001</v>
      </c>
      <c r="M3897">
        <v>-9.7426529999999997E-2</v>
      </c>
      <c r="N3897">
        <v>0</v>
      </c>
      <c r="O3897">
        <v>-0.99515350000000002</v>
      </c>
      <c r="P3897">
        <v>-0.2207055</v>
      </c>
      <c r="Q3897">
        <v>-5.3348529999999998E-2</v>
      </c>
      <c r="R3897">
        <v>-0.97388039999999998</v>
      </c>
      <c r="S3897">
        <v>-1.2711490000000001</v>
      </c>
      <c r="T3897">
        <v>-8.704162E-2</v>
      </c>
      <c r="U3897">
        <v>-2.7881770000000001</v>
      </c>
      <c r="V3897">
        <v>0.1247436</v>
      </c>
      <c r="W3897">
        <v>-4.0207680000000003E-2</v>
      </c>
      <c r="X3897">
        <v>0.99137399999999998</v>
      </c>
      <c r="Y3897">
        <v>0.32402829999999999</v>
      </c>
      <c r="Z3897">
        <v>2.871959E-2</v>
      </c>
      <c r="AA3897">
        <v>0.94561139999999999</v>
      </c>
      <c r="AB3897">
        <v>17</v>
      </c>
      <c r="AC3897">
        <v>-16.191199999999998</v>
      </c>
      <c r="AD3897">
        <v>-1.109874296881</v>
      </c>
      <c r="AE3897">
        <v>-35.380099999999999</v>
      </c>
      <c r="AF3897">
        <v>12.656595437692999</v>
      </c>
      <c r="AG3897">
        <v>-1.109874296881</v>
      </c>
      <c r="AH3897">
        <v>36.759439428491902</v>
      </c>
      <c r="AI3897">
        <v>91.635242616718202</v>
      </c>
      <c r="AJ3897">
        <v>71.000967910733706</v>
      </c>
      <c r="AK3897">
        <v>38.893156417617703</v>
      </c>
      <c r="AL3897">
        <v>92.304351507955801</v>
      </c>
      <c r="AM3897">
        <v>82.828220918778896</v>
      </c>
      <c r="AN3897">
        <v>1.0000000155739699</v>
      </c>
    </row>
    <row r="3898" spans="1:40" x14ac:dyDescent="0.25">
      <c r="A3898" t="str">
        <f>"20190312161349784"</f>
        <v>20190312161349784</v>
      </c>
      <c r="B3898" t="str">
        <f>"1552378429779614"</f>
        <v>1552378429779614</v>
      </c>
      <c r="C3898" t="s">
        <v>40</v>
      </c>
      <c r="D3898">
        <v>5.5208539999999999</v>
      </c>
      <c r="E3898">
        <v>0.576044</v>
      </c>
      <c r="F3898" t="s">
        <v>84</v>
      </c>
      <c r="G3898">
        <v>-205.6593</v>
      </c>
      <c r="H3898" s="1">
        <v>-7.5376490000000003E-6</v>
      </c>
      <c r="I3898">
        <v>140.54249999999999</v>
      </c>
      <c r="J3898">
        <v>-189.80590000000001</v>
      </c>
      <c r="K3898">
        <v>1.109869</v>
      </c>
      <c r="L3898">
        <v>175.4528</v>
      </c>
      <c r="M3898">
        <v>-9.7648659999999998E-2</v>
      </c>
      <c r="N3898">
        <v>0</v>
      </c>
      <c r="O3898">
        <v>-0.99513189999999996</v>
      </c>
      <c r="P3898">
        <v>-0.2211891</v>
      </c>
      <c r="Q3898">
        <v>-5.318995E-2</v>
      </c>
      <c r="R3898">
        <v>-0.97377959999999997</v>
      </c>
      <c r="S3898">
        <v>-1.263611</v>
      </c>
      <c r="T3898">
        <v>-8.840394E-2</v>
      </c>
      <c r="U3898">
        <v>-2.7892299999999999</v>
      </c>
      <c r="V3898">
        <v>0.12501379999999901</v>
      </c>
      <c r="W3898">
        <v>-4.0050040000000002E-2</v>
      </c>
      <c r="X3898">
        <v>0.99134630000000001</v>
      </c>
      <c r="Y3898">
        <v>0.3215575</v>
      </c>
      <c r="Z3898">
        <v>2.9185949999999999E-2</v>
      </c>
      <c r="AA3898">
        <v>0.94644019999999995</v>
      </c>
      <c r="AB3898">
        <v>17</v>
      </c>
      <c r="AC3898">
        <v>-15.853399999999899</v>
      </c>
      <c r="AD3898">
        <v>-1.1098765376490001</v>
      </c>
      <c r="AE3898">
        <v>-34.910299999999999</v>
      </c>
      <c r="AF3898">
        <v>12.3580208702364</v>
      </c>
      <c r="AG3898">
        <v>-1.1098765376490001</v>
      </c>
      <c r="AH3898">
        <v>36.261247897815203</v>
      </c>
      <c r="AI3898">
        <v>91.6594805565922</v>
      </c>
      <c r="AJ3898">
        <v>71.180624271091602</v>
      </c>
      <c r="AK3898">
        <v>38.325325893785099</v>
      </c>
      <c r="AL3898">
        <v>92.295312222180399</v>
      </c>
      <c r="AM3898">
        <v>82.812650086711002</v>
      </c>
      <c r="AN3898">
        <v>0.99999997120906503</v>
      </c>
    </row>
    <row r="3899" spans="1:40" x14ac:dyDescent="0.25">
      <c r="A3899" t="str">
        <f>"20190312161349796"</f>
        <v>20190312161349796</v>
      </c>
      <c r="B3899" t="str">
        <f>"1552378429790350"</f>
        <v>1552378429790350</v>
      </c>
      <c r="C3899" t="s">
        <v>40</v>
      </c>
      <c r="D3899">
        <v>5.4539070000000001</v>
      </c>
      <c r="E3899">
        <v>0.57562419999999903</v>
      </c>
      <c r="F3899" t="s">
        <v>84</v>
      </c>
      <c r="G3899">
        <v>-206.16829999999999</v>
      </c>
      <c r="H3899" s="1">
        <v>-6.927248E-6</v>
      </c>
      <c r="I3899">
        <v>139.178</v>
      </c>
      <c r="J3899">
        <v>-189.81489999999999</v>
      </c>
      <c r="K3899">
        <v>1.1098699999999999</v>
      </c>
      <c r="L3899">
        <v>175.36359999999999</v>
      </c>
      <c r="M3899">
        <v>-9.7832580000000002E-2</v>
      </c>
      <c r="N3899">
        <v>0</v>
      </c>
      <c r="O3899">
        <v>-0.99511369999999999</v>
      </c>
      <c r="P3899">
        <v>-0.22155030000000001</v>
      </c>
      <c r="Q3899">
        <v>-5.3147029999999998E-2</v>
      </c>
      <c r="R3899">
        <v>-0.97369969999999995</v>
      </c>
      <c r="S3899">
        <v>-1.258575</v>
      </c>
      <c r="T3899">
        <v>-8.5370660000000001E-2</v>
      </c>
      <c r="U3899">
        <v>-2.790222</v>
      </c>
      <c r="V3899">
        <v>0.12519829999999901</v>
      </c>
      <c r="W3899">
        <v>-4.0007590000000003E-2</v>
      </c>
      <c r="X3899">
        <v>0.99132480000000001</v>
      </c>
      <c r="Y3899">
        <v>0.31984899999999999</v>
      </c>
      <c r="Z3899">
        <v>2.8193900000000001E-2</v>
      </c>
      <c r="AA3899">
        <v>0.94704900000000003</v>
      </c>
      <c r="AB3899">
        <v>17</v>
      </c>
      <c r="AC3899">
        <v>-16.353399999999901</v>
      </c>
      <c r="AD3899">
        <v>-1.109876927248</v>
      </c>
      <c r="AE3899">
        <v>-36.185600000000001</v>
      </c>
      <c r="AF3899">
        <v>12.7245516076909</v>
      </c>
      <c r="AG3899">
        <v>-1.109876927248</v>
      </c>
      <c r="AH3899">
        <v>37.582660305459001</v>
      </c>
      <c r="AI3899">
        <v>91.602251714614198</v>
      </c>
      <c r="AJ3899">
        <v>71.295181425625401</v>
      </c>
      <c r="AK3899">
        <v>39.693858417215502</v>
      </c>
      <c r="AL3899">
        <v>92.2928779067676</v>
      </c>
      <c r="AM3899">
        <v>82.801999429307898</v>
      </c>
      <c r="AN3899">
        <v>1.00000004033776</v>
      </c>
    </row>
    <row r="3900" spans="1:40" x14ac:dyDescent="0.25">
      <c r="A3900" t="str">
        <f>"20190312161349816"</f>
        <v>20190312161349816</v>
      </c>
      <c r="B3900" t="str">
        <f>"1552378429810224"</f>
        <v>1552378429810224</v>
      </c>
      <c r="C3900" t="s">
        <v>40</v>
      </c>
      <c r="D3900">
        <v>5.5914659999999996</v>
      </c>
      <c r="E3900">
        <v>0.57524619999999904</v>
      </c>
      <c r="F3900" t="s">
        <v>84</v>
      </c>
      <c r="G3900">
        <v>-206.28149999999999</v>
      </c>
      <c r="H3900" s="1">
        <v>-6.7530249999999996E-6</v>
      </c>
      <c r="I3900">
        <v>138.79040000000001</v>
      </c>
      <c r="J3900">
        <v>-189.8304</v>
      </c>
      <c r="K3900">
        <v>1.1098760000000001</v>
      </c>
      <c r="L3900">
        <v>175.20959999999999</v>
      </c>
      <c r="M3900">
        <v>-9.8147949999999998E-2</v>
      </c>
      <c r="N3900">
        <v>0</v>
      </c>
      <c r="O3900">
        <v>-0.99508269999999999</v>
      </c>
      <c r="P3900">
        <v>-0.2223261</v>
      </c>
      <c r="Q3900">
        <v>-5.2764329999999998E-2</v>
      </c>
      <c r="R3900">
        <v>-0.97354379999999996</v>
      </c>
      <c r="S3900">
        <v>-1.2563930000000001</v>
      </c>
      <c r="T3900">
        <v>-8.4682939999999998E-2</v>
      </c>
      <c r="U3900">
        <v>-2.7905120000000001</v>
      </c>
      <c r="V3900">
        <v>0.12567249999999999</v>
      </c>
      <c r="W3900">
        <v>-3.9625460000000001E-2</v>
      </c>
      <c r="X3900">
        <v>0.9912801</v>
      </c>
      <c r="Y3900">
        <v>0.31889859999999998</v>
      </c>
      <c r="Z3900">
        <v>2.7971889999999999E-2</v>
      </c>
      <c r="AA3900">
        <v>0.947376</v>
      </c>
      <c r="AB3900">
        <v>17</v>
      </c>
      <c r="AC3900">
        <v>-16.451099999999901</v>
      </c>
      <c r="AD3900">
        <v>-1.1098827530249999</v>
      </c>
      <c r="AE3900">
        <v>-36.419199999999897</v>
      </c>
      <c r="AF3900">
        <v>12.787007090808901</v>
      </c>
      <c r="AG3900">
        <v>-1.1098827530249999</v>
      </c>
      <c r="AH3900">
        <v>37.828936512408298</v>
      </c>
      <c r="AI3900">
        <v>91.592101580482606</v>
      </c>
      <c r="AJ3900">
        <v>71.323623211449103</v>
      </c>
      <c r="AK3900">
        <v>39.947062817254597</v>
      </c>
      <c r="AL3900">
        <v>92.270966197283101</v>
      </c>
      <c r="AM3900">
        <v>82.774701546942097</v>
      </c>
      <c r="AN3900">
        <v>0.99999999549623497</v>
      </c>
    </row>
    <row r="3901" spans="1:40" x14ac:dyDescent="0.25">
      <c r="A3901" t="str">
        <f>"20190312161349830"</f>
        <v>20190312161349830</v>
      </c>
      <c r="B3901" t="str">
        <f>"1552378429819986"</f>
        <v>1552378429819986</v>
      </c>
      <c r="C3901" t="s">
        <v>40</v>
      </c>
      <c r="D3901">
        <v>5.4996489999999998</v>
      </c>
      <c r="E3901">
        <v>0.57496919999999996</v>
      </c>
      <c r="F3901" t="s">
        <v>84</v>
      </c>
      <c r="G3901">
        <v>-206.84559999999999</v>
      </c>
      <c r="H3901" s="1">
        <v>-6.0552659999999998E-6</v>
      </c>
      <c r="I3901">
        <v>137.39099999999999</v>
      </c>
      <c r="J3901">
        <v>-189.8416</v>
      </c>
      <c r="K3901">
        <v>1.1098779999999999</v>
      </c>
      <c r="L3901">
        <v>175.0993</v>
      </c>
      <c r="M3901">
        <v>-9.8371539999999993E-2</v>
      </c>
      <c r="N3901">
        <v>0</v>
      </c>
      <c r="O3901">
        <v>-0.99506070000000002</v>
      </c>
      <c r="P3901">
        <v>-0.22281129999999999</v>
      </c>
      <c r="Q3901">
        <v>-5.2840289999999998E-2</v>
      </c>
      <c r="R3901">
        <v>-0.97342850000000003</v>
      </c>
      <c r="S3901">
        <v>-1.2554320000000001</v>
      </c>
      <c r="T3901">
        <v>-8.1890699999999997E-2</v>
      </c>
      <c r="U3901">
        <v>-2.790375</v>
      </c>
      <c r="V3901">
        <v>0.12594459999999999</v>
      </c>
      <c r="W3901">
        <v>-3.9701649999999998E-2</v>
      </c>
      <c r="X3901">
        <v>0.99124250000000003</v>
      </c>
      <c r="Y3901">
        <v>0.31844210000000001</v>
      </c>
      <c r="Z3901">
        <v>2.705457E-2</v>
      </c>
      <c r="AA3901">
        <v>0.94755619999999996</v>
      </c>
      <c r="AB3901">
        <v>17</v>
      </c>
      <c r="AC3901">
        <v>-17.003999999999898</v>
      </c>
      <c r="AD3901">
        <v>-1.1098840552660001</v>
      </c>
      <c r="AE3901">
        <v>-37.708300000000001</v>
      </c>
      <c r="AF3901">
        <v>13.202254763720299</v>
      </c>
      <c r="AG3901">
        <v>-1.1098840552660001</v>
      </c>
      <c r="AH3901">
        <v>39.170031232974203</v>
      </c>
      <c r="AI3901">
        <v>91.538072703049195</v>
      </c>
      <c r="AJ3901">
        <v>71.373616563680102</v>
      </c>
      <c r="AK3901">
        <v>41.350002663294802</v>
      </c>
      <c r="AL3901">
        <v>92.275335039185194</v>
      </c>
      <c r="AM3901">
        <v>82.758951793111706</v>
      </c>
      <c r="AN3901">
        <v>0.99999997854406597</v>
      </c>
    </row>
    <row r="3902" spans="1:40" x14ac:dyDescent="0.25">
      <c r="A3902" t="str">
        <f>"20190312161349850"</f>
        <v>20190312161349850</v>
      </c>
      <c r="B3902" t="str">
        <f>"1552378429839504"</f>
        <v>1552378429839504</v>
      </c>
      <c r="C3902" t="s">
        <v>40</v>
      </c>
      <c r="D3902">
        <v>5.564146</v>
      </c>
      <c r="E3902">
        <v>0.57472069999999997</v>
      </c>
      <c r="F3902" t="s">
        <v>84</v>
      </c>
      <c r="G3902">
        <v>-206.81630000000001</v>
      </c>
      <c r="H3902" s="1">
        <v>-6.0550160000000001E-6</v>
      </c>
      <c r="I3902">
        <v>137.34960000000001</v>
      </c>
      <c r="J3902">
        <v>-189.8569</v>
      </c>
      <c r="K3902">
        <v>1.1098870000000001</v>
      </c>
      <c r="L3902">
        <v>174.94799999999901</v>
      </c>
      <c r="M3902">
        <v>-9.8674319999999996E-2</v>
      </c>
      <c r="N3902">
        <v>0</v>
      </c>
      <c r="O3902">
        <v>-0.99503090000000005</v>
      </c>
      <c r="P3902">
        <v>-0.22374540000000001</v>
      </c>
      <c r="Q3902">
        <v>-5.2637259999999998E-2</v>
      </c>
      <c r="R3902">
        <v>-0.97322560000000002</v>
      </c>
      <c r="S3902">
        <v>-1.254669</v>
      </c>
      <c r="T3902">
        <v>-8.2036139999999994E-2</v>
      </c>
      <c r="U3902">
        <v>-2.7902369999999999</v>
      </c>
      <c r="V3902">
        <v>0.1265935</v>
      </c>
      <c r="W3902">
        <v>-3.9499140000000002E-2</v>
      </c>
      <c r="X3902">
        <v>0.99116800000000005</v>
      </c>
      <c r="Y3902">
        <v>0.31795499999999999</v>
      </c>
      <c r="Z3902">
        <v>2.7106290000000002E-2</v>
      </c>
      <c r="AA3902">
        <v>0.94771830000000001</v>
      </c>
      <c r="AB3902">
        <v>17</v>
      </c>
      <c r="AC3902">
        <v>-16.959399999999999</v>
      </c>
      <c r="AD3902">
        <v>-1.109893055016</v>
      </c>
      <c r="AE3902">
        <v>-37.598399999999899</v>
      </c>
      <c r="AF3902">
        <v>13.156768356724699</v>
      </c>
      <c r="AG3902">
        <v>-1.109893055016</v>
      </c>
      <c r="AH3902">
        <v>39.060201298635</v>
      </c>
      <c r="AI3902">
        <v>91.542509026827403</v>
      </c>
      <c r="AJ3902">
        <v>71.384771819572407</v>
      </c>
      <c r="AK3902">
        <v>41.231441178741001</v>
      </c>
      <c r="AL3902">
        <v>92.263722799617796</v>
      </c>
      <c r="AM3902">
        <v>82.721501829222902</v>
      </c>
      <c r="AN3902">
        <v>1.00000005026349</v>
      </c>
    </row>
    <row r="3903" spans="1:40" x14ac:dyDescent="0.25">
      <c r="A3903" t="str">
        <f>"20190312161349870"</f>
        <v>20190312161349870</v>
      </c>
      <c r="B3903" t="str">
        <f>"1552378429860000"</f>
        <v>1552378429860000</v>
      </c>
      <c r="C3903" t="s">
        <v>40</v>
      </c>
      <c r="D3903">
        <v>5.537922</v>
      </c>
      <c r="E3903">
        <v>0.57444269999999997</v>
      </c>
      <c r="F3903" t="s">
        <v>84</v>
      </c>
      <c r="G3903">
        <v>-207.4117</v>
      </c>
      <c r="H3903" s="1">
        <v>-5.3436199999999997E-6</v>
      </c>
      <c r="I3903">
        <v>135.9512</v>
      </c>
      <c r="J3903">
        <v>-189.8733</v>
      </c>
      <c r="K3903">
        <v>1.109901</v>
      </c>
      <c r="L3903">
        <v>174.78710000000001</v>
      </c>
      <c r="M3903">
        <v>-9.8990540000000002E-2</v>
      </c>
      <c r="N3903">
        <v>0</v>
      </c>
      <c r="O3903">
        <v>-0.99499919999999997</v>
      </c>
      <c r="P3903">
        <v>-0.2242905</v>
      </c>
      <c r="Q3903">
        <v>-5.2552599999999998E-2</v>
      </c>
      <c r="R3903">
        <v>-0.97310439999999998</v>
      </c>
      <c r="S3903">
        <v>-1.2557370000000001</v>
      </c>
      <c r="T3903">
        <v>-7.9393270000000002E-2</v>
      </c>
      <c r="U3903">
        <v>-2.789536</v>
      </c>
      <c r="V3903">
        <v>0.126834</v>
      </c>
      <c r="W3903">
        <v>-3.9414369999999997E-2</v>
      </c>
      <c r="X3903">
        <v>0.99114060000000004</v>
      </c>
      <c r="Y3903">
        <v>0.31805420000000001</v>
      </c>
      <c r="Z3903">
        <v>2.6236019999999999E-2</v>
      </c>
      <c r="AA3903">
        <v>0.94770940000000004</v>
      </c>
      <c r="AB3903">
        <v>17</v>
      </c>
      <c r="AC3903">
        <v>-17.5383999999999</v>
      </c>
      <c r="AD3903">
        <v>-1.1099063436200001</v>
      </c>
      <c r="AE3903">
        <v>-38.835900000000002</v>
      </c>
      <c r="AF3903">
        <v>13.598289374834399</v>
      </c>
      <c r="AG3903">
        <v>-1.1099063436200001</v>
      </c>
      <c r="AH3903">
        <v>40.354031399889003</v>
      </c>
      <c r="AI3903">
        <v>91.493029798968607</v>
      </c>
      <c r="AJ3903">
        <v>71.377483067779295</v>
      </c>
      <c r="AK3903">
        <v>42.598042399112302</v>
      </c>
      <c r="AL3903">
        <v>92.258862114113299</v>
      </c>
      <c r="AM3903">
        <v>82.707623550951993</v>
      </c>
      <c r="AN3903">
        <v>1.00000002254342</v>
      </c>
    </row>
    <row r="3904" spans="1:40" x14ac:dyDescent="0.25">
      <c r="A3904" t="str">
        <f>"20190312161349883"</f>
        <v>20190312161349883</v>
      </c>
      <c r="B3904" t="str">
        <f>"1552378429879521"</f>
        <v>1552378429879521</v>
      </c>
      <c r="C3904" t="s">
        <v>40</v>
      </c>
      <c r="D3904">
        <v>5.6078679999999999</v>
      </c>
      <c r="E3904">
        <v>0.57408269999999995</v>
      </c>
      <c r="F3904" t="s">
        <v>84</v>
      </c>
      <c r="G3904">
        <v>-207.39009999999999</v>
      </c>
      <c r="H3904" s="1">
        <v>-5.3234510000000001E-6</v>
      </c>
      <c r="I3904">
        <v>135.85820000000001</v>
      </c>
      <c r="J3904">
        <v>-189.88290000000001</v>
      </c>
      <c r="K3904">
        <v>1.109904</v>
      </c>
      <c r="L3904">
        <v>174.69329999999999</v>
      </c>
      <c r="M3904">
        <v>-9.9172549999999998E-2</v>
      </c>
      <c r="N3904">
        <v>0</v>
      </c>
      <c r="O3904">
        <v>-0.99498109999999995</v>
      </c>
      <c r="P3904">
        <v>-0.22445850000000001</v>
      </c>
      <c r="Q3904">
        <v>-5.2616360000000001E-2</v>
      </c>
      <c r="R3904">
        <v>-0.97306219999999999</v>
      </c>
      <c r="S3904">
        <v>-1.255112</v>
      </c>
      <c r="T3904">
        <v>-7.9526659999999999E-2</v>
      </c>
      <c r="U3904">
        <v>-2.7893219999999999</v>
      </c>
      <c r="V3904">
        <v>0.1268244</v>
      </c>
      <c r="W3904">
        <v>-3.9477970000000001E-2</v>
      </c>
      <c r="X3904">
        <v>0.99113929999999995</v>
      </c>
      <c r="Y3904">
        <v>0.31773050000000003</v>
      </c>
      <c r="Z3904">
        <v>2.62838E-2</v>
      </c>
      <c r="AA3904">
        <v>0.94781669999999996</v>
      </c>
      <c r="AB3904">
        <v>17</v>
      </c>
      <c r="AC3904">
        <v>-17.507199999999902</v>
      </c>
      <c r="AD3904">
        <v>-1.109909323451</v>
      </c>
      <c r="AE3904">
        <v>-38.835099999999898</v>
      </c>
      <c r="AF3904">
        <v>13.559955698258699</v>
      </c>
      <c r="AG3904">
        <v>-1.109909323451</v>
      </c>
      <c r="AH3904">
        <v>40.352612734214198</v>
      </c>
      <c r="AI3904">
        <v>91.493509538158307</v>
      </c>
      <c r="AJ3904">
        <v>71.425766048359094</v>
      </c>
      <c r="AK3904">
        <v>42.584476651973603</v>
      </c>
      <c r="AL3904">
        <v>92.262508957773704</v>
      </c>
      <c r="AM3904">
        <v>82.708160105100106</v>
      </c>
      <c r="AN3904">
        <v>1.00000002527758</v>
      </c>
    </row>
    <row r="3905" spans="1:40" x14ac:dyDescent="0.25">
      <c r="A3905" t="str">
        <f>"20190312161349897"</f>
        <v>20190312161349897</v>
      </c>
      <c r="B3905" t="str">
        <f>"1552378429890256"</f>
        <v>1552378429890256</v>
      </c>
      <c r="C3905" t="s">
        <v>40</v>
      </c>
      <c r="D3905">
        <v>5.7072629999999904</v>
      </c>
      <c r="E3905">
        <v>0.57402449999999905</v>
      </c>
      <c r="F3905" t="s">
        <v>84</v>
      </c>
      <c r="G3905">
        <v>-207.428</v>
      </c>
      <c r="H3905" s="1">
        <v>-5.2317530000000002E-6</v>
      </c>
      <c r="I3905">
        <v>135.6241</v>
      </c>
      <c r="J3905">
        <v>-189.89400000000001</v>
      </c>
      <c r="K3905">
        <v>1.109912</v>
      </c>
      <c r="L3905">
        <v>174.5848</v>
      </c>
      <c r="M3905">
        <v>-9.9381109999999995E-2</v>
      </c>
      <c r="N3905">
        <v>0</v>
      </c>
      <c r="O3905">
        <v>-0.99496070000000003</v>
      </c>
      <c r="P3905">
        <v>-0.2247372</v>
      </c>
      <c r="Q3905">
        <v>-5.3103669999999999E-2</v>
      </c>
      <c r="R3905">
        <v>-0.97297169999999999</v>
      </c>
      <c r="S3905">
        <v>-1.2528379999999999</v>
      </c>
      <c r="T3905">
        <v>-7.9254749999999999E-2</v>
      </c>
      <c r="U3905">
        <v>-2.7897949999999998</v>
      </c>
      <c r="V3905">
        <v>0.12690319999999999</v>
      </c>
      <c r="W3905">
        <v>-3.996566E-2</v>
      </c>
      <c r="X3905">
        <v>0.99110969999999998</v>
      </c>
      <c r="Y3905">
        <v>0.3168299</v>
      </c>
      <c r="Z3905">
        <v>2.6197359999999999E-2</v>
      </c>
      <c r="AA3905">
        <v>0.94812050000000003</v>
      </c>
      <c r="AB3905">
        <v>17</v>
      </c>
      <c r="AC3905">
        <v>-17.533999999999899</v>
      </c>
      <c r="AD3905">
        <v>-1.1099172317529999</v>
      </c>
      <c r="AE3905">
        <v>-38.960700000000003</v>
      </c>
      <c r="AF3905">
        <v>13.5657267398604</v>
      </c>
      <c r="AG3905">
        <v>-1.1099172317529999</v>
      </c>
      <c r="AH3905">
        <v>40.483169563938297</v>
      </c>
      <c r="AI3905">
        <v>91.489128241463803</v>
      </c>
      <c r="AJ3905">
        <v>71.4742325592334</v>
      </c>
      <c r="AK3905">
        <v>42.710044207241097</v>
      </c>
      <c r="AL3905">
        <v>92.290473534171099</v>
      </c>
      <c r="AM3905">
        <v>82.703462702862794</v>
      </c>
      <c r="AN3905">
        <v>1.0000000567917799</v>
      </c>
    </row>
    <row r="3906" spans="1:40" x14ac:dyDescent="0.25">
      <c r="A3906" t="str">
        <f>"20190312161349909"</f>
        <v>20190312161349909</v>
      </c>
      <c r="B3906" t="str">
        <f>"1552378429899548"</f>
        <v>1552378429899548</v>
      </c>
      <c r="C3906" t="s">
        <v>40</v>
      </c>
      <c r="D3906">
        <v>5.5874649999999999</v>
      </c>
      <c r="E3906">
        <v>0.57388779999999995</v>
      </c>
      <c r="F3906" t="s">
        <v>84</v>
      </c>
      <c r="G3906">
        <v>-207.22540000000001</v>
      </c>
      <c r="H3906" s="1">
        <v>-5.4436720000000001E-6</v>
      </c>
      <c r="I3906">
        <v>136.00569999999999</v>
      </c>
      <c r="J3906">
        <v>-189.90360000000001</v>
      </c>
      <c r="K3906">
        <v>1.1099139999999901</v>
      </c>
      <c r="L3906">
        <v>174.4898</v>
      </c>
      <c r="M3906">
        <v>-9.956276E-2</v>
      </c>
      <c r="N3906">
        <v>0</v>
      </c>
      <c r="O3906">
        <v>-0.99494249999999995</v>
      </c>
      <c r="P3906">
        <v>-0.22522429999999999</v>
      </c>
      <c r="Q3906">
        <v>-5.3465650000000003E-2</v>
      </c>
      <c r="R3906">
        <v>-0.97283940000000002</v>
      </c>
      <c r="S3906">
        <v>-1.253174</v>
      </c>
      <c r="T3906">
        <v>-8.0253840000000007E-2</v>
      </c>
      <c r="U3906">
        <v>-2.7895050000000001</v>
      </c>
      <c r="V3906">
        <v>0.12722049999999999</v>
      </c>
      <c r="W3906">
        <v>-4.0328629999999997E-2</v>
      </c>
      <c r="X3906">
        <v>0.9910542</v>
      </c>
      <c r="Y3906">
        <v>0.31678499999999998</v>
      </c>
      <c r="Z3906">
        <v>2.6528719999999999E-2</v>
      </c>
      <c r="AA3906">
        <v>0.94812629999999998</v>
      </c>
      <c r="AB3906">
        <v>17</v>
      </c>
      <c r="AC3906">
        <v>-17.3217999999999</v>
      </c>
      <c r="AD3906">
        <v>-1.1099194436719999</v>
      </c>
      <c r="AE3906">
        <v>-38.484099999999998</v>
      </c>
      <c r="AF3906">
        <v>13.394531262504399</v>
      </c>
      <c r="AG3906">
        <v>-1.1099194436719999</v>
      </c>
      <c r="AH3906">
        <v>39.989948135435398</v>
      </c>
      <c r="AI3906">
        <v>91.507556367045694</v>
      </c>
      <c r="AJ3906">
        <v>71.481857515111002</v>
      </c>
      <c r="AK3906">
        <v>42.188165885571003</v>
      </c>
      <c r="AL3906">
        <v>92.3112872309473</v>
      </c>
      <c r="AM3906">
        <v>82.685011094601705</v>
      </c>
      <c r="AN3906">
        <v>0.99999994067778097</v>
      </c>
    </row>
    <row r="3907" spans="1:40" x14ac:dyDescent="0.25">
      <c r="A3907" t="str">
        <f>"20190312161349925"</f>
        <v>20190312161349925</v>
      </c>
      <c r="B3907" t="str">
        <f>"1552378429920043"</f>
        <v>1552378429920043</v>
      </c>
      <c r="C3907" t="s">
        <v>40</v>
      </c>
      <c r="D3907">
        <v>5.4266759999999996</v>
      </c>
      <c r="E3907">
        <v>0.57356249999999998</v>
      </c>
      <c r="F3907" t="s">
        <v>84</v>
      </c>
      <c r="G3907">
        <v>-206.98249999999999</v>
      </c>
      <c r="H3907" s="1">
        <v>-5.7081679999999998E-6</v>
      </c>
      <c r="I3907">
        <v>136.4958</v>
      </c>
      <c r="J3907">
        <v>-189.9169</v>
      </c>
      <c r="K3907">
        <v>1.1099159999999999</v>
      </c>
      <c r="L3907">
        <v>174.3605</v>
      </c>
      <c r="M3907">
        <v>-9.9808220000000003E-2</v>
      </c>
      <c r="N3907">
        <v>0</v>
      </c>
      <c r="O3907">
        <v>-0.99491779999999996</v>
      </c>
      <c r="P3907">
        <v>-0.22587460000000001</v>
      </c>
      <c r="Q3907">
        <v>-5.4058559999999999E-2</v>
      </c>
      <c r="R3907">
        <v>-0.97265559999999995</v>
      </c>
      <c r="S3907">
        <v>-1.253708</v>
      </c>
      <c r="T3907">
        <v>-8.1475729999999996E-2</v>
      </c>
      <c r="U3907">
        <v>-2.7890169999999999</v>
      </c>
      <c r="V3907">
        <v>0.12764159999999999</v>
      </c>
      <c r="W3907">
        <v>-4.09232E-2</v>
      </c>
      <c r="X3907">
        <v>0.99097570000000001</v>
      </c>
      <c r="Y3907">
        <v>0.31675959999999997</v>
      </c>
      <c r="Z3907">
        <v>2.6934710000000001E-2</v>
      </c>
      <c r="AA3907">
        <v>0.9481233</v>
      </c>
      <c r="AB3907">
        <v>17</v>
      </c>
      <c r="AC3907">
        <v>-17.0655999999999</v>
      </c>
      <c r="AD3907">
        <v>-1.109921708168</v>
      </c>
      <c r="AE3907">
        <v>-37.864699999999999</v>
      </c>
      <c r="AF3907">
        <v>13.191407561980199</v>
      </c>
      <c r="AG3907">
        <v>-1.109921708168</v>
      </c>
      <c r="AH3907">
        <v>39.350930872081697</v>
      </c>
      <c r="AI3907">
        <v>91.531901093333104</v>
      </c>
      <c r="AJ3907">
        <v>71.467571317606101</v>
      </c>
      <c r="AK3907">
        <v>41.517959007685903</v>
      </c>
      <c r="AL3907">
        <v>92.345381682176097</v>
      </c>
      <c r="AM3907">
        <v>82.660486995935102</v>
      </c>
      <c r="AN3907">
        <v>0.99999996216964404</v>
      </c>
    </row>
    <row r="3908" spans="1:40" x14ac:dyDescent="0.25">
      <c r="A3908" t="str">
        <f>"20190312161349939"</f>
        <v>20190312161349939</v>
      </c>
      <c r="B3908" t="str">
        <f>"1552378429929805"</f>
        <v>1552378429929805</v>
      </c>
      <c r="C3908" t="s">
        <v>40</v>
      </c>
      <c r="D3908">
        <v>5.742686</v>
      </c>
      <c r="E3908">
        <v>0.51956659999999999</v>
      </c>
      <c r="F3908" t="s">
        <v>84</v>
      </c>
      <c r="G3908">
        <v>-206.61510000000001</v>
      </c>
      <c r="H3908" s="1">
        <v>-6.0954229999999997E-6</v>
      </c>
      <c r="I3908">
        <v>137.197</v>
      </c>
      <c r="J3908">
        <v>-189.9271</v>
      </c>
      <c r="K3908">
        <v>1.1099190000000001</v>
      </c>
      <c r="L3908">
        <v>174.26070000000001</v>
      </c>
      <c r="M3908">
        <v>-9.9997719999999998E-2</v>
      </c>
      <c r="N3908">
        <v>0</v>
      </c>
      <c r="O3908">
        <v>-0.99489850000000002</v>
      </c>
      <c r="P3908">
        <v>-0.2260518</v>
      </c>
      <c r="Q3908">
        <v>-5.4076350000000002E-2</v>
      </c>
      <c r="R3908">
        <v>-0.97261319999999996</v>
      </c>
      <c r="S3908">
        <v>-1.2530209999999999</v>
      </c>
      <c r="T3908">
        <v>-8.3287840000000002E-2</v>
      </c>
      <c r="U3908">
        <v>-2.7887270000000002</v>
      </c>
      <c r="V3908">
        <v>0.12763360000000001</v>
      </c>
      <c r="W3908">
        <v>-4.094151E-2</v>
      </c>
      <c r="X3908">
        <v>0.99097599999999997</v>
      </c>
      <c r="Y3908">
        <v>0.3164149</v>
      </c>
      <c r="Z3908">
        <v>2.753806E-2</v>
      </c>
      <c r="AA3908">
        <v>0.94822110000000004</v>
      </c>
      <c r="AB3908">
        <v>17</v>
      </c>
      <c r="AC3908">
        <v>-16.687999999999999</v>
      </c>
      <c r="AD3908">
        <v>-1.109925095423</v>
      </c>
      <c r="AE3908">
        <v>-37.063699999999997</v>
      </c>
      <c r="AF3908">
        <v>12.8881151967965</v>
      </c>
      <c r="AG3908">
        <v>-1.109925095423</v>
      </c>
      <c r="AH3908">
        <v>38.518081129372</v>
      </c>
      <c r="AI3908">
        <v>91.565307560452695</v>
      </c>
      <c r="AJ3908">
        <v>71.499805312871104</v>
      </c>
      <c r="AK3908">
        <v>40.632228845243397</v>
      </c>
      <c r="AL3908">
        <v>92.346431587642996</v>
      </c>
      <c r="AM3908">
        <v>82.660944185759405</v>
      </c>
      <c r="AN3908">
        <v>0.99999998783302002</v>
      </c>
    </row>
    <row r="3909" spans="1:40" x14ac:dyDescent="0.25">
      <c r="A3909" t="str">
        <f>"20190312161349952"</f>
        <v>20190312161349952</v>
      </c>
      <c r="B3909" t="str">
        <f>"1552378429939565"</f>
        <v>1552378429939565</v>
      </c>
      <c r="C3909" t="s">
        <v>40</v>
      </c>
      <c r="D3909">
        <v>5.7380389999999997</v>
      </c>
      <c r="E3909">
        <v>0.51433039999999997</v>
      </c>
      <c r="F3909" t="s">
        <v>43</v>
      </c>
      <c r="G3909">
        <v>-190.1499</v>
      </c>
      <c r="H3909">
        <v>1.035007</v>
      </c>
      <c r="I3909">
        <v>173.48390000000001</v>
      </c>
      <c r="J3909">
        <v>-189.93700000000001</v>
      </c>
      <c r="K3909">
        <v>1.10992</v>
      </c>
      <c r="L3909">
        <v>174.16460000000001</v>
      </c>
      <c r="M3909">
        <v>-0.10018009999999999</v>
      </c>
      <c r="N3909">
        <v>0</v>
      </c>
      <c r="O3909">
        <v>-0.99488030000000005</v>
      </c>
      <c r="P3909">
        <v>-0.22632369999999999</v>
      </c>
      <c r="Q3909">
        <v>-5.3882590000000001E-2</v>
      </c>
      <c r="R3909">
        <v>-0.97256039999999999</v>
      </c>
      <c r="S3909">
        <v>-0.82492069999999995</v>
      </c>
      <c r="T3909">
        <v>-0.27755829999999998</v>
      </c>
      <c r="U3909">
        <v>-2.877335</v>
      </c>
      <c r="V3909">
        <v>0.12772819999999999</v>
      </c>
      <c r="W3909">
        <v>-4.0748449999999999E-2</v>
      </c>
      <c r="X3909">
        <v>0.99097179999999996</v>
      </c>
      <c r="Y3909">
        <v>0.1767087</v>
      </c>
      <c r="Z3909">
        <v>9.2695059999999996E-2</v>
      </c>
      <c r="AA3909">
        <v>0.9798886</v>
      </c>
      <c r="AB3909">
        <v>17</v>
      </c>
      <c r="AC3909">
        <v>-0.21289999999998999</v>
      </c>
      <c r="AD3909">
        <v>-7.4912999999999993E-2</v>
      </c>
      <c r="AE3909">
        <v>-0.68070000000000097</v>
      </c>
      <c r="AF3909">
        <v>0.142062846896539</v>
      </c>
      <c r="AG3909">
        <v>-7.4912999999999993E-2</v>
      </c>
      <c r="AH3909">
        <v>0.69098203863941599</v>
      </c>
      <c r="AI3909">
        <v>96.061755617673995</v>
      </c>
      <c r="AJ3909">
        <v>78.382130114956496</v>
      </c>
      <c r="AK3909">
        <v>0.70940114727820502</v>
      </c>
      <c r="AL3909">
        <v>92.335360753283595</v>
      </c>
      <c r="AM3909">
        <v>82.655533175410497</v>
      </c>
      <c r="AN3909">
        <v>1.00000001882394</v>
      </c>
    </row>
    <row r="3910" spans="1:40" x14ac:dyDescent="0.25">
      <c r="A3910" t="str">
        <f>"20190312161349970"</f>
        <v>20190312161349970</v>
      </c>
      <c r="B3910" t="str">
        <f>"1552378429960059"</f>
        <v>1552378429960059</v>
      </c>
      <c r="C3910" t="s">
        <v>40</v>
      </c>
      <c r="D3910">
        <v>5.7705349999999997</v>
      </c>
      <c r="E3910">
        <v>0.51007239999999998</v>
      </c>
      <c r="F3910" t="s">
        <v>43</v>
      </c>
      <c r="G3910">
        <v>-190.1591</v>
      </c>
      <c r="H3910">
        <v>1.0080229999999999</v>
      </c>
      <c r="I3910">
        <v>173.34599999999901</v>
      </c>
      <c r="J3910">
        <v>-189.95179999999999</v>
      </c>
      <c r="K3910">
        <v>1.109917</v>
      </c>
      <c r="L3910">
        <v>174.0204</v>
      </c>
      <c r="M3910">
        <v>-0.1004548</v>
      </c>
      <c r="N3910">
        <v>0</v>
      </c>
      <c r="O3910">
        <v>-0.99485279999999998</v>
      </c>
      <c r="P3910">
        <v>-0.22682849999999999</v>
      </c>
      <c r="Q3910">
        <v>-5.4100389999999998E-2</v>
      </c>
      <c r="R3910">
        <v>-0.9724315</v>
      </c>
      <c r="S3910">
        <v>-0.78152469999999996</v>
      </c>
      <c r="T3910">
        <v>-0.35890689999999997</v>
      </c>
      <c r="U3910">
        <v>-2.8829039999999999</v>
      </c>
      <c r="V3910">
        <v>0.1279699</v>
      </c>
      <c r="W3910">
        <v>-4.0968089999999999E-2</v>
      </c>
      <c r="X3910">
        <v>0.99093149999999997</v>
      </c>
      <c r="Y3910">
        <v>0.1614727</v>
      </c>
      <c r="Z3910">
        <v>0.1196783</v>
      </c>
      <c r="AA3910">
        <v>0.97959359999999995</v>
      </c>
      <c r="AB3910">
        <v>17</v>
      </c>
      <c r="AC3910">
        <v>-0.20730000000000301</v>
      </c>
      <c r="AD3910">
        <v>-0.101894</v>
      </c>
      <c r="AE3910">
        <v>-0.67440000000001898</v>
      </c>
      <c r="AF3910">
        <v>0.135668859974308</v>
      </c>
      <c r="AG3910">
        <v>-0.101894</v>
      </c>
      <c r="AH3910">
        <v>0.677679766857055</v>
      </c>
      <c r="AI3910">
        <v>98.386800086713393</v>
      </c>
      <c r="AJ3910">
        <v>78.679263267966206</v>
      </c>
      <c r="AK3910">
        <v>0.69859737561070201</v>
      </c>
      <c r="AL3910">
        <v>92.347955856730593</v>
      </c>
      <c r="AM3910">
        <v>82.641491442708997</v>
      </c>
      <c r="AN3910">
        <v>0.99999995869825298</v>
      </c>
    </row>
    <row r="3911" spans="1:40" x14ac:dyDescent="0.25">
      <c r="A3911" t="str">
        <f>"20190312161350004"</f>
        <v>20190312161350004</v>
      </c>
      <c r="B3911" t="str">
        <f>"1552378430000078"</f>
        <v>1552378430000078</v>
      </c>
      <c r="C3911" t="s">
        <v>40</v>
      </c>
      <c r="D3911">
        <v>5.762804</v>
      </c>
      <c r="E3911">
        <v>0.5115963</v>
      </c>
      <c r="F3911" t="s">
        <v>43</v>
      </c>
      <c r="G3911">
        <v>-190.1627</v>
      </c>
      <c r="H3911">
        <v>0.98325300000000004</v>
      </c>
      <c r="I3911">
        <v>173.2046</v>
      </c>
      <c r="J3911">
        <v>-189.9787</v>
      </c>
      <c r="K3911">
        <v>1.1099110000000001</v>
      </c>
      <c r="L3911">
        <v>173.7602</v>
      </c>
      <c r="M3911">
        <v>-0.1009539</v>
      </c>
      <c r="N3911">
        <v>0</v>
      </c>
      <c r="O3911">
        <v>-0.99480230000000003</v>
      </c>
      <c r="P3911">
        <v>-0.2273482</v>
      </c>
      <c r="Q3911">
        <v>-5.4623629999999999E-2</v>
      </c>
      <c r="R3911">
        <v>-0.97228040000000004</v>
      </c>
      <c r="S3911">
        <v>-0.74629209999999901</v>
      </c>
      <c r="T3911">
        <v>-0.44809320000000002</v>
      </c>
      <c r="U3911">
        <v>-2.886047</v>
      </c>
      <c r="V3911">
        <v>0.12800529999999999</v>
      </c>
      <c r="W3911">
        <v>-4.1494349999999999E-2</v>
      </c>
      <c r="X3911">
        <v>0.99090500000000004</v>
      </c>
      <c r="Y3911">
        <v>0.14852109999999999</v>
      </c>
      <c r="Z3911">
        <v>0.14902370000000001</v>
      </c>
      <c r="AA3911">
        <v>0.97761620000000005</v>
      </c>
      <c r="AB3911">
        <v>17</v>
      </c>
      <c r="AC3911">
        <v>-0.183999999999997</v>
      </c>
      <c r="AD3911">
        <v>-0.12665799999999999</v>
      </c>
      <c r="AE3911">
        <v>-0.55559999999999798</v>
      </c>
      <c r="AF3911">
        <v>0.121284818079557</v>
      </c>
      <c r="AG3911">
        <v>-0.12665799999999999</v>
      </c>
      <c r="AH3911">
        <v>0.54577815790329998</v>
      </c>
      <c r="AI3911">
        <v>102.764467298624</v>
      </c>
      <c r="AJ3911">
        <v>77.471113960759098</v>
      </c>
      <c r="AK3911">
        <v>0.57325915056360899</v>
      </c>
      <c r="AL3911">
        <v>92.378134069723998</v>
      </c>
      <c r="AM3911">
        <v>82.639283509985503</v>
      </c>
      <c r="AN3911">
        <v>0.99999992846750296</v>
      </c>
    </row>
    <row r="3912" spans="1:40" x14ac:dyDescent="0.25">
      <c r="A3912" t="str">
        <f>"20190312161350029"</f>
        <v>20190312161350029</v>
      </c>
      <c r="B3912" t="str">
        <f>"1552378430019596"</f>
        <v>1552378430019596</v>
      </c>
      <c r="C3912" t="s">
        <v>40</v>
      </c>
      <c r="D3912">
        <v>5.7408239999999999</v>
      </c>
      <c r="E3912">
        <v>0.51352129999999996</v>
      </c>
      <c r="F3912" t="s">
        <v>43</v>
      </c>
      <c r="G3912">
        <v>-190.1568</v>
      </c>
      <c r="H3912">
        <v>0.92945359999999999</v>
      </c>
      <c r="I3912">
        <v>173.07660000000001</v>
      </c>
      <c r="J3912">
        <v>-189.9973</v>
      </c>
      <c r="K3912">
        <v>1.109909</v>
      </c>
      <c r="L3912">
        <v>173.58109999999999</v>
      </c>
      <c r="M3912">
        <v>-0.1013</v>
      </c>
      <c r="N3912">
        <v>0</v>
      </c>
      <c r="O3912">
        <v>-0.99476710000000002</v>
      </c>
      <c r="P3912">
        <v>-0.2274157</v>
      </c>
      <c r="Q3912">
        <v>-5.445295E-2</v>
      </c>
      <c r="R3912">
        <v>-0.97227430000000004</v>
      </c>
      <c r="S3912">
        <v>-0.74636840000000004</v>
      </c>
      <c r="T3912">
        <v>-0.75714729999999997</v>
      </c>
      <c r="U3912">
        <v>-2.8684690000000002</v>
      </c>
      <c r="V3912">
        <v>0.12772849999999999</v>
      </c>
      <c r="W3912">
        <v>-4.1326839999999997E-2</v>
      </c>
      <c r="X3912">
        <v>0.99094780000000005</v>
      </c>
      <c r="Y3912">
        <v>0.14457519999999999</v>
      </c>
      <c r="Z3912">
        <v>0.2481207</v>
      </c>
      <c r="AA3912">
        <v>0.95787999999999995</v>
      </c>
      <c r="AB3912">
        <v>17</v>
      </c>
      <c r="AC3912">
        <v>-0.159500000000008</v>
      </c>
      <c r="AD3912">
        <v>-0.18045539999999999</v>
      </c>
      <c r="AE3912">
        <v>-0.50449999999997797</v>
      </c>
      <c r="AF3912">
        <v>9.6360633118071207E-2</v>
      </c>
      <c r="AG3912">
        <v>-0.18045539999999999</v>
      </c>
      <c r="AH3912">
        <v>0.46408247400778002</v>
      </c>
      <c r="AI3912">
        <v>110.84297612867</v>
      </c>
      <c r="AJ3912">
        <v>78.269960779845903</v>
      </c>
      <c r="AK3912">
        <v>0.50717064749969198</v>
      </c>
      <c r="AL3912">
        <v>92.368528020308105</v>
      </c>
      <c r="AM3912">
        <v>82.655340177941696</v>
      </c>
      <c r="AN3912">
        <v>1.00000000987073</v>
      </c>
    </row>
    <row r="3913" spans="1:40" x14ac:dyDescent="0.25">
      <c r="A3913" t="str">
        <f>"20190312161350051"</f>
        <v>20190312161350051</v>
      </c>
      <c r="B3913" t="str">
        <f>"1552378430040092"</f>
        <v>1552378430040092</v>
      </c>
      <c r="C3913" t="s">
        <v>40</v>
      </c>
      <c r="D3913">
        <v>5.8536809999999999</v>
      </c>
      <c r="E3913">
        <v>0.51126130000000003</v>
      </c>
      <c r="F3913" t="s">
        <v>43</v>
      </c>
      <c r="G3913">
        <v>-190.20849999999999</v>
      </c>
      <c r="H3913">
        <v>0.89893590000000001</v>
      </c>
      <c r="I3913">
        <v>172.78720000000001</v>
      </c>
      <c r="J3913">
        <v>-190.01499999999999</v>
      </c>
      <c r="K3913">
        <v>1.1099060000000001</v>
      </c>
      <c r="L3913">
        <v>173.41200000000001</v>
      </c>
      <c r="M3913">
        <v>-0.10162889999999999</v>
      </c>
      <c r="N3913">
        <v>0</v>
      </c>
      <c r="O3913">
        <v>-0.9947338</v>
      </c>
      <c r="P3913">
        <v>-0.22699730000000001</v>
      </c>
      <c r="Q3913">
        <v>-5.4431010000000002E-2</v>
      </c>
      <c r="R3913">
        <v>-0.97237320000000005</v>
      </c>
      <c r="S3913">
        <v>-0.76148990000000005</v>
      </c>
      <c r="T3913">
        <v>-0.76134089999999999</v>
      </c>
      <c r="U3913">
        <v>-2.864792</v>
      </c>
      <c r="V3913">
        <v>0.1269748</v>
      </c>
      <c r="W3913">
        <v>-4.1314530000000002E-2</v>
      </c>
      <c r="X3913">
        <v>0.99104519999999996</v>
      </c>
      <c r="Y3913">
        <v>0.14918809999999999</v>
      </c>
      <c r="Z3913">
        <v>0.24944620000000001</v>
      </c>
      <c r="AA3913">
        <v>0.95682780000000001</v>
      </c>
      <c r="AB3913">
        <v>17</v>
      </c>
      <c r="AC3913">
        <v>-0.19350000000000001</v>
      </c>
      <c r="AD3913">
        <v>-0.21097009999999999</v>
      </c>
      <c r="AE3913">
        <v>-0.62479999999999303</v>
      </c>
      <c r="AF3913">
        <v>0.116839147628745</v>
      </c>
      <c r="AG3913">
        <v>-0.21097009999999999</v>
      </c>
      <c r="AH3913">
        <v>0.580806602857737</v>
      </c>
      <c r="AI3913">
        <v>109.600939054229</v>
      </c>
      <c r="AJ3913">
        <v>78.625787061197698</v>
      </c>
      <c r="AK3913">
        <v>0.62888479027224597</v>
      </c>
      <c r="AL3913">
        <v>92.3678220365708</v>
      </c>
      <c r="AM3913">
        <v>82.698920311840396</v>
      </c>
      <c r="AN3913">
        <v>1.0000000393335899</v>
      </c>
    </row>
    <row r="3914" spans="1:40" x14ac:dyDescent="0.25">
      <c r="A3914" t="str">
        <f>"20190312161350072"</f>
        <v>20190312161350072</v>
      </c>
      <c r="B3914" t="str">
        <f>"1552378430059612"</f>
        <v>1552378430059612</v>
      </c>
      <c r="C3914" t="s">
        <v>40</v>
      </c>
      <c r="D3914">
        <v>5.9581429999999997</v>
      </c>
      <c r="E3914">
        <v>0.51036930000000003</v>
      </c>
      <c r="F3914" t="s">
        <v>43</v>
      </c>
      <c r="G3914">
        <v>-190.2191</v>
      </c>
      <c r="H3914">
        <v>0.91970969999999996</v>
      </c>
      <c r="I3914">
        <v>172.62620000000001</v>
      </c>
      <c r="J3914">
        <v>-190.03149999999999</v>
      </c>
      <c r="K3914">
        <v>1.109896</v>
      </c>
      <c r="L3914">
        <v>173.2533</v>
      </c>
      <c r="M3914">
        <v>-0.1019381</v>
      </c>
      <c r="N3914">
        <v>0</v>
      </c>
      <c r="O3914">
        <v>-0.99470230000000004</v>
      </c>
      <c r="P3914">
        <v>-0.22648070000000001</v>
      </c>
      <c r="Q3914">
        <v>-5.4730920000000002E-2</v>
      </c>
      <c r="R3914">
        <v>-0.97247700000000004</v>
      </c>
      <c r="S3914">
        <v>-0.74569700000000005</v>
      </c>
      <c r="T3914">
        <v>-0.69518009999999997</v>
      </c>
      <c r="U3914">
        <v>-2.8722690000000002</v>
      </c>
      <c r="V3914">
        <v>0.12614230000000001</v>
      </c>
      <c r="W3914">
        <v>-4.1628030000000003E-2</v>
      </c>
      <c r="X3914">
        <v>0.99113830000000003</v>
      </c>
      <c r="Y3914">
        <v>0.1446269</v>
      </c>
      <c r="Z3914">
        <v>0.2286474</v>
      </c>
      <c r="AA3914">
        <v>0.96270630000000001</v>
      </c>
      <c r="AB3914">
        <v>17</v>
      </c>
      <c r="AC3914">
        <v>-0.18760000000000299</v>
      </c>
      <c r="AD3914">
        <v>-0.1901863</v>
      </c>
      <c r="AE3914">
        <v>-0.627099999999984</v>
      </c>
      <c r="AF3914">
        <v>0.11313996221162299</v>
      </c>
      <c r="AG3914">
        <v>-0.1901863</v>
      </c>
      <c r="AH3914">
        <v>0.59290335967112395</v>
      </c>
      <c r="AI3914">
        <v>107.488896579781</v>
      </c>
      <c r="AJ3914">
        <v>79.196494348305905</v>
      </c>
      <c r="AK3914">
        <v>0.63285533391624604</v>
      </c>
      <c r="AL3914">
        <v>92.385799939409694</v>
      </c>
      <c r="AM3914">
        <v>82.746951844430001</v>
      </c>
      <c r="AN3914">
        <v>0.99999995122892904</v>
      </c>
    </row>
    <row r="3915" spans="1:40" x14ac:dyDescent="0.25">
      <c r="A3915" t="str">
        <f>"20190312161350084"</f>
        <v>20190312161350084</v>
      </c>
      <c r="B3915" t="str">
        <f>"1552378430080108"</f>
        <v>1552378430080108</v>
      </c>
      <c r="C3915" t="s">
        <v>40</v>
      </c>
      <c r="D3915">
        <v>5.999962</v>
      </c>
      <c r="E3915">
        <v>0.50971610000000001</v>
      </c>
      <c r="F3915" t="s">
        <v>43</v>
      </c>
      <c r="G3915">
        <v>-190.2329</v>
      </c>
      <c r="H3915">
        <v>0.92930199999999996</v>
      </c>
      <c r="I3915">
        <v>172.47</v>
      </c>
      <c r="J3915">
        <v>-190.04230000000001</v>
      </c>
      <c r="K3915">
        <v>1.1098920000000001</v>
      </c>
      <c r="L3915">
        <v>173.15049999999999</v>
      </c>
      <c r="M3915">
        <v>-0.1021382</v>
      </c>
      <c r="N3915">
        <v>0</v>
      </c>
      <c r="O3915">
        <v>-0.99468190000000001</v>
      </c>
      <c r="P3915">
        <v>-0.22650509999999999</v>
      </c>
      <c r="Q3915">
        <v>-5.4690570000000001E-2</v>
      </c>
      <c r="R3915">
        <v>-0.97247360000000005</v>
      </c>
      <c r="S3915">
        <v>-0.73869319999999905</v>
      </c>
      <c r="T3915">
        <v>-0.66297550000000005</v>
      </c>
      <c r="U3915">
        <v>-2.8755649999999999</v>
      </c>
      <c r="V3915">
        <v>0.12596749999999901</v>
      </c>
      <c r="W3915">
        <v>-4.1597139999999998E-2</v>
      </c>
      <c r="X3915">
        <v>0.99116190000000004</v>
      </c>
      <c r="Y3915">
        <v>0.14254439999999999</v>
      </c>
      <c r="Z3915">
        <v>0.21843969999999999</v>
      </c>
      <c r="AA3915">
        <v>0.96538349999999995</v>
      </c>
      <c r="AB3915">
        <v>17</v>
      </c>
      <c r="AC3915">
        <v>-0.190599999999989</v>
      </c>
      <c r="AD3915">
        <v>-0.18059</v>
      </c>
      <c r="AE3915">
        <v>-0.680499999999994</v>
      </c>
      <c r="AF3915">
        <v>0.11273028031167499</v>
      </c>
      <c r="AG3915">
        <v>-0.18059</v>
      </c>
      <c r="AH3915">
        <v>0.653720050980929</v>
      </c>
      <c r="AI3915">
        <v>105.228687979805</v>
      </c>
      <c r="AJ3915">
        <v>80.215896905226799</v>
      </c>
      <c r="AK3915">
        <v>0.68751055937611405</v>
      </c>
      <c r="AL3915">
        <v>92.384028368185696</v>
      </c>
      <c r="AM3915">
        <v>82.757066476119505</v>
      </c>
      <c r="AN3915">
        <v>1.00000002256201</v>
      </c>
    </row>
    <row r="3916" spans="1:40" x14ac:dyDescent="0.25">
      <c r="A3916" t="str">
        <f>"20190312161350106"</f>
        <v>20190312161350106</v>
      </c>
      <c r="B3916" t="str">
        <f>"1552378430099628"</f>
        <v>1552378430099628</v>
      </c>
      <c r="C3916" t="s">
        <v>40</v>
      </c>
      <c r="D3916">
        <v>5.0285310000000001</v>
      </c>
      <c r="E3916">
        <v>0.51032949999999999</v>
      </c>
      <c r="F3916" t="s">
        <v>43</v>
      </c>
      <c r="G3916">
        <v>-190.21950000000001</v>
      </c>
      <c r="H3916">
        <v>0.95501040000000004</v>
      </c>
      <c r="I3916">
        <v>172.45679999999999</v>
      </c>
      <c r="J3916">
        <v>-190.05850000000001</v>
      </c>
      <c r="K3916">
        <v>1.1098939999999999</v>
      </c>
      <c r="L3916">
        <v>172.9966</v>
      </c>
      <c r="M3916">
        <v>-0.1024375</v>
      </c>
      <c r="N3916">
        <v>0</v>
      </c>
      <c r="O3916">
        <v>-0.99465139999999996</v>
      </c>
      <c r="P3916">
        <v>-0.22626550000000001</v>
      </c>
      <c r="Q3916">
        <v>-5.5041189999999997E-2</v>
      </c>
      <c r="R3916">
        <v>-0.97250959999999997</v>
      </c>
      <c r="S3916">
        <v>-0.7346954</v>
      </c>
      <c r="T3916">
        <v>-0.64254840000000002</v>
      </c>
      <c r="U3916">
        <v>-2.87764</v>
      </c>
      <c r="V3916">
        <v>0.12542739999999999</v>
      </c>
      <c r="W3916">
        <v>-4.1959150000000001E-2</v>
      </c>
      <c r="X3916">
        <v>0.99121510000000002</v>
      </c>
      <c r="Y3916">
        <v>0.141176</v>
      </c>
      <c r="Z3916">
        <v>0.21192569999999999</v>
      </c>
      <c r="AA3916">
        <v>0.96703510000000004</v>
      </c>
      <c r="AB3916">
        <v>17</v>
      </c>
      <c r="AC3916">
        <v>-0.161000000000001</v>
      </c>
      <c r="AD3916">
        <v>-0.15488360000000001</v>
      </c>
      <c r="AE3916">
        <v>-0.53980000000001305</v>
      </c>
      <c r="AF3916">
        <v>9.7482419499763898E-2</v>
      </c>
      <c r="AG3916">
        <v>-0.15488360000000001</v>
      </c>
      <c r="AH3916">
        <v>0.51455248256550701</v>
      </c>
      <c r="AI3916">
        <v>106.475361763829</v>
      </c>
      <c r="AJ3916">
        <v>79.272402132411699</v>
      </c>
      <c r="AK3916">
        <v>0.546128198296713</v>
      </c>
      <c r="AL3916">
        <v>92.404788219544997</v>
      </c>
      <c r="AM3916">
        <v>82.788176696046193</v>
      </c>
      <c r="AN3916">
        <v>0.99999998870374596</v>
      </c>
    </row>
    <row r="3917" spans="1:40" x14ac:dyDescent="0.25">
      <c r="A3917" t="str">
        <f>"20190312161350129"</f>
        <v>20190312161350129</v>
      </c>
      <c r="B3917" t="str">
        <f>"1552378430120124"</f>
        <v>1552378430120124</v>
      </c>
      <c r="C3917" t="s">
        <v>40</v>
      </c>
      <c r="D3917">
        <v>5.9950150000000004</v>
      </c>
      <c r="E3917">
        <v>0.51153879999999996</v>
      </c>
      <c r="F3917" t="s">
        <v>43</v>
      </c>
      <c r="G3917">
        <v>-190.23580000000001</v>
      </c>
      <c r="H3917">
        <v>0.95412799999999998</v>
      </c>
      <c r="I3917">
        <v>172.30590000000001</v>
      </c>
      <c r="J3917">
        <v>-190.0771</v>
      </c>
      <c r="K3917">
        <v>1.1098969999999999</v>
      </c>
      <c r="L3917">
        <v>172.81950000000001</v>
      </c>
      <c r="M3917">
        <v>-0.102783</v>
      </c>
      <c r="N3917">
        <v>0</v>
      </c>
      <c r="O3917">
        <v>-0.9946161</v>
      </c>
      <c r="P3917">
        <v>-0.2266321</v>
      </c>
      <c r="Q3917">
        <v>-5.501081E-2</v>
      </c>
      <c r="R3917">
        <v>-0.97242620000000002</v>
      </c>
      <c r="S3917">
        <v>-0.7385254</v>
      </c>
      <c r="T3917">
        <v>-0.64872359999999996</v>
      </c>
      <c r="U3917">
        <v>-2.876236</v>
      </c>
      <c r="V3917">
        <v>0.1254566</v>
      </c>
      <c r="W3917">
        <v>-4.1945629999999998E-2</v>
      </c>
      <c r="X3917">
        <v>0.99121199999999998</v>
      </c>
      <c r="Y3917">
        <v>0.14204620000000001</v>
      </c>
      <c r="Z3917">
        <v>0.21390680000000001</v>
      </c>
      <c r="AA3917">
        <v>0.96647130000000003</v>
      </c>
      <c r="AB3917">
        <v>17</v>
      </c>
      <c r="AC3917">
        <v>-0.15870000000001</v>
      </c>
      <c r="AD3917">
        <v>-0.15576899999999899</v>
      </c>
      <c r="AE3917">
        <v>-0.51359999999999595</v>
      </c>
      <c r="AF3917">
        <v>9.6926749378826504E-2</v>
      </c>
      <c r="AG3917">
        <v>-0.15576899999999899</v>
      </c>
      <c r="AH3917">
        <v>0.48635476105508701</v>
      </c>
      <c r="AI3917">
        <v>107.437589247026</v>
      </c>
      <c r="AJ3917">
        <v>78.729062587098596</v>
      </c>
      <c r="AK3917">
        <v>0.51980739674142495</v>
      </c>
      <c r="AL3917">
        <v>92.404012842812705</v>
      </c>
      <c r="AM3917">
        <v>82.786493115610597</v>
      </c>
      <c r="AN3917">
        <v>1.00000001165182</v>
      </c>
    </row>
    <row r="3918" spans="1:40" x14ac:dyDescent="0.25">
      <c r="A3918" t="str">
        <f>"20190312161350151"</f>
        <v>20190312161350151</v>
      </c>
      <c r="B3918" t="str">
        <f>"1552378430139644"</f>
        <v>1552378430139644</v>
      </c>
      <c r="C3918" t="s">
        <v>40</v>
      </c>
      <c r="D3918">
        <v>5.8887150000000004</v>
      </c>
      <c r="E3918">
        <v>0.51138839999999997</v>
      </c>
      <c r="F3918" t="s">
        <v>43</v>
      </c>
      <c r="G3918">
        <v>-190.2859</v>
      </c>
      <c r="H3918">
        <v>0.92565359999999997</v>
      </c>
      <c r="I3918">
        <v>172.01849999999999</v>
      </c>
      <c r="J3918">
        <v>-190.09479999999999</v>
      </c>
      <c r="K3918">
        <v>1.1098920000000001</v>
      </c>
      <c r="L3918">
        <v>172.6523</v>
      </c>
      <c r="M3918">
        <v>-0.1031096</v>
      </c>
      <c r="N3918">
        <v>0</v>
      </c>
      <c r="O3918">
        <v>-0.99458259999999998</v>
      </c>
      <c r="P3918">
        <v>-0.22673509999999999</v>
      </c>
      <c r="Q3918">
        <v>-5.4401379999999999E-2</v>
      </c>
      <c r="R3918">
        <v>-0.97243639999999998</v>
      </c>
      <c r="S3918">
        <v>-0.74884030000000001</v>
      </c>
      <c r="T3918">
        <v>-0.66095609999999905</v>
      </c>
      <c r="U3918">
        <v>-2.873138</v>
      </c>
      <c r="V3918">
        <v>0.12523310000000001</v>
      </c>
      <c r="W3918">
        <v>-4.1362210000000003E-2</v>
      </c>
      <c r="X3918">
        <v>0.99126479999999995</v>
      </c>
      <c r="Y3918">
        <v>0.14500539999999901</v>
      </c>
      <c r="Z3918">
        <v>0.21781439999999999</v>
      </c>
      <c r="AA3918">
        <v>0.96515819999999997</v>
      </c>
      <c r="AB3918">
        <v>17</v>
      </c>
      <c r="AC3918">
        <v>-0.19110000000000499</v>
      </c>
      <c r="AD3918">
        <v>-0.1842384</v>
      </c>
      <c r="AE3918">
        <v>-0.63380000000000702</v>
      </c>
      <c r="AF3918">
        <v>0.115758302615502</v>
      </c>
      <c r="AG3918">
        <v>-0.1842384</v>
      </c>
      <c r="AH3918">
        <v>0.60338982481004</v>
      </c>
      <c r="AI3918">
        <v>106.69243171570901</v>
      </c>
      <c r="AJ3918">
        <v>79.139950100146805</v>
      </c>
      <c r="AK3918">
        <v>0.64142267916193396</v>
      </c>
      <c r="AL3918">
        <v>92.370556252063494</v>
      </c>
      <c r="AM3918">
        <v>82.799588441802996</v>
      </c>
      <c r="AN3918">
        <v>1.00000003273536</v>
      </c>
    </row>
    <row r="3919" spans="1:40" x14ac:dyDescent="0.25">
      <c r="A3919" t="str">
        <f>"20190312161350172"</f>
        <v>20190312161350172</v>
      </c>
      <c r="B3919" t="str">
        <f>"1552378430169900"</f>
        <v>1552378430169900</v>
      </c>
      <c r="C3919" t="s">
        <v>40</v>
      </c>
      <c r="D3919">
        <v>5.7218339999999897</v>
      </c>
      <c r="E3919">
        <v>0.51144219999999996</v>
      </c>
      <c r="F3919" t="s">
        <v>43</v>
      </c>
      <c r="G3919">
        <v>-190.3</v>
      </c>
      <c r="H3919">
        <v>0.93120320000000001</v>
      </c>
      <c r="I3919">
        <v>171.86490000000001</v>
      </c>
      <c r="J3919">
        <v>-190.11170000000001</v>
      </c>
      <c r="K3919">
        <v>1.1098939999999999</v>
      </c>
      <c r="L3919">
        <v>172.49250000000001</v>
      </c>
      <c r="M3919">
        <v>-0.1034206</v>
      </c>
      <c r="N3919">
        <v>0</v>
      </c>
      <c r="O3919">
        <v>-0.99455059999999995</v>
      </c>
      <c r="P3919">
        <v>-0.22746520000000001</v>
      </c>
      <c r="Q3919">
        <v>-5.4134700000000001E-2</v>
      </c>
      <c r="R3919">
        <v>-0.9722807</v>
      </c>
      <c r="S3919">
        <v>-0.74847410000000003</v>
      </c>
      <c r="T3919">
        <v>-0.65224659999999901</v>
      </c>
      <c r="U3919">
        <v>-2.8740230000000002</v>
      </c>
      <c r="V3919">
        <v>0.12566569999999999</v>
      </c>
      <c r="W3919">
        <v>-4.112698E-2</v>
      </c>
      <c r="X3919">
        <v>0.99121979999999998</v>
      </c>
      <c r="Y3919">
        <v>0.14466509999999999</v>
      </c>
      <c r="Z3919">
        <v>0.2150174</v>
      </c>
      <c r="AA3919">
        <v>0.96583620000000003</v>
      </c>
      <c r="AB3919">
        <v>17</v>
      </c>
      <c r="AC3919">
        <v>-0.188299999999998</v>
      </c>
      <c r="AD3919">
        <v>-0.17869080000000001</v>
      </c>
      <c r="AE3919">
        <v>-0.62760000000000005</v>
      </c>
      <c r="AF3919">
        <v>0.11390636726775399</v>
      </c>
      <c r="AG3919">
        <v>-0.17869080000000001</v>
      </c>
      <c r="AH3919">
        <v>0.59915034024442604</v>
      </c>
      <c r="AI3919">
        <v>106.330189738679</v>
      </c>
      <c r="AJ3919">
        <v>79.235775098068899</v>
      </c>
      <c r="AK3919">
        <v>0.63552041094192102</v>
      </c>
      <c r="AL3919">
        <v>92.357067178757205</v>
      </c>
      <c r="AM3919">
        <v>82.774653492120507</v>
      </c>
      <c r="AN3919">
        <v>0.99999999427622499</v>
      </c>
    </row>
    <row r="3920" spans="1:40" x14ac:dyDescent="0.25">
      <c r="A3920" t="str">
        <f>"20190312161350185"</f>
        <v>20190312161350185</v>
      </c>
      <c r="B3920" t="str">
        <f>"1552378430179660"</f>
        <v>1552378430179660</v>
      </c>
      <c r="C3920" t="s">
        <v>40</v>
      </c>
      <c r="D3920">
        <v>5.7855420000000004</v>
      </c>
      <c r="E3920">
        <v>0.51176520000000003</v>
      </c>
      <c r="F3920" t="s">
        <v>43</v>
      </c>
      <c r="G3920">
        <v>-190.31540000000001</v>
      </c>
      <c r="H3920">
        <v>0.93342760000000002</v>
      </c>
      <c r="I3920">
        <v>171.7131</v>
      </c>
      <c r="J3920">
        <v>-190.12219999999999</v>
      </c>
      <c r="K3920">
        <v>1.109893</v>
      </c>
      <c r="L3920">
        <v>172.3939</v>
      </c>
      <c r="M3920">
        <v>-0.1036111</v>
      </c>
      <c r="N3920">
        <v>0</v>
      </c>
      <c r="O3920">
        <v>-0.9945309</v>
      </c>
      <c r="P3920">
        <v>-0.22799240000000001</v>
      </c>
      <c r="Q3920">
        <v>-5.416642E-2</v>
      </c>
      <c r="R3920">
        <v>-0.9721552</v>
      </c>
      <c r="S3920">
        <v>-0.75065609999999905</v>
      </c>
      <c r="T3920">
        <v>-0.65066359999999901</v>
      </c>
      <c r="U3920">
        <v>-2.8736570000000001</v>
      </c>
      <c r="V3920">
        <v>0.12601329999999999</v>
      </c>
      <c r="W3920">
        <v>-4.1177600000000002E-2</v>
      </c>
      <c r="X3920">
        <v>0.99117359999999999</v>
      </c>
      <c r="Y3920">
        <v>0.14522070000000001</v>
      </c>
      <c r="Z3920">
        <v>0.21451100000000001</v>
      </c>
      <c r="AA3920">
        <v>0.96586539999999999</v>
      </c>
      <c r="AB3920">
        <v>17</v>
      </c>
      <c r="AC3920">
        <v>-0.193200000000018</v>
      </c>
      <c r="AD3920">
        <v>-0.17646539999999999</v>
      </c>
      <c r="AE3920">
        <v>-0.68080000000000496</v>
      </c>
      <c r="AF3920">
        <v>0.114496224181359</v>
      </c>
      <c r="AG3920">
        <v>-0.17646539999999999</v>
      </c>
      <c r="AH3920">
        <v>0.65634397734762995</v>
      </c>
      <c r="AI3920">
        <v>104.83480298010601</v>
      </c>
      <c r="AJ3920">
        <v>80.104586309684507</v>
      </c>
      <c r="AK3920">
        <v>0.68922916315943505</v>
      </c>
      <c r="AL3920">
        <v>92.359969875373096</v>
      </c>
      <c r="AM3920">
        <v>82.754545647586795</v>
      </c>
      <c r="AN3920">
        <v>1.0000000259277999</v>
      </c>
    </row>
    <row r="3921" spans="1:40" x14ac:dyDescent="0.25">
      <c r="A3921" t="str">
        <f>"20190312161350200"</f>
        <v>20190312161350200</v>
      </c>
      <c r="B3921" t="str">
        <f>"1552378430190395"</f>
        <v>1552378430190395</v>
      </c>
      <c r="C3921" t="s">
        <v>40</v>
      </c>
      <c r="D3921">
        <v>5.8756789999999999</v>
      </c>
      <c r="E3921">
        <v>0.51166109999999998</v>
      </c>
      <c r="F3921" t="s">
        <v>43</v>
      </c>
      <c r="G3921">
        <v>-190.30350000000001</v>
      </c>
      <c r="H3921">
        <v>0.95146039999999998</v>
      </c>
      <c r="I3921">
        <v>171.7037</v>
      </c>
      <c r="J3921">
        <v>-190.13319999999999</v>
      </c>
      <c r="K3921">
        <v>1.1098920000000001</v>
      </c>
      <c r="L3921">
        <v>172.29060000000001</v>
      </c>
      <c r="M3921">
        <v>-0.10380979999999999</v>
      </c>
      <c r="N3921">
        <v>0</v>
      </c>
      <c r="O3921">
        <v>-0.99451049999999996</v>
      </c>
      <c r="P3921">
        <v>-0.228413</v>
      </c>
      <c r="Q3921">
        <v>-5.3896760000000002E-2</v>
      </c>
      <c r="R3921">
        <v>-0.97207160000000004</v>
      </c>
      <c r="S3921">
        <v>-0.75419619999999998</v>
      </c>
      <c r="T3921">
        <v>-0.65938260000000004</v>
      </c>
      <c r="U3921">
        <v>-2.8723299999999998</v>
      </c>
      <c r="V3921">
        <v>0.12624250000000001</v>
      </c>
      <c r="W3921">
        <v>-4.0926959999999998E-2</v>
      </c>
      <c r="X3921">
        <v>0.9911548</v>
      </c>
      <c r="Y3921">
        <v>0.14608979999999999</v>
      </c>
      <c r="Z3921">
        <v>0.21728839999999999</v>
      </c>
      <c r="AA3921">
        <v>0.9651132</v>
      </c>
      <c r="AB3921">
        <v>17</v>
      </c>
      <c r="AC3921">
        <v>-0.17030000000002499</v>
      </c>
      <c r="AD3921">
        <v>-0.15843160000000001</v>
      </c>
      <c r="AE3921">
        <v>-0.58690000000001397</v>
      </c>
      <c r="AF3921">
        <v>0.101618529597281</v>
      </c>
      <c r="AG3921">
        <v>-0.15843160000000001</v>
      </c>
      <c r="AH3921">
        <v>0.56353269978089404</v>
      </c>
      <c r="AI3921">
        <v>105.46557861063501</v>
      </c>
      <c r="AJ3921">
        <v>79.778040240284597</v>
      </c>
      <c r="AK3921">
        <v>0.59413466584471997</v>
      </c>
      <c r="AL3921">
        <v>92.345597179853698</v>
      </c>
      <c r="AM3921">
        <v>82.741371426125099</v>
      </c>
      <c r="AN3921">
        <v>1.0000000112120599</v>
      </c>
    </row>
    <row r="3922" spans="1:40" x14ac:dyDescent="0.25">
      <c r="A3922" t="str">
        <f>"20190312161350218"</f>
        <v>20190312161350218</v>
      </c>
      <c r="B3922" t="str">
        <f>"1552378430209915"</f>
        <v>1552378430209915</v>
      </c>
      <c r="C3922" t="s">
        <v>40</v>
      </c>
      <c r="D3922">
        <v>5.8700390000000002</v>
      </c>
      <c r="E3922">
        <v>0.51133469999999903</v>
      </c>
      <c r="F3922" t="s">
        <v>43</v>
      </c>
      <c r="G3922">
        <v>-190.32589999999999</v>
      </c>
      <c r="H3922">
        <v>0.94244360000000005</v>
      </c>
      <c r="I3922">
        <v>171.55789999999999</v>
      </c>
      <c r="J3922">
        <v>-190.14879999999999</v>
      </c>
      <c r="K3922">
        <v>1.10989</v>
      </c>
      <c r="L3922">
        <v>172.14429999999999</v>
      </c>
      <c r="M3922">
        <v>-0.1040915</v>
      </c>
      <c r="N3922">
        <v>0</v>
      </c>
      <c r="O3922">
        <v>-0.99448139999999996</v>
      </c>
      <c r="P3922">
        <v>-0.22880990000000001</v>
      </c>
      <c r="Q3922">
        <v>-5.3648559999999998E-2</v>
      </c>
      <c r="R3922">
        <v>-0.97199199999999997</v>
      </c>
      <c r="S3922">
        <v>-0.75479130000000005</v>
      </c>
      <c r="T3922">
        <v>-0.65649969999999902</v>
      </c>
      <c r="U3922">
        <v>-2.872452</v>
      </c>
      <c r="V3922">
        <v>0.12636520000000001</v>
      </c>
      <c r="W3922">
        <v>-4.0708330000000001E-2</v>
      </c>
      <c r="X3922">
        <v>0.99114820000000003</v>
      </c>
      <c r="Y3922">
        <v>0.14603920000000001</v>
      </c>
      <c r="Z3922">
        <v>0.21636140000000001</v>
      </c>
      <c r="AA3922">
        <v>0.96532910000000005</v>
      </c>
      <c r="AB3922">
        <v>17</v>
      </c>
      <c r="AC3922">
        <v>-0.17709999999999501</v>
      </c>
      <c r="AD3922">
        <v>-0.1674464</v>
      </c>
      <c r="AE3922">
        <v>-0.58639999999999703</v>
      </c>
      <c r="AF3922">
        <v>0.107091103913355</v>
      </c>
      <c r="AG3922">
        <v>-0.1674464</v>
      </c>
      <c r="AH3922">
        <v>0.55981876648877504</v>
      </c>
      <c r="AI3922">
        <v>106.37179582900499</v>
      </c>
      <c r="AJ3922">
        <v>79.170380566912101</v>
      </c>
      <c r="AK3922">
        <v>0.59405711234135905</v>
      </c>
      <c r="AL3922">
        <v>92.333060080982705</v>
      </c>
      <c r="AM3922">
        <v>82.734343970538106</v>
      </c>
      <c r="AN3922">
        <v>1.00000004313283</v>
      </c>
    </row>
    <row r="3923" spans="1:40" x14ac:dyDescent="0.25">
      <c r="A3923" t="str">
        <f>"20190312161350241"</f>
        <v>20190312161350241</v>
      </c>
      <c r="B3923" t="str">
        <f>"1552378430230412"</f>
        <v>1552378430230412</v>
      </c>
      <c r="C3923" t="s">
        <v>40</v>
      </c>
      <c r="D3923">
        <v>5.9383819999999998</v>
      </c>
      <c r="E3923">
        <v>0.51100000000000001</v>
      </c>
      <c r="F3923" t="s">
        <v>43</v>
      </c>
      <c r="G3923">
        <v>-190.34180000000001</v>
      </c>
      <c r="H3923">
        <v>0.93990609999999997</v>
      </c>
      <c r="I3923">
        <v>171.40870000000001</v>
      </c>
      <c r="J3923">
        <v>-190.16659999999999</v>
      </c>
      <c r="K3923">
        <v>1.109885</v>
      </c>
      <c r="L3923">
        <v>171.9787</v>
      </c>
      <c r="M3923">
        <v>-0.1044119</v>
      </c>
      <c r="N3923">
        <v>0</v>
      </c>
      <c r="O3923">
        <v>-0.9944482</v>
      </c>
      <c r="P3923">
        <v>-0.229599</v>
      </c>
      <c r="Q3923">
        <v>-5.344351E-2</v>
      </c>
      <c r="R3923">
        <v>-0.97181689999999998</v>
      </c>
      <c r="S3923">
        <v>-0.75353999999999999</v>
      </c>
      <c r="T3923">
        <v>-0.66377039999999998</v>
      </c>
      <c r="U3923">
        <v>-2.8724210000000001</v>
      </c>
      <c r="V3923">
        <v>0.1268492</v>
      </c>
      <c r="W3923">
        <v>-4.0543839999999998E-2</v>
      </c>
      <c r="X3923">
        <v>0.991093</v>
      </c>
      <c r="Y3923">
        <v>0.1451993</v>
      </c>
      <c r="Z3923">
        <v>0.21865780000000001</v>
      </c>
      <c r="AA3923">
        <v>0.96493830000000003</v>
      </c>
      <c r="AB3923">
        <v>17</v>
      </c>
      <c r="AC3923">
        <v>-0.17520000000001701</v>
      </c>
      <c r="AD3923">
        <v>-0.16997889999999999</v>
      </c>
      <c r="AE3923">
        <v>-0.56999999999999296</v>
      </c>
      <c r="AF3923">
        <v>0.106101391266626</v>
      </c>
      <c r="AG3923">
        <v>-0.16997889999999999</v>
      </c>
      <c r="AH3923">
        <v>0.54120447988730103</v>
      </c>
      <c r="AI3923">
        <v>107.129724216575</v>
      </c>
      <c r="AJ3923">
        <v>78.908023789647004</v>
      </c>
      <c r="AK3923">
        <v>0.57710711373540302</v>
      </c>
      <c r="AL3923">
        <v>92.323627977763607</v>
      </c>
      <c r="AM3923">
        <v>82.706412522932396</v>
      </c>
      <c r="AN3923">
        <v>0.99999992857579001</v>
      </c>
    </row>
    <row r="3924" spans="1:40" x14ac:dyDescent="0.25">
      <c r="A3924" t="str">
        <f>"20190312161350260"</f>
        <v>20190312161350260</v>
      </c>
      <c r="B3924" t="str">
        <f>"1552378430249931"</f>
        <v>1552378430249931</v>
      </c>
      <c r="C3924" t="s">
        <v>40</v>
      </c>
      <c r="D3924">
        <v>5.7833519999999998</v>
      </c>
      <c r="E3924">
        <v>0.51055850000000003</v>
      </c>
      <c r="F3924" t="s">
        <v>43</v>
      </c>
      <c r="G3924">
        <v>-190.3562</v>
      </c>
      <c r="H3924">
        <v>0.94423230000000002</v>
      </c>
      <c r="I3924">
        <v>171.25620000000001</v>
      </c>
      <c r="J3924">
        <v>-190.18279999999999</v>
      </c>
      <c r="K3924">
        <v>1.109883</v>
      </c>
      <c r="L3924">
        <v>171.82749999999999</v>
      </c>
      <c r="M3924">
        <v>-0.10470359999999999</v>
      </c>
      <c r="N3924">
        <v>0</v>
      </c>
      <c r="O3924">
        <v>-0.99441809999999997</v>
      </c>
      <c r="P3924">
        <v>-0.23018230000000001</v>
      </c>
      <c r="Q3924">
        <v>-5.3272119999999999E-2</v>
      </c>
      <c r="R3924">
        <v>-0.97168829999999995</v>
      </c>
      <c r="S3924">
        <v>-0.75355530000000004</v>
      </c>
      <c r="T3924">
        <v>-0.65870589999999996</v>
      </c>
      <c r="U3924">
        <v>-2.872757</v>
      </c>
      <c r="V3924">
        <v>0.1271525</v>
      </c>
      <c r="W3924">
        <v>-4.0410790000000002E-2</v>
      </c>
      <c r="X3924">
        <v>0.99105969999999999</v>
      </c>
      <c r="Y3924">
        <v>0.14497829999999901</v>
      </c>
      <c r="Z3924">
        <v>0.21703990000000001</v>
      </c>
      <c r="AA3924">
        <v>0.96533670000000005</v>
      </c>
      <c r="AB3924">
        <v>17</v>
      </c>
      <c r="AC3924">
        <v>-0.17340000000001499</v>
      </c>
      <c r="AD3924">
        <v>-0.16565069999999901</v>
      </c>
      <c r="AE3924">
        <v>-0.57129999999997905</v>
      </c>
      <c r="AF3924">
        <v>0.10457421345424101</v>
      </c>
      <c r="AG3924">
        <v>-0.16565069999999901</v>
      </c>
      <c r="AH3924">
        <v>0.54440716102345899</v>
      </c>
      <c r="AI3924">
        <v>106.636900322182</v>
      </c>
      <c r="AJ3924">
        <v>79.126598704827103</v>
      </c>
      <c r="AK3924">
        <v>0.57858022564177303</v>
      </c>
      <c r="AL3924">
        <v>92.3159982175046</v>
      </c>
      <c r="AM3924">
        <v>82.688918812818002</v>
      </c>
      <c r="AN3924">
        <v>1.0000000595843801</v>
      </c>
    </row>
    <row r="3925" spans="1:40" x14ac:dyDescent="0.25">
      <c r="A3925" t="str">
        <f>"20190312161350273"</f>
        <v>20190312161350273</v>
      </c>
      <c r="B3925" t="str">
        <f>"1552378430259692"</f>
        <v>1552378430259692</v>
      </c>
      <c r="C3925" t="s">
        <v>40</v>
      </c>
      <c r="D3925">
        <v>5.7841209999999998</v>
      </c>
      <c r="E3925">
        <v>0.51055850000000003</v>
      </c>
      <c r="F3925" t="s">
        <v>43</v>
      </c>
      <c r="G3925">
        <v>-190.37180000000001</v>
      </c>
      <c r="H3925">
        <v>0.94550250000000002</v>
      </c>
      <c r="I3925">
        <v>171.1054</v>
      </c>
      <c r="J3925">
        <v>-190.1925</v>
      </c>
      <c r="K3925">
        <v>1.10988</v>
      </c>
      <c r="L3925">
        <v>171.73740000000001</v>
      </c>
      <c r="M3925">
        <v>-0.10487639999999999</v>
      </c>
      <c r="N3925">
        <v>0</v>
      </c>
      <c r="O3925">
        <v>-0.99440019999999996</v>
      </c>
      <c r="P3925">
        <v>-0.2305441</v>
      </c>
      <c r="Q3925">
        <v>-5.3198889999999999E-2</v>
      </c>
      <c r="R3925">
        <v>-0.97160659999999999</v>
      </c>
      <c r="S3925">
        <v>-0.75186160000000002</v>
      </c>
      <c r="T3925">
        <v>-0.65414669999999997</v>
      </c>
      <c r="U3925">
        <v>-2.8734280000000001</v>
      </c>
      <c r="V3925">
        <v>0.12734880000000001</v>
      </c>
      <c r="W3925">
        <v>-4.0360020000000003E-2</v>
      </c>
      <c r="X3925">
        <v>0.99103649999999999</v>
      </c>
      <c r="Y3925">
        <v>0.1443004</v>
      </c>
      <c r="Z3925">
        <v>0.21558250000000001</v>
      </c>
      <c r="AA3925">
        <v>0.96576479999999998</v>
      </c>
      <c r="AB3925">
        <v>17</v>
      </c>
      <c r="AC3925">
        <v>-0.17930000000001201</v>
      </c>
      <c r="AD3925">
        <v>-0.16437750000000001</v>
      </c>
      <c r="AE3925">
        <v>-0.632000000000005</v>
      </c>
      <c r="AF3925">
        <v>0.10542319472278699</v>
      </c>
      <c r="AG3925">
        <v>-0.16437750000000001</v>
      </c>
      <c r="AH3925">
        <v>0.60918035935325299</v>
      </c>
      <c r="AI3925">
        <v>104.88942606199601</v>
      </c>
      <c r="AJ3925">
        <v>80.181783083268002</v>
      </c>
      <c r="AK3925">
        <v>0.63971456346840105</v>
      </c>
      <c r="AL3925">
        <v>92.313087082544698</v>
      </c>
      <c r="AM3925">
        <v>82.677584700129898</v>
      </c>
      <c r="AN3925">
        <v>0.99999999620404501</v>
      </c>
    </row>
    <row r="3926" spans="1:40" x14ac:dyDescent="0.25">
      <c r="A3926" t="str">
        <f>"20190312161350285"</f>
        <v>20190312161350285</v>
      </c>
      <c r="B3926" t="str">
        <f>"1552378430280188"</f>
        <v>1552378430280188</v>
      </c>
      <c r="C3926" t="s">
        <v>40</v>
      </c>
      <c r="D3926">
        <v>5.8340449999999997</v>
      </c>
      <c r="E3926">
        <v>0.51043620000000001</v>
      </c>
      <c r="F3926" t="s">
        <v>43</v>
      </c>
      <c r="G3926">
        <v>-190.39599999999999</v>
      </c>
      <c r="H3926">
        <v>0.93332950000000003</v>
      </c>
      <c r="I3926">
        <v>170.96170000000001</v>
      </c>
      <c r="J3926">
        <v>-190.2028</v>
      </c>
      <c r="K3926">
        <v>1.109877</v>
      </c>
      <c r="L3926">
        <v>171.6422</v>
      </c>
      <c r="M3926">
        <v>-0.10505829999999999</v>
      </c>
      <c r="N3926">
        <v>0</v>
      </c>
      <c r="O3926">
        <v>-0.99438139999999997</v>
      </c>
      <c r="P3926">
        <v>-0.23076550000000001</v>
      </c>
      <c r="Q3926">
        <v>-5.3092720000000003E-2</v>
      </c>
      <c r="R3926">
        <v>-0.97155990000000003</v>
      </c>
      <c r="S3926">
        <v>-0.75306700000000004</v>
      </c>
      <c r="T3926">
        <v>-0.65391390000000005</v>
      </c>
      <c r="U3926">
        <v>-2.8731689999999999</v>
      </c>
      <c r="V3926">
        <v>0.1273927</v>
      </c>
      <c r="W3926">
        <v>-4.0276979999999997E-2</v>
      </c>
      <c r="X3926">
        <v>0.99103430000000003</v>
      </c>
      <c r="Y3926">
        <v>0.1445244</v>
      </c>
      <c r="Z3926">
        <v>0.215507</v>
      </c>
      <c r="AA3926">
        <v>0.9657481</v>
      </c>
      <c r="AB3926">
        <v>17</v>
      </c>
      <c r="AC3926">
        <v>-0.19319999999998999</v>
      </c>
      <c r="AD3926">
        <v>-0.176547499999999</v>
      </c>
      <c r="AE3926">
        <v>-0.680499999999994</v>
      </c>
      <c r="AF3926">
        <v>0.113559164852988</v>
      </c>
      <c r="AG3926">
        <v>-0.176547499999999</v>
      </c>
      <c r="AH3926">
        <v>0.65616187567855599</v>
      </c>
      <c r="AI3926">
        <v>104.848639607625</v>
      </c>
      <c r="AJ3926">
        <v>80.181319411533593</v>
      </c>
      <c r="AK3926">
        <v>0.68892170148164</v>
      </c>
      <c r="AL3926">
        <v>92.308325223063704</v>
      </c>
      <c r="AM3926">
        <v>82.675071824006494</v>
      </c>
      <c r="AN3926">
        <v>1.0000000594538401</v>
      </c>
    </row>
    <row r="3927" spans="1:40" x14ac:dyDescent="0.25">
      <c r="A3927" t="str">
        <f>"20190312161350298"</f>
        <v>20190312161350298</v>
      </c>
      <c r="B3927" t="str">
        <f>"1552378430289949"</f>
        <v>1552378430289949</v>
      </c>
      <c r="C3927" t="s">
        <v>40</v>
      </c>
      <c r="D3927">
        <v>5.9048910000000001</v>
      </c>
      <c r="E3927">
        <v>0.51029570000000002</v>
      </c>
      <c r="F3927" t="s">
        <v>43</v>
      </c>
      <c r="G3927">
        <v>-190.38380000000001</v>
      </c>
      <c r="H3927">
        <v>0.95264020000000005</v>
      </c>
      <c r="I3927">
        <v>170.95160000000001</v>
      </c>
      <c r="J3927">
        <v>-190.21350000000001</v>
      </c>
      <c r="K3927">
        <v>1.1098779999999999</v>
      </c>
      <c r="L3927">
        <v>171.54339999999999</v>
      </c>
      <c r="M3927">
        <v>-0.1052476</v>
      </c>
      <c r="N3927">
        <v>0</v>
      </c>
      <c r="O3927">
        <v>-0.99436179999999996</v>
      </c>
      <c r="P3927">
        <v>-0.23116129999999999</v>
      </c>
      <c r="Q3927">
        <v>-5.3128019999999998E-2</v>
      </c>
      <c r="R3927">
        <v>-0.9714642</v>
      </c>
      <c r="S3927">
        <v>-0.75270079999999995</v>
      </c>
      <c r="T3927">
        <v>-0.65423180000000003</v>
      </c>
      <c r="U3927">
        <v>-2.8732760000000002</v>
      </c>
      <c r="V3927">
        <v>0.1276079</v>
      </c>
      <c r="W3927">
        <v>-4.033685E-2</v>
      </c>
      <c r="X3927">
        <v>0.99100410000000005</v>
      </c>
      <c r="Y3927">
        <v>0.1442068</v>
      </c>
      <c r="Z3927">
        <v>0.2156014</v>
      </c>
      <c r="AA3927">
        <v>0.96577449999999998</v>
      </c>
      <c r="AB3927">
        <v>17</v>
      </c>
      <c r="AC3927">
        <v>-0.17029999999999701</v>
      </c>
      <c r="AD3927">
        <v>-0.15723780000000001</v>
      </c>
      <c r="AE3927">
        <v>-0.59179999999997701</v>
      </c>
      <c r="AF3927">
        <v>0.100510506722378</v>
      </c>
      <c r="AG3927">
        <v>-0.15723780000000001</v>
      </c>
      <c r="AH3927">
        <v>0.56932109407027198</v>
      </c>
      <c r="AI3927">
        <v>105.21519320695501</v>
      </c>
      <c r="AJ3927">
        <v>79.987913430117004</v>
      </c>
      <c r="AK3927">
        <v>0.59912652742455097</v>
      </c>
      <c r="AL3927">
        <v>92.311758490443495</v>
      </c>
      <c r="AM3927">
        <v>82.662611645074904</v>
      </c>
      <c r="AN3927">
        <v>0.99999998191357098</v>
      </c>
    </row>
    <row r="3928" spans="1:40" x14ac:dyDescent="0.25">
      <c r="A3928" t="str">
        <f>"20190312161350318"</f>
        <v>20190312161350318</v>
      </c>
      <c r="B3928" t="str">
        <f>"1552378430310451"</f>
        <v>1552378430310451</v>
      </c>
      <c r="C3928" t="s">
        <v>40</v>
      </c>
      <c r="D3928">
        <v>5.904547</v>
      </c>
      <c r="E3928">
        <v>0.51010849999999996</v>
      </c>
      <c r="F3928" t="s">
        <v>43</v>
      </c>
      <c r="G3928">
        <v>-190.40639999999999</v>
      </c>
      <c r="H3928">
        <v>0.94273010000000002</v>
      </c>
      <c r="I3928">
        <v>170.80690000000001</v>
      </c>
      <c r="J3928">
        <v>-190.22929999999999</v>
      </c>
      <c r="K3928">
        <v>1.109874</v>
      </c>
      <c r="L3928">
        <v>171.3974</v>
      </c>
      <c r="M3928">
        <v>-0.10552830000000001</v>
      </c>
      <c r="N3928">
        <v>0</v>
      </c>
      <c r="O3928">
        <v>-0.99433260000000001</v>
      </c>
      <c r="P3928">
        <v>-0.2313365</v>
      </c>
      <c r="Q3928">
        <v>-5.3091480000000003E-2</v>
      </c>
      <c r="R3928">
        <v>-0.97142439999999997</v>
      </c>
      <c r="S3928">
        <v>-0.75279240000000003</v>
      </c>
      <c r="T3928">
        <v>-0.65210900000000005</v>
      </c>
      <c r="U3928">
        <v>-2.8733369999999998</v>
      </c>
      <c r="V3928">
        <v>0.1275068</v>
      </c>
      <c r="W3928">
        <v>-4.0335389999999999E-2</v>
      </c>
      <c r="X3928">
        <v>0.99101719999999904</v>
      </c>
      <c r="Y3928">
        <v>0.14398929999999999</v>
      </c>
      <c r="Z3928">
        <v>0.2149237</v>
      </c>
      <c r="AA3928">
        <v>0.96595799999999998</v>
      </c>
      <c r="AB3928">
        <v>17</v>
      </c>
      <c r="AC3928">
        <v>-0.17709999999999501</v>
      </c>
      <c r="AD3928">
        <v>-0.16714390000000001</v>
      </c>
      <c r="AE3928">
        <v>-0.59049999999999103</v>
      </c>
      <c r="AF3928">
        <v>0.10599949548158701</v>
      </c>
      <c r="AG3928">
        <v>-0.16714390000000001</v>
      </c>
      <c r="AH3928">
        <v>0.56440460124329805</v>
      </c>
      <c r="AI3928">
        <v>106.22782137276801</v>
      </c>
      <c r="AJ3928">
        <v>79.363317901465294</v>
      </c>
      <c r="AK3928">
        <v>0.59810160529308698</v>
      </c>
      <c r="AL3928">
        <v>92.311674707325196</v>
      </c>
      <c r="AM3928">
        <v>82.668457429133994</v>
      </c>
      <c r="AN3928">
        <v>1.00000000921426</v>
      </c>
    </row>
    <row r="3929" spans="1:40" x14ac:dyDescent="0.25">
      <c r="A3929" t="str">
        <f>"20190312161350340"</f>
        <v>20190312161350340</v>
      </c>
      <c r="B3929" t="str">
        <f>"1552378430329964"</f>
        <v>1552378430329964</v>
      </c>
      <c r="C3929" t="s">
        <v>40</v>
      </c>
      <c r="D3929">
        <v>5.8017750000000001</v>
      </c>
      <c r="E3929">
        <v>0.50991579999999903</v>
      </c>
      <c r="F3929" t="s">
        <v>43</v>
      </c>
      <c r="G3929">
        <v>-190.42320000000001</v>
      </c>
      <c r="H3929">
        <v>0.94277860000000002</v>
      </c>
      <c r="I3929">
        <v>170.65710000000001</v>
      </c>
      <c r="J3929">
        <v>-190.24770000000001</v>
      </c>
      <c r="K3929">
        <v>1.1098699999999999</v>
      </c>
      <c r="L3929">
        <v>171.22739999999999</v>
      </c>
      <c r="M3929">
        <v>-0.1058566</v>
      </c>
      <c r="N3929">
        <v>0</v>
      </c>
      <c r="O3929">
        <v>-0.99429780000000001</v>
      </c>
      <c r="P3929">
        <v>-0.23178889999999999</v>
      </c>
      <c r="Q3929">
        <v>-5.34168E-2</v>
      </c>
      <c r="R3929">
        <v>-0.97129840000000001</v>
      </c>
      <c r="S3929">
        <v>-0.75199890000000003</v>
      </c>
      <c r="T3929">
        <v>-0.64870050000000001</v>
      </c>
      <c r="U3929">
        <v>-2.8737180000000002</v>
      </c>
      <c r="V3929">
        <v>0.12764310000000001</v>
      </c>
      <c r="W3929">
        <v>-4.0702639999999998E-2</v>
      </c>
      <c r="X3929">
        <v>0.99098459999999999</v>
      </c>
      <c r="Y3929">
        <v>0.1434424</v>
      </c>
      <c r="Z3929">
        <v>0.21383099999999999</v>
      </c>
      <c r="AA3929">
        <v>0.96628179999999997</v>
      </c>
      <c r="AB3929">
        <v>17</v>
      </c>
      <c r="AC3929">
        <v>-0.17549999999999899</v>
      </c>
      <c r="AD3929">
        <v>-0.1670914</v>
      </c>
      <c r="AE3929">
        <v>-0.57029999999997405</v>
      </c>
      <c r="AF3929">
        <v>0.105839210789576</v>
      </c>
      <c r="AG3929">
        <v>-0.1670914</v>
      </c>
      <c r="AH3929">
        <v>0.54308761788673099</v>
      </c>
      <c r="AI3929">
        <v>106.803687773641</v>
      </c>
      <c r="AJ3929">
        <v>78.972181429603296</v>
      </c>
      <c r="AK3929">
        <v>0.57798411327336996</v>
      </c>
      <c r="AL3929">
        <v>92.332733964405804</v>
      </c>
      <c r="AM3929">
        <v>82.660466882935793</v>
      </c>
      <c r="AN3929">
        <v>0.999999971658869</v>
      </c>
    </row>
    <row r="3930" spans="1:40" x14ac:dyDescent="0.25">
      <c r="A3930" t="str">
        <f>"20190312161350354"</f>
        <v>20190312161350354</v>
      </c>
      <c r="B3930" t="str">
        <f>"1552378430339724"</f>
        <v>1552378430339724</v>
      </c>
      <c r="C3930" t="s">
        <v>40</v>
      </c>
      <c r="D3930">
        <v>5.8520820000000002</v>
      </c>
      <c r="E3930">
        <v>0.50984419999999997</v>
      </c>
      <c r="F3930" t="s">
        <v>43</v>
      </c>
      <c r="G3930">
        <v>-190.4367</v>
      </c>
      <c r="H3930">
        <v>0.94720009999999999</v>
      </c>
      <c r="I3930">
        <v>170.5051</v>
      </c>
      <c r="J3930">
        <v>-190.2586</v>
      </c>
      <c r="K3930">
        <v>1.1098680000000001</v>
      </c>
      <c r="L3930">
        <v>171.12729999999999</v>
      </c>
      <c r="M3930">
        <v>-0.10604959999999999</v>
      </c>
      <c r="N3930">
        <v>0</v>
      </c>
      <c r="O3930">
        <v>-0.99427779999999999</v>
      </c>
      <c r="P3930">
        <v>-0.23201459999999999</v>
      </c>
      <c r="Q3930">
        <v>-5.3422789999999998E-2</v>
      </c>
      <c r="R3930">
        <v>-0.97124440000000001</v>
      </c>
      <c r="S3930">
        <v>-0.75183109999999997</v>
      </c>
      <c r="T3930">
        <v>-0.64725200000000005</v>
      </c>
      <c r="U3930">
        <v>-2.8736570000000001</v>
      </c>
      <c r="V3930">
        <v>0.12768099999999999</v>
      </c>
      <c r="W3930">
        <v>-4.0733980000000003E-2</v>
      </c>
      <c r="X3930">
        <v>0.99097849999999998</v>
      </c>
      <c r="Y3930">
        <v>0.14322770000000001</v>
      </c>
      <c r="Z3930">
        <v>0.21337819999999999</v>
      </c>
      <c r="AA3930">
        <v>0.96641379999999999</v>
      </c>
      <c r="AB3930">
        <v>17</v>
      </c>
      <c r="AC3930">
        <v>-0.17810000000000001</v>
      </c>
      <c r="AD3930">
        <v>-0.1626679</v>
      </c>
      <c r="AE3930">
        <v>-0.62219999999999198</v>
      </c>
      <c r="AF3930">
        <v>0.104503989251631</v>
      </c>
      <c r="AG3930">
        <v>-0.1626679</v>
      </c>
      <c r="AH3930">
        <v>0.59969426824796501</v>
      </c>
      <c r="AI3930">
        <v>104.96124137531901</v>
      </c>
      <c r="AJ3930">
        <v>80.114781254116807</v>
      </c>
      <c r="AK3930">
        <v>0.630091378158261</v>
      </c>
      <c r="AL3930">
        <v>92.334530942239496</v>
      </c>
      <c r="AM3930">
        <v>82.658266690267396</v>
      </c>
      <c r="AN3930">
        <v>1.0000000411749399</v>
      </c>
    </row>
    <row r="3931" spans="1:40" x14ac:dyDescent="0.25">
      <c r="A3931" t="str">
        <f>"20190312161350372"</f>
        <v>20190312161350372</v>
      </c>
      <c r="B3931" t="str">
        <f>"1552378430360220"</f>
        <v>1552378430360220</v>
      </c>
      <c r="C3931" t="s">
        <v>40</v>
      </c>
      <c r="D3931">
        <v>5.906568</v>
      </c>
      <c r="E3931">
        <v>0.50970749999999998</v>
      </c>
      <c r="F3931" t="s">
        <v>43</v>
      </c>
      <c r="G3931">
        <v>-190.45949999999999</v>
      </c>
      <c r="H3931">
        <v>0.93750919999999904</v>
      </c>
      <c r="I3931">
        <v>170.36060000000001</v>
      </c>
      <c r="J3931">
        <v>-190.27379999999999</v>
      </c>
      <c r="K3931">
        <v>1.1098520000000001</v>
      </c>
      <c r="L3931">
        <v>170.98859999999999</v>
      </c>
      <c r="M3931">
        <v>-0.1063149</v>
      </c>
      <c r="N3931">
        <v>0</v>
      </c>
      <c r="O3931">
        <v>-0.99424979999999996</v>
      </c>
      <c r="P3931">
        <v>-0.2325902</v>
      </c>
      <c r="Q3931">
        <v>-5.3560290000000003E-2</v>
      </c>
      <c r="R3931">
        <v>-0.97109900000000005</v>
      </c>
      <c r="S3931">
        <v>-0.75198359999999997</v>
      </c>
      <c r="T3931">
        <v>-0.64601989999999998</v>
      </c>
      <c r="U3931">
        <v>-2.8736269999999999</v>
      </c>
      <c r="V3931">
        <v>0.12800439999999999</v>
      </c>
      <c r="W3931">
        <v>-4.0908640000000003E-2</v>
      </c>
      <c r="X3931">
        <v>0.99092950000000002</v>
      </c>
      <c r="Y3931">
        <v>0.1430361</v>
      </c>
      <c r="Z3931">
        <v>0.2129856</v>
      </c>
      <c r="AA3931">
        <v>0.96652879999999997</v>
      </c>
      <c r="AB3931">
        <v>17</v>
      </c>
      <c r="AC3931">
        <v>-0.18569999999999701</v>
      </c>
      <c r="AD3931">
        <v>-0.17234279999999999</v>
      </c>
      <c r="AE3931">
        <v>-0.62799999999998501</v>
      </c>
      <c r="AF3931">
        <v>0.110241178536909</v>
      </c>
      <c r="AG3931">
        <v>-0.17234279999999999</v>
      </c>
      <c r="AH3931">
        <v>0.60246009787352295</v>
      </c>
      <c r="AI3931">
        <v>105.716222983766</v>
      </c>
      <c r="AJ3931">
        <v>79.630450795805501</v>
      </c>
      <c r="AK3931">
        <v>0.63624942254340999</v>
      </c>
      <c r="AL3931">
        <v>92.344546764776993</v>
      </c>
      <c r="AM3931">
        <v>82.639514686679902</v>
      </c>
      <c r="AN3931">
        <v>0.99999995860812896</v>
      </c>
    </row>
    <row r="3932" spans="1:40" x14ac:dyDescent="0.25">
      <c r="A3932" t="str">
        <f>"20190312161350397"</f>
        <v>20190312161350397</v>
      </c>
      <c r="B3932" t="str">
        <f>"1552378430389501"</f>
        <v>1552378430389501</v>
      </c>
      <c r="C3932" t="s">
        <v>40</v>
      </c>
      <c r="D3932">
        <v>5.8901399999999997</v>
      </c>
      <c r="E3932">
        <v>0.50987199999999999</v>
      </c>
      <c r="F3932" t="s">
        <v>43</v>
      </c>
      <c r="G3932">
        <v>-190.47720000000001</v>
      </c>
      <c r="H3932">
        <v>0.93556640000000002</v>
      </c>
      <c r="I3932">
        <v>170.21199999999999</v>
      </c>
      <c r="J3932">
        <v>-190.29409999999999</v>
      </c>
      <c r="K3932">
        <v>1.1098460000000001</v>
      </c>
      <c r="L3932">
        <v>170.803</v>
      </c>
      <c r="M3932">
        <v>-0.1066682</v>
      </c>
      <c r="N3932">
        <v>0</v>
      </c>
      <c r="O3932">
        <v>-0.99421280000000001</v>
      </c>
      <c r="P3932">
        <v>-0.2334494</v>
      </c>
      <c r="Q3932">
        <v>-5.360152E-2</v>
      </c>
      <c r="R3932">
        <v>-0.97089049999999999</v>
      </c>
      <c r="S3932">
        <v>-0.75263979999999997</v>
      </c>
      <c r="T3932">
        <v>-0.6449454</v>
      </c>
      <c r="U3932">
        <v>-2.8734280000000001</v>
      </c>
      <c r="V3932">
        <v>0.1285289</v>
      </c>
      <c r="W3932">
        <v>-4.1002110000000001E-2</v>
      </c>
      <c r="X3932">
        <v>0.99085780000000001</v>
      </c>
      <c r="Y3932">
        <v>0.1429262</v>
      </c>
      <c r="Z3932">
        <v>0.21264520000000001</v>
      </c>
      <c r="AA3932">
        <v>0.96662000000000003</v>
      </c>
      <c r="AB3932">
        <v>17</v>
      </c>
      <c r="AC3932">
        <v>-0.18310000000002399</v>
      </c>
      <c r="AD3932">
        <v>-0.17427959999999901</v>
      </c>
      <c r="AE3932">
        <v>-0.59099999999997899</v>
      </c>
      <c r="AF3932">
        <v>0.110260633945768</v>
      </c>
      <c r="AG3932">
        <v>-0.17427959999999901</v>
      </c>
      <c r="AH3932">
        <v>0.56252703518314595</v>
      </c>
      <c r="AI3932">
        <v>106.91085452419399</v>
      </c>
      <c r="AJ3932">
        <v>78.910081170453793</v>
      </c>
      <c r="AK3932">
        <v>0.59913892519700596</v>
      </c>
      <c r="AL3932">
        <v>92.349906564879106</v>
      </c>
      <c r="AM3932">
        <v>82.609158858472497</v>
      </c>
      <c r="AN3932">
        <v>1.00000001549025</v>
      </c>
    </row>
    <row r="3933" spans="1:40" x14ac:dyDescent="0.25">
      <c r="A3933" t="str">
        <f>"20190312161350410"</f>
        <v>20190312161350410</v>
      </c>
      <c r="B3933" t="str">
        <f>"1552378430400236"</f>
        <v>1552378430400236</v>
      </c>
      <c r="C3933" t="s">
        <v>40</v>
      </c>
      <c r="D3933">
        <v>5.7953590000000004</v>
      </c>
      <c r="E3933">
        <v>0.50986030000000004</v>
      </c>
      <c r="F3933" t="s">
        <v>43</v>
      </c>
      <c r="G3933">
        <v>-190.49019999999999</v>
      </c>
      <c r="H3933">
        <v>0.94288170000000004</v>
      </c>
      <c r="I3933">
        <v>170.05889999999999</v>
      </c>
      <c r="J3933">
        <v>-190.3047</v>
      </c>
      <c r="K3933">
        <v>1.1098429999999999</v>
      </c>
      <c r="L3933">
        <v>170.7062</v>
      </c>
      <c r="M3933">
        <v>-0.1068552</v>
      </c>
      <c r="N3933">
        <v>0</v>
      </c>
      <c r="O3933">
        <v>-0.99419279999999999</v>
      </c>
      <c r="P3933">
        <v>-0.23362659999999999</v>
      </c>
      <c r="Q3933">
        <v>-5.356532E-2</v>
      </c>
      <c r="R3933">
        <v>-0.97084979999999999</v>
      </c>
      <c r="S3933">
        <v>-0.756378199999999</v>
      </c>
      <c r="T3933">
        <v>-0.64452980000000004</v>
      </c>
      <c r="U3933">
        <v>-2.8724669999999999</v>
      </c>
      <c r="V3933">
        <v>0.12852330000000001</v>
      </c>
      <c r="W3933">
        <v>-4.0991909999999999E-2</v>
      </c>
      <c r="X3933">
        <v>0.99085889999999999</v>
      </c>
      <c r="Y3933">
        <v>0.14400309999999999</v>
      </c>
      <c r="Z3933">
        <v>0.2125243</v>
      </c>
      <c r="AA3933">
        <v>0.96648670000000003</v>
      </c>
      <c r="AB3933">
        <v>17</v>
      </c>
      <c r="AC3933">
        <v>-0.18549999999999001</v>
      </c>
      <c r="AD3933">
        <v>-0.16696130000000001</v>
      </c>
      <c r="AE3933">
        <v>-0.64730000000000099</v>
      </c>
      <c r="AF3933">
        <v>0.10858860116576199</v>
      </c>
      <c r="AG3933">
        <v>-0.16696130000000001</v>
      </c>
      <c r="AH3933">
        <v>0.62499132482236397</v>
      </c>
      <c r="AI3933">
        <v>104.745750919328</v>
      </c>
      <c r="AJ3933">
        <v>80.143584810039499</v>
      </c>
      <c r="AK3933">
        <v>0.65595862377442704</v>
      </c>
      <c r="AL3933">
        <v>92.349321768950006</v>
      </c>
      <c r="AM3933">
        <v>82.609485430978395</v>
      </c>
      <c r="AN3933">
        <v>0.99999996751877296</v>
      </c>
    </row>
    <row r="3934" spans="1:40" x14ac:dyDescent="0.25">
      <c r="A3934" t="str">
        <f>"20190312161350431"</f>
        <v>20190312161350431</v>
      </c>
      <c r="B3934" t="str">
        <f>"1552378430419756"</f>
        <v>1552378430419756</v>
      </c>
      <c r="C3934" t="s">
        <v>40</v>
      </c>
      <c r="D3934">
        <v>5.849736</v>
      </c>
      <c r="E3934">
        <v>0.50984810000000003</v>
      </c>
      <c r="F3934" t="s">
        <v>43</v>
      </c>
      <c r="G3934">
        <v>-190.51339999999999</v>
      </c>
      <c r="H3934">
        <v>0.9327799</v>
      </c>
      <c r="I3934">
        <v>169.91480000000001</v>
      </c>
      <c r="J3934">
        <v>-190.3212</v>
      </c>
      <c r="K3934">
        <v>1.1098410000000001</v>
      </c>
      <c r="L3934">
        <v>170.55590000000001</v>
      </c>
      <c r="M3934">
        <v>-0.10715089999999999</v>
      </c>
      <c r="N3934">
        <v>0</v>
      </c>
      <c r="O3934">
        <v>-0.99416170000000004</v>
      </c>
      <c r="P3934">
        <v>-0.23423540000000001</v>
      </c>
      <c r="Q3934">
        <v>-5.3246929999999998E-2</v>
      </c>
      <c r="R3934">
        <v>-0.9707209</v>
      </c>
      <c r="S3934">
        <v>-0.75695800000000002</v>
      </c>
      <c r="T3934">
        <v>-0.64267919999999901</v>
      </c>
      <c r="U3934">
        <v>-2.8724669999999999</v>
      </c>
      <c r="V3934">
        <v>0.12884849999999901</v>
      </c>
      <c r="W3934">
        <v>-4.0711270000000001E-2</v>
      </c>
      <c r="X3934">
        <v>0.9908283</v>
      </c>
      <c r="Y3934">
        <v>0.14392449999999901</v>
      </c>
      <c r="Z3934">
        <v>0.21192810000000001</v>
      </c>
      <c r="AA3934">
        <v>0.96662930000000002</v>
      </c>
      <c r="AB3934">
        <v>17</v>
      </c>
      <c r="AC3934">
        <v>-0.19219999999998499</v>
      </c>
      <c r="AD3934">
        <v>-0.177061099999999</v>
      </c>
      <c r="AE3934">
        <v>-0.64109999999999401</v>
      </c>
      <c r="AF3934">
        <v>0.11438766450925</v>
      </c>
      <c r="AG3934">
        <v>-0.177061099999999</v>
      </c>
      <c r="AH3934">
        <v>0.61496501390078795</v>
      </c>
      <c r="AI3934">
        <v>105.804983490447</v>
      </c>
      <c r="AJ3934">
        <v>79.463016360585399</v>
      </c>
      <c r="AK3934">
        <v>0.65009010086840002</v>
      </c>
      <c r="AL3934">
        <v>92.333228696854604</v>
      </c>
      <c r="AM3934">
        <v>82.5907665925468</v>
      </c>
      <c r="AN3934">
        <v>1.00000003176907</v>
      </c>
    </row>
    <row r="3935" spans="1:40" x14ac:dyDescent="0.25">
      <c r="A3935" t="str">
        <f>"20190312161350451"</f>
        <v>20190312161350451</v>
      </c>
      <c r="B3935" t="str">
        <f>"1552378430440252"</f>
        <v>1552378430440252</v>
      </c>
      <c r="C3935" t="s">
        <v>40</v>
      </c>
      <c r="D3935">
        <v>5.8977930000000001</v>
      </c>
      <c r="E3935">
        <v>0.50984039999999997</v>
      </c>
      <c r="F3935" t="s">
        <v>43</v>
      </c>
      <c r="G3935">
        <v>-190.53039999999999</v>
      </c>
      <c r="H3935">
        <v>0.93384279999999997</v>
      </c>
      <c r="I3935">
        <v>169.76499999999999</v>
      </c>
      <c r="J3935">
        <v>-190.33850000000001</v>
      </c>
      <c r="K3935">
        <v>1.109837</v>
      </c>
      <c r="L3935">
        <v>170.39940000000001</v>
      </c>
      <c r="M3935">
        <v>-0.10746</v>
      </c>
      <c r="N3935">
        <v>0</v>
      </c>
      <c r="O3935">
        <v>-0.99412880000000003</v>
      </c>
      <c r="P3935">
        <v>-0.2343875</v>
      </c>
      <c r="Q3935">
        <v>-5.3445670000000001E-2</v>
      </c>
      <c r="R3935">
        <v>-0.97067320000000001</v>
      </c>
      <c r="S3935">
        <v>-0.75895690000000005</v>
      </c>
      <c r="T3935">
        <v>-0.63923069999999904</v>
      </c>
      <c r="U3935">
        <v>-2.8722989999999999</v>
      </c>
      <c r="V3935">
        <v>0.12869710000000001</v>
      </c>
      <c r="W3935">
        <v>-4.0949079999999999E-2</v>
      </c>
      <c r="X3935">
        <v>0.9908382</v>
      </c>
      <c r="Y3935">
        <v>0.14432130000000001</v>
      </c>
      <c r="Z3935">
        <v>0.2108198</v>
      </c>
      <c r="AA3935">
        <v>0.96681249999999996</v>
      </c>
      <c r="AB3935">
        <v>17</v>
      </c>
      <c r="AC3935">
        <v>-0.19189999999997501</v>
      </c>
      <c r="AD3935">
        <v>-0.17599419999999999</v>
      </c>
      <c r="AE3935">
        <v>-0.63440000000002705</v>
      </c>
      <c r="AF3935">
        <v>0.114534753494963</v>
      </c>
      <c r="AG3935">
        <v>-0.17599419999999999</v>
      </c>
      <c r="AH3935">
        <v>0.60844785203479501</v>
      </c>
      <c r="AI3935">
        <v>105.86825766785</v>
      </c>
      <c r="AJ3935">
        <v>79.339343120178498</v>
      </c>
      <c r="AK3935">
        <v>0.64366214494682505</v>
      </c>
      <c r="AL3935">
        <v>92.346865523858796</v>
      </c>
      <c r="AM3935">
        <v>82.599449173579998</v>
      </c>
      <c r="AN3935">
        <v>1.0000000546402401</v>
      </c>
    </row>
    <row r="3936" spans="1:40" x14ac:dyDescent="0.25">
      <c r="A3936" t="str">
        <f>"20190312161350464"</f>
        <v>20190312161350464</v>
      </c>
      <c r="B3936" t="str">
        <f>"1552378430459774"</f>
        <v>1552378430459774</v>
      </c>
      <c r="C3936" t="s">
        <v>40</v>
      </c>
      <c r="D3936">
        <v>5.7960370000000001</v>
      </c>
      <c r="E3936">
        <v>0.5097739</v>
      </c>
      <c r="F3936" t="s">
        <v>43</v>
      </c>
      <c r="G3936">
        <v>-190.5461</v>
      </c>
      <c r="H3936">
        <v>0.93561170000000005</v>
      </c>
      <c r="I3936">
        <v>169.61490000000001</v>
      </c>
      <c r="J3936">
        <v>-190.34960000000001</v>
      </c>
      <c r="K3936">
        <v>1.1098330000000001</v>
      </c>
      <c r="L3936">
        <v>170.29910000000001</v>
      </c>
      <c r="M3936">
        <v>-0.10765719999999999</v>
      </c>
      <c r="N3936">
        <v>0</v>
      </c>
      <c r="O3936">
        <v>-0.99410799999999999</v>
      </c>
      <c r="P3936">
        <v>-0.2344714</v>
      </c>
      <c r="Q3936">
        <v>-5.3515670000000001E-2</v>
      </c>
      <c r="R3936">
        <v>-0.9706494</v>
      </c>
      <c r="S3936">
        <v>-0.75935359999999996</v>
      </c>
      <c r="T3936">
        <v>-0.63783040000000002</v>
      </c>
      <c r="U3936">
        <v>-2.8721770000000002</v>
      </c>
      <c r="V3936">
        <v>0.1285867</v>
      </c>
      <c r="W3936">
        <v>-4.104522E-2</v>
      </c>
      <c r="X3936">
        <v>0.99084850000000002</v>
      </c>
      <c r="Y3936">
        <v>0.14428460000000001</v>
      </c>
      <c r="Z3936">
        <v>0.2103775</v>
      </c>
      <c r="AA3936">
        <v>0.9669143</v>
      </c>
      <c r="AB3936">
        <v>17</v>
      </c>
      <c r="AC3936">
        <v>-0.19649999999998599</v>
      </c>
      <c r="AD3936">
        <v>-0.1742213</v>
      </c>
      <c r="AE3936">
        <v>-0.68420000000000403</v>
      </c>
      <c r="AF3936">
        <v>0.114815576793421</v>
      </c>
      <c r="AG3936">
        <v>-0.1742213</v>
      </c>
      <c r="AH3936">
        <v>0.66174184851365503</v>
      </c>
      <c r="AI3936">
        <v>104.542079350455</v>
      </c>
      <c r="AJ3936">
        <v>80.156882605295806</v>
      </c>
      <c r="AK3936">
        <v>0.69385729953814401</v>
      </c>
      <c r="AL3936">
        <v>92.352378704074795</v>
      </c>
      <c r="AM3936">
        <v>82.605803304731893</v>
      </c>
      <c r="AN3936">
        <v>0.99999999972699405</v>
      </c>
    </row>
    <row r="3937" spans="1:40" x14ac:dyDescent="0.25">
      <c r="A3937" t="str">
        <f>"20190312161350485"</f>
        <v>20190312161350485</v>
      </c>
      <c r="B3937" t="str">
        <f>"1552378430480268"</f>
        <v>1552378430480268</v>
      </c>
      <c r="C3937" t="s">
        <v>40</v>
      </c>
      <c r="D3937">
        <v>5.6898869999999997</v>
      </c>
      <c r="E3937">
        <v>0.50973840000000004</v>
      </c>
      <c r="F3937" t="s">
        <v>43</v>
      </c>
      <c r="G3937">
        <v>-190.5334</v>
      </c>
      <c r="H3937">
        <v>0.95598839999999996</v>
      </c>
      <c r="I3937">
        <v>169.60419999999999</v>
      </c>
      <c r="J3937">
        <v>-190.36590000000001</v>
      </c>
      <c r="K3937">
        <v>1.1098269999999999</v>
      </c>
      <c r="L3937">
        <v>170.15119999999999</v>
      </c>
      <c r="M3937">
        <v>-0.1079479</v>
      </c>
      <c r="N3937">
        <v>0</v>
      </c>
      <c r="O3937">
        <v>-0.99407670000000004</v>
      </c>
      <c r="P3937">
        <v>-0.2347804</v>
      </c>
      <c r="Q3937">
        <v>-5.3288710000000003E-2</v>
      </c>
      <c r="R3937">
        <v>-0.97058679999999997</v>
      </c>
      <c r="S3937">
        <v>-0.7592468</v>
      </c>
      <c r="T3937">
        <v>-0.63594779999999995</v>
      </c>
      <c r="U3937">
        <v>-2.8722530000000002</v>
      </c>
      <c r="V3937">
        <v>0.1286109</v>
      </c>
      <c r="W3937">
        <v>-4.0859899999999998E-2</v>
      </c>
      <c r="X3937">
        <v>0.99085299999999998</v>
      </c>
      <c r="Y3937">
        <v>0.14398849999999999</v>
      </c>
      <c r="Z3937">
        <v>0.20977499999999999</v>
      </c>
      <c r="AA3937">
        <v>0.96708930000000004</v>
      </c>
      <c r="AB3937">
        <v>17</v>
      </c>
      <c r="AC3937">
        <v>-0.16749999999998899</v>
      </c>
      <c r="AD3937">
        <v>-0.15383859999999999</v>
      </c>
      <c r="AE3937">
        <v>-0.54699999999999704</v>
      </c>
      <c r="AF3937">
        <v>0.100221332508778</v>
      </c>
      <c r="AG3937">
        <v>-0.15383859999999999</v>
      </c>
      <c r="AH3937">
        <v>0.52399306968326798</v>
      </c>
      <c r="AI3937">
        <v>106.08554708123199</v>
      </c>
      <c r="AJ3937">
        <v>79.1721166465924</v>
      </c>
      <c r="AK3937">
        <v>0.55522911254354201</v>
      </c>
      <c r="AL3937">
        <v>92.341751778281903</v>
      </c>
      <c r="AM3937">
        <v>82.604460337246195</v>
      </c>
      <c r="AN3937">
        <v>0.99999998131790901</v>
      </c>
    </row>
    <row r="3938" spans="1:40" x14ac:dyDescent="0.25">
      <c r="A3938" t="str">
        <f>"20190312161350497"</f>
        <v>20190312161350497</v>
      </c>
      <c r="B3938" t="str">
        <f>"1552378430490028"</f>
        <v>1552378430490028</v>
      </c>
      <c r="C3938" t="s">
        <v>40</v>
      </c>
      <c r="D3938">
        <v>5.8470420000000001</v>
      </c>
      <c r="E3938">
        <v>0.50975809999999999</v>
      </c>
      <c r="F3938" t="s">
        <v>43</v>
      </c>
      <c r="G3938">
        <v>-190.55029999999999</v>
      </c>
      <c r="H3938">
        <v>0.95604120000000004</v>
      </c>
      <c r="I3938">
        <v>169.45500000000001</v>
      </c>
      <c r="J3938">
        <v>-190.3768</v>
      </c>
      <c r="K3938">
        <v>1.1098300000000001</v>
      </c>
      <c r="L3938">
        <v>170.05330000000001</v>
      </c>
      <c r="M3938">
        <v>-0.1081428</v>
      </c>
      <c r="N3938">
        <v>0</v>
      </c>
      <c r="O3938">
        <v>-0.99405589999999999</v>
      </c>
      <c r="P3938">
        <v>-0.23535880000000001</v>
      </c>
      <c r="Q3938">
        <v>-5.2966260000000001E-2</v>
      </c>
      <c r="R3938">
        <v>-0.97046410000000005</v>
      </c>
      <c r="S3938">
        <v>-0.75975039999999905</v>
      </c>
      <c r="T3938">
        <v>-0.63453909999999902</v>
      </c>
      <c r="U3938">
        <v>-2.8722989999999999</v>
      </c>
      <c r="V3938">
        <v>0.12900500000000001</v>
      </c>
      <c r="W3938">
        <v>-4.05685E-2</v>
      </c>
      <c r="X3938">
        <v>0.99081370000000002</v>
      </c>
      <c r="Y3938">
        <v>0.1439744</v>
      </c>
      <c r="Z3938">
        <v>0.20931730000000001</v>
      </c>
      <c r="AA3938">
        <v>0.96719060000000001</v>
      </c>
      <c r="AB3938">
        <v>17</v>
      </c>
      <c r="AC3938">
        <v>-0.173499999999989</v>
      </c>
      <c r="AD3938">
        <v>-0.153788799999999</v>
      </c>
      <c r="AE3938">
        <v>-0.59829999999999395</v>
      </c>
      <c r="AF3938">
        <v>0.101584229696951</v>
      </c>
      <c r="AG3938">
        <v>-0.153788799999999</v>
      </c>
      <c r="AH3938">
        <v>0.57830929056152403</v>
      </c>
      <c r="AI3938">
        <v>104.67711269954501</v>
      </c>
      <c r="AJ3938">
        <v>80.037218953236604</v>
      </c>
      <c r="AK3938">
        <v>0.60696951017191703</v>
      </c>
      <c r="AL3938">
        <v>92.325042027088003</v>
      </c>
      <c r="AM3938">
        <v>82.5817593829766</v>
      </c>
      <c r="AN3938">
        <v>0.999999940662468</v>
      </c>
    </row>
    <row r="3939" spans="1:40" x14ac:dyDescent="0.25">
      <c r="A3939" t="str">
        <f>"20190312161350510"</f>
        <v>20190312161350510</v>
      </c>
      <c r="B3939" t="str">
        <f>"1552378430499789"</f>
        <v>1552378430499789</v>
      </c>
      <c r="C3939" t="s">
        <v>40</v>
      </c>
      <c r="D3939">
        <v>5.8180589999999999</v>
      </c>
      <c r="E3939">
        <v>0.50971659999999996</v>
      </c>
      <c r="F3939" t="s">
        <v>43</v>
      </c>
      <c r="G3939">
        <v>-190.5737</v>
      </c>
      <c r="H3939">
        <v>0.94625700000000001</v>
      </c>
      <c r="I3939">
        <v>169.31110000000001</v>
      </c>
      <c r="J3939">
        <v>-190.38730000000001</v>
      </c>
      <c r="K3939">
        <v>1.1098250000000001</v>
      </c>
      <c r="L3939">
        <v>169.95840000000001</v>
      </c>
      <c r="M3939">
        <v>-0.10833329999999999</v>
      </c>
      <c r="N3939">
        <v>0</v>
      </c>
      <c r="O3939">
        <v>-0.99403589999999997</v>
      </c>
      <c r="P3939">
        <v>-0.23565249999999999</v>
      </c>
      <c r="Q3939">
        <v>-5.2901879999999998E-2</v>
      </c>
      <c r="R3939">
        <v>-0.97039679999999995</v>
      </c>
      <c r="S3939">
        <v>-0.76161190000000001</v>
      </c>
      <c r="T3939">
        <v>-0.63298690000000002</v>
      </c>
      <c r="U3939">
        <v>-2.8720400000000001</v>
      </c>
      <c r="V3939">
        <v>0.12911439999999999</v>
      </c>
      <c r="W3939">
        <v>-4.0534779999999999E-2</v>
      </c>
      <c r="X3939">
        <v>0.99080089999999998</v>
      </c>
      <c r="Y3939">
        <v>0.14441999999999999</v>
      </c>
      <c r="Z3939">
        <v>0.2088159</v>
      </c>
      <c r="AA3939">
        <v>0.96723250000000005</v>
      </c>
      <c r="AB3939">
        <v>17</v>
      </c>
      <c r="AC3939">
        <v>-0.18639999999999099</v>
      </c>
      <c r="AD3939">
        <v>-0.16356799999999999</v>
      </c>
      <c r="AE3939">
        <v>-0.64730000000000099</v>
      </c>
      <c r="AF3939">
        <v>0.108760215630731</v>
      </c>
      <c r="AG3939">
        <v>-0.16356799999999999</v>
      </c>
      <c r="AH3939">
        <v>0.62673014760843204</v>
      </c>
      <c r="AI3939">
        <v>104.420788846401</v>
      </c>
      <c r="AJ3939">
        <v>80.155165593833701</v>
      </c>
      <c r="AK3939">
        <v>0.65679064628641803</v>
      </c>
      <c r="AL3939">
        <v>92.323108261486198</v>
      </c>
      <c r="AM3939">
        <v>82.575443809543202</v>
      </c>
      <c r="AN3939">
        <v>1.0000000100588999</v>
      </c>
    </row>
    <row r="3940" spans="1:40" x14ac:dyDescent="0.25">
      <c r="A3940" t="str">
        <f>"20190312161350530"</f>
        <v>20190312161350530</v>
      </c>
      <c r="B3940" t="str">
        <f>"1552378430520283"</f>
        <v>1552378430520283</v>
      </c>
      <c r="C3940" t="s">
        <v>40</v>
      </c>
      <c r="D3940">
        <v>5.9054859999999998</v>
      </c>
      <c r="E3940">
        <v>0.50999949999999905</v>
      </c>
      <c r="F3940" t="s">
        <v>43</v>
      </c>
      <c r="G3940">
        <v>-190.59739999999999</v>
      </c>
      <c r="H3940">
        <v>0.93575350000000002</v>
      </c>
      <c r="I3940">
        <v>169.16749999999999</v>
      </c>
      <c r="J3940">
        <v>-190.40360000000001</v>
      </c>
      <c r="K3940">
        <v>1.1098159999999999</v>
      </c>
      <c r="L3940">
        <v>169.8126</v>
      </c>
      <c r="M3940">
        <v>-0.1086295</v>
      </c>
      <c r="N3940">
        <v>0</v>
      </c>
      <c r="O3940">
        <v>-0.99400409999999995</v>
      </c>
      <c r="P3940">
        <v>-0.2362023</v>
      </c>
      <c r="Q3940">
        <v>-5.2662979999999998E-2</v>
      </c>
      <c r="R3940">
        <v>-0.97027589999999997</v>
      </c>
      <c r="S3940">
        <v>-0.7622681</v>
      </c>
      <c r="T3940">
        <v>-0.63209559999999998</v>
      </c>
      <c r="U3940">
        <v>-2.8719480000000002</v>
      </c>
      <c r="V3940">
        <v>0.12937899999999999</v>
      </c>
      <c r="W3940">
        <v>-4.0343810000000001E-2</v>
      </c>
      <c r="X3940">
        <v>0.99077420000000005</v>
      </c>
      <c r="Y3940">
        <v>0.14435529999999999</v>
      </c>
      <c r="Z3940">
        <v>0.2085263</v>
      </c>
      <c r="AA3940">
        <v>0.96730459999999996</v>
      </c>
      <c r="AB3940">
        <v>17</v>
      </c>
      <c r="AC3940">
        <v>-0.19379999999998099</v>
      </c>
      <c r="AD3940">
        <v>-0.17406249999999901</v>
      </c>
      <c r="AE3940">
        <v>-0.645100000000013</v>
      </c>
      <c r="AF3940">
        <v>0.114898036936428</v>
      </c>
      <c r="AG3940">
        <v>-0.17406249999999901</v>
      </c>
      <c r="AH3940">
        <v>0.620875463065235</v>
      </c>
      <c r="AI3940">
        <v>105.411906704007</v>
      </c>
      <c r="AJ3940">
        <v>79.5155628615491</v>
      </c>
      <c r="AK3940">
        <v>0.65496996376518302</v>
      </c>
      <c r="AL3940">
        <v>92.312157478039694</v>
      </c>
      <c r="AM3940">
        <v>82.560200362194806</v>
      </c>
      <c r="AN3940">
        <v>1.0000000320159701</v>
      </c>
    </row>
    <row r="3941" spans="1:40" x14ac:dyDescent="0.25">
      <c r="A3941" t="str">
        <f>"20190312161350542"</f>
        <v>20190312161350542</v>
      </c>
      <c r="B3941" t="str">
        <f>"1552378430530044"</f>
        <v>1552378430530044</v>
      </c>
      <c r="C3941" t="s">
        <v>40</v>
      </c>
      <c r="D3941">
        <v>5.8392179999999998</v>
      </c>
      <c r="E3941">
        <v>0.50999949999999905</v>
      </c>
      <c r="F3941" t="s">
        <v>43</v>
      </c>
      <c r="G3941">
        <v>-190.6155</v>
      </c>
      <c r="H3941">
        <v>0.93564219999999998</v>
      </c>
      <c r="I3941">
        <v>169.01859999999999</v>
      </c>
      <c r="J3941">
        <v>-190.41409999999999</v>
      </c>
      <c r="K3941">
        <v>1.109812</v>
      </c>
      <c r="L3941">
        <v>169.71879999999999</v>
      </c>
      <c r="M3941">
        <v>-0.1088208</v>
      </c>
      <c r="N3941">
        <v>0</v>
      </c>
      <c r="O3941">
        <v>-0.99398359999999997</v>
      </c>
      <c r="P3941">
        <v>-0.23617350000000001</v>
      </c>
      <c r="Q3941">
        <v>-5.2473029999999997E-2</v>
      </c>
      <c r="R3941">
        <v>-0.97029330000000003</v>
      </c>
      <c r="S3941">
        <v>-0.76612849999999999</v>
      </c>
      <c r="T3941">
        <v>-0.62984879999999999</v>
      </c>
      <c r="U3941">
        <v>-2.8712309999999999</v>
      </c>
      <c r="V3941">
        <v>0.1291581</v>
      </c>
      <c r="W3941">
        <v>-4.0183759999999999E-2</v>
      </c>
      <c r="X3941">
        <v>0.99080950000000001</v>
      </c>
      <c r="Y3941">
        <v>0.1454791</v>
      </c>
      <c r="Z3941">
        <v>0.2078084</v>
      </c>
      <c r="AA3941">
        <v>0.96729080000000001</v>
      </c>
      <c r="AB3941">
        <v>17</v>
      </c>
      <c r="AC3941">
        <v>-0.20140000000000599</v>
      </c>
      <c r="AD3941">
        <v>-0.17416980000000001</v>
      </c>
      <c r="AE3941">
        <v>-0.70019999999999505</v>
      </c>
      <c r="AF3941">
        <v>0.117298503980044</v>
      </c>
      <c r="AG3941">
        <v>-0.17416980000000001</v>
      </c>
      <c r="AH3941">
        <v>0.67914916439046602</v>
      </c>
      <c r="AI3941">
        <v>104.18236523476099</v>
      </c>
      <c r="AJ3941">
        <v>80.2008950812004</v>
      </c>
      <c r="AK3941">
        <v>0.71087104720917205</v>
      </c>
      <c r="AL3941">
        <v>92.302979903423306</v>
      </c>
      <c r="AM3941">
        <v>82.5730226935096</v>
      </c>
      <c r="AN3941">
        <v>1.0000000073267901</v>
      </c>
    </row>
    <row r="3942" spans="1:40" x14ac:dyDescent="0.25">
      <c r="A3942" t="str">
        <f>"20190312161350555"</f>
        <v>20190312161350555</v>
      </c>
      <c r="B3942" t="str">
        <f>"1552378430550541"</f>
        <v>1552378430550541</v>
      </c>
      <c r="C3942" t="s">
        <v>40</v>
      </c>
      <c r="D3942">
        <v>5.9755779999999996</v>
      </c>
      <c r="E3942">
        <v>0.54671159999999996</v>
      </c>
      <c r="F3942" t="s">
        <v>43</v>
      </c>
      <c r="G3942">
        <v>-190.6036</v>
      </c>
      <c r="H3942">
        <v>0.95422229999999997</v>
      </c>
      <c r="I3942">
        <v>169.00890000000001</v>
      </c>
      <c r="J3942">
        <v>-190.42400000000001</v>
      </c>
      <c r="K3942">
        <v>1.10981</v>
      </c>
      <c r="L3942">
        <v>169.62989999999999</v>
      </c>
      <c r="M3942">
        <v>-0.1090018</v>
      </c>
      <c r="N3942">
        <v>0</v>
      </c>
      <c r="O3942">
        <v>-0.99396399999999996</v>
      </c>
      <c r="P3942">
        <v>-0.23640349999999999</v>
      </c>
      <c r="Q3942">
        <v>-5.2480640000000002E-2</v>
      </c>
      <c r="R3942">
        <v>-0.97023669999999995</v>
      </c>
      <c r="S3942">
        <v>-0.76614380000000004</v>
      </c>
      <c r="T3942">
        <v>-0.62929889999999999</v>
      </c>
      <c r="U3942">
        <v>-2.8713229999999998</v>
      </c>
      <c r="V3942">
        <v>0.12921260000000001</v>
      </c>
      <c r="W3942">
        <v>-4.0219980000000002E-2</v>
      </c>
      <c r="X3942">
        <v>0.99080089999999998</v>
      </c>
      <c r="Y3942">
        <v>0.14530609999999999</v>
      </c>
      <c r="Z3942">
        <v>0.20762520000000001</v>
      </c>
      <c r="AA3942">
        <v>0.96735610000000005</v>
      </c>
      <c r="AB3942">
        <v>17</v>
      </c>
      <c r="AC3942">
        <v>-0.17959999999999299</v>
      </c>
      <c r="AD3942">
        <v>-0.1555877</v>
      </c>
      <c r="AE3942">
        <v>-0.62099999999998001</v>
      </c>
      <c r="AF3942">
        <v>0.104765602854326</v>
      </c>
      <c r="AG3942">
        <v>-0.1555877</v>
      </c>
      <c r="AH3942">
        <v>0.60200510909500804</v>
      </c>
      <c r="AI3942">
        <v>104.28522494551299</v>
      </c>
      <c r="AJ3942">
        <v>80.127813165927407</v>
      </c>
      <c r="AK3942">
        <v>0.63055016874885805</v>
      </c>
      <c r="AL3942">
        <v>92.305056891418502</v>
      </c>
      <c r="AM3942">
        <v>82.569860018607002</v>
      </c>
      <c r="AN3942">
        <v>0.99999998311538496</v>
      </c>
    </row>
    <row r="3943" spans="1:40" x14ac:dyDescent="0.25">
      <c r="A3943" t="str">
        <f>"20190312161350567"</f>
        <v>20190312161350567</v>
      </c>
      <c r="B3943" t="str">
        <f>"1552378430560300"</f>
        <v>1552378430560300</v>
      </c>
      <c r="C3943" t="s">
        <v>40</v>
      </c>
      <c r="D3943">
        <v>6.0104220000000002</v>
      </c>
      <c r="E3943">
        <v>0.55628789999999995</v>
      </c>
      <c r="F3943" t="s">
        <v>84</v>
      </c>
      <c r="G3943">
        <v>-195.67670000000001</v>
      </c>
      <c r="H3943" s="1">
        <v>-1.3834569999999999E-5</v>
      </c>
      <c r="I3943">
        <v>155.7698</v>
      </c>
      <c r="J3943">
        <v>-190.4348</v>
      </c>
      <c r="K3943">
        <v>1.109807</v>
      </c>
      <c r="L3943">
        <v>169.5334</v>
      </c>
      <c r="M3943">
        <v>-0.1091978</v>
      </c>
      <c r="N3943">
        <v>0</v>
      </c>
      <c r="O3943">
        <v>-0.99394289999999996</v>
      </c>
      <c r="P3943">
        <v>-0.23665120000000001</v>
      </c>
      <c r="Q3943">
        <v>-5.2584159999999998E-2</v>
      </c>
      <c r="R3943">
        <v>-0.97017089999999995</v>
      </c>
      <c r="S3943">
        <v>-1.068527</v>
      </c>
      <c r="T3943">
        <v>-0.2257644</v>
      </c>
      <c r="U3943">
        <v>-2.8194729999999999</v>
      </c>
      <c r="V3943">
        <v>0.12927069999999999</v>
      </c>
      <c r="W3943">
        <v>-4.0354229999999998E-2</v>
      </c>
      <c r="X3943">
        <v>0.99078790000000005</v>
      </c>
      <c r="Y3943">
        <v>0.24914069999999999</v>
      </c>
      <c r="Z3943">
        <v>7.5255719999999998E-2</v>
      </c>
      <c r="AA3943">
        <v>0.96553900000000004</v>
      </c>
      <c r="AB3943">
        <v>17</v>
      </c>
      <c r="AC3943">
        <v>-5.24190000000001</v>
      </c>
      <c r="AD3943">
        <v>-1.10982083457</v>
      </c>
      <c r="AE3943">
        <v>-13.763599999999901</v>
      </c>
      <c r="AF3943">
        <v>3.6865454495069399</v>
      </c>
      <c r="AG3943">
        <v>-1.10982083457</v>
      </c>
      <c r="AH3943">
        <v>14.1732495501717</v>
      </c>
      <c r="AI3943">
        <v>94.333724233538803</v>
      </c>
      <c r="AJ3943">
        <v>75.420101966276704</v>
      </c>
      <c r="AK3943">
        <v>14.6868418132547</v>
      </c>
      <c r="AL3943">
        <v>92.312755013802104</v>
      </c>
      <c r="AM3943">
        <v>82.566459994767698</v>
      </c>
      <c r="AN3943">
        <v>1.0000000202718899</v>
      </c>
    </row>
    <row r="3944" spans="1:40" x14ac:dyDescent="0.25">
      <c r="A3944" t="str">
        <f>"20190312161350585"</f>
        <v>20190312161350585</v>
      </c>
      <c r="B3944" t="str">
        <f>"1552378430579821"</f>
        <v>1552378430579821</v>
      </c>
      <c r="C3944" t="s">
        <v>40</v>
      </c>
      <c r="D3944">
        <v>6.032648</v>
      </c>
      <c r="E3944">
        <v>0.56401159999999995</v>
      </c>
      <c r="F3944" t="s">
        <v>84</v>
      </c>
      <c r="G3944">
        <v>-195.40389999999999</v>
      </c>
      <c r="H3944" s="1">
        <v>-1.44076399999999E-5</v>
      </c>
      <c r="I3944">
        <v>157.35149999999999</v>
      </c>
      <c r="J3944">
        <v>-190.44980000000001</v>
      </c>
      <c r="K3944">
        <v>1.109802</v>
      </c>
      <c r="L3944">
        <v>169.39949999999999</v>
      </c>
      <c r="M3944">
        <v>-0.10946599999999999</v>
      </c>
      <c r="N3944">
        <v>0</v>
      </c>
      <c r="O3944">
        <v>-0.99391379999999996</v>
      </c>
      <c r="P3944">
        <v>-0.23737449999999999</v>
      </c>
      <c r="Q3944">
        <v>-5.2871340000000003E-2</v>
      </c>
      <c r="R3944">
        <v>-0.96997849999999997</v>
      </c>
      <c r="S3944">
        <v>-1.142075</v>
      </c>
      <c r="T3944">
        <v>-0.25507780000000002</v>
      </c>
      <c r="U3944">
        <v>-2.7998500000000002</v>
      </c>
      <c r="V3944">
        <v>0.12974359999999999</v>
      </c>
      <c r="W3944">
        <v>-4.0685699999999998E-2</v>
      </c>
      <c r="X3944">
        <v>0.9907125</v>
      </c>
      <c r="Y3944">
        <v>0.27269409999999999</v>
      </c>
      <c r="Z3944">
        <v>8.4835599999999997E-2</v>
      </c>
      <c r="AA3944">
        <v>0.95835320000000002</v>
      </c>
      <c r="AB3944">
        <v>17</v>
      </c>
      <c r="AC3944">
        <v>-4.95409999999998</v>
      </c>
      <c r="AD3944">
        <v>-1.1098164076399999</v>
      </c>
      <c r="AE3944">
        <v>-12.048</v>
      </c>
      <c r="AF3944">
        <v>3.5793971358896801</v>
      </c>
      <c r="AG3944">
        <v>-1.1098164076399999</v>
      </c>
      <c r="AH3944">
        <v>12.4277312619372</v>
      </c>
      <c r="AI3944">
        <v>94.904721074361902</v>
      </c>
      <c r="AJ3944">
        <v>73.9327031885894</v>
      </c>
      <c r="AK3944">
        <v>12.980457643473599</v>
      </c>
      <c r="AL3944">
        <v>92.331762519915301</v>
      </c>
      <c r="AM3944">
        <v>82.539010892271804</v>
      </c>
      <c r="AN3944">
        <v>0.99999999279084995</v>
      </c>
    </row>
    <row r="3945" spans="1:40" x14ac:dyDescent="0.25">
      <c r="A3945" t="str">
        <f>"20190312161350597"</f>
        <v>20190312161350597</v>
      </c>
      <c r="B3945" t="str">
        <f>"1552378430589580"</f>
        <v>1552378430589580</v>
      </c>
      <c r="C3945" t="s">
        <v>40</v>
      </c>
      <c r="D3945">
        <v>6.057258</v>
      </c>
      <c r="E3945">
        <v>0.56600280000000003</v>
      </c>
      <c r="F3945" t="s">
        <v>84</v>
      </c>
      <c r="G3945">
        <v>-195.50839999999999</v>
      </c>
      <c r="H3945" s="1">
        <v>-1.449579E-5</v>
      </c>
      <c r="I3945">
        <v>157.70189999999999</v>
      </c>
      <c r="J3945">
        <v>-190.45959999999999</v>
      </c>
      <c r="K3945">
        <v>1.1097969999999999</v>
      </c>
      <c r="L3945">
        <v>169.31309999999999</v>
      </c>
      <c r="M3945">
        <v>-0.1096369</v>
      </c>
      <c r="N3945">
        <v>0</v>
      </c>
      <c r="O3945">
        <v>-0.99389550000000004</v>
      </c>
      <c r="P3945">
        <v>-0.23768700000000001</v>
      </c>
      <c r="Q3945">
        <v>-5.2873539999999997E-2</v>
      </c>
      <c r="R3945">
        <v>-0.96990220000000005</v>
      </c>
      <c r="S3945">
        <v>-1.2038420000000001</v>
      </c>
      <c r="T3945">
        <v>-0.26411760000000001</v>
      </c>
      <c r="U3945">
        <v>-2.7838440000000002</v>
      </c>
      <c r="V3945">
        <v>0.12989239999999999</v>
      </c>
      <c r="W3945">
        <v>-4.071818E-2</v>
      </c>
      <c r="X3945">
        <v>0.99069169999999995</v>
      </c>
      <c r="Y3945">
        <v>0.29235640000000002</v>
      </c>
      <c r="Z3945">
        <v>8.7656769999999995E-2</v>
      </c>
      <c r="AA3945">
        <v>0.95228360000000001</v>
      </c>
      <c r="AB3945">
        <v>17</v>
      </c>
      <c r="AC3945">
        <v>-5.0488</v>
      </c>
      <c r="AD3945">
        <v>-1.1098114957899901</v>
      </c>
      <c r="AE3945">
        <v>-11.611199999999901</v>
      </c>
      <c r="AF3945">
        <v>3.71669157347627</v>
      </c>
      <c r="AG3945">
        <v>-1.1098114957899901</v>
      </c>
      <c r="AH3945">
        <v>12.002553431717599</v>
      </c>
      <c r="AI3945">
        <v>95.047652541416397</v>
      </c>
      <c r="AJ3945">
        <v>72.794421429267103</v>
      </c>
      <c r="AK3945">
        <v>12.613753077088999</v>
      </c>
      <c r="AL3945">
        <v>92.333624954798907</v>
      </c>
      <c r="AM3945">
        <v>82.530395567238202</v>
      </c>
      <c r="AN3945">
        <v>1.00000002510458</v>
      </c>
    </row>
    <row r="3946" spans="1:40" x14ac:dyDescent="0.25">
      <c r="A3946" t="str">
        <f>"20190312161350610"</f>
        <v>20190312161350610</v>
      </c>
      <c r="B3946" t="str">
        <f>"1552378430600316"</f>
        <v>1552378430600316</v>
      </c>
      <c r="C3946" t="s">
        <v>40</v>
      </c>
      <c r="D3946">
        <v>6.0959599999999998</v>
      </c>
      <c r="E3946">
        <v>0.56694109999999998</v>
      </c>
      <c r="F3946" t="s">
        <v>84</v>
      </c>
      <c r="G3946">
        <v>-195.50409999999999</v>
      </c>
      <c r="H3946" s="1">
        <v>-1.452514E-5</v>
      </c>
      <c r="I3946">
        <v>157.8185</v>
      </c>
      <c r="J3946">
        <v>-190.47</v>
      </c>
      <c r="K3946">
        <v>1.109796</v>
      </c>
      <c r="L3946">
        <v>169.22099999999901</v>
      </c>
      <c r="M3946">
        <v>-0.1098185</v>
      </c>
      <c r="N3946">
        <v>0</v>
      </c>
      <c r="O3946">
        <v>-0.99387590000000003</v>
      </c>
      <c r="P3946">
        <v>-0.2380024</v>
      </c>
      <c r="Q3946">
        <v>-5.3116339999999998E-2</v>
      </c>
      <c r="R3946">
        <v>-0.96981139999999999</v>
      </c>
      <c r="S3946">
        <v>-1.2198180000000001</v>
      </c>
      <c r="T3946">
        <v>-0.26836369999999998</v>
      </c>
      <c r="U3946">
        <v>-2.7795260000000002</v>
      </c>
      <c r="V3946">
        <v>0.13003509999999999</v>
      </c>
      <c r="W3946">
        <v>-4.0994460000000003E-2</v>
      </c>
      <c r="X3946">
        <v>0.99066160000000003</v>
      </c>
      <c r="Y3946">
        <v>0.29726799999999998</v>
      </c>
      <c r="Z3946">
        <v>8.9010930000000002E-2</v>
      </c>
      <c r="AA3946">
        <v>0.95063600000000004</v>
      </c>
      <c r="AB3946">
        <v>17</v>
      </c>
      <c r="AC3946">
        <v>-5.0340999999999898</v>
      </c>
      <c r="AD3946">
        <v>-1.1098105251399999</v>
      </c>
      <c r="AE3946">
        <v>-11.4024999999999</v>
      </c>
      <c r="AF3946">
        <v>3.72184113223302</v>
      </c>
      <c r="AG3946">
        <v>-1.1098105251399999</v>
      </c>
      <c r="AH3946">
        <v>11.7929087292907</v>
      </c>
      <c r="AI3946">
        <v>95.128266734649202</v>
      </c>
      <c r="AJ3946">
        <v>72.484307590613099</v>
      </c>
      <c r="AK3946">
        <v>12.415976687827399</v>
      </c>
      <c r="AL3946">
        <v>92.349467827250606</v>
      </c>
      <c r="AM3946">
        <v>82.522057634694605</v>
      </c>
      <c r="AN3946">
        <v>1.0000000393486299</v>
      </c>
    </row>
    <row r="3947" spans="1:40" x14ac:dyDescent="0.25">
      <c r="A3947" t="str">
        <f>"20190312161350623"</f>
        <v>20190312161350623</v>
      </c>
      <c r="B3947" t="str">
        <f>"1552378430619837"</f>
        <v>1552378430619837</v>
      </c>
      <c r="C3947" t="s">
        <v>40</v>
      </c>
      <c r="D3947">
        <v>6.0564309999999999</v>
      </c>
      <c r="E3947">
        <v>0.56947169999999903</v>
      </c>
      <c r="F3947" t="s">
        <v>84</v>
      </c>
      <c r="G3947">
        <v>-195.5941</v>
      </c>
      <c r="H3947" s="1">
        <v>-1.447833E-5</v>
      </c>
      <c r="I3947">
        <v>157.63249999999999</v>
      </c>
      <c r="J3947">
        <v>-190.4821</v>
      </c>
      <c r="K3947">
        <v>1.109791</v>
      </c>
      <c r="L3947">
        <v>169.1138</v>
      </c>
      <c r="M3947">
        <v>-0.1100281</v>
      </c>
      <c r="N3947">
        <v>0</v>
      </c>
      <c r="O3947">
        <v>-0.99385319999999999</v>
      </c>
      <c r="P3947">
        <v>-0.2384463</v>
      </c>
      <c r="Q3947">
        <v>-5.2836599999999997E-2</v>
      </c>
      <c r="R3947">
        <v>-0.96971759999999996</v>
      </c>
      <c r="S3947">
        <v>-1.2281040000000001</v>
      </c>
      <c r="T3947">
        <v>-0.26599139999999999</v>
      </c>
      <c r="U3947">
        <v>-2.7774510000000001</v>
      </c>
      <c r="V3947">
        <v>0.13027810000000001</v>
      </c>
      <c r="W3947">
        <v>-4.0757120000000001E-2</v>
      </c>
      <c r="X3947">
        <v>0.99063939999999995</v>
      </c>
      <c r="Y3947">
        <v>0.29973109999999997</v>
      </c>
      <c r="Z3947">
        <v>8.8201950000000001E-2</v>
      </c>
      <c r="AA3947">
        <v>0.94993780000000005</v>
      </c>
      <c r="AB3947">
        <v>17</v>
      </c>
      <c r="AC3947">
        <v>-5.1119999999999903</v>
      </c>
      <c r="AD3947">
        <v>-1.10980547833</v>
      </c>
      <c r="AE3947">
        <v>-11.481299999999999</v>
      </c>
      <c r="AF3947">
        <v>3.78805942209735</v>
      </c>
      <c r="AG3947">
        <v>-1.10980547833</v>
      </c>
      <c r="AH3947">
        <v>11.881438421607699</v>
      </c>
      <c r="AI3947">
        <v>95.085534595019197</v>
      </c>
      <c r="AJ3947">
        <v>72.316594149666003</v>
      </c>
      <c r="AK3947">
        <v>12.519969702500401</v>
      </c>
      <c r="AL3947">
        <v>92.335858026625203</v>
      </c>
      <c r="AM3947">
        <v>82.508076016310994</v>
      </c>
      <c r="AN3947">
        <v>0.99999997350133096</v>
      </c>
    </row>
    <row r="3948" spans="1:40" x14ac:dyDescent="0.25">
      <c r="A3948" t="str">
        <f>"20190312161350642"</f>
        <v>20190312161350642</v>
      </c>
      <c r="B3948" t="str">
        <f>"1552378430640332"</f>
        <v>1552378430640332</v>
      </c>
      <c r="C3948" t="s">
        <v>40</v>
      </c>
      <c r="D3948">
        <v>6.1639599999999897</v>
      </c>
      <c r="E3948">
        <v>0.57060719999999898</v>
      </c>
      <c r="F3948" t="s">
        <v>84</v>
      </c>
      <c r="G3948">
        <v>-195.64510000000001</v>
      </c>
      <c r="H3948" s="1">
        <v>-1.4483789999999999E-5</v>
      </c>
      <c r="I3948">
        <v>157.6542</v>
      </c>
      <c r="J3948">
        <v>-190.49719999999999</v>
      </c>
      <c r="K3948">
        <v>1.1097840000000001</v>
      </c>
      <c r="L3948">
        <v>168.97980000000001</v>
      </c>
      <c r="M3948">
        <v>-0.110289899999999</v>
      </c>
      <c r="N3948">
        <v>0</v>
      </c>
      <c r="O3948">
        <v>-0.99382479999999995</v>
      </c>
      <c r="P3948">
        <v>-0.23916219999999999</v>
      </c>
      <c r="Q3948">
        <v>-5.2843399999999999E-2</v>
      </c>
      <c r="R3948">
        <v>-0.96954090000000004</v>
      </c>
      <c r="S3948">
        <v>-1.2488859999999999</v>
      </c>
      <c r="T3948">
        <v>-0.26845150000000001</v>
      </c>
      <c r="U3948">
        <v>-2.7719879999999999</v>
      </c>
      <c r="V3948">
        <v>0.13074859999999999</v>
      </c>
      <c r="W3948">
        <v>-4.0817810000000003E-2</v>
      </c>
      <c r="X3948">
        <v>0.99057499999999998</v>
      </c>
      <c r="Y3948">
        <v>0.3060755</v>
      </c>
      <c r="Z3948">
        <v>8.894444E-2</v>
      </c>
      <c r="AA3948">
        <v>0.9478432</v>
      </c>
      <c r="AB3948">
        <v>17</v>
      </c>
      <c r="AC3948">
        <v>-5.1479000000000203</v>
      </c>
      <c r="AD3948">
        <v>-1.1097984837899999</v>
      </c>
      <c r="AE3948">
        <v>-11.3256</v>
      </c>
      <c r="AF3948">
        <v>3.8367655804584602</v>
      </c>
      <c r="AG3948">
        <v>-1.1097984837899999</v>
      </c>
      <c r="AH3948">
        <v>11.730946665572599</v>
      </c>
      <c r="AI3948">
        <v>95.138061492593394</v>
      </c>
      <c r="AJ3948">
        <v>71.888963615736003</v>
      </c>
      <c r="AK3948">
        <v>12.392236782136001</v>
      </c>
      <c r="AL3948">
        <v>92.339338000411701</v>
      </c>
      <c r="AM3948">
        <v>82.480844682904205</v>
      </c>
      <c r="AN3948">
        <v>1.00000006032007</v>
      </c>
    </row>
    <row r="3949" spans="1:40" x14ac:dyDescent="0.25">
      <c r="A3949" t="str">
        <f>"20190312161350664"</f>
        <v>20190312161350664</v>
      </c>
      <c r="B3949" t="str">
        <f>"1552378430659852"</f>
        <v>1552378430659852</v>
      </c>
      <c r="C3949" t="s">
        <v>40</v>
      </c>
      <c r="D3949">
        <v>6.1231580000000001</v>
      </c>
      <c r="E3949">
        <v>0.57035599999999997</v>
      </c>
      <c r="F3949" t="s">
        <v>84</v>
      </c>
      <c r="G3949">
        <v>-195.6447</v>
      </c>
      <c r="H3949" s="1">
        <v>-1.4486379999999999E-5</v>
      </c>
      <c r="I3949">
        <v>157.6645</v>
      </c>
      <c r="J3949">
        <v>-190.51560000000001</v>
      </c>
      <c r="K3949">
        <v>1.1097729999999999</v>
      </c>
      <c r="L3949">
        <v>168.8176</v>
      </c>
      <c r="M3949">
        <v>-0.11060680000000001</v>
      </c>
      <c r="N3949">
        <v>0</v>
      </c>
      <c r="O3949">
        <v>-0.99379019999999996</v>
      </c>
      <c r="P3949">
        <v>-0.23988880000000001</v>
      </c>
      <c r="Q3949">
        <v>-5.2705750000000003E-2</v>
      </c>
      <c r="R3949">
        <v>-0.96936889999999998</v>
      </c>
      <c r="S3949">
        <v>-1.259552</v>
      </c>
      <c r="T3949">
        <v>-0.27155699999999999</v>
      </c>
      <c r="U3949">
        <v>-2.7687529999999998</v>
      </c>
      <c r="V3949">
        <v>0.13117409999999999</v>
      </c>
      <c r="W3949">
        <v>-4.0744559999999999E-2</v>
      </c>
      <c r="X3949">
        <v>0.99052169999999895</v>
      </c>
      <c r="Y3949">
        <v>0.30917800000000001</v>
      </c>
      <c r="Z3949">
        <v>8.9940610000000004E-2</v>
      </c>
      <c r="AA3949">
        <v>0.94674159999999996</v>
      </c>
      <c r="AB3949">
        <v>17</v>
      </c>
      <c r="AC3949">
        <v>-5.1290999999999896</v>
      </c>
      <c r="AD3949">
        <v>-1.1097874863799999</v>
      </c>
      <c r="AE3949">
        <v>-11.153099999999901</v>
      </c>
      <c r="AF3949">
        <v>3.8326020478757798</v>
      </c>
      <c r="AG3949">
        <v>-1.1097874863799999</v>
      </c>
      <c r="AH3949">
        <v>11.5575552381521</v>
      </c>
      <c r="AI3949">
        <v>95.207671091712001</v>
      </c>
      <c r="AJ3949">
        <v>71.653957666951698</v>
      </c>
      <c r="AK3949">
        <v>12.226919064312399</v>
      </c>
      <c r="AL3949">
        <v>92.335137729271096</v>
      </c>
      <c r="AM3949">
        <v>82.456254920916905</v>
      </c>
      <c r="AN3949">
        <v>1.00000000092564</v>
      </c>
    </row>
    <row r="3950" spans="1:40" x14ac:dyDescent="0.25">
      <c r="A3950" t="str">
        <f>"20190312161350677"</f>
        <v>20190312161350677</v>
      </c>
      <c r="B3950" t="str">
        <f>"1552378430669613"</f>
        <v>1552378430669613</v>
      </c>
      <c r="C3950" t="s">
        <v>40</v>
      </c>
      <c r="D3950">
        <v>6.1802549999999998</v>
      </c>
      <c r="E3950">
        <v>0.57032660000000002</v>
      </c>
      <c r="F3950" t="s">
        <v>84</v>
      </c>
      <c r="G3950">
        <v>-196.01939999999999</v>
      </c>
      <c r="H3950" s="1">
        <v>-1.425037E-5</v>
      </c>
      <c r="I3950">
        <v>156.72640000000001</v>
      </c>
      <c r="J3950">
        <v>-190.52690000000001</v>
      </c>
      <c r="K3950">
        <v>1.1097680000000001</v>
      </c>
      <c r="L3950">
        <v>168.71850000000001</v>
      </c>
      <c r="M3950">
        <v>-0.1108008</v>
      </c>
      <c r="N3950">
        <v>0</v>
      </c>
      <c r="O3950">
        <v>-0.99376929999999997</v>
      </c>
      <c r="P3950">
        <v>-0.24028649999999999</v>
      </c>
      <c r="Q3950">
        <v>-5.2933750000000002E-2</v>
      </c>
      <c r="R3950">
        <v>-0.96925799999999995</v>
      </c>
      <c r="S3950">
        <v>-1.2604519999999999</v>
      </c>
      <c r="T3950">
        <v>-0.25415599999999999</v>
      </c>
      <c r="U3950">
        <v>-2.7690429999999999</v>
      </c>
      <c r="V3950">
        <v>0.13138830000000001</v>
      </c>
      <c r="W3950">
        <v>-4.1013050000000002E-2</v>
      </c>
      <c r="X3950">
        <v>0.99048219999999998</v>
      </c>
      <c r="Y3950">
        <v>0.30941790000000002</v>
      </c>
      <c r="Z3950">
        <v>8.4202449999999998E-2</v>
      </c>
      <c r="AA3950">
        <v>0.94719089999999995</v>
      </c>
      <c r="AB3950">
        <v>17</v>
      </c>
      <c r="AC3950">
        <v>-5.4924999999999704</v>
      </c>
      <c r="AD3950">
        <v>-1.1097822503699999</v>
      </c>
      <c r="AE3950">
        <v>-11.992099999999899</v>
      </c>
      <c r="AF3950">
        <v>4.1008143195946802</v>
      </c>
      <c r="AG3950">
        <v>-1.1097822503699999</v>
      </c>
      <c r="AH3950">
        <v>12.438810994999701</v>
      </c>
      <c r="AI3950">
        <v>94.843292166853701</v>
      </c>
      <c r="AJ3950">
        <v>71.753699269600702</v>
      </c>
      <c r="AK3950">
        <v>13.144288253699999</v>
      </c>
      <c r="AL3950">
        <v>92.3505340104862</v>
      </c>
      <c r="AM3950">
        <v>82.443780772858005</v>
      </c>
      <c r="AN3950">
        <v>0.99999997208201497</v>
      </c>
    </row>
    <row r="3951" spans="1:40" x14ac:dyDescent="0.25">
      <c r="A3951" t="str">
        <f>"20190312161350689"</f>
        <v>20190312161350689</v>
      </c>
      <c r="B3951" t="str">
        <f>"1552378430680349"</f>
        <v>1552378430680349</v>
      </c>
      <c r="C3951" t="s">
        <v>40</v>
      </c>
      <c r="D3951">
        <v>6.174938</v>
      </c>
      <c r="E3951">
        <v>0.57037599999999999</v>
      </c>
      <c r="F3951" t="s">
        <v>84</v>
      </c>
      <c r="G3951">
        <v>-196.1386</v>
      </c>
      <c r="H3951" s="1">
        <v>-1.41467299999999E-5</v>
      </c>
      <c r="I3951">
        <v>156.40190000000001</v>
      </c>
      <c r="J3951">
        <v>-190.5376</v>
      </c>
      <c r="K3951">
        <v>1.109766</v>
      </c>
      <c r="L3951">
        <v>168.6242</v>
      </c>
      <c r="M3951">
        <v>-0.1109856</v>
      </c>
      <c r="N3951">
        <v>0</v>
      </c>
      <c r="O3951">
        <v>-0.99374910000000005</v>
      </c>
      <c r="P3951">
        <v>-0.24059810000000001</v>
      </c>
      <c r="Q3951">
        <v>-5.3087879999999997E-2</v>
      </c>
      <c r="R3951">
        <v>-0.96917209999999998</v>
      </c>
      <c r="S3951">
        <v>-1.261536</v>
      </c>
      <c r="T3951">
        <v>-0.24948329999999999</v>
      </c>
      <c r="U3951">
        <v>-2.7688139999999999</v>
      </c>
      <c r="V3951">
        <v>0.13152320000000001</v>
      </c>
      <c r="W3951">
        <v>-4.1206520000000003E-2</v>
      </c>
      <c r="X3951">
        <v>0.99045629999999996</v>
      </c>
      <c r="Y3951">
        <v>0.30963109999999999</v>
      </c>
      <c r="Z3951">
        <v>8.2659919999999998E-2</v>
      </c>
      <c r="AA3951">
        <v>0.94725700000000002</v>
      </c>
      <c r="AB3951">
        <v>17</v>
      </c>
      <c r="AC3951">
        <v>-5.6009999999999902</v>
      </c>
      <c r="AD3951">
        <v>-1.1097801467299999</v>
      </c>
      <c r="AE3951">
        <v>-12.222299999999899</v>
      </c>
      <c r="AF3951">
        <v>4.1813044063853004</v>
      </c>
      <c r="AG3951">
        <v>-1.1097801467299999</v>
      </c>
      <c r="AH3951">
        <v>12.6820438590065</v>
      </c>
      <c r="AI3951">
        <v>94.750788094506007</v>
      </c>
      <c r="AJ3951">
        <v>71.752471376117498</v>
      </c>
      <c r="AK3951">
        <v>13.3995953280201</v>
      </c>
      <c r="AL3951">
        <v>92.361628324362997</v>
      </c>
      <c r="AM3951">
        <v>82.435916871736893</v>
      </c>
      <c r="AN3951">
        <v>1.00000000581922</v>
      </c>
    </row>
    <row r="3952" spans="1:40" x14ac:dyDescent="0.25">
      <c r="A3952" t="str">
        <f>"20190312161350700"</f>
        <v>20190312161350700</v>
      </c>
      <c r="B3952" t="str">
        <f>"1552378430690108"</f>
        <v>1552378430690108</v>
      </c>
      <c r="C3952" t="s">
        <v>40</v>
      </c>
      <c r="D3952">
        <v>6.2529440000000003</v>
      </c>
      <c r="E3952">
        <v>0.57119219999999904</v>
      </c>
      <c r="F3952" t="s">
        <v>84</v>
      </c>
      <c r="G3952">
        <v>-196.25370000000001</v>
      </c>
      <c r="H3952" s="1">
        <v>-1.40251399999999E-5</v>
      </c>
      <c r="I3952">
        <v>156.09469999999999</v>
      </c>
      <c r="J3952">
        <v>-190.54769999999999</v>
      </c>
      <c r="K3952">
        <v>1.1097570000000001</v>
      </c>
      <c r="L3952">
        <v>168.53550000000001</v>
      </c>
      <c r="M3952">
        <v>-0.11116040000000001</v>
      </c>
      <c r="N3952">
        <v>0</v>
      </c>
      <c r="O3952">
        <v>-0.99373</v>
      </c>
      <c r="P3952">
        <v>-0.24111089999999999</v>
      </c>
      <c r="Q3952">
        <v>-5.2880950000000003E-2</v>
      </c>
      <c r="R3952">
        <v>-0.96905580000000002</v>
      </c>
      <c r="S3952">
        <v>-1.2629999999999999</v>
      </c>
      <c r="T3952">
        <v>-0.2452117</v>
      </c>
      <c r="U3952">
        <v>-2.7684630000000001</v>
      </c>
      <c r="V3952">
        <v>0.13187160000000001</v>
      </c>
      <c r="W3952">
        <v>-4.1039939999999997E-2</v>
      </c>
      <c r="X3952">
        <v>0.99041690000000004</v>
      </c>
      <c r="Y3952">
        <v>0.30997239999999998</v>
      </c>
      <c r="Z3952">
        <v>8.124837E-2</v>
      </c>
      <c r="AA3952">
        <v>0.94726750000000004</v>
      </c>
      <c r="AB3952">
        <v>17</v>
      </c>
      <c r="AC3952">
        <v>-5.7060000000000102</v>
      </c>
      <c r="AD3952">
        <v>-1.1097710251399999</v>
      </c>
      <c r="AE3952">
        <v>-12.440799999999999</v>
      </c>
      <c r="AF3952">
        <v>4.2596036459730797</v>
      </c>
      <c r="AG3952">
        <v>-1.1097710251399999</v>
      </c>
      <c r="AH3952">
        <v>12.913117889660301</v>
      </c>
      <c r="AI3952">
        <v>94.665889491672999</v>
      </c>
      <c r="AJ3952">
        <v>71.744013574059295</v>
      </c>
      <c r="AK3952">
        <v>13.642742707435801</v>
      </c>
      <c r="AL3952">
        <v>92.352075889686205</v>
      </c>
      <c r="AM3952">
        <v>82.415814629097397</v>
      </c>
      <c r="AN3952">
        <v>1.0000000156836799</v>
      </c>
    </row>
    <row r="3953" spans="1:40" x14ac:dyDescent="0.25">
      <c r="A3953" t="str">
        <f>"20190312161350720"</f>
        <v>20190312161350720</v>
      </c>
      <c r="B3953" t="str">
        <f>"1552378430709630"</f>
        <v>1552378430709630</v>
      </c>
      <c r="C3953" t="s">
        <v>40</v>
      </c>
      <c r="D3953">
        <v>6.0554940000000004</v>
      </c>
      <c r="E3953">
        <v>0.57178649999999998</v>
      </c>
      <c r="F3953" t="s">
        <v>84</v>
      </c>
      <c r="G3953">
        <v>-196.11779999999999</v>
      </c>
      <c r="H3953" s="1">
        <v>-1.414796E-5</v>
      </c>
      <c r="I3953">
        <v>156.4091</v>
      </c>
      <c r="J3953">
        <v>-190.5635</v>
      </c>
      <c r="K3953">
        <v>1.1097459999999999</v>
      </c>
      <c r="L3953">
        <v>168.39670000000001</v>
      </c>
      <c r="M3953">
        <v>-0.1114361</v>
      </c>
      <c r="N3953">
        <v>0</v>
      </c>
      <c r="O3953">
        <v>-0.99370009999999998</v>
      </c>
      <c r="P3953">
        <v>-0.24128859999999999</v>
      </c>
      <c r="Q3953">
        <v>-5.2714959999999998E-2</v>
      </c>
      <c r="R3953">
        <v>-0.96902080000000002</v>
      </c>
      <c r="S3953">
        <v>-1.270462</v>
      </c>
      <c r="T3953">
        <v>-0.25312220000000002</v>
      </c>
      <c r="U3953">
        <v>-2.765854</v>
      </c>
      <c r="V3953">
        <v>0.13177720000000001</v>
      </c>
      <c r="W3953">
        <v>-4.093658E-2</v>
      </c>
      <c r="X3953">
        <v>0.99043380000000003</v>
      </c>
      <c r="Y3953">
        <v>0.31206820000000002</v>
      </c>
      <c r="Z3953">
        <v>8.3843459999999995E-2</v>
      </c>
      <c r="AA3953">
        <v>0.94635279999999999</v>
      </c>
      <c r="AB3953">
        <v>17</v>
      </c>
      <c r="AC3953">
        <v>-5.55429999999998</v>
      </c>
      <c r="AD3953">
        <v>-1.1097601479600001</v>
      </c>
      <c r="AE3953">
        <v>-11.9876</v>
      </c>
      <c r="AF3953">
        <v>4.1544424402264397</v>
      </c>
      <c r="AG3953">
        <v>-1.1097601479600001</v>
      </c>
      <c r="AH3953">
        <v>12.4441191006993</v>
      </c>
      <c r="AI3953">
        <v>94.835140663920797</v>
      </c>
      <c r="AJ3953">
        <v>71.538523465492403</v>
      </c>
      <c r="AK3953">
        <v>13.166133060528599</v>
      </c>
      <c r="AL3953">
        <v>92.346148682273494</v>
      </c>
      <c r="AM3953">
        <v>82.421308438800395</v>
      </c>
      <c r="AN3953">
        <v>1.0000000731021801</v>
      </c>
    </row>
    <row r="3954" spans="1:40" x14ac:dyDescent="0.25">
      <c r="A3954" t="str">
        <f>"20190312161350732"</f>
        <v>20190312161350732</v>
      </c>
      <c r="B3954" t="str">
        <f>"1552378430730125"</f>
        <v>1552378430730125</v>
      </c>
      <c r="C3954" t="s">
        <v>40</v>
      </c>
      <c r="D3954">
        <v>6.0437149999999997</v>
      </c>
      <c r="E3954">
        <v>0.57221269999999902</v>
      </c>
      <c r="F3954" t="s">
        <v>84</v>
      </c>
      <c r="G3954">
        <v>-196.0487</v>
      </c>
      <c r="H3954" s="1">
        <v>-1.41841E-5</v>
      </c>
      <c r="I3954">
        <v>156.5076</v>
      </c>
      <c r="J3954">
        <v>-190.57400000000001</v>
      </c>
      <c r="K3954">
        <v>1.109742</v>
      </c>
      <c r="L3954">
        <v>168.30539999999999</v>
      </c>
      <c r="M3954">
        <v>-0.11161980000000001</v>
      </c>
      <c r="N3954">
        <v>0</v>
      </c>
      <c r="O3954">
        <v>-0.9936798</v>
      </c>
      <c r="P3954">
        <v>-0.24149899999999999</v>
      </c>
      <c r="Q3954">
        <v>-5.2630839999999998E-2</v>
      </c>
      <c r="R3954">
        <v>-0.96897299999999997</v>
      </c>
      <c r="S3954">
        <v>-1.2753300000000001</v>
      </c>
      <c r="T3954">
        <v>-0.25802770000000003</v>
      </c>
      <c r="U3954">
        <v>-2.764297</v>
      </c>
      <c r="V3954">
        <v>0.1318085</v>
      </c>
      <c r="W3954">
        <v>-4.0893899999999997E-2</v>
      </c>
      <c r="X3954">
        <v>0.99043130000000001</v>
      </c>
      <c r="Y3954">
        <v>0.31341239999999998</v>
      </c>
      <c r="Z3954">
        <v>8.5447339999999997E-2</v>
      </c>
      <c r="AA3954">
        <v>0.94576499999999997</v>
      </c>
      <c r="AB3954">
        <v>17</v>
      </c>
      <c r="AC3954">
        <v>-5.4746999999999799</v>
      </c>
      <c r="AD3954">
        <v>-1.1097561840999901</v>
      </c>
      <c r="AE3954">
        <v>-11.797799999999899</v>
      </c>
      <c r="AF3954">
        <v>4.0937184373744397</v>
      </c>
      <c r="AG3954">
        <v>-1.1097561840999901</v>
      </c>
      <c r="AH3954">
        <v>12.246036777039301</v>
      </c>
      <c r="AI3954">
        <v>94.912304399633001</v>
      </c>
      <c r="AJ3954">
        <v>71.515772381404702</v>
      </c>
      <c r="AK3954">
        <v>12.959764896681</v>
      </c>
      <c r="AL3954">
        <v>92.343701477153203</v>
      </c>
      <c r="AM3954">
        <v>82.419510350813894</v>
      </c>
      <c r="AN3954">
        <v>0.99999997587457401</v>
      </c>
    </row>
    <row r="3955" spans="1:40" x14ac:dyDescent="0.25">
      <c r="A3955" t="str">
        <f>"20190312161350744"</f>
        <v>20190312161350744</v>
      </c>
      <c r="B3955" t="str">
        <f>"1552378430739885"</f>
        <v>1552378430739885</v>
      </c>
      <c r="C3955" t="s">
        <v>40</v>
      </c>
      <c r="D3955">
        <v>6.1379960000000002</v>
      </c>
      <c r="E3955">
        <v>0.57242720000000002</v>
      </c>
      <c r="F3955" t="s">
        <v>84</v>
      </c>
      <c r="G3955">
        <v>-196.0181</v>
      </c>
      <c r="H3955" s="1">
        <v>-1.41977799999999E-5</v>
      </c>
      <c r="I3955">
        <v>156.54589999999999</v>
      </c>
      <c r="J3955">
        <v>-190.5847</v>
      </c>
      <c r="K3955">
        <v>1.1097319999999999</v>
      </c>
      <c r="L3955">
        <v>168.21180000000001</v>
      </c>
      <c r="M3955">
        <v>-0.1118108</v>
      </c>
      <c r="N3955">
        <v>0</v>
      </c>
      <c r="O3955">
        <v>-0.9936585</v>
      </c>
      <c r="P3955">
        <v>-0.24160190000000001</v>
      </c>
      <c r="Q3955">
        <v>-5.2667869999999999E-2</v>
      </c>
      <c r="R3955">
        <v>-0.96894530000000001</v>
      </c>
      <c r="S3955">
        <v>-1.2791600000000001</v>
      </c>
      <c r="T3955">
        <v>-0.26075409999999999</v>
      </c>
      <c r="U3955">
        <v>-2.763077</v>
      </c>
      <c r="V3955">
        <v>0.13172329999999999</v>
      </c>
      <c r="W3955">
        <v>-4.0972740000000001E-2</v>
      </c>
      <c r="X3955">
        <v>0.99043939999999997</v>
      </c>
      <c r="Y3955">
        <v>0.31443670000000001</v>
      </c>
      <c r="Z3955">
        <v>8.6335819999999994E-2</v>
      </c>
      <c r="AA3955">
        <v>0.94534419999999997</v>
      </c>
      <c r="AB3955">
        <v>17</v>
      </c>
      <c r="AC3955">
        <v>-5.4333999999999998</v>
      </c>
      <c r="AD3955">
        <v>-1.1097461977799901</v>
      </c>
      <c r="AE3955">
        <v>-11.665900000000001</v>
      </c>
      <c r="AF3955">
        <v>4.0646342608544499</v>
      </c>
      <c r="AG3955">
        <v>-1.1097461977799901</v>
      </c>
      <c r="AH3955">
        <v>12.110241004797199</v>
      </c>
      <c r="AI3955">
        <v>94.965064663796397</v>
      </c>
      <c r="AJ3955">
        <v>71.446387542386006</v>
      </c>
      <c r="AK3955">
        <v>12.822274583406401</v>
      </c>
      <c r="AL3955">
        <v>92.348222411011704</v>
      </c>
      <c r="AM3955">
        <v>82.4244146298673</v>
      </c>
      <c r="AN3955">
        <v>0.99999999912917803</v>
      </c>
    </row>
    <row r="3956" spans="1:40" x14ac:dyDescent="0.25">
      <c r="A3956" t="str">
        <f>"20190312161350757"</f>
        <v>20190312161350757</v>
      </c>
      <c r="B3956" t="str">
        <f>"1552378430749644"</f>
        <v>1552378430749644</v>
      </c>
      <c r="C3956" t="s">
        <v>40</v>
      </c>
      <c r="D3956">
        <v>6.1230609999999999</v>
      </c>
      <c r="E3956">
        <v>0.57251189999999996</v>
      </c>
      <c r="F3956" t="s">
        <v>84</v>
      </c>
      <c r="G3956">
        <v>-196.03479999999999</v>
      </c>
      <c r="H3956" s="1">
        <v>-1.4161900000000001E-5</v>
      </c>
      <c r="I3956">
        <v>156.4588</v>
      </c>
      <c r="J3956">
        <v>-190.59559999999999</v>
      </c>
      <c r="K3956">
        <v>1.1097220000000001</v>
      </c>
      <c r="L3956">
        <v>168.11709999999999</v>
      </c>
      <c r="M3956">
        <v>-0.11200789999999999</v>
      </c>
      <c r="N3956">
        <v>0</v>
      </c>
      <c r="O3956">
        <v>-0.9936372</v>
      </c>
      <c r="P3956">
        <v>-0.24174979999999999</v>
      </c>
      <c r="Q3956">
        <v>-5.3001399999999997E-2</v>
      </c>
      <c r="R3956">
        <v>-0.96889049999999999</v>
      </c>
      <c r="S3956">
        <v>-1.2810520000000001</v>
      </c>
      <c r="T3956">
        <v>-0.26084659999999998</v>
      </c>
      <c r="U3956">
        <v>-2.7625579999999998</v>
      </c>
      <c r="V3956">
        <v>0.13167960000000001</v>
      </c>
      <c r="W3956">
        <v>-4.1349410000000003E-2</v>
      </c>
      <c r="X3956">
        <v>0.99042960000000002</v>
      </c>
      <c r="Y3956">
        <v>0.31484830000000003</v>
      </c>
      <c r="Z3956">
        <v>8.6360039999999999E-2</v>
      </c>
      <c r="AA3956">
        <v>0.94520499999999996</v>
      </c>
      <c r="AB3956">
        <v>17</v>
      </c>
      <c r="AC3956">
        <v>-5.4391999999999996</v>
      </c>
      <c r="AD3956">
        <v>-1.1097361618999999</v>
      </c>
      <c r="AE3956">
        <v>-11.658299999999899</v>
      </c>
      <c r="AF3956">
        <v>4.0687790218485098</v>
      </c>
      <c r="AG3956">
        <v>-1.1097361618999999</v>
      </c>
      <c r="AH3956">
        <v>12.104135056100599</v>
      </c>
      <c r="AI3956">
        <v>94.966748677264505</v>
      </c>
      <c r="AJ3956">
        <v>71.4200397958314</v>
      </c>
      <c r="AK3956">
        <v>12.8178220667158</v>
      </c>
      <c r="AL3956">
        <v>92.369822216986606</v>
      </c>
      <c r="AM3956">
        <v>82.426824638009805</v>
      </c>
      <c r="AN3956">
        <v>1.00000004165983</v>
      </c>
    </row>
    <row r="3957" spans="1:40" x14ac:dyDescent="0.25">
      <c r="A3957" t="str">
        <f>"20190312161350775"</f>
        <v>20190312161350775</v>
      </c>
      <c r="B3957" t="str">
        <f>"1552378430770140"</f>
        <v>1552378430770140</v>
      </c>
      <c r="C3957" t="s">
        <v>40</v>
      </c>
      <c r="D3957">
        <v>6.0333290000000002</v>
      </c>
      <c r="E3957">
        <v>0.57304949999999999</v>
      </c>
      <c r="F3957" t="s">
        <v>84</v>
      </c>
      <c r="G3957">
        <v>-195.99700000000001</v>
      </c>
      <c r="H3957" s="1">
        <v>-1.41685999999999E-5</v>
      </c>
      <c r="I3957">
        <v>156.48220000000001</v>
      </c>
      <c r="J3957">
        <v>-190.61080000000001</v>
      </c>
      <c r="K3957">
        <v>1.10971</v>
      </c>
      <c r="L3957">
        <v>167.9854</v>
      </c>
      <c r="M3957">
        <v>-0.1122877</v>
      </c>
      <c r="N3957">
        <v>0</v>
      </c>
      <c r="O3957">
        <v>-0.99360619999999999</v>
      </c>
      <c r="P3957">
        <v>-0.24211089999999999</v>
      </c>
      <c r="Q3957">
        <v>-5.2917459999999999E-2</v>
      </c>
      <c r="R3957">
        <v>-0.96880449999999996</v>
      </c>
      <c r="S3957">
        <v>-1.282227</v>
      </c>
      <c r="T3957">
        <v>-0.2634377</v>
      </c>
      <c r="U3957">
        <v>-2.7619929999999999</v>
      </c>
      <c r="V3957">
        <v>0.13176889999999999</v>
      </c>
      <c r="W3957">
        <v>-4.1327460000000003E-2</v>
      </c>
      <c r="X3957">
        <v>0.99041860000000004</v>
      </c>
      <c r="Y3957">
        <v>0.31495450000000003</v>
      </c>
      <c r="Z3957">
        <v>8.7213949999999998E-2</v>
      </c>
      <c r="AA3957">
        <v>0.94509120000000002</v>
      </c>
      <c r="AB3957">
        <v>17</v>
      </c>
      <c r="AC3957">
        <v>-5.3861999999999997</v>
      </c>
      <c r="AD3957">
        <v>-1.1097241685999999</v>
      </c>
      <c r="AE3957">
        <v>-11.5031999999999</v>
      </c>
      <c r="AF3957">
        <v>4.0296158636303803</v>
      </c>
      <c r="AG3957">
        <v>-1.1097241685999999</v>
      </c>
      <c r="AH3957">
        <v>11.944115588871099</v>
      </c>
      <c r="AI3957">
        <v>95.031042032448994</v>
      </c>
      <c r="AJ3957">
        <v>71.357020867243705</v>
      </c>
      <c r="AK3957">
        <v>12.654295276273199</v>
      </c>
      <c r="AL3957">
        <v>92.368563591316601</v>
      </c>
      <c r="AM3957">
        <v>82.421665284012803</v>
      </c>
      <c r="AN3957">
        <v>1.00000000259161</v>
      </c>
    </row>
    <row r="3958" spans="1:40" x14ac:dyDescent="0.25">
      <c r="A3958" t="str">
        <f>"20190312161350786"</f>
        <v>20190312161350786</v>
      </c>
      <c r="B3958" t="str">
        <f>"1552378430779900"</f>
        <v>1552378430779900</v>
      </c>
      <c r="C3958" t="s">
        <v>40</v>
      </c>
      <c r="D3958">
        <v>6.0454439999999998</v>
      </c>
      <c r="E3958">
        <v>0.5733144</v>
      </c>
      <c r="F3958" t="s">
        <v>84</v>
      </c>
      <c r="G3958">
        <v>-195.93899999999999</v>
      </c>
      <c r="H3958" s="1">
        <v>-1.419642E-5</v>
      </c>
      <c r="I3958">
        <v>156.559</v>
      </c>
      <c r="J3958">
        <v>-190.62119999999999</v>
      </c>
      <c r="K3958">
        <v>1.1096999999999999</v>
      </c>
      <c r="L3958">
        <v>167.89500000000001</v>
      </c>
      <c r="M3958">
        <v>-0.11248329999999999</v>
      </c>
      <c r="N3958">
        <v>0</v>
      </c>
      <c r="O3958">
        <v>-0.99358480000000005</v>
      </c>
      <c r="P3958">
        <v>-0.2425119</v>
      </c>
      <c r="Q3958">
        <v>-5.2581219999999998E-2</v>
      </c>
      <c r="R3958">
        <v>-0.96872309999999995</v>
      </c>
      <c r="S3958">
        <v>-1.28714</v>
      </c>
      <c r="T3958">
        <v>-0.26808009999999999</v>
      </c>
      <c r="U3958">
        <v>-2.7603</v>
      </c>
      <c r="V3958">
        <v>0.1319814</v>
      </c>
      <c r="W3958">
        <v>-4.1035589999999997E-2</v>
      </c>
      <c r="X3958">
        <v>0.99040249999999996</v>
      </c>
      <c r="Y3958">
        <v>0.31631520000000002</v>
      </c>
      <c r="Z3958">
        <v>8.8731909999999997E-2</v>
      </c>
      <c r="AA3958">
        <v>0.94449530000000004</v>
      </c>
      <c r="AB3958">
        <v>17</v>
      </c>
      <c r="AC3958">
        <v>-5.3178000000000303</v>
      </c>
      <c r="AD3958">
        <v>-1.1097141964199999</v>
      </c>
      <c r="AE3958">
        <v>-11.336</v>
      </c>
      <c r="AF3958">
        <v>3.9776064052068598</v>
      </c>
      <c r="AG3958">
        <v>-1.1097141964199999</v>
      </c>
      <c r="AH3958">
        <v>11.7698056816321</v>
      </c>
      <c r="AI3958">
        <v>95.104225934190396</v>
      </c>
      <c r="AJ3958">
        <v>71.327315327419697</v>
      </c>
      <c r="AK3958">
        <v>12.4732170708225</v>
      </c>
      <c r="AL3958">
        <v>92.351826336750307</v>
      </c>
      <c r="AM3958">
        <v>82.409464344613099</v>
      </c>
      <c r="AN3958">
        <v>1.0000000607994199</v>
      </c>
    </row>
    <row r="3959" spans="1:40" x14ac:dyDescent="0.25">
      <c r="A3959" t="str">
        <f>"20190312161350799"</f>
        <v>20190312161350799</v>
      </c>
      <c r="B3959" t="str">
        <f>"1552378430789661"</f>
        <v>1552378430789661</v>
      </c>
      <c r="C3959" t="s">
        <v>40</v>
      </c>
      <c r="D3959">
        <v>5.9080019999999998</v>
      </c>
      <c r="E3959">
        <v>0.57375159999999903</v>
      </c>
      <c r="F3959" t="s">
        <v>84</v>
      </c>
      <c r="G3959">
        <v>-195.94980000000001</v>
      </c>
      <c r="H3959" s="1">
        <v>-1.417155E-5</v>
      </c>
      <c r="I3959">
        <v>156.49879999999999</v>
      </c>
      <c r="J3959">
        <v>-190.6319</v>
      </c>
      <c r="K3959">
        <v>1.1096889999999999</v>
      </c>
      <c r="L3959">
        <v>167.80340000000001</v>
      </c>
      <c r="M3959">
        <v>-0.11268830000000001</v>
      </c>
      <c r="N3959">
        <v>0</v>
      </c>
      <c r="O3959">
        <v>-0.99356199999999995</v>
      </c>
      <c r="P3959">
        <v>-0.2429953</v>
      </c>
      <c r="Q3959">
        <v>-5.2402480000000001E-2</v>
      </c>
      <c r="R3959">
        <v>-0.968611</v>
      </c>
      <c r="S3959">
        <v>-1.290176</v>
      </c>
      <c r="T3959">
        <v>-0.26868700000000001</v>
      </c>
      <c r="U3959">
        <v>-2.759277</v>
      </c>
      <c r="V3959">
        <v>0.13226969999999999</v>
      </c>
      <c r="W3959">
        <v>-4.0902300000000003E-2</v>
      </c>
      <c r="X3959">
        <v>0.99036950000000001</v>
      </c>
      <c r="Y3959">
        <v>0.31709949999999998</v>
      </c>
      <c r="Z3959">
        <v>8.8925980000000002E-2</v>
      </c>
      <c r="AA3959">
        <v>0.944214</v>
      </c>
      <c r="AB3959">
        <v>17</v>
      </c>
      <c r="AC3959">
        <v>-5.3178999999999998</v>
      </c>
      <c r="AD3959">
        <v>-1.1097031715500001</v>
      </c>
      <c r="AE3959">
        <v>-11.304600000000001</v>
      </c>
      <c r="AF3959">
        <v>3.9786477310119199</v>
      </c>
      <c r="AG3959">
        <v>-1.1097031715500001</v>
      </c>
      <c r="AH3959">
        <v>11.7392660122128</v>
      </c>
      <c r="AI3959">
        <v>95.115887775798797</v>
      </c>
      <c r="AJ3959">
        <v>71.277558839576002</v>
      </c>
      <c r="AK3959">
        <v>12.444735650142601</v>
      </c>
      <c r="AL3959">
        <v>92.3441830867839</v>
      </c>
      <c r="AM3959">
        <v>82.3928270371118</v>
      </c>
      <c r="AN3959">
        <v>1.00000000910681</v>
      </c>
    </row>
    <row r="3960" spans="1:40" x14ac:dyDescent="0.25">
      <c r="A3960" t="str">
        <f>"20190312161350821"</f>
        <v>20190312161350821</v>
      </c>
      <c r="B3960" t="str">
        <f>"1552378430810156"</f>
        <v>1552378430810156</v>
      </c>
      <c r="C3960" t="s">
        <v>40</v>
      </c>
      <c r="D3960">
        <v>5.9563329999999999</v>
      </c>
      <c r="E3960">
        <v>0.57444050000000002</v>
      </c>
      <c r="F3960" t="s">
        <v>84</v>
      </c>
      <c r="G3960">
        <v>-195.99780000000001</v>
      </c>
      <c r="H3960" s="1">
        <v>-1.4123200000000001E-5</v>
      </c>
      <c r="I3960">
        <v>156.37620000000001</v>
      </c>
      <c r="J3960">
        <v>-190.65100000000001</v>
      </c>
      <c r="K3960">
        <v>1.1096680000000001</v>
      </c>
      <c r="L3960">
        <v>167.63820000000001</v>
      </c>
      <c r="M3960">
        <v>-0.1130681</v>
      </c>
      <c r="N3960">
        <v>0</v>
      </c>
      <c r="O3960">
        <v>-0.99351979999999995</v>
      </c>
      <c r="P3960">
        <v>-0.24420520000000001</v>
      </c>
      <c r="Q3960">
        <v>-5.2857389999999997E-2</v>
      </c>
      <c r="R3960">
        <v>-0.96828239999999999</v>
      </c>
      <c r="S3960">
        <v>-1.295029</v>
      </c>
      <c r="T3960">
        <v>-0.26781680000000002</v>
      </c>
      <c r="U3960">
        <v>-2.7578429999999998</v>
      </c>
      <c r="V3960">
        <v>0.13312959999999999</v>
      </c>
      <c r="W3960">
        <v>-4.1442380000000001E-2</v>
      </c>
      <c r="X3960">
        <v>0.9902318</v>
      </c>
      <c r="Y3960">
        <v>0.3182989</v>
      </c>
      <c r="Z3960">
        <v>8.8626300000000005E-2</v>
      </c>
      <c r="AA3960">
        <v>0.94383850000000002</v>
      </c>
      <c r="AB3960">
        <v>17</v>
      </c>
      <c r="AC3960">
        <v>-5.3468000000000302</v>
      </c>
      <c r="AD3960">
        <v>-1.1096821232</v>
      </c>
      <c r="AE3960">
        <v>-11.262</v>
      </c>
      <c r="AF3960">
        <v>4.00729967974888</v>
      </c>
      <c r="AG3960">
        <v>-1.1096821232</v>
      </c>
      <c r="AH3960">
        <v>11.701651054837599</v>
      </c>
      <c r="AI3960">
        <v>95.126638133774804</v>
      </c>
      <c r="AJ3960">
        <v>71.095928420443499</v>
      </c>
      <c r="AK3960">
        <v>12.4184734386738</v>
      </c>
      <c r="AL3960">
        <v>92.3751536992811</v>
      </c>
      <c r="AM3960">
        <v>82.342904682628102</v>
      </c>
      <c r="AN3960">
        <v>0.99999998949373203</v>
      </c>
    </row>
    <row r="3961" spans="1:40" x14ac:dyDescent="0.25">
      <c r="A3961" t="str">
        <f>"20190312161350836"</f>
        <v>20190312161350836</v>
      </c>
      <c r="B3961" t="str">
        <f>"1552378430829677"</f>
        <v>1552378430829677</v>
      </c>
      <c r="C3961" t="s">
        <v>40</v>
      </c>
      <c r="D3961">
        <v>5.82118</v>
      </c>
      <c r="E3961">
        <v>0.57523199999999997</v>
      </c>
      <c r="F3961" t="s">
        <v>84</v>
      </c>
      <c r="G3961">
        <v>-196.0069</v>
      </c>
      <c r="H3961" s="1">
        <v>-1.410045E-5</v>
      </c>
      <c r="I3961">
        <v>156.32130000000001</v>
      </c>
      <c r="J3961">
        <v>-190.66419999999999</v>
      </c>
      <c r="K3961">
        <v>1.1096520000000001</v>
      </c>
      <c r="L3961">
        <v>167.5249</v>
      </c>
      <c r="M3961">
        <v>-0.1133392</v>
      </c>
      <c r="N3961">
        <v>0</v>
      </c>
      <c r="O3961">
        <v>-0.99348939999999997</v>
      </c>
      <c r="P3961">
        <v>-0.24485789999999999</v>
      </c>
      <c r="Q3961">
        <v>-5.2874240000000003E-2</v>
      </c>
      <c r="R3961">
        <v>-0.96811599999999998</v>
      </c>
      <c r="S3961">
        <v>-1.303696</v>
      </c>
      <c r="T3961">
        <v>-0.2701153</v>
      </c>
      <c r="U3961">
        <v>-2.7547299999999999</v>
      </c>
      <c r="V3961">
        <v>0.13352600000000001</v>
      </c>
      <c r="W3961">
        <v>-4.1518779999999998E-2</v>
      </c>
      <c r="X3961">
        <v>0.99017520000000003</v>
      </c>
      <c r="Y3961">
        <v>0.32085029999999998</v>
      </c>
      <c r="Z3961">
        <v>8.9370569999999996E-2</v>
      </c>
      <c r="AA3961">
        <v>0.94290410000000002</v>
      </c>
      <c r="AB3961">
        <v>17</v>
      </c>
      <c r="AC3961">
        <v>-5.3426999999999998</v>
      </c>
      <c r="AD3961">
        <v>-1.1096661004499999</v>
      </c>
      <c r="AE3961">
        <v>-11.2035999999999</v>
      </c>
      <c r="AF3961">
        <v>4.0063567544569096</v>
      </c>
      <c r="AG3961">
        <v>-1.1096661004499999</v>
      </c>
      <c r="AH3961">
        <v>11.643912457999701</v>
      </c>
      <c r="AI3961">
        <v>95.149305100712198</v>
      </c>
      <c r="AJ3961">
        <v>71.013039212790503</v>
      </c>
      <c r="AK3961">
        <v>12.3637757431955</v>
      </c>
      <c r="AL3961">
        <v>92.379534927855502</v>
      </c>
      <c r="AM3961">
        <v>82.319943249957305</v>
      </c>
      <c r="AN3961">
        <v>0.99999996423186299</v>
      </c>
    </row>
    <row r="3962" spans="1:40" x14ac:dyDescent="0.25">
      <c r="A3962" t="str">
        <f>"20190312161350854"</f>
        <v>20190312161350854</v>
      </c>
      <c r="B3962" t="str">
        <f>"1552378430850172"</f>
        <v>1552378430850172</v>
      </c>
      <c r="C3962" t="s">
        <v>40</v>
      </c>
      <c r="D3962">
        <v>5.8781189999999999</v>
      </c>
      <c r="E3962">
        <v>0.5755962</v>
      </c>
      <c r="F3962" t="s">
        <v>84</v>
      </c>
      <c r="G3962">
        <v>-196.0744</v>
      </c>
      <c r="H3962" s="1">
        <v>-1.40431299999999E-5</v>
      </c>
      <c r="I3962">
        <v>156.1737</v>
      </c>
      <c r="J3962">
        <v>-190.67959999999999</v>
      </c>
      <c r="K3962">
        <v>1.1096349999999999</v>
      </c>
      <c r="L3962">
        <v>167.3938</v>
      </c>
      <c r="M3962">
        <v>-0.1136638</v>
      </c>
      <c r="N3962">
        <v>0</v>
      </c>
      <c r="O3962">
        <v>-0.99345309999999998</v>
      </c>
      <c r="P3962">
        <v>-0.24623349999999999</v>
      </c>
      <c r="Q3962">
        <v>-5.2803910000000003E-2</v>
      </c>
      <c r="R3962">
        <v>-0.96777150000000001</v>
      </c>
      <c r="S3962">
        <v>-1.311798</v>
      </c>
      <c r="T3962">
        <v>-0.26906049999999998</v>
      </c>
      <c r="U3962">
        <v>-2.752319</v>
      </c>
      <c r="V3962">
        <v>0.13460759999999999</v>
      </c>
      <c r="W3962">
        <v>-4.1518029999999997E-2</v>
      </c>
      <c r="X3962">
        <v>0.99002880000000004</v>
      </c>
      <c r="Y3962">
        <v>0.32313839999999999</v>
      </c>
      <c r="Z3962">
        <v>8.9000540000000003E-2</v>
      </c>
      <c r="AA3962">
        <v>0.94215740000000003</v>
      </c>
      <c r="AB3962">
        <v>17</v>
      </c>
      <c r="AC3962">
        <v>-5.3948</v>
      </c>
      <c r="AD3962">
        <v>-1.1096490431299999</v>
      </c>
      <c r="AE3962">
        <v>-11.2201</v>
      </c>
      <c r="AF3962">
        <v>4.05223795361906</v>
      </c>
      <c r="AG3962">
        <v>-1.1096490431299999</v>
      </c>
      <c r="AH3962">
        <v>11.667916469490899</v>
      </c>
      <c r="AI3962">
        <v>95.133603374003997</v>
      </c>
      <c r="AJ3962">
        <v>70.848014753958495</v>
      </c>
      <c r="AK3962">
        <v>12.4012994549235</v>
      </c>
      <c r="AL3962">
        <v>92.379491860414603</v>
      </c>
      <c r="AM3962">
        <v>82.257353051954297</v>
      </c>
      <c r="AN3962">
        <v>0.99999998881114005</v>
      </c>
    </row>
    <row r="3963" spans="1:40" x14ac:dyDescent="0.25">
      <c r="A3963" t="str">
        <f>"20190312161350868"</f>
        <v>20190312161350868</v>
      </c>
      <c r="B3963" t="str">
        <f>"1552378430859934"</f>
        <v>1552378430859934</v>
      </c>
      <c r="C3963" t="s">
        <v>40</v>
      </c>
      <c r="D3963">
        <v>5.8213429999999997</v>
      </c>
      <c r="E3963">
        <v>0.57581400000000005</v>
      </c>
      <c r="F3963" t="s">
        <v>84</v>
      </c>
      <c r="G3963">
        <v>-196.11609999999999</v>
      </c>
      <c r="H3963" s="1">
        <v>-1.399605E-5</v>
      </c>
      <c r="I3963">
        <v>156.05539999999999</v>
      </c>
      <c r="J3963">
        <v>-190.6927</v>
      </c>
      <c r="K3963">
        <v>1.1096200000000001</v>
      </c>
      <c r="L3963">
        <v>167.28129999999999</v>
      </c>
      <c r="M3963">
        <v>-0.11395130000000001</v>
      </c>
      <c r="N3963">
        <v>0</v>
      </c>
      <c r="O3963">
        <v>-0.99342070000000005</v>
      </c>
      <c r="P3963">
        <v>-0.24691189999999999</v>
      </c>
      <c r="Q3963">
        <v>-5.280228E-2</v>
      </c>
      <c r="R3963">
        <v>-0.96759859999999998</v>
      </c>
      <c r="S3963">
        <v>-1.318451</v>
      </c>
      <c r="T3963">
        <v>-0.26910970000000001</v>
      </c>
      <c r="U3963">
        <v>-2.749771</v>
      </c>
      <c r="V3963">
        <v>0.1350141</v>
      </c>
      <c r="W3963">
        <v>-4.157288E-2</v>
      </c>
      <c r="X3963">
        <v>0.98997120000000005</v>
      </c>
      <c r="Y3963">
        <v>0.32505800000000001</v>
      </c>
      <c r="Z3963">
        <v>8.9011969999999996E-2</v>
      </c>
      <c r="AA3963">
        <v>0.94149570000000005</v>
      </c>
      <c r="AB3963">
        <v>17</v>
      </c>
      <c r="AC3963">
        <v>-5.4233999999999796</v>
      </c>
      <c r="AD3963">
        <v>-1.1096339960499999</v>
      </c>
      <c r="AE3963">
        <v>-11.2258999999999</v>
      </c>
      <c r="AF3963">
        <v>4.0764875297866796</v>
      </c>
      <c r="AG3963">
        <v>-1.1096339960499999</v>
      </c>
      <c r="AH3963">
        <v>11.678301583377699</v>
      </c>
      <c r="AI3963">
        <v>95.126193838197693</v>
      </c>
      <c r="AJ3963">
        <v>70.757687708813407</v>
      </c>
      <c r="AK3963">
        <v>12.419008255815699</v>
      </c>
      <c r="AL3963">
        <v>92.382637117615204</v>
      </c>
      <c r="AM3963">
        <v>82.233809680838903</v>
      </c>
      <c r="AN3963">
        <v>1.00000004418987</v>
      </c>
    </row>
    <row r="3964" spans="1:40" x14ac:dyDescent="0.25">
      <c r="A3964" t="str">
        <f>"20190312161350880"</f>
        <v>20190312161350880</v>
      </c>
      <c r="B3964" t="str">
        <f>"1552378430869693"</f>
        <v>1552378430869693</v>
      </c>
      <c r="C3964" t="s">
        <v>40</v>
      </c>
      <c r="D3964">
        <v>5.8264089999999999</v>
      </c>
      <c r="E3964">
        <v>0.57599549999999999</v>
      </c>
      <c r="F3964" t="s">
        <v>84</v>
      </c>
      <c r="G3964">
        <v>-196.13890000000001</v>
      </c>
      <c r="H3964" s="1">
        <v>-1.395705E-5</v>
      </c>
      <c r="I3964">
        <v>155.9597</v>
      </c>
      <c r="J3964">
        <v>-190.70320000000001</v>
      </c>
      <c r="K3964">
        <v>1.109607</v>
      </c>
      <c r="L3964">
        <v>167.1925</v>
      </c>
      <c r="M3964">
        <v>-0.1141875</v>
      </c>
      <c r="N3964">
        <v>0</v>
      </c>
      <c r="O3964">
        <v>-0.99339409999999895</v>
      </c>
      <c r="P3964">
        <v>-0.2473127</v>
      </c>
      <c r="Q3964">
        <v>-5.274678E-2</v>
      </c>
      <c r="R3964">
        <v>-0.967499</v>
      </c>
      <c r="S3964">
        <v>-1.322098</v>
      </c>
      <c r="T3964">
        <v>-0.26936949999999998</v>
      </c>
      <c r="U3964">
        <v>-2.748367</v>
      </c>
      <c r="V3964">
        <v>0.13518769999999999</v>
      </c>
      <c r="W3964">
        <v>-4.1557429999999999E-2</v>
      </c>
      <c r="X3964">
        <v>0.9899481</v>
      </c>
      <c r="Y3964">
        <v>0.3260325</v>
      </c>
      <c r="Z3964">
        <v>8.9094590000000001E-2</v>
      </c>
      <c r="AA3964">
        <v>0.94115090000000001</v>
      </c>
      <c r="AB3964">
        <v>17</v>
      </c>
      <c r="AC3964">
        <v>-5.43569999999999</v>
      </c>
      <c r="AD3964">
        <v>-1.10962095705</v>
      </c>
      <c r="AE3964">
        <v>-11.2327999999999</v>
      </c>
      <c r="AF3964">
        <v>4.0851133794217303</v>
      </c>
      <c r="AG3964">
        <v>-1.10962095705</v>
      </c>
      <c r="AH3964">
        <v>11.6876371659478</v>
      </c>
      <c r="AI3964">
        <v>95.121332877726203</v>
      </c>
      <c r="AJ3964">
        <v>70.734237753764006</v>
      </c>
      <c r="AK3964">
        <v>12.4306183480107</v>
      </c>
      <c r="AL3964">
        <v>92.381751267390896</v>
      </c>
      <c r="AM3964">
        <v>82.223766839528494</v>
      </c>
      <c r="AN3964">
        <v>0.99999998745655205</v>
      </c>
    </row>
    <row r="3965" spans="1:40" x14ac:dyDescent="0.25">
      <c r="A3965" t="str">
        <f>"20190312161350898"</f>
        <v>20190312161350898</v>
      </c>
      <c r="B3965" t="str">
        <f>"1552378430890188"</f>
        <v>1552378430890188</v>
      </c>
      <c r="C3965" t="s">
        <v>40</v>
      </c>
      <c r="D3965">
        <v>5.7975779999999997</v>
      </c>
      <c r="E3965">
        <v>0.57649059999999996</v>
      </c>
      <c r="F3965" t="s">
        <v>84</v>
      </c>
      <c r="G3965">
        <v>-196.1653</v>
      </c>
      <c r="H3965" s="1">
        <v>-1.391829E-5</v>
      </c>
      <c r="I3965">
        <v>155.8639</v>
      </c>
      <c r="J3965">
        <v>-190.7193</v>
      </c>
      <c r="K3965">
        <v>1.1095900000000001</v>
      </c>
      <c r="L3965">
        <v>167.05680000000001</v>
      </c>
      <c r="M3965">
        <v>-0.1145577</v>
      </c>
      <c r="N3965">
        <v>0</v>
      </c>
      <c r="O3965">
        <v>-0.99335220000000002</v>
      </c>
      <c r="P3965">
        <v>-0.2477859</v>
      </c>
      <c r="Q3965">
        <v>-5.2638270000000001E-2</v>
      </c>
      <c r="R3965">
        <v>-0.96738420000000003</v>
      </c>
      <c r="S3965">
        <v>-1.324692</v>
      </c>
      <c r="T3965">
        <v>-0.26911040000000003</v>
      </c>
      <c r="U3965">
        <v>-2.7474669999999999</v>
      </c>
      <c r="V3965">
        <v>0.13530120000000001</v>
      </c>
      <c r="W3965">
        <v>-4.1506120000000001E-2</v>
      </c>
      <c r="X3965">
        <v>0.98993469999999995</v>
      </c>
      <c r="Y3965">
        <v>0.32652550000000002</v>
      </c>
      <c r="Z3965">
        <v>8.9004910000000007E-2</v>
      </c>
      <c r="AA3965">
        <v>0.94098839999999995</v>
      </c>
      <c r="AB3965">
        <v>17</v>
      </c>
      <c r="AC3965">
        <v>-5.44599999999999</v>
      </c>
      <c r="AD3965">
        <v>-1.1096039182899999</v>
      </c>
      <c r="AE3965">
        <v>-11.1929</v>
      </c>
      <c r="AF3965">
        <v>4.0952843347328196</v>
      </c>
      <c r="AG3965">
        <v>-1.1096039182899999</v>
      </c>
      <c r="AH3965">
        <v>11.6505439554952</v>
      </c>
      <c r="AI3965">
        <v>95.134305956774</v>
      </c>
      <c r="AJ3965">
        <v>70.632908022818498</v>
      </c>
      <c r="AK3965">
        <v>12.399102753696299</v>
      </c>
      <c r="AL3965">
        <v>92.378808991573607</v>
      </c>
      <c r="AM3965">
        <v>82.217214041269102</v>
      </c>
      <c r="AN3965">
        <v>0.99999994149148996</v>
      </c>
    </row>
    <row r="3966" spans="1:40" x14ac:dyDescent="0.25">
      <c r="A3966" t="str">
        <f>"20190312161350910"</f>
        <v>20190312161350910</v>
      </c>
      <c r="B3966" t="str">
        <f>"1552378430899948"</f>
        <v>1552378430899948</v>
      </c>
      <c r="C3966" t="s">
        <v>40</v>
      </c>
      <c r="D3966">
        <v>5.7720799999999999</v>
      </c>
      <c r="E3966">
        <v>0.57672330000000005</v>
      </c>
      <c r="F3966" t="s">
        <v>84</v>
      </c>
      <c r="G3966">
        <v>-196.22239999999999</v>
      </c>
      <c r="H3966" s="1">
        <v>-1.385068E-5</v>
      </c>
      <c r="I3966">
        <v>155.69450000000001</v>
      </c>
      <c r="J3966">
        <v>-190.7302</v>
      </c>
      <c r="K3966">
        <v>1.1095790000000001</v>
      </c>
      <c r="L3966">
        <v>166.96430000000001</v>
      </c>
      <c r="M3966">
        <v>-0.114817</v>
      </c>
      <c r="N3966">
        <v>0</v>
      </c>
      <c r="O3966">
        <v>-0.9933227</v>
      </c>
      <c r="P3966">
        <v>-0.24833160000000001</v>
      </c>
      <c r="Q3966">
        <v>-5.273129E-2</v>
      </c>
      <c r="R3966">
        <v>-0.96723910000000002</v>
      </c>
      <c r="S3966">
        <v>-1.3299259999999999</v>
      </c>
      <c r="T3966">
        <v>-0.26815549999999999</v>
      </c>
      <c r="U3966">
        <v>-2.745895</v>
      </c>
      <c r="V3966">
        <v>0.135601</v>
      </c>
      <c r="W3966">
        <v>-4.1636810000000003E-2</v>
      </c>
      <c r="X3966">
        <v>0.98988830000000005</v>
      </c>
      <c r="Y3966">
        <v>0.32795609999999997</v>
      </c>
      <c r="Z3966">
        <v>8.8675630000000005E-2</v>
      </c>
      <c r="AA3966">
        <v>0.94052190000000002</v>
      </c>
      <c r="AB3966">
        <v>17</v>
      </c>
      <c r="AC3966">
        <v>-5.4921999999999898</v>
      </c>
      <c r="AD3966">
        <v>-1.1095928506799999</v>
      </c>
      <c r="AE3966">
        <v>-11.2698</v>
      </c>
      <c r="AF3966">
        <v>4.1294788760154502</v>
      </c>
      <c r="AG3966">
        <v>-1.1095928506799999</v>
      </c>
      <c r="AH3966">
        <v>11.733980509612699</v>
      </c>
      <c r="AI3966">
        <v>95.097281906590197</v>
      </c>
      <c r="AJ3966">
        <v>70.611764645507904</v>
      </c>
      <c r="AK3966">
        <v>12.4887986084214</v>
      </c>
      <c r="AL3966">
        <v>92.386303195135895</v>
      </c>
      <c r="AM3966">
        <v>82.199819898682705</v>
      </c>
      <c r="AN3966">
        <v>1.00000005081243</v>
      </c>
    </row>
    <row r="3967" spans="1:40" x14ac:dyDescent="0.25">
      <c r="A3967" t="str">
        <f>"20190312161350923"</f>
        <v>20190312161350923</v>
      </c>
      <c r="B3967" t="str">
        <f>"1552378430920444"</f>
        <v>1552378430920444</v>
      </c>
      <c r="C3967" t="s">
        <v>40</v>
      </c>
      <c r="D3967">
        <v>5.6817820000000001</v>
      </c>
      <c r="E3967">
        <v>0.577219699999999</v>
      </c>
      <c r="F3967" t="s">
        <v>84</v>
      </c>
      <c r="G3967">
        <v>-196.24090000000001</v>
      </c>
      <c r="H3967" s="1">
        <v>-1.382003E-5</v>
      </c>
      <c r="I3967">
        <v>155.61920000000001</v>
      </c>
      <c r="J3967">
        <v>-190.74170000000001</v>
      </c>
      <c r="K3967">
        <v>1.1095649999999999</v>
      </c>
      <c r="L3967">
        <v>166.86789999999999</v>
      </c>
      <c r="M3967">
        <v>-0.115096699999999</v>
      </c>
      <c r="N3967">
        <v>0</v>
      </c>
      <c r="O3967">
        <v>-0.99329049999999997</v>
      </c>
      <c r="P3967">
        <v>-0.2485504</v>
      </c>
      <c r="Q3967">
        <v>-5.300647E-2</v>
      </c>
      <c r="R3967">
        <v>-0.96716749999999996</v>
      </c>
      <c r="S3967">
        <v>-1.3332059999999999</v>
      </c>
      <c r="T3967">
        <v>-0.26844309999999899</v>
      </c>
      <c r="U3967">
        <v>-2.7447050000000002</v>
      </c>
      <c r="V3967">
        <v>0.1355471</v>
      </c>
      <c r="W3967">
        <v>-4.1950269999999998E-2</v>
      </c>
      <c r="X3967">
        <v>0.98988240000000005</v>
      </c>
      <c r="Y3967">
        <v>0.32875670000000001</v>
      </c>
      <c r="Z3967">
        <v>8.8765350000000007E-2</v>
      </c>
      <c r="AA3967">
        <v>0.94023389999999996</v>
      </c>
      <c r="AB3967">
        <v>17</v>
      </c>
      <c r="AC3967">
        <v>-5.4992000000000001</v>
      </c>
      <c r="AD3967">
        <v>-1.1095788200300001</v>
      </c>
      <c r="AE3967">
        <v>-11.2486999999999</v>
      </c>
      <c r="AF3967">
        <v>4.1354032515106196</v>
      </c>
      <c r="AG3967">
        <v>-1.1095788200300001</v>
      </c>
      <c r="AH3967">
        <v>11.7149164140449</v>
      </c>
      <c r="AI3967">
        <v>95.103752125160497</v>
      </c>
      <c r="AJ3967">
        <v>70.556804013433506</v>
      </c>
      <c r="AK3967">
        <v>12.472850187448</v>
      </c>
      <c r="AL3967">
        <v>92.404278948685104</v>
      </c>
      <c r="AM3967">
        <v>82.202836343298401</v>
      </c>
      <c r="AN3967">
        <v>1.00000000365062</v>
      </c>
    </row>
    <row r="3968" spans="1:40" x14ac:dyDescent="0.25">
      <c r="A3968" t="str">
        <f>"20190312161350936"</f>
        <v>20190312161350936</v>
      </c>
      <c r="B3968" t="str">
        <f>"1552378430930205"</f>
        <v>1552378430930205</v>
      </c>
      <c r="C3968" t="s">
        <v>40</v>
      </c>
      <c r="D3968">
        <v>5.6287500000000001</v>
      </c>
      <c r="E3968">
        <v>0.57747159999999997</v>
      </c>
      <c r="F3968" t="s">
        <v>84</v>
      </c>
      <c r="G3968">
        <v>-196.27019999999999</v>
      </c>
      <c r="H3968" s="1">
        <v>-1.378435E-5</v>
      </c>
      <c r="I3968">
        <v>155.53</v>
      </c>
      <c r="J3968">
        <v>-190.7527</v>
      </c>
      <c r="K3968">
        <v>1.109553</v>
      </c>
      <c r="L3968">
        <v>166.77510000000001</v>
      </c>
      <c r="M3968">
        <v>-0.1153733</v>
      </c>
      <c r="N3968">
        <v>0</v>
      </c>
      <c r="O3968">
        <v>-0.993259</v>
      </c>
      <c r="P3968">
        <v>-0.24910370000000001</v>
      </c>
      <c r="Q3968">
        <v>-5.2701980000000002E-2</v>
      </c>
      <c r="R3968">
        <v>-0.96704210000000002</v>
      </c>
      <c r="S3968">
        <v>-1.3377079999999999</v>
      </c>
      <c r="T3968">
        <v>-0.26848080000000002</v>
      </c>
      <c r="U3968">
        <v>-2.7433779999999999</v>
      </c>
      <c r="V3968">
        <v>0.13583509999999999</v>
      </c>
      <c r="W3968">
        <v>-4.168326E-2</v>
      </c>
      <c r="X3968">
        <v>0.98985420000000002</v>
      </c>
      <c r="Y3968">
        <v>0.32991979999999999</v>
      </c>
      <c r="Z3968">
        <v>8.8763010000000003E-2</v>
      </c>
      <c r="AA3968">
        <v>0.93982659999999996</v>
      </c>
      <c r="AB3968">
        <v>17</v>
      </c>
      <c r="AC3968">
        <v>-5.5174999999999796</v>
      </c>
      <c r="AD3968">
        <v>-1.1095667843499999</v>
      </c>
      <c r="AE3968">
        <v>-11.245100000000001</v>
      </c>
      <c r="AF3968">
        <v>4.15061544329527</v>
      </c>
      <c r="AG3968">
        <v>-1.1095667843499999</v>
      </c>
      <c r="AH3968">
        <v>11.7146863531118</v>
      </c>
      <c r="AI3968">
        <v>95.101713803307604</v>
      </c>
      <c r="AJ3968">
        <v>70.490320253503</v>
      </c>
      <c r="AK3968">
        <v>12.477685016013099</v>
      </c>
      <c r="AL3968">
        <v>92.388967010978604</v>
      </c>
      <c r="AM3968">
        <v>82.186254105364497</v>
      </c>
      <c r="AN3968">
        <v>1.00000000290693</v>
      </c>
    </row>
    <row r="3969" spans="1:40" x14ac:dyDescent="0.25">
      <c r="A3969" t="str">
        <f>"20190312161350953"</f>
        <v>20190312161350953</v>
      </c>
      <c r="B3969" t="str">
        <f>"1552378430949724"</f>
        <v>1552378430949724</v>
      </c>
      <c r="C3969" t="s">
        <v>40</v>
      </c>
      <c r="D3969">
        <v>5.4486650000000001</v>
      </c>
      <c r="E3969">
        <v>0.57719759999999998</v>
      </c>
      <c r="F3969" t="s">
        <v>84</v>
      </c>
      <c r="G3969">
        <v>-196.31549999999999</v>
      </c>
      <c r="H3969" s="1">
        <v>-1.3732669999999999E-5</v>
      </c>
      <c r="I3969">
        <v>155.40020000000001</v>
      </c>
      <c r="J3969">
        <v>-190.76849999999999</v>
      </c>
      <c r="K3969">
        <v>1.1095410000000001</v>
      </c>
      <c r="L3969">
        <v>166.64349999999999</v>
      </c>
      <c r="M3969">
        <v>-0.11577659999999999</v>
      </c>
      <c r="N3969">
        <v>0</v>
      </c>
      <c r="O3969">
        <v>-0.99321269999999995</v>
      </c>
      <c r="P3969">
        <v>-0.24977369999999999</v>
      </c>
      <c r="Q3969">
        <v>-5.23746E-2</v>
      </c>
      <c r="R3969">
        <v>-0.96688700000000005</v>
      </c>
      <c r="S3969">
        <v>-1.3410340000000001</v>
      </c>
      <c r="T3969">
        <v>-0.26748820000000001</v>
      </c>
      <c r="U3969">
        <v>-2.7422029999999999</v>
      </c>
      <c r="V3969">
        <v>0.13611599999999999</v>
      </c>
      <c r="W3969">
        <v>-4.1407979999999997E-2</v>
      </c>
      <c r="X3969">
        <v>0.98982720000000002</v>
      </c>
      <c r="Y3969">
        <v>0.3306287</v>
      </c>
      <c r="Z3969">
        <v>8.8431549999999998E-2</v>
      </c>
      <c r="AA3969">
        <v>0.93960869999999996</v>
      </c>
      <c r="AB3969">
        <v>17</v>
      </c>
      <c r="AC3969">
        <v>-5.5469999999999899</v>
      </c>
      <c r="AD3969">
        <v>-1.1095547326699999</v>
      </c>
      <c r="AE3969">
        <v>-11.2432999999999</v>
      </c>
      <c r="AF3969">
        <v>4.1751993306559196</v>
      </c>
      <c r="AG3969">
        <v>-1.1095547326699999</v>
      </c>
      <c r="AH3969">
        <v>11.7181534256126</v>
      </c>
      <c r="AI3969">
        <v>95.096968227311706</v>
      </c>
      <c r="AJ3969">
        <v>70.388924351663903</v>
      </c>
      <c r="AK3969">
        <v>12.489136113506699</v>
      </c>
      <c r="AL3969">
        <v>92.373180920546503</v>
      </c>
      <c r="AM3969">
        <v>82.170084967854805</v>
      </c>
      <c r="AN3969">
        <v>1.00000003606175</v>
      </c>
    </row>
    <row r="3970" spans="1:40" x14ac:dyDescent="0.25">
      <c r="A3970" t="str">
        <f>"20190312161350967"</f>
        <v>20190312161350967</v>
      </c>
      <c r="B3970" t="str">
        <f>"1552378430960461"</f>
        <v>1552378430960461</v>
      </c>
      <c r="C3970" t="s">
        <v>40</v>
      </c>
      <c r="D3970">
        <v>5.4930289999999999</v>
      </c>
      <c r="E3970">
        <v>0.51311189999999995</v>
      </c>
      <c r="F3970" t="s">
        <v>84</v>
      </c>
      <c r="G3970">
        <v>-196.3767</v>
      </c>
      <c r="H3970" s="1">
        <v>-1.3642269999999999E-5</v>
      </c>
      <c r="I3970">
        <v>155.17679999999999</v>
      </c>
      <c r="J3970">
        <v>-190.78139999999999</v>
      </c>
      <c r="K3970">
        <v>1.1095299999999999</v>
      </c>
      <c r="L3970">
        <v>166.53639999999999</v>
      </c>
      <c r="M3970">
        <v>-0.11611440000000001</v>
      </c>
      <c r="N3970">
        <v>0</v>
      </c>
      <c r="O3970">
        <v>-0.99317370000000005</v>
      </c>
      <c r="P3970">
        <v>-0.25023450000000003</v>
      </c>
      <c r="Q3970">
        <v>-5.202615E-2</v>
      </c>
      <c r="R3970">
        <v>-0.9667869</v>
      </c>
      <c r="S3970">
        <v>-1.3410489999999999</v>
      </c>
      <c r="T3970">
        <v>-0.26531769999999999</v>
      </c>
      <c r="U3970">
        <v>-2.7419280000000001</v>
      </c>
      <c r="V3970">
        <v>0.13624839999999999</v>
      </c>
      <c r="W3970">
        <v>-4.1099839999999999E-2</v>
      </c>
      <c r="X3970">
        <v>0.98982179999999997</v>
      </c>
      <c r="Y3970">
        <v>0.33037670000000002</v>
      </c>
      <c r="Z3970">
        <v>8.7726310000000002E-2</v>
      </c>
      <c r="AA3970">
        <v>0.93976340000000003</v>
      </c>
      <c r="AB3970">
        <v>17</v>
      </c>
      <c r="AC3970">
        <v>-5.5952999999999999</v>
      </c>
      <c r="AD3970">
        <v>-1.10954364226999</v>
      </c>
      <c r="AE3970">
        <v>-11.3596</v>
      </c>
      <c r="AF3970">
        <v>4.2060608257625196</v>
      </c>
      <c r="AG3970">
        <v>-1.10954364226999</v>
      </c>
      <c r="AH3970">
        <v>11.8415725420559</v>
      </c>
      <c r="AI3970">
        <v>95.045825323058097</v>
      </c>
      <c r="AJ3970">
        <v>70.445244125418299</v>
      </c>
      <c r="AK3970">
        <v>12.615263573659</v>
      </c>
      <c r="AL3970">
        <v>92.355510819394894</v>
      </c>
      <c r="AM3970">
        <v>82.162521190666197</v>
      </c>
      <c r="AN3970">
        <v>1.00000000955291</v>
      </c>
    </row>
    <row r="3971" spans="1:40" x14ac:dyDescent="0.25">
      <c r="A3971" t="str">
        <f>"20190312161350980"</f>
        <v>20190312161350980</v>
      </c>
      <c r="B3971" t="str">
        <f>"1552378430970220"</f>
        <v>1552378430970220</v>
      </c>
      <c r="C3971" t="s">
        <v>40</v>
      </c>
      <c r="D3971">
        <v>5.6215229999999998</v>
      </c>
      <c r="E3971">
        <v>0.50633439999999996</v>
      </c>
      <c r="F3971" t="s">
        <v>43</v>
      </c>
      <c r="G3971">
        <v>-190.98560000000001</v>
      </c>
      <c r="H3971">
        <v>1.0054590000000001</v>
      </c>
      <c r="I3971">
        <v>165.84099999999901</v>
      </c>
      <c r="J3971">
        <v>-190.7928</v>
      </c>
      <c r="K3971">
        <v>1.109523</v>
      </c>
      <c r="L3971">
        <v>166.44210000000001</v>
      </c>
      <c r="M3971">
        <v>-0.11642280000000001</v>
      </c>
      <c r="N3971">
        <v>0</v>
      </c>
      <c r="O3971">
        <v>-0.99313770000000001</v>
      </c>
      <c r="P3971">
        <v>-0.25059330000000002</v>
      </c>
      <c r="Q3971">
        <v>-5.1914120000000001E-2</v>
      </c>
      <c r="R3971">
        <v>-0.96669959999999999</v>
      </c>
      <c r="S3971">
        <v>-0.84031679999999997</v>
      </c>
      <c r="T3971">
        <v>-0.42838759999999998</v>
      </c>
      <c r="U3971">
        <v>-2.8625340000000001</v>
      </c>
      <c r="V3971">
        <v>0.13630709999999999</v>
      </c>
      <c r="W3971">
        <v>-4.1018930000000002E-2</v>
      </c>
      <c r="X3971">
        <v>0.98981710000000001</v>
      </c>
      <c r="Y3971">
        <v>0.1651512</v>
      </c>
      <c r="Z3971">
        <v>0.14256259999999901</v>
      </c>
      <c r="AA3971">
        <v>0.97591030000000001</v>
      </c>
      <c r="AB3971">
        <v>17</v>
      </c>
      <c r="AC3971">
        <v>-0.192800000000005</v>
      </c>
      <c r="AD3971">
        <v>-0.104063999999999</v>
      </c>
      <c r="AE3971">
        <v>-0.60110000000003005</v>
      </c>
      <c r="AF3971">
        <v>0.11828813137241399</v>
      </c>
      <c r="AG3971">
        <v>-0.104063999999999</v>
      </c>
      <c r="AH3971">
        <v>0.60307070845864497</v>
      </c>
      <c r="AI3971">
        <v>99.610752029308102</v>
      </c>
      <c r="AJ3971">
        <v>78.902711434231307</v>
      </c>
      <c r="AK3971">
        <v>0.62331025783343996</v>
      </c>
      <c r="AL3971">
        <v>92.350871045919405</v>
      </c>
      <c r="AM3971">
        <v>82.159149786393002</v>
      </c>
      <c r="AN3971">
        <v>1.00000003479058</v>
      </c>
    </row>
    <row r="3972" spans="1:40" x14ac:dyDescent="0.25">
      <c r="A3972" t="str">
        <f>"20190312161350996"</f>
        <v>20190312161350996</v>
      </c>
      <c r="B3972" t="str">
        <f>"1552378430989741"</f>
        <v>1552378430989741</v>
      </c>
      <c r="C3972" t="s">
        <v>40</v>
      </c>
      <c r="D3972">
        <v>5.3670260000000001</v>
      </c>
      <c r="E3972">
        <v>0.49741170000000001</v>
      </c>
      <c r="F3972" t="s">
        <v>43</v>
      </c>
      <c r="G3972">
        <v>-190.9956</v>
      </c>
      <c r="H3972">
        <v>0.98079000000000005</v>
      </c>
      <c r="I3972">
        <v>165.7011</v>
      </c>
      <c r="J3972">
        <v>-190.80770000000001</v>
      </c>
      <c r="K3972">
        <v>1.1095159999999999</v>
      </c>
      <c r="L3972">
        <v>166.31899999999999</v>
      </c>
      <c r="M3972">
        <v>-0.1168341</v>
      </c>
      <c r="N3972">
        <v>0</v>
      </c>
      <c r="O3972">
        <v>-0.99308989999999997</v>
      </c>
      <c r="P3972">
        <v>-0.2510155</v>
      </c>
      <c r="Q3972">
        <v>-5.1450410000000002E-2</v>
      </c>
      <c r="R3972">
        <v>-0.966615</v>
      </c>
      <c r="S3972">
        <v>-0.78594969999999997</v>
      </c>
      <c r="T3972">
        <v>-0.4990463</v>
      </c>
      <c r="U3972">
        <v>-2.8727870000000002</v>
      </c>
      <c r="V3972">
        <v>0.1363259</v>
      </c>
      <c r="W3972">
        <v>-4.059277E-2</v>
      </c>
      <c r="X3972">
        <v>0.98983200000000005</v>
      </c>
      <c r="Y3972">
        <v>0.1457215</v>
      </c>
      <c r="Z3972">
        <v>0.16556199999999999</v>
      </c>
      <c r="AA3972">
        <v>0.97537399999999996</v>
      </c>
      <c r="AB3972">
        <v>17</v>
      </c>
      <c r="AC3972">
        <v>-0.187899999999984</v>
      </c>
      <c r="AD3972">
        <v>-0.12872600000000001</v>
      </c>
      <c r="AE3972">
        <v>-0.61790000000001999</v>
      </c>
      <c r="AF3972">
        <v>0.110045041203119</v>
      </c>
      <c r="AG3972">
        <v>-0.12872600000000001</v>
      </c>
      <c r="AH3972">
        <v>0.61133572258098801</v>
      </c>
      <c r="AI3972">
        <v>101.70793279550701</v>
      </c>
      <c r="AJ3972">
        <v>79.795607675147096</v>
      </c>
      <c r="AK3972">
        <v>0.63435925142856997</v>
      </c>
      <c r="AL3972">
        <v>92.326433706194393</v>
      </c>
      <c r="AM3972">
        <v>82.158198376437099</v>
      </c>
      <c r="AN3972">
        <v>0.99999995610554004</v>
      </c>
    </row>
    <row r="3973" spans="1:40" x14ac:dyDescent="0.25">
      <c r="A3973" t="str">
        <f>"20190312161351010"</f>
        <v>20190312161351010</v>
      </c>
      <c r="B3973" t="str">
        <f>"1552378431000476"</f>
        <v>1552378431000476</v>
      </c>
      <c r="C3973" t="s">
        <v>40</v>
      </c>
      <c r="D3973">
        <v>5.4053040000000001</v>
      </c>
      <c r="E3973">
        <v>0.49623800000000001</v>
      </c>
      <c r="F3973" t="s">
        <v>43</v>
      </c>
      <c r="G3973">
        <v>-190.98609999999999</v>
      </c>
      <c r="H3973">
        <v>0.89149449999999997</v>
      </c>
      <c r="I3973">
        <v>165.58920000000001</v>
      </c>
      <c r="J3973">
        <v>-190.81979999999999</v>
      </c>
      <c r="K3973">
        <v>1.109507</v>
      </c>
      <c r="L3973">
        <v>166.2193</v>
      </c>
      <c r="M3973">
        <v>-0.1171753</v>
      </c>
      <c r="N3973">
        <v>0</v>
      </c>
      <c r="O3973">
        <v>-0.99304999999999999</v>
      </c>
      <c r="P3973">
        <v>-0.25177329999999998</v>
      </c>
      <c r="Q3973">
        <v>-5.1343680000000003E-2</v>
      </c>
      <c r="R3973">
        <v>-0.96642360000000005</v>
      </c>
      <c r="S3973">
        <v>-0.70277400000000001</v>
      </c>
      <c r="T3973">
        <v>-0.85892819999999903</v>
      </c>
      <c r="U3973">
        <v>-2.875381</v>
      </c>
      <c r="V3973">
        <v>0.136760299999999</v>
      </c>
      <c r="W3973">
        <v>-4.0515330000000002E-2</v>
      </c>
      <c r="X3973">
        <v>0.98977530000000002</v>
      </c>
      <c r="Y3973">
        <v>0.112496</v>
      </c>
      <c r="Z3973">
        <v>0.2787192</v>
      </c>
      <c r="AA3973">
        <v>0.95376110000000003</v>
      </c>
      <c r="AB3973">
        <v>17</v>
      </c>
      <c r="AC3973">
        <v>-0.166300000000006</v>
      </c>
      <c r="AD3973">
        <v>-0.2180125</v>
      </c>
      <c r="AE3973">
        <v>-0.630099999999998</v>
      </c>
      <c r="AF3973">
        <v>8.2126224811380003E-2</v>
      </c>
      <c r="AG3973">
        <v>-0.2180125</v>
      </c>
      <c r="AH3973">
        <v>0.58030035389581203</v>
      </c>
      <c r="AI3973">
        <v>110.40431176169101</v>
      </c>
      <c r="AJ3973">
        <v>81.944786965547493</v>
      </c>
      <c r="AK3973">
        <v>0.625318053225416</v>
      </c>
      <c r="AL3973">
        <v>92.321992947030594</v>
      </c>
      <c r="AM3973">
        <v>82.133077970587195</v>
      </c>
      <c r="AN3973">
        <v>1.00000000805559</v>
      </c>
    </row>
    <row r="3974" spans="1:40" x14ac:dyDescent="0.25">
      <c r="A3974" t="str">
        <f>"20190312161351033"</f>
        <v>20190312161351033</v>
      </c>
      <c r="B3974" t="str">
        <f>"1552378431029756"</f>
        <v>1552378431029756</v>
      </c>
      <c r="C3974" t="s">
        <v>40</v>
      </c>
      <c r="D3974">
        <v>5.2914940000000001</v>
      </c>
      <c r="E3974">
        <v>0.49684489999999998</v>
      </c>
      <c r="F3974" t="s">
        <v>43</v>
      </c>
      <c r="G3974">
        <v>-191.00749999999999</v>
      </c>
      <c r="H3974">
        <v>0.88010429999999995</v>
      </c>
      <c r="I3974">
        <v>165.4426</v>
      </c>
      <c r="J3974">
        <v>-190.84119999999999</v>
      </c>
      <c r="K3974">
        <v>1.109486</v>
      </c>
      <c r="L3974">
        <v>166.0436</v>
      </c>
      <c r="M3974">
        <v>-0.1178024</v>
      </c>
      <c r="N3974">
        <v>0</v>
      </c>
      <c r="O3974">
        <v>-0.99297619999999998</v>
      </c>
      <c r="P3974">
        <v>-0.25259169999999997</v>
      </c>
      <c r="Q3974">
        <v>-5.0795079999999999E-2</v>
      </c>
      <c r="R3974">
        <v>-0.96623879999999995</v>
      </c>
      <c r="S3974">
        <v>-0.6958008</v>
      </c>
      <c r="T3974">
        <v>-0.84995149999999997</v>
      </c>
      <c r="U3974">
        <v>-2.8778079999999999</v>
      </c>
      <c r="V3974">
        <v>0.13696900000000001</v>
      </c>
      <c r="W3974">
        <v>-4.0012510000000001E-2</v>
      </c>
      <c r="X3974">
        <v>0.98976690000000001</v>
      </c>
      <c r="Y3974">
        <v>0.1096912</v>
      </c>
      <c r="Z3974">
        <v>0.27590900000000002</v>
      </c>
      <c r="AA3974">
        <v>0.95490419999999998</v>
      </c>
      <c r="AB3974">
        <v>17</v>
      </c>
      <c r="AC3974">
        <v>-0.166300000000006</v>
      </c>
      <c r="AD3974">
        <v>-0.22938169999999999</v>
      </c>
      <c r="AE3974">
        <v>-0.60099999999999898</v>
      </c>
      <c r="AF3974">
        <v>8.3094882308956106E-2</v>
      </c>
      <c r="AG3974">
        <v>-0.22938169999999999</v>
      </c>
      <c r="AH3974">
        <v>0.542941411115902</v>
      </c>
      <c r="AI3974">
        <v>112.666246643208</v>
      </c>
      <c r="AJ3974">
        <v>81.298641833777097</v>
      </c>
      <c r="AK3974">
        <v>0.59523617133483697</v>
      </c>
      <c r="AL3974">
        <v>92.293160092619502</v>
      </c>
      <c r="AM3974">
        <v>82.121157458018203</v>
      </c>
      <c r="AN3974">
        <v>1.00000001212655</v>
      </c>
    </row>
    <row r="3975" spans="1:40" x14ac:dyDescent="0.25">
      <c r="A3975" t="str">
        <f>"20190312161351050"</f>
        <v>20190312161351050</v>
      </c>
      <c r="B3975" t="str">
        <f>"1552378431040493"</f>
        <v>1552378431040493</v>
      </c>
      <c r="C3975" t="s">
        <v>40</v>
      </c>
      <c r="D3975">
        <v>5.3616039999999998</v>
      </c>
      <c r="E3975">
        <v>0.49684250000000002</v>
      </c>
      <c r="F3975" t="s">
        <v>43</v>
      </c>
      <c r="G3975">
        <v>-191.029</v>
      </c>
      <c r="H3975">
        <v>0.90830270000000002</v>
      </c>
      <c r="I3975">
        <v>165.2792</v>
      </c>
      <c r="J3975">
        <v>-190.85640000000001</v>
      </c>
      <c r="K3975">
        <v>1.109475</v>
      </c>
      <c r="L3975">
        <v>165.9204</v>
      </c>
      <c r="M3975">
        <v>-0.11825620000000001</v>
      </c>
      <c r="N3975">
        <v>0</v>
      </c>
      <c r="O3975">
        <v>-0.99292270000000005</v>
      </c>
      <c r="P3975">
        <v>-0.253102299999999</v>
      </c>
      <c r="Q3975">
        <v>-5.0581380000000002E-2</v>
      </c>
      <c r="R3975">
        <v>-0.9661168</v>
      </c>
      <c r="S3975">
        <v>-0.70675659999999996</v>
      </c>
      <c r="T3975">
        <v>-0.75803730000000002</v>
      </c>
      <c r="U3975">
        <v>-2.8802340000000002</v>
      </c>
      <c r="V3975">
        <v>0.13703750000000001</v>
      </c>
      <c r="W3975">
        <v>-3.9828889999999999E-2</v>
      </c>
      <c r="X3975">
        <v>0.9897648</v>
      </c>
      <c r="Y3975">
        <v>0.1143188</v>
      </c>
      <c r="Z3975">
        <v>0.24766540000000001</v>
      </c>
      <c r="AA3975">
        <v>0.96207739999999997</v>
      </c>
      <c r="AB3975">
        <v>17</v>
      </c>
      <c r="AC3975">
        <v>-0.17260000000001599</v>
      </c>
      <c r="AD3975">
        <v>-0.2011723</v>
      </c>
      <c r="AE3975">
        <v>-0.64119999999999699</v>
      </c>
      <c r="AF3975">
        <v>8.7524901970233701E-2</v>
      </c>
      <c r="AG3975">
        <v>-0.2011723</v>
      </c>
      <c r="AH3975">
        <v>0.60187022898628595</v>
      </c>
      <c r="AI3975">
        <v>108.30246860371</v>
      </c>
      <c r="AJ3975">
        <v>81.725958478547199</v>
      </c>
      <c r="AK3975">
        <v>0.64060805122336195</v>
      </c>
      <c r="AL3975">
        <v>92.282631103350994</v>
      </c>
      <c r="AM3975">
        <v>82.117250152365699</v>
      </c>
      <c r="AN3975">
        <v>0.999999988101961</v>
      </c>
    </row>
    <row r="3976" spans="1:40" x14ac:dyDescent="0.25">
      <c r="A3976" t="str">
        <f>"20190312161351066"</f>
        <v>20190312161351066</v>
      </c>
      <c r="B3976" t="str">
        <f>"1552378431060012"</f>
        <v>1552378431060012</v>
      </c>
      <c r="C3976" t="s">
        <v>40</v>
      </c>
      <c r="D3976">
        <v>5.6739709999999999</v>
      </c>
      <c r="E3976">
        <v>0.49725580000000003</v>
      </c>
      <c r="F3976" t="s">
        <v>43</v>
      </c>
      <c r="G3976">
        <v>-191.0513</v>
      </c>
      <c r="H3976">
        <v>0.90453589999999995</v>
      </c>
      <c r="I3976">
        <v>165.1293</v>
      </c>
      <c r="J3976">
        <v>-190.87289999999999</v>
      </c>
      <c r="K3976">
        <v>1.1094630000000001</v>
      </c>
      <c r="L3976">
        <v>165.78639999999999</v>
      </c>
      <c r="M3976">
        <v>-0.11876780000000001</v>
      </c>
      <c r="N3976">
        <v>0</v>
      </c>
      <c r="O3976">
        <v>-0.99286169999999996</v>
      </c>
      <c r="P3976">
        <v>-0.25374669999999999</v>
      </c>
      <c r="Q3976">
        <v>-5.0084749999999997E-2</v>
      </c>
      <c r="R3976">
        <v>-0.96597330000000003</v>
      </c>
      <c r="S3976">
        <v>-0.70941160000000003</v>
      </c>
      <c r="T3976">
        <v>-0.74618260000000003</v>
      </c>
      <c r="U3976">
        <v>-2.88028</v>
      </c>
      <c r="V3976">
        <v>0.1371839</v>
      </c>
      <c r="W3976">
        <v>-3.9362389999999997E-2</v>
      </c>
      <c r="X3976">
        <v>0.98976319999999995</v>
      </c>
      <c r="Y3976">
        <v>0.1148652</v>
      </c>
      <c r="Z3976">
        <v>0.24397060000000001</v>
      </c>
      <c r="AA3976">
        <v>0.96295609999999998</v>
      </c>
      <c r="AB3976">
        <v>17</v>
      </c>
      <c r="AC3976">
        <v>-0.17840000000001</v>
      </c>
      <c r="AD3976">
        <v>-0.204927099999999</v>
      </c>
      <c r="AE3976">
        <v>-0.65709999999998503</v>
      </c>
      <c r="AF3976">
        <v>9.0859754707628401E-2</v>
      </c>
      <c r="AG3976">
        <v>-0.204927099999999</v>
      </c>
      <c r="AH3976">
        <v>0.61768585642493601</v>
      </c>
      <c r="AI3976">
        <v>108.171584823796</v>
      </c>
      <c r="AJ3976">
        <v>81.631971179847298</v>
      </c>
      <c r="AK3976">
        <v>0.65710457962743496</v>
      </c>
      <c r="AL3976">
        <v>92.255881603655197</v>
      </c>
      <c r="AM3976">
        <v>82.108922284389394</v>
      </c>
      <c r="AN3976">
        <v>1.0000000061199801</v>
      </c>
    </row>
    <row r="3977" spans="1:40" x14ac:dyDescent="0.25">
      <c r="A3977" t="str">
        <f>"20190312161351090"</f>
        <v>20190312161351090</v>
      </c>
      <c r="B3977" t="str">
        <f>"1552378431079532"</f>
        <v>1552378431079532</v>
      </c>
      <c r="C3977" t="s">
        <v>40</v>
      </c>
      <c r="D3977">
        <v>5.315302</v>
      </c>
      <c r="E3977">
        <v>0.49748759999999997</v>
      </c>
      <c r="F3977" t="s">
        <v>43</v>
      </c>
      <c r="G3977">
        <v>-191.0403</v>
      </c>
      <c r="H3977">
        <v>0.9386525</v>
      </c>
      <c r="I3977">
        <v>165.11250000000001</v>
      </c>
      <c r="J3977">
        <v>-190.89449999999999</v>
      </c>
      <c r="K3977">
        <v>1.10944</v>
      </c>
      <c r="L3977">
        <v>165.613</v>
      </c>
      <c r="M3977">
        <v>-0.1194598</v>
      </c>
      <c r="N3977">
        <v>0</v>
      </c>
      <c r="O3977">
        <v>-0.99277910000000003</v>
      </c>
      <c r="P3977">
        <v>-0.25470219999999999</v>
      </c>
      <c r="Q3977">
        <v>-5.0262750000000002E-2</v>
      </c>
      <c r="R3977">
        <v>-0.96571280000000004</v>
      </c>
      <c r="S3977">
        <v>-0.71519469999999996</v>
      </c>
      <c r="T3977">
        <v>-0.72992590000000002</v>
      </c>
      <c r="U3977">
        <v>-2.8799290000000002</v>
      </c>
      <c r="V3977">
        <v>0.13747229999999999</v>
      </c>
      <c r="W3977">
        <v>-3.9576720000000003E-2</v>
      </c>
      <c r="X3977">
        <v>0.9897146</v>
      </c>
      <c r="Y3977">
        <v>0.1163289</v>
      </c>
      <c r="Z3977">
        <v>0.23889089999999999</v>
      </c>
      <c r="AA3977">
        <v>0.9640533</v>
      </c>
      <c r="AB3977">
        <v>17</v>
      </c>
      <c r="AC3977">
        <v>-0.14580000000000801</v>
      </c>
      <c r="AD3977">
        <v>-0.17078749999999901</v>
      </c>
      <c r="AE3977">
        <v>-0.50049999999998795</v>
      </c>
      <c r="AF3977">
        <v>7.6727308671940705E-2</v>
      </c>
      <c r="AG3977">
        <v>-0.17078749999999901</v>
      </c>
      <c r="AH3977">
        <v>0.46448011667921801</v>
      </c>
      <c r="AI3977">
        <v>109.939741578395</v>
      </c>
      <c r="AJ3977">
        <v>80.620036979582395</v>
      </c>
      <c r="AK3977">
        <v>0.50079659428018197</v>
      </c>
      <c r="AL3977">
        <v>92.268171467101197</v>
      </c>
      <c r="AM3977">
        <v>82.092159221567996</v>
      </c>
      <c r="AN3977">
        <v>0.99999996974320304</v>
      </c>
    </row>
    <row r="3978" spans="1:40" x14ac:dyDescent="0.25">
      <c r="A3978" t="str">
        <f>"20190312161351106"</f>
        <v>20190312161351106</v>
      </c>
      <c r="B3978" t="str">
        <f>"1552378431100029"</f>
        <v>1552378431100029</v>
      </c>
      <c r="C3978" t="s">
        <v>40</v>
      </c>
      <c r="D3978">
        <v>5.5981249999999996</v>
      </c>
      <c r="E3978">
        <v>0.49773810000000002</v>
      </c>
      <c r="F3978" t="s">
        <v>43</v>
      </c>
      <c r="G3978">
        <v>-191.09200000000001</v>
      </c>
      <c r="H3978">
        <v>0.91001770000000004</v>
      </c>
      <c r="I3978">
        <v>164.82299999999901</v>
      </c>
      <c r="J3978">
        <v>-190.9109</v>
      </c>
      <c r="K3978">
        <v>1.109421</v>
      </c>
      <c r="L3978">
        <v>165.48220000000001</v>
      </c>
      <c r="M3978">
        <v>-0.1200142</v>
      </c>
      <c r="N3978">
        <v>0</v>
      </c>
      <c r="O3978">
        <v>-0.99271229999999999</v>
      </c>
      <c r="P3978">
        <v>-0.25565840000000001</v>
      </c>
      <c r="Q3978">
        <v>-5.0547479999999999E-2</v>
      </c>
      <c r="R3978">
        <v>-0.96544470000000004</v>
      </c>
      <c r="S3978">
        <v>-0.71972659999999999</v>
      </c>
      <c r="T3978">
        <v>-0.72671249999999998</v>
      </c>
      <c r="U3978">
        <v>-2.8788450000000001</v>
      </c>
      <c r="V3978">
        <v>0.13789940000000001</v>
      </c>
      <c r="W3978">
        <v>-3.9887989999999998E-2</v>
      </c>
      <c r="X3978">
        <v>0.98964269999999999</v>
      </c>
      <c r="Y3978">
        <v>0.11734749999999999</v>
      </c>
      <c r="Z3978">
        <v>0.23790210000000001</v>
      </c>
      <c r="AA3978">
        <v>0.96417430000000004</v>
      </c>
      <c r="AB3978">
        <v>17</v>
      </c>
      <c r="AC3978">
        <v>-0.181100000000014</v>
      </c>
      <c r="AD3978">
        <v>-0.19940330000000001</v>
      </c>
      <c r="AE3978">
        <v>-0.65920000000002599</v>
      </c>
      <c r="AF3978">
        <v>9.27791270439937E-2</v>
      </c>
      <c r="AG3978">
        <v>-0.19940330000000001</v>
      </c>
      <c r="AH3978">
        <v>0.62315258262790496</v>
      </c>
      <c r="AI3978">
        <v>107.56270261857399</v>
      </c>
      <c r="AJ3978">
        <v>81.531628724361099</v>
      </c>
      <c r="AK3978">
        <v>0.66082432136064995</v>
      </c>
      <c r="AL3978">
        <v>92.286019984149803</v>
      </c>
      <c r="AM3978">
        <v>82.067334369650595</v>
      </c>
      <c r="AN3978">
        <v>0.99999998496494402</v>
      </c>
    </row>
    <row r="3979" spans="1:40" x14ac:dyDescent="0.25">
      <c r="A3979" t="str">
        <f>"20190312161351123"</f>
        <v>20190312161351123</v>
      </c>
      <c r="B3979" t="str">
        <f>"1552378431110123"</f>
        <v>1552378431110123</v>
      </c>
      <c r="C3979" t="s">
        <v>40</v>
      </c>
      <c r="D3979">
        <v>6.3712780000000002</v>
      </c>
      <c r="E3979">
        <v>0.498448</v>
      </c>
      <c r="F3979" t="s">
        <v>43</v>
      </c>
      <c r="G3979">
        <v>-191.08090000000001</v>
      </c>
      <c r="H3979">
        <v>0.94098879999999996</v>
      </c>
      <c r="I3979">
        <v>164.8074</v>
      </c>
      <c r="J3979">
        <v>-190.9264</v>
      </c>
      <c r="K3979">
        <v>1.109405</v>
      </c>
      <c r="L3979">
        <v>165.3586</v>
      </c>
      <c r="M3979">
        <v>-0.1205639</v>
      </c>
      <c r="N3979">
        <v>0</v>
      </c>
      <c r="O3979">
        <v>-0.99264620000000003</v>
      </c>
      <c r="P3979">
        <v>-0.25647310000000001</v>
      </c>
      <c r="Q3979">
        <v>-5.021896E-2</v>
      </c>
      <c r="R3979">
        <v>-0.9652461</v>
      </c>
      <c r="S3979">
        <v>-0.72505189999999997</v>
      </c>
      <c r="T3979">
        <v>-0.71830509999999903</v>
      </c>
      <c r="U3979">
        <v>-2.8777620000000002</v>
      </c>
      <c r="V3979">
        <v>0.13818269999999999</v>
      </c>
      <c r="W3979">
        <v>-3.9582569999999997E-2</v>
      </c>
      <c r="X3979">
        <v>0.98961540000000003</v>
      </c>
      <c r="Y3979">
        <v>0.11871760000000001</v>
      </c>
      <c r="Z3979">
        <v>0.23529539999999999</v>
      </c>
      <c r="AA3979">
        <v>0.96464620000000001</v>
      </c>
      <c r="AB3979">
        <v>17</v>
      </c>
      <c r="AC3979">
        <v>-0.15450000000001199</v>
      </c>
      <c r="AD3979">
        <v>-0.16841619999999899</v>
      </c>
      <c r="AE3979">
        <v>-0.55119999999999403</v>
      </c>
      <c r="AF3979">
        <v>7.9990407213470005E-2</v>
      </c>
      <c r="AG3979">
        <v>-0.16841619999999899</v>
      </c>
      <c r="AH3979">
        <v>0.52073388080042404</v>
      </c>
      <c r="AI3979">
        <v>107.727587210718</v>
      </c>
      <c r="AJ3979">
        <v>81.267004835189596</v>
      </c>
      <c r="AK3979">
        <v>0.55310600817753497</v>
      </c>
      <c r="AL3979">
        <v>92.268506979655399</v>
      </c>
      <c r="AM3979">
        <v>82.051029149121803</v>
      </c>
      <c r="AN3979">
        <v>0.99999993917212504</v>
      </c>
    </row>
    <row r="3980" spans="1:40" x14ac:dyDescent="0.25">
      <c r="A3980" t="str">
        <f>"20190312161351145"</f>
        <v>20190312161351145</v>
      </c>
      <c r="B3980" t="str">
        <f>"1552378431140378"</f>
        <v>1552378431140378</v>
      </c>
      <c r="C3980" t="s">
        <v>40</v>
      </c>
      <c r="D3980">
        <v>5.4449899999999998</v>
      </c>
      <c r="E3980">
        <v>0.5001082</v>
      </c>
      <c r="F3980" t="s">
        <v>43</v>
      </c>
      <c r="G3980">
        <v>-191.10509999999999</v>
      </c>
      <c r="H3980">
        <v>0.93578170000000005</v>
      </c>
      <c r="I3980">
        <v>164.65809999999999</v>
      </c>
      <c r="J3980">
        <v>-190.94759999999999</v>
      </c>
      <c r="K3980">
        <v>1.1093679999999999</v>
      </c>
      <c r="L3980">
        <v>165.19200000000001</v>
      </c>
      <c r="M3980">
        <v>-0.121347</v>
      </c>
      <c r="N3980">
        <v>0</v>
      </c>
      <c r="O3980">
        <v>-0.99255070000000001</v>
      </c>
      <c r="P3980">
        <v>-0.25766909999999998</v>
      </c>
      <c r="Q3980">
        <v>-5.0051749999999999E-2</v>
      </c>
      <c r="R3980">
        <v>-0.96493629999999997</v>
      </c>
      <c r="S3980">
        <v>-0.73327640000000005</v>
      </c>
      <c r="T3980">
        <v>-0.71285989999999999</v>
      </c>
      <c r="U3980">
        <v>-2.8761139999999998</v>
      </c>
      <c r="V3980">
        <v>0.1386242</v>
      </c>
      <c r="W3980">
        <v>-3.9450060000000002E-2</v>
      </c>
      <c r="X3980">
        <v>0.98955899999999997</v>
      </c>
      <c r="Y3980">
        <v>0.1207593</v>
      </c>
      <c r="Z3980">
        <v>0.2335959</v>
      </c>
      <c r="AA3980">
        <v>0.96480580000000005</v>
      </c>
      <c r="AB3980">
        <v>17</v>
      </c>
      <c r="AC3980">
        <v>-0.157499999999998</v>
      </c>
      <c r="AD3980">
        <v>-0.1735863</v>
      </c>
      <c r="AE3980">
        <v>-0.53390000000001603</v>
      </c>
      <c r="AF3980">
        <v>8.3431586007603406E-2</v>
      </c>
      <c r="AG3980">
        <v>-0.1735863</v>
      </c>
      <c r="AH3980">
        <v>0.50040498822062496</v>
      </c>
      <c r="AI3980">
        <v>108.88932480476601</v>
      </c>
      <c r="AJ3980">
        <v>80.534251628645293</v>
      </c>
      <c r="AK3980">
        <v>0.53618857254469499</v>
      </c>
      <c r="AL3980">
        <v>92.260908653784895</v>
      </c>
      <c r="AM3980">
        <v>82.025509364534798</v>
      </c>
      <c r="AN3980">
        <v>0.99999999527032102</v>
      </c>
    </row>
    <row r="3981" spans="1:40" x14ac:dyDescent="0.25">
      <c r="A3981" t="str">
        <f>"20190312161351169"</f>
        <v>20190312161351169</v>
      </c>
      <c r="B3981" t="str">
        <f>"1552378431159898"</f>
        <v>1552378431159898</v>
      </c>
      <c r="C3981" t="s">
        <v>40</v>
      </c>
      <c r="D3981">
        <v>5.3187680000000004</v>
      </c>
      <c r="E3981">
        <v>0.50119570000000002</v>
      </c>
      <c r="F3981" t="s">
        <v>43</v>
      </c>
      <c r="G3981">
        <v>-191.1275</v>
      </c>
      <c r="H3981">
        <v>0.94115360000000003</v>
      </c>
      <c r="I3981">
        <v>164.5034</v>
      </c>
      <c r="J3981">
        <v>-190.971</v>
      </c>
      <c r="K3981">
        <v>1.1093200000000001</v>
      </c>
      <c r="L3981">
        <v>165.00899999999999</v>
      </c>
      <c r="M3981">
        <v>-0.1222765</v>
      </c>
      <c r="N3981">
        <v>0</v>
      </c>
      <c r="O3981">
        <v>-0.99243700000000001</v>
      </c>
      <c r="P3981">
        <v>-0.25986399999999998</v>
      </c>
      <c r="Q3981">
        <v>-5.0541540000000003E-2</v>
      </c>
      <c r="R3981">
        <v>-0.96432200000000001</v>
      </c>
      <c r="S3981">
        <v>-0.75015259999999995</v>
      </c>
      <c r="T3981">
        <v>-0.70161689999999999</v>
      </c>
      <c r="U3981">
        <v>-2.8723299999999998</v>
      </c>
      <c r="V3981">
        <v>0.13994679999999901</v>
      </c>
      <c r="W3981">
        <v>-3.9986069999999999E-2</v>
      </c>
      <c r="X3981">
        <v>0.98935130000000004</v>
      </c>
      <c r="Y3981">
        <v>0.1256582</v>
      </c>
      <c r="Z3981">
        <v>0.23012369999999999</v>
      </c>
      <c r="AA3981">
        <v>0.96501459999999994</v>
      </c>
      <c r="AB3981">
        <v>17</v>
      </c>
      <c r="AC3981">
        <v>-0.15650000000002201</v>
      </c>
      <c r="AD3981">
        <v>-0.16816639999999999</v>
      </c>
      <c r="AE3981">
        <v>-0.50560000000001504</v>
      </c>
      <c r="AF3981">
        <v>8.4925229581274297E-2</v>
      </c>
      <c r="AG3981">
        <v>-0.16816639999999999</v>
      </c>
      <c r="AH3981">
        <v>0.47317362029396398</v>
      </c>
      <c r="AI3981">
        <v>109.280421515935</v>
      </c>
      <c r="AJ3981">
        <v>79.824884363917107</v>
      </c>
      <c r="AK3981">
        <v>0.50929903558762901</v>
      </c>
      <c r="AL3981">
        <v>92.291644021102499</v>
      </c>
      <c r="AM3981">
        <v>81.948750386563603</v>
      </c>
      <c r="AN3981">
        <v>0.99999999371798698</v>
      </c>
    </row>
    <row r="3982" spans="1:40" x14ac:dyDescent="0.25">
      <c r="A3982" t="str">
        <f>"20190312161351183"</f>
        <v>20190312161351183</v>
      </c>
      <c r="B3982" t="str">
        <f>"1552378431180394"</f>
        <v>1552378431180394</v>
      </c>
      <c r="C3982" t="s">
        <v>40</v>
      </c>
      <c r="D3982">
        <v>5.6918519999999999</v>
      </c>
      <c r="E3982">
        <v>0.50174339999999995</v>
      </c>
      <c r="F3982" t="s">
        <v>43</v>
      </c>
      <c r="G3982">
        <v>-191.18360000000001</v>
      </c>
      <c r="H3982">
        <v>0.91343220000000003</v>
      </c>
      <c r="I3982">
        <v>164.2123</v>
      </c>
      <c r="J3982">
        <v>-190.98570000000001</v>
      </c>
      <c r="K3982">
        <v>1.1092850000000001</v>
      </c>
      <c r="L3982">
        <v>164.89590000000001</v>
      </c>
      <c r="M3982">
        <v>-0.1229007</v>
      </c>
      <c r="N3982">
        <v>0</v>
      </c>
      <c r="O3982">
        <v>-0.99236020000000003</v>
      </c>
      <c r="P3982">
        <v>-0.26116220000000001</v>
      </c>
      <c r="Q3982">
        <v>-5.083319E-2</v>
      </c>
      <c r="R3982">
        <v>-0.96395569999999997</v>
      </c>
      <c r="S3982">
        <v>-0.76489259999999903</v>
      </c>
      <c r="T3982">
        <v>-0.70511409999999997</v>
      </c>
      <c r="U3982">
        <v>-2.8679199999999998</v>
      </c>
      <c r="V3982">
        <v>0.140655</v>
      </c>
      <c r="W3982">
        <v>-4.0306740000000001E-2</v>
      </c>
      <c r="X3982">
        <v>0.98923779999999994</v>
      </c>
      <c r="Y3982">
        <v>0.12996079999999999</v>
      </c>
      <c r="Z3982">
        <v>0.23130210000000001</v>
      </c>
      <c r="AA3982">
        <v>0.96416259999999998</v>
      </c>
      <c r="AB3982">
        <v>17</v>
      </c>
      <c r="AC3982">
        <v>-0.19790000000000399</v>
      </c>
      <c r="AD3982">
        <v>-0.19585279999999999</v>
      </c>
      <c r="AE3982">
        <v>-0.68360000000001198</v>
      </c>
      <c r="AF3982">
        <v>0.10446774034402199</v>
      </c>
      <c r="AG3982">
        <v>-0.19585279999999999</v>
      </c>
      <c r="AH3982">
        <v>0.65326474437120297</v>
      </c>
      <c r="AI3982">
        <v>106.49110599979301</v>
      </c>
      <c r="AJ3982">
        <v>80.914394003842006</v>
      </c>
      <c r="AK3982">
        <v>0.68994684887953395</v>
      </c>
      <c r="AL3982">
        <v>92.310031998822794</v>
      </c>
      <c r="AM3982">
        <v>81.907629238959899</v>
      </c>
      <c r="AN3982">
        <v>0.99999994363163203</v>
      </c>
    </row>
    <row r="3983" spans="1:40" x14ac:dyDescent="0.25">
      <c r="A3983" t="str">
        <f>"20190312161351200"</f>
        <v>20190312161351200</v>
      </c>
      <c r="B3983" t="str">
        <f>"1552378431190154"</f>
        <v>1552378431190154</v>
      </c>
      <c r="C3983" t="s">
        <v>40</v>
      </c>
      <c r="D3983">
        <v>5.3241199999999997</v>
      </c>
      <c r="E3983">
        <v>0.50210849999999996</v>
      </c>
      <c r="F3983" t="s">
        <v>43</v>
      </c>
      <c r="G3983">
        <v>-191.17359999999999</v>
      </c>
      <c r="H3983">
        <v>0.93902799999999997</v>
      </c>
      <c r="I3983">
        <v>164.1995</v>
      </c>
      <c r="J3983">
        <v>-191.00280000000001</v>
      </c>
      <c r="K3983">
        <v>1.1092420000000001</v>
      </c>
      <c r="L3983">
        <v>164.76490000000001</v>
      </c>
      <c r="M3983">
        <v>-0.1236559</v>
      </c>
      <c r="N3983">
        <v>0</v>
      </c>
      <c r="O3983">
        <v>-0.99226650000000005</v>
      </c>
      <c r="P3983">
        <v>-0.26341979999999998</v>
      </c>
      <c r="Q3983">
        <v>-5.1250780000000003E-2</v>
      </c>
      <c r="R3983">
        <v>-0.96331920000000004</v>
      </c>
      <c r="S3983">
        <v>-0.77287289999999997</v>
      </c>
      <c r="T3983">
        <v>-0.70064040000000005</v>
      </c>
      <c r="U3983">
        <v>-2.8658139999999999</v>
      </c>
      <c r="V3983">
        <v>0.1422176</v>
      </c>
      <c r="W3983">
        <v>-4.0757359999999999E-2</v>
      </c>
      <c r="X3983">
        <v>0.98899599999999999</v>
      </c>
      <c r="Y3983">
        <v>0.1319727</v>
      </c>
      <c r="Z3983">
        <v>0.22992879999999999</v>
      </c>
      <c r="AA3983">
        <v>0.96421780000000001</v>
      </c>
      <c r="AB3983">
        <v>17</v>
      </c>
      <c r="AC3983">
        <v>-0.17079999999998499</v>
      </c>
      <c r="AD3983">
        <v>-0.170213999999999</v>
      </c>
      <c r="AE3983">
        <v>-0.565400000000011</v>
      </c>
      <c r="AF3983">
        <v>9.1934489941417993E-2</v>
      </c>
      <c r="AG3983">
        <v>-0.170213999999999</v>
      </c>
      <c r="AH3983">
        <v>0.53753798560194599</v>
      </c>
      <c r="AI3983">
        <v>107.33433351182001</v>
      </c>
      <c r="AJ3983">
        <v>80.294672850517898</v>
      </c>
      <c r="AK3983">
        <v>0.57128963074940098</v>
      </c>
      <c r="AL3983">
        <v>92.3358716147455</v>
      </c>
      <c r="AM3983">
        <v>81.816964755601404</v>
      </c>
      <c r="AN3983">
        <v>1.00000004807996</v>
      </c>
    </row>
    <row r="3984" spans="1:40" x14ac:dyDescent="0.25">
      <c r="A3984" t="str">
        <f>"20190312161351215"</f>
        <v>20190312161351215</v>
      </c>
      <c r="B3984" t="str">
        <f>"1552378431209675"</f>
        <v>1552378431209675</v>
      </c>
      <c r="C3984" t="s">
        <v>40</v>
      </c>
      <c r="D3984">
        <v>5.4546299999999999</v>
      </c>
      <c r="E3984">
        <v>0.50240280000000004</v>
      </c>
      <c r="F3984" t="s">
        <v>43</v>
      </c>
      <c r="G3984">
        <v>-191.19820000000001</v>
      </c>
      <c r="H3984">
        <v>0.93378030000000001</v>
      </c>
      <c r="I3984">
        <v>164.04939999999999</v>
      </c>
      <c r="J3984">
        <v>-191.01740000000001</v>
      </c>
      <c r="K3984">
        <v>1.109213</v>
      </c>
      <c r="L3984">
        <v>164.65369999999999</v>
      </c>
      <c r="M3984">
        <v>-0.1243306</v>
      </c>
      <c r="N3984">
        <v>0</v>
      </c>
      <c r="O3984">
        <v>-0.99218229999999996</v>
      </c>
      <c r="P3984">
        <v>-0.26486409999999899</v>
      </c>
      <c r="Q3984">
        <v>-5.1050669999999999E-2</v>
      </c>
      <c r="R3984">
        <v>-0.96293359999999995</v>
      </c>
      <c r="S3984">
        <v>-0.78215029999999997</v>
      </c>
      <c r="T3984">
        <v>-0.70209630000000001</v>
      </c>
      <c r="U3984">
        <v>-2.8630070000000001</v>
      </c>
      <c r="V3984">
        <v>0.14302390000000001</v>
      </c>
      <c r="W3984">
        <v>-4.0581869999999999E-2</v>
      </c>
      <c r="X3984">
        <v>0.98888690000000001</v>
      </c>
      <c r="Y3984">
        <v>0.13441520000000001</v>
      </c>
      <c r="Z3984">
        <v>0.23042960000000001</v>
      </c>
      <c r="AA3984">
        <v>0.96376070000000003</v>
      </c>
      <c r="AB3984">
        <v>17</v>
      </c>
      <c r="AC3984">
        <v>-0.18080000000000401</v>
      </c>
      <c r="AD3984">
        <v>-0.1754327</v>
      </c>
      <c r="AE3984">
        <v>-0.60429999999999495</v>
      </c>
      <c r="AF3984">
        <v>9.6773790901654499E-2</v>
      </c>
      <c r="AG3984">
        <v>-0.1754327</v>
      </c>
      <c r="AH3984">
        <v>0.57742473679627704</v>
      </c>
      <c r="AI3984">
        <v>106.68032534554099</v>
      </c>
      <c r="AJ3984">
        <v>80.485905374074903</v>
      </c>
      <c r="AK3984">
        <v>0.61119647045693704</v>
      </c>
      <c r="AL3984">
        <v>92.325808535742595</v>
      </c>
      <c r="AM3984">
        <v>81.770309357414007</v>
      </c>
      <c r="AN3984">
        <v>1.00000001256775</v>
      </c>
    </row>
    <row r="3985" spans="1:40" x14ac:dyDescent="0.25">
      <c r="A3985" t="str">
        <f>"20190312161351236"</f>
        <v>20190312161351236</v>
      </c>
      <c r="B3985" t="str">
        <f>"1552378431230171"</f>
        <v>1552378431230171</v>
      </c>
      <c r="C3985" t="s">
        <v>40</v>
      </c>
      <c r="D3985">
        <v>5.4095950000000004</v>
      </c>
      <c r="E3985">
        <v>0.50257719999999995</v>
      </c>
      <c r="F3985" t="s">
        <v>43</v>
      </c>
      <c r="G3985">
        <v>-191.22499999999999</v>
      </c>
      <c r="H3985">
        <v>0.92565019999999998</v>
      </c>
      <c r="I3985">
        <v>163.9007</v>
      </c>
      <c r="J3985">
        <v>-191.0376</v>
      </c>
      <c r="K3985">
        <v>1.1091759999999999</v>
      </c>
      <c r="L3985">
        <v>164.50129999999999</v>
      </c>
      <c r="M3985">
        <v>-0.12531139999999999</v>
      </c>
      <c r="N3985">
        <v>0</v>
      </c>
      <c r="O3985">
        <v>-0.99205909999999997</v>
      </c>
      <c r="P3985">
        <v>-0.26685879999999901</v>
      </c>
      <c r="Q3985">
        <v>-5.0660459999999997E-2</v>
      </c>
      <c r="R3985">
        <v>-0.96240349999999997</v>
      </c>
      <c r="S3985">
        <v>-0.78883359999999902</v>
      </c>
      <c r="T3985">
        <v>-0.69755959999999995</v>
      </c>
      <c r="U3985">
        <v>-2.861526</v>
      </c>
      <c r="V3985">
        <v>0.14408879999999999</v>
      </c>
      <c r="W3985">
        <v>-4.0223589999999997E-2</v>
      </c>
      <c r="X3985">
        <v>0.98874689999999998</v>
      </c>
      <c r="Y3985">
        <v>0.13574610000000001</v>
      </c>
      <c r="Z3985">
        <v>0.22900039999999999</v>
      </c>
      <c r="AA3985">
        <v>0.96391479999999996</v>
      </c>
      <c r="AB3985">
        <v>17</v>
      </c>
      <c r="AC3985">
        <v>-0.18739999999999599</v>
      </c>
      <c r="AD3985">
        <v>-0.18352579999999899</v>
      </c>
      <c r="AE3985">
        <v>-0.60059999999998503</v>
      </c>
      <c r="AF3985">
        <v>0.101978928054597</v>
      </c>
      <c r="AG3985">
        <v>-0.18352579999999899</v>
      </c>
      <c r="AH3985">
        <v>0.57078237331479498</v>
      </c>
      <c r="AI3985">
        <v>107.56370215953901</v>
      </c>
      <c r="AJ3985">
        <v>79.870123582999994</v>
      </c>
      <c r="AK3985">
        <v>0.60817262246805803</v>
      </c>
      <c r="AL3985">
        <v>92.305263913413896</v>
      </c>
      <c r="AM3985">
        <v>81.708725343256404</v>
      </c>
      <c r="AN3985">
        <v>0.99999997586876799</v>
      </c>
    </row>
    <row r="3986" spans="1:40" x14ac:dyDescent="0.25">
      <c r="A3986" t="str">
        <f>"20190312161351259"</f>
        <v>20190312161351259</v>
      </c>
      <c r="B3986" t="str">
        <f>"1552378431249690"</f>
        <v>1552378431249690</v>
      </c>
      <c r="C3986" t="s">
        <v>40</v>
      </c>
      <c r="D3986">
        <v>6.280735</v>
      </c>
      <c r="E3986">
        <v>0.50269129999999995</v>
      </c>
      <c r="F3986" t="s">
        <v>43</v>
      </c>
      <c r="G3986">
        <v>-191.24789999999999</v>
      </c>
      <c r="H3986">
        <v>0.92634570000000005</v>
      </c>
      <c r="I3986">
        <v>163.74719999999999</v>
      </c>
      <c r="J3986">
        <v>-191.0616</v>
      </c>
      <c r="K3986">
        <v>1.1091310000000001</v>
      </c>
      <c r="L3986">
        <v>164.32310000000001</v>
      </c>
      <c r="M3986">
        <v>-0.12654469999999901</v>
      </c>
      <c r="N3986">
        <v>0</v>
      </c>
      <c r="O3986">
        <v>-0.99190290000000003</v>
      </c>
      <c r="P3986">
        <v>-0.2690631</v>
      </c>
      <c r="Q3986">
        <v>-5.0365069999999998E-2</v>
      </c>
      <c r="R3986">
        <v>-0.96180500000000002</v>
      </c>
      <c r="S3986">
        <v>-0.79646300000000003</v>
      </c>
      <c r="T3986">
        <v>-0.69329830000000003</v>
      </c>
      <c r="U3986">
        <v>-2.8598330000000001</v>
      </c>
      <c r="V3986">
        <v>0.14511830000000001</v>
      </c>
      <c r="W3986">
        <v>-3.9964020000000003E-2</v>
      </c>
      <c r="X3986">
        <v>0.98860689999999996</v>
      </c>
      <c r="Y3986">
        <v>0.1371347</v>
      </c>
      <c r="Z3986">
        <v>0.22764899999999999</v>
      </c>
      <c r="AA3986">
        <v>0.96403839999999996</v>
      </c>
      <c r="AB3986">
        <v>17</v>
      </c>
      <c r="AC3986">
        <v>-0.186299999999988</v>
      </c>
      <c r="AD3986">
        <v>-0.18278529999999901</v>
      </c>
      <c r="AE3986">
        <v>-0.57590000000001795</v>
      </c>
      <c r="AF3986">
        <v>0.102567368845792</v>
      </c>
      <c r="AG3986">
        <v>-0.18278529999999901</v>
      </c>
      <c r="AH3986">
        <v>0.54513367728543605</v>
      </c>
      <c r="AI3986">
        <v>108.23817301734699</v>
      </c>
      <c r="AJ3986">
        <v>79.344324085995396</v>
      </c>
      <c r="AK3986">
        <v>0.58403874628211205</v>
      </c>
      <c r="AL3986">
        <v>92.290379570698306</v>
      </c>
      <c r="AM3986">
        <v>81.649151540998304</v>
      </c>
      <c r="AN3986">
        <v>1.00000002330853</v>
      </c>
    </row>
    <row r="3987" spans="1:40" x14ac:dyDescent="0.25">
      <c r="A3987" t="str">
        <f>"20190312161351279"</f>
        <v>20190312161351279</v>
      </c>
      <c r="B3987" t="str">
        <f>"1552378431270186"</f>
        <v>1552378431270186</v>
      </c>
      <c r="C3987" t="s">
        <v>40</v>
      </c>
      <c r="D3987">
        <v>5.4839260000000003</v>
      </c>
      <c r="E3987">
        <v>0.50275729999999996</v>
      </c>
      <c r="F3987" t="s">
        <v>43</v>
      </c>
      <c r="G3987">
        <v>-191.26779999999999</v>
      </c>
      <c r="H3987">
        <v>0.93240259999999997</v>
      </c>
      <c r="I3987">
        <v>163.5909</v>
      </c>
      <c r="J3987">
        <v>-191.08420000000001</v>
      </c>
      <c r="K3987">
        <v>1.109084</v>
      </c>
      <c r="L3987">
        <v>164.1574</v>
      </c>
      <c r="M3987">
        <v>-0.12776989999999999</v>
      </c>
      <c r="N3987">
        <v>0</v>
      </c>
      <c r="O3987">
        <v>-0.99174569999999995</v>
      </c>
      <c r="P3987">
        <v>-0.27119949999999998</v>
      </c>
      <c r="Q3987">
        <v>-5.0484679999999997E-2</v>
      </c>
      <c r="R3987">
        <v>-0.96119829999999995</v>
      </c>
      <c r="S3987">
        <v>-0.80433650000000001</v>
      </c>
      <c r="T3987">
        <v>-0.68975350000000002</v>
      </c>
      <c r="U3987">
        <v>-2.8580019999999999</v>
      </c>
      <c r="V3987">
        <v>0.14608959999999999</v>
      </c>
      <c r="W3987">
        <v>-4.011605E-2</v>
      </c>
      <c r="X3987">
        <v>0.98845769999999999</v>
      </c>
      <c r="Y3987">
        <v>0.13860539999999999</v>
      </c>
      <c r="Z3987">
        <v>0.22652459999999999</v>
      </c>
      <c r="AA3987">
        <v>0.96409290000000003</v>
      </c>
      <c r="AB3987">
        <v>17</v>
      </c>
      <c r="AC3987">
        <v>-0.183599999999984</v>
      </c>
      <c r="AD3987">
        <v>-0.17668139999999999</v>
      </c>
      <c r="AE3987">
        <v>-0.56649999999999001</v>
      </c>
      <c r="AF3987">
        <v>0.10083335878769401</v>
      </c>
      <c r="AG3987">
        <v>-0.17668139999999999</v>
      </c>
      <c r="AH3987">
        <v>0.53796225923549801</v>
      </c>
      <c r="AI3987">
        <v>107.890372391882</v>
      </c>
      <c r="AJ3987">
        <v>79.383901071876295</v>
      </c>
      <c r="AK3987">
        <v>0.57514091813409396</v>
      </c>
      <c r="AL3987">
        <v>92.299097184976802</v>
      </c>
      <c r="AM3987">
        <v>81.592803300833197</v>
      </c>
      <c r="AN3987">
        <v>1.0000000466925201</v>
      </c>
    </row>
    <row r="3988" spans="1:40" x14ac:dyDescent="0.25">
      <c r="A3988" t="str">
        <f>"20190312161351293"</f>
        <v>20190312161351293</v>
      </c>
      <c r="B3988" t="str">
        <f>"1552378431289706"</f>
        <v>1552378431289706</v>
      </c>
      <c r="C3988" t="s">
        <v>40</v>
      </c>
      <c r="D3988">
        <v>5.4891110000000003</v>
      </c>
      <c r="E3988">
        <v>0.50282890000000002</v>
      </c>
      <c r="F3988" t="s">
        <v>43</v>
      </c>
      <c r="G3988">
        <v>-191.2893</v>
      </c>
      <c r="H3988">
        <v>0.93519750000000001</v>
      </c>
      <c r="I3988">
        <v>163.4359</v>
      </c>
      <c r="J3988">
        <v>-191.09870000000001</v>
      </c>
      <c r="K3988">
        <v>1.109056</v>
      </c>
      <c r="L3988">
        <v>164.05160000000001</v>
      </c>
      <c r="M3988">
        <v>-0.12859019999999999</v>
      </c>
      <c r="N3988">
        <v>0</v>
      </c>
      <c r="O3988">
        <v>-0.99163979999999996</v>
      </c>
      <c r="P3988">
        <v>-0.27221250000000002</v>
      </c>
      <c r="Q3988">
        <v>-5.0635930000000003E-2</v>
      </c>
      <c r="R3988">
        <v>-0.96090410000000004</v>
      </c>
      <c r="S3988">
        <v>-0.81117249999999996</v>
      </c>
      <c r="T3988">
        <v>-0.68830340000000001</v>
      </c>
      <c r="U3988">
        <v>-2.8560639999999999</v>
      </c>
      <c r="V3988">
        <v>0.14631169999999999</v>
      </c>
      <c r="W3988">
        <v>-4.0285950000000001E-2</v>
      </c>
      <c r="X3988">
        <v>0.98841789999999996</v>
      </c>
      <c r="Y3988">
        <v>0.14012189999999999</v>
      </c>
      <c r="Z3988">
        <v>0.22608519999999999</v>
      </c>
      <c r="AA3988">
        <v>0.96397690000000003</v>
      </c>
      <c r="AB3988">
        <v>17</v>
      </c>
      <c r="AC3988">
        <v>-0.190599999999989</v>
      </c>
      <c r="AD3988">
        <v>-0.1738585</v>
      </c>
      <c r="AE3988">
        <v>-0.61570000000000302</v>
      </c>
      <c r="AF3988">
        <v>0.102389709949326</v>
      </c>
      <c r="AG3988">
        <v>-0.1738585</v>
      </c>
      <c r="AH3988">
        <v>0.59202128778651697</v>
      </c>
      <c r="AI3988">
        <v>106.139038692518</v>
      </c>
      <c r="AJ3988">
        <v>80.187795097493193</v>
      </c>
      <c r="AK3988">
        <v>0.625459539793073</v>
      </c>
      <c r="AL3988">
        <v>92.308839702086303</v>
      </c>
      <c r="AM3988">
        <v>81.579870749812599</v>
      </c>
      <c r="AN3988">
        <v>1.0000000081823499</v>
      </c>
    </row>
    <row r="3989" spans="1:40" x14ac:dyDescent="0.25">
      <c r="A3989" t="str">
        <f>"20190312161351312"</f>
        <v>20190312161351312</v>
      </c>
      <c r="B3989" t="str">
        <f>"1552378431300442"</f>
        <v>1552378431300442</v>
      </c>
      <c r="C3989" t="s">
        <v>40</v>
      </c>
      <c r="D3989">
        <v>5.4260799999999998</v>
      </c>
      <c r="E3989">
        <v>0.50283489999999997</v>
      </c>
      <c r="F3989" t="s">
        <v>43</v>
      </c>
      <c r="G3989">
        <v>-191.3169</v>
      </c>
      <c r="H3989">
        <v>0.92499520000000002</v>
      </c>
      <c r="I3989">
        <v>163.28749999999999</v>
      </c>
      <c r="J3989">
        <v>-191.11799999999999</v>
      </c>
      <c r="K3989">
        <v>1.109016</v>
      </c>
      <c r="L3989">
        <v>163.91290000000001</v>
      </c>
      <c r="M3989">
        <v>-0.12971369999999999</v>
      </c>
      <c r="N3989">
        <v>0</v>
      </c>
      <c r="O3989">
        <v>-0.99149359999999997</v>
      </c>
      <c r="P3989">
        <v>-0.27421699999999999</v>
      </c>
      <c r="Q3989">
        <v>-5.07214E-2</v>
      </c>
      <c r="R3989">
        <v>-0.96032969999999895</v>
      </c>
      <c r="S3989">
        <v>-0.81483459999999996</v>
      </c>
      <c r="T3989">
        <v>-0.68770540000000002</v>
      </c>
      <c r="U3989">
        <v>-2.8550110000000002</v>
      </c>
      <c r="V3989">
        <v>0.14725060000000001</v>
      </c>
      <c r="W3989">
        <v>-4.0396969999999997E-2</v>
      </c>
      <c r="X3989">
        <v>0.98827390000000004</v>
      </c>
      <c r="Y3989">
        <v>0.14025019999999999</v>
      </c>
      <c r="Z3989">
        <v>0.22588720000000001</v>
      </c>
      <c r="AA3989">
        <v>0.96400459999999999</v>
      </c>
      <c r="AB3989">
        <v>17</v>
      </c>
      <c r="AC3989">
        <v>-0.19890000000000799</v>
      </c>
      <c r="AD3989">
        <v>-0.18402080000000001</v>
      </c>
      <c r="AE3989">
        <v>-0.62540000000001295</v>
      </c>
      <c r="AF3989">
        <v>0.107629211358611</v>
      </c>
      <c r="AG3989">
        <v>-0.18402080000000001</v>
      </c>
      <c r="AH3989">
        <v>0.59883270143784295</v>
      </c>
      <c r="AI3989">
        <v>106.82809199929601</v>
      </c>
      <c r="AJ3989">
        <v>79.810917744949606</v>
      </c>
      <c r="AK3989">
        <v>0.63564794208874897</v>
      </c>
      <c r="AL3989">
        <v>92.315205931979094</v>
      </c>
      <c r="AM3989">
        <v>81.525402991639297</v>
      </c>
      <c r="AN3989">
        <v>0.99999997790337503</v>
      </c>
    </row>
    <row r="3990" spans="1:40" x14ac:dyDescent="0.25">
      <c r="A3990" t="str">
        <f>"20190312161351324"</f>
        <v>20190312161351324</v>
      </c>
      <c r="B3990" t="str">
        <f>"1552378431319962"</f>
        <v>1552378431319962</v>
      </c>
      <c r="C3990" t="s">
        <v>40</v>
      </c>
      <c r="D3990">
        <v>5.6182220000000003</v>
      </c>
      <c r="E3990">
        <v>0.50301119999999999</v>
      </c>
      <c r="F3990" t="s">
        <v>43</v>
      </c>
      <c r="G3990">
        <v>-191.34190000000001</v>
      </c>
      <c r="H3990">
        <v>0.92169250000000003</v>
      </c>
      <c r="I3990">
        <v>163.1354</v>
      </c>
      <c r="J3990">
        <v>-191.13290000000001</v>
      </c>
      <c r="K3990">
        <v>1.1089800000000001</v>
      </c>
      <c r="L3990">
        <v>163.80629999999999</v>
      </c>
      <c r="M3990">
        <v>-0.13061519999999999</v>
      </c>
      <c r="N3990">
        <v>0</v>
      </c>
      <c r="O3990">
        <v>-0.99137540000000002</v>
      </c>
      <c r="P3990">
        <v>-0.27556049999999999</v>
      </c>
      <c r="Q3990">
        <v>-5.0791669999999997E-2</v>
      </c>
      <c r="R3990">
        <v>-0.95994139999999994</v>
      </c>
      <c r="S3990">
        <v>-0.82084659999999998</v>
      </c>
      <c r="T3990">
        <v>-0.68731619999999904</v>
      </c>
      <c r="U3990">
        <v>-2.853256</v>
      </c>
      <c r="V3990">
        <v>0.147732</v>
      </c>
      <c r="W3990">
        <v>-4.0485430000000003E-2</v>
      </c>
      <c r="X3990">
        <v>0.98819849999999998</v>
      </c>
      <c r="Y3990">
        <v>0.14139099999999999</v>
      </c>
      <c r="Z3990">
        <v>0.2257738</v>
      </c>
      <c r="AA3990">
        <v>0.96386450000000001</v>
      </c>
      <c r="AB3990">
        <v>17</v>
      </c>
      <c r="AC3990">
        <v>-0.20900000000000299</v>
      </c>
      <c r="AD3990">
        <v>-0.187287499999999</v>
      </c>
      <c r="AE3990">
        <v>-0.67089999999998895</v>
      </c>
      <c r="AF3990">
        <v>0.111643856273396</v>
      </c>
      <c r="AG3990">
        <v>-0.187287499999999</v>
      </c>
      <c r="AH3990">
        <v>0.64652552005350905</v>
      </c>
      <c r="AI3990">
        <v>105.931832204811</v>
      </c>
      <c r="AJ3990">
        <v>80.202623977552804</v>
      </c>
      <c r="AK3990">
        <v>0.68230213716527799</v>
      </c>
      <c r="AL3990">
        <v>92.320278311568501</v>
      </c>
      <c r="AM3990">
        <v>81.497462400193996</v>
      </c>
      <c r="AN3990">
        <v>1.0000000446342601</v>
      </c>
    </row>
    <row r="3991" spans="1:40" x14ac:dyDescent="0.25">
      <c r="A3991" t="str">
        <f>"20190312161351338"</f>
        <v>20190312161351338</v>
      </c>
      <c r="B3991" t="str">
        <f>"1552378431329723"</f>
        <v>1552378431329723</v>
      </c>
      <c r="C3991" t="s">
        <v>40</v>
      </c>
      <c r="D3991">
        <v>5.5759919999999896</v>
      </c>
      <c r="E3991">
        <v>0.50306399999999996</v>
      </c>
      <c r="F3991" t="s">
        <v>43</v>
      </c>
      <c r="G3991">
        <v>-191.33090000000001</v>
      </c>
      <c r="H3991">
        <v>0.94477999999999995</v>
      </c>
      <c r="I3991">
        <v>163.12350000000001</v>
      </c>
      <c r="J3991">
        <v>-191.14680000000001</v>
      </c>
      <c r="K3991">
        <v>1.108951</v>
      </c>
      <c r="L3991">
        <v>163.70869999999999</v>
      </c>
      <c r="M3991">
        <v>-0.13147490000000001</v>
      </c>
      <c r="N3991">
        <v>0</v>
      </c>
      <c r="O3991">
        <v>-0.99126179999999997</v>
      </c>
      <c r="P3991">
        <v>-0.27676679999999998</v>
      </c>
      <c r="Q3991">
        <v>-5.0832189999999999E-2</v>
      </c>
      <c r="R3991">
        <v>-0.95959209999999995</v>
      </c>
      <c r="S3991">
        <v>-0.82603449999999901</v>
      </c>
      <c r="T3991">
        <v>-0.68566419999999995</v>
      </c>
      <c r="U3991">
        <v>-2.851791</v>
      </c>
      <c r="V3991">
        <v>0.14811440000000001</v>
      </c>
      <c r="W3991">
        <v>-4.054381E-2</v>
      </c>
      <c r="X3991">
        <v>0.98813879999999998</v>
      </c>
      <c r="Y3991">
        <v>0.14231629999999901</v>
      </c>
      <c r="Z3991">
        <v>0.22525909999999999</v>
      </c>
      <c r="AA3991">
        <v>0.9638487</v>
      </c>
      <c r="AB3991">
        <v>17</v>
      </c>
      <c r="AC3991">
        <v>-0.18410000000000001</v>
      </c>
      <c r="AD3991">
        <v>-0.16417100000000001</v>
      </c>
      <c r="AE3991">
        <v>-0.58519999999998595</v>
      </c>
      <c r="AF3991">
        <v>9.85039474057402E-2</v>
      </c>
      <c r="AG3991">
        <v>-0.16417100000000001</v>
      </c>
      <c r="AH3991">
        <v>0.56393945721995298</v>
      </c>
      <c r="AI3991">
        <v>106.001447812978</v>
      </c>
      <c r="AJ3991">
        <v>80.092037952594097</v>
      </c>
      <c r="AK3991">
        <v>0.59555256384726296</v>
      </c>
      <c r="AL3991">
        <v>92.323626133174201</v>
      </c>
      <c r="AM3991">
        <v>81.475269309500604</v>
      </c>
      <c r="AN3991">
        <v>0.999999982041057</v>
      </c>
    </row>
    <row r="3992" spans="1:40" x14ac:dyDescent="0.25">
      <c r="A3992" t="str">
        <f>"20190312161351357"</f>
        <v>20190312161351357</v>
      </c>
      <c r="B3992" t="str">
        <f>"1552378431350219"</f>
        <v>1552378431350219</v>
      </c>
      <c r="C3992" t="s">
        <v>40</v>
      </c>
      <c r="D3992">
        <v>5.4758680000000002</v>
      </c>
      <c r="E3992">
        <v>0.50317529999999999</v>
      </c>
      <c r="F3992" t="s">
        <v>43</v>
      </c>
      <c r="G3992">
        <v>-191.36019999999999</v>
      </c>
      <c r="H3992">
        <v>0.93291630000000003</v>
      </c>
      <c r="I3992">
        <v>162.97569999999999</v>
      </c>
      <c r="J3992">
        <v>-191.16650000000001</v>
      </c>
      <c r="K3992">
        <v>1.1089119999999999</v>
      </c>
      <c r="L3992">
        <v>163.57089999999999</v>
      </c>
      <c r="M3992">
        <v>-0.1327284</v>
      </c>
      <c r="N3992">
        <v>0</v>
      </c>
      <c r="O3992">
        <v>-0.99109460000000005</v>
      </c>
      <c r="P3992">
        <v>-0.27861590000000003</v>
      </c>
      <c r="Q3992">
        <v>-5.0735210000000003E-2</v>
      </c>
      <c r="R3992">
        <v>-0.95906179999999996</v>
      </c>
      <c r="S3992">
        <v>-0.82989500000000005</v>
      </c>
      <c r="T3992">
        <v>-0.68463280000000004</v>
      </c>
      <c r="U3992">
        <v>-2.8507229999999999</v>
      </c>
      <c r="V3992">
        <v>0.1487648</v>
      </c>
      <c r="W3992">
        <v>-4.0474549999999998E-2</v>
      </c>
      <c r="X3992">
        <v>0.98804400000000003</v>
      </c>
      <c r="Y3992">
        <v>0.14238719999999999</v>
      </c>
      <c r="Z3992">
        <v>0.22491849999999999</v>
      </c>
      <c r="AA3992">
        <v>0.96391780000000005</v>
      </c>
      <c r="AB3992">
        <v>17</v>
      </c>
      <c r="AC3992">
        <v>-0.193699999999978</v>
      </c>
      <c r="AD3992">
        <v>-0.1759957</v>
      </c>
      <c r="AE3992">
        <v>-0.59520000000000495</v>
      </c>
      <c r="AF3992">
        <v>0.104703649151258</v>
      </c>
      <c r="AG3992">
        <v>-0.1759957</v>
      </c>
      <c r="AH3992">
        <v>0.57053739853316698</v>
      </c>
      <c r="AI3992">
        <v>106.87814841994999</v>
      </c>
      <c r="AJ3992">
        <v>79.600928612728794</v>
      </c>
      <c r="AK3992">
        <v>0.60617675944321203</v>
      </c>
      <c r="AL3992">
        <v>92.319654408700899</v>
      </c>
      <c r="AM3992">
        <v>81.437579790317002</v>
      </c>
      <c r="AN3992">
        <v>1.00000005042637</v>
      </c>
    </row>
    <row r="3993" spans="1:40" x14ac:dyDescent="0.25">
      <c r="A3993" t="str">
        <f>"20190312161351370"</f>
        <v>20190312161351370</v>
      </c>
      <c r="B3993" t="str">
        <f>"1552378431359978"</f>
        <v>1552378431359978</v>
      </c>
      <c r="C3993" t="s">
        <v>40</v>
      </c>
      <c r="D3993">
        <v>5.3985000000000003</v>
      </c>
      <c r="E3993">
        <v>0.5032915</v>
      </c>
      <c r="F3993" t="s">
        <v>43</v>
      </c>
      <c r="G3993">
        <v>-191.386</v>
      </c>
      <c r="H3993">
        <v>0.92974290000000004</v>
      </c>
      <c r="I3993">
        <v>162.82329999999999</v>
      </c>
      <c r="J3993">
        <v>-191.18279999999999</v>
      </c>
      <c r="K3993">
        <v>1.108876</v>
      </c>
      <c r="L3993">
        <v>163.45820000000001</v>
      </c>
      <c r="M3993">
        <v>-0.133792299999999</v>
      </c>
      <c r="N3993">
        <v>0</v>
      </c>
      <c r="O3993">
        <v>-0.99095180000000005</v>
      </c>
      <c r="P3993">
        <v>-0.27992630000000002</v>
      </c>
      <c r="Q3993">
        <v>-5.0463969999999997E-2</v>
      </c>
      <c r="R3993">
        <v>-0.95869439999999995</v>
      </c>
      <c r="S3993">
        <v>-0.83641049999999995</v>
      </c>
      <c r="T3993">
        <v>-0.68275589999999997</v>
      </c>
      <c r="U3993">
        <v>-2.8489529999999998</v>
      </c>
      <c r="V3993">
        <v>0.14904979999999901</v>
      </c>
      <c r="W3993">
        <v>-4.0226690000000002E-2</v>
      </c>
      <c r="X3993">
        <v>0.98801110000000003</v>
      </c>
      <c r="Y3993">
        <v>0.14355519999999999</v>
      </c>
      <c r="Z3993">
        <v>0.22432730000000001</v>
      </c>
      <c r="AA3993">
        <v>0.96388229999999997</v>
      </c>
      <c r="AB3993">
        <v>17</v>
      </c>
      <c r="AC3993">
        <v>-0.20320000000000901</v>
      </c>
      <c r="AD3993">
        <v>-0.17913309999999899</v>
      </c>
      <c r="AE3993">
        <v>-0.63490000000001601</v>
      </c>
      <c r="AF3993">
        <v>0.108582710603294</v>
      </c>
      <c r="AG3993">
        <v>-0.17913309999999899</v>
      </c>
      <c r="AH3993">
        <v>0.61217503554528496</v>
      </c>
      <c r="AI3993">
        <v>106.07276505625499</v>
      </c>
      <c r="AJ3993">
        <v>79.941940640703606</v>
      </c>
      <c r="AK3993">
        <v>0.64702175133641304</v>
      </c>
      <c r="AL3993">
        <v>92.305441660996493</v>
      </c>
      <c r="AM3993">
        <v>81.421138530791893</v>
      </c>
      <c r="AN3993">
        <v>0.99999998159580195</v>
      </c>
    </row>
    <row r="3994" spans="1:40" x14ac:dyDescent="0.25">
      <c r="A3994" t="str">
        <f>"20190312161351382"</f>
        <v>20190312161351382</v>
      </c>
      <c r="B3994" t="str">
        <f>"1552378431379499"</f>
        <v>1552378431379499</v>
      </c>
      <c r="C3994" t="s">
        <v>40</v>
      </c>
      <c r="D3994">
        <v>5.8087390000000001</v>
      </c>
      <c r="E3994">
        <v>0.50335450000000004</v>
      </c>
      <c r="F3994" t="s">
        <v>43</v>
      </c>
      <c r="G3994">
        <v>-191.41460000000001</v>
      </c>
      <c r="H3994">
        <v>0.92050549999999998</v>
      </c>
      <c r="I3994">
        <v>162.67359999999999</v>
      </c>
      <c r="J3994">
        <v>-191.19649999999999</v>
      </c>
      <c r="K3994">
        <v>1.108846</v>
      </c>
      <c r="L3994">
        <v>163.36439999999999</v>
      </c>
      <c r="M3994">
        <v>-0.13471340000000001</v>
      </c>
      <c r="N3994">
        <v>0</v>
      </c>
      <c r="O3994">
        <v>-0.99082700000000001</v>
      </c>
      <c r="P3994">
        <v>-0.28090009999999999</v>
      </c>
      <c r="Q3994">
        <v>-5.0601140000000003E-2</v>
      </c>
      <c r="R3994">
        <v>-0.95840230000000004</v>
      </c>
      <c r="S3994">
        <v>-0.8412018</v>
      </c>
      <c r="T3994">
        <v>-0.68362489999999998</v>
      </c>
      <c r="U3994">
        <v>-2.8476720000000002</v>
      </c>
      <c r="V3994">
        <v>0.14913319999999999</v>
      </c>
      <c r="W3994">
        <v>-4.0382689999999999E-2</v>
      </c>
      <c r="X3994">
        <v>0.98799219999999999</v>
      </c>
      <c r="Y3994">
        <v>0.144228</v>
      </c>
      <c r="Z3994">
        <v>0.22458800000000001</v>
      </c>
      <c r="AA3994">
        <v>0.96372119999999994</v>
      </c>
      <c r="AB3994">
        <v>17</v>
      </c>
      <c r="AC3994">
        <v>-0.218100000000021</v>
      </c>
      <c r="AD3994">
        <v>-0.18834049999999999</v>
      </c>
      <c r="AE3994">
        <v>-0.69079999999999497</v>
      </c>
      <c r="AF3994">
        <v>0.11525563482737899</v>
      </c>
      <c r="AG3994">
        <v>-0.18834049999999999</v>
      </c>
      <c r="AH3994">
        <v>0.66868505736124995</v>
      </c>
      <c r="AI3994">
        <v>105.51280070867701</v>
      </c>
      <c r="AJ3994">
        <v>80.220496406201093</v>
      </c>
      <c r="AK3994">
        <v>0.70419863052829801</v>
      </c>
      <c r="AL3994">
        <v>92.314386959112298</v>
      </c>
      <c r="AM3994">
        <v>81.416248002297394</v>
      </c>
      <c r="AN3994">
        <v>1.0000000301273499</v>
      </c>
    </row>
    <row r="3995" spans="1:40" x14ac:dyDescent="0.25">
      <c r="A3995" t="str">
        <f>"20190312161351401"</f>
        <v>20190312161351401</v>
      </c>
      <c r="B3995" t="str">
        <f>"1552378431399995"</f>
        <v>1552378431399995</v>
      </c>
      <c r="C3995" t="s">
        <v>40</v>
      </c>
      <c r="D3995">
        <v>5.7630879999999998</v>
      </c>
      <c r="E3995">
        <v>0.50336809999999998</v>
      </c>
      <c r="F3995" t="s">
        <v>43</v>
      </c>
      <c r="G3995">
        <v>-191.40479999999999</v>
      </c>
      <c r="H3995">
        <v>0.94078309999999998</v>
      </c>
      <c r="I3995">
        <v>162.66329999999999</v>
      </c>
      <c r="J3995">
        <v>-191.21860000000001</v>
      </c>
      <c r="K3995">
        <v>1.108803</v>
      </c>
      <c r="L3995">
        <v>163.21530000000001</v>
      </c>
      <c r="M3995">
        <v>-0.13622290000000001</v>
      </c>
      <c r="N3995">
        <v>0</v>
      </c>
      <c r="O3995">
        <v>-0.99062110000000003</v>
      </c>
      <c r="P3995">
        <v>-0.28275939999999999</v>
      </c>
      <c r="Q3995">
        <v>-5.1265650000000003E-2</v>
      </c>
      <c r="R3995">
        <v>-0.95782029999999996</v>
      </c>
      <c r="S3995">
        <v>-0.84532169999999895</v>
      </c>
      <c r="T3995">
        <v>-0.6822473</v>
      </c>
      <c r="U3995">
        <v>-2.8464659999999999</v>
      </c>
      <c r="V3995">
        <v>0.14954429999999999</v>
      </c>
      <c r="W3995">
        <v>-4.1075929999999997E-2</v>
      </c>
      <c r="X3995">
        <v>0.98790140000000004</v>
      </c>
      <c r="Y3995">
        <v>0.14414389999999999</v>
      </c>
      <c r="Z3995">
        <v>0.22413530000000001</v>
      </c>
      <c r="AA3995">
        <v>0.96383920000000001</v>
      </c>
      <c r="AB3995">
        <v>17</v>
      </c>
      <c r="AC3995">
        <v>-0.18619999999998499</v>
      </c>
      <c r="AD3995">
        <v>-0.168019899999999</v>
      </c>
      <c r="AE3995">
        <v>-0.55200000000002003</v>
      </c>
      <c r="AF3995">
        <v>0.10087366662725999</v>
      </c>
      <c r="AG3995">
        <v>-0.168019899999999</v>
      </c>
      <c r="AH3995">
        <v>0.52827559614749298</v>
      </c>
      <c r="AI3995">
        <v>107.34927632226</v>
      </c>
      <c r="AJ3995">
        <v>79.189566020001706</v>
      </c>
      <c r="AK3995">
        <v>0.56345477981806702</v>
      </c>
      <c r="AL3995">
        <v>92.354139852908105</v>
      </c>
      <c r="AM3995">
        <v>81.3921607217261</v>
      </c>
      <c r="AN3995">
        <v>0.99999995290490595</v>
      </c>
    </row>
    <row r="3996" spans="1:40" x14ac:dyDescent="0.25">
      <c r="A3996" t="str">
        <f>"20190312161351416"</f>
        <v>20190312161351416</v>
      </c>
      <c r="B3996" t="str">
        <f>"1552378431409755"</f>
        <v>1552378431409755</v>
      </c>
      <c r="C3996" t="s">
        <v>40</v>
      </c>
      <c r="D3996">
        <v>5.7061580000000003</v>
      </c>
      <c r="E3996">
        <v>0.50338240000000001</v>
      </c>
      <c r="F3996" t="s">
        <v>43</v>
      </c>
      <c r="G3996">
        <v>-191.4298</v>
      </c>
      <c r="H3996">
        <v>0.93943889999999997</v>
      </c>
      <c r="I3996">
        <v>162.5095</v>
      </c>
      <c r="J3996">
        <v>-191.23519999999999</v>
      </c>
      <c r="K3996">
        <v>1.108771</v>
      </c>
      <c r="L3996">
        <v>163.10429999999999</v>
      </c>
      <c r="M3996">
        <v>-0.13738620000000001</v>
      </c>
      <c r="N3996">
        <v>0</v>
      </c>
      <c r="O3996">
        <v>-0.99046029999999996</v>
      </c>
      <c r="P3996">
        <v>-0.28415600000000002</v>
      </c>
      <c r="Q3996">
        <v>-5.170193E-2</v>
      </c>
      <c r="R3996">
        <v>-0.95738319999999999</v>
      </c>
      <c r="S3996">
        <v>-0.85087590000000002</v>
      </c>
      <c r="T3996">
        <v>-0.6824751</v>
      </c>
      <c r="U3996">
        <v>-2.8444060000000002</v>
      </c>
      <c r="V3996">
        <v>0.14982409999999999</v>
      </c>
      <c r="W3996">
        <v>-4.1531489999999997E-2</v>
      </c>
      <c r="X3996">
        <v>0.98784000000000005</v>
      </c>
      <c r="Y3996">
        <v>0.14489460000000001</v>
      </c>
      <c r="Z3996">
        <v>0.22423019999999999</v>
      </c>
      <c r="AA3996">
        <v>0.96370449999999996</v>
      </c>
      <c r="AB3996">
        <v>17</v>
      </c>
      <c r="AC3996">
        <v>-0.19460000000000799</v>
      </c>
      <c r="AD3996">
        <v>-0.16933209999999899</v>
      </c>
      <c r="AE3996">
        <v>-0.594799999999992</v>
      </c>
      <c r="AF3996">
        <v>0.103458320745549</v>
      </c>
      <c r="AG3996">
        <v>-0.16933209999999899</v>
      </c>
      <c r="AH3996">
        <v>0.57388187220377396</v>
      </c>
      <c r="AI3996">
        <v>106.19241764147201</v>
      </c>
      <c r="AJ3996">
        <v>79.780594366653901</v>
      </c>
      <c r="AK3996">
        <v>0.60722103674527494</v>
      </c>
      <c r="AL3996">
        <v>92.380263711198396</v>
      </c>
      <c r="AM3996">
        <v>81.375769262933801</v>
      </c>
      <c r="AN3996">
        <v>0.999999995601215</v>
      </c>
    </row>
    <row r="3997" spans="1:40" x14ac:dyDescent="0.25">
      <c r="A3997" t="str">
        <f>"20190312161351436"</f>
        <v>20190312161351436</v>
      </c>
      <c r="B3997" t="str">
        <f>"1552378431430252"</f>
        <v>1552378431430252</v>
      </c>
      <c r="C3997" t="s">
        <v>40</v>
      </c>
      <c r="D3997">
        <v>5.3859490000000001</v>
      </c>
      <c r="E3997">
        <v>0.50330569999999997</v>
      </c>
      <c r="F3997" t="s">
        <v>43</v>
      </c>
      <c r="G3997">
        <v>-191.45920000000001</v>
      </c>
      <c r="H3997">
        <v>0.92989639999999996</v>
      </c>
      <c r="I3997">
        <v>162.35980000000001</v>
      </c>
      <c r="J3997">
        <v>-191.25810000000001</v>
      </c>
      <c r="K3997">
        <v>1.1087279999999999</v>
      </c>
      <c r="L3997">
        <v>162.95330000000001</v>
      </c>
      <c r="M3997">
        <v>-0.13902200000000001</v>
      </c>
      <c r="N3997">
        <v>0</v>
      </c>
      <c r="O3997">
        <v>-0.99023229999999995</v>
      </c>
      <c r="P3997">
        <v>-0.28694429999999999</v>
      </c>
      <c r="Q3997">
        <v>-5.2503139999999997E-2</v>
      </c>
      <c r="R3997">
        <v>-0.95650789999999997</v>
      </c>
      <c r="S3997">
        <v>-0.85488889999999995</v>
      </c>
      <c r="T3997">
        <v>-0.68295349999999999</v>
      </c>
      <c r="U3997">
        <v>-2.8429259999999998</v>
      </c>
      <c r="V3997">
        <v>0.15107010000000001</v>
      </c>
      <c r="W3997">
        <v>-4.2360740000000001E-2</v>
      </c>
      <c r="X3997">
        <v>0.98761500000000002</v>
      </c>
      <c r="Y3997">
        <v>0.14463699999999999</v>
      </c>
      <c r="Z3997">
        <v>0.22437170000000001</v>
      </c>
      <c r="AA3997">
        <v>0.96371030000000002</v>
      </c>
      <c r="AB3997">
        <v>17</v>
      </c>
      <c r="AC3997">
        <v>-0.201099999999996</v>
      </c>
      <c r="AD3997">
        <v>-0.17883160000000001</v>
      </c>
      <c r="AE3997">
        <v>-0.59350000000000502</v>
      </c>
      <c r="AF3997">
        <v>0.107849327167249</v>
      </c>
      <c r="AG3997">
        <v>-0.17883160000000001</v>
      </c>
      <c r="AH3997">
        <v>0.56932800111429205</v>
      </c>
      <c r="AI3997">
        <v>107.15134403347599</v>
      </c>
      <c r="AJ3997">
        <v>79.273408850157594</v>
      </c>
      <c r="AK3997">
        <v>0.60642113368663497</v>
      </c>
      <c r="AL3997">
        <v>92.427818086386594</v>
      </c>
      <c r="AM3997">
        <v>81.303187627643297</v>
      </c>
      <c r="AN3997">
        <v>0.99999999781617799</v>
      </c>
    </row>
    <row r="3998" spans="1:40" x14ac:dyDescent="0.25">
      <c r="A3998" t="str">
        <f>"20190312161351458"</f>
        <v>20190312161351458</v>
      </c>
      <c r="B3998" t="str">
        <f>"1552378431449770"</f>
        <v>1552378431449770</v>
      </c>
      <c r="C3998" t="s">
        <v>40</v>
      </c>
      <c r="D3998">
        <v>5.3248889999999998</v>
      </c>
      <c r="E3998">
        <v>0.50316689999999997</v>
      </c>
      <c r="F3998" t="s">
        <v>43</v>
      </c>
      <c r="G3998">
        <v>-191.48509999999999</v>
      </c>
      <c r="H3998">
        <v>0.92842279999999999</v>
      </c>
      <c r="I3998">
        <v>162.20580000000001</v>
      </c>
      <c r="J3998">
        <v>-191.2841</v>
      </c>
      <c r="K3998">
        <v>1.1086849999999999</v>
      </c>
      <c r="L3998">
        <v>162.78360000000001</v>
      </c>
      <c r="M3998">
        <v>-0.14093249999999999</v>
      </c>
      <c r="N3998">
        <v>0</v>
      </c>
      <c r="O3998">
        <v>-0.98996200000000001</v>
      </c>
      <c r="P3998">
        <v>-0.29033969999999998</v>
      </c>
      <c r="Q3998">
        <v>-5.2552479999999999E-2</v>
      </c>
      <c r="R3998">
        <v>-0.95547979999999999</v>
      </c>
      <c r="S3998">
        <v>-0.86184689999999997</v>
      </c>
      <c r="T3998">
        <v>-0.68490410000000002</v>
      </c>
      <c r="U3998">
        <v>-2.840271</v>
      </c>
      <c r="V3998">
        <v>0.15266749999999901</v>
      </c>
      <c r="W3998">
        <v>-4.2440609999999997E-2</v>
      </c>
      <c r="X3998">
        <v>0.98736590000000002</v>
      </c>
      <c r="Y3998">
        <v>0.14509749999999999</v>
      </c>
      <c r="Z3998">
        <v>0.2249988</v>
      </c>
      <c r="AA3998">
        <v>0.96349479999999998</v>
      </c>
      <c r="AB3998">
        <v>17</v>
      </c>
      <c r="AC3998">
        <v>-0.20099999999999299</v>
      </c>
      <c r="AD3998">
        <v>-0.18026220000000001</v>
      </c>
      <c r="AE3998">
        <v>-0.57779999999999598</v>
      </c>
      <c r="AF3998">
        <v>0.108166686262176</v>
      </c>
      <c r="AG3998">
        <v>-0.18026220000000001</v>
      </c>
      <c r="AH3998">
        <v>0.55239957537337203</v>
      </c>
      <c r="AI3998">
        <v>107.75735288105599</v>
      </c>
      <c r="AJ3998">
        <v>78.920955908264702</v>
      </c>
      <c r="AK3998">
        <v>0.59104973025834495</v>
      </c>
      <c r="AL3998">
        <v>92.432398424591298</v>
      </c>
      <c r="AM3998">
        <v>81.210474024709995</v>
      </c>
      <c r="AN3998">
        <v>0.99999999570811604</v>
      </c>
    </row>
    <row r="3999" spans="1:40" x14ac:dyDescent="0.25">
      <c r="A3999" t="str">
        <f>"20190312161351473"</f>
        <v>20190312161351473</v>
      </c>
      <c r="B3999" t="str">
        <f>"1552378431470267"</f>
        <v>1552378431470267</v>
      </c>
      <c r="C3999" t="s">
        <v>40</v>
      </c>
      <c r="D3999">
        <v>5.4352489999999998</v>
      </c>
      <c r="E3999">
        <v>0.50435099999999999</v>
      </c>
      <c r="F3999" t="s">
        <v>43</v>
      </c>
      <c r="G3999">
        <v>-191.50960000000001</v>
      </c>
      <c r="H3999">
        <v>0.93138410000000005</v>
      </c>
      <c r="I3999">
        <v>162.04929999999999</v>
      </c>
      <c r="J3999">
        <v>-191.30250000000001</v>
      </c>
      <c r="K3999">
        <v>1.10866</v>
      </c>
      <c r="L3999">
        <v>162.66589999999999</v>
      </c>
      <c r="M3999">
        <v>-0.1422947</v>
      </c>
      <c r="N3999">
        <v>0</v>
      </c>
      <c r="O3999">
        <v>-0.98976710000000001</v>
      </c>
      <c r="P3999">
        <v>-0.29245559999999998</v>
      </c>
      <c r="Q3999">
        <v>-5.2497309999999998E-2</v>
      </c>
      <c r="R3999">
        <v>-0.95483720000000005</v>
      </c>
      <c r="S3999">
        <v>-0.87063599999999997</v>
      </c>
      <c r="T3999">
        <v>-0.68506769999999995</v>
      </c>
      <c r="U3999">
        <v>-2.837555</v>
      </c>
      <c r="V3999">
        <v>0.15349270000000001</v>
      </c>
      <c r="W3999">
        <v>-4.24053E-2</v>
      </c>
      <c r="X3999">
        <v>0.98723950000000005</v>
      </c>
      <c r="Y3999">
        <v>0.1467185</v>
      </c>
      <c r="Z3999">
        <v>0.22505890000000001</v>
      </c>
      <c r="AA3999">
        <v>0.96323530000000002</v>
      </c>
      <c r="AB3999">
        <v>17</v>
      </c>
      <c r="AC3999">
        <v>-0.20709999999999601</v>
      </c>
      <c r="AD3999">
        <v>-0.17727589999999899</v>
      </c>
      <c r="AE3999">
        <v>-0.61660000000000503</v>
      </c>
      <c r="AF3999">
        <v>0.10914148824572301</v>
      </c>
      <c r="AG3999">
        <v>-0.17727589999999899</v>
      </c>
      <c r="AH3999">
        <v>0.59555794378690896</v>
      </c>
      <c r="AI3999">
        <v>106.31938066284199</v>
      </c>
      <c r="AJ3999">
        <v>79.615250162763502</v>
      </c>
      <c r="AK3999">
        <v>0.63089450273797099</v>
      </c>
      <c r="AL3999">
        <v>92.430373417889101</v>
      </c>
      <c r="AM3999">
        <v>81.162599081732395</v>
      </c>
      <c r="AN3999">
        <v>1.00000002439081</v>
      </c>
    </row>
    <row r="4000" spans="1:40" x14ac:dyDescent="0.25">
      <c r="A4000" t="str">
        <f>"20190312161351491"</f>
        <v>20190312161351491</v>
      </c>
      <c r="B4000" t="str">
        <f>"1552378431480026"</f>
        <v>1552378431480026</v>
      </c>
      <c r="C4000" t="s">
        <v>40</v>
      </c>
      <c r="D4000">
        <v>5.4532949999999998</v>
      </c>
      <c r="E4000">
        <v>0.50435969999999997</v>
      </c>
      <c r="F4000" t="s">
        <v>43</v>
      </c>
      <c r="G4000">
        <v>-191.53880000000001</v>
      </c>
      <c r="H4000">
        <v>0.90100650000000004</v>
      </c>
      <c r="I4000">
        <v>161.90819999999999</v>
      </c>
      <c r="J4000">
        <v>-191.3254</v>
      </c>
      <c r="K4000">
        <v>1.108635</v>
      </c>
      <c r="L4000">
        <v>162.52090000000001</v>
      </c>
      <c r="M4000">
        <v>-0.14401420000000001</v>
      </c>
      <c r="N4000">
        <v>0</v>
      </c>
      <c r="O4000">
        <v>-0.98951880000000003</v>
      </c>
      <c r="P4000">
        <v>-0.2955565</v>
      </c>
      <c r="Q4000">
        <v>-5.2396140000000001E-2</v>
      </c>
      <c r="R4000">
        <v>-0.9538875</v>
      </c>
      <c r="S4000">
        <v>-0.88166809999999995</v>
      </c>
      <c r="T4000">
        <v>-0.77526329999999999</v>
      </c>
      <c r="U4000">
        <v>-2.829269</v>
      </c>
      <c r="V4000">
        <v>0.15498100000000001</v>
      </c>
      <c r="W4000">
        <v>-4.2332330000000001E-2</v>
      </c>
      <c r="X4000">
        <v>0.9870101</v>
      </c>
      <c r="Y4000">
        <v>0.147133399999999</v>
      </c>
      <c r="Z4000">
        <v>0.25328109999999998</v>
      </c>
      <c r="AA4000">
        <v>0.9561383</v>
      </c>
      <c r="AB4000">
        <v>17</v>
      </c>
      <c r="AC4000">
        <v>-0.213400000000007</v>
      </c>
      <c r="AD4000">
        <v>-0.20762849999999999</v>
      </c>
      <c r="AE4000">
        <v>-0.61270000000001801</v>
      </c>
      <c r="AF4000">
        <v>0.11151245727912799</v>
      </c>
      <c r="AG4000">
        <v>-0.20762849999999999</v>
      </c>
      <c r="AH4000">
        <v>0.57786593882328796</v>
      </c>
      <c r="AI4000">
        <v>109.43250938990499</v>
      </c>
      <c r="AJ4000">
        <v>79.077723984733396</v>
      </c>
      <c r="AK4000">
        <v>0.624078252619653</v>
      </c>
      <c r="AL4000">
        <v>92.426188756680105</v>
      </c>
      <c r="AM4000">
        <v>81.076241398981594</v>
      </c>
      <c r="AN4000">
        <v>1.0000000370131099</v>
      </c>
    </row>
    <row r="4001" spans="1:40" x14ac:dyDescent="0.25">
      <c r="A4001" t="str">
        <f>"20190312161351507"</f>
        <v>20190312161351507</v>
      </c>
      <c r="B4001" t="str">
        <f>"1552378431500523"</f>
        <v>1552378431500523</v>
      </c>
      <c r="C4001" t="s">
        <v>40</v>
      </c>
      <c r="D4001">
        <v>5.5721449999999999</v>
      </c>
      <c r="E4001">
        <v>0.50679759999999996</v>
      </c>
      <c r="F4001" t="s">
        <v>43</v>
      </c>
      <c r="G4001">
        <v>-191.56700000000001</v>
      </c>
      <c r="H4001">
        <v>0.89884349999999902</v>
      </c>
      <c r="I4001">
        <v>161.75409999999999</v>
      </c>
      <c r="J4001">
        <v>-191.34460000000001</v>
      </c>
      <c r="K4001">
        <v>1.1086119999999999</v>
      </c>
      <c r="L4001">
        <v>162.40029999999999</v>
      </c>
      <c r="M4001">
        <v>-0.14547599999999999</v>
      </c>
      <c r="N4001">
        <v>0</v>
      </c>
      <c r="O4001">
        <v>-0.98930499999999999</v>
      </c>
      <c r="P4001">
        <v>-0.29806379999999999</v>
      </c>
      <c r="Q4001">
        <v>-5.220052E-2</v>
      </c>
      <c r="R4001">
        <v>-0.95311789999999996</v>
      </c>
      <c r="S4001">
        <v>-0.89088440000000002</v>
      </c>
      <c r="T4001">
        <v>-0.77325200000000005</v>
      </c>
      <c r="U4001">
        <v>-2.8265229999999999</v>
      </c>
      <c r="V4001">
        <v>0.15611449999999999</v>
      </c>
      <c r="W4001">
        <v>-4.2160879999999998E-2</v>
      </c>
      <c r="X4001">
        <v>0.98683880000000002</v>
      </c>
      <c r="Y4001">
        <v>0.1488244</v>
      </c>
      <c r="Z4001">
        <v>0.2526622</v>
      </c>
      <c r="AA4001">
        <v>0.95604029999999995</v>
      </c>
      <c r="AB4001">
        <v>18</v>
      </c>
      <c r="AC4001">
        <v>-0.22239999999999299</v>
      </c>
      <c r="AD4001">
        <v>-0.2097685</v>
      </c>
      <c r="AE4001">
        <v>-0.646199999999993</v>
      </c>
      <c r="AF4001">
        <v>0.11517085008967699</v>
      </c>
      <c r="AG4001">
        <v>-0.2097685</v>
      </c>
      <c r="AH4001">
        <v>0.613845689718575</v>
      </c>
      <c r="AI4001">
        <v>108.56554816137</v>
      </c>
      <c r="AJ4001">
        <v>79.373601736195596</v>
      </c>
      <c r="AK4001">
        <v>0.65884268159303605</v>
      </c>
      <c r="AL4001">
        <v>92.416356593370395</v>
      </c>
      <c r="AM4001">
        <v>81.010501816749894</v>
      </c>
      <c r="AN4001">
        <v>1.00000004704903</v>
      </c>
    </row>
    <row r="4002" spans="1:40" x14ac:dyDescent="0.25">
      <c r="A4002" t="str">
        <f>"20190312161351519"</f>
        <v>20190312161351519</v>
      </c>
      <c r="B4002" t="str">
        <f>"1552378431510062"</f>
        <v>1552378431510062</v>
      </c>
      <c r="C4002" t="s">
        <v>40</v>
      </c>
      <c r="D4002">
        <v>5.5550990000000002</v>
      </c>
      <c r="E4002">
        <v>0.54909039999999998</v>
      </c>
      <c r="F4002" t="s">
        <v>43</v>
      </c>
      <c r="G4002">
        <v>-191.55950000000001</v>
      </c>
      <c r="H4002">
        <v>0.92899500000000002</v>
      </c>
      <c r="I4002">
        <v>161.7398</v>
      </c>
      <c r="J4002">
        <v>-191.36099999999999</v>
      </c>
      <c r="K4002">
        <v>1.108598</v>
      </c>
      <c r="L4002">
        <v>162.2989</v>
      </c>
      <c r="M4002">
        <v>-0.14672779999999999</v>
      </c>
      <c r="N4002">
        <v>0</v>
      </c>
      <c r="O4002">
        <v>-0.9891202</v>
      </c>
      <c r="P4002">
        <v>-0.30006450000000001</v>
      </c>
      <c r="Q4002">
        <v>-5.2500779999999997E-2</v>
      </c>
      <c r="R4002">
        <v>-0.95247329999999997</v>
      </c>
      <c r="S4002">
        <v>-0.91725159999999994</v>
      </c>
      <c r="T4002">
        <v>-0.76666619999999996</v>
      </c>
      <c r="U4002">
        <v>-2.8187259999999998</v>
      </c>
      <c r="V4002">
        <v>0.15693770000000001</v>
      </c>
      <c r="W4002">
        <v>-4.2479860000000001E-2</v>
      </c>
      <c r="X4002">
        <v>0.98669450000000003</v>
      </c>
      <c r="Y4002">
        <v>0.15659600000000001</v>
      </c>
      <c r="Z4002">
        <v>0.25072169999999999</v>
      </c>
      <c r="AA4002">
        <v>0.95530950000000003</v>
      </c>
      <c r="AB4002">
        <v>18</v>
      </c>
      <c r="AC4002">
        <v>-0.19850000000002399</v>
      </c>
      <c r="AD4002">
        <v>-0.17960299999999901</v>
      </c>
      <c r="AE4002">
        <v>-0.55910000000000004</v>
      </c>
      <c r="AF4002">
        <v>0.104715049564876</v>
      </c>
      <c r="AG4002">
        <v>-0.17960299999999901</v>
      </c>
      <c r="AH4002">
        <v>0.53330274299464098</v>
      </c>
      <c r="AI4002">
        <v>108.286902388607</v>
      </c>
      <c r="AJ4002">
        <v>78.891184855795899</v>
      </c>
      <c r="AK4002">
        <v>0.57239347908583205</v>
      </c>
      <c r="AL4002">
        <v>92.434649283320098</v>
      </c>
      <c r="AM4002">
        <v>80.962580137680305</v>
      </c>
      <c r="AN4002">
        <v>1.0000000082585701</v>
      </c>
    </row>
    <row r="4003" spans="1:40" x14ac:dyDescent="0.25">
      <c r="A4003" t="str">
        <f>"20190312161351535"</f>
        <v>20190312161351535</v>
      </c>
      <c r="B4003" t="str">
        <f>"1552378431530557"</f>
        <v>1552378431530557</v>
      </c>
      <c r="C4003" t="s">
        <v>40</v>
      </c>
      <c r="D4003">
        <v>5.6399290000000004</v>
      </c>
      <c r="E4003">
        <v>0.59936979999999995</v>
      </c>
      <c r="F4003" t="s">
        <v>84</v>
      </c>
      <c r="G4003">
        <v>-194.1097</v>
      </c>
      <c r="H4003" s="1">
        <v>-1.3940100000000001E-5</v>
      </c>
      <c r="I4003">
        <v>156.3398</v>
      </c>
      <c r="J4003">
        <v>-191.37989999999999</v>
      </c>
      <c r="K4003">
        <v>1.1085750000000001</v>
      </c>
      <c r="L4003">
        <v>162.1832</v>
      </c>
      <c r="M4003">
        <v>-0.14817159999999999</v>
      </c>
      <c r="N4003">
        <v>0</v>
      </c>
      <c r="O4003">
        <v>-0.98890509999999998</v>
      </c>
      <c r="P4003">
        <v>-0.3032202</v>
      </c>
      <c r="Q4003">
        <v>-5.3275940000000001E-2</v>
      </c>
      <c r="R4003">
        <v>-0.95143029999999995</v>
      </c>
      <c r="S4003">
        <v>-1.257217</v>
      </c>
      <c r="T4003">
        <v>-0.50707519999999995</v>
      </c>
      <c r="U4003">
        <v>-2.7256770000000001</v>
      </c>
      <c r="V4003">
        <v>0.15876970000000001</v>
      </c>
      <c r="W4003">
        <v>-4.3279320000000003E-2</v>
      </c>
      <c r="X4003">
        <v>0.98636659999999998</v>
      </c>
      <c r="Y4003">
        <v>0.27366610000000002</v>
      </c>
      <c r="Z4003">
        <v>0.168229399999999</v>
      </c>
      <c r="AA4003">
        <v>0.94699820000000001</v>
      </c>
      <c r="AB4003">
        <v>18</v>
      </c>
      <c r="AC4003">
        <v>-2.7298000000000102</v>
      </c>
      <c r="AD4003">
        <v>-1.1085889401</v>
      </c>
      <c r="AE4003">
        <v>-5.8433999999999999</v>
      </c>
      <c r="AF4003">
        <v>1.7811660127287099</v>
      </c>
      <c r="AG4003">
        <v>-1.1085889401</v>
      </c>
      <c r="AH4003">
        <v>6.0059495955421802</v>
      </c>
      <c r="AI4003">
        <v>100.035373180555</v>
      </c>
      <c r="AJ4003">
        <v>73.481385124149099</v>
      </c>
      <c r="AK4003">
        <v>6.3618356114572201</v>
      </c>
      <c r="AL4003">
        <v>92.480497173654399</v>
      </c>
      <c r="AM4003">
        <v>80.855866170355398</v>
      </c>
      <c r="AN4003">
        <v>0.99999999338665602</v>
      </c>
    </row>
    <row r="4004" spans="1:40" x14ac:dyDescent="0.25">
      <c r="A4004" t="str">
        <f>"20190312161351549"</f>
        <v>20190312161351549</v>
      </c>
      <c r="B4004" t="str">
        <f>"1552378431540318"</f>
        <v>1552378431540318</v>
      </c>
      <c r="C4004" t="s">
        <v>40</v>
      </c>
      <c r="D4004">
        <v>5.5078290000000001</v>
      </c>
      <c r="E4004">
        <v>0.60909760000000002</v>
      </c>
      <c r="F4004" t="s">
        <v>84</v>
      </c>
      <c r="G4004">
        <v>-196.99529999999999</v>
      </c>
      <c r="H4004" s="1">
        <v>-1.3138009999999999E-5</v>
      </c>
      <c r="I4004">
        <v>153.34979999999999</v>
      </c>
      <c r="J4004">
        <v>-191.39869999999999</v>
      </c>
      <c r="K4004">
        <v>1.10856</v>
      </c>
      <c r="L4004">
        <v>162.0685</v>
      </c>
      <c r="M4004">
        <v>-0.14961969999999999</v>
      </c>
      <c r="N4004">
        <v>0</v>
      </c>
      <c r="O4004">
        <v>-0.98868699999999998</v>
      </c>
      <c r="P4004">
        <v>-0.30572779999999999</v>
      </c>
      <c r="Q4004">
        <v>-5.3286399999999998E-2</v>
      </c>
      <c r="R4004">
        <v>-0.95062670000000005</v>
      </c>
      <c r="S4004">
        <v>-1.6571039999999999</v>
      </c>
      <c r="T4004">
        <v>-0.32714339999999997</v>
      </c>
      <c r="U4004">
        <v>-2.6067200000000001</v>
      </c>
      <c r="V4004">
        <v>0.15992410000000001</v>
      </c>
      <c r="W4004">
        <v>-4.3308890000000003E-2</v>
      </c>
      <c r="X4004">
        <v>0.98617880000000002</v>
      </c>
      <c r="Y4004">
        <v>0.40105990000000002</v>
      </c>
      <c r="Z4004">
        <v>0.1074533</v>
      </c>
      <c r="AA4004">
        <v>0.90972790000000003</v>
      </c>
      <c r="AB4004">
        <v>18</v>
      </c>
      <c r="AC4004">
        <v>-5.5965999999999898</v>
      </c>
      <c r="AD4004">
        <v>-1.1085731380099999</v>
      </c>
      <c r="AE4004">
        <v>-8.7187000000000108</v>
      </c>
      <c r="AF4004">
        <v>4.1811620186887604</v>
      </c>
      <c r="AG4004">
        <v>-1.1085731380099999</v>
      </c>
      <c r="AH4004">
        <v>9.3508958085638607</v>
      </c>
      <c r="AI4004">
        <v>96.1768625648605</v>
      </c>
      <c r="AJ4004">
        <v>65.908658873921198</v>
      </c>
      <c r="AK4004">
        <v>10.302926897317001</v>
      </c>
      <c r="AL4004">
        <v>92.482192979418997</v>
      </c>
      <c r="AM4004">
        <v>80.788791541883498</v>
      </c>
      <c r="AN4004">
        <v>1.0000000016416399</v>
      </c>
    </row>
    <row r="4005" spans="1:40" x14ac:dyDescent="0.25">
      <c r="A4005" t="str">
        <f>"20190312161351561"</f>
        <v>20190312161351561</v>
      </c>
      <c r="B4005" t="str">
        <f>"1552378431550077"</f>
        <v>1552378431550077</v>
      </c>
      <c r="C4005" t="s">
        <v>40</v>
      </c>
      <c r="D4005">
        <v>5.5273000000000003</v>
      </c>
      <c r="E4005">
        <v>0.61509820000000004</v>
      </c>
      <c r="F4005" t="s">
        <v>84</v>
      </c>
      <c r="G4005">
        <v>-199.29150000000001</v>
      </c>
      <c r="H4005" s="1">
        <v>-1.259165E-5</v>
      </c>
      <c r="I4005">
        <v>150.3689</v>
      </c>
      <c r="J4005">
        <v>-191.4153</v>
      </c>
      <c r="K4005">
        <v>1.1085449999999999</v>
      </c>
      <c r="L4005">
        <v>161.9692</v>
      </c>
      <c r="M4005">
        <v>-0.15089259999999999</v>
      </c>
      <c r="N4005">
        <v>0</v>
      </c>
      <c r="O4005">
        <v>-0.98849370000000003</v>
      </c>
      <c r="P4005">
        <v>-0.30769970000000002</v>
      </c>
      <c r="Q4005">
        <v>-5.3645350000000001E-2</v>
      </c>
      <c r="R4005">
        <v>-0.9499706</v>
      </c>
      <c r="S4005">
        <v>-1.741806</v>
      </c>
      <c r="T4005">
        <v>-0.24464379999999999</v>
      </c>
      <c r="U4005">
        <v>-2.581909</v>
      </c>
      <c r="V4005">
        <v>0.16070119999999999</v>
      </c>
      <c r="W4005">
        <v>-4.3681860000000003E-2</v>
      </c>
      <c r="X4005">
        <v>0.98603600000000002</v>
      </c>
      <c r="Y4005">
        <v>0.42596109999999998</v>
      </c>
      <c r="Z4005">
        <v>8.0062549999999996E-2</v>
      </c>
      <c r="AA4005">
        <v>0.90119210000000005</v>
      </c>
      <c r="AB4005">
        <v>18</v>
      </c>
      <c r="AC4005">
        <v>-7.8762000000000096</v>
      </c>
      <c r="AD4005">
        <v>-1.1085575916499999</v>
      </c>
      <c r="AE4005">
        <v>-11.600300000000001</v>
      </c>
      <c r="AF4005">
        <v>5.99801961517446</v>
      </c>
      <c r="AG4005">
        <v>-1.1085575916499999</v>
      </c>
      <c r="AH4005">
        <v>12.5773725912444</v>
      </c>
      <c r="AI4005">
        <v>94.548623262475004</v>
      </c>
      <c r="AJ4005">
        <v>64.504005867997805</v>
      </c>
      <c r="AK4005">
        <v>13.978391915274401</v>
      </c>
      <c r="AL4005">
        <v>92.503582865982807</v>
      </c>
      <c r="AM4005">
        <v>80.743488187514203</v>
      </c>
      <c r="AN4005">
        <v>0.99999998693524905</v>
      </c>
    </row>
    <row r="4006" spans="1:40" x14ac:dyDescent="0.25">
      <c r="A4006" t="str">
        <f>"20190312161351580"</f>
        <v>20190312161351580</v>
      </c>
      <c r="B4006" t="str">
        <f>"1552378431570574"</f>
        <v>1552378431570574</v>
      </c>
      <c r="C4006" t="s">
        <v>40</v>
      </c>
      <c r="D4006">
        <v>5.7424900000000001</v>
      </c>
      <c r="E4006">
        <v>0.61388520000000002</v>
      </c>
      <c r="F4006" t="s">
        <v>84</v>
      </c>
      <c r="G4006">
        <v>-201.3246</v>
      </c>
      <c r="H4006" s="1">
        <v>-1.1316500000000001E-5</v>
      </c>
      <c r="I4006">
        <v>147.80549999999999</v>
      </c>
      <c r="J4006">
        <v>-191.4392</v>
      </c>
      <c r="K4006">
        <v>1.1085290000000001</v>
      </c>
      <c r="L4006">
        <v>161.82689999999999</v>
      </c>
      <c r="M4006">
        <v>-0.1527317</v>
      </c>
      <c r="N4006">
        <v>0</v>
      </c>
      <c r="O4006">
        <v>-0.98821130000000001</v>
      </c>
      <c r="P4006">
        <v>-0.31159199999999998</v>
      </c>
      <c r="Q4006">
        <v>-5.3807689999999998E-2</v>
      </c>
      <c r="R4006">
        <v>-0.94869130000000002</v>
      </c>
      <c r="S4006">
        <v>-1.7947850000000001</v>
      </c>
      <c r="T4006">
        <v>-0.20078180000000001</v>
      </c>
      <c r="U4006">
        <v>-2.5653380000000001</v>
      </c>
      <c r="V4006">
        <v>0.16290739999999901</v>
      </c>
      <c r="W4006">
        <v>-4.3868200000000003E-2</v>
      </c>
      <c r="X4006">
        <v>0.98566560000000003</v>
      </c>
      <c r="Y4006">
        <v>0.44014930000000002</v>
      </c>
      <c r="Z4006">
        <v>6.5519339999999995E-2</v>
      </c>
      <c r="AA4006">
        <v>0.89553099999999997</v>
      </c>
      <c r="AB4006">
        <v>18</v>
      </c>
      <c r="AC4006">
        <v>-9.8854000000000006</v>
      </c>
      <c r="AD4006">
        <v>-1.1085403165000001</v>
      </c>
      <c r="AE4006">
        <v>-14.0214</v>
      </c>
      <c r="AF4006">
        <v>7.5960613899424398</v>
      </c>
      <c r="AG4006">
        <v>-1.1085403165000001</v>
      </c>
      <c r="AH4006">
        <v>15.302882942999901</v>
      </c>
      <c r="AI4006">
        <v>93.712485684713201</v>
      </c>
      <c r="AJ4006">
        <v>63.601068418636302</v>
      </c>
      <c r="AK4006">
        <v>17.120374897771299</v>
      </c>
      <c r="AL4006">
        <v>92.514269679946807</v>
      </c>
      <c r="AM4006">
        <v>80.615190947966596</v>
      </c>
      <c r="AN4006">
        <v>0.99999995748467896</v>
      </c>
    </row>
    <row r="4007" spans="1:40" x14ac:dyDescent="0.25">
      <c r="A4007" t="str">
        <f>"20190312161351593"</f>
        <v>20190312161351593</v>
      </c>
      <c r="B4007" t="str">
        <f>"1552378431590093"</f>
        <v>1552378431590093</v>
      </c>
      <c r="C4007" t="s">
        <v>40</v>
      </c>
      <c r="D4007">
        <v>5.6123379999999896</v>
      </c>
      <c r="E4007">
        <v>0.61787300000000001</v>
      </c>
      <c r="F4007" t="s">
        <v>84</v>
      </c>
      <c r="G4007">
        <v>-201.07589999999999</v>
      </c>
      <c r="H4007" s="1">
        <v>-1.151039E-5</v>
      </c>
      <c r="I4007">
        <v>148.08629999999999</v>
      </c>
      <c r="J4007">
        <v>-191.45590000000001</v>
      </c>
      <c r="K4007">
        <v>1.1085229999999999</v>
      </c>
      <c r="L4007">
        <v>161.7285</v>
      </c>
      <c r="M4007">
        <v>-0.1540118</v>
      </c>
      <c r="N4007">
        <v>0</v>
      </c>
      <c r="O4007">
        <v>-0.98801269999999997</v>
      </c>
      <c r="P4007">
        <v>-0.31370550000000003</v>
      </c>
      <c r="Q4007">
        <v>-5.4018120000000003E-2</v>
      </c>
      <c r="R4007">
        <v>-0.94798280000000001</v>
      </c>
      <c r="S4007">
        <v>-1.795898</v>
      </c>
      <c r="T4007">
        <v>-0.2065891</v>
      </c>
      <c r="U4007">
        <v>-2.5606990000000001</v>
      </c>
      <c r="V4007">
        <v>0.1638271</v>
      </c>
      <c r="W4007">
        <v>-4.4092010000000001E-2</v>
      </c>
      <c r="X4007">
        <v>0.98550320000000002</v>
      </c>
      <c r="Y4007">
        <v>0.43993450000000001</v>
      </c>
      <c r="Z4007">
        <v>6.7479620000000004E-2</v>
      </c>
      <c r="AA4007">
        <v>0.89549100000000004</v>
      </c>
      <c r="AB4007">
        <v>18</v>
      </c>
      <c r="AC4007">
        <v>-9.6199999999999708</v>
      </c>
      <c r="AD4007">
        <v>-1.1085345103899999</v>
      </c>
      <c r="AE4007">
        <v>-13.642200000000001</v>
      </c>
      <c r="AF4007">
        <v>7.3715263095676598</v>
      </c>
      <c r="AG4007">
        <v>-1.1085345103899999</v>
      </c>
      <c r="AH4007">
        <v>14.895404847865301</v>
      </c>
      <c r="AI4007">
        <v>93.8159914024275</v>
      </c>
      <c r="AJ4007">
        <v>63.669839622068203</v>
      </c>
      <c r="AK4007">
        <v>16.656570309496001</v>
      </c>
      <c r="AL4007">
        <v>92.527105384947305</v>
      </c>
      <c r="AM4007">
        <v>80.561631935581701</v>
      </c>
      <c r="AN4007">
        <v>0.99999999062524503</v>
      </c>
    </row>
    <row r="4008" spans="1:40" x14ac:dyDescent="0.25">
      <c r="A4008" t="str">
        <f>"20190312161351605"</f>
        <v>20190312161351605</v>
      </c>
      <c r="B4008" t="str">
        <f>"1552378431599854"</f>
        <v>1552378431599854</v>
      </c>
      <c r="C4008" t="s">
        <v>40</v>
      </c>
      <c r="D4008">
        <v>5.6946770000000004</v>
      </c>
      <c r="E4008">
        <v>0.61772930000000004</v>
      </c>
      <c r="F4008" t="s">
        <v>84</v>
      </c>
      <c r="G4008">
        <v>-202.7379</v>
      </c>
      <c r="H4008" s="1">
        <v>-1.016754E-5</v>
      </c>
      <c r="I4008">
        <v>146.04990000000001</v>
      </c>
      <c r="J4008">
        <v>-191.47229999999999</v>
      </c>
      <c r="K4008">
        <v>1.108514</v>
      </c>
      <c r="L4008">
        <v>161.63249999999999</v>
      </c>
      <c r="M4008">
        <v>-0.15526899999999999</v>
      </c>
      <c r="N4008">
        <v>0</v>
      </c>
      <c r="O4008">
        <v>-0.98781609999999997</v>
      </c>
      <c r="P4008">
        <v>-0.31550650000000002</v>
      </c>
      <c r="Q4008">
        <v>-5.4117680000000001E-2</v>
      </c>
      <c r="R4008">
        <v>-0.94737919999999998</v>
      </c>
      <c r="S4008">
        <v>-1.833267</v>
      </c>
      <c r="T4008">
        <v>-0.1801316</v>
      </c>
      <c r="U4008">
        <v>-2.5476990000000002</v>
      </c>
      <c r="V4008">
        <v>0.16444549999999999</v>
      </c>
      <c r="W4008">
        <v>-4.4203050000000001E-2</v>
      </c>
      <c r="X4008">
        <v>0.98539529999999997</v>
      </c>
      <c r="Y4008">
        <v>0.44994919999999999</v>
      </c>
      <c r="Z4008">
        <v>5.8718760000000002E-2</v>
      </c>
      <c r="AA4008">
        <v>0.89112169999999902</v>
      </c>
      <c r="AB4008">
        <v>18</v>
      </c>
      <c r="AC4008">
        <v>-11.265599999999999</v>
      </c>
      <c r="AD4008">
        <v>-1.1085241675399999</v>
      </c>
      <c r="AE4008">
        <v>-15.5825999999999</v>
      </c>
      <c r="AF4008">
        <v>8.6804790970880799</v>
      </c>
      <c r="AG4008">
        <v>-1.1085241675399999</v>
      </c>
      <c r="AH4008">
        <v>17.086105328160201</v>
      </c>
      <c r="AI4008">
        <v>93.310412725342701</v>
      </c>
      <c r="AJ4008">
        <v>63.067464462913101</v>
      </c>
      <c r="AK4008">
        <v>19.196732494619699</v>
      </c>
      <c r="AL4008">
        <v>92.533473529608102</v>
      </c>
      <c r="AM4008">
        <v>80.525630890974895</v>
      </c>
      <c r="AN4008">
        <v>1.00000006468081</v>
      </c>
    </row>
    <row r="4009" spans="1:40" x14ac:dyDescent="0.25">
      <c r="A4009" t="str">
        <f>"20190312161351619"</f>
        <v>20190312161351619</v>
      </c>
      <c r="B4009" t="str">
        <f>"1552378431610330"</f>
        <v>1552378431610330</v>
      </c>
      <c r="C4009" t="s">
        <v>40</v>
      </c>
      <c r="D4009">
        <v>5.7511269999999897</v>
      </c>
      <c r="E4009">
        <v>0.61772749999999998</v>
      </c>
      <c r="F4009" t="s">
        <v>84</v>
      </c>
      <c r="G4009">
        <v>-202.20689999999999</v>
      </c>
      <c r="H4009" s="1">
        <v>-1.061462E-5</v>
      </c>
      <c r="I4009">
        <v>146.7612</v>
      </c>
      <c r="J4009">
        <v>-191.49080000000001</v>
      </c>
      <c r="K4009">
        <v>1.108506</v>
      </c>
      <c r="L4009">
        <v>161.52549999999999</v>
      </c>
      <c r="M4009">
        <v>-0.15668009999999999</v>
      </c>
      <c r="N4009">
        <v>0</v>
      </c>
      <c r="O4009">
        <v>-0.98759319999999895</v>
      </c>
      <c r="P4009">
        <v>-0.31752900000000001</v>
      </c>
      <c r="Q4009">
        <v>-5.4308339999999997E-2</v>
      </c>
      <c r="R4009">
        <v>-0.94669230000000004</v>
      </c>
      <c r="S4009">
        <v>-1.8364720000000001</v>
      </c>
      <c r="T4009">
        <v>-0.18964710000000001</v>
      </c>
      <c r="U4009">
        <v>-2.5441889999999998</v>
      </c>
      <c r="V4009">
        <v>0.16514219999999999</v>
      </c>
      <c r="W4009">
        <v>-4.4405849999999997E-2</v>
      </c>
      <c r="X4009">
        <v>0.98526959999999997</v>
      </c>
      <c r="Y4009">
        <v>0.44988460000000002</v>
      </c>
      <c r="Z4009">
        <v>6.1835599999999998E-2</v>
      </c>
      <c r="AA4009">
        <v>0.89094340000000005</v>
      </c>
      <c r="AB4009">
        <v>18</v>
      </c>
      <c r="AC4009">
        <v>-10.7160999999999</v>
      </c>
      <c r="AD4009">
        <v>-1.1085166146200001</v>
      </c>
      <c r="AE4009">
        <v>-14.764299999999899</v>
      </c>
      <c r="AF4009">
        <v>8.2399118335141903</v>
      </c>
      <c r="AG4009">
        <v>-1.1085166146200001</v>
      </c>
      <c r="AH4009">
        <v>16.2012077495333</v>
      </c>
      <c r="AI4009">
        <v>93.489984434487198</v>
      </c>
      <c r="AJ4009">
        <v>63.042174413528201</v>
      </c>
      <c r="AK4009">
        <v>18.2099996884271</v>
      </c>
      <c r="AL4009">
        <v>92.545104685185194</v>
      </c>
      <c r="AM4009">
        <v>80.485031869643095</v>
      </c>
      <c r="AN4009">
        <v>1.0000000052096101</v>
      </c>
    </row>
    <row r="4010" spans="1:40" x14ac:dyDescent="0.25">
      <c r="A4010" t="str">
        <f>"20190312161351636"</f>
        <v>20190312161351636</v>
      </c>
      <c r="B4010" t="str">
        <f>"1552378431629850"</f>
        <v>1552378431629850</v>
      </c>
      <c r="C4010" t="s">
        <v>40</v>
      </c>
      <c r="D4010">
        <v>6.0096189999999998</v>
      </c>
      <c r="E4010">
        <v>0.61788299999999996</v>
      </c>
      <c r="F4010" t="s">
        <v>84</v>
      </c>
      <c r="G4010">
        <v>-201.68129999999999</v>
      </c>
      <c r="H4010" s="1">
        <v>-1.1058329999999999E-5</v>
      </c>
      <c r="I4010">
        <v>147.4693</v>
      </c>
      <c r="J4010">
        <v>-191.5136</v>
      </c>
      <c r="K4010">
        <v>1.108498</v>
      </c>
      <c r="L4010">
        <v>161.39490000000001</v>
      </c>
      <c r="M4010">
        <v>-0.15841340000000001</v>
      </c>
      <c r="N4010">
        <v>0</v>
      </c>
      <c r="O4010">
        <v>-0.987317</v>
      </c>
      <c r="P4010">
        <v>-0.31992759999999998</v>
      </c>
      <c r="Q4010">
        <v>-5.5125050000000002E-2</v>
      </c>
      <c r="R4010">
        <v>-0.94583759999999995</v>
      </c>
      <c r="S4010">
        <v>-1.8413390000000001</v>
      </c>
      <c r="T4010">
        <v>-0.20030000000000001</v>
      </c>
      <c r="U4010">
        <v>-2.539841</v>
      </c>
      <c r="V4010">
        <v>0.16591410000000001</v>
      </c>
      <c r="W4010">
        <v>-4.5238180000000003E-2</v>
      </c>
      <c r="X4010">
        <v>0.98510209999999998</v>
      </c>
      <c r="Y4010">
        <v>0.45003140000000003</v>
      </c>
      <c r="Z4010">
        <v>6.5319290000000002E-2</v>
      </c>
      <c r="AA4010">
        <v>0.89062059999999998</v>
      </c>
      <c r="AB4010">
        <v>18</v>
      </c>
      <c r="AC4010">
        <v>-10.1676999999999</v>
      </c>
      <c r="AD4010">
        <v>-1.1085090583299999</v>
      </c>
      <c r="AE4010">
        <v>-13.925599999999999</v>
      </c>
      <c r="AF4010">
        <v>7.8009314554148599</v>
      </c>
      <c r="AG4010">
        <v>-1.1085090583299999</v>
      </c>
      <c r="AH4010">
        <v>15.297303523374</v>
      </c>
      <c r="AI4010">
        <v>93.693603363996004</v>
      </c>
      <c r="AJ4010">
        <v>62.980479313491202</v>
      </c>
      <c r="AK4010">
        <v>17.207289704968399</v>
      </c>
      <c r="AL4010">
        <v>92.592841504946705</v>
      </c>
      <c r="AM4010">
        <v>80.439780937196204</v>
      </c>
      <c r="AN4010">
        <v>1.0000000644664599</v>
      </c>
    </row>
    <row r="4011" spans="1:40" x14ac:dyDescent="0.25">
      <c r="A4011" t="str">
        <f>"20190312161351650"</f>
        <v>20190312161351650</v>
      </c>
      <c r="B4011" t="str">
        <f>"1552378431640586"</f>
        <v>1552378431640586</v>
      </c>
      <c r="C4011" t="s">
        <v>40</v>
      </c>
      <c r="D4011">
        <v>5.7603109999999997</v>
      </c>
      <c r="E4011">
        <v>0.6177899</v>
      </c>
      <c r="F4011" t="s">
        <v>84</v>
      </c>
      <c r="G4011">
        <v>-201.8245</v>
      </c>
      <c r="H4011" s="1">
        <v>-1.0933030000000001E-5</v>
      </c>
      <c r="I4011">
        <v>147.26150000000001</v>
      </c>
      <c r="J4011">
        <v>-191.53380000000001</v>
      </c>
      <c r="K4011">
        <v>1.1084860000000001</v>
      </c>
      <c r="L4011">
        <v>161.2801</v>
      </c>
      <c r="M4011">
        <v>-0.15994739999999999</v>
      </c>
      <c r="N4011">
        <v>0</v>
      </c>
      <c r="O4011">
        <v>-0.98706959999999999</v>
      </c>
      <c r="P4011">
        <v>-0.32204759999999999</v>
      </c>
      <c r="Q4011">
        <v>-5.5284840000000002E-2</v>
      </c>
      <c r="R4011">
        <v>-0.94510839999999996</v>
      </c>
      <c r="S4011">
        <v>-1.849167</v>
      </c>
      <c r="T4011">
        <v>-0.19880200000000001</v>
      </c>
      <c r="U4011">
        <v>-2.5347140000000001</v>
      </c>
      <c r="V4011">
        <v>0.1665922</v>
      </c>
      <c r="W4011">
        <v>-4.5413090000000003E-2</v>
      </c>
      <c r="X4011">
        <v>0.98497950000000001</v>
      </c>
      <c r="Y4011">
        <v>0.45131579999999899</v>
      </c>
      <c r="Z4011">
        <v>6.4838439999999997E-2</v>
      </c>
      <c r="AA4011">
        <v>0.89000559999999995</v>
      </c>
      <c r="AB4011">
        <v>18</v>
      </c>
      <c r="AC4011">
        <v>-10.2906999999999</v>
      </c>
      <c r="AD4011">
        <v>-1.1084969330299901</v>
      </c>
      <c r="AE4011">
        <v>-14.0185999999999</v>
      </c>
      <c r="AF4011">
        <v>7.8838028240804698</v>
      </c>
      <c r="AG4011">
        <v>-1.1084969330299901</v>
      </c>
      <c r="AH4011">
        <v>15.4215003060418</v>
      </c>
      <c r="AI4011">
        <v>93.662024119702295</v>
      </c>
      <c r="AJ4011">
        <v>62.922904304040998</v>
      </c>
      <c r="AK4011">
        <v>17.355281159023701</v>
      </c>
      <c r="AL4011">
        <v>92.602873684497496</v>
      </c>
      <c r="AM4011">
        <v>80.400260835951102</v>
      </c>
      <c r="AN4011">
        <v>0.99999996263221802</v>
      </c>
    </row>
    <row r="4012" spans="1:40" x14ac:dyDescent="0.25">
      <c r="A4012" t="str">
        <f>"20190312161351671"</f>
        <v>20190312161351671</v>
      </c>
      <c r="B4012" t="str">
        <f>"1552378431660106"</f>
        <v>1552378431660106</v>
      </c>
      <c r="C4012" t="s">
        <v>40</v>
      </c>
      <c r="D4012">
        <v>5.7683210000000003</v>
      </c>
      <c r="E4012">
        <v>0.61716009999999999</v>
      </c>
      <c r="F4012" t="s">
        <v>84</v>
      </c>
      <c r="G4012">
        <v>-201.44919999999999</v>
      </c>
      <c r="H4012" s="1">
        <v>-1.124335E-5</v>
      </c>
      <c r="I4012">
        <v>147.74520000000001</v>
      </c>
      <c r="J4012">
        <v>-191.56309999999999</v>
      </c>
      <c r="K4012">
        <v>1.1084670000000001</v>
      </c>
      <c r="L4012">
        <v>161.11580000000001</v>
      </c>
      <c r="M4012">
        <v>-0.1621649</v>
      </c>
      <c r="N4012">
        <v>0</v>
      </c>
      <c r="O4012">
        <v>-0.98670769999999997</v>
      </c>
      <c r="P4012">
        <v>-0.32488139999999999</v>
      </c>
      <c r="Q4012">
        <v>-5.6582960000000002E-2</v>
      </c>
      <c r="R4012">
        <v>-0.94406080000000003</v>
      </c>
      <c r="S4012">
        <v>-1.8537600000000001</v>
      </c>
      <c r="T4012">
        <v>-0.20724319999999999</v>
      </c>
      <c r="U4012">
        <v>-2.5304720000000001</v>
      </c>
      <c r="V4012">
        <v>0.16734099999999999</v>
      </c>
      <c r="W4012">
        <v>-4.6735720000000001E-2</v>
      </c>
      <c r="X4012">
        <v>0.98479070000000002</v>
      </c>
      <c r="Y4012">
        <v>0.45096560000000002</v>
      </c>
      <c r="Z4012">
        <v>6.7604460000000005E-2</v>
      </c>
      <c r="AA4012">
        <v>0.88997729999999997</v>
      </c>
      <c r="AB4012">
        <v>18</v>
      </c>
      <c r="AC4012">
        <v>-9.8861000000000008</v>
      </c>
      <c r="AD4012">
        <v>-1.10847824335</v>
      </c>
      <c r="AE4012">
        <v>-13.3705999999999</v>
      </c>
      <c r="AF4012">
        <v>7.5533032436160399</v>
      </c>
      <c r="AG4012">
        <v>-1.10847824335</v>
      </c>
      <c r="AH4012">
        <v>14.7314073818937</v>
      </c>
      <c r="AI4012">
        <v>93.8306622450405</v>
      </c>
      <c r="AJ4012">
        <v>62.854212911110501</v>
      </c>
      <c r="AK4012">
        <v>16.592030537499401</v>
      </c>
      <c r="AL4012">
        <v>92.678735326689605</v>
      </c>
      <c r="AM4012">
        <v>80.356106320582498</v>
      </c>
      <c r="AN4012">
        <v>0.99999998030570403</v>
      </c>
    </row>
    <row r="4013" spans="1:40" x14ac:dyDescent="0.25">
      <c r="A4013" t="str">
        <f>"20190312161351692"</f>
        <v>20190312161351692</v>
      </c>
      <c r="B4013" t="str">
        <f>"1552378431690363"</f>
        <v>1552378431690363</v>
      </c>
      <c r="C4013" t="s">
        <v>40</v>
      </c>
      <c r="D4013">
        <v>5.7538539999999996</v>
      </c>
      <c r="E4013">
        <v>0.61746690000000004</v>
      </c>
      <c r="F4013" t="s">
        <v>84</v>
      </c>
      <c r="G4013">
        <v>-200.917</v>
      </c>
      <c r="H4013" s="1">
        <v>-1.1670229999999999E-5</v>
      </c>
      <c r="I4013">
        <v>148.3869</v>
      </c>
      <c r="J4013">
        <v>-191.59309999999999</v>
      </c>
      <c r="K4013">
        <v>1.1084510000000001</v>
      </c>
      <c r="L4013">
        <v>160.94980000000001</v>
      </c>
      <c r="M4013">
        <v>-0.164428399999999</v>
      </c>
      <c r="N4013">
        <v>0</v>
      </c>
      <c r="O4013">
        <v>-0.98633329999999997</v>
      </c>
      <c r="P4013">
        <v>-0.32735609999999998</v>
      </c>
      <c r="Q4013">
        <v>-5.6860029999999999E-2</v>
      </c>
      <c r="R4013">
        <v>-0.94318900000000006</v>
      </c>
      <c r="S4013">
        <v>-1.856125</v>
      </c>
      <c r="T4013">
        <v>-0.2199585</v>
      </c>
      <c r="U4013">
        <v>-2.525833</v>
      </c>
      <c r="V4013">
        <v>0.1676646</v>
      </c>
      <c r="W4013">
        <v>-4.7035130000000001E-2</v>
      </c>
      <c r="X4013">
        <v>0.98472139999999997</v>
      </c>
      <c r="Y4013">
        <v>0.45006550000000001</v>
      </c>
      <c r="Z4013">
        <v>7.1792179999999997E-2</v>
      </c>
      <c r="AA4013">
        <v>0.89010499999999904</v>
      </c>
      <c r="AB4013">
        <v>18</v>
      </c>
      <c r="AC4013">
        <v>-9.3239000000000001</v>
      </c>
      <c r="AD4013">
        <v>-1.10846267022999</v>
      </c>
      <c r="AE4013">
        <v>-12.562900000000001</v>
      </c>
      <c r="AF4013">
        <v>7.0955482001214998</v>
      </c>
      <c r="AG4013">
        <v>-1.10846267022999</v>
      </c>
      <c r="AH4013">
        <v>13.855531933411701</v>
      </c>
      <c r="AI4013">
        <v>94.072999471036596</v>
      </c>
      <c r="AJ4013">
        <v>62.882587333956501</v>
      </c>
      <c r="AK4013">
        <v>15.6061288892964</v>
      </c>
      <c r="AL4013">
        <v>92.695909147581901</v>
      </c>
      <c r="AM4013">
        <v>80.337141265546506</v>
      </c>
      <c r="AN4013">
        <v>0.99999997858261802</v>
      </c>
    </row>
    <row r="4014" spans="1:40" x14ac:dyDescent="0.25">
      <c r="A4014" t="str">
        <f>"20190312161351712"</f>
        <v>20190312161351712</v>
      </c>
      <c r="B4014" t="str">
        <f>"1552378431709883"</f>
        <v>1552378431709883</v>
      </c>
      <c r="C4014" t="s">
        <v>40</v>
      </c>
      <c r="D4014">
        <v>5.7760920000000002</v>
      </c>
      <c r="E4014">
        <v>0.61747319999999895</v>
      </c>
      <c r="F4014" t="s">
        <v>84</v>
      </c>
      <c r="G4014">
        <v>-200.73519999999999</v>
      </c>
      <c r="H4014" s="1">
        <v>-1.1812960000000001E-5</v>
      </c>
      <c r="I4014">
        <v>148.59559999999999</v>
      </c>
      <c r="J4014">
        <v>-191.62309999999999</v>
      </c>
      <c r="K4014">
        <v>1.1084350000000001</v>
      </c>
      <c r="L4014">
        <v>160.78659999999999</v>
      </c>
      <c r="M4014">
        <v>-0.16667580000000001</v>
      </c>
      <c r="N4014">
        <v>0</v>
      </c>
      <c r="O4014">
        <v>-0.98595630000000001</v>
      </c>
      <c r="P4014">
        <v>-0.32940760000000002</v>
      </c>
      <c r="Q4014">
        <v>-5.6884339999999999E-2</v>
      </c>
      <c r="R4014">
        <v>-0.94247270000000005</v>
      </c>
      <c r="S4014">
        <v>-1.864716</v>
      </c>
      <c r="T4014">
        <v>-0.22609399999999999</v>
      </c>
      <c r="U4014">
        <v>-2.519882</v>
      </c>
      <c r="V4014">
        <v>0.16756190000000001</v>
      </c>
      <c r="W4014">
        <v>-4.7077380000000002E-2</v>
      </c>
      <c r="X4014">
        <v>0.98473690000000003</v>
      </c>
      <c r="Y4014">
        <v>0.45091110000000001</v>
      </c>
      <c r="Z4014">
        <v>7.3795120000000006E-2</v>
      </c>
      <c r="AA4014">
        <v>0.88951309999999995</v>
      </c>
      <c r="AB4014">
        <v>18</v>
      </c>
      <c r="AC4014">
        <v>-9.1120999999999892</v>
      </c>
      <c r="AD4014">
        <v>-1.10844681296</v>
      </c>
      <c r="AE4014">
        <v>-12.191000000000001</v>
      </c>
      <c r="AF4014">
        <v>6.9158866597878701</v>
      </c>
      <c r="AG4014">
        <v>-1.10844681296</v>
      </c>
      <c r="AH4014">
        <v>13.467867800877499</v>
      </c>
      <c r="AI4014">
        <v>94.187393030237303</v>
      </c>
      <c r="AJ4014">
        <v>62.819041937102703</v>
      </c>
      <c r="AK4014">
        <v>15.180303216013399</v>
      </c>
      <c r="AL4014">
        <v>92.698332477505105</v>
      </c>
      <c r="AM4014">
        <v>80.343097728328601</v>
      </c>
      <c r="AN4014">
        <v>1.0000000161304401</v>
      </c>
    </row>
    <row r="4015" spans="1:40" x14ac:dyDescent="0.25">
      <c r="A4015" t="str">
        <f>"20190312161351725"</f>
        <v>20190312161351725</v>
      </c>
      <c r="B4015" t="str">
        <f>"1552378431719642"</f>
        <v>1552378431719642</v>
      </c>
      <c r="C4015" t="s">
        <v>40</v>
      </c>
      <c r="D4015">
        <v>5.7281449999999996</v>
      </c>
      <c r="E4015">
        <v>0.61734739999999999</v>
      </c>
      <c r="F4015" t="s">
        <v>84</v>
      </c>
      <c r="G4015">
        <v>-200.4941</v>
      </c>
      <c r="H4015" s="1">
        <v>-1.199643E-5</v>
      </c>
      <c r="I4015">
        <v>148.85290000000001</v>
      </c>
      <c r="J4015">
        <v>-191.6405</v>
      </c>
      <c r="K4015">
        <v>1.108428</v>
      </c>
      <c r="L4015">
        <v>160.69239999999999</v>
      </c>
      <c r="M4015">
        <v>-0.1679852</v>
      </c>
      <c r="N4015">
        <v>0</v>
      </c>
      <c r="O4015">
        <v>-0.98573390000000005</v>
      </c>
      <c r="P4015">
        <v>-0.33056790000000003</v>
      </c>
      <c r="Q4015">
        <v>-5.725309E-2</v>
      </c>
      <c r="R4015">
        <v>-0.94204410000000005</v>
      </c>
      <c r="S4015">
        <v>-1.869888</v>
      </c>
      <c r="T4015">
        <v>-0.23364579999999999</v>
      </c>
      <c r="U4015">
        <v>-2.5154719999999999</v>
      </c>
      <c r="V4015">
        <v>0.16746820000000001</v>
      </c>
      <c r="W4015">
        <v>-4.7455820000000003E-2</v>
      </c>
      <c r="X4015">
        <v>0.98473469999999996</v>
      </c>
      <c r="Y4015">
        <v>0.45153969999999999</v>
      </c>
      <c r="Z4015">
        <v>7.6269649999999994E-2</v>
      </c>
      <c r="AA4015">
        <v>0.88898529999999998</v>
      </c>
      <c r="AB4015">
        <v>18</v>
      </c>
      <c r="AC4015">
        <v>-8.8536000000000001</v>
      </c>
      <c r="AD4015">
        <v>-1.10843999643</v>
      </c>
      <c r="AE4015">
        <v>-11.8394999999999</v>
      </c>
      <c r="AF4015">
        <v>6.70113180791824</v>
      </c>
      <c r="AG4015">
        <v>-1.10843999643</v>
      </c>
      <c r="AH4015">
        <v>13.085033950499801</v>
      </c>
      <c r="AI4015">
        <v>94.311844511403194</v>
      </c>
      <c r="AJ4015">
        <v>62.882022343921399</v>
      </c>
      <c r="AK4015">
        <v>14.742859974187899</v>
      </c>
      <c r="AL4015">
        <v>92.720039686064197</v>
      </c>
      <c r="AM4015">
        <v>80.348375070041399</v>
      </c>
      <c r="AN4015">
        <v>1.0000000411236001</v>
      </c>
    </row>
    <row r="4016" spans="1:40" x14ac:dyDescent="0.25">
      <c r="A4016" t="str">
        <f>"20190312161351737"</f>
        <v>20190312161351737</v>
      </c>
      <c r="B4016" t="str">
        <f>"1552378431730378"</f>
        <v>1552378431730378</v>
      </c>
      <c r="C4016" t="s">
        <v>40</v>
      </c>
      <c r="D4016">
        <v>5.7338490000000002</v>
      </c>
      <c r="E4016">
        <v>0.61739549999999999</v>
      </c>
      <c r="F4016" t="s">
        <v>84</v>
      </c>
      <c r="G4016">
        <v>-200.38630000000001</v>
      </c>
      <c r="H4016" s="1">
        <v>-1.2073380000000001E-5</v>
      </c>
      <c r="I4016">
        <v>148.95089999999999</v>
      </c>
      <c r="J4016">
        <v>-191.65889999999999</v>
      </c>
      <c r="K4016">
        <v>1.1084160000000001</v>
      </c>
      <c r="L4016">
        <v>160.59399999999999</v>
      </c>
      <c r="M4016">
        <v>-0.16936300000000001</v>
      </c>
      <c r="N4016">
        <v>0</v>
      </c>
      <c r="O4016">
        <v>-0.98549819999999999</v>
      </c>
      <c r="P4016">
        <v>-0.33173649999999999</v>
      </c>
      <c r="Q4016">
        <v>-5.7644969999999997E-2</v>
      </c>
      <c r="R4016">
        <v>-0.94160960000000005</v>
      </c>
      <c r="S4016">
        <v>-1.872009</v>
      </c>
      <c r="T4016">
        <v>-0.23725889999999999</v>
      </c>
      <c r="U4016">
        <v>-2.5132289999999999</v>
      </c>
      <c r="V4016">
        <v>0.167315299999999</v>
      </c>
      <c r="W4016">
        <v>-4.7857669999999998E-2</v>
      </c>
      <c r="X4016">
        <v>0.98474119999999998</v>
      </c>
      <c r="Y4016">
        <v>0.45110099999999997</v>
      </c>
      <c r="Z4016">
        <v>7.7459589999999995E-2</v>
      </c>
      <c r="AA4016">
        <v>0.88910509999999998</v>
      </c>
      <c r="AB4016">
        <v>18</v>
      </c>
      <c r="AC4016">
        <v>-8.72740000000001</v>
      </c>
      <c r="AD4016">
        <v>-1.10842807338</v>
      </c>
      <c r="AE4016">
        <v>-11.6431</v>
      </c>
      <c r="AF4016">
        <v>6.5910433188507804</v>
      </c>
      <c r="AG4016">
        <v>-1.10842807338</v>
      </c>
      <c r="AH4016">
        <v>12.8783319756265</v>
      </c>
      <c r="AI4016">
        <v>94.381318671797999</v>
      </c>
      <c r="AJ4016">
        <v>62.896940101568198</v>
      </c>
      <c r="AK4016">
        <v>14.5093728086112</v>
      </c>
      <c r="AL4016">
        <v>92.743090301672495</v>
      </c>
      <c r="AM4016">
        <v>80.357084011114296</v>
      </c>
      <c r="AN4016">
        <v>0.99999999858467903</v>
      </c>
    </row>
    <row r="4017" spans="1:40" x14ac:dyDescent="0.25">
      <c r="A4017" t="str">
        <f>"20190312161351749"</f>
        <v>20190312161351749</v>
      </c>
      <c r="B4017" t="str">
        <f>"1552378431740138"</f>
        <v>1552378431740138</v>
      </c>
      <c r="C4017" t="s">
        <v>40</v>
      </c>
      <c r="D4017">
        <v>5.6718279999999996</v>
      </c>
      <c r="E4017">
        <v>0.61726009999999998</v>
      </c>
      <c r="F4017" t="s">
        <v>84</v>
      </c>
      <c r="G4017">
        <v>-200.26249999999999</v>
      </c>
      <c r="H4017" s="1">
        <v>-1.2165260000000001E-5</v>
      </c>
      <c r="I4017">
        <v>149.07509999999999</v>
      </c>
      <c r="J4017">
        <v>-191.6781</v>
      </c>
      <c r="K4017">
        <v>1.1084020000000001</v>
      </c>
      <c r="L4017">
        <v>160.4922</v>
      </c>
      <c r="M4017">
        <v>-0.17079800000000001</v>
      </c>
      <c r="N4017">
        <v>0</v>
      </c>
      <c r="O4017">
        <v>-0.98525079999999998</v>
      </c>
      <c r="P4017">
        <v>-0.33328059999999998</v>
      </c>
      <c r="Q4017">
        <v>-5.8178290000000001E-2</v>
      </c>
      <c r="R4017">
        <v>-0.94103130000000001</v>
      </c>
      <c r="S4017">
        <v>-1.8751979999999999</v>
      </c>
      <c r="T4017">
        <v>-0.24158969999999999</v>
      </c>
      <c r="U4017">
        <v>-2.5106199999999999</v>
      </c>
      <c r="V4017">
        <v>0.16749910000000001</v>
      </c>
      <c r="W4017">
        <v>-4.8403649999999999E-2</v>
      </c>
      <c r="X4017">
        <v>0.98468330000000004</v>
      </c>
      <c r="Y4017">
        <v>0.45090380000000002</v>
      </c>
      <c r="Z4017">
        <v>7.8875990000000007E-2</v>
      </c>
      <c r="AA4017">
        <v>0.8890806</v>
      </c>
      <c r="AB4017">
        <v>18</v>
      </c>
      <c r="AC4017">
        <v>-8.5843999999999792</v>
      </c>
      <c r="AD4017">
        <v>-1.1084141652599999</v>
      </c>
      <c r="AE4017">
        <v>-11.4171</v>
      </c>
      <c r="AF4017">
        <v>6.4691712217703099</v>
      </c>
      <c r="AG4017">
        <v>-1.1084141652599999</v>
      </c>
      <c r="AH4017">
        <v>12.6394925290484</v>
      </c>
      <c r="AI4017">
        <v>94.463670047970496</v>
      </c>
      <c r="AJ4017">
        <v>62.8956314229345</v>
      </c>
      <c r="AK4017">
        <v>14.2420339014552</v>
      </c>
      <c r="AL4017">
        <v>92.774408857033194</v>
      </c>
      <c r="AM4017">
        <v>80.346133312140196</v>
      </c>
      <c r="AN4017">
        <v>1.0000000315665101</v>
      </c>
    </row>
    <row r="4018" spans="1:40" x14ac:dyDescent="0.25">
      <c r="A4018" t="str">
        <f>"20190312161351761"</f>
        <v>20190312161351761</v>
      </c>
      <c r="B4018" t="str">
        <f>"1552378431749900"</f>
        <v>1552378431749900</v>
      </c>
      <c r="C4018" t="s">
        <v>40</v>
      </c>
      <c r="D4018">
        <v>5.6657440000000001</v>
      </c>
      <c r="E4018">
        <v>0.61718919999999999</v>
      </c>
      <c r="F4018" t="s">
        <v>84</v>
      </c>
      <c r="G4018">
        <v>-200.1601</v>
      </c>
      <c r="H4018" s="1">
        <v>-1.223799E-5</v>
      </c>
      <c r="I4018">
        <v>149.167</v>
      </c>
      <c r="J4018">
        <v>-191.6953</v>
      </c>
      <c r="K4018">
        <v>1.108384</v>
      </c>
      <c r="L4018">
        <v>160.4016</v>
      </c>
      <c r="M4018">
        <v>-0.17208989999999999</v>
      </c>
      <c r="N4018">
        <v>0</v>
      </c>
      <c r="O4018">
        <v>-0.98502619999999996</v>
      </c>
      <c r="P4018">
        <v>-0.33468490000000001</v>
      </c>
      <c r="Q4018">
        <v>-5.8505509999999997E-2</v>
      </c>
      <c r="R4018">
        <v>-0.94051269999999998</v>
      </c>
      <c r="S4018">
        <v>-1.8781129999999999</v>
      </c>
      <c r="T4018">
        <v>-0.24542949999999999</v>
      </c>
      <c r="U4018">
        <v>-2.50766</v>
      </c>
      <c r="V4018">
        <v>0.16767850000000001</v>
      </c>
      <c r="W4018">
        <v>-4.8744740000000002E-2</v>
      </c>
      <c r="X4018">
        <v>0.98463590000000001</v>
      </c>
      <c r="Y4018">
        <v>0.45083889999999999</v>
      </c>
      <c r="Z4018">
        <v>8.0144350000000003E-2</v>
      </c>
      <c r="AA4018">
        <v>0.88900009999999996</v>
      </c>
      <c r="AB4018">
        <v>18</v>
      </c>
      <c r="AC4018">
        <v>-8.4647999999999897</v>
      </c>
      <c r="AD4018">
        <v>-1.1083962379899901</v>
      </c>
      <c r="AE4018">
        <v>-11.2346</v>
      </c>
      <c r="AF4018">
        <v>6.3655133073464603</v>
      </c>
      <c r="AG4018">
        <v>-1.1083962379899901</v>
      </c>
      <c r="AH4018">
        <v>12.446482541939099</v>
      </c>
      <c r="AI4018">
        <v>94.533246130926301</v>
      </c>
      <c r="AJ4018">
        <v>62.913403149464997</v>
      </c>
      <c r="AK4018">
        <v>14.0236667656213</v>
      </c>
      <c r="AL4018">
        <v>92.793975080017404</v>
      </c>
      <c r="AM4018">
        <v>80.335531976693204</v>
      </c>
      <c r="AN4018">
        <v>0.99999999230436298</v>
      </c>
    </row>
    <row r="4019" spans="1:40" x14ac:dyDescent="0.25">
      <c r="A4019" t="str">
        <f>"20190312161351774"</f>
        <v>20190312161351774</v>
      </c>
      <c r="B4019" t="str">
        <f>"1552378431770395"</f>
        <v>1552378431770395</v>
      </c>
      <c r="C4019" t="s">
        <v>40</v>
      </c>
      <c r="D4019">
        <v>5.6716889999999998</v>
      </c>
      <c r="E4019">
        <v>0.61726139999999996</v>
      </c>
      <c r="F4019" t="s">
        <v>84</v>
      </c>
      <c r="G4019">
        <v>-200.10380000000001</v>
      </c>
      <c r="H4019" s="1">
        <v>-1.2274649999999999E-5</v>
      </c>
      <c r="I4019">
        <v>149.2064</v>
      </c>
      <c r="J4019">
        <v>-191.71360000000001</v>
      </c>
      <c r="K4019">
        <v>1.1083670000000001</v>
      </c>
      <c r="L4019">
        <v>160.30609999999999</v>
      </c>
      <c r="M4019">
        <v>-0.1734617</v>
      </c>
      <c r="N4019">
        <v>0</v>
      </c>
      <c r="O4019">
        <v>-0.98478540000000003</v>
      </c>
      <c r="P4019">
        <v>-0.33600029999999997</v>
      </c>
      <c r="Q4019">
        <v>-5.9011000000000001E-2</v>
      </c>
      <c r="R4019">
        <v>-0.94001170000000001</v>
      </c>
      <c r="S4019">
        <v>-1.881348</v>
      </c>
      <c r="T4019">
        <v>-0.24799640000000001</v>
      </c>
      <c r="U4019">
        <v>-2.5048520000000001</v>
      </c>
      <c r="V4019">
        <v>0.1676869</v>
      </c>
      <c r="W4019">
        <v>-4.9265349999999999E-2</v>
      </c>
      <c r="X4019">
        <v>0.98460859999999994</v>
      </c>
      <c r="Y4019">
        <v>0.450768</v>
      </c>
      <c r="Z4019">
        <v>8.0991770000000005E-2</v>
      </c>
      <c r="AA4019">
        <v>0.88895930000000001</v>
      </c>
      <c r="AB4019">
        <v>18</v>
      </c>
      <c r="AC4019">
        <v>-8.3901999999999894</v>
      </c>
      <c r="AD4019">
        <v>-1.1083792746500001</v>
      </c>
      <c r="AE4019">
        <v>-11.099699999999901</v>
      </c>
      <c r="AF4019">
        <v>6.2975563512156398</v>
      </c>
      <c r="AG4019">
        <v>-1.1083792746500001</v>
      </c>
      <c r="AH4019">
        <v>12.3087676661924</v>
      </c>
      <c r="AI4019">
        <v>94.583308878432703</v>
      </c>
      <c r="AJ4019">
        <v>62.904272961304102</v>
      </c>
      <c r="AK4019">
        <v>13.870597754729699</v>
      </c>
      <c r="AL4019">
        <v>92.823839602309704</v>
      </c>
      <c r="AM4019">
        <v>80.334794035976202</v>
      </c>
      <c r="AN4019">
        <v>1.0000000331680901</v>
      </c>
    </row>
    <row r="4020" spans="1:40" x14ac:dyDescent="0.25">
      <c r="A4020" t="str">
        <f>"20190312161351790"</f>
        <v>20190312161351790</v>
      </c>
      <c r="B4020" t="str">
        <f>"1552378431780155"</f>
        <v>1552378431780155</v>
      </c>
      <c r="C4020" t="s">
        <v>40</v>
      </c>
      <c r="D4020">
        <v>5.7603949999999999</v>
      </c>
      <c r="E4020">
        <v>0.61728519999999998</v>
      </c>
      <c r="F4020" t="s">
        <v>84</v>
      </c>
      <c r="G4020">
        <v>-200.01310000000001</v>
      </c>
      <c r="H4020" s="1">
        <v>-1.234031E-5</v>
      </c>
      <c r="I4020">
        <v>149.2919</v>
      </c>
      <c r="J4020">
        <v>-191.7398</v>
      </c>
      <c r="K4020">
        <v>1.1083419999999999</v>
      </c>
      <c r="L4020">
        <v>160.1705</v>
      </c>
      <c r="M4020">
        <v>-0.17542959999999999</v>
      </c>
      <c r="N4020">
        <v>0</v>
      </c>
      <c r="O4020">
        <v>-0.98443700000000001</v>
      </c>
      <c r="P4020">
        <v>-0.33798729999999999</v>
      </c>
      <c r="Q4020">
        <v>-5.9040389999999998E-2</v>
      </c>
      <c r="R4020">
        <v>-0.9392973</v>
      </c>
      <c r="S4020">
        <v>-1.885208</v>
      </c>
      <c r="T4020">
        <v>-0.2517644</v>
      </c>
      <c r="U4020">
        <v>-2.5018310000000001</v>
      </c>
      <c r="V4020">
        <v>0.167798799999999</v>
      </c>
      <c r="W4020">
        <v>-4.9318389999999997E-2</v>
      </c>
      <c r="X4020">
        <v>0.98458679999999998</v>
      </c>
      <c r="Y4020">
        <v>0.45031559999999998</v>
      </c>
      <c r="Z4020">
        <v>8.2223279999999996E-2</v>
      </c>
      <c r="AA4020">
        <v>0.88907549999999902</v>
      </c>
      <c r="AB4020">
        <v>18</v>
      </c>
      <c r="AC4020">
        <v>-8.2733000000000008</v>
      </c>
      <c r="AD4020">
        <v>-1.10835434031</v>
      </c>
      <c r="AE4020">
        <v>-10.8786</v>
      </c>
      <c r="AF4020">
        <v>6.1957051687493498</v>
      </c>
      <c r="AG4020">
        <v>-1.10835434031</v>
      </c>
      <c r="AH4020">
        <v>12.081878820212699</v>
      </c>
      <c r="AI4020">
        <v>94.666677179948806</v>
      </c>
      <c r="AJ4020">
        <v>62.850806896296497</v>
      </c>
      <c r="AK4020">
        <v>13.623032250863099</v>
      </c>
      <c r="AL4020">
        <v>92.826882493503703</v>
      </c>
      <c r="AM4020">
        <v>80.328255984116694</v>
      </c>
      <c r="AN4020">
        <v>0.99999995380393503</v>
      </c>
    </row>
    <row r="4021" spans="1:40" x14ac:dyDescent="0.25">
      <c r="A4021" t="str">
        <f>"20190312161351802"</f>
        <v>20190312161351802</v>
      </c>
      <c r="B4021" t="str">
        <f>"1552378431799674"</f>
        <v>1552378431799674</v>
      </c>
      <c r="C4021" t="s">
        <v>40</v>
      </c>
      <c r="D4021">
        <v>5.7641369999999998</v>
      </c>
      <c r="E4021">
        <v>0.57191809999999998</v>
      </c>
      <c r="F4021" t="s">
        <v>84</v>
      </c>
      <c r="G4021">
        <v>-199.9966</v>
      </c>
      <c r="H4021" s="1">
        <v>-1.233883E-5</v>
      </c>
      <c r="I4021">
        <v>149.26230000000001</v>
      </c>
      <c r="J4021">
        <v>-191.75880000000001</v>
      </c>
      <c r="K4021">
        <v>1.1083259999999999</v>
      </c>
      <c r="L4021">
        <v>160.07329999999999</v>
      </c>
      <c r="M4021">
        <v>-0.1768602</v>
      </c>
      <c r="N4021">
        <v>0</v>
      </c>
      <c r="O4021">
        <v>-0.98418090000000003</v>
      </c>
      <c r="P4021">
        <v>-0.33904440000000002</v>
      </c>
      <c r="Q4021">
        <v>-5.8921139999999997E-2</v>
      </c>
      <c r="R4021">
        <v>-0.93892359999999997</v>
      </c>
      <c r="S4021">
        <v>-1.890549</v>
      </c>
      <c r="T4021">
        <v>-0.25377769999999999</v>
      </c>
      <c r="U4021">
        <v>-2.4976349999999998</v>
      </c>
      <c r="V4021">
        <v>0.16747339999999999</v>
      </c>
      <c r="W4021">
        <v>-4.9213970000000003E-2</v>
      </c>
      <c r="X4021">
        <v>0.98464750000000001</v>
      </c>
      <c r="Y4021">
        <v>0.4509128</v>
      </c>
      <c r="Z4021">
        <v>8.2892129999999994E-2</v>
      </c>
      <c r="AA4021">
        <v>0.88871060000000002</v>
      </c>
      <c r="AB4021">
        <v>18</v>
      </c>
      <c r="AC4021">
        <v>-8.2377999999999894</v>
      </c>
      <c r="AD4021">
        <v>-1.1083383388300001</v>
      </c>
      <c r="AE4021">
        <v>-10.8109999999999</v>
      </c>
      <c r="AF4021">
        <v>6.1548592452461799</v>
      </c>
      <c r="AG4021">
        <v>-1.1083383388300001</v>
      </c>
      <c r="AH4021">
        <v>12.017663630707</v>
      </c>
      <c r="AI4021">
        <v>94.692683454715393</v>
      </c>
      <c r="AJ4021">
        <v>62.880696238675803</v>
      </c>
      <c r="AK4021">
        <v>13.547506978884799</v>
      </c>
      <c r="AL4021">
        <v>92.820892187683697</v>
      </c>
      <c r="AM4021">
        <v>80.347242329644104</v>
      </c>
      <c r="AN4021">
        <v>1.0000000269034801</v>
      </c>
    </row>
    <row r="4022" spans="1:40" x14ac:dyDescent="0.25">
      <c r="A4022" t="str">
        <f>"20190312161351815"</f>
        <v>20190312161351815</v>
      </c>
      <c r="B4022" t="str">
        <f>"1552378431810410"</f>
        <v>1552378431810410</v>
      </c>
      <c r="C4022" t="s">
        <v>40</v>
      </c>
      <c r="D4022">
        <v>5.3290620000000004</v>
      </c>
      <c r="E4022">
        <v>0.57191809999999998</v>
      </c>
      <c r="F4022" t="s">
        <v>41</v>
      </c>
      <c r="G4022">
        <v>-218.17740000000001</v>
      </c>
      <c r="H4022">
        <v>-0.05</v>
      </c>
      <c r="I4022">
        <v>115.66070000000001</v>
      </c>
      <c r="J4022">
        <v>-191.7766</v>
      </c>
      <c r="K4022">
        <v>1.1083099999999999</v>
      </c>
      <c r="L4022">
        <v>159.983</v>
      </c>
      <c r="M4022">
        <v>-0.1782002</v>
      </c>
      <c r="N4022">
        <v>0</v>
      </c>
      <c r="O4022">
        <v>-0.98393949999999997</v>
      </c>
      <c r="P4022">
        <v>-0.34023949999999997</v>
      </c>
      <c r="Q4022">
        <v>-5.8551020000000002E-2</v>
      </c>
      <c r="R4022">
        <v>-0.93851450000000003</v>
      </c>
      <c r="S4022">
        <v>-1.5624389999999999</v>
      </c>
      <c r="T4022">
        <v>-6.8505170000000004E-2</v>
      </c>
      <c r="U4022">
        <v>-2.626633</v>
      </c>
      <c r="V4022">
        <v>0.16738169999999999</v>
      </c>
      <c r="W4022">
        <v>-4.8857480000000002E-2</v>
      </c>
      <c r="X4022">
        <v>0.98468080000000002</v>
      </c>
      <c r="Y4022">
        <v>0.34975659999999997</v>
      </c>
      <c r="Z4022">
        <v>2.27721E-2</v>
      </c>
      <c r="AA4022">
        <v>0.93656379999999995</v>
      </c>
      <c r="AB4022">
        <v>18</v>
      </c>
      <c r="AC4022">
        <v>-26.4008</v>
      </c>
      <c r="AD4022">
        <v>-1.15831</v>
      </c>
      <c r="AE4022">
        <v>-44.322299999999998</v>
      </c>
      <c r="AF4022">
        <v>18.070411741621299</v>
      </c>
      <c r="AG4022">
        <v>-1.15831</v>
      </c>
      <c r="AH4022">
        <v>48.293347378525702</v>
      </c>
      <c r="AI4022">
        <v>91.2868638898006</v>
      </c>
      <c r="AJ4022">
        <v>69.485148746848793</v>
      </c>
      <c r="AK4022">
        <v>51.576437096709</v>
      </c>
      <c r="AL4022">
        <v>92.800442339705199</v>
      </c>
      <c r="AM4022">
        <v>80.352748460658404</v>
      </c>
      <c r="AN4022">
        <v>0.99999998236774001</v>
      </c>
    </row>
    <row r="4023" spans="1:40" x14ac:dyDescent="0.25">
      <c r="A4023" t="str">
        <f>"20190312161351827"</f>
        <v>20190312161351827</v>
      </c>
      <c r="B4023" t="str">
        <f>"1552378431820170"</f>
        <v>1552378431820170</v>
      </c>
      <c r="C4023" t="s">
        <v>40</v>
      </c>
      <c r="D4023">
        <v>5.5264660000000001</v>
      </c>
      <c r="E4023">
        <v>0.49992710000000001</v>
      </c>
      <c r="F4023" t="s">
        <v>41</v>
      </c>
      <c r="G4023">
        <v>-218.7467</v>
      </c>
      <c r="H4023">
        <v>-0.05</v>
      </c>
      <c r="I4023">
        <v>114.7723</v>
      </c>
      <c r="J4023">
        <v>-191.79740000000001</v>
      </c>
      <c r="K4023">
        <v>1.108287</v>
      </c>
      <c r="L4023">
        <v>159.87819999999999</v>
      </c>
      <c r="M4023">
        <v>-0.17976489999999901</v>
      </c>
      <c r="N4023">
        <v>0</v>
      </c>
      <c r="O4023">
        <v>-0.98365480000000005</v>
      </c>
      <c r="P4023">
        <v>-0.34145629999999999</v>
      </c>
      <c r="Q4023">
        <v>-5.8516230000000002E-2</v>
      </c>
      <c r="R4023">
        <v>-0.93807439999999997</v>
      </c>
      <c r="S4023">
        <v>-1.56575</v>
      </c>
      <c r="T4023">
        <v>-6.7245719999999995E-2</v>
      </c>
      <c r="U4023">
        <v>-2.6247099999999999</v>
      </c>
      <c r="V4023">
        <v>0.1670905</v>
      </c>
      <c r="W4023">
        <v>-4.8836940000000002E-2</v>
      </c>
      <c r="X4023">
        <v>0.98473129999999998</v>
      </c>
      <c r="Y4023">
        <v>0.3494447</v>
      </c>
      <c r="Z4023">
        <v>2.23526E-2</v>
      </c>
      <c r="AA4023">
        <v>0.93669029999999998</v>
      </c>
      <c r="AB4023">
        <v>18</v>
      </c>
      <c r="AC4023">
        <v>-26.949299999999901</v>
      </c>
      <c r="AD4023">
        <v>-1.1582870000000001</v>
      </c>
      <c r="AE4023">
        <v>-45.105899999999899</v>
      </c>
      <c r="AF4023">
        <v>18.392404810853002</v>
      </c>
      <c r="AG4023">
        <v>-1.1582870000000001</v>
      </c>
      <c r="AH4023">
        <v>49.191921365944197</v>
      </c>
      <c r="AI4023">
        <v>91.263459675560298</v>
      </c>
      <c r="AJ4023">
        <v>69.499694396566895</v>
      </c>
      <c r="AK4023">
        <v>52.530632122352202</v>
      </c>
      <c r="AL4023">
        <v>92.799264007291995</v>
      </c>
      <c r="AM4023">
        <v>80.369702159157299</v>
      </c>
      <c r="AN4023">
        <v>1.0000000075492499</v>
      </c>
    </row>
    <row r="4024" spans="1:40" x14ac:dyDescent="0.25">
      <c r="A4024" t="str">
        <f>"20190312161351854"</f>
        <v>20190312161351854</v>
      </c>
      <c r="B4024" t="str">
        <f>"1552378431850426"</f>
        <v>1552378431850426</v>
      </c>
      <c r="C4024" t="s">
        <v>40</v>
      </c>
      <c r="D4024">
        <v>5.425586</v>
      </c>
      <c r="E4024">
        <v>0.49389810000000001</v>
      </c>
      <c r="F4024" t="s">
        <v>43</v>
      </c>
      <c r="G4024">
        <v>-192.03540000000001</v>
      </c>
      <c r="H4024">
        <v>0.97035910000000003</v>
      </c>
      <c r="I4024">
        <v>159.21449999999999</v>
      </c>
      <c r="J4024">
        <v>-191.83860000000001</v>
      </c>
      <c r="K4024">
        <v>1.1082529999999999</v>
      </c>
      <c r="L4024">
        <v>159.67359999999999</v>
      </c>
      <c r="M4024">
        <v>-0.18287929999999999</v>
      </c>
      <c r="N4024">
        <v>0</v>
      </c>
      <c r="O4024">
        <v>-0.98308090000000004</v>
      </c>
      <c r="P4024">
        <v>-0.34404849999999998</v>
      </c>
      <c r="Q4024">
        <v>-5.7956140000000003E-2</v>
      </c>
      <c r="R4024">
        <v>-0.93716200000000005</v>
      </c>
      <c r="S4024">
        <v>-1.0029600000000001</v>
      </c>
      <c r="T4024">
        <v>-0.58114699999999997</v>
      </c>
      <c r="U4024">
        <v>-2.7967070000000001</v>
      </c>
      <c r="V4024">
        <v>0.1666861</v>
      </c>
      <c r="W4024">
        <v>-4.8303029999999997E-2</v>
      </c>
      <c r="X4024">
        <v>0.98482610000000004</v>
      </c>
      <c r="Y4024">
        <v>0.15338779999999999</v>
      </c>
      <c r="Z4024">
        <v>0.19151899999999999</v>
      </c>
      <c r="AA4024">
        <v>0.96942899999999999</v>
      </c>
      <c r="AB4024">
        <v>18</v>
      </c>
      <c r="AC4024">
        <v>-0.19679999999999601</v>
      </c>
      <c r="AD4024">
        <v>-0.13789390000000001</v>
      </c>
      <c r="AE4024">
        <v>-0.459100000000006</v>
      </c>
      <c r="AF4024">
        <v>0.10176104912832901</v>
      </c>
      <c r="AG4024">
        <v>-0.13789390000000001</v>
      </c>
      <c r="AH4024">
        <v>0.452838205530678</v>
      </c>
      <c r="AI4024">
        <v>106.5467442553</v>
      </c>
      <c r="AJ4024">
        <v>77.334977832957406</v>
      </c>
      <c r="AK4024">
        <v>0.48418227886319098</v>
      </c>
      <c r="AL4024">
        <v>92.768637250066703</v>
      </c>
      <c r="AM4024">
        <v>80.393482468073202</v>
      </c>
      <c r="AN4024">
        <v>0.99999994294079797</v>
      </c>
    </row>
    <row r="4025" spans="1:40" x14ac:dyDescent="0.25">
      <c r="A4025" t="str">
        <f>"20190312161351873"</f>
        <v>20190312161351873</v>
      </c>
      <c r="B4025" t="str">
        <f>"1552378431860187"</f>
        <v>1552378431860187</v>
      </c>
      <c r="C4025" t="s">
        <v>40</v>
      </c>
      <c r="D4025">
        <v>5.3544989999999997</v>
      </c>
      <c r="E4025">
        <v>0.49359989999999998</v>
      </c>
      <c r="F4025" t="s">
        <v>43</v>
      </c>
      <c r="G4025">
        <v>-192.09899999999999</v>
      </c>
      <c r="H4025">
        <v>0.93742139999999996</v>
      </c>
      <c r="I4025">
        <v>158.91370000000001</v>
      </c>
      <c r="J4025">
        <v>-191.86920000000001</v>
      </c>
      <c r="K4025">
        <v>1.1082320000000001</v>
      </c>
      <c r="L4025">
        <v>159.52420000000001</v>
      </c>
      <c r="M4025">
        <v>-0.1851923</v>
      </c>
      <c r="N4025">
        <v>0</v>
      </c>
      <c r="O4025">
        <v>-0.98264770000000001</v>
      </c>
      <c r="P4025">
        <v>-0.34556979999999998</v>
      </c>
      <c r="Q4025">
        <v>-5.748292E-2</v>
      </c>
      <c r="R4025">
        <v>-0.93663090000000004</v>
      </c>
      <c r="S4025">
        <v>-0.96281430000000001</v>
      </c>
      <c r="T4025">
        <v>-0.63147529999999996</v>
      </c>
      <c r="U4025">
        <v>-2.80864</v>
      </c>
      <c r="V4025">
        <v>0.16596150000000001</v>
      </c>
      <c r="W4025">
        <v>-4.7850520000000001E-2</v>
      </c>
      <c r="X4025">
        <v>0.98497060000000003</v>
      </c>
      <c r="Y4025">
        <v>0.1363347</v>
      </c>
      <c r="Z4025">
        <v>0.207179</v>
      </c>
      <c r="AA4025">
        <v>0.96875679999999997</v>
      </c>
      <c r="AB4025">
        <v>18</v>
      </c>
      <c r="AC4025">
        <v>-0.229800000000011</v>
      </c>
      <c r="AD4025">
        <v>-0.17081059999999901</v>
      </c>
      <c r="AE4025">
        <v>-0.61050000000000104</v>
      </c>
      <c r="AF4025">
        <v>0.105523242708555</v>
      </c>
      <c r="AG4025">
        <v>-0.17081059999999901</v>
      </c>
      <c r="AH4025">
        <v>0.60127108628488102</v>
      </c>
      <c r="AI4025">
        <v>105.631945389292</v>
      </c>
      <c r="AJ4025">
        <v>80.045944792764203</v>
      </c>
      <c r="AK4025">
        <v>0.63390719748736901</v>
      </c>
      <c r="AL4025">
        <v>92.742680197931094</v>
      </c>
      <c r="AM4025">
        <v>80.435846985935001</v>
      </c>
      <c r="AN4025">
        <v>0.99999998730544004</v>
      </c>
    </row>
    <row r="4026" spans="1:40" x14ac:dyDescent="0.25">
      <c r="A4026" t="str">
        <f>"20190312161351894"</f>
        <v>20190312161351894</v>
      </c>
      <c r="B4026" t="str">
        <f>"1552378431879707"</f>
        <v>1552378431879707</v>
      </c>
      <c r="C4026" t="s">
        <v>40</v>
      </c>
      <c r="D4026">
        <v>5.5348759999999997</v>
      </c>
      <c r="E4026">
        <v>0.49439080000000002</v>
      </c>
      <c r="F4026" t="s">
        <v>43</v>
      </c>
      <c r="G4026">
        <v>-192.13310000000001</v>
      </c>
      <c r="H4026">
        <v>0.93395470000000003</v>
      </c>
      <c r="I4026">
        <v>158.75700000000001</v>
      </c>
      <c r="J4026">
        <v>-191.90389999999999</v>
      </c>
      <c r="K4026">
        <v>1.108203</v>
      </c>
      <c r="L4026">
        <v>159.3569</v>
      </c>
      <c r="M4026">
        <v>-0.1878196</v>
      </c>
      <c r="N4026">
        <v>0</v>
      </c>
      <c r="O4026">
        <v>-0.98214920000000006</v>
      </c>
      <c r="P4026">
        <v>-0.34742810000000002</v>
      </c>
      <c r="Q4026">
        <v>-5.7404160000000003E-2</v>
      </c>
      <c r="R4026">
        <v>-0.935948</v>
      </c>
      <c r="S4026">
        <v>-0.96528630000000004</v>
      </c>
      <c r="T4026">
        <v>-0.63768419999999904</v>
      </c>
      <c r="U4026">
        <v>-2.807709</v>
      </c>
      <c r="V4026">
        <v>0.1652786</v>
      </c>
      <c r="W4026">
        <v>-4.7798960000000001E-2</v>
      </c>
      <c r="X4026">
        <v>0.98508790000000002</v>
      </c>
      <c r="Y4026">
        <v>0.13441520000000001</v>
      </c>
      <c r="Z4026">
        <v>0.20903089999999999</v>
      </c>
      <c r="AA4026">
        <v>0.96862720000000002</v>
      </c>
      <c r="AB4026">
        <v>18</v>
      </c>
      <c r="AC4026">
        <v>-0.22920000000002</v>
      </c>
      <c r="AD4026">
        <v>-0.17424829999999999</v>
      </c>
      <c r="AE4026">
        <v>-0.599899999999991</v>
      </c>
      <c r="AF4026">
        <v>0.104731147792199</v>
      </c>
      <c r="AG4026">
        <v>-0.17424829999999999</v>
      </c>
      <c r="AH4026">
        <v>0.58891635364845796</v>
      </c>
      <c r="AI4026">
        <v>106.241312834669</v>
      </c>
      <c r="AJ4026">
        <v>79.916109969593606</v>
      </c>
      <c r="AK4026">
        <v>0.62301970672311502</v>
      </c>
      <c r="AL4026">
        <v>92.739722708675004</v>
      </c>
      <c r="AM4026">
        <v>80.4755925186887</v>
      </c>
      <c r="AN4026">
        <v>0.99999996346072495</v>
      </c>
    </row>
    <row r="4027" spans="1:40" x14ac:dyDescent="0.25">
      <c r="A4027" t="str">
        <f>"20190312161351915"</f>
        <v>20190312161351915</v>
      </c>
      <c r="B4027" t="str">
        <f>"1552378431909963"</f>
        <v>1552378431909963</v>
      </c>
      <c r="C4027" t="s">
        <v>40</v>
      </c>
      <c r="D4027">
        <v>5.278715</v>
      </c>
      <c r="E4027">
        <v>0.49464229999999998</v>
      </c>
      <c r="F4027" t="s">
        <v>43</v>
      </c>
      <c r="G4027">
        <v>-192.16739999999999</v>
      </c>
      <c r="H4027">
        <v>0.9294249</v>
      </c>
      <c r="I4027">
        <v>158.60050000000001</v>
      </c>
      <c r="J4027">
        <v>-191.93960000000001</v>
      </c>
      <c r="K4027">
        <v>1.1081719999999999</v>
      </c>
      <c r="L4027">
        <v>159.1874</v>
      </c>
      <c r="M4027">
        <v>-0.19052259999999999</v>
      </c>
      <c r="N4027">
        <v>0</v>
      </c>
      <c r="O4027">
        <v>-0.98162870000000002</v>
      </c>
      <c r="P4027">
        <v>-0.34972819999999999</v>
      </c>
      <c r="Q4027">
        <v>-5.7131420000000002E-2</v>
      </c>
      <c r="R4027">
        <v>-0.93510780000000004</v>
      </c>
      <c r="S4027">
        <v>-0.97570800000000002</v>
      </c>
      <c r="T4027">
        <v>-0.66219220000000001</v>
      </c>
      <c r="U4027">
        <v>-2.802505</v>
      </c>
      <c r="V4027">
        <v>0.16498370000000001</v>
      </c>
      <c r="W4027">
        <v>-4.7555529999999999E-2</v>
      </c>
      <c r="X4027">
        <v>0.9851491</v>
      </c>
      <c r="Y4027">
        <v>0.13489429999999999</v>
      </c>
      <c r="Z4027">
        <v>0.21674450000000001</v>
      </c>
      <c r="AA4027">
        <v>0.96686369999999999</v>
      </c>
      <c r="AB4027">
        <v>18</v>
      </c>
      <c r="AC4027">
        <v>-0.227799999999973</v>
      </c>
      <c r="AD4027">
        <v>-0.17874709999999899</v>
      </c>
      <c r="AE4027">
        <v>-0.58689999999998499</v>
      </c>
      <c r="AF4027">
        <v>0.103462793778486</v>
      </c>
      <c r="AG4027">
        <v>-0.17874709999999899</v>
      </c>
      <c r="AH4027">
        <v>0.57333367879189501</v>
      </c>
      <c r="AI4027">
        <v>107.056659278643</v>
      </c>
      <c r="AJ4027">
        <v>79.770596371923702</v>
      </c>
      <c r="AK4027">
        <v>0.60939854175400499</v>
      </c>
      <c r="AL4027">
        <v>92.725759355441298</v>
      </c>
      <c r="AM4027">
        <v>80.492855874779295</v>
      </c>
      <c r="AN4027">
        <v>0.99999994946503901</v>
      </c>
    </row>
    <row r="4028" spans="1:40" x14ac:dyDescent="0.25">
      <c r="A4028" t="str">
        <f>"20190312161351938"</f>
        <v>20190312161351938</v>
      </c>
      <c r="B4028" t="str">
        <f>"1552378431930462"</f>
        <v>1552378431930462</v>
      </c>
      <c r="C4028" t="s">
        <v>40</v>
      </c>
      <c r="D4028">
        <v>5.3674330000000001</v>
      </c>
      <c r="E4028">
        <v>0.4948475</v>
      </c>
      <c r="F4028" t="s">
        <v>43</v>
      </c>
      <c r="G4028">
        <v>-192.2012</v>
      </c>
      <c r="H4028">
        <v>0.92507470000000003</v>
      </c>
      <c r="I4028">
        <v>158.4436</v>
      </c>
      <c r="J4028">
        <v>-191.97829999999999</v>
      </c>
      <c r="K4028">
        <v>1.108141</v>
      </c>
      <c r="L4028">
        <v>159.00640000000001</v>
      </c>
      <c r="M4028">
        <v>-0.19344810000000001</v>
      </c>
      <c r="N4028">
        <v>0</v>
      </c>
      <c r="O4028">
        <v>-0.98105659999999895</v>
      </c>
      <c r="P4028">
        <v>-0.35250290000000001</v>
      </c>
      <c r="Q4028">
        <v>-5.7248479999999997E-2</v>
      </c>
      <c r="R4028">
        <v>-0.93405819999999995</v>
      </c>
      <c r="S4028">
        <v>-0.98306269999999996</v>
      </c>
      <c r="T4028">
        <v>-0.68853699999999995</v>
      </c>
      <c r="U4028">
        <v>-2.7984619999999998</v>
      </c>
      <c r="V4028">
        <v>0.16496949999999999</v>
      </c>
      <c r="W4028">
        <v>-4.7706730000000003E-2</v>
      </c>
      <c r="X4028">
        <v>0.98514420000000003</v>
      </c>
      <c r="Y4028">
        <v>0.13401089999999999</v>
      </c>
      <c r="Z4028">
        <v>0.22494520000000001</v>
      </c>
      <c r="AA4028">
        <v>0.96511179999999996</v>
      </c>
      <c r="AB4028">
        <v>18</v>
      </c>
      <c r="AC4028">
        <v>-0.22290000000000901</v>
      </c>
      <c r="AD4028">
        <v>-0.18306629999999999</v>
      </c>
      <c r="AE4028">
        <v>-0.56280000000000996</v>
      </c>
      <c r="AF4028">
        <v>0.100609096282936</v>
      </c>
      <c r="AG4028">
        <v>-0.18306629999999999</v>
      </c>
      <c r="AH4028">
        <v>0.54540716570796899</v>
      </c>
      <c r="AI4028">
        <v>108.26711225778701</v>
      </c>
      <c r="AJ4028">
        <v>79.548366297810503</v>
      </c>
      <c r="AK4028">
        <v>0.584041468438808</v>
      </c>
      <c r="AL4028">
        <v>92.734432234217195</v>
      </c>
      <c r="AM4028">
        <v>80.493612790383295</v>
      </c>
      <c r="AN4028">
        <v>0.99999998140559099</v>
      </c>
    </row>
    <row r="4029" spans="1:40" x14ac:dyDescent="0.25">
      <c r="A4029" t="str">
        <f>"20190312161351951"</f>
        <v>20190312161351951</v>
      </c>
      <c r="B4029" t="str">
        <f>"1552378431940219"</f>
        <v>1552378431940219</v>
      </c>
      <c r="C4029" t="s">
        <v>40</v>
      </c>
      <c r="D4029">
        <v>5.3919069999999998</v>
      </c>
      <c r="E4029">
        <v>0.4949054</v>
      </c>
      <c r="F4029" t="s">
        <v>43</v>
      </c>
      <c r="G4029">
        <v>-192.23560000000001</v>
      </c>
      <c r="H4029">
        <v>0.93021640000000005</v>
      </c>
      <c r="I4029">
        <v>158.28210000000001</v>
      </c>
      <c r="J4029">
        <v>-192.00219999999999</v>
      </c>
      <c r="K4029">
        <v>1.108123</v>
      </c>
      <c r="L4029">
        <v>158.89580000000001</v>
      </c>
      <c r="M4029">
        <v>-0.19525580000000001</v>
      </c>
      <c r="N4029">
        <v>0</v>
      </c>
      <c r="O4029">
        <v>-0.98069859999999998</v>
      </c>
      <c r="P4029">
        <v>-0.35415970000000002</v>
      </c>
      <c r="Q4029">
        <v>-5.7147879999999998E-2</v>
      </c>
      <c r="R4029">
        <v>-0.93343730000000003</v>
      </c>
      <c r="S4029">
        <v>-0.99252320000000005</v>
      </c>
      <c r="T4029">
        <v>-0.68647740000000002</v>
      </c>
      <c r="U4029">
        <v>-2.7951510000000002</v>
      </c>
      <c r="V4029">
        <v>0.16489949999999901</v>
      </c>
      <c r="W4029">
        <v>-4.7627080000000002E-2</v>
      </c>
      <c r="X4029">
        <v>0.98515980000000003</v>
      </c>
      <c r="Y4029">
        <v>0.13549729999999999</v>
      </c>
      <c r="Z4029">
        <v>0.2242864</v>
      </c>
      <c r="AA4029">
        <v>0.96505759999999996</v>
      </c>
      <c r="AB4029">
        <v>18</v>
      </c>
      <c r="AC4029">
        <v>-0.23340000000001701</v>
      </c>
      <c r="AD4029">
        <v>-0.177906599999999</v>
      </c>
      <c r="AE4029">
        <v>-0.61369999999999403</v>
      </c>
      <c r="AF4029">
        <v>0.101612152865277</v>
      </c>
      <c r="AG4029">
        <v>-0.177906599999999</v>
      </c>
      <c r="AH4029">
        <v>0.60317745559907598</v>
      </c>
      <c r="AI4029">
        <v>106.217115867079</v>
      </c>
      <c r="AJ4029">
        <v>80.437652401831897</v>
      </c>
      <c r="AK4029">
        <v>0.63702341470031698</v>
      </c>
      <c r="AL4029">
        <v>92.729863360061003</v>
      </c>
      <c r="AM4029">
        <v>80.497720698571499</v>
      </c>
      <c r="AN4029">
        <v>1.0000000076928</v>
      </c>
    </row>
    <row r="4030" spans="1:40" x14ac:dyDescent="0.25">
      <c r="A4030" t="str">
        <f>"20190312161351965"</f>
        <v>20190312161351965</v>
      </c>
      <c r="B4030" t="str">
        <f>"1552378431959739"</f>
        <v>1552378431959739</v>
      </c>
      <c r="C4030" t="s">
        <v>40</v>
      </c>
      <c r="D4030">
        <v>6.1917970000000002</v>
      </c>
      <c r="E4030">
        <v>0.49503320000000001</v>
      </c>
      <c r="F4030" t="s">
        <v>43</v>
      </c>
      <c r="G4030">
        <v>-192.2765</v>
      </c>
      <c r="H4030">
        <v>0.91996250000000002</v>
      </c>
      <c r="I4030">
        <v>158.1285</v>
      </c>
      <c r="J4030">
        <v>-192.0264</v>
      </c>
      <c r="K4030">
        <v>1.1081099999999999</v>
      </c>
      <c r="L4030">
        <v>158.785</v>
      </c>
      <c r="M4030">
        <v>-0.19708100000000001</v>
      </c>
      <c r="N4030">
        <v>0</v>
      </c>
      <c r="O4030">
        <v>-0.98033360000000003</v>
      </c>
      <c r="P4030">
        <v>-0.35611009999999998</v>
      </c>
      <c r="Q4030">
        <v>-5.7099219999999999E-2</v>
      </c>
      <c r="R4030">
        <v>-0.93269789999999997</v>
      </c>
      <c r="S4030">
        <v>-0.9979401</v>
      </c>
      <c r="T4030">
        <v>-0.68480929999999995</v>
      </c>
      <c r="U4030">
        <v>-2.7933500000000002</v>
      </c>
      <c r="V4030">
        <v>0.16512249999999901</v>
      </c>
      <c r="W4030">
        <v>-4.7600839999999998E-2</v>
      </c>
      <c r="X4030">
        <v>0.98512370000000005</v>
      </c>
      <c r="Y4030">
        <v>0.13555449999999999</v>
      </c>
      <c r="Z4030">
        <v>0.22370909999999999</v>
      </c>
      <c r="AA4030">
        <v>0.96518349999999997</v>
      </c>
      <c r="AB4030">
        <v>18</v>
      </c>
      <c r="AC4030">
        <v>-0.25010000000000299</v>
      </c>
      <c r="AD4030">
        <v>-0.188147499999999</v>
      </c>
      <c r="AE4030">
        <v>-0.65649999999999398</v>
      </c>
      <c r="AF4030">
        <v>0.108053658815909</v>
      </c>
      <c r="AG4030">
        <v>-0.188147499999999</v>
      </c>
      <c r="AH4030">
        <v>0.64654194931792697</v>
      </c>
      <c r="AI4030">
        <v>106.014804151539</v>
      </c>
      <c r="AJ4030">
        <v>80.5120999451172</v>
      </c>
      <c r="AK4030">
        <v>0.681976221849105</v>
      </c>
      <c r="AL4030">
        <v>92.728358254167503</v>
      </c>
      <c r="AM4030">
        <v>80.484762901329105</v>
      </c>
      <c r="AN4030">
        <v>0.99999999213832202</v>
      </c>
    </row>
    <row r="4031" spans="1:40" x14ac:dyDescent="0.25">
      <c r="A4031" t="str">
        <f>"20190312161351981"</f>
        <v>20190312161351981</v>
      </c>
      <c r="B4031" t="str">
        <f>"1552378431970475"</f>
        <v>1552378431970475</v>
      </c>
      <c r="C4031" t="s">
        <v>40</v>
      </c>
      <c r="D4031">
        <v>5.4366469999999998</v>
      </c>
      <c r="E4031">
        <v>0.49515369999999997</v>
      </c>
      <c r="F4031" t="s">
        <v>43</v>
      </c>
      <c r="G4031">
        <v>-192.26750000000001</v>
      </c>
      <c r="H4031">
        <v>0.94381150000000003</v>
      </c>
      <c r="I4031">
        <v>158.11590000000001</v>
      </c>
      <c r="J4031">
        <v>-192.0538</v>
      </c>
      <c r="K4031">
        <v>1.1080890000000001</v>
      </c>
      <c r="L4031">
        <v>158.661</v>
      </c>
      <c r="M4031">
        <v>-0.19914799999999999</v>
      </c>
      <c r="N4031">
        <v>0</v>
      </c>
      <c r="O4031">
        <v>-0.97991589999999995</v>
      </c>
      <c r="P4031">
        <v>-0.35779179999999999</v>
      </c>
      <c r="Q4031">
        <v>-5.7104450000000001E-2</v>
      </c>
      <c r="R4031">
        <v>-0.93205400000000005</v>
      </c>
      <c r="S4031">
        <v>-1.004745</v>
      </c>
      <c r="T4031">
        <v>-0.68488689999999997</v>
      </c>
      <c r="U4031">
        <v>-2.7909090000000001</v>
      </c>
      <c r="V4031">
        <v>0.16481979999999999</v>
      </c>
      <c r="W4031">
        <v>-4.76269E-2</v>
      </c>
      <c r="X4031">
        <v>0.98517319999999997</v>
      </c>
      <c r="Y4031">
        <v>0.1358192</v>
      </c>
      <c r="Z4031">
        <v>0.22367980000000001</v>
      </c>
      <c r="AA4031">
        <v>0.96515309999999999</v>
      </c>
      <c r="AB4031">
        <v>18</v>
      </c>
      <c r="AC4031">
        <v>-0.21370000000001699</v>
      </c>
      <c r="AD4031">
        <v>-0.16427749999999899</v>
      </c>
      <c r="AE4031">
        <v>-0.54509999999999004</v>
      </c>
      <c r="AF4031">
        <v>9.3497169586232901E-2</v>
      </c>
      <c r="AG4031">
        <v>-0.16427749999999899</v>
      </c>
      <c r="AH4031">
        <v>0.53464996606777304</v>
      </c>
      <c r="AI4031">
        <v>106.83941639011201</v>
      </c>
      <c r="AJ4031">
        <v>80.080677095144097</v>
      </c>
      <c r="AK4031">
        <v>0.56707971568656701</v>
      </c>
      <c r="AL4031">
        <v>92.729852889371998</v>
      </c>
      <c r="AM4031">
        <v>80.502356523893894</v>
      </c>
      <c r="AN4031">
        <v>1.0000000610369399</v>
      </c>
    </row>
    <row r="4032" spans="1:40" x14ac:dyDescent="0.25">
      <c r="A4032" t="str">
        <f>"20190312161351996"</f>
        <v>20190312161351996</v>
      </c>
      <c r="B4032" t="str">
        <f>"1552378431989994"</f>
        <v>1552378431989994</v>
      </c>
      <c r="C4032" t="s">
        <v>40</v>
      </c>
      <c r="D4032">
        <v>5.291093</v>
      </c>
      <c r="E4032">
        <v>0.49540299999999998</v>
      </c>
      <c r="F4032" t="s">
        <v>43</v>
      </c>
      <c r="G4032">
        <v>-192.30770000000001</v>
      </c>
      <c r="H4032">
        <v>0.93598250000000005</v>
      </c>
      <c r="I4032">
        <v>157.96090000000001</v>
      </c>
      <c r="J4032">
        <v>-192.08009999999999</v>
      </c>
      <c r="K4032">
        <v>1.1080680000000001</v>
      </c>
      <c r="L4032">
        <v>158.54310000000001</v>
      </c>
      <c r="M4032">
        <v>-0.20113039999999999</v>
      </c>
      <c r="N4032">
        <v>0</v>
      </c>
      <c r="O4032">
        <v>-0.97951109999999997</v>
      </c>
      <c r="P4032">
        <v>-0.3598864</v>
      </c>
      <c r="Q4032">
        <v>-5.7311819999999999E-2</v>
      </c>
      <c r="R4032">
        <v>-0.93123440000000002</v>
      </c>
      <c r="S4032">
        <v>-1.0107569999999999</v>
      </c>
      <c r="T4032">
        <v>-0.68538829999999995</v>
      </c>
      <c r="U4032">
        <v>-2.7887270000000002</v>
      </c>
      <c r="V4032">
        <v>0.16504089999999999</v>
      </c>
      <c r="W4032">
        <v>-4.7856160000000002E-2</v>
      </c>
      <c r="X4032">
        <v>0.98512500000000003</v>
      </c>
      <c r="Y4032">
        <v>0.1358866</v>
      </c>
      <c r="Z4032">
        <v>0.2237797</v>
      </c>
      <c r="AA4032">
        <v>0.96512039999999999</v>
      </c>
      <c r="AB4032">
        <v>18</v>
      </c>
      <c r="AC4032">
        <v>-0.22760000000002301</v>
      </c>
      <c r="AD4032">
        <v>-0.1720855</v>
      </c>
      <c r="AE4032">
        <v>-0.58220000000000005</v>
      </c>
      <c r="AF4032">
        <v>9.8387872324792403E-2</v>
      </c>
      <c r="AG4032">
        <v>-0.1720855</v>
      </c>
      <c r="AH4032">
        <v>0.57268057965774999</v>
      </c>
      <c r="AI4032">
        <v>106.496782009255</v>
      </c>
      <c r="AJ4032">
        <v>80.2516179227148</v>
      </c>
      <c r="AK4032">
        <v>0.60601702867822604</v>
      </c>
      <c r="AL4032">
        <v>92.743003714379697</v>
      </c>
      <c r="AM4032">
        <v>80.489391528541006</v>
      </c>
      <c r="AN4032">
        <v>0.99999998817387703</v>
      </c>
    </row>
    <row r="4033" spans="1:40" x14ac:dyDescent="0.25">
      <c r="A4033" t="str">
        <f>"20190312161352009"</f>
        <v>20190312161352009</v>
      </c>
      <c r="B4033" t="str">
        <f>"1552378431999755"</f>
        <v>1552378431999755</v>
      </c>
      <c r="C4033" t="s">
        <v>40</v>
      </c>
      <c r="D4033">
        <v>6.5563320000000003</v>
      </c>
      <c r="E4033">
        <v>0.49556349999999999</v>
      </c>
      <c r="F4033" t="s">
        <v>43</v>
      </c>
      <c r="G4033">
        <v>-192.34970000000001</v>
      </c>
      <c r="H4033">
        <v>0.92641450000000003</v>
      </c>
      <c r="I4033">
        <v>157.80680000000001</v>
      </c>
      <c r="J4033">
        <v>-192.10550000000001</v>
      </c>
      <c r="K4033">
        <v>1.1080479999999999</v>
      </c>
      <c r="L4033">
        <v>158.43029999999999</v>
      </c>
      <c r="M4033">
        <v>-0.203043</v>
      </c>
      <c r="N4033">
        <v>0</v>
      </c>
      <c r="O4033">
        <v>-0.97911669999999995</v>
      </c>
      <c r="P4033">
        <v>-0.36157460000000002</v>
      </c>
      <c r="Q4033">
        <v>-5.7391350000000001E-2</v>
      </c>
      <c r="R4033">
        <v>-0.93057570000000001</v>
      </c>
      <c r="S4033">
        <v>-1.0188600000000001</v>
      </c>
      <c r="T4033">
        <v>-0.68691659999999999</v>
      </c>
      <c r="U4033">
        <v>-2.7854920000000001</v>
      </c>
      <c r="V4033">
        <v>0.16490199999999999</v>
      </c>
      <c r="W4033">
        <v>-4.7954089999999998E-2</v>
      </c>
      <c r="X4033">
        <v>0.98514349999999995</v>
      </c>
      <c r="Y4033">
        <v>0.13675190000000001</v>
      </c>
      <c r="Z4033">
        <v>0.22423670000000001</v>
      </c>
      <c r="AA4033">
        <v>0.96489210000000003</v>
      </c>
      <c r="AB4033">
        <v>18</v>
      </c>
      <c r="AC4033">
        <v>-0.244200000000006</v>
      </c>
      <c r="AD4033">
        <v>-0.181633499999999</v>
      </c>
      <c r="AE4033">
        <v>-0.62349999999997796</v>
      </c>
      <c r="AF4033">
        <v>0.10479814423229</v>
      </c>
      <c r="AG4033">
        <v>-0.181633499999999</v>
      </c>
      <c r="AH4033">
        <v>0.61485754446415497</v>
      </c>
      <c r="AI4033">
        <v>106.23597301261501</v>
      </c>
      <c r="AJ4033">
        <v>80.327289228328397</v>
      </c>
      <c r="AK4033">
        <v>0.64963311133382995</v>
      </c>
      <c r="AL4033">
        <v>92.748621134609706</v>
      </c>
      <c r="AM4033">
        <v>80.497424906103902</v>
      </c>
      <c r="AN4033">
        <v>0.99999998997198902</v>
      </c>
    </row>
    <row r="4034" spans="1:40" x14ac:dyDescent="0.25">
      <c r="A4034" t="str">
        <f>"20190312161352026"</f>
        <v>20190312161352026</v>
      </c>
      <c r="B4034" t="str">
        <f>"1552378432020251"</f>
        <v>1552378432020251</v>
      </c>
      <c r="C4034" t="s">
        <v>40</v>
      </c>
      <c r="D4034">
        <v>5.310829</v>
      </c>
      <c r="E4034">
        <v>0.49574170000000001</v>
      </c>
      <c r="F4034" t="s">
        <v>43</v>
      </c>
      <c r="G4034">
        <v>-192.392</v>
      </c>
      <c r="H4034">
        <v>0.91592850000000003</v>
      </c>
      <c r="I4034">
        <v>157.65280000000001</v>
      </c>
      <c r="J4034">
        <v>-192.13579999999999</v>
      </c>
      <c r="K4034">
        <v>1.1080190000000001</v>
      </c>
      <c r="L4034">
        <v>158.2972</v>
      </c>
      <c r="M4034">
        <v>-0.20532700000000001</v>
      </c>
      <c r="N4034">
        <v>0</v>
      </c>
      <c r="O4034">
        <v>-0.97864039999999997</v>
      </c>
      <c r="P4034">
        <v>-0.36392099999999999</v>
      </c>
      <c r="Q4034">
        <v>-5.761202E-2</v>
      </c>
      <c r="R4034">
        <v>-0.92964669999999905</v>
      </c>
      <c r="S4034">
        <v>-1.025131</v>
      </c>
      <c r="T4034">
        <v>-0.68751719999999905</v>
      </c>
      <c r="U4034">
        <v>-2.7830810000000001</v>
      </c>
      <c r="V4034">
        <v>0.16508780000000001</v>
      </c>
      <c r="W4034">
        <v>-4.8197770000000001E-2</v>
      </c>
      <c r="X4034">
        <v>0.98510050000000005</v>
      </c>
      <c r="Y4034">
        <v>0.13661509999999999</v>
      </c>
      <c r="Z4034">
        <v>0.2243581</v>
      </c>
      <c r="AA4034">
        <v>0.9648833</v>
      </c>
      <c r="AB4034">
        <v>18</v>
      </c>
      <c r="AC4034">
        <v>-0.25620000000000598</v>
      </c>
      <c r="AD4034">
        <v>-0.1920905</v>
      </c>
      <c r="AE4034">
        <v>-0.64439999999998998</v>
      </c>
      <c r="AF4034">
        <v>0.109982147524625</v>
      </c>
      <c r="AG4034">
        <v>-0.1920905</v>
      </c>
      <c r="AH4034">
        <v>0.63458434112071205</v>
      </c>
      <c r="AI4034">
        <v>106.607555974227</v>
      </c>
      <c r="AJ4034">
        <v>80.167529239334002</v>
      </c>
      <c r="AK4034">
        <v>0.672080440840222</v>
      </c>
      <c r="AL4034">
        <v>92.762599103049794</v>
      </c>
      <c r="AM4034">
        <v>80.486505996709994</v>
      </c>
      <c r="AN4034">
        <v>1.0000000009210299</v>
      </c>
    </row>
    <row r="4035" spans="1:40" x14ac:dyDescent="0.25">
      <c r="A4035" t="str">
        <f>"20190312161352039"</f>
        <v>20190312161352039</v>
      </c>
      <c r="B4035" t="str">
        <f>"1552378432030010"</f>
        <v>1552378432030010</v>
      </c>
      <c r="C4035" t="s">
        <v>40</v>
      </c>
      <c r="D4035">
        <v>5.6307029999999996</v>
      </c>
      <c r="E4035">
        <v>0.4957819</v>
      </c>
      <c r="F4035" t="s">
        <v>43</v>
      </c>
      <c r="G4035">
        <v>-192.3811</v>
      </c>
      <c r="H4035">
        <v>0.94468669999999999</v>
      </c>
      <c r="I4035">
        <v>157.63749999999999</v>
      </c>
      <c r="J4035">
        <v>-192.16059999999999</v>
      </c>
      <c r="K4035">
        <v>1.1080000000000001</v>
      </c>
      <c r="L4035">
        <v>158.19</v>
      </c>
      <c r="M4035">
        <v>-0.20718729999999999</v>
      </c>
      <c r="N4035">
        <v>0</v>
      </c>
      <c r="O4035">
        <v>-0.97824809999999995</v>
      </c>
      <c r="P4035">
        <v>-0.3657513</v>
      </c>
      <c r="Q4035">
        <v>-5.760701E-2</v>
      </c>
      <c r="R4035">
        <v>-0.92892810000000003</v>
      </c>
      <c r="S4035">
        <v>-1.0332490000000001</v>
      </c>
      <c r="T4035">
        <v>-0.68806099999999903</v>
      </c>
      <c r="U4035">
        <v>-2.7799070000000001</v>
      </c>
      <c r="V4035">
        <v>0.16515279999999999</v>
      </c>
      <c r="W4035">
        <v>-4.8212709999999999E-2</v>
      </c>
      <c r="X4035">
        <v>0.98508890000000005</v>
      </c>
      <c r="Y4035">
        <v>0.13755419999999999</v>
      </c>
      <c r="Z4035">
        <v>0.2245037</v>
      </c>
      <c r="AA4035">
        <v>0.96471600000000002</v>
      </c>
      <c r="AB4035">
        <v>18</v>
      </c>
      <c r="AC4035">
        <v>-0.22050000000001499</v>
      </c>
      <c r="AD4035">
        <v>-0.163313299999999</v>
      </c>
      <c r="AE4035">
        <v>-0.55250000000000898</v>
      </c>
      <c r="AF4035">
        <v>9.4142581363301003E-2</v>
      </c>
      <c r="AG4035">
        <v>-0.163313299999999</v>
      </c>
      <c r="AH4035">
        <v>0.54511289617055503</v>
      </c>
      <c r="AI4035">
        <v>106.447917210757</v>
      </c>
      <c r="AJ4035">
        <v>80.201506991583301</v>
      </c>
      <c r="AK4035">
        <v>0.57678603411844698</v>
      </c>
      <c r="AL4035">
        <v>92.763456026644107</v>
      </c>
      <c r="AM4035">
        <v>80.482718737141397</v>
      </c>
      <c r="AN4035">
        <v>1.00000002682829</v>
      </c>
    </row>
    <row r="4036" spans="1:40" x14ac:dyDescent="0.25">
      <c r="A4036" t="str">
        <f>"20190312161352053"</f>
        <v>20190312161352053</v>
      </c>
      <c r="B4036" t="str">
        <f>"1552378432050507"</f>
        <v>1552378432050507</v>
      </c>
      <c r="C4036" t="s">
        <v>40</v>
      </c>
      <c r="D4036">
        <v>5.2875189999999996</v>
      </c>
      <c r="E4036">
        <v>0.49587249999999999</v>
      </c>
      <c r="F4036" t="s">
        <v>43</v>
      </c>
      <c r="G4036">
        <v>-192.4248</v>
      </c>
      <c r="H4036">
        <v>0.93319180000000002</v>
      </c>
      <c r="I4036">
        <v>157.48410000000001</v>
      </c>
      <c r="J4036">
        <v>-192.18440000000001</v>
      </c>
      <c r="K4036">
        <v>1.107979</v>
      </c>
      <c r="L4036">
        <v>158.08750000000001</v>
      </c>
      <c r="M4036">
        <v>-0.2089782</v>
      </c>
      <c r="N4036">
        <v>0</v>
      </c>
      <c r="O4036">
        <v>-0.97786740000000005</v>
      </c>
      <c r="P4036">
        <v>-0.36749959999999998</v>
      </c>
      <c r="Q4036">
        <v>-5.7466070000000001E-2</v>
      </c>
      <c r="R4036">
        <v>-0.92824680000000004</v>
      </c>
      <c r="S4036">
        <v>-1.0393829999999999</v>
      </c>
      <c r="T4036">
        <v>-0.68771000000000004</v>
      </c>
      <c r="U4036">
        <v>-2.7776640000000001</v>
      </c>
      <c r="V4036">
        <v>0.16520009999999999</v>
      </c>
      <c r="W4036">
        <v>-4.80919E-2</v>
      </c>
      <c r="X4036">
        <v>0.98508689999999999</v>
      </c>
      <c r="Y4036">
        <v>0.13787739999999901</v>
      </c>
      <c r="Z4036">
        <v>0.22434419999999999</v>
      </c>
      <c r="AA4036">
        <v>0.96470699999999998</v>
      </c>
      <c r="AB4036">
        <v>18</v>
      </c>
      <c r="AC4036">
        <v>-0.24039999999999301</v>
      </c>
      <c r="AD4036">
        <v>-0.1747872</v>
      </c>
      <c r="AE4036">
        <v>-0.60339999999999305</v>
      </c>
      <c r="AF4036">
        <v>0.101628147599055</v>
      </c>
      <c r="AG4036">
        <v>-0.1747872</v>
      </c>
      <c r="AH4036">
        <v>0.59707937420037804</v>
      </c>
      <c r="AI4036">
        <v>106.097424920309</v>
      </c>
      <c r="AJ4036">
        <v>80.340329265920005</v>
      </c>
      <c r="AK4036">
        <v>0.630382919156104</v>
      </c>
      <c r="AL4036">
        <v>92.756526014962105</v>
      </c>
      <c r="AM4036">
        <v>80.480023883877706</v>
      </c>
      <c r="AN4036">
        <v>1.0000000522186101</v>
      </c>
    </row>
    <row r="4037" spans="1:40" x14ac:dyDescent="0.25">
      <c r="A4037" t="str">
        <f>"20190312161352068"</f>
        <v>20190312161352068</v>
      </c>
      <c r="B4037" t="str">
        <f>"1552378432060267"</f>
        <v>1552378432060267</v>
      </c>
      <c r="C4037" t="s">
        <v>40</v>
      </c>
      <c r="D4037">
        <v>5.6347969999999998</v>
      </c>
      <c r="E4037">
        <v>0.49590240000000002</v>
      </c>
      <c r="F4037" t="s">
        <v>43</v>
      </c>
      <c r="G4037">
        <v>-192.4691</v>
      </c>
      <c r="H4037">
        <v>0.9194947</v>
      </c>
      <c r="I4037">
        <v>157.33150000000001</v>
      </c>
      <c r="J4037">
        <v>-192.21279999999999</v>
      </c>
      <c r="K4037">
        <v>1.1079479999999999</v>
      </c>
      <c r="L4037">
        <v>157.96629999999999</v>
      </c>
      <c r="M4037">
        <v>-0.21111640000000001</v>
      </c>
      <c r="N4037">
        <v>0</v>
      </c>
      <c r="O4037">
        <v>-0.97740800000000005</v>
      </c>
      <c r="P4037">
        <v>-0.36970049999999999</v>
      </c>
      <c r="Q4037">
        <v>-5.7364020000000002E-2</v>
      </c>
      <c r="R4037">
        <v>-0.92737860000000005</v>
      </c>
      <c r="S4037">
        <v>-1.0449520000000001</v>
      </c>
      <c r="T4037">
        <v>-0.69179299999999999</v>
      </c>
      <c r="U4037">
        <v>-2.7753909999999999</v>
      </c>
      <c r="V4037">
        <v>0.16537859999999999</v>
      </c>
      <c r="W4037">
        <v>-4.8016400000000001E-2</v>
      </c>
      <c r="X4037">
        <v>0.98506059999999995</v>
      </c>
      <c r="Y4037">
        <v>0.1375661</v>
      </c>
      <c r="Z4037">
        <v>0.22554660000000001</v>
      </c>
      <c r="AA4037">
        <v>0.96447099999999997</v>
      </c>
      <c r="AB4037">
        <v>18</v>
      </c>
      <c r="AC4037">
        <v>-0.25630000000001002</v>
      </c>
      <c r="AD4037">
        <v>-0.18845329999999999</v>
      </c>
      <c r="AE4037">
        <v>-0.63479999999998404</v>
      </c>
      <c r="AF4037">
        <v>0.10829269360520601</v>
      </c>
      <c r="AG4037">
        <v>-0.18845329999999999</v>
      </c>
      <c r="AH4037">
        <v>0.62708290995534699</v>
      </c>
      <c r="AI4037">
        <v>106.49614512713801</v>
      </c>
      <c r="AJ4037">
        <v>80.202070145915997</v>
      </c>
      <c r="AK4037">
        <v>0.66368285327197296</v>
      </c>
      <c r="AL4037">
        <v>92.7521952669874</v>
      </c>
      <c r="AM4037">
        <v>80.469676277348796</v>
      </c>
      <c r="AN4037">
        <v>1.00000002083963</v>
      </c>
    </row>
    <row r="4038" spans="1:40" x14ac:dyDescent="0.25">
      <c r="A4038" t="str">
        <f>"20190312161352083"</f>
        <v>20190312161352083</v>
      </c>
      <c r="B4038" t="str">
        <f>"1552378432079787"</f>
        <v>1552378432079787</v>
      </c>
      <c r="C4038" t="s">
        <v>40</v>
      </c>
      <c r="D4038">
        <v>5.2832850000000002</v>
      </c>
      <c r="E4038">
        <v>0.49607800000000002</v>
      </c>
      <c r="F4038" t="s">
        <v>43</v>
      </c>
      <c r="G4038">
        <v>-192.45910000000001</v>
      </c>
      <c r="H4038">
        <v>0.94614849999999995</v>
      </c>
      <c r="I4038">
        <v>157.31720000000001</v>
      </c>
      <c r="J4038">
        <v>-192.2422</v>
      </c>
      <c r="K4038">
        <v>1.1079190000000001</v>
      </c>
      <c r="L4038">
        <v>157.8426</v>
      </c>
      <c r="M4038">
        <v>-0.21333170000000001</v>
      </c>
      <c r="N4038">
        <v>0</v>
      </c>
      <c r="O4038">
        <v>-0.97692699999999999</v>
      </c>
      <c r="P4038">
        <v>-0.3718766</v>
      </c>
      <c r="Q4038">
        <v>-5.6897330000000003E-2</v>
      </c>
      <c r="R4038">
        <v>-0.92653660000000004</v>
      </c>
      <c r="S4038">
        <v>-1.051987</v>
      </c>
      <c r="T4038">
        <v>-0.69101559999999995</v>
      </c>
      <c r="U4038">
        <v>-2.7728419999999998</v>
      </c>
      <c r="V4038">
        <v>0.16545099999999999</v>
      </c>
      <c r="W4038">
        <v>-4.7575680000000002E-2</v>
      </c>
      <c r="X4038">
        <v>0.9850698</v>
      </c>
      <c r="Y4038">
        <v>0.1377787</v>
      </c>
      <c r="Z4038">
        <v>0.2252325</v>
      </c>
      <c r="AA4038">
        <v>0.96451410000000004</v>
      </c>
      <c r="AB4038">
        <v>18</v>
      </c>
      <c r="AC4038">
        <v>-0.216900000000009</v>
      </c>
      <c r="AD4038">
        <v>-0.16177050000000001</v>
      </c>
      <c r="AE4038">
        <v>-0.52539999999998999</v>
      </c>
      <c r="AF4038">
        <v>9.2337031315502999E-2</v>
      </c>
      <c r="AG4038">
        <v>-0.16177050000000001</v>
      </c>
      <c r="AH4038">
        <v>0.51764942324881202</v>
      </c>
      <c r="AI4038">
        <v>107.100700258724</v>
      </c>
      <c r="AJ4038">
        <v>79.886094342595101</v>
      </c>
      <c r="AK4038">
        <v>0.55014247919265202</v>
      </c>
      <c r="AL4038">
        <v>92.726915049990495</v>
      </c>
      <c r="AM4038">
        <v>80.465668052536998</v>
      </c>
      <c r="AN4038">
        <v>0.99999999480025104</v>
      </c>
    </row>
    <row r="4039" spans="1:40" x14ac:dyDescent="0.25">
      <c r="A4039" t="str">
        <f>"20190312161352098"</f>
        <v>20190312161352098</v>
      </c>
      <c r="B4039" t="str">
        <f>"1552378432090522"</f>
        <v>1552378432090522</v>
      </c>
      <c r="C4039" t="s">
        <v>40</v>
      </c>
      <c r="D4039">
        <v>5.2690590000000004</v>
      </c>
      <c r="E4039">
        <v>0.49621140000000002</v>
      </c>
      <c r="F4039" t="s">
        <v>43</v>
      </c>
      <c r="G4039">
        <v>-192.5026</v>
      </c>
      <c r="H4039">
        <v>0.93714430000000004</v>
      </c>
      <c r="I4039">
        <v>157.16210000000001</v>
      </c>
      <c r="J4039">
        <v>-192.27090000000001</v>
      </c>
      <c r="K4039">
        <v>1.1078920000000001</v>
      </c>
      <c r="L4039">
        <v>157.72299999999899</v>
      </c>
      <c r="M4039">
        <v>-0.2154982</v>
      </c>
      <c r="N4039">
        <v>0</v>
      </c>
      <c r="O4039">
        <v>-0.97645159999999998</v>
      </c>
      <c r="P4039">
        <v>-0.37411709999999998</v>
      </c>
      <c r="Q4039">
        <v>-5.6973700000000002E-2</v>
      </c>
      <c r="R4039">
        <v>-0.92562999999999995</v>
      </c>
      <c r="S4039">
        <v>-1.059677</v>
      </c>
      <c r="T4039">
        <v>-0.69497509999999996</v>
      </c>
      <c r="U4039">
        <v>-2.769882</v>
      </c>
      <c r="V4039">
        <v>0.1656466</v>
      </c>
      <c r="W4039">
        <v>-4.7676940000000001E-2</v>
      </c>
      <c r="X4039">
        <v>0.98503200000000002</v>
      </c>
      <c r="Y4039">
        <v>0.1381618</v>
      </c>
      <c r="Z4039">
        <v>0.22639880000000001</v>
      </c>
      <c r="AA4039">
        <v>0.96418610000000005</v>
      </c>
      <c r="AB4039">
        <v>18</v>
      </c>
      <c r="AC4039">
        <v>-0.231699999999989</v>
      </c>
      <c r="AD4039">
        <v>-0.170747699999999</v>
      </c>
      <c r="AE4039">
        <v>-0.56089999999997497</v>
      </c>
      <c r="AF4039">
        <v>9.7646447244091605E-2</v>
      </c>
      <c r="AG4039">
        <v>-0.170747699999999</v>
      </c>
      <c r="AH4039">
        <v>0.55381257745995305</v>
      </c>
      <c r="AI4039">
        <v>106.889848584183</v>
      </c>
      <c r="AJ4039">
        <v>80.000567149754801</v>
      </c>
      <c r="AK4039">
        <v>0.58770568881670704</v>
      </c>
      <c r="AL4039">
        <v>92.732723496460395</v>
      </c>
      <c r="AM4039">
        <v>80.454244077901507</v>
      </c>
      <c r="AN4039">
        <v>0.99999996386166101</v>
      </c>
    </row>
    <row r="4040" spans="1:40" x14ac:dyDescent="0.25">
      <c r="A4040" t="str">
        <f>"20190312161352121"</f>
        <v>20190312161352121</v>
      </c>
      <c r="B4040" t="str">
        <f>"1552378432110042"</f>
        <v>1552378432110042</v>
      </c>
      <c r="C4040" t="s">
        <v>40</v>
      </c>
      <c r="D4040">
        <v>5.3309059999999997</v>
      </c>
      <c r="E4040">
        <v>0.4962879</v>
      </c>
      <c r="F4040" t="s">
        <v>43</v>
      </c>
      <c r="G4040">
        <v>-192.5471</v>
      </c>
      <c r="H4040">
        <v>0.9270216</v>
      </c>
      <c r="I4040">
        <v>157.00739999999999</v>
      </c>
      <c r="J4040">
        <v>-192.31270000000001</v>
      </c>
      <c r="K4040">
        <v>1.107853</v>
      </c>
      <c r="L4040">
        <v>157.55109999999999</v>
      </c>
      <c r="M4040">
        <v>-0.21866099999999999</v>
      </c>
      <c r="N4040">
        <v>0</v>
      </c>
      <c r="O4040">
        <v>-0.97574850000000002</v>
      </c>
      <c r="P4040">
        <v>-0.37850210000000001</v>
      </c>
      <c r="Q4040">
        <v>-5.7162320000000003E-2</v>
      </c>
      <c r="R4040">
        <v>-0.92383400000000004</v>
      </c>
      <c r="S4040">
        <v>-1.0674589999999999</v>
      </c>
      <c r="T4040">
        <v>-0.699013</v>
      </c>
      <c r="U4040">
        <v>-2.7665709999999999</v>
      </c>
      <c r="V4040">
        <v>0.16712189999999999</v>
      </c>
      <c r="W4040">
        <v>-4.7906249999999997E-2</v>
      </c>
      <c r="X4040">
        <v>0.98477170000000003</v>
      </c>
      <c r="Y4040">
        <v>0.13759969999999999</v>
      </c>
      <c r="Z4040">
        <v>0.22754840000000001</v>
      </c>
      <c r="AA4040">
        <v>0.96399590000000002</v>
      </c>
      <c r="AB4040">
        <v>18</v>
      </c>
      <c r="AC4040">
        <v>-0.234399999999993</v>
      </c>
      <c r="AD4040">
        <v>-0.1808314</v>
      </c>
      <c r="AE4040">
        <v>-0.54370000000000096</v>
      </c>
      <c r="AF4040">
        <v>0.100463706098011</v>
      </c>
      <c r="AG4040">
        <v>-0.1808314</v>
      </c>
      <c r="AH4040">
        <v>0.53215802021271397</v>
      </c>
      <c r="AI4040">
        <v>108.46465673462799</v>
      </c>
      <c r="AJ4040">
        <v>79.309210276235802</v>
      </c>
      <c r="AK4040">
        <v>0.57095105739951402</v>
      </c>
      <c r="AL4040">
        <v>92.745876868918799</v>
      </c>
      <c r="AM4040">
        <v>80.368314065917204</v>
      </c>
      <c r="AN4040">
        <v>1.00000001968478</v>
      </c>
    </row>
    <row r="4041" spans="1:40" x14ac:dyDescent="0.25">
      <c r="A4041" t="str">
        <f>"20190312161352139"</f>
        <v>20190312161352139</v>
      </c>
      <c r="B4041" t="str">
        <f>"1552378432130539"</f>
        <v>1552378432130539</v>
      </c>
      <c r="C4041" t="s">
        <v>40</v>
      </c>
      <c r="D4041">
        <v>5.49946</v>
      </c>
      <c r="E4041">
        <v>0.49640289999999998</v>
      </c>
      <c r="F4041" t="s">
        <v>43</v>
      </c>
      <c r="G4041">
        <v>-192.58850000000001</v>
      </c>
      <c r="H4041">
        <v>0.92734669999999997</v>
      </c>
      <c r="I4041">
        <v>156.84690000000001</v>
      </c>
      <c r="J4041">
        <v>-192.3526</v>
      </c>
      <c r="K4041">
        <v>1.107815</v>
      </c>
      <c r="L4041">
        <v>157.3895</v>
      </c>
      <c r="M4041">
        <v>-0.22168660000000001</v>
      </c>
      <c r="N4041">
        <v>0</v>
      </c>
      <c r="O4041">
        <v>-0.97506559999999998</v>
      </c>
      <c r="P4041">
        <v>-0.38329249999999998</v>
      </c>
      <c r="Q4041">
        <v>-5.7498059999999997E-2</v>
      </c>
      <c r="R4041">
        <v>-0.92183590000000004</v>
      </c>
      <c r="S4041">
        <v>-1.0808409999999999</v>
      </c>
      <c r="T4041">
        <v>-0.70743659999999997</v>
      </c>
      <c r="U4041">
        <v>-2.760742</v>
      </c>
      <c r="V4041">
        <v>0.16917660000000001</v>
      </c>
      <c r="W4041">
        <v>-4.8282690000000003E-2</v>
      </c>
      <c r="X4041">
        <v>0.98440240000000001</v>
      </c>
      <c r="Y4041">
        <v>0.13904159999999999</v>
      </c>
      <c r="Z4041">
        <v>0.23012450000000001</v>
      </c>
      <c r="AA4041">
        <v>0.96317710000000001</v>
      </c>
      <c r="AB4041">
        <v>18</v>
      </c>
      <c r="AC4041">
        <v>-0.23590000000001499</v>
      </c>
      <c r="AD4041">
        <v>-0.1804683</v>
      </c>
      <c r="AE4041">
        <v>-0.54259999999999298</v>
      </c>
      <c r="AF4041">
        <v>0.100395911498986</v>
      </c>
      <c r="AG4041">
        <v>-0.1804683</v>
      </c>
      <c r="AH4041">
        <v>0.531909019639067</v>
      </c>
      <c r="AI4041">
        <v>108.438254750307</v>
      </c>
      <c r="AJ4041">
        <v>79.311372344696395</v>
      </c>
      <c r="AK4041">
        <v>0.57059210608279098</v>
      </c>
      <c r="AL4041">
        <v>92.767470299471796</v>
      </c>
      <c r="AM4041">
        <v>80.248567931907402</v>
      </c>
      <c r="AN4041">
        <v>1.00000001263347</v>
      </c>
    </row>
    <row r="4042" spans="1:40" x14ac:dyDescent="0.25">
      <c r="A4042" t="str">
        <f>"20190312161352161"</f>
        <v>20190312161352161</v>
      </c>
      <c r="B4042" t="str">
        <f>"1552378432150060"</f>
        <v>1552378432150060</v>
      </c>
      <c r="C4042" t="s">
        <v>40</v>
      </c>
      <c r="D4042">
        <v>5.4697809999999896</v>
      </c>
      <c r="E4042">
        <v>0.49683290000000002</v>
      </c>
      <c r="F4042" t="s">
        <v>43</v>
      </c>
      <c r="G4042">
        <v>-192.63229999999999</v>
      </c>
      <c r="H4042">
        <v>0.92694180000000004</v>
      </c>
      <c r="I4042">
        <v>156.68700000000001</v>
      </c>
      <c r="J4042">
        <v>-192.39769999999999</v>
      </c>
      <c r="K4042">
        <v>1.1077699999999999</v>
      </c>
      <c r="L4042">
        <v>157.20949999999999</v>
      </c>
      <c r="M4042">
        <v>-0.2251129</v>
      </c>
      <c r="N4042">
        <v>0</v>
      </c>
      <c r="O4042">
        <v>-0.97428049999999999</v>
      </c>
      <c r="P4042">
        <v>-0.3887659</v>
      </c>
      <c r="Q4042">
        <v>-5.786985E-2</v>
      </c>
      <c r="R4042">
        <v>-0.91951760000000005</v>
      </c>
      <c r="S4042">
        <v>-1.096344</v>
      </c>
      <c r="T4042">
        <v>-0.70903729999999998</v>
      </c>
      <c r="U4042">
        <v>-2.7542879999999998</v>
      </c>
      <c r="V4042">
        <v>0.171565299999999</v>
      </c>
      <c r="W4042">
        <v>-4.869967E-2</v>
      </c>
      <c r="X4042">
        <v>0.98396830000000002</v>
      </c>
      <c r="Y4042">
        <v>0.1409735</v>
      </c>
      <c r="Z4042">
        <v>0.23057169999999999</v>
      </c>
      <c r="AA4042">
        <v>0.96278920000000001</v>
      </c>
      <c r="AB4042">
        <v>18</v>
      </c>
      <c r="AC4042">
        <v>-0.2346</v>
      </c>
      <c r="AD4042">
        <v>-0.18082819999999999</v>
      </c>
      <c r="AE4042">
        <v>-0.52249999999997898</v>
      </c>
      <c r="AF4042">
        <v>0.10089345918820999</v>
      </c>
      <c r="AG4042">
        <v>-0.18082819999999999</v>
      </c>
      <c r="AH4042">
        <v>0.51096904769573004</v>
      </c>
      <c r="AI4042">
        <v>109.14644826842699</v>
      </c>
      <c r="AJ4042">
        <v>78.8303381749934</v>
      </c>
      <c r="AK4042">
        <v>0.55133265432521295</v>
      </c>
      <c r="AL4042">
        <v>92.791389771386406</v>
      </c>
      <c r="AM4042">
        <v>80.109304843061494</v>
      </c>
      <c r="AN4042">
        <v>0.99999996271354297</v>
      </c>
    </row>
    <row r="4043" spans="1:40" x14ac:dyDescent="0.25">
      <c r="A4043" t="str">
        <f>"20190312161352177"</f>
        <v>20190312161352177</v>
      </c>
      <c r="B4043" t="str">
        <f>"1552378432170555"</f>
        <v>1552378432170555</v>
      </c>
      <c r="C4043" t="s">
        <v>40</v>
      </c>
      <c r="D4043">
        <v>5.9363979999999996</v>
      </c>
      <c r="E4043">
        <v>0.5686329</v>
      </c>
      <c r="F4043" t="s">
        <v>43</v>
      </c>
      <c r="G4043">
        <v>-192.6763</v>
      </c>
      <c r="H4043">
        <v>0.93131730000000001</v>
      </c>
      <c r="I4043">
        <v>156.52459999999999</v>
      </c>
      <c r="J4043">
        <v>-192.42959999999999</v>
      </c>
      <c r="K4043">
        <v>1.1077410000000001</v>
      </c>
      <c r="L4043">
        <v>157.08430000000001</v>
      </c>
      <c r="M4043">
        <v>-0.2275317</v>
      </c>
      <c r="N4043">
        <v>0</v>
      </c>
      <c r="O4043">
        <v>-0.97371830000000004</v>
      </c>
      <c r="P4043">
        <v>-0.39197880000000002</v>
      </c>
      <c r="Q4043">
        <v>-5.7792499999999997E-2</v>
      </c>
      <c r="R4043">
        <v>-0.91815720000000001</v>
      </c>
      <c r="S4043">
        <v>-1.116287</v>
      </c>
      <c r="T4043">
        <v>-0.70720340000000004</v>
      </c>
      <c r="U4043">
        <v>-2.7461090000000001</v>
      </c>
      <c r="V4043">
        <v>0.17255780000000001</v>
      </c>
      <c r="W4043">
        <v>-4.8648770000000001E-2</v>
      </c>
      <c r="X4043">
        <v>0.98379729999999999</v>
      </c>
      <c r="Y4043">
        <v>0.14556160000000001</v>
      </c>
      <c r="Z4043">
        <v>0.23005539999999999</v>
      </c>
      <c r="AA4043">
        <v>0.96222980000000002</v>
      </c>
      <c r="AB4043">
        <v>18</v>
      </c>
      <c r="AC4043">
        <v>-0.246700000000004</v>
      </c>
      <c r="AD4043">
        <v>-0.17642369999999999</v>
      </c>
      <c r="AE4043">
        <v>-0.55970000000001996</v>
      </c>
      <c r="AF4043">
        <v>0.104203370817588</v>
      </c>
      <c r="AG4043">
        <v>-0.17642369999999999</v>
      </c>
      <c r="AH4043">
        <v>0.55498120872660905</v>
      </c>
      <c r="AI4043">
        <v>107.350463974932</v>
      </c>
      <c r="AJ4043">
        <v>79.365944552403306</v>
      </c>
      <c r="AK4043">
        <v>0.59159767279045805</v>
      </c>
      <c r="AL4043">
        <v>92.788469816814001</v>
      </c>
      <c r="AM4043">
        <v>80.051532633075198</v>
      </c>
      <c r="AN4043">
        <v>1.0000000123253201</v>
      </c>
    </row>
    <row r="4044" spans="1:40" x14ac:dyDescent="0.25">
      <c r="A4044" t="str">
        <f>"20190312161352193"</f>
        <v>20190312161352193</v>
      </c>
      <c r="B4044" t="str">
        <f>"1552378432190075"</f>
        <v>1552378432190075</v>
      </c>
      <c r="C4044" t="s">
        <v>40</v>
      </c>
      <c r="D4044">
        <v>5.3549110000000004</v>
      </c>
      <c r="E4044">
        <v>0.61597729999999995</v>
      </c>
      <c r="F4044" t="s">
        <v>84</v>
      </c>
      <c r="G4044">
        <v>-196.63120000000001</v>
      </c>
      <c r="H4044" s="1">
        <v>-1.233997E-5</v>
      </c>
      <c r="I4044">
        <v>150.7088</v>
      </c>
      <c r="J4044">
        <v>-192.4632</v>
      </c>
      <c r="K4044">
        <v>1.107707</v>
      </c>
      <c r="L4044">
        <v>156.95359999999999</v>
      </c>
      <c r="M4044">
        <v>-0.23008870000000001</v>
      </c>
      <c r="N4044">
        <v>0</v>
      </c>
      <c r="O4044">
        <v>-0.97311749999999997</v>
      </c>
      <c r="P4044">
        <v>-0.39633889999999999</v>
      </c>
      <c r="Q4044">
        <v>-5.7743120000000002E-2</v>
      </c>
      <c r="R4044">
        <v>-0.91628679999999996</v>
      </c>
      <c r="S4044">
        <v>-1.66629</v>
      </c>
      <c r="T4044">
        <v>-0.43930839999999999</v>
      </c>
      <c r="U4044">
        <v>-2.528381</v>
      </c>
      <c r="V4044">
        <v>0.17464460000000001</v>
      </c>
      <c r="W4044">
        <v>-4.8632910000000001E-2</v>
      </c>
      <c r="X4044">
        <v>0.98342980000000002</v>
      </c>
      <c r="Y4044">
        <v>0.3374355</v>
      </c>
      <c r="Z4044">
        <v>0.14554139999999999</v>
      </c>
      <c r="AA4044">
        <v>0.93002949999999995</v>
      </c>
      <c r="AB4044">
        <v>18</v>
      </c>
      <c r="AC4044">
        <v>-4.1680000000000001</v>
      </c>
      <c r="AD4044">
        <v>-1.10771933997</v>
      </c>
      <c r="AE4044">
        <v>-6.2447999999999899</v>
      </c>
      <c r="AF4044">
        <v>2.5634287309324399</v>
      </c>
      <c r="AG4044">
        <v>-1.10771933997</v>
      </c>
      <c r="AH4044">
        <v>6.8863898904807899</v>
      </c>
      <c r="AI4044">
        <v>98.572817290038003</v>
      </c>
      <c r="AJ4044">
        <v>69.582435824687806</v>
      </c>
      <c r="AK4044">
        <v>7.4310547514084098</v>
      </c>
      <c r="AL4044">
        <v>92.787559968727393</v>
      </c>
      <c r="AM4044">
        <v>79.929984001070807</v>
      </c>
      <c r="AN4044">
        <v>1.0000000338861299</v>
      </c>
    </row>
    <row r="4045" spans="1:40" x14ac:dyDescent="0.25">
      <c r="A4045" t="str">
        <f>"20190312161352207"</f>
        <v>20190312161352207</v>
      </c>
      <c r="B4045" t="str">
        <f>"1552378432199835"</f>
        <v>1552378432199835</v>
      </c>
      <c r="C4045" t="s">
        <v>40</v>
      </c>
      <c r="D4045">
        <v>5.6340479999999999</v>
      </c>
      <c r="E4045">
        <v>0.61343499999999995</v>
      </c>
      <c r="F4045" t="s">
        <v>64</v>
      </c>
      <c r="G4045">
        <v>-226.3965</v>
      </c>
      <c r="H4045">
        <v>1.2969139999999999</v>
      </c>
      <c r="I4045">
        <v>117.35420000000001</v>
      </c>
      <c r="J4045">
        <v>-192.49350000000001</v>
      </c>
      <c r="K4045">
        <v>1.1076790000000001</v>
      </c>
      <c r="L4045">
        <v>156.83690000000001</v>
      </c>
      <c r="M4045">
        <v>-0.2323954</v>
      </c>
      <c r="N4045">
        <v>0</v>
      </c>
      <c r="O4045">
        <v>-0.97256929999999997</v>
      </c>
      <c r="P4045">
        <v>-0.39954970000000001</v>
      </c>
      <c r="Q4045">
        <v>-5.7812870000000002E-2</v>
      </c>
      <c r="R4045">
        <v>-0.9148868</v>
      </c>
      <c r="S4045">
        <v>-2.0473479999999999</v>
      </c>
      <c r="T4045">
        <v>1.14162E-2</v>
      </c>
      <c r="U4045">
        <v>-2.3892060000000002</v>
      </c>
      <c r="V4045">
        <v>0.17575850000000001</v>
      </c>
      <c r="W4045">
        <v>-4.8727119999999999E-2</v>
      </c>
      <c r="X4045">
        <v>0.98322670000000001</v>
      </c>
      <c r="Y4045">
        <v>0.45639400000000002</v>
      </c>
      <c r="Z4045">
        <v>-3.732595E-3</v>
      </c>
      <c r="AA4045">
        <v>0.88976999999999995</v>
      </c>
      <c r="AB4045">
        <v>19</v>
      </c>
      <c r="AC4045">
        <v>-33.902999999999899</v>
      </c>
      <c r="AD4045">
        <v>0.18923499999999899</v>
      </c>
      <c r="AE4045">
        <v>-39.482700000000001</v>
      </c>
      <c r="AF4045">
        <v>23.798310294668301</v>
      </c>
      <c r="AG4045">
        <v>0.18923499999999899</v>
      </c>
      <c r="AH4045">
        <v>46.280296207551103</v>
      </c>
      <c r="AI4045">
        <v>89.791656584228207</v>
      </c>
      <c r="AJ4045">
        <v>62.786810925933203</v>
      </c>
      <c r="AK4045">
        <v>52.040956945709702</v>
      </c>
      <c r="AL4045">
        <v>92.792964129494905</v>
      </c>
      <c r="AM4045">
        <v>79.865033548548894</v>
      </c>
      <c r="AN4045">
        <v>1.00000006306931</v>
      </c>
    </row>
    <row r="4046" spans="1:40" x14ac:dyDescent="0.25">
      <c r="A4046" t="str">
        <f>"20190312161352219"</f>
        <v>20190312161352219</v>
      </c>
      <c r="B4046" t="str">
        <f>"1552378432210571"</f>
        <v>1552378432210571</v>
      </c>
      <c r="C4046" t="s">
        <v>40</v>
      </c>
      <c r="D4046">
        <v>5.5430890000000002</v>
      </c>
      <c r="E4046">
        <v>0.61384369999999999</v>
      </c>
      <c r="F4046" t="s">
        <v>64</v>
      </c>
      <c r="G4046">
        <v>-226.3964</v>
      </c>
      <c r="H4046">
        <v>0.81834219999999902</v>
      </c>
      <c r="I4046">
        <v>117.0517</v>
      </c>
      <c r="J4046">
        <v>-192.51910000000001</v>
      </c>
      <c r="K4046">
        <v>1.107656</v>
      </c>
      <c r="L4046">
        <v>156.7397</v>
      </c>
      <c r="M4046">
        <v>-0.2343459</v>
      </c>
      <c r="N4046">
        <v>0</v>
      </c>
      <c r="O4046">
        <v>-0.97210129999999995</v>
      </c>
      <c r="P4046">
        <v>-0.40217170000000002</v>
      </c>
      <c r="Q4046">
        <v>-5.7762590000000003E-2</v>
      </c>
      <c r="R4046">
        <v>-0.91374080000000002</v>
      </c>
      <c r="S4046">
        <v>-2.035736</v>
      </c>
      <c r="T4046">
        <v>-1.7373320000000001E-2</v>
      </c>
      <c r="U4046">
        <v>-2.3889469999999999</v>
      </c>
      <c r="V4046">
        <v>0.17660219999999999</v>
      </c>
      <c r="W4046">
        <v>-4.8695519999999999E-2</v>
      </c>
      <c r="X4046">
        <v>0.98307699999999998</v>
      </c>
      <c r="Y4046">
        <v>0.4521461</v>
      </c>
      <c r="Z4046">
        <v>5.6910219999999996E-3</v>
      </c>
      <c r="AA4046">
        <v>0.89192569999999904</v>
      </c>
      <c r="AB4046">
        <v>19</v>
      </c>
      <c r="AC4046">
        <v>-33.877299999999899</v>
      </c>
      <c r="AD4046">
        <v>-0.28931380000000001</v>
      </c>
      <c r="AE4046">
        <v>-39.688000000000002</v>
      </c>
      <c r="AF4046">
        <v>23.631915024834701</v>
      </c>
      <c r="AG4046">
        <v>-0.28931380000000001</v>
      </c>
      <c r="AH4046">
        <v>46.5206835108673</v>
      </c>
      <c r="AI4046">
        <v>90.317681635089201</v>
      </c>
      <c r="AJ4046">
        <v>63.0700102209845</v>
      </c>
      <c r="AK4046">
        <v>52.179738448311099</v>
      </c>
      <c r="AL4046">
        <v>92.791151637126603</v>
      </c>
      <c r="AM4046">
        <v>79.815879781103803</v>
      </c>
      <c r="AN4046">
        <v>0.99999998932095502</v>
      </c>
    </row>
    <row r="4047" spans="1:40" x14ac:dyDescent="0.25">
      <c r="A4047" t="str">
        <f>"20190312161352233"</f>
        <v>20190312161352233</v>
      </c>
      <c r="B4047" t="str">
        <f>"1552378432230091"</f>
        <v>1552378432230091</v>
      </c>
      <c r="C4047" t="s">
        <v>40</v>
      </c>
      <c r="D4047">
        <v>5.5043680000000004</v>
      </c>
      <c r="E4047">
        <v>0.61530189999999996</v>
      </c>
      <c r="F4047" t="s">
        <v>42</v>
      </c>
      <c r="G4047">
        <v>-217.17</v>
      </c>
      <c r="H4047">
        <v>7.9986130000000003E-2</v>
      </c>
      <c r="I4047">
        <v>128.02080000000001</v>
      </c>
      <c r="J4047">
        <v>-192.54669999999999</v>
      </c>
      <c r="K4047">
        <v>1.107631</v>
      </c>
      <c r="L4047">
        <v>156.63560000000001</v>
      </c>
      <c r="M4047">
        <v>-0.23644470000000001</v>
      </c>
      <c r="N4047">
        <v>0</v>
      </c>
      <c r="O4047">
        <v>-0.97159280000000003</v>
      </c>
      <c r="P4047">
        <v>-0.40496009999999999</v>
      </c>
      <c r="Q4047">
        <v>-5.804774E-2</v>
      </c>
      <c r="R4047">
        <v>-0.91248980000000002</v>
      </c>
      <c r="S4047">
        <v>-2.0420530000000001</v>
      </c>
      <c r="T4047">
        <v>-8.5131289999999998E-2</v>
      </c>
      <c r="U4047">
        <v>-2.3790439999999999</v>
      </c>
      <c r="V4047">
        <v>0.1774811</v>
      </c>
      <c r="W4047">
        <v>-4.9000620000000002E-2</v>
      </c>
      <c r="X4047">
        <v>0.98290350000000004</v>
      </c>
      <c r="Y4047">
        <v>0.45316869999999998</v>
      </c>
      <c r="Z4047">
        <v>2.7911579999999998E-2</v>
      </c>
      <c r="AA4047">
        <v>0.89098770000000005</v>
      </c>
      <c r="AB4047">
        <v>19</v>
      </c>
      <c r="AC4047">
        <v>-24.6233</v>
      </c>
      <c r="AD4047">
        <v>-1.02764487</v>
      </c>
      <c r="AE4047">
        <v>-28.614799999999999</v>
      </c>
      <c r="AF4047">
        <v>17.146166760563599</v>
      </c>
      <c r="AG4047">
        <v>-1.02764487</v>
      </c>
      <c r="AH4047">
        <v>33.600786966695203</v>
      </c>
      <c r="AI4047">
        <v>91.560469350682794</v>
      </c>
      <c r="AJ4047">
        <v>62.965205225663198</v>
      </c>
      <c r="AK4047">
        <v>37.736719165040398</v>
      </c>
      <c r="AL4047">
        <v>92.808653594914702</v>
      </c>
      <c r="AM4047">
        <v>79.764496527403793</v>
      </c>
      <c r="AN4047">
        <v>0.99999994596492003</v>
      </c>
    </row>
    <row r="4048" spans="1:40" x14ac:dyDescent="0.25">
      <c r="A4048" t="str">
        <f>"20190312161352250"</f>
        <v>20190312161352250</v>
      </c>
      <c r="B4048" t="str">
        <f>"1552378432239855"</f>
        <v>1552378432239855</v>
      </c>
      <c r="C4048" t="s">
        <v>40</v>
      </c>
      <c r="D4048">
        <v>5.5519290000000003</v>
      </c>
      <c r="E4048">
        <v>0.61531599999999997</v>
      </c>
      <c r="F4048" t="s">
        <v>84</v>
      </c>
      <c r="G4048">
        <v>-208.0395</v>
      </c>
      <c r="H4048" s="1">
        <v>-5.9827829999999897E-6</v>
      </c>
      <c r="I4048">
        <v>138.81960000000001</v>
      </c>
      <c r="J4048">
        <v>-192.5847</v>
      </c>
      <c r="K4048">
        <v>1.107594</v>
      </c>
      <c r="L4048">
        <v>156.49369999999999</v>
      </c>
      <c r="M4048">
        <v>-0.23934340000000001</v>
      </c>
      <c r="N4048">
        <v>0</v>
      </c>
      <c r="O4048">
        <v>-0.97088289999999999</v>
      </c>
      <c r="P4048">
        <v>-0.4090317</v>
      </c>
      <c r="Q4048">
        <v>-5.8318160000000001E-2</v>
      </c>
      <c r="R4048">
        <v>-0.91065479999999999</v>
      </c>
      <c r="S4048">
        <v>-2.057007</v>
      </c>
      <c r="T4048">
        <v>-0.1470629</v>
      </c>
      <c r="U4048">
        <v>-2.3654630000000001</v>
      </c>
      <c r="V4048">
        <v>0.1789357</v>
      </c>
      <c r="W4048">
        <v>-4.9299450000000002E-2</v>
      </c>
      <c r="X4048">
        <v>0.98262479999999996</v>
      </c>
      <c r="Y4048">
        <v>0.45573180000000002</v>
      </c>
      <c r="Z4048">
        <v>4.8208010000000003E-2</v>
      </c>
      <c r="AA4048">
        <v>0.88881080000000001</v>
      </c>
      <c r="AB4048">
        <v>19</v>
      </c>
      <c r="AC4048">
        <v>-15.454800000000001</v>
      </c>
      <c r="AD4048">
        <v>-1.1075999827830001</v>
      </c>
      <c r="AE4048">
        <v>-17.6740999999999</v>
      </c>
      <c r="AF4048">
        <v>10.7512393097429</v>
      </c>
      <c r="AG4048">
        <v>-1.1075999827830001</v>
      </c>
      <c r="AH4048">
        <v>20.8132197950369</v>
      </c>
      <c r="AI4048">
        <v>92.706969871039803</v>
      </c>
      <c r="AJ4048">
        <v>62.681014263127203</v>
      </c>
      <c r="AK4048">
        <v>23.452207628573799</v>
      </c>
      <c r="AL4048">
        <v>92.825795974931694</v>
      </c>
      <c r="AM4048">
        <v>79.679539599438101</v>
      </c>
      <c r="AN4048">
        <v>0.99999995903991501</v>
      </c>
    </row>
    <row r="4049" spans="1:40" x14ac:dyDescent="0.25">
      <c r="A4049" t="str">
        <f>"20190312161352263"</f>
        <v>20190312161352263</v>
      </c>
      <c r="B4049" t="str">
        <f>"1552378432260347"</f>
        <v>1552378432260347</v>
      </c>
      <c r="C4049" t="s">
        <v>40</v>
      </c>
      <c r="D4049">
        <v>5.5453769999999896</v>
      </c>
      <c r="E4049">
        <v>0.61504199999999998</v>
      </c>
      <c r="F4049" t="s">
        <v>84</v>
      </c>
      <c r="G4049">
        <v>-206.06010000000001</v>
      </c>
      <c r="H4049" s="1">
        <v>-7.5166890000000003E-6</v>
      </c>
      <c r="I4049">
        <v>141.13650000000001</v>
      </c>
      <c r="J4049">
        <v>-192.61340000000001</v>
      </c>
      <c r="K4049">
        <v>1.107572</v>
      </c>
      <c r="L4049">
        <v>156.38820000000001</v>
      </c>
      <c r="M4049">
        <v>-0.24152380000000001</v>
      </c>
      <c r="N4049">
        <v>0</v>
      </c>
      <c r="O4049">
        <v>-0.97034279999999995</v>
      </c>
      <c r="P4049">
        <v>-0.41163319999999998</v>
      </c>
      <c r="Q4049">
        <v>-5.8590009999999998E-2</v>
      </c>
      <c r="R4049">
        <v>-0.90946419999999994</v>
      </c>
      <c r="S4049">
        <v>-2.0666350000000002</v>
      </c>
      <c r="T4049">
        <v>-0.16986599999999999</v>
      </c>
      <c r="U4049">
        <v>-2.3552399999999998</v>
      </c>
      <c r="V4049">
        <v>0.1795368</v>
      </c>
      <c r="W4049">
        <v>-4.9588750000000001E-2</v>
      </c>
      <c r="X4049">
        <v>0.98250059999999995</v>
      </c>
      <c r="Y4049">
        <v>0.45743549999999999</v>
      </c>
      <c r="Z4049">
        <v>5.5700689999999997E-2</v>
      </c>
      <c r="AA4049">
        <v>0.88749659999999997</v>
      </c>
      <c r="AB4049">
        <v>19</v>
      </c>
      <c r="AC4049">
        <v>-13.4466999999999</v>
      </c>
      <c r="AD4049">
        <v>-1.1075795166889999</v>
      </c>
      <c r="AE4049">
        <v>-15.2517</v>
      </c>
      <c r="AF4049">
        <v>9.3370283850838192</v>
      </c>
      <c r="AG4049">
        <v>-1.1075795166889999</v>
      </c>
      <c r="AH4049">
        <v>17.994593823111</v>
      </c>
      <c r="AI4049">
        <v>93.127179068855497</v>
      </c>
      <c r="AJ4049">
        <v>62.576120380553498</v>
      </c>
      <c r="AK4049">
        <v>20.3030105725332</v>
      </c>
      <c r="AL4049">
        <v>92.8423919183019</v>
      </c>
      <c r="AM4049">
        <v>79.644338122841702</v>
      </c>
      <c r="AN4049">
        <v>0.99999996784057998</v>
      </c>
    </row>
    <row r="4050" spans="1:40" x14ac:dyDescent="0.25">
      <c r="A4050" t="str">
        <f>"20190312161352284"</f>
        <v>20190312161352284</v>
      </c>
      <c r="B4050" t="str">
        <f>"1552378432279867"</f>
        <v>1552378432279867</v>
      </c>
      <c r="C4050" t="s">
        <v>40</v>
      </c>
      <c r="D4050">
        <v>5.6274850000000001</v>
      </c>
      <c r="E4050">
        <v>0.61330280000000004</v>
      </c>
      <c r="F4050" t="s">
        <v>84</v>
      </c>
      <c r="G4050">
        <v>-204.1454</v>
      </c>
      <c r="H4050" s="1">
        <v>-8.8828579999999994E-6</v>
      </c>
      <c r="I4050">
        <v>143.3014</v>
      </c>
      <c r="J4050">
        <v>-192.66</v>
      </c>
      <c r="K4050">
        <v>1.107534</v>
      </c>
      <c r="L4050">
        <v>156.2183</v>
      </c>
      <c r="M4050">
        <v>-0.2450706</v>
      </c>
      <c r="N4050">
        <v>0</v>
      </c>
      <c r="O4050">
        <v>-0.96945320000000001</v>
      </c>
      <c r="P4050">
        <v>-0.415848</v>
      </c>
      <c r="Q4050">
        <v>-5.8479820000000002E-2</v>
      </c>
      <c r="R4050">
        <v>-0.90755220000000003</v>
      </c>
      <c r="S4050">
        <v>-2.0698850000000002</v>
      </c>
      <c r="T4050">
        <v>-0.19880030000000001</v>
      </c>
      <c r="U4050">
        <v>-2.3489689999999999</v>
      </c>
      <c r="V4050">
        <v>0.18049589999999999</v>
      </c>
      <c r="W4050">
        <v>-4.9504800000000002E-2</v>
      </c>
      <c r="X4050">
        <v>0.98232909999999996</v>
      </c>
      <c r="Y4050">
        <v>0.45566459999999998</v>
      </c>
      <c r="Z4050">
        <v>6.5190680000000001E-2</v>
      </c>
      <c r="AA4050">
        <v>0.88776119999999903</v>
      </c>
      <c r="AB4050">
        <v>19</v>
      </c>
      <c r="AC4050">
        <v>-11.485399999999901</v>
      </c>
      <c r="AD4050">
        <v>-1.1075428828579901</v>
      </c>
      <c r="AE4050">
        <v>-12.916899999999901</v>
      </c>
      <c r="AF4050">
        <v>7.93682040969989</v>
      </c>
      <c r="AG4050">
        <v>-1.1075428828579901</v>
      </c>
      <c r="AH4050">
        <v>15.275121110351201</v>
      </c>
      <c r="AI4050">
        <v>93.681312762559699</v>
      </c>
      <c r="AJ4050">
        <v>62.544002959530197</v>
      </c>
      <c r="AK4050">
        <v>17.2496114271915</v>
      </c>
      <c r="AL4050">
        <v>92.837575993959007</v>
      </c>
      <c r="AM4050">
        <v>79.588445984592695</v>
      </c>
      <c r="AN4050">
        <v>0.99999997792332895</v>
      </c>
    </row>
    <row r="4051" spans="1:40" x14ac:dyDescent="0.25">
      <c r="A4051" t="str">
        <f>"20190312161352299"</f>
        <v>20190312161352299</v>
      </c>
      <c r="B4051" t="str">
        <f>"1552378432289627"</f>
        <v>1552378432289627</v>
      </c>
      <c r="C4051" t="s">
        <v>40</v>
      </c>
      <c r="D4051">
        <v>5.557639</v>
      </c>
      <c r="E4051">
        <v>0.61252580000000001</v>
      </c>
      <c r="F4051" t="s">
        <v>84</v>
      </c>
      <c r="G4051">
        <v>-204.84819999999999</v>
      </c>
      <c r="H4051" s="1">
        <v>-8.3797769999999994E-6</v>
      </c>
      <c r="I4051">
        <v>142.39789999999999</v>
      </c>
      <c r="J4051">
        <v>-192.6943</v>
      </c>
      <c r="K4051">
        <v>1.1075120000000001</v>
      </c>
      <c r="L4051">
        <v>156.09530000000001</v>
      </c>
      <c r="M4051">
        <v>-0.2476708</v>
      </c>
      <c r="N4051">
        <v>0</v>
      </c>
      <c r="O4051">
        <v>-0.96879230000000005</v>
      </c>
      <c r="P4051">
        <v>-0.41855710000000002</v>
      </c>
      <c r="Q4051">
        <v>-5.8439530000000003E-2</v>
      </c>
      <c r="R4051">
        <v>-0.90630869999999997</v>
      </c>
      <c r="S4051">
        <v>-2.0686040000000001</v>
      </c>
      <c r="T4051">
        <v>-0.1879748</v>
      </c>
      <c r="U4051">
        <v>-2.3456419999999998</v>
      </c>
      <c r="V4051">
        <v>0.18079100000000001</v>
      </c>
      <c r="W4051">
        <v>-4.947998E-2</v>
      </c>
      <c r="X4051">
        <v>0.98227609999999999</v>
      </c>
      <c r="Y4051">
        <v>0.45377620000000002</v>
      </c>
      <c r="Z4051">
        <v>6.1700020000000001E-2</v>
      </c>
      <c r="AA4051">
        <v>0.88897709999999996</v>
      </c>
      <c r="AB4051">
        <v>19</v>
      </c>
      <c r="AC4051">
        <v>-12.153899999999901</v>
      </c>
      <c r="AD4051">
        <v>-1.1075203797769999</v>
      </c>
      <c r="AE4051">
        <v>-13.6974</v>
      </c>
      <c r="AF4051">
        <v>8.3520303158589808</v>
      </c>
      <c r="AG4051">
        <v>-1.1075203797769999</v>
      </c>
      <c r="AH4051">
        <v>16.221585419766601</v>
      </c>
      <c r="AI4051">
        <v>93.473660382760599</v>
      </c>
      <c r="AJ4051">
        <v>62.757356757620997</v>
      </c>
      <c r="AK4051">
        <v>18.279027471926199</v>
      </c>
      <c r="AL4051">
        <v>92.836152118270107</v>
      </c>
      <c r="AM4051">
        <v>79.571246541038605</v>
      </c>
      <c r="AN4051">
        <v>0.99999999536650497</v>
      </c>
    </row>
    <row r="4052" spans="1:40" x14ac:dyDescent="0.25">
      <c r="A4052" t="str">
        <f>"20190312161352317"</f>
        <v>20190312161352317</v>
      </c>
      <c r="B4052" t="str">
        <f>"1552378432310122"</f>
        <v>1552378432310122</v>
      </c>
      <c r="C4052" t="s">
        <v>40</v>
      </c>
      <c r="D4052">
        <v>5.4580399999999996</v>
      </c>
      <c r="E4052">
        <v>0.61276779999999997</v>
      </c>
      <c r="F4052" t="s">
        <v>84</v>
      </c>
      <c r="G4052">
        <v>-204.65289999999999</v>
      </c>
      <c r="H4052" s="1">
        <v>-8.4975419999999994E-6</v>
      </c>
      <c r="I4052">
        <v>142.56549999999999</v>
      </c>
      <c r="J4052">
        <v>-192.73750000000001</v>
      </c>
      <c r="K4052">
        <v>1.1074790000000001</v>
      </c>
      <c r="L4052">
        <v>155.94220000000001</v>
      </c>
      <c r="M4052">
        <v>-0.2509421</v>
      </c>
      <c r="N4052">
        <v>0</v>
      </c>
      <c r="O4052">
        <v>-0.96795019999999998</v>
      </c>
      <c r="P4052">
        <v>-0.42201939999999999</v>
      </c>
      <c r="Q4052">
        <v>-5.8373410000000001E-2</v>
      </c>
      <c r="R4052">
        <v>-0.90470589999999995</v>
      </c>
      <c r="S4052">
        <v>-2.0698850000000002</v>
      </c>
      <c r="T4052">
        <v>-0.19169810000000001</v>
      </c>
      <c r="U4052">
        <v>-2.3418429999999999</v>
      </c>
      <c r="V4052">
        <v>0.18122379999999999</v>
      </c>
      <c r="W4052">
        <v>-4.9432999999999998E-2</v>
      </c>
      <c r="X4052">
        <v>0.98219869999999998</v>
      </c>
      <c r="Y4052">
        <v>0.4517023</v>
      </c>
      <c r="Z4052">
        <v>6.2935759999999993E-2</v>
      </c>
      <c r="AA4052">
        <v>0.88994609999999996</v>
      </c>
      <c r="AB4052">
        <v>19</v>
      </c>
      <c r="AC4052">
        <v>-11.915399999999901</v>
      </c>
      <c r="AD4052">
        <v>-1.1074874975419999</v>
      </c>
      <c r="AE4052">
        <v>-13.3767</v>
      </c>
      <c r="AF4052">
        <v>8.1460133715376699</v>
      </c>
      <c r="AG4052">
        <v>-1.1074874975419999</v>
      </c>
      <c r="AH4052">
        <v>15.878169325590701</v>
      </c>
      <c r="AI4052">
        <v>93.551141787731197</v>
      </c>
      <c r="AJ4052">
        <v>62.840712344984603</v>
      </c>
      <c r="AK4052">
        <v>17.880165646285601</v>
      </c>
      <c r="AL4052">
        <v>92.833457089037296</v>
      </c>
      <c r="AM4052">
        <v>79.546024993661604</v>
      </c>
      <c r="AN4052">
        <v>0.99999998672856405</v>
      </c>
    </row>
    <row r="4053" spans="1:40" x14ac:dyDescent="0.25">
      <c r="A4053" t="str">
        <f>"20190312161352330"</f>
        <v>20190312161352330</v>
      </c>
      <c r="B4053" t="str">
        <f>"1552378432319883"</f>
        <v>1552378432319883</v>
      </c>
      <c r="C4053" t="s">
        <v>40</v>
      </c>
      <c r="D4053">
        <v>5.4747329999999996</v>
      </c>
      <c r="E4053">
        <v>0.61253449999999998</v>
      </c>
      <c r="F4053" t="s">
        <v>84</v>
      </c>
      <c r="G4053">
        <v>-204.27420000000001</v>
      </c>
      <c r="H4053" s="1">
        <v>-8.7557529999999999E-6</v>
      </c>
      <c r="I4053">
        <v>143.00360000000001</v>
      </c>
      <c r="J4053">
        <v>-192.7664</v>
      </c>
      <c r="K4053">
        <v>1.107456</v>
      </c>
      <c r="L4053">
        <v>155.8407</v>
      </c>
      <c r="M4053">
        <v>-0.25312960000000001</v>
      </c>
      <c r="N4053">
        <v>0</v>
      </c>
      <c r="O4053">
        <v>-0.96738029999999997</v>
      </c>
      <c r="P4053">
        <v>-0.42402469999999998</v>
      </c>
      <c r="Q4053">
        <v>-5.8373910000000001E-2</v>
      </c>
      <c r="R4053">
        <v>-0.90376769999999995</v>
      </c>
      <c r="S4053">
        <v>-2.080063</v>
      </c>
      <c r="T4053">
        <v>-0.19967960000000001</v>
      </c>
      <c r="U4053">
        <v>-2.3328250000000001</v>
      </c>
      <c r="V4053">
        <v>0.18117929999999999</v>
      </c>
      <c r="W4053">
        <v>-4.9443609999999999E-2</v>
      </c>
      <c r="X4053">
        <v>0.98220640000000003</v>
      </c>
      <c r="Y4053">
        <v>0.4534435</v>
      </c>
      <c r="Z4053">
        <v>6.5559980000000004E-2</v>
      </c>
      <c r="AA4053">
        <v>0.88887050000000001</v>
      </c>
      <c r="AB4053">
        <v>19</v>
      </c>
      <c r="AC4053">
        <v>-11.5078</v>
      </c>
      <c r="AD4053">
        <v>-1.107464755753</v>
      </c>
      <c r="AE4053">
        <v>-12.8370999999999</v>
      </c>
      <c r="AF4053">
        <v>7.8509692495482604</v>
      </c>
      <c r="AG4053">
        <v>-1.107464755753</v>
      </c>
      <c r="AH4053">
        <v>15.2690871622309</v>
      </c>
      <c r="AI4053">
        <v>93.690628169021196</v>
      </c>
      <c r="AJ4053">
        <v>62.788945772712303</v>
      </c>
      <c r="AK4053">
        <v>17.204918456952701</v>
      </c>
      <c r="AL4053">
        <v>92.834065673377594</v>
      </c>
      <c r="AM4053">
        <v>79.548615552122399</v>
      </c>
      <c r="AN4053">
        <v>1.0000000107596401</v>
      </c>
    </row>
    <row r="4054" spans="1:40" x14ac:dyDescent="0.25">
      <c r="A4054" t="str">
        <f>"20190312161352342"</f>
        <v>20190312161352342</v>
      </c>
      <c r="B4054" t="str">
        <f>"1552378432329643"</f>
        <v>1552378432329643</v>
      </c>
      <c r="C4054" t="s">
        <v>40</v>
      </c>
      <c r="D4054">
        <v>5.4752510000000001</v>
      </c>
      <c r="E4054">
        <v>0.61240939999999999</v>
      </c>
      <c r="F4054" t="s">
        <v>84</v>
      </c>
      <c r="G4054">
        <v>-204.55080000000001</v>
      </c>
      <c r="H4054" s="1">
        <v>-8.5632270000000001E-6</v>
      </c>
      <c r="I4054">
        <v>142.6687</v>
      </c>
      <c r="J4054">
        <v>-192.79480000000001</v>
      </c>
      <c r="K4054">
        <v>1.1074360000000001</v>
      </c>
      <c r="L4054">
        <v>155.74209999999999</v>
      </c>
      <c r="M4054">
        <v>-0.2552799</v>
      </c>
      <c r="N4054">
        <v>0</v>
      </c>
      <c r="O4054">
        <v>-0.96681499999999998</v>
      </c>
      <c r="P4054">
        <v>-0.42621979999999998</v>
      </c>
      <c r="Q4054">
        <v>-5.8502659999999998E-2</v>
      </c>
      <c r="R4054">
        <v>-0.90272620000000003</v>
      </c>
      <c r="S4054">
        <v>-2.0837859999999999</v>
      </c>
      <c r="T4054">
        <v>-0.19582820000000001</v>
      </c>
      <c r="U4054">
        <v>-2.3291629999999999</v>
      </c>
      <c r="V4054">
        <v>0.18138119999999999</v>
      </c>
      <c r="W4054">
        <v>-4.9583549999999997E-2</v>
      </c>
      <c r="X4054">
        <v>0.98216210000000004</v>
      </c>
      <c r="Y4054">
        <v>0.45300180000000001</v>
      </c>
      <c r="Z4054">
        <v>6.4298069999999999E-2</v>
      </c>
      <c r="AA4054">
        <v>0.88918790000000003</v>
      </c>
      <c r="AB4054">
        <v>19</v>
      </c>
      <c r="AC4054">
        <v>-11.755999999999901</v>
      </c>
      <c r="AD4054">
        <v>-1.107444563227</v>
      </c>
      <c r="AE4054">
        <v>-13.0733999999999</v>
      </c>
      <c r="AF4054">
        <v>7.9971770071220503</v>
      </c>
      <c r="AG4054">
        <v>-1.107444563227</v>
      </c>
      <c r="AH4054">
        <v>15.5796064604638</v>
      </c>
      <c r="AI4054">
        <v>93.618467691710705</v>
      </c>
      <c r="AJ4054">
        <v>62.828090125937798</v>
      </c>
      <c r="AK4054">
        <v>17.547233713801901</v>
      </c>
      <c r="AL4054">
        <v>92.842093438148595</v>
      </c>
      <c r="AM4054">
        <v>79.536764447301906</v>
      </c>
      <c r="AN4054">
        <v>1.00000002941022</v>
      </c>
    </row>
    <row r="4055" spans="1:40" x14ac:dyDescent="0.25">
      <c r="A4055" t="str">
        <f>"20190312161352355"</f>
        <v>20190312161352355</v>
      </c>
      <c r="B4055" t="str">
        <f>"1552378432350138"</f>
        <v>1552378432350138</v>
      </c>
      <c r="C4055" t="s">
        <v>40</v>
      </c>
      <c r="D4055">
        <v>5.4897289999999996</v>
      </c>
      <c r="E4055">
        <v>0.61218149999999905</v>
      </c>
      <c r="F4055" t="s">
        <v>84</v>
      </c>
      <c r="G4055">
        <v>-204.8252</v>
      </c>
      <c r="H4055" s="1">
        <v>-8.3761730000000007E-6</v>
      </c>
      <c r="I4055">
        <v>142.35140000000001</v>
      </c>
      <c r="J4055">
        <v>-192.82339999999999</v>
      </c>
      <c r="K4055">
        <v>1.107415</v>
      </c>
      <c r="L4055">
        <v>155.64349999999999</v>
      </c>
      <c r="M4055">
        <v>-0.25744359999999999</v>
      </c>
      <c r="N4055">
        <v>0</v>
      </c>
      <c r="O4055">
        <v>-0.96624109999999996</v>
      </c>
      <c r="P4055">
        <v>-0.42824970000000001</v>
      </c>
      <c r="Q4055">
        <v>-5.8819829999999997E-2</v>
      </c>
      <c r="R4055">
        <v>-0.90174399999999999</v>
      </c>
      <c r="S4055">
        <v>-2.088562</v>
      </c>
      <c r="T4055">
        <v>-0.19225970000000001</v>
      </c>
      <c r="U4055">
        <v>-2.3247070000000001</v>
      </c>
      <c r="V4055">
        <v>0.18139350000000001</v>
      </c>
      <c r="W4055">
        <v>-4.9910509999999998E-2</v>
      </c>
      <c r="X4055">
        <v>0.98214319999999999</v>
      </c>
      <c r="Y4055">
        <v>0.45291579999999898</v>
      </c>
      <c r="Z4055">
        <v>6.3128989999999996E-2</v>
      </c>
      <c r="AA4055">
        <v>0.88931550000000004</v>
      </c>
      <c r="AB4055">
        <v>19</v>
      </c>
      <c r="AC4055">
        <v>-12.001799999999999</v>
      </c>
      <c r="AD4055">
        <v>-1.1074233761729999</v>
      </c>
      <c r="AE4055">
        <v>-13.2920999999999</v>
      </c>
      <c r="AF4055">
        <v>8.14393799370926</v>
      </c>
      <c r="AG4055">
        <v>-1.1074233761729999</v>
      </c>
      <c r="AH4055">
        <v>15.8732675774034</v>
      </c>
      <c r="AI4055">
        <v>93.551990620433898</v>
      </c>
      <c r="AJ4055">
        <v>62.839456846790597</v>
      </c>
      <c r="AK4055">
        <v>17.874863248800601</v>
      </c>
      <c r="AL4055">
        <v>92.860850279220998</v>
      </c>
      <c r="AM4055">
        <v>79.535873659809397</v>
      </c>
      <c r="AN4055">
        <v>0.99999996307847405</v>
      </c>
    </row>
    <row r="4056" spans="1:40" x14ac:dyDescent="0.25">
      <c r="A4056" t="str">
        <f>"20190312161352372"</f>
        <v>20190312161352372</v>
      </c>
      <c r="B4056" t="str">
        <f>"1552378432359899"</f>
        <v>1552378432359899</v>
      </c>
      <c r="C4056" t="s">
        <v>40</v>
      </c>
      <c r="D4056">
        <v>5.5341620000000002</v>
      </c>
      <c r="E4056">
        <v>0.61207709999999904</v>
      </c>
      <c r="F4056" t="s">
        <v>84</v>
      </c>
      <c r="G4056">
        <v>-204.9034</v>
      </c>
      <c r="H4056" s="1">
        <v>-8.3189439999999996E-6</v>
      </c>
      <c r="I4056">
        <v>142.24619999999999</v>
      </c>
      <c r="J4056">
        <v>-192.86429999999999</v>
      </c>
      <c r="K4056">
        <v>1.1073770000000001</v>
      </c>
      <c r="L4056">
        <v>155.5042</v>
      </c>
      <c r="M4056">
        <v>-0.26052920000000002</v>
      </c>
      <c r="N4056">
        <v>0</v>
      </c>
      <c r="O4056">
        <v>-0.96541379999999999</v>
      </c>
      <c r="P4056">
        <v>-0.43105349999999998</v>
      </c>
      <c r="Q4056">
        <v>-5.9108420000000002E-2</v>
      </c>
      <c r="R4056">
        <v>-0.90038850000000004</v>
      </c>
      <c r="S4056">
        <v>-2.0924680000000002</v>
      </c>
      <c r="T4056">
        <v>-0.19182479999999999</v>
      </c>
      <c r="U4056">
        <v>-2.3206479999999998</v>
      </c>
      <c r="V4056">
        <v>0.18131159999999999</v>
      </c>
      <c r="W4056">
        <v>-5.0212029999999998E-2</v>
      </c>
      <c r="X4056">
        <v>0.98214299999999999</v>
      </c>
      <c r="Y4056">
        <v>0.45167390000000002</v>
      </c>
      <c r="Z4056">
        <v>6.2977749999999999E-2</v>
      </c>
      <c r="AA4056">
        <v>0.88995759999999902</v>
      </c>
      <c r="AB4056">
        <v>19</v>
      </c>
      <c r="AC4056">
        <v>-12.039099999999999</v>
      </c>
      <c r="AD4056">
        <v>-1.1073853189439999</v>
      </c>
      <c r="AE4056">
        <v>-13.257999999999999</v>
      </c>
      <c r="AF4056">
        <v>8.1379120074418996</v>
      </c>
      <c r="AG4056">
        <v>-1.1073853189439999</v>
      </c>
      <c r="AH4056">
        <v>15.876091206057099</v>
      </c>
      <c r="AI4056">
        <v>93.551915983520701</v>
      </c>
      <c r="AJ4056">
        <v>62.860815403654499</v>
      </c>
      <c r="AK4056">
        <v>17.874624081879901</v>
      </c>
      <c r="AL4056">
        <v>92.878147661468304</v>
      </c>
      <c r="AM4056">
        <v>79.540491886187993</v>
      </c>
      <c r="AN4056">
        <v>1.0000000083501399</v>
      </c>
    </row>
    <row r="4057" spans="1:40" x14ac:dyDescent="0.25">
      <c r="A4057" t="str">
        <f>"20190312161352383"</f>
        <v>20190312161352383</v>
      </c>
      <c r="B4057" t="str">
        <f>"1552378432380395"</f>
        <v>1552378432380395</v>
      </c>
      <c r="C4057" t="s">
        <v>40</v>
      </c>
      <c r="D4057">
        <v>5.5277620000000001</v>
      </c>
      <c r="E4057">
        <v>0.61246679999999998</v>
      </c>
      <c r="F4057" t="s">
        <v>84</v>
      </c>
      <c r="G4057">
        <v>-205.10149999999999</v>
      </c>
      <c r="H4057" s="1">
        <v>-8.1723399999999906E-6</v>
      </c>
      <c r="I4057">
        <v>142.00970000000001</v>
      </c>
      <c r="J4057">
        <v>-192.89279999999999</v>
      </c>
      <c r="K4057">
        <v>1.1073539999999999</v>
      </c>
      <c r="L4057">
        <v>155.40819999999999</v>
      </c>
      <c r="M4057">
        <v>-0.26267819999999997</v>
      </c>
      <c r="N4057">
        <v>0</v>
      </c>
      <c r="O4057">
        <v>-0.96483110000000005</v>
      </c>
      <c r="P4057">
        <v>-0.4330811</v>
      </c>
      <c r="Q4057">
        <v>-5.9479520000000001E-2</v>
      </c>
      <c r="R4057">
        <v>-0.89939029999999998</v>
      </c>
      <c r="S4057">
        <v>-2.0989230000000001</v>
      </c>
      <c r="T4057">
        <v>-0.18993930000000001</v>
      </c>
      <c r="U4057">
        <v>-2.314575</v>
      </c>
      <c r="V4057">
        <v>0.18133949999999999</v>
      </c>
      <c r="W4057">
        <v>-5.059288E-2</v>
      </c>
      <c r="X4057">
        <v>0.9821183</v>
      </c>
      <c r="Y4057">
        <v>0.45223799999999997</v>
      </c>
      <c r="Z4057">
        <v>6.2365549999999999E-2</v>
      </c>
      <c r="AA4057">
        <v>0.88971420000000001</v>
      </c>
      <c r="AB4057">
        <v>19</v>
      </c>
      <c r="AC4057">
        <v>-12.208699999999901</v>
      </c>
      <c r="AD4057">
        <v>-1.10736217234</v>
      </c>
      <c r="AE4057">
        <v>-13.398499999999901</v>
      </c>
      <c r="AF4057">
        <v>8.2295440513281495</v>
      </c>
      <c r="AG4057">
        <v>-1.10736217234</v>
      </c>
      <c r="AH4057">
        <v>16.075071446536501</v>
      </c>
      <c r="AI4057">
        <v>93.508902540830704</v>
      </c>
      <c r="AJ4057">
        <v>62.890074109040697</v>
      </c>
      <c r="AK4057">
        <v>18.093080674244899</v>
      </c>
      <c r="AL4057">
        <v>92.899996540438295</v>
      </c>
      <c r="AM4057">
        <v>79.538660633896995</v>
      </c>
      <c r="AN4057">
        <v>1.0000000044809101</v>
      </c>
    </row>
    <row r="4058" spans="1:40" x14ac:dyDescent="0.25">
      <c r="A4058" t="str">
        <f>"20190312161352394"</f>
        <v>20190312161352394</v>
      </c>
      <c r="B4058" t="str">
        <f>"1552378432390155"</f>
        <v>1552378432390155</v>
      </c>
      <c r="C4058" t="s">
        <v>40</v>
      </c>
      <c r="D4058">
        <v>5.5315149999999997</v>
      </c>
      <c r="E4058">
        <v>0.61220559999999902</v>
      </c>
      <c r="F4058" t="s">
        <v>84</v>
      </c>
      <c r="G4058">
        <v>-205.3623</v>
      </c>
      <c r="H4058" s="1">
        <v>-7.9873189999999992E-6</v>
      </c>
      <c r="I4058">
        <v>141.74690000000001</v>
      </c>
      <c r="J4058">
        <v>-192.91849999999999</v>
      </c>
      <c r="K4058">
        <v>1.1073280000000001</v>
      </c>
      <c r="L4058">
        <v>155.32249999999999</v>
      </c>
      <c r="M4058">
        <v>-0.2646114</v>
      </c>
      <c r="N4058">
        <v>0</v>
      </c>
      <c r="O4058">
        <v>-0.96430300000000002</v>
      </c>
      <c r="P4058">
        <v>-0.43472670000000002</v>
      </c>
      <c r="Q4058">
        <v>-5.9214799999999998E-2</v>
      </c>
      <c r="R4058">
        <v>-0.89861399999999902</v>
      </c>
      <c r="S4058">
        <v>-2.1071469999999999</v>
      </c>
      <c r="T4058">
        <v>-0.1871275</v>
      </c>
      <c r="U4058">
        <v>-2.308548</v>
      </c>
      <c r="V4058">
        <v>0.1811634</v>
      </c>
      <c r="W4058">
        <v>-5.033493E-2</v>
      </c>
      <c r="X4058">
        <v>0.98216400000000004</v>
      </c>
      <c r="Y4058">
        <v>0.45337769999999999</v>
      </c>
      <c r="Z4058">
        <v>6.143113E-2</v>
      </c>
      <c r="AA4058">
        <v>0.88919899999999996</v>
      </c>
      <c r="AB4058">
        <v>19</v>
      </c>
      <c r="AC4058">
        <v>-12.4438</v>
      </c>
      <c r="AD4058">
        <v>-1.1073359873190001</v>
      </c>
      <c r="AE4058">
        <v>-13.5755999999999</v>
      </c>
      <c r="AF4058">
        <v>8.37746869782106</v>
      </c>
      <c r="AG4058">
        <v>-1.1073359873190001</v>
      </c>
      <c r="AH4058">
        <v>16.3255610092239</v>
      </c>
      <c r="AI4058">
        <v>93.453427183707404</v>
      </c>
      <c r="AJ4058">
        <v>62.8353533638345</v>
      </c>
      <c r="AK4058">
        <v>18.382930044954001</v>
      </c>
      <c r="AL4058">
        <v>92.885198388681303</v>
      </c>
      <c r="AM4058">
        <v>79.549071333203401</v>
      </c>
      <c r="AN4058">
        <v>0.99999995278683096</v>
      </c>
    </row>
    <row r="4059" spans="1:40" x14ac:dyDescent="0.25">
      <c r="A4059" t="str">
        <f>"20190312161352406"</f>
        <v>20190312161352406</v>
      </c>
      <c r="B4059" t="str">
        <f>"1552378432399915"</f>
        <v>1552378432399915</v>
      </c>
      <c r="C4059" t="s">
        <v>40</v>
      </c>
      <c r="D4059">
        <v>5.5433870000000001</v>
      </c>
      <c r="E4059">
        <v>0.611996599999999</v>
      </c>
      <c r="F4059" t="s">
        <v>84</v>
      </c>
      <c r="G4059">
        <v>-205.3168</v>
      </c>
      <c r="H4059" s="1">
        <v>-8.0137579999999995E-6</v>
      </c>
      <c r="I4059">
        <v>141.77080000000001</v>
      </c>
      <c r="J4059">
        <v>-192.94839999999999</v>
      </c>
      <c r="K4059">
        <v>1.107307</v>
      </c>
      <c r="L4059">
        <v>155.22319999999999</v>
      </c>
      <c r="M4059">
        <v>-0.26686079999999901</v>
      </c>
      <c r="N4059">
        <v>0</v>
      </c>
      <c r="O4059">
        <v>-0.96368290000000001</v>
      </c>
      <c r="P4059">
        <v>-0.43672070000000002</v>
      </c>
      <c r="Q4059">
        <v>-5.971754E-2</v>
      </c>
      <c r="R4059">
        <v>-0.89761309999999905</v>
      </c>
      <c r="S4059">
        <v>-2.109375</v>
      </c>
      <c r="T4059">
        <v>-0.1883948</v>
      </c>
      <c r="U4059">
        <v>-2.3055880000000002</v>
      </c>
      <c r="V4059">
        <v>0.18105560000000001</v>
      </c>
      <c r="W4059">
        <v>-5.084661E-2</v>
      </c>
      <c r="X4059">
        <v>0.98215759999999996</v>
      </c>
      <c r="Y4059">
        <v>0.45231700000000002</v>
      </c>
      <c r="Z4059">
        <v>6.1844370000000003E-2</v>
      </c>
      <c r="AA4059">
        <v>0.88971039999999901</v>
      </c>
      <c r="AB4059">
        <v>19</v>
      </c>
      <c r="AC4059">
        <v>-12.368399999999999</v>
      </c>
      <c r="AD4059">
        <v>-1.1073150137579999</v>
      </c>
      <c r="AE4059">
        <v>-13.4523999999999</v>
      </c>
      <c r="AF4059">
        <v>8.29924386650071</v>
      </c>
      <c r="AG4059">
        <v>-1.1073150137579999</v>
      </c>
      <c r="AH4059">
        <v>16.205803985775098</v>
      </c>
      <c r="AI4059">
        <v>93.480277249807699</v>
      </c>
      <c r="AJ4059">
        <v>62.882309350725798</v>
      </c>
      <c r="AK4059">
        <v>18.240934135090399</v>
      </c>
      <c r="AL4059">
        <v>92.914552860324207</v>
      </c>
      <c r="AM4059">
        <v>79.555086619291501</v>
      </c>
      <c r="AN4059">
        <v>1.0000000296388001</v>
      </c>
    </row>
    <row r="4060" spans="1:40" x14ac:dyDescent="0.25">
      <c r="A4060" t="str">
        <f>"20190312161352418"</f>
        <v>20190312161352418</v>
      </c>
      <c r="B4060" t="str">
        <f>"1552378432409676"</f>
        <v>1552378432409676</v>
      </c>
      <c r="C4060" t="s">
        <v>40</v>
      </c>
      <c r="D4060">
        <v>5.5451819999999996</v>
      </c>
      <c r="E4060">
        <v>0.61182369999999997</v>
      </c>
      <c r="F4060" t="s">
        <v>84</v>
      </c>
      <c r="G4060">
        <v>-205.3896</v>
      </c>
      <c r="H4060" s="1">
        <v>-7.9556370000000001E-6</v>
      </c>
      <c r="I4060">
        <v>141.6729</v>
      </c>
      <c r="J4060">
        <v>-192.9794</v>
      </c>
      <c r="K4060">
        <v>1.1072789999999999</v>
      </c>
      <c r="L4060">
        <v>155.1215</v>
      </c>
      <c r="M4060">
        <v>-0.2691963</v>
      </c>
      <c r="N4060">
        <v>0</v>
      </c>
      <c r="O4060">
        <v>-0.96303300000000003</v>
      </c>
      <c r="P4060">
        <v>-0.43882009999999999</v>
      </c>
      <c r="Q4060">
        <v>-5.9546010000000003E-2</v>
      </c>
      <c r="R4060">
        <v>-0.89659990000000001</v>
      </c>
      <c r="S4060">
        <v>-2.1131739999999999</v>
      </c>
      <c r="T4060">
        <v>-0.1880801</v>
      </c>
      <c r="U4060">
        <v>-2.3015590000000001</v>
      </c>
      <c r="V4060">
        <v>0.18096789999999999</v>
      </c>
      <c r="W4060">
        <v>-5.068425E-2</v>
      </c>
      <c r="X4060">
        <v>0.98218209999999995</v>
      </c>
      <c r="Y4060">
        <v>0.45173259999999998</v>
      </c>
      <c r="Z4060">
        <v>6.1738340000000003E-2</v>
      </c>
      <c r="AA4060">
        <v>0.89001459999999999</v>
      </c>
      <c r="AB4060">
        <v>19</v>
      </c>
      <c r="AC4060">
        <v>-12.4102</v>
      </c>
      <c r="AD4060">
        <v>-1.107286955637</v>
      </c>
      <c r="AE4060">
        <v>-13.448600000000001</v>
      </c>
      <c r="AF4060">
        <v>8.3011457832547393</v>
      </c>
      <c r="AG4060">
        <v>-1.107286955637</v>
      </c>
      <c r="AH4060">
        <v>16.233610737645002</v>
      </c>
      <c r="AI4060">
        <v>93.475311033965298</v>
      </c>
      <c r="AJ4060">
        <v>62.916819668287403</v>
      </c>
      <c r="AK4060">
        <v>18.266505503197799</v>
      </c>
      <c r="AL4060">
        <v>92.905238464249294</v>
      </c>
      <c r="AM4060">
        <v>79.560289368302605</v>
      </c>
      <c r="AN4060">
        <v>0.99999997579444</v>
      </c>
    </row>
    <row r="4061" spans="1:40" x14ac:dyDescent="0.25">
      <c r="A4061" t="str">
        <f>"20190312161352432"</f>
        <v>20190312161352432</v>
      </c>
      <c r="B4061" t="str">
        <f>"1552378432420411"</f>
        <v>1552378432420411</v>
      </c>
      <c r="C4061" t="s">
        <v>40</v>
      </c>
      <c r="D4061">
        <v>5.478313</v>
      </c>
      <c r="E4061">
        <v>0.61153359999999901</v>
      </c>
      <c r="F4061" t="s">
        <v>84</v>
      </c>
      <c r="G4061">
        <v>-205.5735</v>
      </c>
      <c r="H4061" s="1">
        <v>-7.8172099999999993E-6</v>
      </c>
      <c r="I4061">
        <v>141.45740000000001</v>
      </c>
      <c r="J4061">
        <v>-193.011</v>
      </c>
      <c r="K4061">
        <v>1.1072550000000001</v>
      </c>
      <c r="L4061">
        <v>155.0187</v>
      </c>
      <c r="M4061">
        <v>-0.2715706</v>
      </c>
      <c r="N4061">
        <v>0</v>
      </c>
      <c r="O4061">
        <v>-0.96236619999999995</v>
      </c>
      <c r="P4061">
        <v>-0.44072230000000001</v>
      </c>
      <c r="Q4061">
        <v>-5.9988390000000003E-2</v>
      </c>
      <c r="R4061">
        <v>-0.89563700000000002</v>
      </c>
      <c r="S4061">
        <v>-2.1174010000000001</v>
      </c>
      <c r="T4061">
        <v>-0.18616460000000001</v>
      </c>
      <c r="U4061">
        <v>-2.2973020000000002</v>
      </c>
      <c r="V4061">
        <v>0.18063299999999999</v>
      </c>
      <c r="W4061">
        <v>-5.113463E-2</v>
      </c>
      <c r="X4061">
        <v>0.98222039999999999</v>
      </c>
      <c r="Y4061">
        <v>0.45126709999999898</v>
      </c>
      <c r="Z4061">
        <v>6.1106630000000002E-2</v>
      </c>
      <c r="AA4061">
        <v>0.89029439999999904</v>
      </c>
      <c r="AB4061">
        <v>19</v>
      </c>
      <c r="AC4061">
        <v>-12.5625</v>
      </c>
      <c r="AD4061">
        <v>-1.1072628172100001</v>
      </c>
      <c r="AE4061">
        <v>-13.5612999999999</v>
      </c>
      <c r="AF4061">
        <v>8.3772427514170893</v>
      </c>
      <c r="AG4061">
        <v>-1.1072628172100001</v>
      </c>
      <c r="AH4061">
        <v>16.4045158182211</v>
      </c>
      <c r="AI4061">
        <v>93.440074637473401</v>
      </c>
      <c r="AJ4061">
        <v>62.948104513636501</v>
      </c>
      <c r="AK4061">
        <v>18.452977166105601</v>
      </c>
      <c r="AL4061">
        <v>92.931076852876103</v>
      </c>
      <c r="AM4061">
        <v>79.579582956641005</v>
      </c>
      <c r="AN4061">
        <v>0.99999997262519802</v>
      </c>
    </row>
    <row r="4062" spans="1:40" x14ac:dyDescent="0.25">
      <c r="A4062" t="str">
        <f>"20190312161352443"</f>
        <v>20190312161352443</v>
      </c>
      <c r="B4062" t="str">
        <f>"1552378432439930"</f>
        <v>1552378432439930</v>
      </c>
      <c r="C4062" t="s">
        <v>40</v>
      </c>
      <c r="D4062">
        <v>5.5654769999999996</v>
      </c>
      <c r="E4062">
        <v>0.61089399999999905</v>
      </c>
      <c r="F4062" t="s">
        <v>84</v>
      </c>
      <c r="G4062">
        <v>-205.6232</v>
      </c>
      <c r="H4062" s="1">
        <v>-7.7732399999999998E-6</v>
      </c>
      <c r="I4062">
        <v>141.37430000000001</v>
      </c>
      <c r="J4062">
        <v>-193.0429</v>
      </c>
      <c r="K4062">
        <v>1.1072249999999999</v>
      </c>
      <c r="L4062">
        <v>154.916</v>
      </c>
      <c r="M4062">
        <v>-0.27397080000000001</v>
      </c>
      <c r="N4062">
        <v>0</v>
      </c>
      <c r="O4062">
        <v>-0.96168569999999998</v>
      </c>
      <c r="P4062">
        <v>-0.44288749999999999</v>
      </c>
      <c r="Q4062">
        <v>-5.9826980000000002E-2</v>
      </c>
      <c r="R4062">
        <v>-0.89457919999999902</v>
      </c>
      <c r="S4062">
        <v>-2.1202549999999998</v>
      </c>
      <c r="T4062">
        <v>-0.18614359999999999</v>
      </c>
      <c r="U4062">
        <v>-2.293777</v>
      </c>
      <c r="V4062">
        <v>0.18055289999999999</v>
      </c>
      <c r="W4062">
        <v>-5.0983100000000003E-2</v>
      </c>
      <c r="X4062">
        <v>0.98224299999999998</v>
      </c>
      <c r="Y4062">
        <v>0.45032060000000002</v>
      </c>
      <c r="Z4062">
        <v>6.1097079999999998E-2</v>
      </c>
      <c r="AA4062">
        <v>0.89077410000000001</v>
      </c>
      <c r="AB4062">
        <v>19</v>
      </c>
      <c r="AC4062">
        <v>-12.5802999999999</v>
      </c>
      <c r="AD4062">
        <v>-1.10723277323999</v>
      </c>
      <c r="AE4062">
        <v>-13.541699999999899</v>
      </c>
      <c r="AF4062">
        <v>8.3586914918183801</v>
      </c>
      <c r="AG4062">
        <v>-1.10723277323999</v>
      </c>
      <c r="AH4062">
        <v>16.411431070280699</v>
      </c>
      <c r="AI4062">
        <v>93.440404092537506</v>
      </c>
      <c r="AJ4062">
        <v>63.009286619467701</v>
      </c>
      <c r="AK4062">
        <v>18.450711575549299</v>
      </c>
      <c r="AL4062">
        <v>92.922383495649896</v>
      </c>
      <c r="AM4062">
        <v>79.584337044175101</v>
      </c>
      <c r="AN4062">
        <v>0.99999996861650897</v>
      </c>
    </row>
    <row r="4063" spans="1:40" x14ac:dyDescent="0.25">
      <c r="A4063" t="str">
        <f>"20190312161352461"</f>
        <v>20190312161352461</v>
      </c>
      <c r="B4063" t="str">
        <f>"1552378432449691"</f>
        <v>1552378432449691</v>
      </c>
      <c r="C4063" t="s">
        <v>40</v>
      </c>
      <c r="D4063">
        <v>5.5653930000000003</v>
      </c>
      <c r="E4063">
        <v>0.61057589999999995</v>
      </c>
      <c r="F4063" t="s">
        <v>84</v>
      </c>
      <c r="G4063">
        <v>-206.12739999999999</v>
      </c>
      <c r="H4063" s="1">
        <v>-7.3941839999999998E-6</v>
      </c>
      <c r="I4063">
        <v>140.78540000000001</v>
      </c>
      <c r="J4063">
        <v>-193.0865</v>
      </c>
      <c r="K4063">
        <v>1.107191</v>
      </c>
      <c r="L4063">
        <v>154.7774</v>
      </c>
      <c r="M4063">
        <v>-0.27724910000000003</v>
      </c>
      <c r="N4063">
        <v>0</v>
      </c>
      <c r="O4063">
        <v>-0.96074559999999998</v>
      </c>
      <c r="P4063">
        <v>-0.44601770000000002</v>
      </c>
      <c r="Q4063">
        <v>-6.0050609999999997E-2</v>
      </c>
      <c r="R4063">
        <v>-0.89300749999999995</v>
      </c>
      <c r="S4063">
        <v>-2.1215670000000002</v>
      </c>
      <c r="T4063">
        <v>-0.17953089999999999</v>
      </c>
      <c r="U4063">
        <v>-2.2911990000000002</v>
      </c>
      <c r="V4063">
        <v>0.1806411</v>
      </c>
      <c r="W4063">
        <v>-5.1221780000000001E-2</v>
      </c>
      <c r="X4063">
        <v>0.98221440000000004</v>
      </c>
      <c r="Y4063">
        <v>0.44813979999999998</v>
      </c>
      <c r="Z4063">
        <v>5.8922519999999999E-2</v>
      </c>
      <c r="AA4063">
        <v>0.89201949999999997</v>
      </c>
      <c r="AB4063">
        <v>19</v>
      </c>
      <c r="AC4063">
        <v>-13.040899999999899</v>
      </c>
      <c r="AD4063">
        <v>-1.107198394184</v>
      </c>
      <c r="AE4063">
        <v>-13.9919999999999</v>
      </c>
      <c r="AF4063">
        <v>8.6212651997979908</v>
      </c>
      <c r="AG4063">
        <v>-1.107198394184</v>
      </c>
      <c r="AH4063">
        <v>17.002217948439799</v>
      </c>
      <c r="AI4063">
        <v>93.324045898394004</v>
      </c>
      <c r="AJ4063">
        <v>63.111933764233697</v>
      </c>
      <c r="AK4063">
        <v>19.0952223630829</v>
      </c>
      <c r="AL4063">
        <v>92.936076644090306</v>
      </c>
      <c r="AM4063">
        <v>79.579063655040599</v>
      </c>
      <c r="AN4063">
        <v>1.0000000026614599</v>
      </c>
    </row>
    <row r="4064" spans="1:40" x14ac:dyDescent="0.25">
      <c r="A4064" t="str">
        <f>"20190312161352475"</f>
        <v>20190312161352475</v>
      </c>
      <c r="B4064" t="str">
        <f>"1552378432470188"</f>
        <v>1552378432470188</v>
      </c>
      <c r="C4064" t="s">
        <v>40</v>
      </c>
      <c r="D4064">
        <v>5.5894629999999896</v>
      </c>
      <c r="E4064">
        <v>0.60991689999999998</v>
      </c>
      <c r="F4064" t="s">
        <v>84</v>
      </c>
      <c r="G4064">
        <v>-206.54509999999999</v>
      </c>
      <c r="H4064" s="1">
        <v>-7.0861789999999899E-6</v>
      </c>
      <c r="I4064">
        <v>140.32040000000001</v>
      </c>
      <c r="J4064">
        <v>-193.12119999999999</v>
      </c>
      <c r="K4064">
        <v>1.1071610000000001</v>
      </c>
      <c r="L4064">
        <v>154.66820000000001</v>
      </c>
      <c r="M4064">
        <v>-0.27985979999999999</v>
      </c>
      <c r="N4064">
        <v>0</v>
      </c>
      <c r="O4064">
        <v>-0.95998839999999996</v>
      </c>
      <c r="P4064">
        <v>-0.44880690000000001</v>
      </c>
      <c r="Q4064">
        <v>-6.0015880000000001E-2</v>
      </c>
      <c r="R4064">
        <v>-0.8916115</v>
      </c>
      <c r="S4064">
        <v>-2.1273650000000002</v>
      </c>
      <c r="T4064">
        <v>-0.17501120000000001</v>
      </c>
      <c r="U4064">
        <v>-2.2851720000000002</v>
      </c>
      <c r="V4064">
        <v>0.18103659999999999</v>
      </c>
      <c r="W4064">
        <v>-5.1201530000000002E-2</v>
      </c>
      <c r="X4064">
        <v>0.98214259999999998</v>
      </c>
      <c r="Y4064">
        <v>0.4481562</v>
      </c>
      <c r="Z4064">
        <v>5.7444559999999999E-2</v>
      </c>
      <c r="AA4064">
        <v>0.89210769999999995</v>
      </c>
      <c r="AB4064">
        <v>19</v>
      </c>
      <c r="AC4064">
        <v>-13.4239</v>
      </c>
      <c r="AD4064">
        <v>-1.1071680861790001</v>
      </c>
      <c r="AE4064">
        <v>-14.347799999999999</v>
      </c>
      <c r="AF4064">
        <v>8.8437820159782401</v>
      </c>
      <c r="AG4064">
        <v>-1.1071680861790001</v>
      </c>
      <c r="AH4064">
        <v>17.4759251779113</v>
      </c>
      <c r="AI4064">
        <v>93.235365712469005</v>
      </c>
      <c r="AJ4064">
        <v>63.158073754053099</v>
      </c>
      <c r="AK4064">
        <v>19.617498880875399</v>
      </c>
      <c r="AL4064">
        <v>92.934914984947895</v>
      </c>
      <c r="AM4064">
        <v>79.556002594418899</v>
      </c>
      <c r="AN4064">
        <v>0.99999996697432902</v>
      </c>
    </row>
    <row r="4065" spans="1:40" x14ac:dyDescent="0.25">
      <c r="A4065" t="str">
        <f>"20190312161352496"</f>
        <v>20190312161352496</v>
      </c>
      <c r="B4065" t="str">
        <f>"1552378432489707"</f>
        <v>1552378432489707</v>
      </c>
      <c r="C4065" t="s">
        <v>40</v>
      </c>
      <c r="D4065">
        <v>5.5674029999999997</v>
      </c>
      <c r="E4065">
        <v>0.60986049999999903</v>
      </c>
      <c r="F4065" t="s">
        <v>84</v>
      </c>
      <c r="G4065">
        <v>-207.41139999999999</v>
      </c>
      <c r="H4065" s="1">
        <v>-6.4358259999999997E-6</v>
      </c>
      <c r="I4065">
        <v>139.36510000000001</v>
      </c>
      <c r="J4065">
        <v>-193.1789</v>
      </c>
      <c r="K4065">
        <v>1.107108</v>
      </c>
      <c r="L4065">
        <v>154.489</v>
      </c>
      <c r="M4065">
        <v>-0.28420959999999901</v>
      </c>
      <c r="N4065">
        <v>0</v>
      </c>
      <c r="O4065">
        <v>-0.95870949999999999</v>
      </c>
      <c r="P4065">
        <v>-0.45369890000000002</v>
      </c>
      <c r="Q4065">
        <v>-6.0150410000000001E-2</v>
      </c>
      <c r="R4065">
        <v>-0.88912309999999894</v>
      </c>
      <c r="S4065">
        <v>-2.1302639999999999</v>
      </c>
      <c r="T4065">
        <v>-0.165047</v>
      </c>
      <c r="U4065">
        <v>-2.28125</v>
      </c>
      <c r="V4065">
        <v>0.18197440000000001</v>
      </c>
      <c r="W4065">
        <v>-5.1362900000000003E-2</v>
      </c>
      <c r="X4065">
        <v>0.98196090000000003</v>
      </c>
      <c r="Y4065">
        <v>0.4456003</v>
      </c>
      <c r="Z4065">
        <v>5.4162349999999998E-2</v>
      </c>
      <c r="AA4065">
        <v>0.8935921</v>
      </c>
      <c r="AB4065">
        <v>19</v>
      </c>
      <c r="AC4065">
        <v>-14.2324999999999</v>
      </c>
      <c r="AD4065">
        <v>-1.1071144358260001</v>
      </c>
      <c r="AE4065">
        <v>-15.1238999999999</v>
      </c>
      <c r="AF4065">
        <v>9.3204595740240492</v>
      </c>
      <c r="AG4065">
        <v>-1.1071144358260001</v>
      </c>
      <c r="AH4065">
        <v>18.492821487384301</v>
      </c>
      <c r="AI4065">
        <v>93.060176390324898</v>
      </c>
      <c r="AJ4065">
        <v>63.251704250100701</v>
      </c>
      <c r="AK4065">
        <v>20.7383971321144</v>
      </c>
      <c r="AL4065">
        <v>92.944172832263803</v>
      </c>
      <c r="AM4065">
        <v>79.501201288946405</v>
      </c>
      <c r="AN4065">
        <v>1.0000000194402801</v>
      </c>
    </row>
    <row r="4066" spans="1:40" x14ac:dyDescent="0.25">
      <c r="A4066" t="str">
        <f>"20190312161352511"</f>
        <v>20190312161352511</v>
      </c>
      <c r="B4066" t="str">
        <f>"1552378432500442"</f>
        <v>1552378432500442</v>
      </c>
      <c r="C4066" t="s">
        <v>40</v>
      </c>
      <c r="D4066">
        <v>5.4460769999999998</v>
      </c>
      <c r="E4066">
        <v>0.61040760000000005</v>
      </c>
      <c r="F4066" t="s">
        <v>84</v>
      </c>
      <c r="G4066">
        <v>-207.7105</v>
      </c>
      <c r="H4066" s="1">
        <v>-6.2165630000000004E-6</v>
      </c>
      <c r="I4066">
        <v>139.09440000000001</v>
      </c>
      <c r="J4066">
        <v>-193.2174</v>
      </c>
      <c r="K4066">
        <v>1.1070739999999999</v>
      </c>
      <c r="L4066">
        <v>154.37100000000001</v>
      </c>
      <c r="M4066">
        <v>-0.28711039999999999</v>
      </c>
      <c r="N4066">
        <v>0</v>
      </c>
      <c r="O4066">
        <v>-0.95784469999999999</v>
      </c>
      <c r="P4066">
        <v>-0.45700819999999998</v>
      </c>
      <c r="Q4066">
        <v>-6.022926E-2</v>
      </c>
      <c r="R4066">
        <v>-0.88742069999999995</v>
      </c>
      <c r="S4066">
        <v>-2.142563</v>
      </c>
      <c r="T4066">
        <v>-0.16323480000000001</v>
      </c>
      <c r="U4066">
        <v>-2.269806</v>
      </c>
      <c r="V4066">
        <v>0.1826566</v>
      </c>
      <c r="W4066">
        <v>-5.146005E-2</v>
      </c>
      <c r="X4066">
        <v>0.98182910000000001</v>
      </c>
      <c r="Y4066">
        <v>0.4477218</v>
      </c>
      <c r="Z4066">
        <v>5.3577189999999997E-2</v>
      </c>
      <c r="AA4066">
        <v>0.89256639999999998</v>
      </c>
      <c r="AB4066">
        <v>19</v>
      </c>
      <c r="AC4066">
        <v>-14.493099999999901</v>
      </c>
      <c r="AD4066">
        <v>-1.10708021656299</v>
      </c>
      <c r="AE4066">
        <v>-15.2766</v>
      </c>
      <c r="AF4066">
        <v>9.4703724401899496</v>
      </c>
      <c r="AG4066">
        <v>-1.10708021656299</v>
      </c>
      <c r="AH4066">
        <v>18.742875269953402</v>
      </c>
      <c r="AI4066">
        <v>93.017788336242702</v>
      </c>
      <c r="AJ4066">
        <v>63.193510097839102</v>
      </c>
      <c r="AK4066">
        <v>21.028764922050101</v>
      </c>
      <c r="AL4066">
        <v>92.9497466164202</v>
      </c>
      <c r="AM4066">
        <v>79.461339647429796</v>
      </c>
      <c r="AN4066">
        <v>0.99999997593818502</v>
      </c>
    </row>
    <row r="4067" spans="1:40" x14ac:dyDescent="0.25">
      <c r="A4067" t="str">
        <f>"20190312161352529"</f>
        <v>20190312161352529</v>
      </c>
      <c r="B4067" t="str">
        <f>"1552378432519964"</f>
        <v>1552378432519964</v>
      </c>
      <c r="C4067" t="s">
        <v>40</v>
      </c>
      <c r="D4067">
        <v>5.5843290000000003</v>
      </c>
      <c r="E4067">
        <v>0.64504980000000001</v>
      </c>
      <c r="F4067" t="s">
        <v>84</v>
      </c>
      <c r="G4067">
        <v>-208.08160000000001</v>
      </c>
      <c r="H4067" s="1">
        <v>-5.9529350000000001E-6</v>
      </c>
      <c r="I4067">
        <v>138.78469999999999</v>
      </c>
      <c r="J4067">
        <v>-193.26759999999999</v>
      </c>
      <c r="K4067">
        <v>1.1070279999999999</v>
      </c>
      <c r="L4067">
        <v>154.2192</v>
      </c>
      <c r="M4067">
        <v>-0.29088950000000002</v>
      </c>
      <c r="N4067">
        <v>0</v>
      </c>
      <c r="O4067">
        <v>-0.95670379999999999</v>
      </c>
      <c r="P4067">
        <v>-0.4612675</v>
      </c>
      <c r="Q4067">
        <v>-6.0176889999999997E-2</v>
      </c>
      <c r="R4067">
        <v>-0.88521859999999997</v>
      </c>
      <c r="S4067">
        <v>-2.1551360000000002</v>
      </c>
      <c r="T4067">
        <v>-0.1605144</v>
      </c>
      <c r="U4067">
        <v>-2.2598419999999999</v>
      </c>
      <c r="V4067">
        <v>0.18349190000000001</v>
      </c>
      <c r="W4067">
        <v>-5.1430030000000002E-2</v>
      </c>
      <c r="X4067">
        <v>0.98167499999999996</v>
      </c>
      <c r="Y4067">
        <v>0.44879550000000001</v>
      </c>
      <c r="Z4067">
        <v>5.2659339999999999E-2</v>
      </c>
      <c r="AA4067">
        <v>0.89208159999999903</v>
      </c>
      <c r="AB4067">
        <v>19</v>
      </c>
      <c r="AC4067">
        <v>-14.814</v>
      </c>
      <c r="AD4067">
        <v>-1.107033952935</v>
      </c>
      <c r="AE4067">
        <v>-15.4345</v>
      </c>
      <c r="AF4067">
        <v>9.6575059178656097</v>
      </c>
      <c r="AG4067">
        <v>-1.107033952935</v>
      </c>
      <c r="AH4067">
        <v>19.025502018808201</v>
      </c>
      <c r="AI4067">
        <v>92.970130047638605</v>
      </c>
      <c r="AJ4067">
        <v>63.087264792398699</v>
      </c>
      <c r="AK4067">
        <v>21.364987053453401</v>
      </c>
      <c r="AL4067">
        <v>92.948024052226103</v>
      </c>
      <c r="AM4067">
        <v>79.412608425178902</v>
      </c>
      <c r="AN4067">
        <v>1.0000000654882</v>
      </c>
    </row>
    <row r="4068" spans="1:40" x14ac:dyDescent="0.25">
      <c r="A4068" t="str">
        <f>"20190312161352540"</f>
        <v>20190312161352540</v>
      </c>
      <c r="B4068" t="str">
        <f>"1552378432529724"</f>
        <v>1552378432529724</v>
      </c>
      <c r="C4068" t="s">
        <v>40</v>
      </c>
      <c r="D4068">
        <v>5.5497610000000002</v>
      </c>
      <c r="E4068">
        <v>0.64684209999999998</v>
      </c>
      <c r="F4068" t="s">
        <v>84</v>
      </c>
      <c r="G4068">
        <v>-207.41130000000001</v>
      </c>
      <c r="H4068" s="1">
        <v>-7.085057E-6</v>
      </c>
      <c r="I4068">
        <v>141.77109999999999</v>
      </c>
      <c r="J4068">
        <v>-193.29920000000001</v>
      </c>
      <c r="K4068">
        <v>1.1070040000000001</v>
      </c>
      <c r="L4068">
        <v>154.1251</v>
      </c>
      <c r="M4068">
        <v>-0.29326740000000001</v>
      </c>
      <c r="N4068">
        <v>0</v>
      </c>
      <c r="O4068">
        <v>-0.95597759999999998</v>
      </c>
      <c r="P4068">
        <v>-0.46358579999999999</v>
      </c>
      <c r="Q4068">
        <v>-6.0026139999999999E-2</v>
      </c>
      <c r="R4068">
        <v>-0.88401659999999904</v>
      </c>
      <c r="S4068">
        <v>-2.4094850000000001</v>
      </c>
      <c r="T4068">
        <v>-0.1885927</v>
      </c>
      <c r="U4068">
        <v>-2.1206360000000002</v>
      </c>
      <c r="V4068">
        <v>0.18361820000000001</v>
      </c>
      <c r="W4068">
        <v>-5.128945E-2</v>
      </c>
      <c r="X4068">
        <v>0.9816587</v>
      </c>
      <c r="Y4068">
        <v>0.52247029999999905</v>
      </c>
      <c r="Z4068">
        <v>6.0937350000000001E-2</v>
      </c>
      <c r="AA4068">
        <v>0.85047719999999905</v>
      </c>
      <c r="AB4068">
        <v>19</v>
      </c>
      <c r="AC4068">
        <v>-14.1120999999999</v>
      </c>
      <c r="AD4068">
        <v>-1.1070110850570001</v>
      </c>
      <c r="AE4068">
        <v>-12.353999999999999</v>
      </c>
      <c r="AF4068">
        <v>9.8340656705510607</v>
      </c>
      <c r="AG4068">
        <v>-1.1070110850570001</v>
      </c>
      <c r="AH4068">
        <v>15.894201334395399</v>
      </c>
      <c r="AI4068">
        <v>93.389587153542394</v>
      </c>
      <c r="AJ4068">
        <v>58.254078419573403</v>
      </c>
      <c r="AK4068">
        <v>18.7232464389445</v>
      </c>
      <c r="AL4068">
        <v>92.939958880399502</v>
      </c>
      <c r="AM4068">
        <v>79.4053139684586</v>
      </c>
      <c r="AN4068">
        <v>1.0000000271691101</v>
      </c>
    </row>
    <row r="4069" spans="1:40" x14ac:dyDescent="0.25">
      <c r="A4069" t="str">
        <f>"20190312161352552"</f>
        <v>20190312161352552</v>
      </c>
      <c r="B4069" t="str">
        <f>"1552378432540459"</f>
        <v>1552378432540459</v>
      </c>
      <c r="C4069" t="s">
        <v>40</v>
      </c>
      <c r="D4069">
        <v>5.297091</v>
      </c>
      <c r="E4069">
        <v>0.64684209999999998</v>
      </c>
      <c r="F4069" t="s">
        <v>84</v>
      </c>
      <c r="G4069">
        <v>-208.87870000000001</v>
      </c>
      <c r="H4069" s="1">
        <v>-6.1248850000000002E-6</v>
      </c>
      <c r="I4069">
        <v>140.59899999999999</v>
      </c>
      <c r="J4069">
        <v>-193.3296</v>
      </c>
      <c r="K4069">
        <v>1.1069770000000001</v>
      </c>
      <c r="L4069">
        <v>154.035</v>
      </c>
      <c r="M4069">
        <v>-0.29555599999999999</v>
      </c>
      <c r="N4069">
        <v>0</v>
      </c>
      <c r="O4069">
        <v>-0.95527240000000002</v>
      </c>
      <c r="P4069">
        <v>-0.46608860000000002</v>
      </c>
      <c r="Q4069">
        <v>-5.9515329999999998E-2</v>
      </c>
      <c r="R4069">
        <v>-0.88273419999999903</v>
      </c>
      <c r="S4069">
        <v>-2.428436</v>
      </c>
      <c r="T4069">
        <v>-0.1725537</v>
      </c>
      <c r="U4069">
        <v>-2.108368</v>
      </c>
      <c r="V4069">
        <v>0.18403810000000001</v>
      </c>
      <c r="W4069">
        <v>-5.0790559999999998E-2</v>
      </c>
      <c r="X4069">
        <v>0.98160590000000003</v>
      </c>
      <c r="Y4069">
        <v>0.52640769999999903</v>
      </c>
      <c r="Z4069">
        <v>5.5698270000000001E-2</v>
      </c>
      <c r="AA4069">
        <v>0.84840599999999999</v>
      </c>
      <c r="AB4069">
        <v>19</v>
      </c>
      <c r="AC4069">
        <v>-15.549099999999999</v>
      </c>
      <c r="AD4069">
        <v>-1.1069831248849999</v>
      </c>
      <c r="AE4069">
        <v>-13.436</v>
      </c>
      <c r="AF4069">
        <v>10.851598214183101</v>
      </c>
      <c r="AG4069">
        <v>-1.1069831248849999</v>
      </c>
      <c r="AH4069">
        <v>17.381116941352801</v>
      </c>
      <c r="AI4069">
        <v>93.092353901268694</v>
      </c>
      <c r="AJ4069">
        <v>58.022122222498602</v>
      </c>
      <c r="AK4069">
        <v>20.520375765804701</v>
      </c>
      <c r="AL4069">
        <v>92.911337587633795</v>
      </c>
      <c r="AM4069">
        <v>79.381078109993993</v>
      </c>
      <c r="AN4069">
        <v>0.99999992307576302</v>
      </c>
    </row>
    <row r="4070" spans="1:40" x14ac:dyDescent="0.25">
      <c r="A4070" t="str">
        <f>"20190312161352573"</f>
        <v>20190312161352573</v>
      </c>
      <c r="B4070" t="str">
        <f>"1552378432569739"</f>
        <v>1552378432569739</v>
      </c>
      <c r="C4070" t="s">
        <v>40</v>
      </c>
      <c r="D4070">
        <v>5.5955579999999996</v>
      </c>
      <c r="E4070">
        <v>0.63838050000000002</v>
      </c>
      <c r="F4070" t="s">
        <v>84</v>
      </c>
      <c r="G4070">
        <v>-209.08920000000001</v>
      </c>
      <c r="H4070" s="1">
        <v>-5.986892E-6</v>
      </c>
      <c r="I4070">
        <v>140.4298</v>
      </c>
      <c r="J4070">
        <v>-193.38910000000001</v>
      </c>
      <c r="K4070">
        <v>1.1069279999999999</v>
      </c>
      <c r="L4070">
        <v>153.86099999999999</v>
      </c>
      <c r="M4070">
        <v>-0.30003869999999999</v>
      </c>
      <c r="N4070">
        <v>0</v>
      </c>
      <c r="O4070">
        <v>-0.95387390000000005</v>
      </c>
      <c r="P4070">
        <v>-0.47088629999999998</v>
      </c>
      <c r="Q4070">
        <v>-5.981769E-2</v>
      </c>
      <c r="R4070">
        <v>-0.88016380000000005</v>
      </c>
      <c r="S4070">
        <v>-2.434402</v>
      </c>
      <c r="T4070">
        <v>-0.17099739999999999</v>
      </c>
      <c r="U4070">
        <v>-2.1016240000000002</v>
      </c>
      <c r="V4070">
        <v>0.18476909999999999</v>
      </c>
      <c r="W4070">
        <v>-5.1115750000000001E-2</v>
      </c>
      <c r="X4070">
        <v>0.98145170000000004</v>
      </c>
      <c r="Y4070">
        <v>0.52481409999999995</v>
      </c>
      <c r="Z4070">
        <v>5.517304E-2</v>
      </c>
      <c r="AA4070">
        <v>0.84942700000000004</v>
      </c>
      <c r="AB4070">
        <v>19</v>
      </c>
      <c r="AC4070">
        <v>-15.7000999999999</v>
      </c>
      <c r="AD4070">
        <v>-1.1069339868920001</v>
      </c>
      <c r="AE4070">
        <v>-13.431199999999899</v>
      </c>
      <c r="AF4070">
        <v>10.915260560189401</v>
      </c>
      <c r="AG4070">
        <v>-1.1069339868920001</v>
      </c>
      <c r="AH4070">
        <v>17.473043964158101</v>
      </c>
      <c r="AI4070">
        <v>93.075484969911599</v>
      </c>
      <c r="AJ4070">
        <v>58.007332703240998</v>
      </c>
      <c r="AK4070">
        <v>20.631904452123798</v>
      </c>
      <c r="AL4070">
        <v>92.929993788222703</v>
      </c>
      <c r="AM4070">
        <v>79.338228061582996</v>
      </c>
      <c r="AN4070">
        <v>0.99999993982287905</v>
      </c>
    </row>
    <row r="4071" spans="1:40" x14ac:dyDescent="0.25">
      <c r="A4071" t="str">
        <f>"20190312161352585"</f>
        <v>20190312161352585</v>
      </c>
      <c r="B4071" t="str">
        <f>"1552378432580475"</f>
        <v>1552378432580475</v>
      </c>
      <c r="C4071" t="s">
        <v>40</v>
      </c>
      <c r="D4071">
        <v>5.2757449999999997</v>
      </c>
      <c r="E4071">
        <v>0.63878889999999999</v>
      </c>
      <c r="F4071" t="s">
        <v>64</v>
      </c>
      <c r="G4071">
        <v>-232.2124</v>
      </c>
      <c r="H4071">
        <v>2.86286</v>
      </c>
      <c r="I4071">
        <v>119.3841</v>
      </c>
      <c r="J4071">
        <v>-193.4229</v>
      </c>
      <c r="K4071">
        <v>1.1069</v>
      </c>
      <c r="L4071">
        <v>153.76339999999999</v>
      </c>
      <c r="M4071">
        <v>-0.30258190000000001</v>
      </c>
      <c r="N4071">
        <v>0</v>
      </c>
      <c r="O4071">
        <v>-0.95307019999999998</v>
      </c>
      <c r="P4071">
        <v>-0.47384880000000001</v>
      </c>
      <c r="Q4071">
        <v>-6.0252590000000002E-2</v>
      </c>
      <c r="R4071">
        <v>-0.87854290000000002</v>
      </c>
      <c r="S4071">
        <v>-2.4003450000000002</v>
      </c>
      <c r="T4071">
        <v>0.1085653</v>
      </c>
      <c r="U4071">
        <v>-2.1316220000000001</v>
      </c>
      <c r="V4071">
        <v>0.18545980000000001</v>
      </c>
      <c r="W4071">
        <v>-5.1566590000000002E-2</v>
      </c>
      <c r="X4071">
        <v>0.98129789999999995</v>
      </c>
      <c r="Y4071">
        <v>0.51126910000000003</v>
      </c>
      <c r="Z4071">
        <v>-3.5029190000000002E-2</v>
      </c>
      <c r="AA4071">
        <v>0.85870650000000004</v>
      </c>
      <c r="AB4071">
        <v>19</v>
      </c>
      <c r="AC4071">
        <v>-38.789499999999997</v>
      </c>
      <c r="AD4071">
        <v>1.75596</v>
      </c>
      <c r="AE4071">
        <v>-34.379299999999901</v>
      </c>
      <c r="AF4071">
        <v>26.537452153218201</v>
      </c>
      <c r="AG4071">
        <v>1.75596</v>
      </c>
      <c r="AH4071">
        <v>44.454122657271199</v>
      </c>
      <c r="AI4071">
        <v>88.057457348697397</v>
      </c>
      <c r="AJ4071">
        <v>59.164375005644203</v>
      </c>
      <c r="AK4071">
        <v>51.802401329799899</v>
      </c>
      <c r="AL4071">
        <v>92.955858924781793</v>
      </c>
      <c r="AM4071">
        <v>79.297652737967894</v>
      </c>
      <c r="AN4071">
        <v>1.00000000958233</v>
      </c>
    </row>
    <row r="4072" spans="1:40" x14ac:dyDescent="0.25">
      <c r="A4072" t="str">
        <f>"20190312161352597"</f>
        <v>20190312161352597</v>
      </c>
      <c r="B4072" t="str">
        <f>"1552378432590236"</f>
        <v>1552378432590236</v>
      </c>
      <c r="C4072" t="s">
        <v>40</v>
      </c>
      <c r="D4072">
        <v>5.2799370000000003</v>
      </c>
      <c r="E4072">
        <v>0.63903100000000002</v>
      </c>
      <c r="F4072" t="s">
        <v>64</v>
      </c>
      <c r="G4072">
        <v>-232.4794</v>
      </c>
      <c r="H4072">
        <v>3.051809</v>
      </c>
      <c r="I4072">
        <v>119.3841</v>
      </c>
      <c r="J4072">
        <v>-193.45509999999999</v>
      </c>
      <c r="K4072">
        <v>1.1068709999999999</v>
      </c>
      <c r="L4072">
        <v>153.67160000000001</v>
      </c>
      <c r="M4072">
        <v>-0.30500640000000001</v>
      </c>
      <c r="N4072">
        <v>0</v>
      </c>
      <c r="O4072">
        <v>-0.95229710000000001</v>
      </c>
      <c r="P4072">
        <v>-0.47649399999999997</v>
      </c>
      <c r="Q4072">
        <v>-6.0463099999999999E-2</v>
      </c>
      <c r="R4072">
        <v>-0.8770966</v>
      </c>
      <c r="S4072">
        <v>-2.4111940000000001</v>
      </c>
      <c r="T4072">
        <v>0.1200716</v>
      </c>
      <c r="U4072">
        <v>-2.122452</v>
      </c>
      <c r="V4072">
        <v>0.18591869999999999</v>
      </c>
      <c r="W4072">
        <v>-5.1790669999999997E-2</v>
      </c>
      <c r="X4072">
        <v>0.9811993</v>
      </c>
      <c r="Y4072">
        <v>0.51273559999999996</v>
      </c>
      <c r="Z4072">
        <v>-3.8719139999999999E-2</v>
      </c>
      <c r="AA4072">
        <v>0.85767299999999902</v>
      </c>
      <c r="AB4072">
        <v>19</v>
      </c>
      <c r="AC4072">
        <v>-39.024299999999997</v>
      </c>
      <c r="AD4072">
        <v>1.9449380000000001</v>
      </c>
      <c r="AE4072">
        <v>-34.287500000000001</v>
      </c>
      <c r="AF4072">
        <v>26.668789697968801</v>
      </c>
      <c r="AG4072">
        <v>1.9449380000000001</v>
      </c>
      <c r="AH4072">
        <v>44.494433511603098</v>
      </c>
      <c r="AI4072">
        <v>87.852813010024605</v>
      </c>
      <c r="AJ4072">
        <v>59.062639666369201</v>
      </c>
      <c r="AK4072">
        <v>51.911094587735299</v>
      </c>
      <c r="AL4072">
        <v>92.968714817295506</v>
      </c>
      <c r="AM4072">
        <v>79.270731812911194</v>
      </c>
      <c r="AN4072">
        <v>1.0000000514146099</v>
      </c>
    </row>
    <row r="4073" spans="1:40" x14ac:dyDescent="0.25">
      <c r="A4073" t="str">
        <f>"20190312161352608"</f>
        <v>20190312161352608</v>
      </c>
      <c r="B4073" t="str">
        <f>"1552378432599995"</f>
        <v>1552378432599995</v>
      </c>
      <c r="C4073" t="s">
        <v>40</v>
      </c>
      <c r="D4073">
        <v>5.5973759999999997</v>
      </c>
      <c r="E4073">
        <v>0.6395054</v>
      </c>
      <c r="F4073" t="s">
        <v>64</v>
      </c>
      <c r="G4073">
        <v>-232.68610000000001</v>
      </c>
      <c r="H4073">
        <v>3.1632370000000001</v>
      </c>
      <c r="I4073">
        <v>119.3841</v>
      </c>
      <c r="J4073">
        <v>-193.48990000000001</v>
      </c>
      <c r="K4073">
        <v>1.10684</v>
      </c>
      <c r="L4073">
        <v>153.5727</v>
      </c>
      <c r="M4073">
        <v>-0.3076296</v>
      </c>
      <c r="N4073">
        <v>0</v>
      </c>
      <c r="O4073">
        <v>-0.95145270000000004</v>
      </c>
      <c r="P4073">
        <v>-0.47942869999999999</v>
      </c>
      <c r="Q4073">
        <v>-6.0758310000000003E-2</v>
      </c>
      <c r="R4073">
        <v>-0.87547520000000001</v>
      </c>
      <c r="S4073">
        <v>-2.419556</v>
      </c>
      <c r="T4073">
        <v>0.12682589999999999</v>
      </c>
      <c r="U4073">
        <v>-2.1146699999999998</v>
      </c>
      <c r="V4073">
        <v>0.18650079999999999</v>
      </c>
      <c r="W4073">
        <v>-5.2101599999999998E-2</v>
      </c>
      <c r="X4073">
        <v>0.98107230000000001</v>
      </c>
      <c r="Y4073">
        <v>0.51333739999999894</v>
      </c>
      <c r="Z4073">
        <v>-4.0879430000000001E-2</v>
      </c>
      <c r="AA4073">
        <v>0.85721270000000005</v>
      </c>
      <c r="AB4073">
        <v>19</v>
      </c>
      <c r="AC4073">
        <v>-39.196199999999997</v>
      </c>
      <c r="AD4073">
        <v>2.056397</v>
      </c>
      <c r="AE4073">
        <v>-34.188599999999902</v>
      </c>
      <c r="AF4073">
        <v>26.7354749695143</v>
      </c>
      <c r="AG4073">
        <v>2.056397</v>
      </c>
      <c r="AH4073">
        <v>44.5194237976362</v>
      </c>
      <c r="AI4073">
        <v>87.732322895924298</v>
      </c>
      <c r="AJ4073">
        <v>59.013706991510503</v>
      </c>
      <c r="AK4073">
        <v>51.971083168822602</v>
      </c>
      <c r="AL4073">
        <v>92.986554057075594</v>
      </c>
      <c r="AM4073">
        <v>79.236561923454403</v>
      </c>
      <c r="AN4073">
        <v>0.99999999147524499</v>
      </c>
    </row>
    <row r="4074" spans="1:40" x14ac:dyDescent="0.25">
      <c r="A4074" t="str">
        <f>"20190312161352619"</f>
        <v>20190312161352619</v>
      </c>
      <c r="B4074" t="str">
        <f>"1552378432609756"</f>
        <v>1552378432609756</v>
      </c>
      <c r="C4074" t="s">
        <v>40</v>
      </c>
      <c r="D4074">
        <v>5.5319900000000004</v>
      </c>
      <c r="E4074">
        <v>0.63943879999999997</v>
      </c>
      <c r="F4074" t="s">
        <v>64</v>
      </c>
      <c r="G4074">
        <v>-232.95699999999999</v>
      </c>
      <c r="H4074">
        <v>3.2195209999999999</v>
      </c>
      <c r="I4074">
        <v>119.3841</v>
      </c>
      <c r="J4074">
        <v>-193.5247</v>
      </c>
      <c r="K4074">
        <v>1.1068039999999999</v>
      </c>
      <c r="L4074">
        <v>153.47540000000001</v>
      </c>
      <c r="M4074">
        <v>-0.31025560000000002</v>
      </c>
      <c r="N4074">
        <v>0</v>
      </c>
      <c r="O4074">
        <v>-0.95059970000000005</v>
      </c>
      <c r="P4074">
        <v>-0.48222720000000002</v>
      </c>
      <c r="Q4074">
        <v>-6.1006909999999998E-2</v>
      </c>
      <c r="R4074">
        <v>-0.87391949999999996</v>
      </c>
      <c r="S4074">
        <v>-2.4300079999999999</v>
      </c>
      <c r="T4074">
        <v>0.13007930000000001</v>
      </c>
      <c r="U4074">
        <v>-2.1050110000000002</v>
      </c>
      <c r="V4074">
        <v>0.1869296</v>
      </c>
      <c r="W4074">
        <v>-5.2365910000000002E-2</v>
      </c>
      <c r="X4074">
        <v>0.98097659999999998</v>
      </c>
      <c r="Y4074">
        <v>0.51470769999999999</v>
      </c>
      <c r="Z4074">
        <v>-4.1912129999999999E-2</v>
      </c>
      <c r="AA4074">
        <v>0.85634069999999995</v>
      </c>
      <c r="AB4074">
        <v>19</v>
      </c>
      <c r="AC4074">
        <v>-39.432299999999998</v>
      </c>
      <c r="AD4074">
        <v>2.112717</v>
      </c>
      <c r="AE4074">
        <v>-34.091299999999997</v>
      </c>
      <c r="AF4074">
        <v>26.864551859273199</v>
      </c>
      <c r="AG4074">
        <v>2.112717</v>
      </c>
      <c r="AH4074">
        <v>44.570322814085003</v>
      </c>
      <c r="AI4074">
        <v>87.675209949964596</v>
      </c>
      <c r="AJ4074">
        <v>58.920726800189897</v>
      </c>
      <c r="AK4074">
        <v>52.083408063157897</v>
      </c>
      <c r="AL4074">
        <v>93.001718650116601</v>
      </c>
      <c r="AM4074">
        <v>79.211367152165096</v>
      </c>
      <c r="AN4074">
        <v>0.99999997681692299</v>
      </c>
    </row>
    <row r="4075" spans="1:40" x14ac:dyDescent="0.25">
      <c r="A4075" t="str">
        <f>"20190312161352631"</f>
        <v>20190312161352631</v>
      </c>
      <c r="B4075" t="str">
        <f>"1552378432620491"</f>
        <v>1552378432620491</v>
      </c>
      <c r="C4075" t="s">
        <v>40</v>
      </c>
      <c r="D4075">
        <v>5.5687860000000002</v>
      </c>
      <c r="E4075">
        <v>0.63965109999999903</v>
      </c>
      <c r="F4075" t="s">
        <v>64</v>
      </c>
      <c r="G4075">
        <v>-233.12039999999999</v>
      </c>
      <c r="H4075">
        <v>3.2927240000000002</v>
      </c>
      <c r="I4075">
        <v>119.3841</v>
      </c>
      <c r="J4075">
        <v>-193.55619999999999</v>
      </c>
      <c r="K4075">
        <v>1.1067689999999999</v>
      </c>
      <c r="L4075">
        <v>153.38749999999999</v>
      </c>
      <c r="M4075">
        <v>-0.31263829999999998</v>
      </c>
      <c r="N4075">
        <v>0</v>
      </c>
      <c r="O4075">
        <v>-0.94981870000000002</v>
      </c>
      <c r="P4075">
        <v>-0.48483690000000002</v>
      </c>
      <c r="Q4075">
        <v>-6.1257440000000003E-2</v>
      </c>
      <c r="R4075">
        <v>-0.87245680000000003</v>
      </c>
      <c r="S4075">
        <v>-2.4364469999999998</v>
      </c>
      <c r="T4075">
        <v>0.13450689999999901</v>
      </c>
      <c r="U4075">
        <v>-2.0977480000000002</v>
      </c>
      <c r="V4075">
        <v>0.18740100000000001</v>
      </c>
      <c r="W4075">
        <v>-5.263172E-2</v>
      </c>
      <c r="X4075">
        <v>0.98087250000000004</v>
      </c>
      <c r="Y4075">
        <v>0.51509629999999995</v>
      </c>
      <c r="Z4075">
        <v>-4.333306E-2</v>
      </c>
      <c r="AA4075">
        <v>0.85603619999999903</v>
      </c>
      <c r="AB4075">
        <v>19</v>
      </c>
      <c r="AC4075">
        <v>-39.5642</v>
      </c>
      <c r="AD4075">
        <v>2.1859549999999999</v>
      </c>
      <c r="AE4075">
        <v>-34.0033999999999</v>
      </c>
      <c r="AF4075">
        <v>26.902188895859901</v>
      </c>
      <c r="AG4075">
        <v>2.1859549999999999</v>
      </c>
      <c r="AH4075">
        <v>44.590331661157897</v>
      </c>
      <c r="AI4075">
        <v>87.596400534189101</v>
      </c>
      <c r="AJ4075">
        <v>58.896626307053197</v>
      </c>
      <c r="AK4075">
        <v>52.122968490892902</v>
      </c>
      <c r="AL4075">
        <v>93.016969260813397</v>
      </c>
      <c r="AM4075">
        <v>79.183680480395594</v>
      </c>
      <c r="AN4075">
        <v>1.0000000470037</v>
      </c>
    </row>
    <row r="4076" spans="1:40" x14ac:dyDescent="0.25">
      <c r="A4076" t="str">
        <f>"20190312161352642"</f>
        <v>20190312161352642</v>
      </c>
      <c r="B4076" t="str">
        <f>"1552378432640012"</f>
        <v>1552378432640012</v>
      </c>
      <c r="C4076" t="s">
        <v>40</v>
      </c>
      <c r="D4076">
        <v>5.2873910000000004</v>
      </c>
      <c r="E4076">
        <v>0.6395864</v>
      </c>
      <c r="F4076" t="s">
        <v>64</v>
      </c>
      <c r="G4076">
        <v>-233.32910000000001</v>
      </c>
      <c r="H4076">
        <v>3.3525900000000002</v>
      </c>
      <c r="I4076">
        <v>119.3841</v>
      </c>
      <c r="J4076">
        <v>-193.59229999999999</v>
      </c>
      <c r="K4076">
        <v>1.10673</v>
      </c>
      <c r="L4076">
        <v>153.2884</v>
      </c>
      <c r="M4076">
        <v>-0.31536229999999998</v>
      </c>
      <c r="N4076">
        <v>0</v>
      </c>
      <c r="O4076">
        <v>-0.94891769999999998</v>
      </c>
      <c r="P4076">
        <v>-0.48775819999999998</v>
      </c>
      <c r="Q4076">
        <v>-6.1386280000000001E-2</v>
      </c>
      <c r="R4076">
        <v>-0.87081799999999998</v>
      </c>
      <c r="S4076">
        <v>-2.4444270000000001</v>
      </c>
      <c r="T4076">
        <v>0.13802790000000001</v>
      </c>
      <c r="U4076">
        <v>-2.0898439999999998</v>
      </c>
      <c r="V4076">
        <v>0.1878708</v>
      </c>
      <c r="W4076">
        <v>-5.2777650000000002E-2</v>
      </c>
      <c r="X4076">
        <v>0.9807747</v>
      </c>
      <c r="Y4076">
        <v>0.51557989999999998</v>
      </c>
      <c r="Z4076">
        <v>-4.4450940000000001E-2</v>
      </c>
      <c r="AA4076">
        <v>0.85568770000000005</v>
      </c>
      <c r="AB4076">
        <v>19</v>
      </c>
      <c r="AC4076">
        <v>-39.736800000000002</v>
      </c>
      <c r="AD4076">
        <v>2.24586</v>
      </c>
      <c r="AE4076">
        <v>-33.9042999999999</v>
      </c>
      <c r="AF4076">
        <v>26.966340711706199</v>
      </c>
      <c r="AG4076">
        <v>2.24586</v>
      </c>
      <c r="AH4076">
        <v>44.6236644665413</v>
      </c>
      <c r="AI4076">
        <v>87.533529888682096</v>
      </c>
      <c r="AJ4076">
        <v>58.855186514368697</v>
      </c>
      <c r="AK4076">
        <v>52.187152144391703</v>
      </c>
      <c r="AL4076">
        <v>93.025342318877506</v>
      </c>
      <c r="AM4076">
        <v>79.156151210915596</v>
      </c>
      <c r="AN4076">
        <v>0.99999996499612498</v>
      </c>
    </row>
    <row r="4077" spans="1:40" x14ac:dyDescent="0.25">
      <c r="A4077" t="str">
        <f>"20190312161352656"</f>
        <v>20190312161352656</v>
      </c>
      <c r="B4077" t="str">
        <f>"1552378432649772"</f>
        <v>1552378432649772</v>
      </c>
      <c r="C4077" t="s">
        <v>40</v>
      </c>
      <c r="D4077">
        <v>5.6544610000000004</v>
      </c>
      <c r="E4077">
        <v>0.63928600000000002</v>
      </c>
      <c r="F4077" t="s">
        <v>64</v>
      </c>
      <c r="G4077">
        <v>-233.5061</v>
      </c>
      <c r="H4077">
        <v>3.4136869999999999</v>
      </c>
      <c r="I4077">
        <v>119.3841</v>
      </c>
      <c r="J4077">
        <v>-193.63059999999999</v>
      </c>
      <c r="K4077">
        <v>1.106687</v>
      </c>
      <c r="L4077">
        <v>153.1841</v>
      </c>
      <c r="M4077">
        <v>-0.31825900000000001</v>
      </c>
      <c r="N4077">
        <v>0</v>
      </c>
      <c r="O4077">
        <v>-0.94795010000000002</v>
      </c>
      <c r="P4077">
        <v>-0.4907474</v>
      </c>
      <c r="Q4077">
        <v>-6.1065069999999999E-2</v>
      </c>
      <c r="R4077">
        <v>-0.86915959999999903</v>
      </c>
      <c r="S4077">
        <v>-2.4511409999999998</v>
      </c>
      <c r="T4077">
        <v>0.14167260000000001</v>
      </c>
      <c r="U4077">
        <v>-2.0820919999999998</v>
      </c>
      <c r="V4077">
        <v>0.18823480000000001</v>
      </c>
      <c r="W4077">
        <v>-5.247346E-2</v>
      </c>
      <c r="X4077">
        <v>0.98072119999999996</v>
      </c>
      <c r="Y4077">
        <v>0.51565099999999997</v>
      </c>
      <c r="Z4077">
        <v>-4.5615049999999997E-2</v>
      </c>
      <c r="AA4077">
        <v>0.855583599999999</v>
      </c>
      <c r="AB4077">
        <v>19</v>
      </c>
      <c r="AC4077">
        <v>-39.875500000000002</v>
      </c>
      <c r="AD4077">
        <v>2.3069999999999999</v>
      </c>
      <c r="AE4077">
        <v>-33.799999999999997</v>
      </c>
      <c r="AF4077">
        <v>26.9916335658835</v>
      </c>
      <c r="AG4077">
        <v>2.3069999999999999</v>
      </c>
      <c r="AH4077">
        <v>44.646766271898898</v>
      </c>
      <c r="AI4077">
        <v>87.468063840092896</v>
      </c>
      <c r="AJ4077">
        <v>58.844535029602099</v>
      </c>
      <c r="AK4077">
        <v>52.222641354995702</v>
      </c>
      <c r="AL4077">
        <v>93.007889411869499</v>
      </c>
      <c r="AM4077">
        <v>79.135062210732798</v>
      </c>
      <c r="AN4077">
        <v>0.99999993803242304</v>
      </c>
    </row>
    <row r="4078" spans="1:40" x14ac:dyDescent="0.25">
      <c r="A4078" t="str">
        <f>"20190312161352674"</f>
        <v>20190312161352674</v>
      </c>
      <c r="B4078" t="str">
        <f>"1552378432670267"</f>
        <v>1552378432670267</v>
      </c>
      <c r="C4078" t="s">
        <v>40</v>
      </c>
      <c r="D4078">
        <v>5.1961060000000003</v>
      </c>
      <c r="E4078">
        <v>0.63926769999999999</v>
      </c>
      <c r="F4078" t="s">
        <v>64</v>
      </c>
      <c r="G4078">
        <v>-233.64109999999999</v>
      </c>
      <c r="H4078">
        <v>3.4605610000000002</v>
      </c>
      <c r="I4078">
        <v>119.3841</v>
      </c>
      <c r="J4078">
        <v>-193.6842</v>
      </c>
      <c r="K4078">
        <v>1.106627</v>
      </c>
      <c r="L4078">
        <v>153.0395</v>
      </c>
      <c r="M4078">
        <v>-0.32232490000000003</v>
      </c>
      <c r="N4078">
        <v>0</v>
      </c>
      <c r="O4078">
        <v>-0.9465751</v>
      </c>
      <c r="P4078">
        <v>-0.49492059999999999</v>
      </c>
      <c r="Q4078">
        <v>-6.1098029999999998E-2</v>
      </c>
      <c r="R4078">
        <v>-0.86678770000000005</v>
      </c>
      <c r="S4078">
        <v>-2.4561920000000002</v>
      </c>
      <c r="T4078">
        <v>0.1445014</v>
      </c>
      <c r="U4078">
        <v>-2.0749360000000001</v>
      </c>
      <c r="V4078">
        <v>0.18873319999999999</v>
      </c>
      <c r="W4078">
        <v>-5.2530979999999998E-2</v>
      </c>
      <c r="X4078">
        <v>0.98062240000000001</v>
      </c>
      <c r="Y4078">
        <v>0.51426269999999996</v>
      </c>
      <c r="Z4078">
        <v>-4.6511839999999999E-2</v>
      </c>
      <c r="AA4078">
        <v>0.85637059999999998</v>
      </c>
      <c r="AB4078">
        <v>19</v>
      </c>
      <c r="AC4078">
        <v>-39.956899999999898</v>
      </c>
      <c r="AD4078">
        <v>2.3539340000000002</v>
      </c>
      <c r="AE4078">
        <v>-33.6554</v>
      </c>
      <c r="AF4078">
        <v>26.920956249817699</v>
      </c>
      <c r="AG4078">
        <v>2.3539340000000002</v>
      </c>
      <c r="AH4078">
        <v>44.648108228217701</v>
      </c>
      <c r="AI4078">
        <v>87.414871999679306</v>
      </c>
      <c r="AJ4078">
        <v>58.911766857049003</v>
      </c>
      <c r="AK4078">
        <v>52.189390291893602</v>
      </c>
      <c r="AL4078">
        <v>93.011189406015305</v>
      </c>
      <c r="AM4078">
        <v>79.105910601151393</v>
      </c>
      <c r="AN4078">
        <v>1.00000000801188</v>
      </c>
    </row>
    <row r="4079" spans="1:40" x14ac:dyDescent="0.25">
      <c r="A4079" t="str">
        <f>"20190312161352686"</f>
        <v>20190312161352686</v>
      </c>
      <c r="B4079" t="str">
        <f>"1552378432680027"</f>
        <v>1552378432680027</v>
      </c>
      <c r="C4079" t="s">
        <v>40</v>
      </c>
      <c r="D4079">
        <v>5.5784339999999997</v>
      </c>
      <c r="E4079">
        <v>0.63926769999999999</v>
      </c>
      <c r="F4079" t="s">
        <v>64</v>
      </c>
      <c r="G4079">
        <v>-233.9014</v>
      </c>
      <c r="H4079">
        <v>3.5024920000000002</v>
      </c>
      <c r="I4079">
        <v>119.3841</v>
      </c>
      <c r="J4079">
        <v>-193.7251</v>
      </c>
      <c r="K4079">
        <v>1.1065799999999999</v>
      </c>
      <c r="L4079">
        <v>152.93090000000001</v>
      </c>
      <c r="M4079">
        <v>-0.32542310000000002</v>
      </c>
      <c r="N4079">
        <v>0</v>
      </c>
      <c r="O4079">
        <v>-0.94551450000000004</v>
      </c>
      <c r="P4079">
        <v>-0.49786940000000002</v>
      </c>
      <c r="Q4079">
        <v>-6.1222390000000002E-2</v>
      </c>
      <c r="R4079">
        <v>-0.86508850000000004</v>
      </c>
      <c r="S4079">
        <v>-2.4657900000000001</v>
      </c>
      <c r="T4079">
        <v>0.1468952</v>
      </c>
      <c r="U4079">
        <v>-2.0634769999999998</v>
      </c>
      <c r="V4079">
        <v>0.18885730000000001</v>
      </c>
      <c r="W4079">
        <v>-5.2672209999999997E-2</v>
      </c>
      <c r="X4079">
        <v>0.98059090000000004</v>
      </c>
      <c r="Y4079">
        <v>0.51540750000000002</v>
      </c>
      <c r="Z4079">
        <v>-4.7282860000000003E-2</v>
      </c>
      <c r="AA4079">
        <v>0.85563979999999995</v>
      </c>
      <c r="AB4079">
        <v>19</v>
      </c>
      <c r="AC4079">
        <v>-40.176299999999998</v>
      </c>
      <c r="AD4079">
        <v>2.395912</v>
      </c>
      <c r="AE4079">
        <v>-33.546799999999998</v>
      </c>
      <c r="AF4079">
        <v>27.015145577430001</v>
      </c>
      <c r="AG4079">
        <v>2.395912</v>
      </c>
      <c r="AH4079">
        <v>44.701901273184198</v>
      </c>
      <c r="AI4079">
        <v>87.373600646899803</v>
      </c>
      <c r="AJ4079">
        <v>58.853753909241497</v>
      </c>
      <c r="AK4079">
        <v>52.285929869506802</v>
      </c>
      <c r="AL4079">
        <v>93.019292599775795</v>
      </c>
      <c r="AM4079">
        <v>79.098577057072305</v>
      </c>
      <c r="AN4079">
        <v>0.99999997731619095</v>
      </c>
    </row>
    <row r="4080" spans="1:40" x14ac:dyDescent="0.25">
      <c r="A4080" t="str">
        <f>"20190312161352710"</f>
        <v>20190312161352710</v>
      </c>
      <c r="B4080" t="str">
        <f>"1552378432700523"</f>
        <v>1552378432700523</v>
      </c>
      <c r="C4080" t="s">
        <v>40</v>
      </c>
      <c r="D4080">
        <v>5.2100970000000002</v>
      </c>
      <c r="E4080">
        <v>0.63914659999999901</v>
      </c>
      <c r="F4080" t="s">
        <v>64</v>
      </c>
      <c r="G4080">
        <v>-234.0909</v>
      </c>
      <c r="H4080">
        <v>3.5038900000000002</v>
      </c>
      <c r="I4080">
        <v>119.3841</v>
      </c>
      <c r="J4080">
        <v>-193.7944</v>
      </c>
      <c r="K4080">
        <v>1.1064929999999999</v>
      </c>
      <c r="L4080">
        <v>152.7491</v>
      </c>
      <c r="M4080">
        <v>-0.33070640000000001</v>
      </c>
      <c r="N4080">
        <v>0</v>
      </c>
      <c r="O4080">
        <v>-0.9436795</v>
      </c>
      <c r="P4080">
        <v>-0.5026311</v>
      </c>
      <c r="Q4080">
        <v>-6.1404649999999998E-2</v>
      </c>
      <c r="R4080">
        <v>-0.86231749999999996</v>
      </c>
      <c r="S4080">
        <v>-2.472839</v>
      </c>
      <c r="T4080">
        <v>0.14686160000000001</v>
      </c>
      <c r="U4080">
        <v>-2.0550989999999998</v>
      </c>
      <c r="V4080">
        <v>0.1887721</v>
      </c>
      <c r="W4080">
        <v>-5.2878979999999999E-2</v>
      </c>
      <c r="X4080">
        <v>0.98059620000000003</v>
      </c>
      <c r="Y4080">
        <v>0.51352989999999998</v>
      </c>
      <c r="Z4080">
        <v>-4.7236859999999999E-2</v>
      </c>
      <c r="AA4080">
        <v>0.85677049999999999</v>
      </c>
      <c r="AB4080">
        <v>19</v>
      </c>
      <c r="AC4080">
        <v>-40.296500000000002</v>
      </c>
      <c r="AD4080">
        <v>2.3973969999999998</v>
      </c>
      <c r="AE4080">
        <v>-33.364999999999903</v>
      </c>
      <c r="AF4080">
        <v>26.937775599873099</v>
      </c>
      <c r="AG4080">
        <v>2.3973969999999998</v>
      </c>
      <c r="AH4080">
        <v>44.720559755575003</v>
      </c>
      <c r="AI4080">
        <v>87.370768960335795</v>
      </c>
      <c r="AJ4080">
        <v>58.937016687186897</v>
      </c>
      <c r="AK4080">
        <v>52.2620295386305</v>
      </c>
      <c r="AL4080">
        <v>93.031156113121398</v>
      </c>
      <c r="AM4080">
        <v>79.103434790100195</v>
      </c>
      <c r="AN4080">
        <v>0.99999999985934496</v>
      </c>
    </row>
    <row r="4081" spans="1:40" x14ac:dyDescent="0.25">
      <c r="A4081" t="str">
        <f>"20190312161352723"</f>
        <v>20190312161352723</v>
      </c>
      <c r="B4081" t="str">
        <f>"1552378432720043"</f>
        <v>1552378432720043</v>
      </c>
      <c r="C4081" t="s">
        <v>40</v>
      </c>
      <c r="D4081">
        <v>5.5444740000000001</v>
      </c>
      <c r="E4081">
        <v>0.63902119999999996</v>
      </c>
      <c r="F4081" t="s">
        <v>64</v>
      </c>
      <c r="G4081">
        <v>-234.36</v>
      </c>
      <c r="H4081">
        <v>3.4012600000000002</v>
      </c>
      <c r="I4081">
        <v>119.3841</v>
      </c>
      <c r="J4081">
        <v>-193.83959999999999</v>
      </c>
      <c r="K4081">
        <v>1.106439</v>
      </c>
      <c r="L4081">
        <v>152.63299999999899</v>
      </c>
      <c r="M4081">
        <v>-0.33415159999999899</v>
      </c>
      <c r="N4081">
        <v>0</v>
      </c>
      <c r="O4081">
        <v>-0.94246509999999994</v>
      </c>
      <c r="P4081">
        <v>-0.50559270000000001</v>
      </c>
      <c r="Q4081">
        <v>-6.1686739999999997E-2</v>
      </c>
      <c r="R4081">
        <v>-0.86056440000000001</v>
      </c>
      <c r="S4081">
        <v>-2.4826199999999998</v>
      </c>
      <c r="T4081">
        <v>0.1404407</v>
      </c>
      <c r="U4081">
        <v>-2.0419459999999998</v>
      </c>
      <c r="V4081">
        <v>0.188559</v>
      </c>
      <c r="W4081">
        <v>-5.3175899999999998E-2</v>
      </c>
      <c r="X4081">
        <v>0.98062119999999997</v>
      </c>
      <c r="Y4081">
        <v>0.51483400000000001</v>
      </c>
      <c r="Z4081">
        <v>-4.518759E-2</v>
      </c>
      <c r="AA4081">
        <v>0.85609809999999997</v>
      </c>
      <c r="AB4081">
        <v>19</v>
      </c>
      <c r="AC4081">
        <v>-40.520400000000002</v>
      </c>
      <c r="AD4081">
        <v>2.2948210000000002</v>
      </c>
      <c r="AE4081">
        <v>-33.2488999999999</v>
      </c>
      <c r="AF4081">
        <v>27.0284659468442</v>
      </c>
      <c r="AG4081">
        <v>2.2948210000000002</v>
      </c>
      <c r="AH4081">
        <v>44.792320710862597</v>
      </c>
      <c r="AI4081">
        <v>87.488319111401694</v>
      </c>
      <c r="AJ4081">
        <v>58.8924877806705</v>
      </c>
      <c r="AK4081">
        <v>52.365601013704897</v>
      </c>
      <c r="AL4081">
        <v>93.048192175748795</v>
      </c>
      <c r="AM4081">
        <v>79.115712525225703</v>
      </c>
      <c r="AN4081">
        <v>1.0000000553556201</v>
      </c>
    </row>
    <row r="4082" spans="1:40" x14ac:dyDescent="0.25">
      <c r="A4082" t="str">
        <f>"20190312161352741"</f>
        <v>20190312161352741</v>
      </c>
      <c r="B4082" t="str">
        <f>"1552378432729804"</f>
        <v>1552378432729804</v>
      </c>
      <c r="C4082" t="s">
        <v>40</v>
      </c>
      <c r="D4082">
        <v>5.1998689999999996</v>
      </c>
      <c r="E4082">
        <v>0.63872419999999996</v>
      </c>
      <c r="F4082" t="s">
        <v>64</v>
      </c>
      <c r="G4082">
        <v>-234.5231</v>
      </c>
      <c r="H4082">
        <v>3.1330650000000002</v>
      </c>
      <c r="I4082">
        <v>119.3841</v>
      </c>
      <c r="J4082">
        <v>-193.8956</v>
      </c>
      <c r="K4082">
        <v>1.1063700000000001</v>
      </c>
      <c r="L4082">
        <v>152.49039999999999</v>
      </c>
      <c r="M4082">
        <v>-0.33843959999999901</v>
      </c>
      <c r="N4082">
        <v>0</v>
      </c>
      <c r="O4082">
        <v>-0.94093360000000004</v>
      </c>
      <c r="P4082">
        <v>-0.50912159999999995</v>
      </c>
      <c r="Q4082">
        <v>-6.2308120000000002E-2</v>
      </c>
      <c r="R4082">
        <v>-0.85843639999999999</v>
      </c>
      <c r="S4082">
        <v>-2.487946</v>
      </c>
      <c r="T4082">
        <v>0.1239358</v>
      </c>
      <c r="U4082">
        <v>-2.0332949999999999</v>
      </c>
      <c r="V4082">
        <v>0.18812300000000001</v>
      </c>
      <c r="W4082">
        <v>-5.3812529999999997E-2</v>
      </c>
      <c r="X4082">
        <v>0.98067020000000005</v>
      </c>
      <c r="Y4082">
        <v>0.51379359999999996</v>
      </c>
      <c r="Z4082">
        <v>-3.9879690000000002E-2</v>
      </c>
      <c r="AA4082">
        <v>0.85698649999999998</v>
      </c>
      <c r="AB4082">
        <v>19</v>
      </c>
      <c r="AC4082">
        <v>-40.627499999999998</v>
      </c>
      <c r="AD4082">
        <v>2.0266950000000001</v>
      </c>
      <c r="AE4082">
        <v>-33.106299999999898</v>
      </c>
      <c r="AF4082">
        <v>26.984328983968801</v>
      </c>
      <c r="AG4082">
        <v>2.0266950000000001</v>
      </c>
      <c r="AH4082">
        <v>44.836037416510401</v>
      </c>
      <c r="AI4082">
        <v>87.7820913082288</v>
      </c>
      <c r="AJ4082">
        <v>58.958593234487999</v>
      </c>
      <c r="AK4082">
        <v>52.369187071719999</v>
      </c>
      <c r="AL4082">
        <v>93.084720717301906</v>
      </c>
      <c r="AM4082">
        <v>79.140810584368495</v>
      </c>
      <c r="AN4082">
        <v>1.0000000463410099</v>
      </c>
    </row>
    <row r="4083" spans="1:40" x14ac:dyDescent="0.25">
      <c r="A4083" t="str">
        <f>"20190312161352754"</f>
        <v>20190312161352754</v>
      </c>
      <c r="B4083" t="str">
        <f>"1552378432750299"</f>
        <v>1552378432750299</v>
      </c>
      <c r="C4083" t="s">
        <v>40</v>
      </c>
      <c r="D4083">
        <v>5.5497519999999998</v>
      </c>
      <c r="E4083">
        <v>0.63848349999999998</v>
      </c>
      <c r="F4083" t="s">
        <v>64</v>
      </c>
      <c r="G4083">
        <v>-234.6857</v>
      </c>
      <c r="H4083">
        <v>3.1272769999999999</v>
      </c>
      <c r="I4083">
        <v>119.3841</v>
      </c>
      <c r="J4083">
        <v>-193.93639999999999</v>
      </c>
      <c r="K4083">
        <v>1.1063259999999999</v>
      </c>
      <c r="L4083">
        <v>152.3878</v>
      </c>
      <c r="M4083">
        <v>-0.34156520000000001</v>
      </c>
      <c r="N4083">
        <v>0</v>
      </c>
      <c r="O4083">
        <v>-0.93980339999999996</v>
      </c>
      <c r="P4083">
        <v>-0.51209280000000001</v>
      </c>
      <c r="Q4083">
        <v>-6.2727119999999997E-2</v>
      </c>
      <c r="R4083">
        <v>-0.85663690000000003</v>
      </c>
      <c r="S4083">
        <v>-2.4942470000000001</v>
      </c>
      <c r="T4083">
        <v>0.1235754</v>
      </c>
      <c r="U4083">
        <v>-2.0243989999999998</v>
      </c>
      <c r="V4083">
        <v>0.1882626</v>
      </c>
      <c r="W4083">
        <v>-5.4246629999999997E-2</v>
      </c>
      <c r="X4083">
        <v>0.98061940000000003</v>
      </c>
      <c r="Y4083">
        <v>0.51384790000000002</v>
      </c>
      <c r="Z4083">
        <v>-3.9763199999999901E-2</v>
      </c>
      <c r="AA4083">
        <v>0.85695929999999998</v>
      </c>
      <c r="AB4083">
        <v>19</v>
      </c>
      <c r="AC4083">
        <v>-40.749299999999998</v>
      </c>
      <c r="AD4083">
        <v>2.0209509999999899</v>
      </c>
      <c r="AE4083">
        <v>-33.003699999999903</v>
      </c>
      <c r="AF4083">
        <v>26.984723384106498</v>
      </c>
      <c r="AG4083">
        <v>2.0209509999999899</v>
      </c>
      <c r="AH4083">
        <v>44.8711939372537</v>
      </c>
      <c r="AI4083">
        <v>87.789650746832606</v>
      </c>
      <c r="AJ4083">
        <v>58.978061000953801</v>
      </c>
      <c r="AK4083">
        <v>52.399270838588698</v>
      </c>
      <c r="AL4083">
        <v>93.109629479795899</v>
      </c>
      <c r="AM4083">
        <v>79.132394578777806</v>
      </c>
      <c r="AN4083">
        <v>0.99999995554073695</v>
      </c>
    </row>
    <row r="4084" spans="1:40" x14ac:dyDescent="0.25">
      <c r="A4084" t="str">
        <f>"20190312161352765"</f>
        <v>20190312161352765</v>
      </c>
      <c r="B4084" t="str">
        <f>"1552378432760060"</f>
        <v>1552378432760060</v>
      </c>
      <c r="C4084" t="s">
        <v>40</v>
      </c>
      <c r="D4084">
        <v>5.593953</v>
      </c>
      <c r="E4084">
        <v>0.63848349999999998</v>
      </c>
      <c r="F4084" t="s">
        <v>64</v>
      </c>
      <c r="G4084">
        <v>-234.8415</v>
      </c>
      <c r="H4084">
        <v>3.0200990000000001</v>
      </c>
      <c r="I4084">
        <v>119.3841</v>
      </c>
      <c r="J4084">
        <v>-193.97890000000001</v>
      </c>
      <c r="K4084">
        <v>1.1062780000000001</v>
      </c>
      <c r="L4084">
        <v>152.28219999999999</v>
      </c>
      <c r="M4084">
        <v>-0.34482000000000002</v>
      </c>
      <c r="N4084">
        <v>0</v>
      </c>
      <c r="O4084">
        <v>-0.93861410000000001</v>
      </c>
      <c r="P4084">
        <v>-0.51492729999999998</v>
      </c>
      <c r="Q4084">
        <v>-6.2895690000000004E-2</v>
      </c>
      <c r="R4084">
        <v>-0.85492369999999995</v>
      </c>
      <c r="S4084">
        <v>-2.4993289999999999</v>
      </c>
      <c r="T4084">
        <v>0.1169333</v>
      </c>
      <c r="U4084">
        <v>-2.016556</v>
      </c>
      <c r="V4084">
        <v>0.18810940000000001</v>
      </c>
      <c r="W4084">
        <v>-5.4427980000000001E-2</v>
      </c>
      <c r="X4084">
        <v>0.98063880000000003</v>
      </c>
      <c r="Y4084">
        <v>0.51342180000000004</v>
      </c>
      <c r="Z4084">
        <v>-3.762617E-2</v>
      </c>
      <c r="AA4084">
        <v>0.85731109999999899</v>
      </c>
      <c r="AB4084">
        <v>19</v>
      </c>
      <c r="AC4084">
        <v>-40.862599999999901</v>
      </c>
      <c r="AD4084">
        <v>1.913821</v>
      </c>
      <c r="AE4084">
        <v>-32.8980999999999</v>
      </c>
      <c r="AF4084">
        <v>26.975774990068199</v>
      </c>
      <c r="AG4084">
        <v>1.913821</v>
      </c>
      <c r="AH4084">
        <v>44.911399473975401</v>
      </c>
      <c r="AI4084">
        <v>87.907905196782593</v>
      </c>
      <c r="AJ4084">
        <v>59.009108347572202</v>
      </c>
      <c r="AK4084">
        <v>52.4250793976111</v>
      </c>
      <c r="AL4084">
        <v>93.120035292799301</v>
      </c>
      <c r="AM4084">
        <v>79.141237545609101</v>
      </c>
      <c r="AN4084">
        <v>1.00000000372034</v>
      </c>
    </row>
    <row r="4085" spans="1:40" x14ac:dyDescent="0.25">
      <c r="A4085" t="str">
        <f>"20190312161352777"</f>
        <v>20190312161352777</v>
      </c>
      <c r="B4085" t="str">
        <f>"1552378432769819"</f>
        <v>1552378432769819</v>
      </c>
      <c r="C4085" t="s">
        <v>40</v>
      </c>
      <c r="D4085">
        <v>5.6229639999999996</v>
      </c>
      <c r="E4085">
        <v>0.63841719999999902</v>
      </c>
      <c r="F4085" t="s">
        <v>64</v>
      </c>
      <c r="G4085">
        <v>-235.03370000000001</v>
      </c>
      <c r="H4085">
        <v>3.0175239999999999</v>
      </c>
      <c r="I4085">
        <v>119.3841</v>
      </c>
      <c r="J4085">
        <v>-194.01570000000001</v>
      </c>
      <c r="K4085">
        <v>1.106236</v>
      </c>
      <c r="L4085">
        <v>152.1918</v>
      </c>
      <c r="M4085">
        <v>-0.34765230000000003</v>
      </c>
      <c r="N4085">
        <v>0</v>
      </c>
      <c r="O4085">
        <v>-0.93756859999999997</v>
      </c>
      <c r="P4085">
        <v>-0.51731400000000005</v>
      </c>
      <c r="Q4085">
        <v>-6.2863050000000004E-2</v>
      </c>
      <c r="R4085">
        <v>-0.85348400000000002</v>
      </c>
      <c r="S4085">
        <v>-2.5061339999999999</v>
      </c>
      <c r="T4085">
        <v>0.11666989999999899</v>
      </c>
      <c r="U4085">
        <v>-2.0082239999999998</v>
      </c>
      <c r="V4085">
        <v>0.18788279999999999</v>
      </c>
      <c r="W4085">
        <v>-5.440528E-2</v>
      </c>
      <c r="X4085">
        <v>0.98068350000000004</v>
      </c>
      <c r="Y4085">
        <v>0.513706</v>
      </c>
      <c r="Z4085">
        <v>-3.7533280000000002E-2</v>
      </c>
      <c r="AA4085">
        <v>0.85714500000000005</v>
      </c>
      <c r="AB4085">
        <v>19</v>
      </c>
      <c r="AC4085">
        <v>-41.018000000000001</v>
      </c>
      <c r="AD4085">
        <v>1.9112880000000001</v>
      </c>
      <c r="AE4085">
        <v>-32.807699999999997</v>
      </c>
      <c r="AF4085">
        <v>27.017135675567499</v>
      </c>
      <c r="AG4085">
        <v>1.9112880000000001</v>
      </c>
      <c r="AH4085">
        <v>44.9622544488684</v>
      </c>
      <c r="AI4085">
        <v>87.913254144560298</v>
      </c>
      <c r="AJ4085">
        <v>58.998981680408797</v>
      </c>
      <c r="AK4085">
        <v>52.489836797762599</v>
      </c>
      <c r="AL4085">
        <v>93.118732747467206</v>
      </c>
      <c r="AM4085">
        <v>79.154490413462298</v>
      </c>
      <c r="AN4085">
        <v>1.0000000040999799</v>
      </c>
    </row>
    <row r="4086" spans="1:40" x14ac:dyDescent="0.25">
      <c r="A4086" t="str">
        <f>"20190312161352789"</f>
        <v>20190312161352789</v>
      </c>
      <c r="B4086" t="str">
        <f>"1552378432779579"</f>
        <v>1552378432779579</v>
      </c>
      <c r="C4086" t="s">
        <v>40</v>
      </c>
      <c r="D4086">
        <v>5.6717139999999997</v>
      </c>
      <c r="E4086">
        <v>0.63841719999999902</v>
      </c>
      <c r="F4086" t="s">
        <v>64</v>
      </c>
      <c r="G4086">
        <v>-235.17310000000001</v>
      </c>
      <c r="H4086">
        <v>2.9230160000000001</v>
      </c>
      <c r="I4086">
        <v>119.3841</v>
      </c>
      <c r="J4086">
        <v>-194.05590000000001</v>
      </c>
      <c r="K4086">
        <v>1.1061920000000001</v>
      </c>
      <c r="L4086">
        <v>152.09379999999999</v>
      </c>
      <c r="M4086">
        <v>-0.35073850000000001</v>
      </c>
      <c r="N4086">
        <v>0</v>
      </c>
      <c r="O4086">
        <v>-0.93641839999999998</v>
      </c>
      <c r="P4086">
        <v>-0.52004529999999904</v>
      </c>
      <c r="Q4086">
        <v>-6.2583819999999998E-2</v>
      </c>
      <c r="R4086">
        <v>-0.85184319999999902</v>
      </c>
      <c r="S4086">
        <v>-2.510742</v>
      </c>
      <c r="T4086">
        <v>0.1108302</v>
      </c>
      <c r="U4086">
        <v>-2.0013890000000001</v>
      </c>
      <c r="V4086">
        <v>0.18778349999999999</v>
      </c>
      <c r="W4086">
        <v>-5.413838E-2</v>
      </c>
      <c r="X4086">
        <v>0.98071730000000001</v>
      </c>
      <c r="Y4086">
        <v>0.51312979999999997</v>
      </c>
      <c r="Z4086">
        <v>-3.5649439999999998E-2</v>
      </c>
      <c r="AA4086">
        <v>0.85757039999999995</v>
      </c>
      <c r="AB4086">
        <v>19</v>
      </c>
      <c r="AC4086">
        <v>-41.117199999999997</v>
      </c>
      <c r="AD4086">
        <v>1.816824</v>
      </c>
      <c r="AE4086">
        <v>-32.709699999999899</v>
      </c>
      <c r="AF4086">
        <v>26.999460982649602</v>
      </c>
      <c r="AG4086">
        <v>1.816824</v>
      </c>
      <c r="AH4086">
        <v>44.999864883470302</v>
      </c>
      <c r="AI4086">
        <v>88.017179712295501</v>
      </c>
      <c r="AJ4086">
        <v>59.036672204065503</v>
      </c>
      <c r="AK4086">
        <v>52.509614189509897</v>
      </c>
      <c r="AL4086">
        <v>93.103417899721705</v>
      </c>
      <c r="AM4086">
        <v>79.160451394702307</v>
      </c>
      <c r="AN4086">
        <v>1.0000000147902799</v>
      </c>
    </row>
    <row r="4087" spans="1:40" x14ac:dyDescent="0.25">
      <c r="A4087" t="str">
        <f>"20190312161352802"</f>
        <v>20190312161352802</v>
      </c>
      <c r="B4087" t="str">
        <f>"1552378432790316"</f>
        <v>1552378432790316</v>
      </c>
      <c r="C4087" t="s">
        <v>40</v>
      </c>
      <c r="D4087">
        <v>5.5330490000000001</v>
      </c>
      <c r="E4087">
        <v>0.64643030000000001</v>
      </c>
      <c r="F4087" t="s">
        <v>64</v>
      </c>
      <c r="G4087">
        <v>-235.36060000000001</v>
      </c>
      <c r="H4087">
        <v>2.9432870000000002</v>
      </c>
      <c r="I4087">
        <v>119.3841</v>
      </c>
      <c r="J4087">
        <v>-194.0984</v>
      </c>
      <c r="K4087">
        <v>1.1061449999999999</v>
      </c>
      <c r="L4087">
        <v>151.9915</v>
      </c>
      <c r="M4087">
        <v>-0.35402109999999998</v>
      </c>
      <c r="N4087">
        <v>0</v>
      </c>
      <c r="O4087">
        <v>-0.93518219999999996</v>
      </c>
      <c r="P4087">
        <v>-0.52271690000000004</v>
      </c>
      <c r="Q4087">
        <v>-6.2604939999999998E-2</v>
      </c>
      <c r="R4087">
        <v>-0.85020469999999904</v>
      </c>
      <c r="S4087">
        <v>-2.51709</v>
      </c>
      <c r="T4087">
        <v>0.11195189999999999</v>
      </c>
      <c r="U4087">
        <v>-1.993317</v>
      </c>
      <c r="V4087">
        <v>0.18741650000000001</v>
      </c>
      <c r="W4087">
        <v>-5.4170339999999997E-2</v>
      </c>
      <c r="X4087">
        <v>0.98078569999999998</v>
      </c>
      <c r="Y4087">
        <v>0.51285199999999997</v>
      </c>
      <c r="Z4087">
        <v>-3.5996859999999999E-2</v>
      </c>
      <c r="AA4087">
        <v>0.85772199999999998</v>
      </c>
      <c r="AB4087">
        <v>19</v>
      </c>
      <c r="AC4087">
        <v>-41.2622</v>
      </c>
      <c r="AD4087">
        <v>1.8371420000000001</v>
      </c>
      <c r="AE4087">
        <v>-32.607399999999998</v>
      </c>
      <c r="AF4087">
        <v>27.012401521484101</v>
      </c>
      <c r="AG4087">
        <v>1.8371420000000001</v>
      </c>
      <c r="AH4087">
        <v>45.048906777805698</v>
      </c>
      <c r="AI4087">
        <v>87.996881212865404</v>
      </c>
      <c r="AJ4087">
        <v>59.0520905816701</v>
      </c>
      <c r="AK4087">
        <v>52.559004257705197</v>
      </c>
      <c r="AL4087">
        <v>93.105251872729298</v>
      </c>
      <c r="AM4087">
        <v>79.181872228627896</v>
      </c>
      <c r="AN4087">
        <v>0.99999997976622701</v>
      </c>
    </row>
    <row r="4088" spans="1:40" x14ac:dyDescent="0.25">
      <c r="A4088" t="str">
        <f>"20190312161352819"</f>
        <v>20190312161352819</v>
      </c>
      <c r="B4088" t="str">
        <f>"1552378432809835"</f>
        <v>1552378432809835</v>
      </c>
      <c r="C4088" t="s">
        <v>40</v>
      </c>
      <c r="D4088">
        <v>5.2601690000000003</v>
      </c>
      <c r="E4088">
        <v>0.64649749999999995</v>
      </c>
      <c r="F4088" t="s">
        <v>42</v>
      </c>
      <c r="G4088">
        <v>-211.7226</v>
      </c>
      <c r="H4088" s="1">
        <v>-4.0632780000000004E-6</v>
      </c>
      <c r="I4088">
        <v>138.65780000000001</v>
      </c>
      <c r="J4088">
        <v>-194.1592</v>
      </c>
      <c r="K4088">
        <v>1.1060840000000001</v>
      </c>
      <c r="L4088">
        <v>151.84719999999999</v>
      </c>
      <c r="M4088">
        <v>-0.35870550000000001</v>
      </c>
      <c r="N4088">
        <v>0</v>
      </c>
      <c r="O4088">
        <v>-0.93339539999999999</v>
      </c>
      <c r="P4088">
        <v>-0.52672200000000002</v>
      </c>
      <c r="Q4088">
        <v>-6.198621E-2</v>
      </c>
      <c r="R4088">
        <v>-0.84777469999999999</v>
      </c>
      <c r="S4088">
        <v>-2.5643919999999998</v>
      </c>
      <c r="T4088">
        <v>-0.1609496</v>
      </c>
      <c r="U4088">
        <v>-1.9401090000000001</v>
      </c>
      <c r="V4088">
        <v>0.18710599999999999</v>
      </c>
      <c r="W4088">
        <v>-5.3568360000000002E-2</v>
      </c>
      <c r="X4088">
        <v>0.98087809999999998</v>
      </c>
      <c r="Y4088">
        <v>0.52685950000000004</v>
      </c>
      <c r="Z4088">
        <v>5.1779270000000002E-2</v>
      </c>
      <c r="AA4088">
        <v>0.84837369999999901</v>
      </c>
      <c r="AB4088">
        <v>19</v>
      </c>
      <c r="AC4088">
        <v>-17.563400000000001</v>
      </c>
      <c r="AD4088">
        <v>-1.1060880632779999</v>
      </c>
      <c r="AE4088">
        <v>-13.1893999999999</v>
      </c>
      <c r="AF4088">
        <v>11.6335871005593</v>
      </c>
      <c r="AG4088">
        <v>-1.1060880632779999</v>
      </c>
      <c r="AH4088">
        <v>18.5648958473503</v>
      </c>
      <c r="AI4088">
        <v>92.890181298216007</v>
      </c>
      <c r="AJ4088">
        <v>57.926917214888498</v>
      </c>
      <c r="AK4088">
        <v>21.936707534472699</v>
      </c>
      <c r="AL4088">
        <v>93.070710632200004</v>
      </c>
      <c r="AM4088">
        <v>79.200366617278107</v>
      </c>
      <c r="AN4088">
        <v>1.0000000357443399</v>
      </c>
    </row>
    <row r="4089" spans="1:40" x14ac:dyDescent="0.25">
      <c r="A4089" t="str">
        <f>"20190312161352831"</f>
        <v>20190312161352831</v>
      </c>
      <c r="B4089" t="str">
        <f>"1552378432819595"</f>
        <v>1552378432819595</v>
      </c>
      <c r="C4089" t="s">
        <v>40</v>
      </c>
      <c r="D4089">
        <v>5.5537570000000001</v>
      </c>
      <c r="E4089">
        <v>0.64620109999999997</v>
      </c>
      <c r="F4089" t="s">
        <v>42</v>
      </c>
      <c r="G4089">
        <v>-211.17949999999999</v>
      </c>
      <c r="H4089" s="1">
        <v>-4.2415309999999998E-6</v>
      </c>
      <c r="I4089">
        <v>139.1002</v>
      </c>
      <c r="J4089">
        <v>-194.19919999999999</v>
      </c>
      <c r="K4089">
        <v>1.106039</v>
      </c>
      <c r="L4089">
        <v>151.75319999999999</v>
      </c>
      <c r="M4089">
        <v>-0.36179430000000001</v>
      </c>
      <c r="N4089">
        <v>0</v>
      </c>
      <c r="O4089">
        <v>-0.93220219999999998</v>
      </c>
      <c r="P4089">
        <v>-0.52952440000000001</v>
      </c>
      <c r="Q4089">
        <v>-6.1951310000000002E-2</v>
      </c>
      <c r="R4089">
        <v>-0.84602980000000005</v>
      </c>
      <c r="S4089">
        <v>-2.573639</v>
      </c>
      <c r="T4089">
        <v>-0.16725110000000001</v>
      </c>
      <c r="U4089">
        <v>-1.927475</v>
      </c>
      <c r="V4089">
        <v>0.18709729999999999</v>
      </c>
      <c r="W4089">
        <v>-5.3547270000000001E-2</v>
      </c>
      <c r="X4089">
        <v>0.98088089999999994</v>
      </c>
      <c r="Y4089">
        <v>0.52808690000000003</v>
      </c>
      <c r="Z4089">
        <v>5.3804030000000003E-2</v>
      </c>
      <c r="AA4089">
        <v>0.84748409999999996</v>
      </c>
      <c r="AB4089">
        <v>19</v>
      </c>
      <c r="AC4089">
        <v>-16.9803</v>
      </c>
      <c r="AD4089">
        <v>-1.106043241531</v>
      </c>
      <c r="AE4089">
        <v>-12.652999999999899</v>
      </c>
      <c r="AF4089">
        <v>11.221262491457299</v>
      </c>
      <c r="AG4089">
        <v>-1.106043241531</v>
      </c>
      <c r="AH4089">
        <v>17.890656150025499</v>
      </c>
      <c r="AI4089">
        <v>92.998019430806096</v>
      </c>
      <c r="AJ4089">
        <v>57.903504788785398</v>
      </c>
      <c r="AK4089">
        <v>21.1474736323933</v>
      </c>
      <c r="AL4089">
        <v>93.069500560805494</v>
      </c>
      <c r="AM4089">
        <v>79.200887068731205</v>
      </c>
      <c r="AN4089">
        <v>1.0000000248882699</v>
      </c>
    </row>
    <row r="4090" spans="1:40" x14ac:dyDescent="0.25">
      <c r="A4090" t="str">
        <f>"20190312161352843"</f>
        <v>20190312161352843</v>
      </c>
      <c r="B4090" t="str">
        <f>"1552378432840092"</f>
        <v>1552378432840092</v>
      </c>
      <c r="C4090" t="s">
        <v>40</v>
      </c>
      <c r="D4090">
        <v>5.5700370000000001</v>
      </c>
      <c r="E4090">
        <v>0.64635069999999994</v>
      </c>
      <c r="F4090" t="s">
        <v>42</v>
      </c>
      <c r="G4090">
        <v>-211.67099999999999</v>
      </c>
      <c r="H4090" s="1">
        <v>-4.0730959999999999E-6</v>
      </c>
      <c r="I4090">
        <v>138.74</v>
      </c>
      <c r="J4090">
        <v>-194.23920000000001</v>
      </c>
      <c r="K4090">
        <v>1.105996</v>
      </c>
      <c r="L4090">
        <v>151.66030000000001</v>
      </c>
      <c r="M4090">
        <v>-0.3648863</v>
      </c>
      <c r="N4090">
        <v>0</v>
      </c>
      <c r="O4090">
        <v>-0.93099639999999995</v>
      </c>
      <c r="P4090">
        <v>-0.53242330000000004</v>
      </c>
      <c r="Q4090">
        <v>-6.2100219999999998E-2</v>
      </c>
      <c r="R4090">
        <v>-0.84419750000000005</v>
      </c>
      <c r="S4090">
        <v>-2.5782620000000001</v>
      </c>
      <c r="T4090">
        <v>-0.16321540000000001</v>
      </c>
      <c r="U4090">
        <v>-1.9203190000000001</v>
      </c>
      <c r="V4090">
        <v>0.18720319999999999</v>
      </c>
      <c r="W4090">
        <v>-5.3712790000000003E-2</v>
      </c>
      <c r="X4090">
        <v>0.98085169999999999</v>
      </c>
      <c r="Y4090">
        <v>0.5275685</v>
      </c>
      <c r="Z4090">
        <v>5.2495699999999999E-2</v>
      </c>
      <c r="AA4090">
        <v>0.84788889999999995</v>
      </c>
      <c r="AB4090">
        <v>20</v>
      </c>
      <c r="AC4090">
        <v>-17.4317999999999</v>
      </c>
      <c r="AD4090">
        <v>-1.106000073096</v>
      </c>
      <c r="AE4090">
        <v>-12.9202999999999</v>
      </c>
      <c r="AF4090">
        <v>11.485258634151</v>
      </c>
      <c r="AG4090">
        <v>-1.106000073096</v>
      </c>
      <c r="AH4090">
        <v>18.3426733825223</v>
      </c>
      <c r="AI4090">
        <v>92.9255531417828</v>
      </c>
      <c r="AJ4090">
        <v>57.9472737472868</v>
      </c>
      <c r="AK4090">
        <v>21.669980823086199</v>
      </c>
      <c r="AL4090">
        <v>93.078997656999405</v>
      </c>
      <c r="AM4090">
        <v>79.194604362919094</v>
      </c>
      <c r="AN4090">
        <v>1.00000007964635</v>
      </c>
    </row>
    <row r="4091" spans="1:40" x14ac:dyDescent="0.25">
      <c r="A4091" t="str">
        <f>"20190312161352854"</f>
        <v>20190312161352854</v>
      </c>
      <c r="B4091" t="str">
        <f>"1552378432849851"</f>
        <v>1552378432849851</v>
      </c>
      <c r="C4091" t="s">
        <v>40</v>
      </c>
      <c r="D4091">
        <v>5.542821</v>
      </c>
      <c r="E4091">
        <v>0.64642540000000004</v>
      </c>
      <c r="F4091" t="s">
        <v>42</v>
      </c>
      <c r="G4091">
        <v>-211.01750000000001</v>
      </c>
      <c r="H4091" s="1">
        <v>-4.2895530000000002E-6</v>
      </c>
      <c r="I4091">
        <v>139.2611</v>
      </c>
      <c r="J4091">
        <v>-194.28</v>
      </c>
      <c r="K4091">
        <v>1.1059540000000001</v>
      </c>
      <c r="L4091">
        <v>151.56659999999999</v>
      </c>
      <c r="M4091">
        <v>-0.36803609999999998</v>
      </c>
      <c r="N4091">
        <v>0</v>
      </c>
      <c r="O4091">
        <v>-0.92975549999999996</v>
      </c>
      <c r="P4091">
        <v>-0.53530349999999904</v>
      </c>
      <c r="Q4091">
        <v>-6.206474E-2</v>
      </c>
      <c r="R4091">
        <v>-0.84237659999999903</v>
      </c>
      <c r="S4091">
        <v>-2.5853579999999998</v>
      </c>
      <c r="T4091">
        <v>-0.17042260000000001</v>
      </c>
      <c r="U4091">
        <v>-1.9105829999999999</v>
      </c>
      <c r="V4091">
        <v>0.18722620000000001</v>
      </c>
      <c r="W4091">
        <v>-5.3694169999999999E-2</v>
      </c>
      <c r="X4091">
        <v>0.98084830000000001</v>
      </c>
      <c r="Y4091">
        <v>0.52776709999999905</v>
      </c>
      <c r="Z4091">
        <v>5.4794570000000001E-2</v>
      </c>
      <c r="AA4091">
        <v>0.84761989999999998</v>
      </c>
      <c r="AB4091">
        <v>20</v>
      </c>
      <c r="AC4091">
        <v>-16.737500000000001</v>
      </c>
      <c r="AD4091">
        <v>-1.105958289553</v>
      </c>
      <c r="AE4091">
        <v>-12.305499999999901</v>
      </c>
      <c r="AF4091">
        <v>11.002306490234901</v>
      </c>
      <c r="AG4091">
        <v>-1.105958289553</v>
      </c>
      <c r="AH4091">
        <v>17.552280808374</v>
      </c>
      <c r="AI4091">
        <v>93.055998650316994</v>
      </c>
      <c r="AJ4091">
        <v>57.919255962846101</v>
      </c>
      <c r="AK4091">
        <v>20.745034428009799</v>
      </c>
      <c r="AL4091">
        <v>93.077929356977194</v>
      </c>
      <c r="AM4091">
        <v>79.193271481493497</v>
      </c>
      <c r="AN4091">
        <v>1.0000000507356499</v>
      </c>
    </row>
    <row r="4092" spans="1:40" x14ac:dyDescent="0.25">
      <c r="A4092" t="str">
        <f>"20190312161352866"</f>
        <v>20190312161352866</v>
      </c>
      <c r="B4092" t="str">
        <f>"1552378432860588"</f>
        <v>1552378432860588</v>
      </c>
      <c r="C4092" t="s">
        <v>40</v>
      </c>
      <c r="D4092">
        <v>5.4428470000000004</v>
      </c>
      <c r="E4092">
        <v>0.64642540000000004</v>
      </c>
      <c r="F4092" t="s">
        <v>42</v>
      </c>
      <c r="G4092">
        <v>-211.02199999999999</v>
      </c>
      <c r="H4092" s="1">
        <v>-4.2830119999999998E-6</v>
      </c>
      <c r="I4092">
        <v>139.28620000000001</v>
      </c>
      <c r="J4092">
        <v>-194.32249999999999</v>
      </c>
      <c r="K4092">
        <v>1.1059079999999999</v>
      </c>
      <c r="L4092">
        <v>151.46969999999999</v>
      </c>
      <c r="M4092">
        <v>-0.3713188</v>
      </c>
      <c r="N4092">
        <v>0</v>
      </c>
      <c r="O4092">
        <v>-0.92844959999999999</v>
      </c>
      <c r="P4092">
        <v>-0.5383462</v>
      </c>
      <c r="Q4092">
        <v>-6.2007430000000002E-2</v>
      </c>
      <c r="R4092">
        <v>-0.84043969999999901</v>
      </c>
      <c r="S4092">
        <v>-2.5922550000000002</v>
      </c>
      <c r="T4092">
        <v>-0.1712418</v>
      </c>
      <c r="U4092">
        <v>-1.901443</v>
      </c>
      <c r="V4092">
        <v>0.18730079999999999</v>
      </c>
      <c r="W4092">
        <v>-5.3655830000000002E-2</v>
      </c>
      <c r="X4092">
        <v>0.98083609999999999</v>
      </c>
      <c r="Y4092">
        <v>0.5277752</v>
      </c>
      <c r="Z4092">
        <v>5.5035630000000002E-2</v>
      </c>
      <c r="AA4092">
        <v>0.8475992</v>
      </c>
      <c r="AB4092">
        <v>20</v>
      </c>
      <c r="AC4092">
        <v>-16.6995</v>
      </c>
      <c r="AD4092">
        <v>-1.1059122830119901</v>
      </c>
      <c r="AE4092">
        <v>-12.183499999999899</v>
      </c>
      <c r="AF4092">
        <v>10.949910186701199</v>
      </c>
      <c r="AG4092">
        <v>-1.1059122830119901</v>
      </c>
      <c r="AH4092">
        <v>17.463528200839399</v>
      </c>
      <c r="AI4092">
        <v>93.071116890377198</v>
      </c>
      <c r="AJ4092">
        <v>57.911633224032698</v>
      </c>
      <c r="AK4092">
        <v>20.642150864094901</v>
      </c>
      <c r="AL4092">
        <v>93.075729632892802</v>
      </c>
      <c r="AM4092">
        <v>79.188935711900797</v>
      </c>
      <c r="AN4092">
        <v>0.99999999641841897</v>
      </c>
    </row>
    <row r="4093" spans="1:40" x14ac:dyDescent="0.25">
      <c r="A4093" t="str">
        <f>"20190312161352878"</f>
        <v>20190312161352878</v>
      </c>
      <c r="B4093" t="str">
        <f>"1552378432870347"</f>
        <v>1552378432870347</v>
      </c>
      <c r="C4093" t="s">
        <v>40</v>
      </c>
      <c r="D4093">
        <v>5.4016549999999999</v>
      </c>
      <c r="E4093">
        <v>0.61577740000000003</v>
      </c>
      <c r="F4093" t="s">
        <v>42</v>
      </c>
      <c r="G4093">
        <v>-211.1651</v>
      </c>
      <c r="H4093" s="1">
        <v>-4.22892E-6</v>
      </c>
      <c r="I4093">
        <v>139.20959999999999</v>
      </c>
      <c r="J4093">
        <v>-194.3655</v>
      </c>
      <c r="K4093">
        <v>1.10586299999999</v>
      </c>
      <c r="L4093">
        <v>151.37309999999999</v>
      </c>
      <c r="M4093">
        <v>-0.37464170000000002</v>
      </c>
      <c r="N4093">
        <v>0</v>
      </c>
      <c r="O4093">
        <v>-0.92711350000000003</v>
      </c>
      <c r="P4093">
        <v>-0.5416917</v>
      </c>
      <c r="Q4093">
        <v>-6.2135950000000002E-2</v>
      </c>
      <c r="R4093">
        <v>-0.83827750000000001</v>
      </c>
      <c r="S4093">
        <v>-2.5992280000000001</v>
      </c>
      <c r="T4093">
        <v>-0.17066899999999999</v>
      </c>
      <c r="U4093">
        <v>-1.892029</v>
      </c>
      <c r="V4093">
        <v>0.18769369999999999</v>
      </c>
      <c r="W4093">
        <v>-5.3806739999999999E-2</v>
      </c>
      <c r="X4093">
        <v>0.98075270000000003</v>
      </c>
      <c r="Y4093">
        <v>0.52783279999999999</v>
      </c>
      <c r="Z4093">
        <v>5.4831030000000003E-2</v>
      </c>
      <c r="AA4093">
        <v>0.84757660000000001</v>
      </c>
      <c r="AB4093">
        <v>20</v>
      </c>
      <c r="AC4093">
        <v>-16.799599999999899</v>
      </c>
      <c r="AD4093">
        <v>-1.10586722891999</v>
      </c>
      <c r="AE4093">
        <v>-12.163500000000001</v>
      </c>
      <c r="AF4093">
        <v>10.9875192829497</v>
      </c>
      <c r="AG4093">
        <v>-1.10586722891999</v>
      </c>
      <c r="AH4093">
        <v>17.521878278306101</v>
      </c>
      <c r="AI4093">
        <v>93.060704449744094</v>
      </c>
      <c r="AJ4093">
        <v>57.9092329102861</v>
      </c>
      <c r="AK4093">
        <v>20.7114639927014</v>
      </c>
      <c r="AL4093">
        <v>93.084388715469004</v>
      </c>
      <c r="AM4093">
        <v>79.165894073802093</v>
      </c>
      <c r="AN4093">
        <v>0.99999997442320299</v>
      </c>
    </row>
    <row r="4094" spans="1:40" x14ac:dyDescent="0.25">
      <c r="A4094" t="str">
        <f>"20190312161352892"</f>
        <v>20190312161352892</v>
      </c>
      <c r="B4094" t="str">
        <f>"1552378432889867"</f>
        <v>1552378432889867</v>
      </c>
      <c r="C4094" t="s">
        <v>40</v>
      </c>
      <c r="D4094">
        <v>5.4973650000000003</v>
      </c>
      <c r="E4094">
        <v>0.54438699999999995</v>
      </c>
      <c r="F4094" t="s">
        <v>64</v>
      </c>
      <c r="G4094">
        <v>-232.50139999999999</v>
      </c>
      <c r="H4094">
        <v>2.1014849999999998</v>
      </c>
      <c r="I4094">
        <v>119.3841</v>
      </c>
      <c r="J4094">
        <v>-194.4162</v>
      </c>
      <c r="K4094">
        <v>1.1058129999999999</v>
      </c>
      <c r="L4094">
        <v>151.2602</v>
      </c>
      <c r="M4094">
        <v>-0.37855369999999999</v>
      </c>
      <c r="N4094">
        <v>0</v>
      </c>
      <c r="O4094">
        <v>-0.92552310000000004</v>
      </c>
      <c r="P4094">
        <v>-0.54538920000000002</v>
      </c>
      <c r="Q4094">
        <v>-6.1972270000000003E-2</v>
      </c>
      <c r="R4094">
        <v>-0.83588909999999905</v>
      </c>
      <c r="S4094">
        <v>-2.413071</v>
      </c>
      <c r="T4094">
        <v>6.2998890000000002E-2</v>
      </c>
      <c r="U4094">
        <v>-2.024124</v>
      </c>
      <c r="V4094">
        <v>0.18787400000000001</v>
      </c>
      <c r="W4094">
        <v>-5.3665850000000001E-2</v>
      </c>
      <c r="X4094">
        <v>0.98072590000000004</v>
      </c>
      <c r="Y4094">
        <v>0.46566590000000002</v>
      </c>
      <c r="Z4094">
        <v>-2.038061E-2</v>
      </c>
      <c r="AA4094">
        <v>0.88472589999999995</v>
      </c>
      <c r="AB4094">
        <v>20</v>
      </c>
      <c r="AC4094">
        <v>-38.085199999999901</v>
      </c>
      <c r="AD4094">
        <v>0.995672</v>
      </c>
      <c r="AE4094">
        <v>-31.876099999999902</v>
      </c>
      <c r="AF4094">
        <v>23.173809326552401</v>
      </c>
      <c r="AG4094">
        <v>0.995672</v>
      </c>
      <c r="AH4094">
        <v>43.904000282300601</v>
      </c>
      <c r="AI4094">
        <v>88.851030083574898</v>
      </c>
      <c r="AJ4094">
        <v>62.173603377050497</v>
      </c>
      <c r="AK4094">
        <v>49.6545873230585</v>
      </c>
      <c r="AL4094">
        <v>93.076304624346093</v>
      </c>
      <c r="AM4094">
        <v>79.155444093029303</v>
      </c>
      <c r="AN4094">
        <v>0.999999977131516</v>
      </c>
    </row>
    <row r="4095" spans="1:40" x14ac:dyDescent="0.25">
      <c r="A4095" t="str">
        <f>"20190312161352912"</f>
        <v>20190312161352912</v>
      </c>
      <c r="B4095" t="str">
        <f>"1552378432899627"</f>
        <v>1552378432899627</v>
      </c>
      <c r="C4095" t="s">
        <v>40</v>
      </c>
      <c r="D4095">
        <v>5.4436629999999999</v>
      </c>
      <c r="E4095">
        <v>0.54438699999999995</v>
      </c>
      <c r="F4095" t="s">
        <v>84</v>
      </c>
      <c r="G4095">
        <v>-205.35480000000001</v>
      </c>
      <c r="H4095" s="1">
        <v>-6.9630150000000003E-6</v>
      </c>
      <c r="I4095">
        <v>138.16220000000001</v>
      </c>
      <c r="J4095">
        <v>-194.4881</v>
      </c>
      <c r="K4095">
        <v>1.1057410000000001</v>
      </c>
      <c r="L4095">
        <v>151.1026</v>
      </c>
      <c r="M4095">
        <v>-0.38410529999999998</v>
      </c>
      <c r="N4095">
        <v>0</v>
      </c>
      <c r="O4095">
        <v>-0.92323290000000002</v>
      </c>
      <c r="P4095">
        <v>-0.55106919999999904</v>
      </c>
      <c r="Q4095">
        <v>-6.1766870000000001E-2</v>
      </c>
      <c r="R4095">
        <v>-0.83217079999999999</v>
      </c>
      <c r="S4095">
        <v>-1.932312</v>
      </c>
      <c r="T4095">
        <v>-0.19534270000000001</v>
      </c>
      <c r="U4095">
        <v>-2.3137660000000002</v>
      </c>
      <c r="V4095">
        <v>0.18864909999999999</v>
      </c>
      <c r="W4095">
        <v>-5.3496250000000002E-2</v>
      </c>
      <c r="X4095">
        <v>0.98058639999999997</v>
      </c>
      <c r="Y4095">
        <v>0.29561150000000003</v>
      </c>
      <c r="Z4095">
        <v>6.3473539999999995E-2</v>
      </c>
      <c r="AA4095">
        <v>0.95319719999999997</v>
      </c>
      <c r="AB4095">
        <v>20</v>
      </c>
      <c r="AC4095">
        <v>-10.8667</v>
      </c>
      <c r="AD4095">
        <v>-1.105747963015</v>
      </c>
      <c r="AE4095">
        <v>-12.940399999999901</v>
      </c>
      <c r="AF4095">
        <v>5.0406980373744998</v>
      </c>
      <c r="AG4095">
        <v>-1.105747963015</v>
      </c>
      <c r="AH4095">
        <v>16.053060286549002</v>
      </c>
      <c r="AI4095">
        <v>93.759911424448603</v>
      </c>
      <c r="AJ4095">
        <v>72.567590843928897</v>
      </c>
      <c r="AK4095">
        <v>16.862148730967899</v>
      </c>
      <c r="AL4095">
        <v>93.066573180653506</v>
      </c>
      <c r="AM4095">
        <v>79.110258734747802</v>
      </c>
      <c r="AN4095">
        <v>1.00000000977991</v>
      </c>
    </row>
    <row r="4096" spans="1:40" x14ac:dyDescent="0.25">
      <c r="A4096" t="str">
        <f>"20190312161352933"</f>
        <v>20190312161352933</v>
      </c>
      <c r="B4096" t="str">
        <f>"1552378432920123"</f>
        <v>1552378432920123</v>
      </c>
      <c r="C4096" t="s">
        <v>40</v>
      </c>
      <c r="D4096">
        <v>5.4548449999999997</v>
      </c>
      <c r="E4096">
        <v>0.50578409999999996</v>
      </c>
      <c r="F4096" t="s">
        <v>84</v>
      </c>
      <c r="G4096">
        <v>-205.54599999999999</v>
      </c>
      <c r="H4096" s="1">
        <v>-6.8399359999999997E-6</v>
      </c>
      <c r="I4096">
        <v>138.04239999999999</v>
      </c>
      <c r="J4096">
        <v>-194.56890000000001</v>
      </c>
      <c r="K4096">
        <v>1.105667</v>
      </c>
      <c r="L4096">
        <v>150.92859999999999</v>
      </c>
      <c r="M4096">
        <v>-0.39033299999999999</v>
      </c>
      <c r="N4096">
        <v>0</v>
      </c>
      <c r="O4096">
        <v>-0.92061740000000003</v>
      </c>
      <c r="P4096">
        <v>-0.55719169999999996</v>
      </c>
      <c r="Q4096">
        <v>-6.1274830000000002E-2</v>
      </c>
      <c r="R4096">
        <v>-0.82812050000000004</v>
      </c>
      <c r="S4096">
        <v>-1.947937</v>
      </c>
      <c r="T4096">
        <v>-0.1947863</v>
      </c>
      <c r="U4096">
        <v>-2.300659</v>
      </c>
      <c r="V4096">
        <v>0.18923780000000001</v>
      </c>
      <c r="W4096">
        <v>-5.3037630000000002E-2</v>
      </c>
      <c r="X4096">
        <v>0.98049790000000003</v>
      </c>
      <c r="Y4096">
        <v>0.29561939999999998</v>
      </c>
      <c r="Z4096">
        <v>6.3185450000000004E-2</v>
      </c>
      <c r="AA4096">
        <v>0.95321389999999995</v>
      </c>
      <c r="AB4096">
        <v>20</v>
      </c>
      <c r="AC4096">
        <v>-10.977099999999901</v>
      </c>
      <c r="AD4096">
        <v>-1.105673839936</v>
      </c>
      <c r="AE4096">
        <v>-12.886200000000001</v>
      </c>
      <c r="AF4096">
        <v>5.05449943191236</v>
      </c>
      <c r="AG4096">
        <v>-1.105673839936</v>
      </c>
      <c r="AH4096">
        <v>16.080218885480701</v>
      </c>
      <c r="AI4096">
        <v>93.752977464037997</v>
      </c>
      <c r="AJ4096">
        <v>72.550488606564102</v>
      </c>
      <c r="AK4096">
        <v>16.8921259334784</v>
      </c>
      <c r="AL4096">
        <v>93.040258759770694</v>
      </c>
      <c r="AM4096">
        <v>79.0761301142565</v>
      </c>
      <c r="AN4096">
        <v>1.00000003352463</v>
      </c>
    </row>
    <row r="4097" spans="1:40" x14ac:dyDescent="0.25">
      <c r="A4097" t="str">
        <f>"20190312161352948"</f>
        <v>20190312161352948</v>
      </c>
      <c r="B4097" t="str">
        <f>"1552378432940620"</f>
        <v>1552378432940620</v>
      </c>
      <c r="C4097" t="s">
        <v>40</v>
      </c>
      <c r="D4097">
        <v>5.6641409999999999</v>
      </c>
      <c r="E4097">
        <v>0.50335160000000001</v>
      </c>
      <c r="F4097" t="s">
        <v>43</v>
      </c>
      <c r="G4097">
        <v>-195.0411</v>
      </c>
      <c r="H4097">
        <v>0.92922700000000003</v>
      </c>
      <c r="I4097">
        <v>150.2457</v>
      </c>
      <c r="J4097">
        <v>-194.6267</v>
      </c>
      <c r="K4097">
        <v>1.105615</v>
      </c>
      <c r="L4097">
        <v>150.80600000000001</v>
      </c>
      <c r="M4097">
        <v>-0.39477370000000001</v>
      </c>
      <c r="N4097">
        <v>0</v>
      </c>
      <c r="O4097">
        <v>-0.91872180000000003</v>
      </c>
      <c r="P4097">
        <v>-0.56150719999999898</v>
      </c>
      <c r="Q4097">
        <v>-6.0895520000000002E-2</v>
      </c>
      <c r="R4097">
        <v>-0.82522859999999998</v>
      </c>
      <c r="S4097">
        <v>-1.687454</v>
      </c>
      <c r="T4097">
        <v>-0.6302991</v>
      </c>
      <c r="U4097">
        <v>-2.4406590000000001</v>
      </c>
      <c r="V4097">
        <v>0.18960769999999999</v>
      </c>
      <c r="W4097">
        <v>-5.2680240000000003E-2</v>
      </c>
      <c r="X4097">
        <v>0.98044569999999998</v>
      </c>
      <c r="Y4097">
        <v>0.1854586</v>
      </c>
      <c r="Z4097">
        <v>0.1990084</v>
      </c>
      <c r="AA4097">
        <v>0.96228930000000001</v>
      </c>
      <c r="AB4097">
        <v>20</v>
      </c>
      <c r="AC4097">
        <v>-0.41439999999999999</v>
      </c>
      <c r="AD4097">
        <v>-0.17638799999999999</v>
      </c>
      <c r="AE4097">
        <v>-0.56030000000001201</v>
      </c>
      <c r="AF4097">
        <v>0.14993003839510399</v>
      </c>
      <c r="AG4097">
        <v>-0.17638799999999999</v>
      </c>
      <c r="AH4097">
        <v>0.63754660276680797</v>
      </c>
      <c r="AI4097">
        <v>105.073247893627</v>
      </c>
      <c r="AJ4097">
        <v>76.766371592180505</v>
      </c>
      <c r="AK4097">
        <v>0.678275322901147</v>
      </c>
      <c r="AL4097">
        <v>93.019753167974798</v>
      </c>
      <c r="AM4097">
        <v>79.054723937184406</v>
      </c>
      <c r="AN4097">
        <v>1.0000000291171101</v>
      </c>
    </row>
    <row r="4098" spans="1:40" x14ac:dyDescent="0.25">
      <c r="A4098" t="str">
        <f>"20190312161352965"</f>
        <v>20190312161352965</v>
      </c>
      <c r="B4098" t="str">
        <f>"1552378432960139"</f>
        <v>1552378432960139</v>
      </c>
      <c r="C4098" t="s">
        <v>40</v>
      </c>
      <c r="D4098">
        <v>5.377707</v>
      </c>
      <c r="E4098">
        <v>0.50333739999999905</v>
      </c>
      <c r="F4098" t="s">
        <v>43</v>
      </c>
      <c r="G4098">
        <v>-195.02690000000001</v>
      </c>
      <c r="H4098">
        <v>0.95863620000000005</v>
      </c>
      <c r="I4098">
        <v>150.22579999999999</v>
      </c>
      <c r="J4098">
        <v>-194.69380000000001</v>
      </c>
      <c r="K4098">
        <v>1.1055619999999999</v>
      </c>
      <c r="L4098">
        <v>150.666</v>
      </c>
      <c r="M4098">
        <v>-0.39991209999999999</v>
      </c>
      <c r="N4098">
        <v>0</v>
      </c>
      <c r="O4098">
        <v>-0.91649669999999905</v>
      </c>
      <c r="P4098">
        <v>-0.56596619999999997</v>
      </c>
      <c r="Q4098">
        <v>-6.092123E-2</v>
      </c>
      <c r="R4098">
        <v>-0.82217469999999904</v>
      </c>
      <c r="S4098">
        <v>-1.6848909999999999</v>
      </c>
      <c r="T4098">
        <v>-0.61868639999999997</v>
      </c>
      <c r="U4098">
        <v>-2.4432369999999999</v>
      </c>
      <c r="V4098">
        <v>0.189419</v>
      </c>
      <c r="W4098">
        <v>-5.2723020000000002E-2</v>
      </c>
      <c r="X4098">
        <v>0.98047980000000001</v>
      </c>
      <c r="Y4098">
        <v>0.1792887</v>
      </c>
      <c r="Z4098">
        <v>0.19482940000000001</v>
      </c>
      <c r="AA4098">
        <v>0.96431169999999999</v>
      </c>
      <c r="AB4098">
        <v>20</v>
      </c>
      <c r="AC4098">
        <v>-0.33310000000000101</v>
      </c>
      <c r="AD4098">
        <v>-0.1469258</v>
      </c>
      <c r="AE4098">
        <v>-0.44020000000000398</v>
      </c>
      <c r="AF4098">
        <v>0.120700078898991</v>
      </c>
      <c r="AG4098">
        <v>-0.1469258</v>
      </c>
      <c r="AH4098">
        <v>0.50117711775225404</v>
      </c>
      <c r="AI4098">
        <v>105.90821297024701</v>
      </c>
      <c r="AJ4098">
        <v>76.459137510939399</v>
      </c>
      <c r="AK4098">
        <v>0.53603563604514104</v>
      </c>
      <c r="AL4098">
        <v>93.022207912657393</v>
      </c>
      <c r="AM4098">
        <v>79.0657252441152</v>
      </c>
      <c r="AN4098">
        <v>0.99999995630347904</v>
      </c>
    </row>
    <row r="4099" spans="1:40" x14ac:dyDescent="0.25">
      <c r="A4099" t="str">
        <f>"20190312161352978"</f>
        <v>20190312161352978</v>
      </c>
      <c r="B4099" t="str">
        <f>"1552378432969900"</f>
        <v>1552378432969900</v>
      </c>
      <c r="C4099" t="s">
        <v>40</v>
      </c>
      <c r="D4099">
        <v>5.4455450000000001</v>
      </c>
      <c r="E4099">
        <v>0.50336190000000003</v>
      </c>
      <c r="F4099" t="s">
        <v>43</v>
      </c>
      <c r="G4099">
        <v>-195.11070000000001</v>
      </c>
      <c r="H4099">
        <v>0.95655919999999905</v>
      </c>
      <c r="I4099">
        <v>150.06880000000001</v>
      </c>
      <c r="J4099">
        <v>-194.7457</v>
      </c>
      <c r="K4099">
        <v>1.1055159999999999</v>
      </c>
      <c r="L4099">
        <v>150.55940000000001</v>
      </c>
      <c r="M4099">
        <v>-0.40387669999999998</v>
      </c>
      <c r="N4099">
        <v>0</v>
      </c>
      <c r="O4099">
        <v>-0.91475649999999997</v>
      </c>
      <c r="P4099">
        <v>-0.56956890000000004</v>
      </c>
      <c r="Q4099">
        <v>-6.1113649999999999E-2</v>
      </c>
      <c r="R4099">
        <v>-0.81966890000000003</v>
      </c>
      <c r="S4099">
        <v>-1.698715</v>
      </c>
      <c r="T4099">
        <v>-0.60693629999999998</v>
      </c>
      <c r="U4099">
        <v>-2.434555</v>
      </c>
      <c r="V4099">
        <v>0.1894748</v>
      </c>
      <c r="W4099">
        <v>-5.2931560000000002E-2</v>
      </c>
      <c r="X4099">
        <v>0.98045780000000005</v>
      </c>
      <c r="Y4099">
        <v>0.18078359999999999</v>
      </c>
      <c r="Z4099">
        <v>0.1910104</v>
      </c>
      <c r="AA4099">
        <v>0.96479649999999995</v>
      </c>
      <c r="AB4099">
        <v>20</v>
      </c>
      <c r="AC4099">
        <v>-0.36500000000000898</v>
      </c>
      <c r="AD4099">
        <v>-0.1489568</v>
      </c>
      <c r="AE4099">
        <v>-0.49059999999999998</v>
      </c>
      <c r="AF4099">
        <v>0.12814700271747501</v>
      </c>
      <c r="AG4099">
        <v>-0.1489568</v>
      </c>
      <c r="AH4099">
        <v>0.562827251794078</v>
      </c>
      <c r="AI4099">
        <v>104.469720843015</v>
      </c>
      <c r="AJ4099">
        <v>77.173305621391293</v>
      </c>
      <c r="AK4099">
        <v>0.59614117282216605</v>
      </c>
      <c r="AL4099">
        <v>93.0341730295373</v>
      </c>
      <c r="AM4099">
        <v>79.062342342719006</v>
      </c>
      <c r="AN4099">
        <v>0.99999997372995597</v>
      </c>
    </row>
    <row r="4100" spans="1:40" x14ac:dyDescent="0.25">
      <c r="A4100" t="str">
        <f>"20190312161352994"</f>
        <v>20190312161352994</v>
      </c>
      <c r="B4100" t="str">
        <f>"1552378432979659"</f>
        <v>1552378432979659</v>
      </c>
      <c r="C4100" t="s">
        <v>40</v>
      </c>
      <c r="D4100">
        <v>5.3787849999999997</v>
      </c>
      <c r="E4100">
        <v>0.50408189999999997</v>
      </c>
      <c r="F4100" t="s">
        <v>43</v>
      </c>
      <c r="G4100">
        <v>-195.19820000000001</v>
      </c>
      <c r="H4100">
        <v>0.94632360000000004</v>
      </c>
      <c r="I4100">
        <v>149.9171</v>
      </c>
      <c r="J4100">
        <v>-194.80709999999999</v>
      </c>
      <c r="K4100">
        <v>1.105456</v>
      </c>
      <c r="L4100">
        <v>150.43450000000001</v>
      </c>
      <c r="M4100">
        <v>-0.40856049999999999</v>
      </c>
      <c r="N4100">
        <v>0</v>
      </c>
      <c r="O4100">
        <v>-0.91267399999999999</v>
      </c>
      <c r="P4100">
        <v>-0.57357519999999995</v>
      </c>
      <c r="Q4100">
        <v>-6.1350219999999997E-2</v>
      </c>
      <c r="R4100">
        <v>-0.81685259999999904</v>
      </c>
      <c r="S4100">
        <v>-1.7097020000000001</v>
      </c>
      <c r="T4100">
        <v>-0.60158650000000002</v>
      </c>
      <c r="U4100">
        <v>-2.4271389999999999</v>
      </c>
      <c r="V4100">
        <v>0.18924759999999999</v>
      </c>
      <c r="W4100">
        <v>-5.318411E-2</v>
      </c>
      <c r="X4100">
        <v>0.98048809999999997</v>
      </c>
      <c r="Y4100">
        <v>0.18027499999999999</v>
      </c>
      <c r="Z4100">
        <v>0.18902939999999999</v>
      </c>
      <c r="AA4100">
        <v>0.96528170000000002</v>
      </c>
      <c r="AB4100">
        <v>20</v>
      </c>
      <c r="AC4100">
        <v>-0.39110000000002199</v>
      </c>
      <c r="AD4100">
        <v>-0.15913240000000001</v>
      </c>
      <c r="AE4100">
        <v>-0.51740000000000896</v>
      </c>
      <c r="AF4100">
        <v>0.13729998301833399</v>
      </c>
      <c r="AG4100">
        <v>-0.15913240000000001</v>
      </c>
      <c r="AH4100">
        <v>0.59615128696665298</v>
      </c>
      <c r="AI4100">
        <v>104.580827499074</v>
      </c>
      <c r="AJ4100">
        <v>77.030332631343796</v>
      </c>
      <c r="AK4100">
        <v>0.63211609931925605</v>
      </c>
      <c r="AL4100">
        <v>93.048663229682205</v>
      </c>
      <c r="AM4100">
        <v>79.075471451377098</v>
      </c>
      <c r="AN4100">
        <v>1.00000005895192</v>
      </c>
    </row>
    <row r="4101" spans="1:40" x14ac:dyDescent="0.25">
      <c r="A4101" t="str">
        <f>"20190312161353010"</f>
        <v>20190312161353010</v>
      </c>
      <c r="B4101" t="str">
        <f>"1552378433000155"</f>
        <v>1552378433000155</v>
      </c>
      <c r="C4101" t="s">
        <v>40</v>
      </c>
      <c r="D4101">
        <v>5.3533239999999997</v>
      </c>
      <c r="E4101">
        <v>0.5048996</v>
      </c>
      <c r="F4101" t="s">
        <v>43</v>
      </c>
      <c r="G4101">
        <v>-195.28559999999999</v>
      </c>
      <c r="H4101">
        <v>0.93619450000000004</v>
      </c>
      <c r="I4101">
        <v>149.76519999999999</v>
      </c>
      <c r="J4101">
        <v>-194.87430000000001</v>
      </c>
      <c r="K4101">
        <v>1.1053949999999999</v>
      </c>
      <c r="L4101">
        <v>150.2997</v>
      </c>
      <c r="M4101">
        <v>-0.4136803</v>
      </c>
      <c r="N4101">
        <v>0</v>
      </c>
      <c r="O4101">
        <v>-0.91036470000000003</v>
      </c>
      <c r="P4101">
        <v>-0.5783855</v>
      </c>
      <c r="Q4101">
        <v>-6.1580019999999999E-2</v>
      </c>
      <c r="R4101">
        <v>-0.8134361</v>
      </c>
      <c r="S4101">
        <v>-1.7258610000000001</v>
      </c>
      <c r="T4101">
        <v>-0.61021879999999995</v>
      </c>
      <c r="U4101">
        <v>-2.414917</v>
      </c>
      <c r="V4101">
        <v>0.18952350000000001</v>
      </c>
      <c r="W4101">
        <v>-5.3437499999999999E-2</v>
      </c>
      <c r="X4101">
        <v>0.98042090000000004</v>
      </c>
      <c r="Y4101">
        <v>0.1810341</v>
      </c>
      <c r="Z4101">
        <v>0.1913523</v>
      </c>
      <c r="AA4101">
        <v>0.96468180000000003</v>
      </c>
      <c r="AB4101">
        <v>20</v>
      </c>
      <c r="AC4101">
        <v>-0.41129999999998201</v>
      </c>
      <c r="AD4101">
        <v>-0.1692005</v>
      </c>
      <c r="AE4101">
        <v>-0.53450000000000797</v>
      </c>
      <c r="AF4101">
        <v>0.14424981038759699</v>
      </c>
      <c r="AG4101">
        <v>-0.1692005</v>
      </c>
      <c r="AH4101">
        <v>0.61788149962780403</v>
      </c>
      <c r="AI4101">
        <v>104.931542501347</v>
      </c>
      <c r="AJ4101">
        <v>76.859165894354206</v>
      </c>
      <c r="AK4101">
        <v>0.65666914392212195</v>
      </c>
      <c r="AL4101">
        <v>93.063202469453898</v>
      </c>
      <c r="AM4101">
        <v>79.059197079446605</v>
      </c>
      <c r="AN4101">
        <v>0.99999993230765205</v>
      </c>
    </row>
    <row r="4102" spans="1:40" x14ac:dyDescent="0.25">
      <c r="A4102" t="str">
        <f>"20190312161353023"</f>
        <v>20190312161353023</v>
      </c>
      <c r="B4102" t="str">
        <f>"1552378433009916"</f>
        <v>1552378433009916</v>
      </c>
      <c r="C4102" t="s">
        <v>40</v>
      </c>
      <c r="D4102">
        <v>5.3997519999999897</v>
      </c>
      <c r="E4102">
        <v>0.50522359999999999</v>
      </c>
      <c r="F4102" t="s">
        <v>43</v>
      </c>
      <c r="G4102">
        <v>-195.3742</v>
      </c>
      <c r="H4102">
        <v>0.92902850000000003</v>
      </c>
      <c r="I4102">
        <v>149.6122</v>
      </c>
      <c r="J4102">
        <v>-194.92750000000001</v>
      </c>
      <c r="K4102">
        <v>1.105348</v>
      </c>
      <c r="L4102">
        <v>150.19479999999999</v>
      </c>
      <c r="M4102">
        <v>-0.41771130000000001</v>
      </c>
      <c r="N4102">
        <v>0</v>
      </c>
      <c r="O4102">
        <v>-0.9085221</v>
      </c>
      <c r="P4102">
        <v>-0.58206179999999996</v>
      </c>
      <c r="Q4102">
        <v>-6.1495580000000001E-2</v>
      </c>
      <c r="R4102">
        <v>-0.81081639999999999</v>
      </c>
      <c r="S4102">
        <v>-1.7451479999999999</v>
      </c>
      <c r="T4102">
        <v>-0.61559410000000003</v>
      </c>
      <c r="U4102">
        <v>-2.4005740000000002</v>
      </c>
      <c r="V4102">
        <v>0.189608</v>
      </c>
      <c r="W4102">
        <v>-5.3369069999999998E-2</v>
      </c>
      <c r="X4102">
        <v>0.98040839999999996</v>
      </c>
      <c r="Y4102">
        <v>0.18428620000000001</v>
      </c>
      <c r="Z4102">
        <v>0.1928493</v>
      </c>
      <c r="AA4102">
        <v>0.9637675</v>
      </c>
      <c r="AB4102">
        <v>20</v>
      </c>
      <c r="AC4102">
        <v>-0.44669999999999199</v>
      </c>
      <c r="AD4102">
        <v>-0.17631949999999899</v>
      </c>
      <c r="AE4102">
        <v>-0.58259999999998502</v>
      </c>
      <c r="AF4102">
        <v>0.15362530506736599</v>
      </c>
      <c r="AG4102">
        <v>-0.17631949999999899</v>
      </c>
      <c r="AH4102">
        <v>0.67688971778284301</v>
      </c>
      <c r="AI4102">
        <v>104.253065260478</v>
      </c>
      <c r="AJ4102">
        <v>77.212900595720598</v>
      </c>
      <c r="AK4102">
        <v>0.71614872092144999</v>
      </c>
      <c r="AL4102">
        <v>93.059275783222802</v>
      </c>
      <c r="AM4102">
        <v>79.054300677708795</v>
      </c>
      <c r="AN4102">
        <v>1.0000000410436101</v>
      </c>
    </row>
    <row r="4103" spans="1:40" x14ac:dyDescent="0.25">
      <c r="A4103" t="str">
        <f>"20190312161353036"</f>
        <v>20190312161353036</v>
      </c>
      <c r="B4103" t="str">
        <f>"1552378433030411"</f>
        <v>1552378433030411</v>
      </c>
      <c r="C4103" t="s">
        <v>40</v>
      </c>
      <c r="D4103">
        <v>5.5457650000000003</v>
      </c>
      <c r="E4103">
        <v>0.50572659999999903</v>
      </c>
      <c r="F4103" t="s">
        <v>43</v>
      </c>
      <c r="G4103">
        <v>-195.36680000000001</v>
      </c>
      <c r="H4103">
        <v>0.95257259999999999</v>
      </c>
      <c r="I4103">
        <v>149.59739999999999</v>
      </c>
      <c r="J4103">
        <v>-194.97810000000001</v>
      </c>
      <c r="K4103">
        <v>1.105305</v>
      </c>
      <c r="L4103">
        <v>150.09610000000001</v>
      </c>
      <c r="M4103">
        <v>-0.42153740000000001</v>
      </c>
      <c r="N4103">
        <v>0</v>
      </c>
      <c r="O4103">
        <v>-0.90675300000000003</v>
      </c>
      <c r="P4103">
        <v>-0.58565739999999999</v>
      </c>
      <c r="Q4103">
        <v>-6.1598420000000001E-2</v>
      </c>
      <c r="R4103">
        <v>-0.80821489999999996</v>
      </c>
      <c r="S4103">
        <v>-1.7583470000000001</v>
      </c>
      <c r="T4103">
        <v>-0.61131749999999996</v>
      </c>
      <c r="U4103">
        <v>-2.3913730000000002</v>
      </c>
      <c r="V4103">
        <v>0.18982640000000001</v>
      </c>
      <c r="W4103">
        <v>-5.3488149999999998E-2</v>
      </c>
      <c r="X4103">
        <v>0.9803596</v>
      </c>
      <c r="Y4103">
        <v>0.18554960000000001</v>
      </c>
      <c r="Z4103">
        <v>0.19131310000000001</v>
      </c>
      <c r="AA4103">
        <v>0.9638312</v>
      </c>
      <c r="AB4103">
        <v>20</v>
      </c>
      <c r="AC4103">
        <v>-0.38869999999999999</v>
      </c>
      <c r="AD4103">
        <v>-0.15273239999999899</v>
      </c>
      <c r="AE4103">
        <v>-0.49870000000001302</v>
      </c>
      <c r="AF4103">
        <v>0.13439963086632301</v>
      </c>
      <c r="AG4103">
        <v>-0.15273239999999899</v>
      </c>
      <c r="AH4103">
        <v>0.58211601456839102</v>
      </c>
      <c r="AI4103">
        <v>104.340468248343</v>
      </c>
      <c r="AJ4103">
        <v>76.9992935912002</v>
      </c>
      <c r="AK4103">
        <v>0.61664373928853899</v>
      </c>
      <c r="AL4103">
        <v>93.066108465343405</v>
      </c>
      <c r="AM4103">
        <v>79.041465647754904</v>
      </c>
      <c r="AN4103">
        <v>0.99999999481977098</v>
      </c>
    </row>
    <row r="4104" spans="1:40" x14ac:dyDescent="0.25">
      <c r="A4104" t="str">
        <f>"20190312161353054"</f>
        <v>20190312161353054</v>
      </c>
      <c r="B4104" t="str">
        <f>"1552378433040171"</f>
        <v>1552378433040171</v>
      </c>
      <c r="C4104" t="s">
        <v>40</v>
      </c>
      <c r="D4104">
        <v>5.5150509999999997</v>
      </c>
      <c r="E4104">
        <v>0.5056176</v>
      </c>
      <c r="F4104" t="s">
        <v>43</v>
      </c>
      <c r="G4104">
        <v>-195.45949999999999</v>
      </c>
      <c r="H4104">
        <v>0.93801509999999999</v>
      </c>
      <c r="I4104">
        <v>149.4496</v>
      </c>
      <c r="J4104">
        <v>-195.05510000000001</v>
      </c>
      <c r="K4104">
        <v>1.1052420000000001</v>
      </c>
      <c r="L4104">
        <v>149.9477</v>
      </c>
      <c r="M4104">
        <v>-0.42733670000000001</v>
      </c>
      <c r="N4104">
        <v>0</v>
      </c>
      <c r="O4104">
        <v>-0.90403449999999996</v>
      </c>
      <c r="P4104">
        <v>-0.59130819999999995</v>
      </c>
      <c r="Q4104">
        <v>-6.1660819999999998E-2</v>
      </c>
      <c r="R4104">
        <v>-0.80408519999999895</v>
      </c>
      <c r="S4104">
        <v>-1.772079</v>
      </c>
      <c r="T4104">
        <v>-0.61536250000000003</v>
      </c>
      <c r="U4104">
        <v>-2.3808750000000001</v>
      </c>
      <c r="V4104">
        <v>0.19041159999999999</v>
      </c>
      <c r="W4104">
        <v>-5.3577619999999999E-2</v>
      </c>
      <c r="X4104">
        <v>0.98024120000000003</v>
      </c>
      <c r="Y4104">
        <v>0.18474869999999999</v>
      </c>
      <c r="Z4104">
        <v>0.1920818</v>
      </c>
      <c r="AA4104">
        <v>0.96383220000000003</v>
      </c>
      <c r="AB4104">
        <v>20</v>
      </c>
      <c r="AC4104">
        <v>-0.404399999999981</v>
      </c>
      <c r="AD4104">
        <v>-0.16722690000000001</v>
      </c>
      <c r="AE4104">
        <v>-0.49809999999999299</v>
      </c>
      <c r="AF4104">
        <v>0.14302668527151399</v>
      </c>
      <c r="AG4104">
        <v>-0.16722690000000001</v>
      </c>
      <c r="AH4104">
        <v>0.58350689406559397</v>
      </c>
      <c r="AI4104">
        <v>105.55451845133</v>
      </c>
      <c r="AJ4104">
        <v>76.227447178668697</v>
      </c>
      <c r="AK4104">
        <v>0.62361988759615605</v>
      </c>
      <c r="AL4104">
        <v>93.071242142454295</v>
      </c>
      <c r="AM4104">
        <v>79.007208766507105</v>
      </c>
      <c r="AN4104">
        <v>0.99999997447843103</v>
      </c>
    </row>
    <row r="4105" spans="1:40" x14ac:dyDescent="0.25">
      <c r="A4105" t="str">
        <f>"20190312161353067"</f>
        <v>20190312161353067</v>
      </c>
      <c r="B4105" t="str">
        <f>"1552378433059692"</f>
        <v>1552378433059692</v>
      </c>
      <c r="C4105" t="s">
        <v>40</v>
      </c>
      <c r="D4105">
        <v>5.810962</v>
      </c>
      <c r="E4105">
        <v>0.50395080000000003</v>
      </c>
      <c r="F4105" t="s">
        <v>43</v>
      </c>
      <c r="G4105">
        <v>-195.54859999999999</v>
      </c>
      <c r="H4105">
        <v>0.93587949999999998</v>
      </c>
      <c r="I4105">
        <v>149.29399999999899</v>
      </c>
      <c r="J4105">
        <v>-195.1114</v>
      </c>
      <c r="K4105">
        <v>1.1051959999999901</v>
      </c>
      <c r="L4105">
        <v>149.84049999999999</v>
      </c>
      <c r="M4105">
        <v>-0.43156240000000001</v>
      </c>
      <c r="N4105">
        <v>0</v>
      </c>
      <c r="O4105">
        <v>-0.90202490000000002</v>
      </c>
      <c r="P4105">
        <v>-0.59536549999999999</v>
      </c>
      <c r="Q4105">
        <v>-6.1714089999999999E-2</v>
      </c>
      <c r="R4105">
        <v>-0.80108179999999996</v>
      </c>
      <c r="S4105">
        <v>-1.787979</v>
      </c>
      <c r="T4105">
        <v>-0.61336679999999999</v>
      </c>
      <c r="U4105">
        <v>-2.369049</v>
      </c>
      <c r="V4105">
        <v>0.1907751</v>
      </c>
      <c r="W4105">
        <v>-5.3649830000000003E-2</v>
      </c>
      <c r="X4105">
        <v>0.9801666</v>
      </c>
      <c r="Y4105">
        <v>0.1866794</v>
      </c>
      <c r="Z4105">
        <v>0.191245</v>
      </c>
      <c r="AA4105">
        <v>0.9636266</v>
      </c>
      <c r="AB4105">
        <v>20</v>
      </c>
      <c r="AC4105">
        <v>-0.43719999999998999</v>
      </c>
      <c r="AD4105">
        <v>-0.16931649999999901</v>
      </c>
      <c r="AE4105">
        <v>-0.54650000000000798</v>
      </c>
      <c r="AF4105">
        <v>0.14975942013569199</v>
      </c>
      <c r="AG4105">
        <v>-0.16931649999999901</v>
      </c>
      <c r="AH4105">
        <v>0.643979696830704</v>
      </c>
      <c r="AI4105">
        <v>104.364097080899</v>
      </c>
      <c r="AJ4105">
        <v>76.908385482038099</v>
      </c>
      <c r="AK4105">
        <v>0.68249967840416903</v>
      </c>
      <c r="AL4105">
        <v>93.075385340860905</v>
      </c>
      <c r="AM4105">
        <v>78.985918198561706</v>
      </c>
      <c r="AN4105">
        <v>1.00000000339729</v>
      </c>
    </row>
    <row r="4106" spans="1:40" x14ac:dyDescent="0.25">
      <c r="A4106" t="str">
        <f>"20190312161353090"</f>
        <v>20190312161353090</v>
      </c>
      <c r="B4106" t="str">
        <f>"1552378433080187"</f>
        <v>1552378433080187</v>
      </c>
      <c r="C4106" t="s">
        <v>40</v>
      </c>
      <c r="D4106">
        <v>5.479101</v>
      </c>
      <c r="E4106">
        <v>0.50255830000000001</v>
      </c>
      <c r="F4106" t="s">
        <v>43</v>
      </c>
      <c r="G4106">
        <v>-195.53700000000001</v>
      </c>
      <c r="H4106">
        <v>0.95885189999999998</v>
      </c>
      <c r="I4106">
        <v>149.2775</v>
      </c>
      <c r="J4106">
        <v>-195.20650000000001</v>
      </c>
      <c r="K4106">
        <v>1.105127</v>
      </c>
      <c r="L4106">
        <v>149.66299999999899</v>
      </c>
      <c r="M4106">
        <v>-0.43866339999999998</v>
      </c>
      <c r="N4106">
        <v>0</v>
      </c>
      <c r="O4106">
        <v>-0.89859259999999996</v>
      </c>
      <c r="P4106">
        <v>-0.60244819999999999</v>
      </c>
      <c r="Q4106">
        <v>-6.1335529999999999E-2</v>
      </c>
      <c r="R4106">
        <v>-0.79579800000000001</v>
      </c>
      <c r="S4106">
        <v>-1.7892300000000001</v>
      </c>
      <c r="T4106">
        <v>-0.61491700000000005</v>
      </c>
      <c r="U4106">
        <v>-2.3677980000000001</v>
      </c>
      <c r="V4106">
        <v>0.19172040000000001</v>
      </c>
      <c r="W4106">
        <v>-5.3304579999999997E-2</v>
      </c>
      <c r="X4106">
        <v>0.98000100000000001</v>
      </c>
      <c r="Y4106">
        <v>0.1795128</v>
      </c>
      <c r="Z4106">
        <v>0.19084570000000001</v>
      </c>
      <c r="AA4106">
        <v>0.96506639999999999</v>
      </c>
      <c r="AB4106">
        <v>20</v>
      </c>
      <c r="AC4106">
        <v>-0.33050000000000002</v>
      </c>
      <c r="AD4106">
        <v>-0.14627509999999999</v>
      </c>
      <c r="AE4106">
        <v>-0.38549999999997903</v>
      </c>
      <c r="AF4106">
        <v>0.11808760088517101</v>
      </c>
      <c r="AG4106">
        <v>-0.14627509999999999</v>
      </c>
      <c r="AH4106">
        <v>0.45375748352761403</v>
      </c>
      <c r="AI4106">
        <v>107.326493557731</v>
      </c>
      <c r="AJ4106">
        <v>75.412696920490006</v>
      </c>
      <c r="AK4106">
        <v>0.49115877292392801</v>
      </c>
      <c r="AL4106">
        <v>93.055575560536099</v>
      </c>
      <c r="AM4106">
        <v>78.930863144552504</v>
      </c>
      <c r="AN4106">
        <v>1.0000000250130601</v>
      </c>
    </row>
    <row r="4107" spans="1:40" x14ac:dyDescent="0.25">
      <c r="A4107" t="str">
        <f>"20190312161353106"</f>
        <v>20190312161353106</v>
      </c>
      <c r="B4107" t="str">
        <f>"1552378433099707"</f>
        <v>1552378433099707</v>
      </c>
      <c r="C4107" t="s">
        <v>40</v>
      </c>
      <c r="D4107">
        <v>6.3813969999999998</v>
      </c>
      <c r="E4107">
        <v>0.50155830000000001</v>
      </c>
      <c r="F4107" t="s">
        <v>43</v>
      </c>
      <c r="G4107">
        <v>-195.72550000000001</v>
      </c>
      <c r="H4107">
        <v>0.92783179999999998</v>
      </c>
      <c r="I4107">
        <v>148.98349999999999</v>
      </c>
      <c r="J4107">
        <v>-195.2784</v>
      </c>
      <c r="K4107">
        <v>1.105075</v>
      </c>
      <c r="L4107">
        <v>149.53100000000001</v>
      </c>
      <c r="M4107">
        <v>-0.44401160000000001</v>
      </c>
      <c r="N4107">
        <v>0</v>
      </c>
      <c r="O4107">
        <v>-0.89596200000000004</v>
      </c>
      <c r="P4107">
        <v>-0.60752399999999995</v>
      </c>
      <c r="Q4107">
        <v>-6.1201329999999998E-2</v>
      </c>
      <c r="R4107">
        <v>-0.79194039999999999</v>
      </c>
      <c r="S4107">
        <v>-1.8013760000000001</v>
      </c>
      <c r="T4107">
        <v>-0.61526599999999998</v>
      </c>
      <c r="U4107">
        <v>-2.358673</v>
      </c>
      <c r="V4107">
        <v>0.19213469999999999</v>
      </c>
      <c r="W4107">
        <v>-5.3191269999999999E-2</v>
      </c>
      <c r="X4107">
        <v>0.97992599999999996</v>
      </c>
      <c r="Y4107">
        <v>0.1786152</v>
      </c>
      <c r="Z4107">
        <v>0.19047639999999999</v>
      </c>
      <c r="AA4107">
        <v>0.96530579999999999</v>
      </c>
      <c r="AB4107">
        <v>20</v>
      </c>
      <c r="AC4107">
        <v>-0.44710000000000599</v>
      </c>
      <c r="AD4107">
        <v>-0.17724319999999899</v>
      </c>
      <c r="AE4107">
        <v>-0.54750000000001298</v>
      </c>
      <c r="AF4107">
        <v>0.148179963539807</v>
      </c>
      <c r="AG4107">
        <v>-0.17724319999999899</v>
      </c>
      <c r="AH4107">
        <v>0.64833028987334695</v>
      </c>
      <c r="AI4107">
        <v>104.923127547825</v>
      </c>
      <c r="AJ4107">
        <v>77.125822938810202</v>
      </c>
      <c r="AK4107">
        <v>0.68826202736178599</v>
      </c>
      <c r="AL4107">
        <v>93.049074198912805</v>
      </c>
      <c r="AM4107">
        <v>78.9067078861017</v>
      </c>
      <c r="AN4107">
        <v>1.00000000981215</v>
      </c>
    </row>
    <row r="4108" spans="1:40" x14ac:dyDescent="0.25">
      <c r="A4108" t="str">
        <f>"20190312161353123"</f>
        <v>20190312161353123</v>
      </c>
      <c r="B4108" t="str">
        <f>"1552378433110443"</f>
        <v>1552378433110443</v>
      </c>
      <c r="C4108" t="s">
        <v>40</v>
      </c>
      <c r="D4108">
        <v>6.1942259999999996</v>
      </c>
      <c r="E4108">
        <v>0.50121689999999997</v>
      </c>
      <c r="F4108" t="s">
        <v>43</v>
      </c>
      <c r="G4108">
        <v>-195.71459999999999</v>
      </c>
      <c r="H4108">
        <v>0.95638630000000002</v>
      </c>
      <c r="I4108">
        <v>148.96430000000001</v>
      </c>
      <c r="J4108">
        <v>-195.3518</v>
      </c>
      <c r="K4108">
        <v>1.10503</v>
      </c>
      <c r="L4108">
        <v>149.39850000000001</v>
      </c>
      <c r="M4108">
        <v>-0.44944119999999999</v>
      </c>
      <c r="N4108">
        <v>0</v>
      </c>
      <c r="O4108">
        <v>-0.89325069999999995</v>
      </c>
      <c r="P4108">
        <v>-0.61286929999999995</v>
      </c>
      <c r="Q4108">
        <v>-6.1039059999999999E-2</v>
      </c>
      <c r="R4108">
        <v>-0.78782369999999902</v>
      </c>
      <c r="S4108">
        <v>-1.81012</v>
      </c>
      <c r="T4108">
        <v>-0.61688959999999904</v>
      </c>
      <c r="U4108">
        <v>-2.3519130000000001</v>
      </c>
      <c r="V4108">
        <v>0.1928079</v>
      </c>
      <c r="W4108">
        <v>-5.3051210000000001E-2</v>
      </c>
      <c r="X4108">
        <v>0.97980140000000004</v>
      </c>
      <c r="Y4108">
        <v>0.17622189999999999</v>
      </c>
      <c r="Z4108">
        <v>0.19040699999999999</v>
      </c>
      <c r="AA4108">
        <v>0.96575929999999999</v>
      </c>
      <c r="AB4108">
        <v>20</v>
      </c>
      <c r="AC4108">
        <v>-0.36279999999999202</v>
      </c>
      <c r="AD4108">
        <v>-0.14864369999999899</v>
      </c>
      <c r="AE4108">
        <v>-0.43420000000000403</v>
      </c>
      <c r="AF4108">
        <v>0.120607261858261</v>
      </c>
      <c r="AG4108">
        <v>-0.14864369999999899</v>
      </c>
      <c r="AH4108">
        <v>0.51536842610425704</v>
      </c>
      <c r="AI4108">
        <v>105.686580028579</v>
      </c>
      <c r="AJ4108">
        <v>76.828593389051207</v>
      </c>
      <c r="AK4108">
        <v>0.54976874755465699</v>
      </c>
      <c r="AL4108">
        <v>93.041037882283604</v>
      </c>
      <c r="AM4108">
        <v>78.867428148917696</v>
      </c>
      <c r="AN4108">
        <v>1.0000000503134101</v>
      </c>
    </row>
    <row r="4109" spans="1:40" x14ac:dyDescent="0.25">
      <c r="A4109" t="str">
        <f>"20190312161353139"</f>
        <v>20190312161353139</v>
      </c>
      <c r="B4109" t="str">
        <f>"1552378433130473"</f>
        <v>1552378433130473</v>
      </c>
      <c r="C4109" t="s">
        <v>40</v>
      </c>
      <c r="D4109">
        <v>5.4915070000000004</v>
      </c>
      <c r="E4109">
        <v>0.50073679999999998</v>
      </c>
      <c r="F4109" t="s">
        <v>43</v>
      </c>
      <c r="G4109">
        <v>-195.80889999999999</v>
      </c>
      <c r="H4109">
        <v>0.95050860000000004</v>
      </c>
      <c r="I4109">
        <v>148.81219999999999</v>
      </c>
      <c r="J4109">
        <v>-195.4188</v>
      </c>
      <c r="K4109">
        <v>1.1049850000000001</v>
      </c>
      <c r="L4109">
        <v>149.2792</v>
      </c>
      <c r="M4109">
        <v>-0.45436959999999998</v>
      </c>
      <c r="N4109">
        <v>0</v>
      </c>
      <c r="O4109">
        <v>-0.89075360000000003</v>
      </c>
      <c r="P4109">
        <v>-0.61718709999999999</v>
      </c>
      <c r="Q4109">
        <v>-6.0940229999999998E-2</v>
      </c>
      <c r="R4109">
        <v>-0.78445319999999996</v>
      </c>
      <c r="S4109">
        <v>-1.824112</v>
      </c>
      <c r="T4109">
        <v>-0.61638839999999995</v>
      </c>
      <c r="U4109">
        <v>-2.3411409999999999</v>
      </c>
      <c r="V4109">
        <v>0.19276769999999999</v>
      </c>
      <c r="W4109">
        <v>-5.2963919999999998E-2</v>
      </c>
      <c r="X4109">
        <v>0.97981399999999996</v>
      </c>
      <c r="Y4109">
        <v>0.17658109999999999</v>
      </c>
      <c r="Z4109">
        <v>0.18986210000000001</v>
      </c>
      <c r="AA4109">
        <v>0.96580089999999996</v>
      </c>
      <c r="AB4109">
        <v>20</v>
      </c>
      <c r="AC4109">
        <v>-0.39009999999998901</v>
      </c>
      <c r="AD4109">
        <v>-0.15447640000000001</v>
      </c>
      <c r="AE4109">
        <v>-0.46700000000001302</v>
      </c>
      <c r="AF4109">
        <v>0.12710773129467101</v>
      </c>
      <c r="AG4109">
        <v>-0.15447640000000001</v>
      </c>
      <c r="AH4109">
        <v>0.55734339053960402</v>
      </c>
      <c r="AI4109">
        <v>105.12170780096</v>
      </c>
      <c r="AJ4109">
        <v>77.1528495556054</v>
      </c>
      <c r="AK4109">
        <v>0.59215790840790095</v>
      </c>
      <c r="AL4109">
        <v>93.036029588493804</v>
      </c>
      <c r="AM4109">
        <v>78.869830860190504</v>
      </c>
      <c r="AN4109">
        <v>1.00000001879052</v>
      </c>
    </row>
    <row r="4110" spans="1:40" x14ac:dyDescent="0.25">
      <c r="A4110" t="str">
        <f>"20190312161353157"</f>
        <v>20190312161353157</v>
      </c>
      <c r="B4110" t="str">
        <f>"1552378433149992"</f>
        <v>1552378433149992</v>
      </c>
      <c r="C4110" t="s">
        <v>40</v>
      </c>
      <c r="D4110">
        <v>5.4709000000000003</v>
      </c>
      <c r="E4110">
        <v>0.50044730000000004</v>
      </c>
      <c r="F4110" t="s">
        <v>43</v>
      </c>
      <c r="G4110">
        <v>-195.90379999999999</v>
      </c>
      <c r="H4110">
        <v>0.94092710000000002</v>
      </c>
      <c r="I4110">
        <v>148.66220000000001</v>
      </c>
      <c r="J4110">
        <v>-195.50210000000001</v>
      </c>
      <c r="K4110">
        <v>1.1049249999999999</v>
      </c>
      <c r="L4110">
        <v>149.13310000000001</v>
      </c>
      <c r="M4110">
        <v>-0.46046019999999999</v>
      </c>
      <c r="N4110">
        <v>0</v>
      </c>
      <c r="O4110">
        <v>-0.88762030000000003</v>
      </c>
      <c r="P4110">
        <v>-0.62288409999999905</v>
      </c>
      <c r="Q4110">
        <v>-6.0624850000000001E-2</v>
      </c>
      <c r="R4110">
        <v>-0.77996149999999997</v>
      </c>
      <c r="S4110">
        <v>-1.833725</v>
      </c>
      <c r="T4110">
        <v>-0.61997440000000004</v>
      </c>
      <c r="U4110">
        <v>-2.33345</v>
      </c>
      <c r="V4110">
        <v>0.1931776</v>
      </c>
      <c r="W4110">
        <v>-5.2668810000000003E-2</v>
      </c>
      <c r="X4110">
        <v>0.97974910000000004</v>
      </c>
      <c r="Y4110">
        <v>0.17375850000000001</v>
      </c>
      <c r="Z4110">
        <v>0.19027749999999999</v>
      </c>
      <c r="AA4110">
        <v>0.96623099999999995</v>
      </c>
      <c r="AB4110">
        <v>20</v>
      </c>
      <c r="AC4110">
        <v>-0.40169999999997602</v>
      </c>
      <c r="AD4110">
        <v>-0.163997899999999</v>
      </c>
      <c r="AE4110">
        <v>-0.47089999999999999</v>
      </c>
      <c r="AF4110">
        <v>0.1305676233776</v>
      </c>
      <c r="AG4110">
        <v>-0.163997899999999</v>
      </c>
      <c r="AH4110">
        <v>0.56342545103140995</v>
      </c>
      <c r="AI4110">
        <v>105.831137687644</v>
      </c>
      <c r="AJ4110">
        <v>76.952642772305893</v>
      </c>
      <c r="AK4110">
        <v>0.60115842699643895</v>
      </c>
      <c r="AL4110">
        <v>93.019097624567195</v>
      </c>
      <c r="AM4110">
        <v>78.846036214455395</v>
      </c>
      <c r="AN4110">
        <v>0.99999994381969104</v>
      </c>
    </row>
    <row r="4111" spans="1:40" x14ac:dyDescent="0.25">
      <c r="A4111" t="str">
        <f>"20190312161353180"</f>
        <v>20190312161353180</v>
      </c>
      <c r="B4111" t="str">
        <f>"1552378433170488"</f>
        <v>1552378433170488</v>
      </c>
      <c r="C4111" t="s">
        <v>40</v>
      </c>
      <c r="D4111">
        <v>5.4496849999999997</v>
      </c>
      <c r="E4111">
        <v>0.50026289999999995</v>
      </c>
      <c r="F4111" t="s">
        <v>43</v>
      </c>
      <c r="G4111">
        <v>-195.99889999999999</v>
      </c>
      <c r="H4111">
        <v>0.93662999999999996</v>
      </c>
      <c r="I4111">
        <v>148.5095</v>
      </c>
      <c r="J4111">
        <v>-195.6037</v>
      </c>
      <c r="K4111">
        <v>1.104859</v>
      </c>
      <c r="L4111">
        <v>148.9581</v>
      </c>
      <c r="M4111">
        <v>-0.46784530000000002</v>
      </c>
      <c r="N4111">
        <v>0</v>
      </c>
      <c r="O4111">
        <v>-0.88374979999999903</v>
      </c>
      <c r="P4111">
        <v>-0.62950609999999996</v>
      </c>
      <c r="Q4111">
        <v>-6.0721520000000001E-2</v>
      </c>
      <c r="R4111">
        <v>-0.77461930000000001</v>
      </c>
      <c r="S4111">
        <v>-1.8485259999999999</v>
      </c>
      <c r="T4111">
        <v>-0.62582179999999998</v>
      </c>
      <c r="U4111">
        <v>-2.3214419999999998</v>
      </c>
      <c r="V4111">
        <v>0.19334860000000001</v>
      </c>
      <c r="W4111">
        <v>-5.2785869999999999E-2</v>
      </c>
      <c r="X4111">
        <v>0.9797091</v>
      </c>
      <c r="Y4111">
        <v>0.1715805</v>
      </c>
      <c r="Z4111">
        <v>0.1912597</v>
      </c>
      <c r="AA4111">
        <v>0.96642640000000002</v>
      </c>
      <c r="AB4111">
        <v>20</v>
      </c>
      <c r="AC4111">
        <v>-0.39519999999998801</v>
      </c>
      <c r="AD4111">
        <v>-0.16822899999999999</v>
      </c>
      <c r="AE4111">
        <v>-0.448599999999998</v>
      </c>
      <c r="AF4111">
        <v>0.12916283740165299</v>
      </c>
      <c r="AG4111">
        <v>-0.16822899999999999</v>
      </c>
      <c r="AH4111">
        <v>0.53871793251078404</v>
      </c>
      <c r="AI4111">
        <v>106.891980304303</v>
      </c>
      <c r="AJ4111">
        <v>76.517287004817902</v>
      </c>
      <c r="AK4111">
        <v>0.57896549622178595</v>
      </c>
      <c r="AL4111">
        <v>93.025813917598398</v>
      </c>
      <c r="AM4111">
        <v>78.835966318538595</v>
      </c>
      <c r="AN4111">
        <v>0.99999997490821302</v>
      </c>
    </row>
    <row r="4112" spans="1:40" x14ac:dyDescent="0.25">
      <c r="A4112" t="str">
        <f>"20190312161353194"</f>
        <v>20190312161353194</v>
      </c>
      <c r="B4112" t="str">
        <f>"1552378433190008"</f>
        <v>1552378433190008</v>
      </c>
      <c r="C4112" t="s">
        <v>40</v>
      </c>
      <c r="D4112">
        <v>5.4340580000000003</v>
      </c>
      <c r="E4112">
        <v>0.49993799999999999</v>
      </c>
      <c r="F4112" t="s">
        <v>43</v>
      </c>
      <c r="G4112">
        <v>-196.09360000000001</v>
      </c>
      <c r="H4112">
        <v>0.93893769999999999</v>
      </c>
      <c r="I4112">
        <v>148.35299999999901</v>
      </c>
      <c r="J4112">
        <v>-195.67320000000001</v>
      </c>
      <c r="K4112">
        <v>1.1048180000000001</v>
      </c>
      <c r="L4112">
        <v>148.84039999999999</v>
      </c>
      <c r="M4112">
        <v>-0.47285579999999999</v>
      </c>
      <c r="N4112">
        <v>0</v>
      </c>
      <c r="O4112">
        <v>-0.881079099999999</v>
      </c>
      <c r="P4112">
        <v>-0.63376769999999905</v>
      </c>
      <c r="Q4112">
        <v>-6.0587990000000001E-2</v>
      </c>
      <c r="R4112">
        <v>-0.77114740000000004</v>
      </c>
      <c r="S4112">
        <v>-1.8667910000000001</v>
      </c>
      <c r="T4112">
        <v>-0.63231130000000002</v>
      </c>
      <c r="U4112">
        <v>-2.3062290000000001</v>
      </c>
      <c r="V4112">
        <v>0.1931785</v>
      </c>
      <c r="W4112">
        <v>-5.2661550000000001E-2</v>
      </c>
      <c r="X4112">
        <v>0.97974939999999999</v>
      </c>
      <c r="Y4112">
        <v>0.1734841</v>
      </c>
      <c r="Z4112">
        <v>0.1928358</v>
      </c>
      <c r="AA4112">
        <v>0.96577299999999999</v>
      </c>
      <c r="AB4112">
        <v>20</v>
      </c>
      <c r="AC4112">
        <v>-0.4204</v>
      </c>
      <c r="AD4112">
        <v>-0.16588030000000001</v>
      </c>
      <c r="AE4112">
        <v>-0.48740000000000799</v>
      </c>
      <c r="AF4112">
        <v>0.131227474283796</v>
      </c>
      <c r="AG4112">
        <v>-0.16588030000000001</v>
      </c>
      <c r="AH4112">
        <v>0.58913171831703903</v>
      </c>
      <c r="AI4112">
        <v>105.36729576110901</v>
      </c>
      <c r="AJ4112">
        <v>77.442528838273105</v>
      </c>
      <c r="AK4112">
        <v>0.62594976273034997</v>
      </c>
      <c r="AL4112">
        <v>93.018680820971397</v>
      </c>
      <c r="AM4112">
        <v>78.845988881709701</v>
      </c>
      <c r="AN4112">
        <v>1.0000000292555</v>
      </c>
    </row>
    <row r="4113" spans="1:40" x14ac:dyDescent="0.25">
      <c r="A4113" t="str">
        <f>"20190312161353212"</f>
        <v>20190312161353212</v>
      </c>
      <c r="B4113" t="str">
        <f>"1552378433199768"</f>
        <v>1552378433199768</v>
      </c>
      <c r="C4113" t="s">
        <v>40</v>
      </c>
      <c r="D4113">
        <v>5.3828569999999996</v>
      </c>
      <c r="E4113">
        <v>0.49979020000000002</v>
      </c>
      <c r="F4113" t="s">
        <v>43</v>
      </c>
      <c r="G4113">
        <v>-196.19309999999999</v>
      </c>
      <c r="H4113">
        <v>0.93017179999999999</v>
      </c>
      <c r="I4113">
        <v>148.20429999999999</v>
      </c>
      <c r="J4113">
        <v>-195.75890000000001</v>
      </c>
      <c r="K4113">
        <v>1.1047640000000001</v>
      </c>
      <c r="L4113">
        <v>148.69749999999999</v>
      </c>
      <c r="M4113">
        <v>-0.47899120000000001</v>
      </c>
      <c r="N4113">
        <v>0</v>
      </c>
      <c r="O4113">
        <v>-0.87775859999999895</v>
      </c>
      <c r="P4113">
        <v>-0.63940050000000004</v>
      </c>
      <c r="Q4113">
        <v>-6.0269370000000003E-2</v>
      </c>
      <c r="R4113">
        <v>-0.76650830000000003</v>
      </c>
      <c r="S4113">
        <v>-1.8775630000000001</v>
      </c>
      <c r="T4113">
        <v>-0.63031040000000005</v>
      </c>
      <c r="U4113">
        <v>-2.2976839999999998</v>
      </c>
      <c r="V4113">
        <v>0.19350619999999999</v>
      </c>
      <c r="W4113">
        <v>-5.2360429999999999E-2</v>
      </c>
      <c r="X4113">
        <v>0.97970089999999999</v>
      </c>
      <c r="Y4113">
        <v>0.1712331</v>
      </c>
      <c r="Z4113">
        <v>0.1915548</v>
      </c>
      <c r="AA4113">
        <v>0.96642950000000005</v>
      </c>
      <c r="AB4113">
        <v>20</v>
      </c>
      <c r="AC4113">
        <v>-0.43419999999997499</v>
      </c>
      <c r="AD4113">
        <v>-0.174592199999999</v>
      </c>
      <c r="AE4113">
        <v>-0.49320000000000103</v>
      </c>
      <c r="AF4113">
        <v>0.13533755903706601</v>
      </c>
      <c r="AG4113">
        <v>-0.174592199999999</v>
      </c>
      <c r="AH4113">
        <v>0.59865888472416495</v>
      </c>
      <c r="AI4113">
        <v>105.878960129348</v>
      </c>
      <c r="AJ4113">
        <v>77.261391777550003</v>
      </c>
      <c r="AK4113">
        <v>0.63811531202920702</v>
      </c>
      <c r="AL4113">
        <v>93.001403991714994</v>
      </c>
      <c r="AM4113">
        <v>78.827004115576898</v>
      </c>
      <c r="AN4113">
        <v>1.0000000587645099</v>
      </c>
    </row>
    <row r="4114" spans="1:40" x14ac:dyDescent="0.25">
      <c r="A4114" t="str">
        <f>"20190312161353234"</f>
        <v>20190312161353234</v>
      </c>
      <c r="B4114" t="str">
        <f>"1552378433219794"</f>
        <v>1552378433219794</v>
      </c>
      <c r="C4114" t="s">
        <v>40</v>
      </c>
      <c r="D4114">
        <v>5.449573</v>
      </c>
      <c r="E4114">
        <v>0.49953409999999898</v>
      </c>
      <c r="F4114" t="s">
        <v>43</v>
      </c>
      <c r="G4114">
        <v>-196.29320000000001</v>
      </c>
      <c r="H4114">
        <v>0.92715999999999998</v>
      </c>
      <c r="I4114">
        <v>148.05269999999999</v>
      </c>
      <c r="J4114">
        <v>-195.86259999999999</v>
      </c>
      <c r="K4114">
        <v>1.1047049999999901</v>
      </c>
      <c r="L4114">
        <v>148.52780000000001</v>
      </c>
      <c r="M4114">
        <v>-0.48635319999999999</v>
      </c>
      <c r="N4114">
        <v>0</v>
      </c>
      <c r="O4114">
        <v>-0.8737009</v>
      </c>
      <c r="P4114">
        <v>-0.64611240000000003</v>
      </c>
      <c r="Q4114">
        <v>-6.0119579999999999E-2</v>
      </c>
      <c r="R4114">
        <v>-0.76087150000000003</v>
      </c>
      <c r="S4114">
        <v>-1.8934169999999999</v>
      </c>
      <c r="T4114">
        <v>-0.62929990000000002</v>
      </c>
      <c r="U4114">
        <v>-2.2849119999999998</v>
      </c>
      <c r="V4114">
        <v>0.19386880000000001</v>
      </c>
      <c r="W4114">
        <v>-5.2230430000000001E-2</v>
      </c>
      <c r="X4114">
        <v>0.97963610000000001</v>
      </c>
      <c r="Y4114">
        <v>0.16969210000000001</v>
      </c>
      <c r="Z4114">
        <v>0.1904691</v>
      </c>
      <c r="AA4114">
        <v>0.96691579999999999</v>
      </c>
      <c r="AB4114">
        <v>20</v>
      </c>
      <c r="AC4114">
        <v>-0.43060000000002602</v>
      </c>
      <c r="AD4114">
        <v>-0.17754499999999901</v>
      </c>
      <c r="AE4114">
        <v>-0.475100000000026</v>
      </c>
      <c r="AF4114">
        <v>0.134820194291603</v>
      </c>
      <c r="AG4114">
        <v>-0.17754499999999901</v>
      </c>
      <c r="AH4114">
        <v>0.58007739400203395</v>
      </c>
      <c r="AI4114">
        <v>106.600638070727</v>
      </c>
      <c r="AJ4114">
        <v>76.915746477836294</v>
      </c>
      <c r="AK4114">
        <v>0.62144066076015403</v>
      </c>
      <c r="AL4114">
        <v>92.993945484162893</v>
      </c>
      <c r="AM4114">
        <v>78.805874159922794</v>
      </c>
      <c r="AN4114">
        <v>1.00000000892731</v>
      </c>
    </row>
    <row r="4115" spans="1:40" x14ac:dyDescent="0.25">
      <c r="A4115" t="str">
        <f>"20190312161353257"</f>
        <v>20190312161353257</v>
      </c>
      <c r="B4115" t="str">
        <f>"1552378433250050"</f>
        <v>1552378433250050</v>
      </c>
      <c r="C4115" t="s">
        <v>40</v>
      </c>
      <c r="D4115">
        <v>5.6180649999999996</v>
      </c>
      <c r="E4115">
        <v>0.49944549999999999</v>
      </c>
      <c r="F4115" t="s">
        <v>43</v>
      </c>
      <c r="G4115">
        <v>-196.39330000000001</v>
      </c>
      <c r="H4115">
        <v>0.93036540000000001</v>
      </c>
      <c r="I4115">
        <v>147.8981</v>
      </c>
      <c r="J4115">
        <v>-195.97620000000001</v>
      </c>
      <c r="K4115">
        <v>1.1046450000000001</v>
      </c>
      <c r="L4115">
        <v>148.34549999999999</v>
      </c>
      <c r="M4115">
        <v>-0.49434139999999999</v>
      </c>
      <c r="N4115">
        <v>0</v>
      </c>
      <c r="O4115">
        <v>-0.86920580000000003</v>
      </c>
      <c r="P4115">
        <v>-0.65327939999999995</v>
      </c>
      <c r="Q4115">
        <v>-5.9589099999999999E-2</v>
      </c>
      <c r="R4115">
        <v>-0.75476849999999995</v>
      </c>
      <c r="S4115">
        <v>-1.912155</v>
      </c>
      <c r="T4115">
        <v>-0.62766739999999999</v>
      </c>
      <c r="U4115">
        <v>-2.2694700000000001</v>
      </c>
      <c r="V4115">
        <v>0.19413159999999999</v>
      </c>
      <c r="W4115">
        <v>-5.1717770000000003E-2</v>
      </c>
      <c r="X4115">
        <v>0.97961120000000002</v>
      </c>
      <c r="Y4115">
        <v>0.16871</v>
      </c>
      <c r="Z4115">
        <v>0.18915709999999999</v>
      </c>
      <c r="AA4115">
        <v>0.96734509999999996</v>
      </c>
      <c r="AB4115">
        <v>20</v>
      </c>
      <c r="AC4115">
        <v>-0.41710000000000402</v>
      </c>
      <c r="AD4115">
        <v>-0.17427960000000001</v>
      </c>
      <c r="AE4115">
        <v>-0.44739999999998697</v>
      </c>
      <c r="AF4115">
        <v>0.13076893366864301</v>
      </c>
      <c r="AG4115">
        <v>-0.17427960000000001</v>
      </c>
      <c r="AH4115">
        <v>0.55042032518489403</v>
      </c>
      <c r="AI4115">
        <v>107.121729957049</v>
      </c>
      <c r="AJ4115">
        <v>76.635435538828105</v>
      </c>
      <c r="AK4115">
        <v>0.59197671184400402</v>
      </c>
      <c r="AL4115">
        <v>92.964532637596605</v>
      </c>
      <c r="AM4115">
        <v>78.790806164229707</v>
      </c>
      <c r="AN4115">
        <v>0.99999995450888501</v>
      </c>
    </row>
    <row r="4116" spans="1:40" x14ac:dyDescent="0.25">
      <c r="A4116" t="str">
        <f>"20190312161353271"</f>
        <v>20190312161353271</v>
      </c>
      <c r="B4116" t="str">
        <f>"1552378433259811"</f>
        <v>1552378433259811</v>
      </c>
      <c r="C4116" t="s">
        <v>40</v>
      </c>
      <c r="D4116">
        <v>5.8800919999999897</v>
      </c>
      <c r="E4116">
        <v>0.49944549999999999</v>
      </c>
      <c r="F4116" t="s">
        <v>43</v>
      </c>
      <c r="G4116">
        <v>-196.49440000000001</v>
      </c>
      <c r="H4116">
        <v>0.93665790000000004</v>
      </c>
      <c r="I4116">
        <v>147.74199999999999</v>
      </c>
      <c r="J4116">
        <v>-196.04750000000001</v>
      </c>
      <c r="K4116">
        <v>1.1046100000000001</v>
      </c>
      <c r="L4116">
        <v>148.233</v>
      </c>
      <c r="M4116">
        <v>-0.49930790000000003</v>
      </c>
      <c r="N4116">
        <v>0</v>
      </c>
      <c r="O4116">
        <v>-0.86636229999999903</v>
      </c>
      <c r="P4116">
        <v>-0.65778809999999999</v>
      </c>
      <c r="Q4116">
        <v>-5.9485900000000001E-2</v>
      </c>
      <c r="R4116">
        <v>-0.75085069999999998</v>
      </c>
      <c r="S4116">
        <v>-1.9331970000000001</v>
      </c>
      <c r="T4116">
        <v>-0.62664619999999904</v>
      </c>
      <c r="U4116">
        <v>-2.2519840000000002</v>
      </c>
      <c r="V4116">
        <v>0.19438469999999999</v>
      </c>
      <c r="W4116">
        <v>-5.1626459999999999E-2</v>
      </c>
      <c r="X4116">
        <v>0.97956589999999999</v>
      </c>
      <c r="Y4116">
        <v>0.17205000000000001</v>
      </c>
      <c r="Z4116">
        <v>0.18852930000000001</v>
      </c>
      <c r="AA4116">
        <v>0.96687920000000005</v>
      </c>
      <c r="AB4116">
        <v>20</v>
      </c>
      <c r="AC4116">
        <v>-0.44689999999999902</v>
      </c>
      <c r="AD4116">
        <v>-0.16795209999999999</v>
      </c>
      <c r="AE4116">
        <v>-0.490999999999985</v>
      </c>
      <c r="AF4116">
        <v>0.13348290438608101</v>
      </c>
      <c r="AG4116">
        <v>-0.16795209999999999</v>
      </c>
      <c r="AH4116">
        <v>0.60955283354376399</v>
      </c>
      <c r="AI4116">
        <v>105.06445468510501</v>
      </c>
      <c r="AJ4116">
        <v>77.648065770186903</v>
      </c>
      <c r="AK4116">
        <v>0.64620449591362705</v>
      </c>
      <c r="AL4116">
        <v>92.959293744601794</v>
      </c>
      <c r="AM4116">
        <v>78.776057022767304</v>
      </c>
      <c r="AN4116">
        <v>1.00000002770451</v>
      </c>
    </row>
    <row r="4117" spans="1:40" x14ac:dyDescent="0.25">
      <c r="A4117" t="str">
        <f>"20190312161353291"</f>
        <v>20190312161353291</v>
      </c>
      <c r="B4117" t="str">
        <f>"1552378433280306"</f>
        <v>1552378433280306</v>
      </c>
      <c r="C4117" t="s">
        <v>40</v>
      </c>
      <c r="D4117">
        <v>5.6211419999999999</v>
      </c>
      <c r="E4117">
        <v>0.52977799999999997</v>
      </c>
      <c r="F4117" t="s">
        <v>43</v>
      </c>
      <c r="G4117">
        <v>-196.60050000000001</v>
      </c>
      <c r="H4117">
        <v>0.92657149999999999</v>
      </c>
      <c r="I4117">
        <v>147.5968</v>
      </c>
      <c r="J4117">
        <v>-196.142</v>
      </c>
      <c r="K4117">
        <v>1.1045670000000001</v>
      </c>
      <c r="L4117">
        <v>148.08619999999999</v>
      </c>
      <c r="M4117">
        <v>-0.50584090000000004</v>
      </c>
      <c r="N4117">
        <v>0</v>
      </c>
      <c r="O4117">
        <v>-0.86256409999999994</v>
      </c>
      <c r="P4117">
        <v>-0.66346850000000002</v>
      </c>
      <c r="Q4117">
        <v>-5.9268290000000001E-2</v>
      </c>
      <c r="R4117">
        <v>-0.74585380000000001</v>
      </c>
      <c r="S4117">
        <v>-1.9468380000000001</v>
      </c>
      <c r="T4117">
        <v>-0.62634040000000002</v>
      </c>
      <c r="U4117">
        <v>-2.240265</v>
      </c>
      <c r="V4117">
        <v>0.1944053</v>
      </c>
      <c r="W4117">
        <v>-5.1419520000000003E-2</v>
      </c>
      <c r="X4117">
        <v>0.97957269999999996</v>
      </c>
      <c r="Y4117">
        <v>0.17054269999999999</v>
      </c>
      <c r="Z4117">
        <v>0.18770100000000001</v>
      </c>
      <c r="AA4117">
        <v>0.96730740000000004</v>
      </c>
      <c r="AB4117">
        <v>20</v>
      </c>
      <c r="AC4117">
        <v>-0.45850000000001501</v>
      </c>
      <c r="AD4117">
        <v>-0.1779955</v>
      </c>
      <c r="AE4117">
        <v>-0.48939999999998901</v>
      </c>
      <c r="AF4117">
        <v>0.13819938862852099</v>
      </c>
      <c r="AG4117">
        <v>-0.1779955</v>
      </c>
      <c r="AH4117">
        <v>0.611055356560813</v>
      </c>
      <c r="AI4117">
        <v>105.860706717273</v>
      </c>
      <c r="AJ4117">
        <v>77.256094358177407</v>
      </c>
      <c r="AK4117">
        <v>0.65128343892594798</v>
      </c>
      <c r="AL4117">
        <v>92.947421177119907</v>
      </c>
      <c r="AM4117">
        <v>78.774973706672597</v>
      </c>
      <c r="AN4117">
        <v>1.0000000311452</v>
      </c>
    </row>
    <row r="4118" spans="1:40" x14ac:dyDescent="0.25">
      <c r="A4118" t="str">
        <f>"20190312161353313"</f>
        <v>20190312161353313</v>
      </c>
      <c r="B4118" t="str">
        <f>"1552378433309587"</f>
        <v>1552378433309587</v>
      </c>
      <c r="C4118" t="s">
        <v>40</v>
      </c>
      <c r="D4118">
        <v>5.6953829999999996</v>
      </c>
      <c r="E4118">
        <v>0.6043288</v>
      </c>
      <c r="F4118" t="s">
        <v>84</v>
      </c>
      <c r="G4118">
        <v>-202.51159999999999</v>
      </c>
      <c r="H4118" s="1">
        <v>-9.1454090000000002E-6</v>
      </c>
      <c r="I4118">
        <v>141.96619999999999</v>
      </c>
      <c r="J4118">
        <v>-196.25450000000001</v>
      </c>
      <c r="K4118">
        <v>1.104519</v>
      </c>
      <c r="L4118">
        <v>147.91489999999999</v>
      </c>
      <c r="M4118">
        <v>-0.51353509999999902</v>
      </c>
      <c r="N4118">
        <v>0</v>
      </c>
      <c r="O4118">
        <v>-0.85800529999999997</v>
      </c>
      <c r="P4118">
        <v>-0.6702264</v>
      </c>
      <c r="Q4118">
        <v>-5.8887889999999998E-2</v>
      </c>
      <c r="R4118">
        <v>-0.73981699999999995</v>
      </c>
      <c r="S4118">
        <v>-2.1577000000000002</v>
      </c>
      <c r="T4118">
        <v>-0.3741758</v>
      </c>
      <c r="U4118">
        <v>-2.0731510000000002</v>
      </c>
      <c r="V4118">
        <v>0.1945383</v>
      </c>
      <c r="W4118">
        <v>-5.105291E-2</v>
      </c>
      <c r="X4118">
        <v>0.97956540000000003</v>
      </c>
      <c r="Y4118">
        <v>0.25742189999999998</v>
      </c>
      <c r="Z4118">
        <v>0.1149618</v>
      </c>
      <c r="AA4118">
        <v>0.95943610000000001</v>
      </c>
      <c r="AB4118">
        <v>20</v>
      </c>
      <c r="AC4118">
        <v>-6.2570999999999799</v>
      </c>
      <c r="AD4118">
        <v>-1.1045281454089999</v>
      </c>
      <c r="AE4118">
        <v>-5.9486999999999997</v>
      </c>
      <c r="AF4118">
        <v>2.2766224741489101</v>
      </c>
      <c r="AG4118">
        <v>-1.1045281454089999</v>
      </c>
      <c r="AH4118">
        <v>8.1837631536895206</v>
      </c>
      <c r="AI4118">
        <v>97.408501592002594</v>
      </c>
      <c r="AJ4118">
        <v>74.454085469601907</v>
      </c>
      <c r="AK4118">
        <v>8.5660359367379897</v>
      </c>
      <c r="AL4118">
        <v>92.926388551102093</v>
      </c>
      <c r="AM4118">
        <v>78.7674078573164</v>
      </c>
      <c r="AN4118">
        <v>0.99999996133175795</v>
      </c>
    </row>
    <row r="4119" spans="1:40" x14ac:dyDescent="0.25">
      <c r="A4119" t="str">
        <f>"20190312161353327"</f>
        <v>20190312161353327</v>
      </c>
      <c r="B4119" t="str">
        <f>"1552378433319854"</f>
        <v>1552378433319854</v>
      </c>
      <c r="C4119" t="s">
        <v>40</v>
      </c>
      <c r="D4119">
        <v>5.66106</v>
      </c>
      <c r="E4119">
        <v>0.607763099999999</v>
      </c>
      <c r="F4119" t="s">
        <v>42</v>
      </c>
      <c r="G4119">
        <v>-215.30699999999999</v>
      </c>
      <c r="H4119" s="1">
        <v>-2.8629140000000001E-6</v>
      </c>
      <c r="I4119">
        <v>135.87280000000001</v>
      </c>
      <c r="J4119">
        <v>-196.33029999999999</v>
      </c>
      <c r="K4119">
        <v>1.1044769999999999</v>
      </c>
      <c r="L4119">
        <v>147.80119999999999</v>
      </c>
      <c r="M4119">
        <v>-0.51866990000000002</v>
      </c>
      <c r="N4119">
        <v>0</v>
      </c>
      <c r="O4119">
        <v>-0.85491090000000003</v>
      </c>
      <c r="P4119">
        <v>-0.67495509999999903</v>
      </c>
      <c r="Q4119">
        <v>-5.872906E-2</v>
      </c>
      <c r="R4119">
        <v>-0.73551800000000001</v>
      </c>
      <c r="S4119">
        <v>-2.6287379999999998</v>
      </c>
      <c r="T4119">
        <v>-0.152395</v>
      </c>
      <c r="U4119">
        <v>-1.661484</v>
      </c>
      <c r="V4119">
        <v>0.19493540000000001</v>
      </c>
      <c r="W4119">
        <v>-5.0907689999999998E-2</v>
      </c>
      <c r="X4119">
        <v>0.97949399999999998</v>
      </c>
      <c r="Y4119">
        <v>0.44448209999999999</v>
      </c>
      <c r="Z4119">
        <v>4.7811989999999999E-2</v>
      </c>
      <c r="AA4119">
        <v>0.8945109</v>
      </c>
      <c r="AB4119">
        <v>20</v>
      </c>
      <c r="AC4119">
        <v>-18.976700000000001</v>
      </c>
      <c r="AD4119">
        <v>-1.104479862914</v>
      </c>
      <c r="AE4119">
        <v>-11.9283999999999</v>
      </c>
      <c r="AF4119">
        <v>10.012720348913399</v>
      </c>
      <c r="AG4119">
        <v>-1.104479862914</v>
      </c>
      <c r="AH4119">
        <v>19.992908901520799</v>
      </c>
      <c r="AI4119">
        <v>92.827842389331906</v>
      </c>
      <c r="AJ4119">
        <v>63.397669045668998</v>
      </c>
      <c r="AK4119">
        <v>22.3872921743036</v>
      </c>
      <c r="AL4119">
        <v>92.918057258500298</v>
      </c>
      <c r="AM4119">
        <v>78.744264642257704</v>
      </c>
      <c r="AN4119">
        <v>0.99999994955514604</v>
      </c>
    </row>
    <row r="4120" spans="1:40" x14ac:dyDescent="0.25">
      <c r="A4120" t="str">
        <f>"20190312161353345"</f>
        <v>20190312161353345</v>
      </c>
      <c r="B4120" t="str">
        <f>"1552378433340350"</f>
        <v>1552378433340350</v>
      </c>
      <c r="C4120" t="s">
        <v>40</v>
      </c>
      <c r="D4120">
        <v>5.4779330000000002</v>
      </c>
      <c r="E4120">
        <v>0.61277090000000001</v>
      </c>
      <c r="F4120" t="s">
        <v>42</v>
      </c>
      <c r="G4120">
        <v>-225.59389999999999</v>
      </c>
      <c r="H4120" s="1">
        <v>-4.0689150000000003E-6</v>
      </c>
      <c r="I4120">
        <v>129.9068</v>
      </c>
      <c r="J4120">
        <v>-196.42230000000001</v>
      </c>
      <c r="K4120">
        <v>1.104436</v>
      </c>
      <c r="L4120">
        <v>147.66550000000001</v>
      </c>
      <c r="M4120">
        <v>-0.52484449999999905</v>
      </c>
      <c r="N4120">
        <v>0</v>
      </c>
      <c r="O4120">
        <v>-0.85113419999999895</v>
      </c>
      <c r="P4120">
        <v>-0.6806915</v>
      </c>
      <c r="Q4120">
        <v>-5.8287319999999997E-2</v>
      </c>
      <c r="R4120">
        <v>-0.73024789999999995</v>
      </c>
      <c r="S4120">
        <v>-2.6620940000000002</v>
      </c>
      <c r="T4120">
        <v>-0.10047399999999999</v>
      </c>
      <c r="U4120">
        <v>-1.6278379999999999</v>
      </c>
      <c r="V4120">
        <v>0.19549359999999999</v>
      </c>
      <c r="W4120">
        <v>-5.0482730000000003E-2</v>
      </c>
      <c r="X4120">
        <v>0.97940479999999996</v>
      </c>
      <c r="Y4120">
        <v>0.45187830000000001</v>
      </c>
      <c r="Z4120">
        <v>3.143137E-2</v>
      </c>
      <c r="AA4120">
        <v>0.89152569999999998</v>
      </c>
      <c r="AB4120">
        <v>20</v>
      </c>
      <c r="AC4120">
        <v>-29.171599999999899</v>
      </c>
      <c r="AD4120">
        <v>-1.104440068915</v>
      </c>
      <c r="AE4120">
        <v>-17.758700000000001</v>
      </c>
      <c r="AF4120">
        <v>15.4930315069734</v>
      </c>
      <c r="AG4120">
        <v>-1.104440068915</v>
      </c>
      <c r="AH4120">
        <v>30.3954584259379</v>
      </c>
      <c r="AI4120">
        <v>91.854180309797101</v>
      </c>
      <c r="AJ4120">
        <v>62.991363050507097</v>
      </c>
      <c r="AK4120">
        <v>34.134113523933998</v>
      </c>
      <c r="AL4120">
        <v>92.893677325251801</v>
      </c>
      <c r="AM4120">
        <v>78.711858410003501</v>
      </c>
      <c r="AN4120">
        <v>1.00000000796612</v>
      </c>
    </row>
    <row r="4121" spans="1:40" x14ac:dyDescent="0.25">
      <c r="A4121" t="str">
        <f>"20190312161353358"</f>
        <v>20190312161353358</v>
      </c>
      <c r="B4121" t="str">
        <f>"1552378433350110"</f>
        <v>1552378433350110</v>
      </c>
      <c r="C4121" t="s">
        <v>40</v>
      </c>
      <c r="D4121">
        <v>5.3822850000000004</v>
      </c>
      <c r="E4121">
        <v>0.61499659999999901</v>
      </c>
      <c r="F4121" t="s">
        <v>90</v>
      </c>
      <c r="G4121">
        <v>-245.22489999999999</v>
      </c>
      <c r="H4121">
        <v>0.66577180000000002</v>
      </c>
      <c r="I4121">
        <v>119.152</v>
      </c>
      <c r="J4121">
        <v>-196.49780000000001</v>
      </c>
      <c r="K4121">
        <v>1.104401</v>
      </c>
      <c r="L4121">
        <v>147.55590000000001</v>
      </c>
      <c r="M4121">
        <v>-0.52986529999999998</v>
      </c>
      <c r="N4121">
        <v>0</v>
      </c>
      <c r="O4121">
        <v>-0.84801729999999997</v>
      </c>
      <c r="P4121">
        <v>-0.68530859999999905</v>
      </c>
      <c r="Q4121">
        <v>-5.8196350000000001E-2</v>
      </c>
      <c r="R4121">
        <v>-0.72592389999999996</v>
      </c>
      <c r="S4121">
        <v>-2.7078859999999998</v>
      </c>
      <c r="T4121">
        <v>-2.433836E-2</v>
      </c>
      <c r="U4121">
        <v>-1.5821080000000001</v>
      </c>
      <c r="V4121">
        <v>0.195909</v>
      </c>
      <c r="W4121">
        <v>-5.0405699999999998E-2</v>
      </c>
      <c r="X4121">
        <v>0.97932580000000002</v>
      </c>
      <c r="Y4121">
        <v>0.46490150000000002</v>
      </c>
      <c r="Z4121">
        <v>7.5952199999999997E-3</v>
      </c>
      <c r="AA4121">
        <v>0.88532979999999994</v>
      </c>
      <c r="AB4121">
        <v>20</v>
      </c>
      <c r="AC4121">
        <v>-48.727099999999901</v>
      </c>
      <c r="AD4121">
        <v>-0.4386292</v>
      </c>
      <c r="AE4121">
        <v>-28.4039</v>
      </c>
      <c r="AF4121">
        <v>26.271031346810201</v>
      </c>
      <c r="AG4121">
        <v>-0.4386292</v>
      </c>
      <c r="AH4121">
        <v>49.905510370604503</v>
      </c>
      <c r="AI4121">
        <v>90.445603111261704</v>
      </c>
      <c r="AJ4121">
        <v>62.236988411252</v>
      </c>
      <c r="AK4121">
        <v>56.3996405037363</v>
      </c>
      <c r="AL4121">
        <v>92.889258093286102</v>
      </c>
      <c r="AM4121">
        <v>78.687601322514695</v>
      </c>
      <c r="AN4121">
        <v>1.00000004670956</v>
      </c>
    </row>
    <row r="4122" spans="1:40" x14ac:dyDescent="0.25">
      <c r="A4122" t="str">
        <f>"20190312161353374"</f>
        <v>20190312161353374</v>
      </c>
      <c r="B4122" t="str">
        <f>"1552378433369630"</f>
        <v>1552378433369630</v>
      </c>
      <c r="C4122" t="s">
        <v>40</v>
      </c>
      <c r="D4122">
        <v>5.310543</v>
      </c>
      <c r="E4122">
        <v>0.61695869999999997</v>
      </c>
      <c r="F4122" t="s">
        <v>90</v>
      </c>
      <c r="G4122">
        <v>-246.10830000000001</v>
      </c>
      <c r="H4122">
        <v>1.1915750000000001</v>
      </c>
      <c r="I4122">
        <v>119.3436</v>
      </c>
      <c r="J4122">
        <v>-196.57300000000001</v>
      </c>
      <c r="K4122">
        <v>1.104365</v>
      </c>
      <c r="L4122">
        <v>147.4478</v>
      </c>
      <c r="M4122">
        <v>-0.53483849999999999</v>
      </c>
      <c r="N4122">
        <v>0</v>
      </c>
      <c r="O4122">
        <v>-0.84488960000000002</v>
      </c>
      <c r="P4122">
        <v>-0.6899111</v>
      </c>
      <c r="Q4122">
        <v>-5.8008829999999997E-2</v>
      </c>
      <c r="R4122">
        <v>-0.72156629999999999</v>
      </c>
      <c r="S4122">
        <v>-2.7321930000000001</v>
      </c>
      <c r="T4122">
        <v>4.8024649999999997E-3</v>
      </c>
      <c r="U4122">
        <v>-1.5537259999999999</v>
      </c>
      <c r="V4122">
        <v>0.19637279999999999</v>
      </c>
      <c r="W4122">
        <v>-5.0233220000000002E-2</v>
      </c>
      <c r="X4122">
        <v>0.97924169999999999</v>
      </c>
      <c r="Y4122">
        <v>0.4700761</v>
      </c>
      <c r="Z4122">
        <v>-1.4950790000000001E-3</v>
      </c>
      <c r="AA4122">
        <v>0.88262459999999898</v>
      </c>
      <c r="AB4122">
        <v>20</v>
      </c>
      <c r="AC4122">
        <v>-49.535299999999999</v>
      </c>
      <c r="AD4122">
        <v>8.7209999999999996E-2</v>
      </c>
      <c r="AE4122">
        <v>-28.104199999999999</v>
      </c>
      <c r="AF4122">
        <v>26.822055180634901</v>
      </c>
      <c r="AG4122">
        <v>8.7209999999999996E-2</v>
      </c>
      <c r="AH4122">
        <v>50.240960863644702</v>
      </c>
      <c r="AI4122">
        <v>89.9122642713576</v>
      </c>
      <c r="AJ4122">
        <v>61.903655923821198</v>
      </c>
      <c r="AK4122">
        <v>56.952474908465597</v>
      </c>
      <c r="AL4122">
        <v>92.879363374808307</v>
      </c>
      <c r="AM4122">
        <v>78.660564470360796</v>
      </c>
      <c r="AN4122">
        <v>0.999999979995149</v>
      </c>
    </row>
    <row r="4123" spans="1:40" x14ac:dyDescent="0.25">
      <c r="A4123" t="str">
        <f>"20190312161353391"</f>
        <v>20190312161353391</v>
      </c>
      <c r="B4123" t="str">
        <f>"1552378433380366"</f>
        <v>1552378433380366</v>
      </c>
      <c r="C4123" t="s">
        <v>40</v>
      </c>
      <c r="D4123">
        <v>5.5968</v>
      </c>
      <c r="E4123">
        <v>0.61793540000000002</v>
      </c>
      <c r="F4123" t="s">
        <v>90</v>
      </c>
      <c r="G4123">
        <v>-247.7465</v>
      </c>
      <c r="H4123">
        <v>1.94021</v>
      </c>
      <c r="I4123">
        <v>119.0955</v>
      </c>
      <c r="J4123">
        <v>-196.66730000000001</v>
      </c>
      <c r="K4123">
        <v>1.1043259999999999</v>
      </c>
      <c r="L4123">
        <v>147.3143</v>
      </c>
      <c r="M4123">
        <v>-0.5410218</v>
      </c>
      <c r="N4123">
        <v>0</v>
      </c>
      <c r="O4123">
        <v>-0.84094329999999995</v>
      </c>
      <c r="P4123">
        <v>-0.69590069999999904</v>
      </c>
      <c r="Q4123">
        <v>-5.7767680000000002E-2</v>
      </c>
      <c r="R4123">
        <v>-0.71581099999999998</v>
      </c>
      <c r="S4123">
        <v>-2.7554319999999999</v>
      </c>
      <c r="T4123">
        <v>4.5007470000000001E-2</v>
      </c>
      <c r="U4123">
        <v>-1.526627</v>
      </c>
      <c r="V4123">
        <v>0.1973367</v>
      </c>
      <c r="W4123">
        <v>-5.0016980000000003E-2</v>
      </c>
      <c r="X4123">
        <v>0.97905900000000001</v>
      </c>
      <c r="Y4123">
        <v>0.47332089999999999</v>
      </c>
      <c r="Z4123">
        <v>-1.396009E-2</v>
      </c>
      <c r="AA4123">
        <v>0.88077939999999999</v>
      </c>
      <c r="AB4123">
        <v>20</v>
      </c>
      <c r="AC4123">
        <v>-51.079199999999901</v>
      </c>
      <c r="AD4123">
        <v>0.83588399999999896</v>
      </c>
      <c r="AE4123">
        <v>-28.218800000000002</v>
      </c>
      <c r="AF4123">
        <v>27.683564925026101</v>
      </c>
      <c r="AG4123">
        <v>0.83588399999999896</v>
      </c>
      <c r="AH4123">
        <v>51.357653810812003</v>
      </c>
      <c r="AI4123">
        <v>89.179185728294897</v>
      </c>
      <c r="AJ4123">
        <v>61.673785590999699</v>
      </c>
      <c r="AK4123">
        <v>58.349696434264402</v>
      </c>
      <c r="AL4123">
        <v>92.866958088133003</v>
      </c>
      <c r="AM4123">
        <v>78.604286466160005</v>
      </c>
      <c r="AN4123">
        <v>0.99999999846810494</v>
      </c>
    </row>
    <row r="4124" spans="1:40" x14ac:dyDescent="0.25">
      <c r="A4124" t="str">
        <f>"20190312161353404"</f>
        <v>20190312161353404</v>
      </c>
      <c r="B4124" t="str">
        <f>"1552378433399886"</f>
        <v>1552378433399886</v>
      </c>
      <c r="C4124" t="s">
        <v>40</v>
      </c>
      <c r="D4124">
        <v>5.3466909999999999</v>
      </c>
      <c r="E4124">
        <v>0.61781909999999995</v>
      </c>
      <c r="F4124" t="s">
        <v>90</v>
      </c>
      <c r="G4124">
        <v>-248.90129999999999</v>
      </c>
      <c r="H4124">
        <v>2.132927</v>
      </c>
      <c r="I4124">
        <v>119.0955</v>
      </c>
      <c r="J4124">
        <v>-196.74010000000001</v>
      </c>
      <c r="K4124">
        <v>1.1042909999999999</v>
      </c>
      <c r="L4124">
        <v>147.21279999999999</v>
      </c>
      <c r="M4124">
        <v>-0.54575549999999995</v>
      </c>
      <c r="N4124">
        <v>0</v>
      </c>
      <c r="O4124">
        <v>-0.83787900000000004</v>
      </c>
      <c r="P4124">
        <v>-0.70031399999999999</v>
      </c>
      <c r="Q4124">
        <v>-5.7773110000000003E-2</v>
      </c>
      <c r="R4124">
        <v>-0.7114935</v>
      </c>
      <c r="S4124">
        <v>-2.7740170000000002</v>
      </c>
      <c r="T4124">
        <v>5.4627780000000001E-2</v>
      </c>
      <c r="U4124">
        <v>-1.4986269999999999</v>
      </c>
      <c r="V4124">
        <v>0.1978656</v>
      </c>
      <c r="W4124">
        <v>-5.0038409999999998E-2</v>
      </c>
      <c r="X4124">
        <v>0.97895120000000002</v>
      </c>
      <c r="Y4124">
        <v>0.47765940000000001</v>
      </c>
      <c r="Z4124">
        <v>-1.6920399999999999E-2</v>
      </c>
      <c r="AA4124">
        <v>0.87838209999999906</v>
      </c>
      <c r="AB4124">
        <v>20</v>
      </c>
      <c r="AC4124">
        <v>-52.161199999999901</v>
      </c>
      <c r="AD4124">
        <v>1.0286360000000001</v>
      </c>
      <c r="AE4124">
        <v>-28.117299999999901</v>
      </c>
      <c r="AF4124">
        <v>28.352615274383702</v>
      </c>
      <c r="AG4124">
        <v>1.0286360000000001</v>
      </c>
      <c r="AH4124">
        <v>52.0133379425044</v>
      </c>
      <c r="AI4124">
        <v>89.005206239876998</v>
      </c>
      <c r="AJ4124">
        <v>61.405075712564802</v>
      </c>
      <c r="AK4124">
        <v>59.247921557121998</v>
      </c>
      <c r="AL4124">
        <v>92.868187342345195</v>
      </c>
      <c r="AM4124">
        <v>78.573320972097605</v>
      </c>
      <c r="AN4124">
        <v>1.0000000450600599</v>
      </c>
    </row>
    <row r="4125" spans="1:40" x14ac:dyDescent="0.25">
      <c r="A4125" t="str">
        <f>"20190312161353417"</f>
        <v>20190312161353417</v>
      </c>
      <c r="B4125" t="str">
        <f>"1552378433409646"</f>
        <v>1552378433409646</v>
      </c>
      <c r="C4125" t="s">
        <v>40</v>
      </c>
      <c r="D4125">
        <v>5.3935909999999998</v>
      </c>
      <c r="E4125">
        <v>0.61768509999999999</v>
      </c>
      <c r="F4125" t="s">
        <v>90</v>
      </c>
      <c r="G4125">
        <v>-248.6438</v>
      </c>
      <c r="H4125">
        <v>2.2397330000000002</v>
      </c>
      <c r="I4125">
        <v>119.5692</v>
      </c>
      <c r="J4125">
        <v>-196.8116</v>
      </c>
      <c r="K4125">
        <v>1.104255</v>
      </c>
      <c r="L4125">
        <v>147.11429999999999</v>
      </c>
      <c r="M4125">
        <v>-0.55037159999999996</v>
      </c>
      <c r="N4125">
        <v>0</v>
      </c>
      <c r="O4125">
        <v>-0.83485390000000004</v>
      </c>
      <c r="P4125">
        <v>-0.70432989999999995</v>
      </c>
      <c r="Q4125">
        <v>-5.744788E-2</v>
      </c>
      <c r="R4125">
        <v>-0.70754479999999997</v>
      </c>
      <c r="S4125">
        <v>-2.7829440000000001</v>
      </c>
      <c r="T4125">
        <v>6.0880900000000002E-2</v>
      </c>
      <c r="U4125">
        <v>-1.482178</v>
      </c>
      <c r="V4125">
        <v>0.197989</v>
      </c>
      <c r="W4125">
        <v>-4.9722210000000003E-2</v>
      </c>
      <c r="X4125">
        <v>0.97894230000000004</v>
      </c>
      <c r="Y4125">
        <v>0.47798950000000001</v>
      </c>
      <c r="Z4125">
        <v>-1.882259E-2</v>
      </c>
      <c r="AA4125">
        <v>0.8781639</v>
      </c>
      <c r="AB4125">
        <v>20</v>
      </c>
      <c r="AC4125">
        <v>-51.8322</v>
      </c>
      <c r="AD4125">
        <v>1.135478</v>
      </c>
      <c r="AE4125">
        <v>-27.545099999999898</v>
      </c>
      <c r="AF4125">
        <v>28.103303936944499</v>
      </c>
      <c r="AG4125">
        <v>1.135478</v>
      </c>
      <c r="AH4125">
        <v>51.506665829223699</v>
      </c>
      <c r="AI4125">
        <v>88.891347291159505</v>
      </c>
      <c r="AJ4125">
        <v>61.382031623272802</v>
      </c>
      <c r="AK4125">
        <v>58.685787268333399</v>
      </c>
      <c r="AL4125">
        <v>92.850048010313103</v>
      </c>
      <c r="AM4125">
        <v>78.566281080576104</v>
      </c>
      <c r="AN4125">
        <v>0.99999998450878602</v>
      </c>
    </row>
    <row r="4126" spans="1:40" x14ac:dyDescent="0.25">
      <c r="A4126" t="str">
        <f>"20190312161353436"</f>
        <v>20190312161353436</v>
      </c>
      <c r="B4126" t="str">
        <f>"1552378433429675"</f>
        <v>1552378433429675</v>
      </c>
      <c r="C4126" t="s">
        <v>40</v>
      </c>
      <c r="D4126">
        <v>5.6305500000000004</v>
      </c>
      <c r="E4126">
        <v>0.61788480000000001</v>
      </c>
      <c r="F4126" t="s">
        <v>90</v>
      </c>
      <c r="G4126">
        <v>-249.1951</v>
      </c>
      <c r="H4126">
        <v>2.2147239999999999</v>
      </c>
      <c r="I4126">
        <v>119.5692</v>
      </c>
      <c r="J4126">
        <v>-196.9128</v>
      </c>
      <c r="K4126">
        <v>1.1042130000000001</v>
      </c>
      <c r="L4126">
        <v>146.9769</v>
      </c>
      <c r="M4126">
        <v>-0.5568438</v>
      </c>
      <c r="N4126">
        <v>0</v>
      </c>
      <c r="O4126">
        <v>-0.83055100000000004</v>
      </c>
      <c r="P4126">
        <v>-0.70998159999999999</v>
      </c>
      <c r="Q4126">
        <v>-5.7120200000000003E-2</v>
      </c>
      <c r="R4126">
        <v>-0.70190010000000003</v>
      </c>
      <c r="S4126">
        <v>-2.7902680000000002</v>
      </c>
      <c r="T4126">
        <v>5.9151889999999999E-2</v>
      </c>
      <c r="U4126">
        <v>-1.4672240000000001</v>
      </c>
      <c r="V4126">
        <v>0.19821510000000001</v>
      </c>
      <c r="W4126">
        <v>-4.9408000000000001E-2</v>
      </c>
      <c r="X4126">
        <v>0.97891249999999996</v>
      </c>
      <c r="Y4126">
        <v>0.4758078</v>
      </c>
      <c r="Z4126">
        <v>-1.8227569999999998E-2</v>
      </c>
      <c r="AA4126">
        <v>0.87936039999999904</v>
      </c>
      <c r="AB4126">
        <v>20</v>
      </c>
      <c r="AC4126">
        <v>-52.2822999999999</v>
      </c>
      <c r="AD4126">
        <v>1.110511</v>
      </c>
      <c r="AE4126">
        <v>-27.407699999999998</v>
      </c>
      <c r="AF4126">
        <v>28.152894464344499</v>
      </c>
      <c r="AG4126">
        <v>1.110511</v>
      </c>
      <c r="AH4126">
        <v>51.861067143223501</v>
      </c>
      <c r="AI4126">
        <v>88.921872462191999</v>
      </c>
      <c r="AJ4126">
        <v>61.504580064082198</v>
      </c>
      <c r="AK4126">
        <v>59.0202421770326</v>
      </c>
      <c r="AL4126">
        <v>92.832022820877796</v>
      </c>
      <c r="AM4126">
        <v>78.553229184319704</v>
      </c>
      <c r="AN4126">
        <v>1.00000002949412</v>
      </c>
    </row>
    <row r="4127" spans="1:40" x14ac:dyDescent="0.25">
      <c r="A4127" t="str">
        <f>"20190312161353458"</f>
        <v>20190312161353458</v>
      </c>
      <c r="B4127" t="str">
        <f>"1552378433450170"</f>
        <v>1552378433450170</v>
      </c>
      <c r="C4127" t="s">
        <v>40</v>
      </c>
      <c r="D4127">
        <v>5.5761979999999998</v>
      </c>
      <c r="E4127">
        <v>0.61749509999999996</v>
      </c>
      <c r="F4127" t="s">
        <v>90</v>
      </c>
      <c r="G4127">
        <v>-250.11519999999999</v>
      </c>
      <c r="H4127">
        <v>2.3969279999999999</v>
      </c>
      <c r="I4127">
        <v>119.5692</v>
      </c>
      <c r="J4127">
        <v>-197.0394</v>
      </c>
      <c r="K4127">
        <v>1.1041589999999999</v>
      </c>
      <c r="L4127">
        <v>146.8081</v>
      </c>
      <c r="M4127">
        <v>-0.56485260000000004</v>
      </c>
      <c r="N4127">
        <v>0</v>
      </c>
      <c r="O4127">
        <v>-0.82512489999999905</v>
      </c>
      <c r="P4127">
        <v>-0.71714529999999999</v>
      </c>
      <c r="Q4127">
        <v>-5.6644449999999999E-2</v>
      </c>
      <c r="R4127">
        <v>-0.69461799999999996</v>
      </c>
      <c r="S4127">
        <v>-2.8032530000000002</v>
      </c>
      <c r="T4127">
        <v>6.8114999999999995E-2</v>
      </c>
      <c r="U4127">
        <v>-1.4441219999999999</v>
      </c>
      <c r="V4127">
        <v>0.19876540000000001</v>
      </c>
      <c r="W4127">
        <v>-4.8952870000000002E-2</v>
      </c>
      <c r="X4127">
        <v>0.97882369999999996</v>
      </c>
      <c r="Y4127">
        <v>0.47463139999999998</v>
      </c>
      <c r="Z4127">
        <v>-2.090092E-2</v>
      </c>
      <c r="AA4127">
        <v>0.87993650000000001</v>
      </c>
      <c r="AB4127">
        <v>20</v>
      </c>
      <c r="AC4127">
        <v>-53.075800000000001</v>
      </c>
      <c r="AD4127">
        <v>1.2927689999999901</v>
      </c>
      <c r="AE4127">
        <v>-27.238900000000001</v>
      </c>
      <c r="AF4127">
        <v>28.3964349714302</v>
      </c>
      <c r="AG4127">
        <v>1.2927689999999901</v>
      </c>
      <c r="AH4127">
        <v>52.4337729836299</v>
      </c>
      <c r="AI4127">
        <v>88.758017326079397</v>
      </c>
      <c r="AJ4127">
        <v>61.561458051652899</v>
      </c>
      <c r="AK4127">
        <v>59.6433510131085</v>
      </c>
      <c r="AL4127">
        <v>92.805914417974805</v>
      </c>
      <c r="AM4127">
        <v>78.521278427524194</v>
      </c>
      <c r="AN4127">
        <v>0.99999995170004197</v>
      </c>
    </row>
    <row r="4128" spans="1:40" x14ac:dyDescent="0.25">
      <c r="A4128" t="str">
        <f>"20190312161353470"</f>
        <v>20190312161353470</v>
      </c>
      <c r="B4128" t="str">
        <f>"1552378433459930"</f>
        <v>1552378433459930</v>
      </c>
      <c r="C4128" t="s">
        <v>40</v>
      </c>
      <c r="D4128">
        <v>5.6574710000000001</v>
      </c>
      <c r="E4128">
        <v>0.61749509999999996</v>
      </c>
      <c r="F4128" t="s">
        <v>90</v>
      </c>
      <c r="G4128">
        <v>-251.1388</v>
      </c>
      <c r="H4128">
        <v>2.5180850000000001</v>
      </c>
      <c r="I4128">
        <v>119.5692</v>
      </c>
      <c r="J4128">
        <v>-197.10980000000001</v>
      </c>
      <c r="K4128">
        <v>1.1041289999999999</v>
      </c>
      <c r="L4128">
        <v>146.71559999999999</v>
      </c>
      <c r="M4128">
        <v>-0.5692642</v>
      </c>
      <c r="N4128">
        <v>0</v>
      </c>
      <c r="O4128">
        <v>-0.82208719999999902</v>
      </c>
      <c r="P4128">
        <v>-0.72124769999999905</v>
      </c>
      <c r="Q4128">
        <v>-5.690344E-2</v>
      </c>
      <c r="R4128">
        <v>-0.69033619999999996</v>
      </c>
      <c r="S4128">
        <v>-2.815842</v>
      </c>
      <c r="T4128">
        <v>7.3595399999999894E-2</v>
      </c>
      <c r="U4128">
        <v>-1.41777</v>
      </c>
      <c r="V4128">
        <v>0.1993259</v>
      </c>
      <c r="W4128">
        <v>-4.9227279999999998E-2</v>
      </c>
      <c r="X4128">
        <v>0.97869600000000001</v>
      </c>
      <c r="Y4128">
        <v>0.47802299999999998</v>
      </c>
      <c r="Z4128">
        <v>-2.256965E-2</v>
      </c>
      <c r="AA4128">
        <v>0.87805730000000004</v>
      </c>
      <c r="AB4128">
        <v>21</v>
      </c>
      <c r="AC4128">
        <v>-54.029000000000003</v>
      </c>
      <c r="AD4128">
        <v>1.41395599999999</v>
      </c>
      <c r="AE4128">
        <v>-27.1464</v>
      </c>
      <c r="AF4128">
        <v>28.948851550814801</v>
      </c>
      <c r="AG4128">
        <v>1.41395599999999</v>
      </c>
      <c r="AH4128">
        <v>53.047418430596501</v>
      </c>
      <c r="AI4128">
        <v>88.659675146096802</v>
      </c>
      <c r="AJ4128">
        <v>61.377974221210302</v>
      </c>
      <c r="AK4128">
        <v>60.448853420324198</v>
      </c>
      <c r="AL4128">
        <v>92.821655796025098</v>
      </c>
      <c r="AM4128">
        <v>78.488310452353801</v>
      </c>
      <c r="AN4128">
        <v>0.99999999996150402</v>
      </c>
    </row>
    <row r="4129" spans="1:40" x14ac:dyDescent="0.25">
      <c r="A4129" t="str">
        <f>"20190312161353484"</f>
        <v>20190312161353484</v>
      </c>
      <c r="B4129" t="str">
        <f>"1552378433480426"</f>
        <v>1552378433480426</v>
      </c>
      <c r="C4129" t="s">
        <v>40</v>
      </c>
      <c r="D4129">
        <v>5.8086250000000001</v>
      </c>
      <c r="E4129">
        <v>0.61734369999999905</v>
      </c>
      <c r="F4129" t="s">
        <v>90</v>
      </c>
      <c r="G4129">
        <v>-251.83869999999999</v>
      </c>
      <c r="H4129">
        <v>2.5077929999999999</v>
      </c>
      <c r="I4129">
        <v>119.5692</v>
      </c>
      <c r="J4129">
        <v>-197.18459999999999</v>
      </c>
      <c r="K4129">
        <v>1.104096</v>
      </c>
      <c r="L4129">
        <v>146.61869999999999</v>
      </c>
      <c r="M4129">
        <v>-0.57391300000000001</v>
      </c>
      <c r="N4129">
        <v>0</v>
      </c>
      <c r="O4129">
        <v>-0.81884869999999899</v>
      </c>
      <c r="P4129">
        <v>-0.72543139999999995</v>
      </c>
      <c r="Q4129">
        <v>-5.6982610000000003E-2</v>
      </c>
      <c r="R4129">
        <v>-0.68593169999999903</v>
      </c>
      <c r="S4129">
        <v>-2.8243260000000001</v>
      </c>
      <c r="T4129">
        <v>7.243848E-2</v>
      </c>
      <c r="U4129">
        <v>-1.400909</v>
      </c>
      <c r="V4129">
        <v>0.19972989999999999</v>
      </c>
      <c r="W4129">
        <v>-4.9319170000000002E-2</v>
      </c>
      <c r="X4129">
        <v>0.97860899999999995</v>
      </c>
      <c r="Y4129">
        <v>0.47831259999999998</v>
      </c>
      <c r="Z4129">
        <v>-2.2169729999999999E-2</v>
      </c>
      <c r="AA4129">
        <v>0.87790979999999996</v>
      </c>
      <c r="AB4129">
        <v>21</v>
      </c>
      <c r="AC4129">
        <v>-54.6541</v>
      </c>
      <c r="AD4129">
        <v>1.403697</v>
      </c>
      <c r="AE4129">
        <v>-27.049499999999899</v>
      </c>
      <c r="AF4129">
        <v>29.2155169107224</v>
      </c>
      <c r="AG4129">
        <v>1.403697</v>
      </c>
      <c r="AH4129">
        <v>53.490766193119597</v>
      </c>
      <c r="AI4129">
        <v>88.680677338434194</v>
      </c>
      <c r="AJ4129">
        <v>61.357573119718097</v>
      </c>
      <c r="AK4129">
        <v>60.965390686482998</v>
      </c>
      <c r="AL4129">
        <v>92.826927124425495</v>
      </c>
      <c r="AM4129">
        <v>78.464604951025393</v>
      </c>
      <c r="AN4129">
        <v>0.99999999418224905</v>
      </c>
    </row>
    <row r="4130" spans="1:40" x14ac:dyDescent="0.25">
      <c r="A4130" t="str">
        <f>"20190312161353503"</f>
        <v>20190312161353503</v>
      </c>
      <c r="B4130" t="str">
        <f>"1552378433499946"</f>
        <v>1552378433499946</v>
      </c>
      <c r="C4130" t="s">
        <v>40</v>
      </c>
      <c r="D4130">
        <v>4.0696830000000004</v>
      </c>
      <c r="E4130">
        <v>0.63851469999999999</v>
      </c>
      <c r="F4130" t="s">
        <v>90</v>
      </c>
      <c r="G4130">
        <v>-253.48150000000001</v>
      </c>
      <c r="H4130">
        <v>2.6057359999999998</v>
      </c>
      <c r="I4130">
        <v>119.0955</v>
      </c>
      <c r="J4130">
        <v>-197.29769999999999</v>
      </c>
      <c r="K4130">
        <v>1.104055</v>
      </c>
      <c r="L4130">
        <v>146.4744</v>
      </c>
      <c r="M4130">
        <v>-0.58087239999999996</v>
      </c>
      <c r="N4130">
        <v>0</v>
      </c>
      <c r="O4130">
        <v>-0.81392629999999999</v>
      </c>
      <c r="P4130">
        <v>-0.73216780000000004</v>
      </c>
      <c r="Q4130">
        <v>-5.7280009999999999E-2</v>
      </c>
      <c r="R4130">
        <v>-0.67871139999999996</v>
      </c>
      <c r="S4130">
        <v>-2.8321689999999999</v>
      </c>
      <c r="T4130">
        <v>7.5545429999999997E-2</v>
      </c>
      <c r="U4130">
        <v>-1.384628</v>
      </c>
      <c r="V4130">
        <v>0.20105319999999999</v>
      </c>
      <c r="W4130">
        <v>-4.9646900000000001E-2</v>
      </c>
      <c r="X4130">
        <v>0.97832140000000001</v>
      </c>
      <c r="Y4130">
        <v>0.47583589999999998</v>
      </c>
      <c r="Z4130">
        <v>-2.3025049999999998E-2</v>
      </c>
      <c r="AA4130">
        <v>0.87923259999999903</v>
      </c>
      <c r="AB4130">
        <v>21</v>
      </c>
      <c r="AC4130">
        <v>-56.183799999999998</v>
      </c>
      <c r="AD4130">
        <v>1.501681</v>
      </c>
      <c r="AE4130">
        <v>-27.378900000000002</v>
      </c>
      <c r="AF4130">
        <v>29.810274707633599</v>
      </c>
      <c r="AG4130">
        <v>1.501681</v>
      </c>
      <c r="AH4130">
        <v>54.891391677878602</v>
      </c>
      <c r="AI4130">
        <v>88.622826149744995</v>
      </c>
      <c r="AJ4130">
        <v>61.494614605985603</v>
      </c>
      <c r="AK4130">
        <v>62.481776577692003</v>
      </c>
      <c r="AL4130">
        <v>92.845727734225093</v>
      </c>
      <c r="AM4130">
        <v>78.386925868217503</v>
      </c>
      <c r="AN4130">
        <v>0.99999998280390401</v>
      </c>
    </row>
    <row r="4131" spans="1:40" x14ac:dyDescent="0.25">
      <c r="A4131" t="str">
        <f>"20190312161353528"</f>
        <v>20190312161353528</v>
      </c>
      <c r="B4131" t="str">
        <f>"1552378433520442"</f>
        <v>1552378433520442</v>
      </c>
      <c r="C4131" t="s">
        <v>40</v>
      </c>
      <c r="D4131">
        <v>5.1785629999999996</v>
      </c>
      <c r="E4131">
        <v>0.64950059999999998</v>
      </c>
      <c r="F4131" t="s">
        <v>42</v>
      </c>
      <c r="G4131">
        <v>-216.72300000000001</v>
      </c>
      <c r="H4131" s="1">
        <v>-1.746141E-6</v>
      </c>
      <c r="I4131">
        <v>138.39529999999999</v>
      </c>
      <c r="J4131">
        <v>-197.441</v>
      </c>
      <c r="K4131">
        <v>1.10399</v>
      </c>
      <c r="L4131">
        <v>146.29480000000001</v>
      </c>
      <c r="M4131">
        <v>-0.58958940000000004</v>
      </c>
      <c r="N4131">
        <v>0</v>
      </c>
      <c r="O4131">
        <v>-0.80763419999999997</v>
      </c>
      <c r="P4131">
        <v>-0.73982760000000003</v>
      </c>
      <c r="Q4131">
        <v>-5.7396790000000003E-2</v>
      </c>
      <c r="R4131">
        <v>-0.67034380000000005</v>
      </c>
      <c r="S4131">
        <v>-2.9478149999999999</v>
      </c>
      <c r="T4131">
        <v>-0.1675421</v>
      </c>
      <c r="U4131">
        <v>-1.226013</v>
      </c>
      <c r="V4131">
        <v>0.2016414</v>
      </c>
      <c r="W4131">
        <v>-4.9785950000000002E-2</v>
      </c>
      <c r="X4131">
        <v>0.97819330000000004</v>
      </c>
      <c r="Y4131">
        <v>0.51790720000000001</v>
      </c>
      <c r="Z4131">
        <v>5.0973589999999999E-2</v>
      </c>
      <c r="AA4131">
        <v>0.85391679999999903</v>
      </c>
      <c r="AB4131">
        <v>21</v>
      </c>
      <c r="AC4131">
        <v>-19.282</v>
      </c>
      <c r="AD4131">
        <v>-1.103991746141</v>
      </c>
      <c r="AE4131">
        <v>-7.8995000000000104</v>
      </c>
      <c r="AF4131">
        <v>10.8853934522646</v>
      </c>
      <c r="AG4131">
        <v>-1.103991746141</v>
      </c>
      <c r="AH4131">
        <v>17.6996741028758</v>
      </c>
      <c r="AI4131">
        <v>93.041262852326994</v>
      </c>
      <c r="AJ4131">
        <v>58.4082638009628</v>
      </c>
      <c r="AK4131">
        <v>20.8083889749823</v>
      </c>
      <c r="AL4131">
        <v>92.853704488960105</v>
      </c>
      <c r="AM4131">
        <v>78.352394086088907</v>
      </c>
      <c r="AN4131">
        <v>1.00000001358812</v>
      </c>
    </row>
    <row r="4132" spans="1:40" x14ac:dyDescent="0.25">
      <c r="A4132" t="str">
        <f>"20190312161353549"</f>
        <v>20190312161353549</v>
      </c>
      <c r="B4132" t="str">
        <f>"1552378433539963"</f>
        <v>1552378433539963</v>
      </c>
      <c r="C4132" t="s">
        <v>40</v>
      </c>
      <c r="D4132">
        <v>4.945303</v>
      </c>
      <c r="E4132">
        <v>0.65568029999999999</v>
      </c>
      <c r="F4132" t="s">
        <v>91</v>
      </c>
      <c r="G4132">
        <v>-271.98660000000001</v>
      </c>
      <c r="H4132">
        <v>6.4143739999999996</v>
      </c>
      <c r="I4132">
        <v>118.3897</v>
      </c>
      <c r="J4132">
        <v>-197.56479999999999</v>
      </c>
      <c r="K4132">
        <v>1.1039350000000001</v>
      </c>
      <c r="L4132">
        <v>146.1431</v>
      </c>
      <c r="M4132">
        <v>-0.59701439999999995</v>
      </c>
      <c r="N4132">
        <v>0</v>
      </c>
      <c r="O4132">
        <v>-0.80216100000000001</v>
      </c>
      <c r="P4132">
        <v>-0.74626550000000003</v>
      </c>
      <c r="Q4132">
        <v>-5.75395E-2</v>
      </c>
      <c r="R4132">
        <v>-0.663157199999999</v>
      </c>
      <c r="S4132">
        <v>-3.040543</v>
      </c>
      <c r="T4132">
        <v>0.2165984</v>
      </c>
      <c r="U4132">
        <v>-1.1381840000000001</v>
      </c>
      <c r="V4132">
        <v>0.20206160000000001</v>
      </c>
      <c r="W4132">
        <v>-4.9947209999999999E-2</v>
      </c>
      <c r="X4132">
        <v>0.97809829999999998</v>
      </c>
      <c r="Y4132">
        <v>0.5396244</v>
      </c>
      <c r="Z4132">
        <v>-6.5091129999999997E-2</v>
      </c>
      <c r="AA4132">
        <v>0.83938590000000002</v>
      </c>
      <c r="AB4132">
        <v>21</v>
      </c>
      <c r="AC4132">
        <v>-74.421800000000005</v>
      </c>
      <c r="AD4132">
        <v>5.3104389999999997</v>
      </c>
      <c r="AE4132">
        <v>-27.753399999999999</v>
      </c>
      <c r="AF4132">
        <v>42.939550487459002</v>
      </c>
      <c r="AG4132">
        <v>5.3104389999999997</v>
      </c>
      <c r="AH4132">
        <v>66.400488998154103</v>
      </c>
      <c r="AI4132">
        <v>86.157949047627298</v>
      </c>
      <c r="AJ4132">
        <v>57.110252414925199</v>
      </c>
      <c r="AK4132">
        <v>79.252953873226403</v>
      </c>
      <c r="AL4132">
        <v>92.862955699990593</v>
      </c>
      <c r="AM4132">
        <v>78.327684409899604</v>
      </c>
      <c r="AN4132">
        <v>0.99999994922211499</v>
      </c>
    </row>
    <row r="4133" spans="1:40" x14ac:dyDescent="0.25">
      <c r="A4133" t="str">
        <f>"20190312161353570"</f>
        <v>20190312161353570</v>
      </c>
      <c r="B4133" t="str">
        <f>"1552378433560461"</f>
        <v>1552378433560461</v>
      </c>
      <c r="C4133" t="s">
        <v>40</v>
      </c>
      <c r="D4133">
        <v>5.747204</v>
      </c>
      <c r="E4133">
        <v>0.65354760000000001</v>
      </c>
      <c r="F4133" t="s">
        <v>91</v>
      </c>
      <c r="G4133">
        <v>-277.4135</v>
      </c>
      <c r="H4133">
        <v>6.0038549999999997</v>
      </c>
      <c r="I4133">
        <v>118.3896</v>
      </c>
      <c r="J4133">
        <v>-197.69300000000001</v>
      </c>
      <c r="K4133">
        <v>1.1038840000000001</v>
      </c>
      <c r="L4133">
        <v>145.98920000000001</v>
      </c>
      <c r="M4133">
        <v>-0.60460459999999905</v>
      </c>
      <c r="N4133">
        <v>0</v>
      </c>
      <c r="O4133">
        <v>-0.79645529999999998</v>
      </c>
      <c r="P4133">
        <v>-0.75294659999999902</v>
      </c>
      <c r="Q4133">
        <v>-5.7599360000000002E-2</v>
      </c>
      <c r="R4133">
        <v>-0.65555629999999998</v>
      </c>
      <c r="S4133">
        <v>-3.0825200000000001</v>
      </c>
      <c r="T4133">
        <v>0.18915889999999999</v>
      </c>
      <c r="U4133">
        <v>-1.0714109999999999</v>
      </c>
      <c r="V4133">
        <v>0.20268</v>
      </c>
      <c r="W4133">
        <v>-5.0028839999999998E-2</v>
      </c>
      <c r="X4133">
        <v>0.97796620000000001</v>
      </c>
      <c r="Y4133">
        <v>0.55203230000000003</v>
      </c>
      <c r="Z4133">
        <v>-5.6654839999999998E-2</v>
      </c>
      <c r="AA4133">
        <v>0.83189579999999996</v>
      </c>
      <c r="AB4133">
        <v>21</v>
      </c>
      <c r="AC4133">
        <v>-79.720500000000001</v>
      </c>
      <c r="AD4133">
        <v>4.8999709999999999</v>
      </c>
      <c r="AE4133">
        <v>-27.599599999999999</v>
      </c>
      <c r="AF4133">
        <v>46.652213979884401</v>
      </c>
      <c r="AG4133">
        <v>4.8999709999999999</v>
      </c>
      <c r="AH4133">
        <v>69.949191871392301</v>
      </c>
      <c r="AI4133">
        <v>86.664688347115103</v>
      </c>
      <c r="AJ4133">
        <v>56.298921665177801</v>
      </c>
      <c r="AK4133">
        <v>84.221898746624305</v>
      </c>
      <c r="AL4133">
        <v>92.8676385272217</v>
      </c>
      <c r="AM4133">
        <v>78.291408705304093</v>
      </c>
      <c r="AN4133">
        <v>0.99999997778709204</v>
      </c>
    </row>
    <row r="4134" spans="1:40" x14ac:dyDescent="0.25">
      <c r="A4134" t="str">
        <f>"20190312161353583"</f>
        <v>20190312161353583</v>
      </c>
      <c r="B4134" t="str">
        <f>"1552378433579979"</f>
        <v>1552378433579979</v>
      </c>
      <c r="C4134" t="s">
        <v>40</v>
      </c>
      <c r="D4134">
        <v>5.0885420000000003</v>
      </c>
      <c r="E4134">
        <v>0.65285340000000003</v>
      </c>
      <c r="F4134" t="s">
        <v>91</v>
      </c>
      <c r="G4134">
        <v>-277.42630000000003</v>
      </c>
      <c r="H4134">
        <v>7.1598490000000004</v>
      </c>
      <c r="I4134">
        <v>118.74039999999999</v>
      </c>
      <c r="J4134">
        <v>-197.7764</v>
      </c>
      <c r="K4134">
        <v>1.1038539999999999</v>
      </c>
      <c r="L4134">
        <v>145.89070000000001</v>
      </c>
      <c r="M4134">
        <v>-0.60948690000000005</v>
      </c>
      <c r="N4134">
        <v>0</v>
      </c>
      <c r="O4134">
        <v>-0.79272529999999997</v>
      </c>
      <c r="P4134">
        <v>-0.75704450000000001</v>
      </c>
      <c r="Q4134">
        <v>-5.7607789999999999E-2</v>
      </c>
      <c r="R4134">
        <v>-0.65081880000000003</v>
      </c>
      <c r="S4134">
        <v>-3.0844879999999999</v>
      </c>
      <c r="T4134">
        <v>0.23427529999999999</v>
      </c>
      <c r="U4134">
        <v>-1.0541229999999999</v>
      </c>
      <c r="V4134">
        <v>0.20280319999999999</v>
      </c>
      <c r="W4134">
        <v>-5.0045850000000003E-2</v>
      </c>
      <c r="X4134">
        <v>0.97793980000000003</v>
      </c>
      <c r="Y4134">
        <v>0.55028189999999999</v>
      </c>
      <c r="Z4134">
        <v>-6.9995210000000002E-2</v>
      </c>
      <c r="AA4134">
        <v>0.83204</v>
      </c>
      <c r="AB4134">
        <v>21</v>
      </c>
      <c r="AC4134">
        <v>-79.649900000000002</v>
      </c>
      <c r="AD4134">
        <v>6.0559949999999896</v>
      </c>
      <c r="AE4134">
        <v>-27.150300000000001</v>
      </c>
      <c r="AF4134">
        <v>46.355272994713701</v>
      </c>
      <c r="AG4134">
        <v>6.0559949999999896</v>
      </c>
      <c r="AH4134">
        <v>69.711188527931995</v>
      </c>
      <c r="AI4134">
        <v>85.862471791646399</v>
      </c>
      <c r="AJ4134">
        <v>56.3776139770725</v>
      </c>
      <c r="AK4134">
        <v>83.935309708318499</v>
      </c>
      <c r="AL4134">
        <v>92.868614319408593</v>
      </c>
      <c r="AM4134">
        <v>78.284180725617006</v>
      </c>
      <c r="AN4134">
        <v>0.99999998872825102</v>
      </c>
    </row>
    <row r="4135" spans="1:40" x14ac:dyDescent="0.25">
      <c r="A4135" t="str">
        <f>"20190312161353603"</f>
        <v>20190312161353603</v>
      </c>
      <c r="B4135" t="str">
        <f>"1552378433600475"</f>
        <v>1552378433600475</v>
      </c>
      <c r="C4135" t="s">
        <v>40</v>
      </c>
      <c r="D4135">
        <v>3.9770590000000001</v>
      </c>
      <c r="E4135">
        <v>0.65161939999999996</v>
      </c>
      <c r="F4135" t="s">
        <v>91</v>
      </c>
      <c r="G4135">
        <v>-277.6934</v>
      </c>
      <c r="H4135">
        <v>7.8463259999999897</v>
      </c>
      <c r="I4135">
        <v>118.9924</v>
      </c>
      <c r="J4135">
        <v>-197.89769999999999</v>
      </c>
      <c r="K4135">
        <v>1.1038079999999999</v>
      </c>
      <c r="L4135">
        <v>145.74959999999999</v>
      </c>
      <c r="M4135">
        <v>-0.61650229999999995</v>
      </c>
      <c r="N4135">
        <v>0</v>
      </c>
      <c r="O4135">
        <v>-0.78728180000000003</v>
      </c>
      <c r="P4135">
        <v>-0.76268919999999996</v>
      </c>
      <c r="Q4135">
        <v>-5.7793700000000003E-2</v>
      </c>
      <c r="R4135">
        <v>-0.64417819999999903</v>
      </c>
      <c r="S4135">
        <v>-3.0888520000000002</v>
      </c>
      <c r="T4135">
        <v>0.26060159999999999</v>
      </c>
      <c r="U4135">
        <v>-1.039642</v>
      </c>
      <c r="V4135">
        <v>0.2026471</v>
      </c>
      <c r="W4135">
        <v>-5.0237570000000002E-2</v>
      </c>
      <c r="X4135">
        <v>0.97796229999999995</v>
      </c>
      <c r="Y4135">
        <v>0.54609039999999998</v>
      </c>
      <c r="Z4135">
        <v>-7.7441860000000001E-2</v>
      </c>
      <c r="AA4135">
        <v>0.83413919999999997</v>
      </c>
      <c r="AB4135">
        <v>21</v>
      </c>
      <c r="AC4135">
        <v>-79.795699999999997</v>
      </c>
      <c r="AD4135">
        <v>6.7425179999999996</v>
      </c>
      <c r="AE4135">
        <v>-26.757199999999902</v>
      </c>
      <c r="AF4135">
        <v>46.032982312541598</v>
      </c>
      <c r="AG4135">
        <v>6.7425179999999996</v>
      </c>
      <c r="AH4135">
        <v>69.815548663010105</v>
      </c>
      <c r="AI4135">
        <v>85.390361254618597</v>
      </c>
      <c r="AJ4135">
        <v>56.601081142935499</v>
      </c>
      <c r="AK4135">
        <v>83.897007364292904</v>
      </c>
      <c r="AL4135">
        <v>92.879612983011995</v>
      </c>
      <c r="AM4135">
        <v>78.293211443509605</v>
      </c>
      <c r="AN4135">
        <v>0.99999996039960104</v>
      </c>
    </row>
    <row r="4136" spans="1:40" x14ac:dyDescent="0.25">
      <c r="A4136" t="str">
        <f>"20190312161353624"</f>
        <v>20190312161353624</v>
      </c>
      <c r="B4136" t="str">
        <f>"1552378433619994"</f>
        <v>1552378433619994</v>
      </c>
      <c r="C4136" t="s">
        <v>40</v>
      </c>
      <c r="D4136">
        <v>5.2432600000000003</v>
      </c>
      <c r="E4136">
        <v>0.64969969999999999</v>
      </c>
      <c r="F4136" t="s">
        <v>91</v>
      </c>
      <c r="G4136">
        <v>-278.9742</v>
      </c>
      <c r="H4136">
        <v>8.1969390000000004</v>
      </c>
      <c r="I4136">
        <v>118.99250000000001</v>
      </c>
      <c r="J4136">
        <v>-198.02789999999999</v>
      </c>
      <c r="K4136">
        <v>1.103769</v>
      </c>
      <c r="L4136">
        <v>145.601</v>
      </c>
      <c r="M4136">
        <v>-0.62392990000000004</v>
      </c>
      <c r="N4136">
        <v>0</v>
      </c>
      <c r="O4136">
        <v>-0.7814082</v>
      </c>
      <c r="P4136">
        <v>-0.76860329999999999</v>
      </c>
      <c r="Q4136">
        <v>-5.814064E-2</v>
      </c>
      <c r="R4136">
        <v>-0.63707849999999999</v>
      </c>
      <c r="S4136">
        <v>-3.092041</v>
      </c>
      <c r="T4136">
        <v>0.27051320000000001</v>
      </c>
      <c r="U4136">
        <v>-1.0204470000000001</v>
      </c>
      <c r="V4136">
        <v>0.20242450000000001</v>
      </c>
      <c r="W4136">
        <v>-5.0588300000000003E-2</v>
      </c>
      <c r="X4136">
        <v>0.97799029999999998</v>
      </c>
      <c r="Y4136">
        <v>0.5428366</v>
      </c>
      <c r="Z4136">
        <v>-8.0037209999999998E-2</v>
      </c>
      <c r="AA4136">
        <v>0.83601579999999998</v>
      </c>
      <c r="AB4136">
        <v>21</v>
      </c>
      <c r="AC4136">
        <v>-80.946299999999994</v>
      </c>
      <c r="AD4136">
        <v>7.0931699999999998</v>
      </c>
      <c r="AE4136">
        <v>-26.6084999999999</v>
      </c>
      <c r="AF4136">
        <v>46.331819324632498</v>
      </c>
      <c r="AG4136">
        <v>7.0931699999999998</v>
      </c>
      <c r="AH4136">
        <v>70.810229206138501</v>
      </c>
      <c r="AI4136">
        <v>85.208512038978398</v>
      </c>
      <c r="AJ4136">
        <v>56.802887348287697</v>
      </c>
      <c r="AK4136">
        <v>84.917837365333099</v>
      </c>
      <c r="AL4136">
        <v>92.899733974718899</v>
      </c>
      <c r="AM4136">
        <v>78.306042127866604</v>
      </c>
      <c r="AN4136">
        <v>0.99999994059561303</v>
      </c>
    </row>
    <row r="4137" spans="1:40" x14ac:dyDescent="0.25">
      <c r="A4137" t="str">
        <f>"20190312161353640"</f>
        <v>20190312161353640</v>
      </c>
      <c r="B4137" t="str">
        <f>"1552378433629754"</f>
        <v>1552378433629754</v>
      </c>
      <c r="C4137" t="s">
        <v>40</v>
      </c>
      <c r="D4137">
        <v>5.2801970000000003</v>
      </c>
      <c r="E4137">
        <v>0.64806319999999995</v>
      </c>
      <c r="F4137" t="s">
        <v>81</v>
      </c>
      <c r="G4137">
        <v>-321.45479999999998</v>
      </c>
      <c r="H4137">
        <v>12.114890000000001</v>
      </c>
      <c r="I4137">
        <v>105.5248</v>
      </c>
      <c r="J4137">
        <v>-198.13079999999999</v>
      </c>
      <c r="K4137">
        <v>1.103742</v>
      </c>
      <c r="L4137">
        <v>145.48560000000001</v>
      </c>
      <c r="M4137">
        <v>-0.62971929999999998</v>
      </c>
      <c r="N4137">
        <v>0</v>
      </c>
      <c r="O4137">
        <v>-0.7767501</v>
      </c>
      <c r="P4137">
        <v>-0.77293970000000001</v>
      </c>
      <c r="Q4137">
        <v>-5.802119E-2</v>
      </c>
      <c r="R4137">
        <v>-0.63182119999999997</v>
      </c>
      <c r="S4137">
        <v>-3.0919340000000002</v>
      </c>
      <c r="T4137">
        <v>0.27583659999999999</v>
      </c>
      <c r="U4137">
        <v>-1.0039370000000001</v>
      </c>
      <c r="V4137">
        <v>0.20183380000000001</v>
      </c>
      <c r="W4137">
        <v>-5.0463639999999997E-2</v>
      </c>
      <c r="X4137">
        <v>0.97811890000000001</v>
      </c>
      <c r="Y4137">
        <v>0.54048649999999998</v>
      </c>
      <c r="Z4137">
        <v>-8.1406210000000007E-2</v>
      </c>
      <c r="AA4137">
        <v>0.83740519999999996</v>
      </c>
      <c r="AB4137">
        <v>21</v>
      </c>
      <c r="AC4137">
        <v>-123.323999999999</v>
      </c>
      <c r="AD4137">
        <v>11.011148</v>
      </c>
      <c r="AE4137">
        <v>-39.960799999999999</v>
      </c>
      <c r="AF4137">
        <v>70.125902257877101</v>
      </c>
      <c r="AG4137">
        <v>11.011148</v>
      </c>
      <c r="AH4137">
        <v>107.926552616762</v>
      </c>
      <c r="AI4137">
        <v>85.1101779194789</v>
      </c>
      <c r="AJ4137">
        <v>56.985969962465298</v>
      </c>
      <c r="AK4137">
        <v>129.17828109824799</v>
      </c>
      <c r="AL4137">
        <v>92.892582111846806</v>
      </c>
      <c r="AM4137">
        <v>78.340721883272195</v>
      </c>
      <c r="AN4137">
        <v>1.0000000221608401</v>
      </c>
    </row>
    <row r="4138" spans="1:40" x14ac:dyDescent="0.25">
      <c r="A4138" t="str">
        <f>"20190312161353659"</f>
        <v>20190312161353659</v>
      </c>
      <c r="B4138" t="str">
        <f>"1552378433650250"</f>
        <v>1552378433650250</v>
      </c>
      <c r="C4138" t="s">
        <v>40</v>
      </c>
      <c r="D4138">
        <v>5.5883099999999999</v>
      </c>
      <c r="E4138">
        <v>0.64742519999999903</v>
      </c>
      <c r="F4138" t="s">
        <v>81</v>
      </c>
      <c r="G4138">
        <v>-320.47219999999999</v>
      </c>
      <c r="H4138">
        <v>11.745380000000001</v>
      </c>
      <c r="I4138">
        <v>106.17619999999999</v>
      </c>
      <c r="J4138">
        <v>-198.25040000000001</v>
      </c>
      <c r="K4138">
        <v>1.1037189999999999</v>
      </c>
      <c r="L4138">
        <v>145.3536</v>
      </c>
      <c r="M4138">
        <v>-0.6363664</v>
      </c>
      <c r="N4138">
        <v>0</v>
      </c>
      <c r="O4138">
        <v>-0.77131340000000004</v>
      </c>
      <c r="P4138">
        <v>-0.77754540000000005</v>
      </c>
      <c r="Q4138">
        <v>-5.8001959999999998E-2</v>
      </c>
      <c r="R4138">
        <v>-0.62614609999999904</v>
      </c>
      <c r="S4138">
        <v>-3.0899049999999999</v>
      </c>
      <c r="T4138">
        <v>0.2687697</v>
      </c>
      <c r="U4138">
        <v>-0.9928131</v>
      </c>
      <c r="V4138">
        <v>0.20059289999999999</v>
      </c>
      <c r="W4138">
        <v>-5.0428300000000002E-2</v>
      </c>
      <c r="X4138">
        <v>0.97837589999999997</v>
      </c>
      <c r="Y4138">
        <v>0.53604130000000005</v>
      </c>
      <c r="Z4138">
        <v>-7.9022439999999999E-2</v>
      </c>
      <c r="AA4138">
        <v>0.84048509999999998</v>
      </c>
      <c r="AB4138">
        <v>21</v>
      </c>
      <c r="AC4138">
        <v>-122.22179999999901</v>
      </c>
      <c r="AD4138">
        <v>10.641660999999999</v>
      </c>
      <c r="AE4138">
        <v>-39.177399999999999</v>
      </c>
      <c r="AF4138">
        <v>68.870609140474102</v>
      </c>
      <c r="AG4138">
        <v>10.641660999999999</v>
      </c>
      <c r="AH4138">
        <v>107.264629159431</v>
      </c>
      <c r="AI4138">
        <v>85.227843329409595</v>
      </c>
      <c r="AJ4138">
        <v>57.296996336400397</v>
      </c>
      <c r="AK4138">
        <v>127.914449617426</v>
      </c>
      <c r="AL4138">
        <v>92.890554867903504</v>
      </c>
      <c r="AM4138">
        <v>78.413421538458906</v>
      </c>
      <c r="AN4138">
        <v>0.99999996333605401</v>
      </c>
    </row>
    <row r="4139" spans="1:40" x14ac:dyDescent="0.25">
      <c r="A4139" t="str">
        <f>"20190312161353672"</f>
        <v>20190312161353672</v>
      </c>
      <c r="B4139" t="str">
        <f>"1552378433669770"</f>
        <v>1552378433669770</v>
      </c>
      <c r="C4139" t="s">
        <v>40</v>
      </c>
      <c r="D4139">
        <v>5.544664</v>
      </c>
      <c r="E4139">
        <v>0.64617009999999997</v>
      </c>
      <c r="F4139" t="s">
        <v>81</v>
      </c>
      <c r="G4139">
        <v>-320.47219999999999</v>
      </c>
      <c r="H4139">
        <v>11.81447</v>
      </c>
      <c r="I4139">
        <v>106.8657</v>
      </c>
      <c r="J4139">
        <v>-198.3356</v>
      </c>
      <c r="K4139">
        <v>1.103701</v>
      </c>
      <c r="L4139">
        <v>145.26070000000001</v>
      </c>
      <c r="M4139">
        <v>-0.64104930000000004</v>
      </c>
      <c r="N4139">
        <v>0</v>
      </c>
      <c r="O4139">
        <v>-0.76742580000000005</v>
      </c>
      <c r="P4139">
        <v>-0.78117109999999901</v>
      </c>
      <c r="Q4139">
        <v>-5.8025269999999997E-2</v>
      </c>
      <c r="R4139">
        <v>-0.62161509999999998</v>
      </c>
      <c r="S4139">
        <v>-3.0939480000000001</v>
      </c>
      <c r="T4139">
        <v>0.2711344</v>
      </c>
      <c r="U4139">
        <v>-0.97428890000000001</v>
      </c>
      <c r="V4139">
        <v>0.20032259999999999</v>
      </c>
      <c r="W4139">
        <v>-5.044949E-2</v>
      </c>
      <c r="X4139">
        <v>0.97843020000000003</v>
      </c>
      <c r="Y4139">
        <v>0.53574370000000004</v>
      </c>
      <c r="Z4139">
        <v>-7.9537819999999995E-2</v>
      </c>
      <c r="AA4139">
        <v>0.84062619999999899</v>
      </c>
      <c r="AB4139">
        <v>21</v>
      </c>
      <c r="AC4139">
        <v>-122.1366</v>
      </c>
      <c r="AD4139">
        <v>10.710769000000001</v>
      </c>
      <c r="AE4139">
        <v>-38.395000000000003</v>
      </c>
      <c r="AF4139">
        <v>68.641206396215907</v>
      </c>
      <c r="AG4139">
        <v>10.710769000000001</v>
      </c>
      <c r="AH4139">
        <v>107.018013210273</v>
      </c>
      <c r="AI4139">
        <v>85.184534410529906</v>
      </c>
      <c r="AJ4139">
        <v>57.323943392748099</v>
      </c>
      <c r="AK4139">
        <v>127.589932751661</v>
      </c>
      <c r="AL4139">
        <v>92.891770477090105</v>
      </c>
      <c r="AM4139">
        <v>78.429238010503795</v>
      </c>
      <c r="AN4139">
        <v>0.99999997569202903</v>
      </c>
    </row>
    <row r="4140" spans="1:40" x14ac:dyDescent="0.25">
      <c r="A4140" t="str">
        <f>"20190312161353692"</f>
        <v>20190312161353692</v>
      </c>
      <c r="B4140" t="str">
        <f>"1552378433680506"</f>
        <v>1552378433680506</v>
      </c>
      <c r="C4140" t="s">
        <v>40</v>
      </c>
      <c r="D4140">
        <v>5.6525189999999998</v>
      </c>
      <c r="E4140">
        <v>0.64567350000000001</v>
      </c>
      <c r="F4140" t="s">
        <v>81</v>
      </c>
      <c r="G4140">
        <v>-320.47219999999999</v>
      </c>
      <c r="H4140">
        <v>11.966390000000001</v>
      </c>
      <c r="I4140">
        <v>107.18899999999999</v>
      </c>
      <c r="J4140">
        <v>-198.46549999999999</v>
      </c>
      <c r="K4140">
        <v>1.1036779999999999</v>
      </c>
      <c r="L4140">
        <v>145.1216</v>
      </c>
      <c r="M4140">
        <v>-0.64808120000000002</v>
      </c>
      <c r="N4140">
        <v>0</v>
      </c>
      <c r="O4140">
        <v>-0.76149679999999997</v>
      </c>
      <c r="P4140">
        <v>-0.78610930000000001</v>
      </c>
      <c r="Q4140">
        <v>-5.81483E-2</v>
      </c>
      <c r="R4140">
        <v>-0.61534639999999996</v>
      </c>
      <c r="S4140">
        <v>-3.093521</v>
      </c>
      <c r="T4140">
        <v>0.2751344</v>
      </c>
      <c r="U4140">
        <v>-0.9642944</v>
      </c>
      <c r="V4140">
        <v>0.1991385</v>
      </c>
      <c r="W4140">
        <v>-5.0555740000000002E-2</v>
      </c>
      <c r="X4140">
        <v>0.97866640000000005</v>
      </c>
      <c r="Y4140">
        <v>0.53032990000000002</v>
      </c>
      <c r="Z4140">
        <v>-8.0271369999999995E-2</v>
      </c>
      <c r="AA4140">
        <v>0.84398269999999997</v>
      </c>
      <c r="AB4140">
        <v>21</v>
      </c>
      <c r="AC4140">
        <v>-122.0067</v>
      </c>
      <c r="AD4140">
        <v>10.862711999999901</v>
      </c>
      <c r="AE4140">
        <v>-37.932600000000001</v>
      </c>
      <c r="AF4140">
        <v>67.837828199265303</v>
      </c>
      <c r="AG4140">
        <v>10.862711999999901</v>
      </c>
      <c r="AH4140">
        <v>107.187141835817</v>
      </c>
      <c r="AI4140">
        <v>85.105476477596994</v>
      </c>
      <c r="AJ4140">
        <v>57.670629104956397</v>
      </c>
      <c r="AK4140">
        <v>127.31477848906501</v>
      </c>
      <c r="AL4140">
        <v>92.897865937655595</v>
      </c>
      <c r="AM4140">
        <v>78.498506271631001</v>
      </c>
      <c r="AN4140">
        <v>0.99999997375907801</v>
      </c>
    </row>
    <row r="4141" spans="1:40" x14ac:dyDescent="0.25">
      <c r="A4141" t="str">
        <f>"20190312161353707"</f>
        <v>20190312161353707</v>
      </c>
      <c r="B4141" t="str">
        <f>"1552378433700026"</f>
        <v>1552378433700026</v>
      </c>
      <c r="C4141" t="s">
        <v>40</v>
      </c>
      <c r="D4141">
        <v>5.5878420000000002</v>
      </c>
      <c r="E4141">
        <v>0.64540090000000006</v>
      </c>
      <c r="F4141" t="s">
        <v>81</v>
      </c>
      <c r="G4141">
        <v>-321.15449999999998</v>
      </c>
      <c r="H4141">
        <v>12.08846</v>
      </c>
      <c r="I4141">
        <v>107.7842</v>
      </c>
      <c r="J4141">
        <v>-198.56729999999999</v>
      </c>
      <c r="K4141">
        <v>1.1036619999999999</v>
      </c>
      <c r="L4141">
        <v>145.01410000000001</v>
      </c>
      <c r="M4141">
        <v>-0.65351930000000003</v>
      </c>
      <c r="N4141">
        <v>0</v>
      </c>
      <c r="O4141">
        <v>-0.75683459999999902</v>
      </c>
      <c r="P4141">
        <v>-0.79022729999999997</v>
      </c>
      <c r="Q4141">
        <v>-5.8188009999999998E-2</v>
      </c>
      <c r="R4141">
        <v>-0.61004530000000001</v>
      </c>
      <c r="S4141">
        <v>-3.098633</v>
      </c>
      <c r="T4141">
        <v>0.2774315</v>
      </c>
      <c r="U4141">
        <v>-0.94299319999999998</v>
      </c>
      <c r="V4141">
        <v>0.19870599999999999</v>
      </c>
      <c r="W4141">
        <v>-5.0589830000000002E-2</v>
      </c>
      <c r="X4141">
        <v>0.97875259999999997</v>
      </c>
      <c r="Y4141">
        <v>0.52990890000000002</v>
      </c>
      <c r="Z4141">
        <v>-8.0694180000000004E-2</v>
      </c>
      <c r="AA4141">
        <v>0.84420680000000003</v>
      </c>
      <c r="AB4141">
        <v>21</v>
      </c>
      <c r="AC4141">
        <v>-122.5872</v>
      </c>
      <c r="AD4141">
        <v>10.984798</v>
      </c>
      <c r="AE4141">
        <v>-37.229900000000001</v>
      </c>
      <c r="AF4141">
        <v>67.952122784314696</v>
      </c>
      <c r="AG4141">
        <v>10.984798</v>
      </c>
      <c r="AH4141">
        <v>107.505813242397</v>
      </c>
      <c r="AI4141">
        <v>85.063533299179298</v>
      </c>
      <c r="AJ4141">
        <v>57.703895977587898</v>
      </c>
      <c r="AK4141">
        <v>127.65444237826</v>
      </c>
      <c r="AL4141">
        <v>92.899821494036402</v>
      </c>
      <c r="AM4141">
        <v>78.523806273199597</v>
      </c>
      <c r="AN4141">
        <v>1.0000000286710899</v>
      </c>
    </row>
    <row r="4142" spans="1:40" x14ac:dyDescent="0.25">
      <c r="A4142" t="str">
        <f>"20190312161353726"</f>
        <v>20190312161353726</v>
      </c>
      <c r="B4142" t="str">
        <f>"1552378433720521"</f>
        <v>1552378433720521</v>
      </c>
      <c r="C4142" t="s">
        <v>40</v>
      </c>
      <c r="D4142">
        <v>5.5306629999999997</v>
      </c>
      <c r="E4142">
        <v>0.64364189999999999</v>
      </c>
      <c r="F4142" t="s">
        <v>81</v>
      </c>
      <c r="G4142">
        <v>-322.1721</v>
      </c>
      <c r="H4142">
        <v>12.232150000000001</v>
      </c>
      <c r="I4142">
        <v>108.2093</v>
      </c>
      <c r="J4142">
        <v>-198.6893</v>
      </c>
      <c r="K4142">
        <v>1.103648</v>
      </c>
      <c r="L4142">
        <v>144.8877</v>
      </c>
      <c r="M4142">
        <v>-0.65992839999999997</v>
      </c>
      <c r="N4142">
        <v>0</v>
      </c>
      <c r="O4142">
        <v>-0.7512529</v>
      </c>
      <c r="P4142">
        <v>-0.79528650000000001</v>
      </c>
      <c r="Q4142">
        <v>-5.8278469999999999E-2</v>
      </c>
      <c r="R4142">
        <v>-0.60342620000000002</v>
      </c>
      <c r="S4142">
        <v>-3.1035460000000001</v>
      </c>
      <c r="T4142">
        <v>0.27942129999999998</v>
      </c>
      <c r="U4142">
        <v>-0.92411799999999999</v>
      </c>
      <c r="V4142">
        <v>0.19855110000000001</v>
      </c>
      <c r="W4142">
        <v>-5.0678969999999997E-2</v>
      </c>
      <c r="X4142">
        <v>0.97877939999999997</v>
      </c>
      <c r="Y4142">
        <v>0.527756</v>
      </c>
      <c r="Z4142">
        <v>-8.0889649999999994E-2</v>
      </c>
      <c r="AA4142">
        <v>0.84553559999999905</v>
      </c>
      <c r="AB4142">
        <v>21</v>
      </c>
      <c r="AC4142">
        <v>-123.4828</v>
      </c>
      <c r="AD4142">
        <v>11.128501999999999</v>
      </c>
      <c r="AE4142">
        <v>-36.678400000000003</v>
      </c>
      <c r="AF4142">
        <v>68.057642173092106</v>
      </c>
      <c r="AG4142">
        <v>11.128501999999999</v>
      </c>
      <c r="AH4142">
        <v>108.242887608556</v>
      </c>
      <c r="AI4142">
        <v>85.025732677209405</v>
      </c>
      <c r="AJ4142">
        <v>57.840399504894599</v>
      </c>
      <c r="AK4142">
        <v>128.34410361509799</v>
      </c>
      <c r="AL4142">
        <v>92.904935466621097</v>
      </c>
      <c r="AM4142">
        <v>78.532821046913597</v>
      </c>
      <c r="AN4142">
        <v>1.0000000055879099</v>
      </c>
    </row>
    <row r="4143" spans="1:40" x14ac:dyDescent="0.25">
      <c r="A4143" t="str">
        <f>"20190312161353749"</f>
        <v>20190312161353749</v>
      </c>
      <c r="B4143" t="str">
        <f>"1552378433740041"</f>
        <v>1552378433740041</v>
      </c>
      <c r="C4143" t="s">
        <v>40</v>
      </c>
      <c r="D4143">
        <v>5.6141940000000004</v>
      </c>
      <c r="E4143">
        <v>0.64838750000000001</v>
      </c>
      <c r="F4143" t="s">
        <v>81</v>
      </c>
      <c r="G4143">
        <v>-322.5652</v>
      </c>
      <c r="H4143">
        <v>11.739699999999999</v>
      </c>
      <c r="I4143">
        <v>108.5804</v>
      </c>
      <c r="J4143">
        <v>-198.84780000000001</v>
      </c>
      <c r="K4143">
        <v>1.1036300000000001</v>
      </c>
      <c r="L4143">
        <v>144.72640000000001</v>
      </c>
      <c r="M4143">
        <v>-0.66810789999999998</v>
      </c>
      <c r="N4143">
        <v>0</v>
      </c>
      <c r="O4143">
        <v>-0.74398799999999998</v>
      </c>
      <c r="P4143">
        <v>-0.80174509999999999</v>
      </c>
      <c r="Q4143">
        <v>-5.8066350000000003E-2</v>
      </c>
      <c r="R4143">
        <v>-0.59483929999999996</v>
      </c>
      <c r="S4143">
        <v>-3.1018979999999998</v>
      </c>
      <c r="T4143">
        <v>0.26633079999999998</v>
      </c>
      <c r="U4143">
        <v>-0.90914919999999999</v>
      </c>
      <c r="V4143">
        <v>0.198381</v>
      </c>
      <c r="W4143">
        <v>-5.0464599999999998E-2</v>
      </c>
      <c r="X4143">
        <v>0.97882499999999995</v>
      </c>
      <c r="Y4143">
        <v>0.52247920000000003</v>
      </c>
      <c r="Z4143">
        <v>-7.6666449999999997E-2</v>
      </c>
      <c r="AA4143">
        <v>0.84919829999999996</v>
      </c>
      <c r="AB4143">
        <v>21</v>
      </c>
      <c r="AC4143">
        <v>-123.7174</v>
      </c>
      <c r="AD4143">
        <v>10.63607</v>
      </c>
      <c r="AE4143">
        <v>-36.146000000000001</v>
      </c>
      <c r="AF4143">
        <v>67.439451627251998</v>
      </c>
      <c r="AG4143">
        <v>10.63607</v>
      </c>
      <c r="AH4143">
        <v>108.814001955552</v>
      </c>
      <c r="AI4143">
        <v>85.250618719875405</v>
      </c>
      <c r="AJ4143">
        <v>58.210684086619501</v>
      </c>
      <c r="AK4143">
        <v>128.45891421934201</v>
      </c>
      <c r="AL4143">
        <v>92.8926371377366</v>
      </c>
      <c r="AM4143">
        <v>78.542904783702895</v>
      </c>
      <c r="AN4143">
        <v>1.00000003881957</v>
      </c>
    </row>
    <row r="4144" spans="1:40" x14ac:dyDescent="0.25">
      <c r="A4144" t="str">
        <f>"20190312161353771"</f>
        <v>20190312161353771</v>
      </c>
      <c r="B4144" t="str">
        <f>"1552378433760541"</f>
        <v>1552378433760541</v>
      </c>
      <c r="C4144" t="s">
        <v>40</v>
      </c>
      <c r="D4144">
        <v>5.6137819999999996</v>
      </c>
      <c r="E4144">
        <v>0.64728039999999998</v>
      </c>
      <c r="F4144" t="s">
        <v>42</v>
      </c>
      <c r="G4144">
        <v>-226.35169999999999</v>
      </c>
      <c r="H4144" s="1">
        <v>-1.9500579999999999E-6</v>
      </c>
      <c r="I4144">
        <v>137.34630000000001</v>
      </c>
      <c r="J4144">
        <v>-198.99440000000001</v>
      </c>
      <c r="K4144">
        <v>1.10362</v>
      </c>
      <c r="L4144">
        <v>144.5804</v>
      </c>
      <c r="M4144">
        <v>-0.6755236</v>
      </c>
      <c r="N4144">
        <v>0</v>
      </c>
      <c r="O4144">
        <v>-0.73726099999999894</v>
      </c>
      <c r="P4144">
        <v>-0.80775549999999996</v>
      </c>
      <c r="Q4144">
        <v>-5.7493900000000001E-2</v>
      </c>
      <c r="R4144">
        <v>-0.58670769999999905</v>
      </c>
      <c r="S4144">
        <v>-3.1130369999999998</v>
      </c>
      <c r="T4144">
        <v>-0.12491480000000001</v>
      </c>
      <c r="U4144">
        <v>-0.8353119</v>
      </c>
      <c r="V4144">
        <v>0.19850770000000001</v>
      </c>
      <c r="W4144">
        <v>-4.9893800000000002E-2</v>
      </c>
      <c r="X4144">
        <v>0.97882849999999999</v>
      </c>
      <c r="Y4144">
        <v>0.53622630000000004</v>
      </c>
      <c r="Z4144">
        <v>3.6171019999999998E-2</v>
      </c>
      <c r="AA4144">
        <v>0.84329889999999996</v>
      </c>
      <c r="AB4144">
        <v>21</v>
      </c>
      <c r="AC4144">
        <v>-27.357299999999899</v>
      </c>
      <c r="AD4144">
        <v>-1.103621950058</v>
      </c>
      <c r="AE4144">
        <v>-7.2340999999999802</v>
      </c>
      <c r="AF4144">
        <v>15.260325295031899</v>
      </c>
      <c r="AG4144">
        <v>-1.103621950058</v>
      </c>
      <c r="AH4144">
        <v>23.779111037396301</v>
      </c>
      <c r="AI4144">
        <v>92.236828803281497</v>
      </c>
      <c r="AJ4144">
        <v>57.309543602727402</v>
      </c>
      <c r="AK4144">
        <v>28.276167195142701</v>
      </c>
      <c r="AL4144">
        <v>92.859891665962294</v>
      </c>
      <c r="AM4144">
        <v>78.535821071071197</v>
      </c>
      <c r="AN4144">
        <v>0.99999996532498903</v>
      </c>
    </row>
    <row r="4145" spans="1:40" x14ac:dyDescent="0.25">
      <c r="A4145" t="str">
        <f>"20190312161353792"</f>
        <v>20190312161353792</v>
      </c>
      <c r="B4145" t="str">
        <f>"1552378433789818"</f>
        <v>1552378433789818</v>
      </c>
      <c r="C4145" t="s">
        <v>40</v>
      </c>
      <c r="D4145">
        <v>5.6456489999999997</v>
      </c>
      <c r="E4145">
        <v>0.64709380000000005</v>
      </c>
      <c r="F4145" t="s">
        <v>42</v>
      </c>
      <c r="G4145">
        <v>-226.83789999999999</v>
      </c>
      <c r="H4145" s="1">
        <v>-1.7436769999999999E-6</v>
      </c>
      <c r="I4145">
        <v>137.33410000000001</v>
      </c>
      <c r="J4145">
        <v>-199.14230000000001</v>
      </c>
      <c r="K4145">
        <v>1.1036060000000001</v>
      </c>
      <c r="L4145">
        <v>144.43610000000001</v>
      </c>
      <c r="M4145">
        <v>-0.6828533</v>
      </c>
      <c r="N4145">
        <v>0</v>
      </c>
      <c r="O4145">
        <v>-0.7304775</v>
      </c>
      <c r="P4145">
        <v>-0.8133321</v>
      </c>
      <c r="Q4145">
        <v>-5.7213989999999999E-2</v>
      </c>
      <c r="R4145">
        <v>-0.57898000000000005</v>
      </c>
      <c r="S4145">
        <v>-3.1161500000000002</v>
      </c>
      <c r="T4145">
        <v>-0.1235141</v>
      </c>
      <c r="U4145">
        <v>-0.81097410000000003</v>
      </c>
      <c r="V4145">
        <v>0.19808100000000001</v>
      </c>
      <c r="W4145">
        <v>-4.960664E-2</v>
      </c>
      <c r="X4145">
        <v>0.97892959999999996</v>
      </c>
      <c r="Y4145">
        <v>0.53418669999999902</v>
      </c>
      <c r="Z4145">
        <v>3.5588880000000003E-2</v>
      </c>
      <c r="AA4145">
        <v>0.84461710000000001</v>
      </c>
      <c r="AB4145">
        <v>21</v>
      </c>
      <c r="AC4145">
        <v>-27.695599999999899</v>
      </c>
      <c r="AD4145">
        <v>-1.10360774367699</v>
      </c>
      <c r="AE4145">
        <v>-7.1020000000000003</v>
      </c>
      <c r="AF4145">
        <v>15.3593817096547</v>
      </c>
      <c r="AG4145">
        <v>-1.10360774367699</v>
      </c>
      <c r="AH4145">
        <v>24.065402339037401</v>
      </c>
      <c r="AI4145">
        <v>92.213746782430107</v>
      </c>
      <c r="AJ4145">
        <v>57.452556689107098</v>
      </c>
      <c r="AK4145">
        <v>28.570476830016801</v>
      </c>
      <c r="AL4145">
        <v>92.843418021673401</v>
      </c>
      <c r="AM4145">
        <v>78.5609636849032</v>
      </c>
      <c r="AN4145">
        <v>1.00000003152462</v>
      </c>
    </row>
    <row r="4146" spans="1:40" x14ac:dyDescent="0.25">
      <c r="A4146" t="str">
        <f>"20190312161353805"</f>
        <v>20190312161353805</v>
      </c>
      <c r="B4146" t="str">
        <f>"1552378433800554"</f>
        <v>1552378433800554</v>
      </c>
      <c r="C4146" t="s">
        <v>40</v>
      </c>
      <c r="D4146">
        <v>5.7017639999999998</v>
      </c>
      <c r="E4146">
        <v>0.64689960000000002</v>
      </c>
      <c r="F4146" t="s">
        <v>42</v>
      </c>
      <c r="G4146">
        <v>-224.65600000000001</v>
      </c>
      <c r="H4146" s="1">
        <v>-2.5536060000000002E-6</v>
      </c>
      <c r="I4146">
        <v>138.04490000000001</v>
      </c>
      <c r="J4146">
        <v>-199.23009999999999</v>
      </c>
      <c r="K4146">
        <v>1.103599</v>
      </c>
      <c r="L4146">
        <v>144.35159999999999</v>
      </c>
      <c r="M4146">
        <v>-0.6871448</v>
      </c>
      <c r="N4146">
        <v>0</v>
      </c>
      <c r="O4146">
        <v>-0.72644189999999997</v>
      </c>
      <c r="P4146">
        <v>-0.81663260000000004</v>
      </c>
      <c r="Q4146">
        <v>-5.7153959999999997E-2</v>
      </c>
      <c r="R4146">
        <v>-0.57432119999999998</v>
      </c>
      <c r="S4146">
        <v>-3.1222530000000002</v>
      </c>
      <c r="T4146">
        <v>-0.1350547</v>
      </c>
      <c r="U4146">
        <v>-0.78211980000000003</v>
      </c>
      <c r="V4146">
        <v>0.19791310000000001</v>
      </c>
      <c r="W4146">
        <v>-4.9544030000000003E-2</v>
      </c>
      <c r="X4146">
        <v>0.97896669999999997</v>
      </c>
      <c r="Y4146">
        <v>0.53678139999999996</v>
      </c>
      <c r="Z4146">
        <v>3.8856599999999998E-2</v>
      </c>
      <c r="AA4146">
        <v>0.84282610000000002</v>
      </c>
      <c r="AB4146">
        <v>21</v>
      </c>
      <c r="AC4146">
        <v>-25.425899999999899</v>
      </c>
      <c r="AD4146">
        <v>-1.103601553606</v>
      </c>
      <c r="AE4146">
        <v>-6.30669999999997</v>
      </c>
      <c r="AF4146">
        <v>14.112583635745899</v>
      </c>
      <c r="AG4146">
        <v>-1.103601553606</v>
      </c>
      <c r="AH4146">
        <v>22.0149139312446</v>
      </c>
      <c r="AI4146">
        <v>92.416606487624193</v>
      </c>
      <c r="AJ4146">
        <v>57.338240017404601</v>
      </c>
      <c r="AK4146">
        <v>26.1732571275558</v>
      </c>
      <c r="AL4146">
        <v>92.839826398023405</v>
      </c>
      <c r="AM4146">
        <v>78.570826244433803</v>
      </c>
      <c r="AN4146">
        <v>1.0000000028845699</v>
      </c>
    </row>
    <row r="4147" spans="1:40" x14ac:dyDescent="0.25">
      <c r="A4147" t="str">
        <f>"20190312161353818"</f>
        <v>20190312161353818</v>
      </c>
      <c r="B4147" t="str">
        <f>"1552378433810314"</f>
        <v>1552378433810314</v>
      </c>
      <c r="C4147" t="s">
        <v>40</v>
      </c>
      <c r="D4147">
        <v>5.6641859999999999</v>
      </c>
      <c r="E4147">
        <v>0.64689960000000002</v>
      </c>
      <c r="F4147" t="s">
        <v>42</v>
      </c>
      <c r="G4147">
        <v>-225.52979999999999</v>
      </c>
      <c r="H4147" s="1">
        <v>-2.2026989999999999E-6</v>
      </c>
      <c r="I4147">
        <v>137.90989999999999</v>
      </c>
      <c r="J4147">
        <v>-199.32060000000001</v>
      </c>
      <c r="K4147">
        <v>1.1035900000000001</v>
      </c>
      <c r="L4147">
        <v>144.26580000000001</v>
      </c>
      <c r="M4147">
        <v>-0.69150849999999997</v>
      </c>
      <c r="N4147">
        <v>0</v>
      </c>
      <c r="O4147">
        <v>-0.72228939999999997</v>
      </c>
      <c r="P4147">
        <v>-0.8198645</v>
      </c>
      <c r="Q4147">
        <v>-5.729331E-2</v>
      </c>
      <c r="R4147">
        <v>-0.56968439999999998</v>
      </c>
      <c r="S4147">
        <v>-3.1259920000000001</v>
      </c>
      <c r="T4147">
        <v>-0.13117470000000001</v>
      </c>
      <c r="U4147">
        <v>-0.76565550000000004</v>
      </c>
      <c r="V4147">
        <v>0.1975538</v>
      </c>
      <c r="W4147">
        <v>-4.967804E-2</v>
      </c>
      <c r="X4147">
        <v>0.97903249999999997</v>
      </c>
      <c r="Y4147">
        <v>0.53617789999999999</v>
      </c>
      <c r="Z4147">
        <v>3.7617049999999999E-2</v>
      </c>
      <c r="AA4147">
        <v>0.84326639999999997</v>
      </c>
      <c r="AB4147">
        <v>21</v>
      </c>
      <c r="AC4147">
        <v>-26.2091999999999</v>
      </c>
      <c r="AD4147">
        <v>-1.1035922026989999</v>
      </c>
      <c r="AE4147">
        <v>-6.3559000000000099</v>
      </c>
      <c r="AF4147">
        <v>14.511996466209</v>
      </c>
      <c r="AG4147">
        <v>-1.1035922026989999</v>
      </c>
      <c r="AH4147">
        <v>22.678003906397901</v>
      </c>
      <c r="AI4147">
        <v>92.347211274154404</v>
      </c>
      <c r="AJ4147">
        <v>57.384209181568103</v>
      </c>
      <c r="AK4147">
        <v>26.946387853731299</v>
      </c>
      <c r="AL4147">
        <v>92.847514012291398</v>
      </c>
      <c r="AM4147">
        <v>78.591777329316102</v>
      </c>
      <c r="AN4147">
        <v>1.00000002380446</v>
      </c>
    </row>
    <row r="4148" spans="1:40" x14ac:dyDescent="0.25">
      <c r="A4148" t="str">
        <f>"20190312161353837"</f>
        <v>20190312161353837</v>
      </c>
      <c r="B4148" t="str">
        <f>"1552378433829835"</f>
        <v>1552378433829835</v>
      </c>
      <c r="C4148" t="s">
        <v>40</v>
      </c>
      <c r="D4148">
        <v>4.7958179999999997</v>
      </c>
      <c r="E4148">
        <v>0.64697899999999997</v>
      </c>
      <c r="F4148" t="s">
        <v>42</v>
      </c>
      <c r="G4148">
        <v>-225.57060000000001</v>
      </c>
      <c r="H4148" s="1">
        <v>-2.1703790000000001E-6</v>
      </c>
      <c r="I4148">
        <v>137.99350000000001</v>
      </c>
      <c r="J4148">
        <v>-199.4606</v>
      </c>
      <c r="K4148">
        <v>1.103575</v>
      </c>
      <c r="L4148">
        <v>144.13480000000001</v>
      </c>
      <c r="M4148">
        <v>-0.69816140000000004</v>
      </c>
      <c r="N4148">
        <v>0</v>
      </c>
      <c r="O4148">
        <v>-0.71586070000000002</v>
      </c>
      <c r="P4148">
        <v>-0.82497809999999905</v>
      </c>
      <c r="Q4148">
        <v>-5.7549339999999997E-2</v>
      </c>
      <c r="R4148">
        <v>-0.56222740000000004</v>
      </c>
      <c r="S4148">
        <v>-3.1302639999999999</v>
      </c>
      <c r="T4148">
        <v>-0.13160169999999999</v>
      </c>
      <c r="U4148">
        <v>-0.74795529999999999</v>
      </c>
      <c r="V4148">
        <v>0.197355</v>
      </c>
      <c r="W4148">
        <v>-4.9932400000000002E-2</v>
      </c>
      <c r="X4148">
        <v>0.97905960000000003</v>
      </c>
      <c r="Y4148">
        <v>0.53313949999999999</v>
      </c>
      <c r="Z4148">
        <v>3.7500329999999998E-2</v>
      </c>
      <c r="AA4148">
        <v>0.84519580000000005</v>
      </c>
      <c r="AB4148">
        <v>21</v>
      </c>
      <c r="AC4148">
        <v>-26.11</v>
      </c>
      <c r="AD4148">
        <v>-1.103577170379</v>
      </c>
      <c r="AE4148">
        <v>-6.1413000000000002</v>
      </c>
      <c r="AF4148">
        <v>14.3799837215705</v>
      </c>
      <c r="AG4148">
        <v>-1.103577170379</v>
      </c>
      <c r="AH4148">
        <v>22.588362926248301</v>
      </c>
      <c r="AI4148">
        <v>92.360014011912398</v>
      </c>
      <c r="AJ4148">
        <v>57.518751018436198</v>
      </c>
      <c r="AK4148">
        <v>26.799924516526598</v>
      </c>
      <c r="AL4148">
        <v>92.862106028459394</v>
      </c>
      <c r="AM4148">
        <v>78.603264140977103</v>
      </c>
      <c r="AN4148">
        <v>0.99999997047345901</v>
      </c>
    </row>
    <row r="4149" spans="1:40" x14ac:dyDescent="0.25">
      <c r="A4149" t="str">
        <f>"20190312161353861"</f>
        <v>20190312161353861</v>
      </c>
      <c r="B4149" t="str">
        <f>"1552378433850331"</f>
        <v>1552378433850331</v>
      </c>
      <c r="C4149" t="s">
        <v>40</v>
      </c>
      <c r="D4149">
        <v>4.7678379999999896</v>
      </c>
      <c r="E4149">
        <v>0.64697899999999997</v>
      </c>
      <c r="F4149" t="s">
        <v>42</v>
      </c>
      <c r="G4149">
        <v>-241.62209999999999</v>
      </c>
      <c r="H4149" s="1">
        <v>-4.4900680000000004E-6</v>
      </c>
      <c r="I4149">
        <v>134.46539999999999</v>
      </c>
      <c r="J4149">
        <v>-199.62020000000001</v>
      </c>
      <c r="K4149">
        <v>1.103558</v>
      </c>
      <c r="L4149">
        <v>143.98830000000001</v>
      </c>
      <c r="M4149">
        <v>-0.70560630000000002</v>
      </c>
      <c r="N4149">
        <v>0</v>
      </c>
      <c r="O4149">
        <v>-0.70852329999999997</v>
      </c>
      <c r="P4149">
        <v>-0.83075849999999996</v>
      </c>
      <c r="Q4149">
        <v>-5.7541460000000003E-2</v>
      </c>
      <c r="R4149">
        <v>-0.55365069999999905</v>
      </c>
      <c r="S4149">
        <v>-3.1399539999999999</v>
      </c>
      <c r="T4149">
        <v>-8.2188369999999997E-2</v>
      </c>
      <c r="U4149">
        <v>-0.72012330000000002</v>
      </c>
      <c r="V4149">
        <v>0.19726170000000001</v>
      </c>
      <c r="W4149">
        <v>-4.9919890000000001E-2</v>
      </c>
      <c r="X4149">
        <v>0.97907909999999998</v>
      </c>
      <c r="Y4149">
        <v>0.53254499999999905</v>
      </c>
      <c r="Z4149">
        <v>2.3265359999999999E-2</v>
      </c>
      <c r="AA4149">
        <v>0.84608189999999905</v>
      </c>
      <c r="AB4149">
        <v>21</v>
      </c>
      <c r="AC4149">
        <v>-42.0018999999999</v>
      </c>
      <c r="AD4149">
        <v>-1.1035624900679999</v>
      </c>
      <c r="AE4149">
        <v>-9.5229000000000195</v>
      </c>
      <c r="AF4149">
        <v>23.026107078905401</v>
      </c>
      <c r="AG4149">
        <v>-1.1035624900679999</v>
      </c>
      <c r="AH4149">
        <v>36.362210015531097</v>
      </c>
      <c r="AI4149">
        <v>91.468776217322798</v>
      </c>
      <c r="AJ4149">
        <v>57.656259521917399</v>
      </c>
      <c r="AK4149">
        <v>43.053800930838797</v>
      </c>
      <c r="AL4149">
        <v>92.861388195980396</v>
      </c>
      <c r="AM4149">
        <v>78.608732023921505</v>
      </c>
      <c r="AN4149">
        <v>1.0000000288806501</v>
      </c>
    </row>
    <row r="4150" spans="1:40" x14ac:dyDescent="0.25">
      <c r="A4150" t="str">
        <f>"20190312161353874"</f>
        <v>20190312161353874</v>
      </c>
      <c r="B4150" t="str">
        <f>"1552378433869850"</f>
        <v>1552378433869850</v>
      </c>
      <c r="C4150" t="s">
        <v>40</v>
      </c>
      <c r="D4150">
        <v>5.6194119999999996</v>
      </c>
      <c r="E4150">
        <v>0.69168879999999999</v>
      </c>
      <c r="F4150" t="s">
        <v>42</v>
      </c>
      <c r="G4150">
        <v>-242.0284</v>
      </c>
      <c r="H4150" s="1">
        <v>-4.27004E-6</v>
      </c>
      <c r="I4150">
        <v>134.72329999999999</v>
      </c>
      <c r="J4150">
        <v>-199.71940000000001</v>
      </c>
      <c r="K4150">
        <v>1.1035489999999999</v>
      </c>
      <c r="L4150">
        <v>143.8989</v>
      </c>
      <c r="M4150">
        <v>-0.71015329999999999</v>
      </c>
      <c r="N4150">
        <v>0</v>
      </c>
      <c r="O4150">
        <v>-0.70396539999999996</v>
      </c>
      <c r="P4150">
        <v>-0.8343216</v>
      </c>
      <c r="Q4150">
        <v>-5.7708889999999999E-2</v>
      </c>
      <c r="R4150">
        <v>-0.54824949999999995</v>
      </c>
      <c r="S4150">
        <v>-3.1472630000000001</v>
      </c>
      <c r="T4150">
        <v>-8.1899399999999997E-2</v>
      </c>
      <c r="U4150">
        <v>-0.68759159999999997</v>
      </c>
      <c r="V4150">
        <v>0.1972989</v>
      </c>
      <c r="W4150">
        <v>-5.0080819999999998E-2</v>
      </c>
      <c r="X4150">
        <v>0.97906329999999997</v>
      </c>
      <c r="Y4150">
        <v>0.53585199999999999</v>
      </c>
      <c r="Z4150">
        <v>2.313921E-2</v>
      </c>
      <c r="AA4150">
        <v>0.84399480000000004</v>
      </c>
      <c r="AB4150">
        <v>21</v>
      </c>
      <c r="AC4150">
        <v>-42.308999999999997</v>
      </c>
      <c r="AD4150">
        <v>-1.1035532700399999</v>
      </c>
      <c r="AE4150">
        <v>-9.1755999999999993</v>
      </c>
      <c r="AF4150">
        <v>23.254217656306999</v>
      </c>
      <c r="AG4150">
        <v>-1.1035532700399999</v>
      </c>
      <c r="AH4150">
        <v>36.483574246390504</v>
      </c>
      <c r="AI4150">
        <v>91.461136914220901</v>
      </c>
      <c r="AJ4150">
        <v>57.4870242193088</v>
      </c>
      <c r="AK4150">
        <v>43.278489557961798</v>
      </c>
      <c r="AL4150">
        <v>92.8706205942662</v>
      </c>
      <c r="AM4150">
        <v>78.6064609582196</v>
      </c>
      <c r="AN4150">
        <v>0.99999994493998401</v>
      </c>
    </row>
    <row r="4151" spans="1:40" x14ac:dyDescent="0.25">
      <c r="A4151" t="str">
        <f>"20190312161353892"</f>
        <v>20190312161353892</v>
      </c>
      <c r="B4151" t="str">
        <f>"1552378433890346"</f>
        <v>1552378433890346</v>
      </c>
      <c r="C4151" t="s">
        <v>40</v>
      </c>
      <c r="D4151">
        <v>5.2599530000000003</v>
      </c>
      <c r="E4151">
        <v>0.68108389999999996</v>
      </c>
      <c r="F4151" t="s">
        <v>78</v>
      </c>
      <c r="G4151">
        <v>-439.5102</v>
      </c>
      <c r="H4151">
        <v>60.435110000000002</v>
      </c>
      <c r="I4151">
        <v>116.3361</v>
      </c>
      <c r="J4151">
        <v>-199.85249999999999</v>
      </c>
      <c r="K4151">
        <v>1.1035349999999999</v>
      </c>
      <c r="L4151">
        <v>143.78059999999999</v>
      </c>
      <c r="M4151">
        <v>-0.71616849999999999</v>
      </c>
      <c r="N4151">
        <v>0</v>
      </c>
      <c r="O4151">
        <v>-0.69784499999999905</v>
      </c>
      <c r="P4151">
        <v>-0.83899769999999896</v>
      </c>
      <c r="Q4151">
        <v>-5.8334039999999997E-2</v>
      </c>
      <c r="R4151">
        <v>-0.54099919999999901</v>
      </c>
      <c r="S4151">
        <v>-3.3972929999999999</v>
      </c>
      <c r="T4151">
        <v>0.84059379999999995</v>
      </c>
      <c r="U4151">
        <v>-0.39050289999999999</v>
      </c>
      <c r="V4151">
        <v>0.19733980000000001</v>
      </c>
      <c r="W4151">
        <v>-5.0692760000000003E-2</v>
      </c>
      <c r="X4151">
        <v>0.97902359999999999</v>
      </c>
      <c r="Y4151">
        <v>0.57774950000000003</v>
      </c>
      <c r="Z4151">
        <v>-0.22400320000000001</v>
      </c>
      <c r="AA4151">
        <v>0.78487459999999998</v>
      </c>
      <c r="AB4151">
        <v>21</v>
      </c>
      <c r="AC4151">
        <v>-239.65770000000001</v>
      </c>
      <c r="AD4151">
        <v>59.331575000000001</v>
      </c>
      <c r="AE4151">
        <v>-27.444499999999898</v>
      </c>
      <c r="AF4151">
        <v>139.17775412561801</v>
      </c>
      <c r="AG4151">
        <v>59.331575000000001</v>
      </c>
      <c r="AH4151">
        <v>179.91409164697001</v>
      </c>
      <c r="AI4151">
        <v>75.380697359405502</v>
      </c>
      <c r="AJ4151">
        <v>52.275218435062698</v>
      </c>
      <c r="AK4151">
        <v>235.07395306283101</v>
      </c>
      <c r="AL4151">
        <v>92.905726663891201</v>
      </c>
      <c r="AM4151">
        <v>78.603710856893301</v>
      </c>
      <c r="AN4151">
        <v>0.99999998096870801</v>
      </c>
    </row>
    <row r="4152" spans="1:40" x14ac:dyDescent="0.25">
      <c r="A4152" t="str">
        <f>"20190312161353905"</f>
        <v>20190312161353905</v>
      </c>
      <c r="B4152" t="str">
        <f>"1552378433900106"</f>
        <v>1552378433900106</v>
      </c>
      <c r="C4152" t="s">
        <v>40</v>
      </c>
      <c r="D4152">
        <v>4.9117670000000002</v>
      </c>
      <c r="E4152">
        <v>0.67807919999999999</v>
      </c>
      <c r="F4152" t="s">
        <v>92</v>
      </c>
      <c r="G4152">
        <v>-388.01929999999999</v>
      </c>
      <c r="H4152">
        <v>41.870629999999998</v>
      </c>
      <c r="I4152">
        <v>119.6062</v>
      </c>
      <c r="J4152">
        <v>-199.94739999999999</v>
      </c>
      <c r="K4152">
        <v>1.103529</v>
      </c>
      <c r="L4152">
        <v>143.69739999999999</v>
      </c>
      <c r="M4152">
        <v>-0.72039819999999999</v>
      </c>
      <c r="N4152">
        <v>0</v>
      </c>
      <c r="O4152">
        <v>-0.69347729999999996</v>
      </c>
      <c r="P4152">
        <v>-0.84224059999999901</v>
      </c>
      <c r="Q4152">
        <v>-5.8637599999999998E-2</v>
      </c>
      <c r="R4152">
        <v>-0.53590349999999998</v>
      </c>
      <c r="S4152">
        <v>-3.3487239999999998</v>
      </c>
      <c r="T4152">
        <v>0.72551489999999996</v>
      </c>
      <c r="U4152">
        <v>-0.43022159999999898</v>
      </c>
      <c r="V4152">
        <v>0.1973018</v>
      </c>
      <c r="W4152">
        <v>-5.098519E-2</v>
      </c>
      <c r="X4152">
        <v>0.97901609999999994</v>
      </c>
      <c r="Y4152">
        <v>0.5704034</v>
      </c>
      <c r="Z4152">
        <v>-0.19511680000000001</v>
      </c>
      <c r="AA4152">
        <v>0.79785299999999904</v>
      </c>
      <c r="AB4152">
        <v>21</v>
      </c>
      <c r="AC4152">
        <v>-188.0719</v>
      </c>
      <c r="AD4152">
        <v>40.767100999999997</v>
      </c>
      <c r="AE4152">
        <v>-24.091199999999901</v>
      </c>
      <c r="AF4152">
        <v>108.078634877985</v>
      </c>
      <c r="AG4152">
        <v>40.767100999999997</v>
      </c>
      <c r="AH4152">
        <v>145.47707137707201</v>
      </c>
      <c r="AI4152">
        <v>77.322568019132603</v>
      </c>
      <c r="AJ4152">
        <v>53.390399182374701</v>
      </c>
      <c r="AK4152">
        <v>185.759323150906</v>
      </c>
      <c r="AL4152">
        <v>92.922503287584505</v>
      </c>
      <c r="AM4152">
        <v>78.6057629291913</v>
      </c>
      <c r="AN4152">
        <v>1.0000000069708901</v>
      </c>
    </row>
    <row r="4153" spans="1:40" x14ac:dyDescent="0.25">
      <c r="A4153" t="str">
        <f>"20190312161353928"</f>
        <v>20190312161353928</v>
      </c>
      <c r="B4153" t="str">
        <f>"1552378433920602"</f>
        <v>1552378433920602</v>
      </c>
      <c r="C4153" t="s">
        <v>40</v>
      </c>
      <c r="D4153">
        <v>4.936693</v>
      </c>
      <c r="E4153">
        <v>0.67231430000000003</v>
      </c>
      <c r="F4153" t="s">
        <v>43</v>
      </c>
      <c r="G4153">
        <v>-200.53989999999999</v>
      </c>
      <c r="H4153">
        <v>1.2273080000000001</v>
      </c>
      <c r="I4153">
        <v>143.62110000000001</v>
      </c>
      <c r="J4153">
        <v>-200.11150000000001</v>
      </c>
      <c r="K4153">
        <v>1.1035170000000001</v>
      </c>
      <c r="L4153">
        <v>143.55600000000001</v>
      </c>
      <c r="M4153">
        <v>-0.72759790000000002</v>
      </c>
      <c r="N4153">
        <v>0</v>
      </c>
      <c r="O4153">
        <v>-0.68591930000000001</v>
      </c>
      <c r="P4153">
        <v>-0.84790330000000003</v>
      </c>
      <c r="Q4153">
        <v>-5.9055610000000001E-2</v>
      </c>
      <c r="R4153">
        <v>-0.52685209999999905</v>
      </c>
      <c r="S4153">
        <v>-3.3370060000000001</v>
      </c>
      <c r="T4153">
        <v>0.69718500000000005</v>
      </c>
      <c r="U4153">
        <v>-0.42977910000000002</v>
      </c>
      <c r="V4153">
        <v>0.1975402</v>
      </c>
      <c r="W4153">
        <v>-5.1387479999999999E-2</v>
      </c>
      <c r="X4153">
        <v>0.97894700000000001</v>
      </c>
      <c r="Y4153">
        <v>0.56371059999999995</v>
      </c>
      <c r="Z4153">
        <v>-0.18655920000000001</v>
      </c>
      <c r="AA4153">
        <v>0.8046278</v>
      </c>
      <c r="AB4153">
        <v>21</v>
      </c>
      <c r="AC4153">
        <v>-0.42839999999998202</v>
      </c>
      <c r="AD4153">
        <v>0.123790999999999</v>
      </c>
      <c r="AE4153">
        <v>6.5100000000001004E-2</v>
      </c>
      <c r="AF4153">
        <v>0.31548616716772998</v>
      </c>
      <c r="AG4153">
        <v>0.123790999999999</v>
      </c>
      <c r="AH4153">
        <v>0.24691349526529399</v>
      </c>
      <c r="AI4153">
        <v>72.828997765622105</v>
      </c>
      <c r="AJ4153">
        <v>38.048312677559103</v>
      </c>
      <c r="AK4153">
        <v>0.41931134911818102</v>
      </c>
      <c r="AL4153">
        <v>92.945583034132198</v>
      </c>
      <c r="AM4153">
        <v>78.591571914474201</v>
      </c>
      <c r="AN4153">
        <v>1.0000000162628899</v>
      </c>
    </row>
    <row r="4154" spans="1:40" x14ac:dyDescent="0.25">
      <c r="A4154" t="str">
        <f>"20190312161353951"</f>
        <v>20190312161353951</v>
      </c>
      <c r="B4154" t="str">
        <f>"1552378433940122"</f>
        <v>1552378433940122</v>
      </c>
      <c r="C4154" t="s">
        <v>40</v>
      </c>
      <c r="D4154">
        <v>5.5631750000000002</v>
      </c>
      <c r="E4154">
        <v>0.66921869999999894</v>
      </c>
      <c r="F4154" t="s">
        <v>43</v>
      </c>
      <c r="G4154">
        <v>-200.67150000000001</v>
      </c>
      <c r="H4154">
        <v>1.214979</v>
      </c>
      <c r="I4154">
        <v>143.483</v>
      </c>
      <c r="J4154">
        <v>-200.27959999999999</v>
      </c>
      <c r="K4154">
        <v>1.1035109999999999</v>
      </c>
      <c r="L4154">
        <v>143.4145</v>
      </c>
      <c r="M4154">
        <v>-0.73481090000000004</v>
      </c>
      <c r="N4154">
        <v>0</v>
      </c>
      <c r="O4154">
        <v>-0.6781857</v>
      </c>
      <c r="P4154">
        <v>-0.853352</v>
      </c>
      <c r="Q4154">
        <v>-5.9761040000000001E-2</v>
      </c>
      <c r="R4154">
        <v>-0.51789859999999999</v>
      </c>
      <c r="S4154">
        <v>-3.3154599999999999</v>
      </c>
      <c r="T4154">
        <v>0.65994079999999999</v>
      </c>
      <c r="U4154">
        <v>-0.43234250000000002</v>
      </c>
      <c r="V4154">
        <v>0.1974455</v>
      </c>
      <c r="W4154">
        <v>-5.2056959999999999E-2</v>
      </c>
      <c r="X4154">
        <v>0.97893070000000004</v>
      </c>
      <c r="Y4154">
        <v>0.55620139999999996</v>
      </c>
      <c r="Z4154">
        <v>-0.17610100000000001</v>
      </c>
      <c r="AA4154">
        <v>0.81217519999999999</v>
      </c>
      <c r="AB4154">
        <v>21</v>
      </c>
      <c r="AC4154">
        <v>-0.39190000000002101</v>
      </c>
      <c r="AD4154">
        <v>0.111467999999999</v>
      </c>
      <c r="AE4154">
        <v>6.85000000000002E-2</v>
      </c>
      <c r="AF4154">
        <v>0.29312329264287001</v>
      </c>
      <c r="AG4154">
        <v>0.111467999999999</v>
      </c>
      <c r="AH4154">
        <v>0.22395028675745299</v>
      </c>
      <c r="AI4154">
        <v>73.186403759227701</v>
      </c>
      <c r="AJ4154">
        <v>37.380332493922801</v>
      </c>
      <c r="AK4154">
        <v>0.385357120931407</v>
      </c>
      <c r="AL4154">
        <v>92.983992920234101</v>
      </c>
      <c r="AM4154">
        <v>78.596712859702293</v>
      </c>
      <c r="AN4154">
        <v>0.99999998397859002</v>
      </c>
    </row>
    <row r="4155" spans="1:40" x14ac:dyDescent="0.25">
      <c r="A4155" t="str">
        <f>"20190312161353971"</f>
        <v>20190312161353971</v>
      </c>
      <c r="B4155" t="str">
        <f>"1552378433960628"</f>
        <v>1552378433960628</v>
      </c>
      <c r="C4155" t="s">
        <v>40</v>
      </c>
      <c r="D4155">
        <v>5.6787839999999896</v>
      </c>
      <c r="E4155">
        <v>0.67089309999999902</v>
      </c>
      <c r="F4155" t="s">
        <v>43</v>
      </c>
      <c r="G4155">
        <v>-201.03899999999999</v>
      </c>
      <c r="H4155">
        <v>1.2486600000000001</v>
      </c>
      <c r="I4155">
        <v>143.31829999999999</v>
      </c>
      <c r="J4155">
        <v>-200.43350000000001</v>
      </c>
      <c r="K4155">
        <v>1.1035079999999999</v>
      </c>
      <c r="L4155">
        <v>143.28729999999999</v>
      </c>
      <c r="M4155">
        <v>-0.74129309999999904</v>
      </c>
      <c r="N4155">
        <v>0</v>
      </c>
      <c r="O4155">
        <v>-0.67109339999999995</v>
      </c>
      <c r="P4155">
        <v>-0.858209</v>
      </c>
      <c r="Q4155">
        <v>-5.9773880000000001E-2</v>
      </c>
      <c r="R4155">
        <v>-0.5098087</v>
      </c>
      <c r="S4155">
        <v>-3.3058169999999998</v>
      </c>
      <c r="T4155">
        <v>0.63186909999999996</v>
      </c>
      <c r="U4155">
        <v>-0.4185181</v>
      </c>
      <c r="V4155">
        <v>0.197292</v>
      </c>
      <c r="W4155">
        <v>-5.2022020000000002E-2</v>
      </c>
      <c r="X4155">
        <v>0.97896349999999999</v>
      </c>
      <c r="Y4155">
        <v>0.55311569999999899</v>
      </c>
      <c r="Z4155">
        <v>-0.16808090000000001</v>
      </c>
      <c r="AA4155">
        <v>0.8159729</v>
      </c>
      <c r="AB4155">
        <v>21</v>
      </c>
      <c r="AC4155">
        <v>-0.60550000000000603</v>
      </c>
      <c r="AD4155">
        <v>0.145152</v>
      </c>
      <c r="AE4155">
        <v>3.1000000000005901E-2</v>
      </c>
      <c r="AF4155">
        <v>0.40607750599023501</v>
      </c>
      <c r="AG4155">
        <v>0.145152</v>
      </c>
      <c r="AH4155">
        <v>0.40486865463111699</v>
      </c>
      <c r="AI4155">
        <v>75.795035029203007</v>
      </c>
      <c r="AJ4155">
        <v>44.9145910875502</v>
      </c>
      <c r="AK4155">
        <v>0.59151219047291004</v>
      </c>
      <c r="AL4155">
        <v>92.981988304065695</v>
      </c>
      <c r="AM4155">
        <v>78.605717906078496</v>
      </c>
      <c r="AN4155">
        <v>0.99999997908056504</v>
      </c>
    </row>
    <row r="4156" spans="1:40" x14ac:dyDescent="0.25">
      <c r="A4156" t="str">
        <f>"20190312161353985"</f>
        <v>20190312161353985</v>
      </c>
      <c r="B4156" t="str">
        <f>"1552378433980138"</f>
        <v>1552378433980138</v>
      </c>
      <c r="C4156" t="s">
        <v>40</v>
      </c>
      <c r="D4156">
        <v>5.4025339999999904</v>
      </c>
      <c r="E4156">
        <v>0.66626229999999997</v>
      </c>
      <c r="F4156" t="s">
        <v>42</v>
      </c>
      <c r="G4156">
        <v>-252.51</v>
      </c>
      <c r="H4156" s="1">
        <v>-3.5597820000000001E-6</v>
      </c>
      <c r="I4156">
        <v>137.5626</v>
      </c>
      <c r="J4156">
        <v>-200.53970000000001</v>
      </c>
      <c r="K4156">
        <v>1.103507</v>
      </c>
      <c r="L4156">
        <v>143.2011</v>
      </c>
      <c r="M4156">
        <v>-0.74569280000000004</v>
      </c>
      <c r="N4156">
        <v>0</v>
      </c>
      <c r="O4156">
        <v>-0.66620049999999997</v>
      </c>
      <c r="P4156">
        <v>-0.86150709999999997</v>
      </c>
      <c r="Q4156">
        <v>-5.9916629999999999E-2</v>
      </c>
      <c r="R4156">
        <v>-0.50419809999999998</v>
      </c>
      <c r="S4156">
        <v>-3.27684</v>
      </c>
      <c r="T4156">
        <v>-6.9437029999999997E-2</v>
      </c>
      <c r="U4156">
        <v>-0.36021419999999998</v>
      </c>
      <c r="V4156">
        <v>0.1972283</v>
      </c>
      <c r="W4156">
        <v>-5.2130009999999997E-2</v>
      </c>
      <c r="X4156">
        <v>0.97897060000000002</v>
      </c>
      <c r="Y4156">
        <v>0.58051469999999905</v>
      </c>
      <c r="Z4156">
        <v>1.905716E-2</v>
      </c>
      <c r="AA4156">
        <v>0.81402669999999999</v>
      </c>
      <c r="AB4156">
        <v>21</v>
      </c>
      <c r="AC4156">
        <v>-51.970299999999902</v>
      </c>
      <c r="AD4156">
        <v>-1.1035105597820001</v>
      </c>
      <c r="AE4156">
        <v>-5.6384999999999899</v>
      </c>
      <c r="AF4156">
        <v>30.4063136612092</v>
      </c>
      <c r="AG4156">
        <v>-1.1035105597820001</v>
      </c>
      <c r="AH4156">
        <v>42.493846727777097</v>
      </c>
      <c r="AI4156">
        <v>91.209850475703206</v>
      </c>
      <c r="AJ4156">
        <v>54.414526247245298</v>
      </c>
      <c r="AK4156">
        <v>52.263645641527901</v>
      </c>
      <c r="AL4156">
        <v>92.988184055763099</v>
      </c>
      <c r="AM4156">
        <v>78.609381062134503</v>
      </c>
      <c r="AN4156">
        <v>0.99999998796392497</v>
      </c>
    </row>
    <row r="4157" spans="1:40" x14ac:dyDescent="0.25">
      <c r="A4157" t="str">
        <f>"20190312161354005"</f>
        <v>20190312161354005</v>
      </c>
      <c r="B4157" t="str">
        <f>"1552378434000635"</f>
        <v>1552378434000635</v>
      </c>
      <c r="C4157" t="s">
        <v>40</v>
      </c>
      <c r="D4157">
        <v>5.7271419999999997</v>
      </c>
      <c r="E4157">
        <v>0.66504719999999995</v>
      </c>
      <c r="F4157" t="s">
        <v>84</v>
      </c>
      <c r="G4157">
        <v>-291.21080000000001</v>
      </c>
      <c r="H4157" s="1">
        <v>-6.4618450000000003E-6</v>
      </c>
      <c r="I4157">
        <v>132.87620000000001</v>
      </c>
      <c r="J4157">
        <v>-200.68700000000001</v>
      </c>
      <c r="K4157">
        <v>1.1035079999999999</v>
      </c>
      <c r="L4157">
        <v>143.08330000000001</v>
      </c>
      <c r="M4157">
        <v>-0.75171209999999999</v>
      </c>
      <c r="N4157">
        <v>0</v>
      </c>
      <c r="O4157">
        <v>-0.65940019999999999</v>
      </c>
      <c r="P4157">
        <v>-0.86598809999999904</v>
      </c>
      <c r="Q4157">
        <v>-5.9719120000000001E-2</v>
      </c>
      <c r="R4157">
        <v>-0.49648589999999998</v>
      </c>
      <c r="S4157">
        <v>-3.2620849999999999</v>
      </c>
      <c r="T4157">
        <v>-3.9701220000000002E-2</v>
      </c>
      <c r="U4157">
        <v>-0.37146000000000001</v>
      </c>
      <c r="V4157">
        <v>0.1970893</v>
      </c>
      <c r="W4157">
        <v>-5.1883039999999998E-2</v>
      </c>
      <c r="X4157">
        <v>0.97901170000000004</v>
      </c>
      <c r="Y4157">
        <v>0.57006969999999901</v>
      </c>
      <c r="Z4157">
        <v>1.0818660000000001E-2</v>
      </c>
      <c r="AA4157">
        <v>0.82152510000000001</v>
      </c>
      <c r="AB4157">
        <v>21</v>
      </c>
      <c r="AC4157">
        <v>-90.523799999999994</v>
      </c>
      <c r="AD4157">
        <v>-1.1035144618449999</v>
      </c>
      <c r="AE4157">
        <v>-10.207099999999899</v>
      </c>
      <c r="AF4157">
        <v>52.014107853287101</v>
      </c>
      <c r="AG4157">
        <v>-1.1035144618449999</v>
      </c>
      <c r="AH4157">
        <v>74.771925805787404</v>
      </c>
      <c r="AI4157">
        <v>90.694123859109894</v>
      </c>
      <c r="AJ4157">
        <v>55.176102041936801</v>
      </c>
      <c r="AK4157">
        <v>91.090757207562206</v>
      </c>
      <c r="AL4157">
        <v>92.974014579396396</v>
      </c>
      <c r="AM4157">
        <v>78.617664543928996</v>
      </c>
      <c r="AN4157">
        <v>0.99999997537551</v>
      </c>
    </row>
    <row r="4158" spans="1:40" x14ac:dyDescent="0.25">
      <c r="A4158" t="str">
        <f>"20190312161354028"</f>
        <v>20190312161354028</v>
      </c>
      <c r="B4158" t="str">
        <f>"1552378434020154"</f>
        <v>1552378434020154</v>
      </c>
      <c r="C4158" t="s">
        <v>40</v>
      </c>
      <c r="D4158">
        <v>5.8159349999999996</v>
      </c>
      <c r="E4158">
        <v>0.66501940000000004</v>
      </c>
      <c r="F4158" t="s">
        <v>42</v>
      </c>
      <c r="G4158">
        <v>-272.65219999999999</v>
      </c>
      <c r="H4158" s="1">
        <v>-3.8922639999999998E-6</v>
      </c>
      <c r="I4158">
        <v>135.3442</v>
      </c>
      <c r="J4158">
        <v>-200.8733</v>
      </c>
      <c r="K4158">
        <v>1.1035170000000001</v>
      </c>
      <c r="L4158">
        <v>142.9374</v>
      </c>
      <c r="M4158">
        <v>-0.75916249999999996</v>
      </c>
      <c r="N4158">
        <v>0</v>
      </c>
      <c r="O4158">
        <v>-0.65080729999999998</v>
      </c>
      <c r="P4158">
        <v>-0.87131829999999999</v>
      </c>
      <c r="Q4158">
        <v>-5.9762419999999997E-2</v>
      </c>
      <c r="R4158">
        <v>-0.4870661</v>
      </c>
      <c r="S4158">
        <v>-3.259827</v>
      </c>
      <c r="T4158">
        <v>-4.9986120000000002E-2</v>
      </c>
      <c r="U4158">
        <v>-0.35055540000000002</v>
      </c>
      <c r="V4158">
        <v>0.19656860000000001</v>
      </c>
      <c r="W4158">
        <v>-5.1833089999999998E-2</v>
      </c>
      <c r="X4158">
        <v>0.97911910000000002</v>
      </c>
      <c r="Y4158">
        <v>0.56581159999999997</v>
      </c>
      <c r="Z4158">
        <v>1.35116E-2</v>
      </c>
      <c r="AA4158">
        <v>0.82442380000000004</v>
      </c>
      <c r="AB4158">
        <v>21</v>
      </c>
      <c r="AC4158">
        <v>-71.778899999999993</v>
      </c>
      <c r="AD4158">
        <v>-1.1035208922640001</v>
      </c>
      <c r="AE4158">
        <v>-7.5931999999999897</v>
      </c>
      <c r="AF4158">
        <v>40.942690811125601</v>
      </c>
      <c r="AG4158">
        <v>-1.1035208922640001</v>
      </c>
      <c r="AH4158">
        <v>59.423299954887298</v>
      </c>
      <c r="AI4158">
        <v>90.876107740552897</v>
      </c>
      <c r="AJ4158">
        <v>55.433133960025899</v>
      </c>
      <c r="AK4158">
        <v>72.170979394377099</v>
      </c>
      <c r="AL4158">
        <v>92.971148583591898</v>
      </c>
      <c r="AM4158">
        <v>78.648167125461796</v>
      </c>
      <c r="AN4158">
        <v>1.0000000478548501</v>
      </c>
    </row>
    <row r="4159" spans="1:40" x14ac:dyDescent="0.25">
      <c r="A4159" t="str">
        <f>"20190312161354050"</f>
        <v>20190312161354050</v>
      </c>
      <c r="B4159" t="str">
        <f>"1552378434040653"</f>
        <v>1552378434040653</v>
      </c>
      <c r="C4159" t="s">
        <v>40</v>
      </c>
      <c r="D4159">
        <v>5.7932430000000004</v>
      </c>
      <c r="E4159">
        <v>0.66434599999999999</v>
      </c>
      <c r="F4159" t="s">
        <v>42</v>
      </c>
      <c r="G4159">
        <v>-262.73070000000001</v>
      </c>
      <c r="H4159" s="1">
        <v>-3.571551E-6</v>
      </c>
      <c r="I4159">
        <v>136.9623</v>
      </c>
      <c r="J4159">
        <v>-201.04089999999999</v>
      </c>
      <c r="K4159">
        <v>1.1035459999999999</v>
      </c>
      <c r="L4159">
        <v>142.8091</v>
      </c>
      <c r="M4159">
        <v>-0.76571129999999998</v>
      </c>
      <c r="N4159">
        <v>0</v>
      </c>
      <c r="O4159">
        <v>-0.64308690000000002</v>
      </c>
      <c r="P4159">
        <v>-0.87570479999999995</v>
      </c>
      <c r="Q4159">
        <v>-5.9775309999999998E-2</v>
      </c>
      <c r="R4159">
        <v>-0.47913280000000003</v>
      </c>
      <c r="S4159">
        <v>-3.2628780000000002</v>
      </c>
      <c r="T4159">
        <v>-5.8208940000000001E-2</v>
      </c>
      <c r="U4159">
        <v>-0.31517030000000001</v>
      </c>
      <c r="V4159">
        <v>0.19554969999999999</v>
      </c>
      <c r="W4159">
        <v>-5.169344E-2</v>
      </c>
      <c r="X4159">
        <v>0.97933040000000005</v>
      </c>
      <c r="Y4159">
        <v>0.5663494</v>
      </c>
      <c r="Z4159">
        <v>1.5640500000000002E-2</v>
      </c>
      <c r="AA4159">
        <v>0.82401679999999999</v>
      </c>
      <c r="AB4159">
        <v>21</v>
      </c>
      <c r="AC4159">
        <v>-61.689799999999998</v>
      </c>
      <c r="AD4159">
        <v>-1.103549571551</v>
      </c>
      <c r="AE4159">
        <v>-5.8468</v>
      </c>
      <c r="AF4159">
        <v>35.1859896661541</v>
      </c>
      <c r="AG4159">
        <v>-1.103549571551</v>
      </c>
      <c r="AH4159">
        <v>50.983606584949101</v>
      </c>
      <c r="AI4159">
        <v>91.020589334410701</v>
      </c>
      <c r="AJ4159">
        <v>55.388766213894897</v>
      </c>
      <c r="AK4159">
        <v>61.956434943050397</v>
      </c>
      <c r="AL4159">
        <v>92.963136734019201</v>
      </c>
      <c r="AM4159">
        <v>78.707866544171793</v>
      </c>
      <c r="AN4159">
        <v>0.99999996463664098</v>
      </c>
    </row>
    <row r="4160" spans="1:40" x14ac:dyDescent="0.25">
      <c r="A4160" t="str">
        <f>"20190312161354072"</f>
        <v>20190312161354072</v>
      </c>
      <c r="B4160" t="str">
        <f>"1552378434060170"</f>
        <v>1552378434060170</v>
      </c>
      <c r="C4160" t="s">
        <v>40</v>
      </c>
      <c r="D4160">
        <v>5.7417400000000001</v>
      </c>
      <c r="E4160">
        <v>0.66282739999999996</v>
      </c>
      <c r="F4160" t="s">
        <v>42</v>
      </c>
      <c r="G4160">
        <v>-253.92750000000001</v>
      </c>
      <c r="H4160" s="1">
        <v>-2.8555110000000001E-6</v>
      </c>
      <c r="I4160">
        <v>138.10470000000001</v>
      </c>
      <c r="J4160">
        <v>-201.2105</v>
      </c>
      <c r="K4160">
        <v>1.1035839999999999</v>
      </c>
      <c r="L4160">
        <v>142.68209999999999</v>
      </c>
      <c r="M4160">
        <v>-0.77220409999999995</v>
      </c>
      <c r="N4160">
        <v>0</v>
      </c>
      <c r="O4160">
        <v>-0.63527279999999997</v>
      </c>
      <c r="P4160">
        <v>-0.88016240000000001</v>
      </c>
      <c r="Q4160">
        <v>-5.9973480000000003E-2</v>
      </c>
      <c r="R4160">
        <v>-0.47086899999999998</v>
      </c>
      <c r="S4160">
        <v>-3.262375</v>
      </c>
      <c r="T4160">
        <v>-6.8073869999999995E-2</v>
      </c>
      <c r="U4160">
        <v>-0.2901917</v>
      </c>
      <c r="V4160">
        <v>0.19481000000000001</v>
      </c>
      <c r="W4160">
        <v>-5.1708200000000003E-2</v>
      </c>
      <c r="X4160">
        <v>0.97947700000000004</v>
      </c>
      <c r="Y4160">
        <v>0.56415470000000001</v>
      </c>
      <c r="Z4160">
        <v>1.8162459999999998E-2</v>
      </c>
      <c r="AA4160">
        <v>0.82546929999999996</v>
      </c>
      <c r="AB4160">
        <v>21</v>
      </c>
      <c r="AC4160">
        <v>-52.716999999999999</v>
      </c>
      <c r="AD4160">
        <v>-1.103586855511</v>
      </c>
      <c r="AE4160">
        <v>-4.5773999999999804</v>
      </c>
      <c r="AF4160">
        <v>29.943901482406801</v>
      </c>
      <c r="AG4160">
        <v>-1.103586855511</v>
      </c>
      <c r="AH4160">
        <v>43.600036974468999</v>
      </c>
      <c r="AI4160">
        <v>91.195290027893293</v>
      </c>
      <c r="AJ4160">
        <v>55.519259660982499</v>
      </c>
      <c r="AK4160">
        <v>52.903859633403002</v>
      </c>
      <c r="AL4160">
        <v>92.963983643790201</v>
      </c>
      <c r="AM4160">
        <v>78.751130403126396</v>
      </c>
      <c r="AN4160">
        <v>0.99999993378811702</v>
      </c>
    </row>
    <row r="4161" spans="1:40" x14ac:dyDescent="0.25">
      <c r="A4161" t="str">
        <f>"20190312161354085"</f>
        <v>20190312161354085</v>
      </c>
      <c r="B4161" t="str">
        <f>"1552378434080666"</f>
        <v>1552378434080666</v>
      </c>
      <c r="C4161" t="s">
        <v>40</v>
      </c>
      <c r="D4161">
        <v>5.6442889999999997</v>
      </c>
      <c r="E4161">
        <v>0.63061219999999996</v>
      </c>
      <c r="F4161" t="s">
        <v>42</v>
      </c>
      <c r="G4161">
        <v>-249.7105</v>
      </c>
      <c r="H4161" s="1">
        <v>-3.382047E-7</v>
      </c>
      <c r="I4161">
        <v>138.66309999999999</v>
      </c>
      <c r="J4161">
        <v>-201.3175</v>
      </c>
      <c r="K4161">
        <v>1.1036140000000001</v>
      </c>
      <c r="L4161">
        <v>142.60319999999999</v>
      </c>
      <c r="M4161">
        <v>-0.77623240000000004</v>
      </c>
      <c r="N4161">
        <v>0</v>
      </c>
      <c r="O4161">
        <v>-0.63034239999999997</v>
      </c>
      <c r="P4161">
        <v>-0.88295979999999996</v>
      </c>
      <c r="Q4161">
        <v>-5.987E-2</v>
      </c>
      <c r="R4161">
        <v>-0.46561590000000003</v>
      </c>
      <c r="S4161">
        <v>-3.2589419999999998</v>
      </c>
      <c r="T4161">
        <v>-7.4155090000000007E-2</v>
      </c>
      <c r="U4161">
        <v>-0.27005000000000001</v>
      </c>
      <c r="V4161">
        <v>0.1944188</v>
      </c>
      <c r="W4161">
        <v>-5.1472520000000001E-2</v>
      </c>
      <c r="X4161">
        <v>0.97956719999999997</v>
      </c>
      <c r="Y4161">
        <v>0.56384140000000005</v>
      </c>
      <c r="Z4161">
        <v>1.9728490000000001E-2</v>
      </c>
      <c r="AA4161">
        <v>0.82564740000000003</v>
      </c>
      <c r="AB4161">
        <v>21</v>
      </c>
      <c r="AC4161">
        <v>-48.393000000000001</v>
      </c>
      <c r="AD4161">
        <v>-1.1036143382046999</v>
      </c>
      <c r="AE4161">
        <v>-3.9401000000000002</v>
      </c>
      <c r="AF4161">
        <v>27.433360671033</v>
      </c>
      <c r="AG4161">
        <v>-1.1036143382046999</v>
      </c>
      <c r="AH4161">
        <v>40.029782869617499</v>
      </c>
      <c r="AI4161">
        <v>91.302783248140798</v>
      </c>
      <c r="AJ4161">
        <v>55.5762333827875</v>
      </c>
      <c r="AK4161">
        <v>48.540609379190897</v>
      </c>
      <c r="AL4161">
        <v>92.950461987498301</v>
      </c>
      <c r="AM4161">
        <v>78.774152578451904</v>
      </c>
      <c r="AN4161">
        <v>0.99999999471221501</v>
      </c>
    </row>
    <row r="4162" spans="1:40" x14ac:dyDescent="0.25">
      <c r="A4162" t="str">
        <f>"20190312161354106"</f>
        <v>20190312161354106</v>
      </c>
      <c r="B4162" t="str">
        <f>"1552378434100187"</f>
        <v>1552378434100187</v>
      </c>
      <c r="C4162" t="s">
        <v>40</v>
      </c>
      <c r="D4162">
        <v>5.3519500000000004</v>
      </c>
      <c r="E4162">
        <v>0.63118699999999905</v>
      </c>
      <c r="F4162" t="s">
        <v>81</v>
      </c>
      <c r="G4162">
        <v>-354.65839999999997</v>
      </c>
      <c r="H4162">
        <v>15.73671</v>
      </c>
      <c r="I4162">
        <v>119.005</v>
      </c>
      <c r="J4162">
        <v>-201.47280000000001</v>
      </c>
      <c r="K4162">
        <v>1.103674</v>
      </c>
      <c r="L4162">
        <v>142.4906</v>
      </c>
      <c r="M4162">
        <v>-0.7819815</v>
      </c>
      <c r="N4162">
        <v>0</v>
      </c>
      <c r="O4162">
        <v>-0.62319150000000001</v>
      </c>
      <c r="P4162">
        <v>-0.88697969999999904</v>
      </c>
      <c r="Q4162">
        <v>-6.0167949999999998E-2</v>
      </c>
      <c r="R4162">
        <v>-0.45787240000000001</v>
      </c>
      <c r="S4162">
        <v>-3.1615449999999998</v>
      </c>
      <c r="T4162">
        <v>0.30170190000000002</v>
      </c>
      <c r="U4162">
        <v>-0.48654170000000002</v>
      </c>
      <c r="V4162">
        <v>0.19398960000000001</v>
      </c>
      <c r="W4162">
        <v>-5.1540160000000002E-2</v>
      </c>
      <c r="X4162">
        <v>0.97964879999999999</v>
      </c>
      <c r="Y4162">
        <v>0.492531</v>
      </c>
      <c r="Z4162">
        <v>-7.8018370000000004E-2</v>
      </c>
      <c r="AA4162">
        <v>0.86679079999999997</v>
      </c>
      <c r="AB4162">
        <v>21</v>
      </c>
      <c r="AC4162">
        <v>-153.185599999999</v>
      </c>
      <c r="AD4162">
        <v>14.633035999999899</v>
      </c>
      <c r="AE4162">
        <v>-23.485600000000002</v>
      </c>
      <c r="AF4162">
        <v>76.422610700145498</v>
      </c>
      <c r="AG4162">
        <v>14.633035999999899</v>
      </c>
      <c r="AH4162">
        <v>133.24561640632999</v>
      </c>
      <c r="AI4162">
        <v>84.558229607458699</v>
      </c>
      <c r="AJ4162">
        <v>60.1637067645865</v>
      </c>
      <c r="AK4162">
        <v>154.30144348095499</v>
      </c>
      <c r="AL4162">
        <v>92.954342425467999</v>
      </c>
      <c r="AM4162">
        <v>78.799216922726501</v>
      </c>
      <c r="AN4162">
        <v>1.00000006217121</v>
      </c>
    </row>
    <row r="4163" spans="1:40" x14ac:dyDescent="0.25">
      <c r="A4163" t="str">
        <f>"20190312161354130"</f>
        <v>20190312161354130</v>
      </c>
      <c r="B4163" t="str">
        <f>"1552378434120682"</f>
        <v>1552378434120682</v>
      </c>
      <c r="C4163" t="s">
        <v>40</v>
      </c>
      <c r="D4163">
        <v>5.6347360000000002</v>
      </c>
      <c r="E4163">
        <v>0.63054769999999905</v>
      </c>
      <c r="F4163" t="s">
        <v>81</v>
      </c>
      <c r="G4163">
        <v>-364.80829999999997</v>
      </c>
      <c r="H4163">
        <v>18.3645</v>
      </c>
      <c r="I4163">
        <v>119.0059</v>
      </c>
      <c r="J4163">
        <v>-201.6609</v>
      </c>
      <c r="K4163">
        <v>1.10375499999999</v>
      </c>
      <c r="L4163">
        <v>142.3571</v>
      </c>
      <c r="M4163">
        <v>-0.78879200000000005</v>
      </c>
      <c r="N4163">
        <v>0</v>
      </c>
      <c r="O4163">
        <v>-0.61454279999999994</v>
      </c>
      <c r="P4163">
        <v>-0.89165879999999997</v>
      </c>
      <c r="Q4163">
        <v>-5.999061E-2</v>
      </c>
      <c r="R4163">
        <v>-0.4487159</v>
      </c>
      <c r="S4163">
        <v>-3.169724</v>
      </c>
      <c r="T4163">
        <v>0.33496740000000003</v>
      </c>
      <c r="U4163">
        <v>-0.45574949999999997</v>
      </c>
      <c r="V4163">
        <v>0.19330849999999999</v>
      </c>
      <c r="W4163">
        <v>-5.104442E-2</v>
      </c>
      <c r="X4163">
        <v>0.97980929999999999</v>
      </c>
      <c r="Y4163">
        <v>0.49055609999999999</v>
      </c>
      <c r="Z4163">
        <v>-8.5664710000000005E-2</v>
      </c>
      <c r="AA4163">
        <v>0.86718879999999998</v>
      </c>
      <c r="AB4163">
        <v>21</v>
      </c>
      <c r="AC4163">
        <v>-163.14739999999901</v>
      </c>
      <c r="AD4163">
        <v>17.260745</v>
      </c>
      <c r="AE4163">
        <v>-23.351199999999999</v>
      </c>
      <c r="AF4163">
        <v>80.959711227239396</v>
      </c>
      <c r="AG4163">
        <v>17.260745</v>
      </c>
      <c r="AH4163">
        <v>141.49796287521801</v>
      </c>
      <c r="AI4163">
        <v>83.956046898289401</v>
      </c>
      <c r="AJ4163">
        <v>60.223464411662199</v>
      </c>
      <c r="AK4163">
        <v>163.933162166139</v>
      </c>
      <c r="AL4163">
        <v>92.925901400629996</v>
      </c>
      <c r="AM4163">
        <v>78.839336366803295</v>
      </c>
      <c r="AN4163">
        <v>0.99999998667593804</v>
      </c>
    </row>
    <row r="4164" spans="1:40" x14ac:dyDescent="0.25">
      <c r="A4164" t="str">
        <f>"20190312161354152"</f>
        <v>20190312161354152</v>
      </c>
      <c r="B4164" t="str">
        <f>"1552378434149963"</f>
        <v>1552378434149963</v>
      </c>
      <c r="C4164" t="s">
        <v>40</v>
      </c>
      <c r="D4164">
        <v>5.8623339999999997</v>
      </c>
      <c r="E4164">
        <v>0.62968190000000002</v>
      </c>
      <c r="F4164" t="s">
        <v>43</v>
      </c>
      <c r="G4164">
        <v>-202.46799999999999</v>
      </c>
      <c r="H4164">
        <v>1.182126</v>
      </c>
      <c r="I4164">
        <v>142.2483</v>
      </c>
      <c r="J4164">
        <v>-201.84229999999999</v>
      </c>
      <c r="K4164">
        <v>1.1038209999999999</v>
      </c>
      <c r="L4164">
        <v>142.23150000000001</v>
      </c>
      <c r="M4164">
        <v>-0.79521280000000005</v>
      </c>
      <c r="N4164">
        <v>0</v>
      </c>
      <c r="O4164">
        <v>-0.60620560000000001</v>
      </c>
      <c r="P4164">
        <v>-0.89608699999999997</v>
      </c>
      <c r="Q4164">
        <v>-5.9748200000000001E-2</v>
      </c>
      <c r="R4164">
        <v>-0.43983919999999999</v>
      </c>
      <c r="S4164">
        <v>-3.170166</v>
      </c>
      <c r="T4164">
        <v>0.30783199999999999</v>
      </c>
      <c r="U4164">
        <v>-0.42732239999999999</v>
      </c>
      <c r="V4164">
        <v>0.1927471</v>
      </c>
      <c r="W4164">
        <v>-5.0506679999999998E-2</v>
      </c>
      <c r="X4164">
        <v>0.97994769999999998</v>
      </c>
      <c r="Y4164">
        <v>0.48993359999999903</v>
      </c>
      <c r="Z4164">
        <v>-7.818042E-2</v>
      </c>
      <c r="AA4164">
        <v>0.86824699999999899</v>
      </c>
      <c r="AB4164">
        <v>21</v>
      </c>
      <c r="AC4164">
        <v>-0.62569999999999404</v>
      </c>
      <c r="AD4164">
        <v>7.8305E-2</v>
      </c>
      <c r="AE4164">
        <v>1.6799999999989199E-2</v>
      </c>
      <c r="AF4164">
        <v>0.38664094118347397</v>
      </c>
      <c r="AG4164">
        <v>7.8305E-2</v>
      </c>
      <c r="AH4164">
        <v>0.47990641704364201</v>
      </c>
      <c r="AI4164">
        <v>82.758760700824396</v>
      </c>
      <c r="AJ4164">
        <v>51.1430301687043</v>
      </c>
      <c r="AK4164">
        <v>0.62123510810634996</v>
      </c>
      <c r="AL4164">
        <v>92.895051532002199</v>
      </c>
      <c r="AM4164">
        <v>78.872471085164094</v>
      </c>
      <c r="AN4164">
        <v>0.99999993200915804</v>
      </c>
    </row>
    <row r="4165" spans="1:40" x14ac:dyDescent="0.25">
      <c r="A4165" t="str">
        <f>"20190312161354174"</f>
        <v>20190312161354174</v>
      </c>
      <c r="B4165" t="str">
        <f>"1552378434170458"</f>
        <v>1552378434170458</v>
      </c>
      <c r="C4165" t="s">
        <v>40</v>
      </c>
      <c r="D4165">
        <v>5.7797839999999896</v>
      </c>
      <c r="E4165">
        <v>0.64355119999999999</v>
      </c>
      <c r="F4165" t="s">
        <v>43</v>
      </c>
      <c r="G4165">
        <v>-202.60239999999999</v>
      </c>
      <c r="H4165">
        <v>1.1818690000000001</v>
      </c>
      <c r="I4165">
        <v>142.13509999999999</v>
      </c>
      <c r="J4165">
        <v>-202.0188</v>
      </c>
      <c r="K4165">
        <v>1.1038680000000001</v>
      </c>
      <c r="L4165">
        <v>142.11189999999999</v>
      </c>
      <c r="M4165">
        <v>-0.80132899999999996</v>
      </c>
      <c r="N4165">
        <v>0</v>
      </c>
      <c r="O4165">
        <v>-0.59809250000000003</v>
      </c>
      <c r="P4165">
        <v>-0.90020109999999998</v>
      </c>
      <c r="Q4165">
        <v>-5.9577060000000001E-2</v>
      </c>
      <c r="R4165">
        <v>-0.43138009999999899</v>
      </c>
      <c r="S4165">
        <v>-3.1720120000000001</v>
      </c>
      <c r="T4165">
        <v>0.32571670000000003</v>
      </c>
      <c r="U4165">
        <v>-0.40255740000000001</v>
      </c>
      <c r="V4165">
        <v>0.1920337</v>
      </c>
      <c r="W4165">
        <v>-5.0076330000000002E-2</v>
      </c>
      <c r="X4165">
        <v>0.98010989999999998</v>
      </c>
      <c r="Y4165">
        <v>0.48731140000000001</v>
      </c>
      <c r="Z4165">
        <v>-8.1943630000000003E-2</v>
      </c>
      <c r="AA4165">
        <v>0.86937500000000001</v>
      </c>
      <c r="AB4165">
        <v>21</v>
      </c>
      <c r="AC4165">
        <v>-0.58359999999998902</v>
      </c>
      <c r="AD4165">
        <v>7.8000999999999904E-2</v>
      </c>
      <c r="AE4165">
        <v>2.3200000000002701E-2</v>
      </c>
      <c r="AF4165">
        <v>0.36122392458034902</v>
      </c>
      <c r="AG4165">
        <v>7.8000999999999904E-2</v>
      </c>
      <c r="AH4165">
        <v>0.445863356474202</v>
      </c>
      <c r="AI4165">
        <v>82.259152523085405</v>
      </c>
      <c r="AJ4165">
        <v>50.986738874355702</v>
      </c>
      <c r="AK4165">
        <v>0.57910362832283402</v>
      </c>
      <c r="AL4165">
        <v>92.870362859374396</v>
      </c>
      <c r="AM4165">
        <v>78.914423648019294</v>
      </c>
      <c r="AN4165">
        <v>0.99999999841998399</v>
      </c>
    </row>
    <row r="4166" spans="1:40" x14ac:dyDescent="0.25">
      <c r="A4166" t="str">
        <f>"20190312161354195"</f>
        <v>20190312161354195</v>
      </c>
      <c r="B4166" t="str">
        <f>"1552378434189978"</f>
        <v>1552378434189978</v>
      </c>
      <c r="C4166" t="s">
        <v>40</v>
      </c>
      <c r="D4166">
        <v>5.6580729999999999</v>
      </c>
      <c r="E4166">
        <v>0.64269690000000002</v>
      </c>
      <c r="F4166" t="s">
        <v>42</v>
      </c>
      <c r="G4166">
        <v>-230.4237</v>
      </c>
      <c r="H4166" s="1">
        <v>-4.1329519999999996E-6</v>
      </c>
      <c r="I4166">
        <v>139.7758</v>
      </c>
      <c r="J4166">
        <v>-202.1902</v>
      </c>
      <c r="K4166">
        <v>1.103909</v>
      </c>
      <c r="L4166">
        <v>141.9982</v>
      </c>
      <c r="M4166">
        <v>-0.80713729999999995</v>
      </c>
      <c r="N4166">
        <v>0</v>
      </c>
      <c r="O4166">
        <v>-0.59022569999999996</v>
      </c>
      <c r="P4166">
        <v>-0.90413350000000003</v>
      </c>
      <c r="Q4166">
        <v>-5.925072E-2</v>
      </c>
      <c r="R4166">
        <v>-0.423122</v>
      </c>
      <c r="S4166">
        <v>-3.198318</v>
      </c>
      <c r="T4166">
        <v>-0.1242933</v>
      </c>
      <c r="U4166">
        <v>-0.26303100000000001</v>
      </c>
      <c r="V4166">
        <v>0.19144249999999999</v>
      </c>
      <c r="W4166">
        <v>-4.9521559999999999E-2</v>
      </c>
      <c r="X4166">
        <v>0.98025379999999995</v>
      </c>
      <c r="Y4166">
        <v>0.52134979999999997</v>
      </c>
      <c r="Z4166">
        <v>3.1644800000000001E-2</v>
      </c>
      <c r="AA4166">
        <v>0.85275610000000002</v>
      </c>
      <c r="AB4166">
        <v>21</v>
      </c>
      <c r="AC4166">
        <v>-28.2334999999999</v>
      </c>
      <c r="AD4166">
        <v>-1.103913132952</v>
      </c>
      <c r="AE4166">
        <v>-2.2223999999999902</v>
      </c>
      <c r="AF4166">
        <v>14.8490066283098</v>
      </c>
      <c r="AG4166">
        <v>-1.103913132952</v>
      </c>
      <c r="AH4166">
        <v>24.0654291686268</v>
      </c>
      <c r="AI4166">
        <v>92.235580853680602</v>
      </c>
      <c r="AJ4166">
        <v>58.324316062287302</v>
      </c>
      <c r="AK4166">
        <v>28.299408176194898</v>
      </c>
      <c r="AL4166">
        <v>92.838537205789606</v>
      </c>
      <c r="AM4166">
        <v>78.949292937961701</v>
      </c>
      <c r="AN4166">
        <v>1.00000006406275</v>
      </c>
    </row>
    <row r="4167" spans="1:40" x14ac:dyDescent="0.25">
      <c r="A4167" t="str">
        <f>"20190312161354218"</f>
        <v>20190312161354218</v>
      </c>
      <c r="B4167" t="str">
        <f>"1552378434210474"</f>
        <v>1552378434210474</v>
      </c>
      <c r="C4167" t="s">
        <v>40</v>
      </c>
      <c r="D4167">
        <v>5.8645899999999997</v>
      </c>
      <c r="E4167">
        <v>0.64195290000000005</v>
      </c>
      <c r="F4167" t="s">
        <v>42</v>
      </c>
      <c r="G4167">
        <v>-229.3287</v>
      </c>
      <c r="H4167" s="1">
        <v>-3.627573E-7</v>
      </c>
      <c r="I4167">
        <v>139.96379999999999</v>
      </c>
      <c r="J4167">
        <v>-202.3724</v>
      </c>
      <c r="K4167">
        <v>1.103961</v>
      </c>
      <c r="L4167">
        <v>141.8801</v>
      </c>
      <c r="M4167">
        <v>-0.81318219999999997</v>
      </c>
      <c r="N4167">
        <v>0</v>
      </c>
      <c r="O4167">
        <v>-0.58186439999999995</v>
      </c>
      <c r="P4167">
        <v>-0.90811030000000004</v>
      </c>
      <c r="Q4167">
        <v>-5.7790800000000003E-2</v>
      </c>
      <c r="R4167">
        <v>-0.41472399999999998</v>
      </c>
      <c r="S4167">
        <v>-3.1973880000000001</v>
      </c>
      <c r="T4167">
        <v>-0.1300597</v>
      </c>
      <c r="U4167">
        <v>-0.23968510000000001</v>
      </c>
      <c r="V4167">
        <v>0.1904951</v>
      </c>
      <c r="W4167">
        <v>-4.7826639999999997E-2</v>
      </c>
      <c r="X4167">
        <v>0.98052240000000002</v>
      </c>
      <c r="Y4167">
        <v>0.51864619999999995</v>
      </c>
      <c r="Z4167">
        <v>3.2813990000000001E-2</v>
      </c>
      <c r="AA4167">
        <v>0.85435910000000004</v>
      </c>
      <c r="AB4167">
        <v>21</v>
      </c>
      <c r="AC4167">
        <v>-26.956299999999999</v>
      </c>
      <c r="AD4167">
        <v>-1.1039613627572999</v>
      </c>
      <c r="AE4167">
        <v>-1.9162999999999999</v>
      </c>
      <c r="AF4167">
        <v>14.104263951278799</v>
      </c>
      <c r="AG4167">
        <v>-1.1039613627572999</v>
      </c>
      <c r="AH4167">
        <v>22.998971285869999</v>
      </c>
      <c r="AI4167">
        <v>92.343168520801797</v>
      </c>
      <c r="AJ4167">
        <v>58.481030219615803</v>
      </c>
      <c r="AK4167">
        <v>27.0018827585425</v>
      </c>
      <c r="AL4167">
        <v>92.741310443558106</v>
      </c>
      <c r="AM4167">
        <v>79.005582735706895</v>
      </c>
      <c r="AN4167">
        <v>0.99999997375972904</v>
      </c>
    </row>
    <row r="4168" spans="1:40" x14ac:dyDescent="0.25">
      <c r="A4168" t="str">
        <f>"20190312161354239"</f>
        <v>20190312161354239</v>
      </c>
      <c r="B4168" t="str">
        <f>"1552378434229998"</f>
        <v>1552378434229998</v>
      </c>
      <c r="C4168" t="s">
        <v>40</v>
      </c>
      <c r="D4168">
        <v>5.7872589999999997</v>
      </c>
      <c r="E4168">
        <v>0.6411405</v>
      </c>
      <c r="F4168" t="s">
        <v>42</v>
      </c>
      <c r="G4168">
        <v>-229.3356</v>
      </c>
      <c r="H4168" s="1">
        <v>-3.865416E-7</v>
      </c>
      <c r="I4168">
        <v>140.0643</v>
      </c>
      <c r="J4168">
        <v>-202.5505</v>
      </c>
      <c r="K4168">
        <v>1.104017</v>
      </c>
      <c r="L4168">
        <v>141.7671</v>
      </c>
      <c r="M4168">
        <v>-0.81896969999999902</v>
      </c>
      <c r="N4168">
        <v>0</v>
      </c>
      <c r="O4168">
        <v>-0.57368549999999996</v>
      </c>
      <c r="P4168">
        <v>-0.91223580000000004</v>
      </c>
      <c r="Q4168">
        <v>-5.6600549999999999E-2</v>
      </c>
      <c r="R4168">
        <v>-0.40573670000000001</v>
      </c>
      <c r="S4168">
        <v>-3.19693</v>
      </c>
      <c r="T4168">
        <v>-0.13089289999999901</v>
      </c>
      <c r="U4168">
        <v>-0.21528630000000001</v>
      </c>
      <c r="V4168">
        <v>0.19041830000000001</v>
      </c>
      <c r="W4168">
        <v>-4.643568E-2</v>
      </c>
      <c r="X4168">
        <v>0.98060420000000004</v>
      </c>
      <c r="Y4168">
        <v>0.51655479999999998</v>
      </c>
      <c r="Z4168">
        <v>3.2734770000000003E-2</v>
      </c>
      <c r="AA4168">
        <v>0.85562830000000001</v>
      </c>
      <c r="AB4168">
        <v>21</v>
      </c>
      <c r="AC4168">
        <v>-26.7851</v>
      </c>
      <c r="AD4168">
        <v>-1.1040173865416001</v>
      </c>
      <c r="AE4168">
        <v>-1.7027999999999901</v>
      </c>
      <c r="AF4168">
        <v>13.9492917015282</v>
      </c>
      <c r="AG4168">
        <v>-1.1040173865416001</v>
      </c>
      <c r="AH4168">
        <v>22.876337890076101</v>
      </c>
      <c r="AI4168">
        <v>92.359489636351498</v>
      </c>
      <c r="AJ4168">
        <v>58.626437670842598</v>
      </c>
      <c r="AK4168">
        <v>26.816570038411701</v>
      </c>
      <c r="AL4168">
        <v>92.661525565627301</v>
      </c>
      <c r="AM4168">
        <v>79.010801751343095</v>
      </c>
      <c r="AN4168">
        <v>0.99999999920479599</v>
      </c>
    </row>
    <row r="4169" spans="1:40" x14ac:dyDescent="0.25">
      <c r="A4169" t="str">
        <f>"20190312161354262"</f>
        <v>20190312161354262</v>
      </c>
      <c r="B4169" t="str">
        <f>"1552378434250490"</f>
        <v>1552378434250490</v>
      </c>
      <c r="C4169" t="s">
        <v>40</v>
      </c>
      <c r="D4169">
        <v>5.7103799999999998</v>
      </c>
      <c r="E4169">
        <v>0.64064200000000004</v>
      </c>
      <c r="F4169" t="s">
        <v>42</v>
      </c>
      <c r="G4169">
        <v>-227.93530000000001</v>
      </c>
      <c r="H4169" s="1">
        <v>-1.040085E-6</v>
      </c>
      <c r="I4169">
        <v>140.2629</v>
      </c>
      <c r="J4169">
        <v>-202.72720000000001</v>
      </c>
      <c r="K4169">
        <v>1.104069</v>
      </c>
      <c r="L4169">
        <v>141.6574</v>
      </c>
      <c r="M4169">
        <v>-0.82459899999999997</v>
      </c>
      <c r="N4169">
        <v>0</v>
      </c>
      <c r="O4169">
        <v>-0.56556030000000002</v>
      </c>
      <c r="P4169">
        <v>-0.91614430000000002</v>
      </c>
      <c r="Q4169">
        <v>-5.583639E-2</v>
      </c>
      <c r="R4169">
        <v>-0.39694099999999999</v>
      </c>
      <c r="S4169">
        <v>-3.19577</v>
      </c>
      <c r="T4169">
        <v>-0.13898829999999901</v>
      </c>
      <c r="U4169">
        <v>-0.18936159999999999</v>
      </c>
      <c r="V4169">
        <v>0.19020339999999999</v>
      </c>
      <c r="W4169">
        <v>-4.5488250000000001E-2</v>
      </c>
      <c r="X4169">
        <v>0.98069030000000001</v>
      </c>
      <c r="Y4169">
        <v>0.51488270000000003</v>
      </c>
      <c r="Z4169">
        <v>3.446577E-2</v>
      </c>
      <c r="AA4169">
        <v>0.85656759999999998</v>
      </c>
      <c r="AB4169">
        <v>21</v>
      </c>
      <c r="AC4169">
        <v>-25.208100000000002</v>
      </c>
      <c r="AD4169">
        <v>-1.1040700400850001</v>
      </c>
      <c r="AE4169">
        <v>-1.3944999999999901</v>
      </c>
      <c r="AF4169">
        <v>13.0829439505548</v>
      </c>
      <c r="AG4169">
        <v>-1.1040700400850001</v>
      </c>
      <c r="AH4169">
        <v>21.535982632441002</v>
      </c>
      <c r="AI4169">
        <v>92.508809688129304</v>
      </c>
      <c r="AJ4169">
        <v>58.721640918281103</v>
      </c>
      <c r="AK4169">
        <v>25.222627559625401</v>
      </c>
      <c r="AL4169">
        <v>92.607184420499806</v>
      </c>
      <c r="AM4169">
        <v>79.023842713995293</v>
      </c>
      <c r="AN4169">
        <v>0.99999998938685597</v>
      </c>
    </row>
    <row r="4170" spans="1:40" x14ac:dyDescent="0.25">
      <c r="A4170" t="str">
        <f>"20190312161354287"</f>
        <v>20190312161354287</v>
      </c>
      <c r="B4170" t="str">
        <f>"1552378434280748"</f>
        <v>1552378434280748</v>
      </c>
      <c r="C4170" t="s">
        <v>40</v>
      </c>
      <c r="D4170">
        <v>5.4741460000000002</v>
      </c>
      <c r="E4170">
        <v>0.63490389999999997</v>
      </c>
      <c r="F4170" t="s">
        <v>42</v>
      </c>
      <c r="G4170">
        <v>-228.28030000000001</v>
      </c>
      <c r="H4170" s="1">
        <v>-9.1779040000000004E-7</v>
      </c>
      <c r="I4170">
        <v>140.3595</v>
      </c>
      <c r="J4170">
        <v>-202.9391</v>
      </c>
      <c r="K4170">
        <v>1.104123</v>
      </c>
      <c r="L4170">
        <v>141.52889999999999</v>
      </c>
      <c r="M4170">
        <v>-0.83119560000000003</v>
      </c>
      <c r="N4170">
        <v>0</v>
      </c>
      <c r="O4170">
        <v>-0.55581590000000003</v>
      </c>
      <c r="P4170">
        <v>-0.92072969999999998</v>
      </c>
      <c r="Q4170">
        <v>-5.4730849999999998E-2</v>
      </c>
      <c r="R4170">
        <v>-0.38634390000000002</v>
      </c>
      <c r="S4170">
        <v>-3.1958470000000001</v>
      </c>
      <c r="T4170">
        <v>-0.13808299999999901</v>
      </c>
      <c r="U4170">
        <v>-0.162323</v>
      </c>
      <c r="V4170">
        <v>0.19003809999999999</v>
      </c>
      <c r="W4170">
        <v>-4.4189159999999998E-2</v>
      </c>
      <c r="X4170">
        <v>0.98078169999999998</v>
      </c>
      <c r="Y4170">
        <v>0.51204439999999996</v>
      </c>
      <c r="Z4170">
        <v>3.3851489999999998E-2</v>
      </c>
      <c r="AA4170">
        <v>0.85829169999999999</v>
      </c>
      <c r="AB4170">
        <v>21</v>
      </c>
      <c r="AC4170">
        <v>-25.341200000000001</v>
      </c>
      <c r="AD4170">
        <v>-1.1041239177904001</v>
      </c>
      <c r="AE4170">
        <v>-1.16939999999999</v>
      </c>
      <c r="AF4170">
        <v>13.0894430437657</v>
      </c>
      <c r="AG4170">
        <v>-1.1041239177904001</v>
      </c>
      <c r="AH4170">
        <v>21.674388711053201</v>
      </c>
      <c r="AI4170">
        <v>92.496883226189894</v>
      </c>
      <c r="AJ4170">
        <v>58.8716802653285</v>
      </c>
      <c r="AK4170">
        <v>25.3442643377088</v>
      </c>
      <c r="AL4170">
        <v>92.532677197991703</v>
      </c>
      <c r="AM4170">
        <v>79.034147611122805</v>
      </c>
      <c r="AN4170">
        <v>0.99999995218400095</v>
      </c>
    </row>
    <row r="4171" spans="1:40" x14ac:dyDescent="0.25">
      <c r="A4171" t="str">
        <f>"20190312161354307"</f>
        <v>20190312161354307</v>
      </c>
      <c r="B4171" t="str">
        <f>"1552378434300267"</f>
        <v>1552378434300267</v>
      </c>
      <c r="C4171" t="s">
        <v>40</v>
      </c>
      <c r="D4171">
        <v>4.8084850000000001</v>
      </c>
      <c r="E4171">
        <v>0.63117179999999995</v>
      </c>
      <c r="F4171" t="s">
        <v>43</v>
      </c>
      <c r="G4171">
        <v>-203.48570000000001</v>
      </c>
      <c r="H4171">
        <v>1.1874559999999901</v>
      </c>
      <c r="I4171">
        <v>141.4984</v>
      </c>
      <c r="J4171">
        <v>-203.0967</v>
      </c>
      <c r="K4171">
        <v>1.104168</v>
      </c>
      <c r="L4171">
        <v>141.4357</v>
      </c>
      <c r="M4171">
        <v>-0.83599330000000005</v>
      </c>
      <c r="N4171">
        <v>0</v>
      </c>
      <c r="O4171">
        <v>-0.54857100000000003</v>
      </c>
      <c r="P4171">
        <v>-0.92380180000000001</v>
      </c>
      <c r="Q4171">
        <v>-5.3756409999999998E-2</v>
      </c>
      <c r="R4171">
        <v>-0.37907960000000002</v>
      </c>
      <c r="S4171">
        <v>-3.2118229999999999</v>
      </c>
      <c r="T4171">
        <v>0.48967309999999997</v>
      </c>
      <c r="U4171">
        <v>-0.1800842</v>
      </c>
      <c r="V4171">
        <v>0.18929099999999999</v>
      </c>
      <c r="W4171">
        <v>-4.3079550000000001E-2</v>
      </c>
      <c r="X4171">
        <v>0.98097559999999995</v>
      </c>
      <c r="Y4171">
        <v>0.48965439999999999</v>
      </c>
      <c r="Z4171">
        <v>-0.1161404</v>
      </c>
      <c r="AA4171">
        <v>0.864146999999999</v>
      </c>
      <c r="AB4171">
        <v>21</v>
      </c>
      <c r="AC4171">
        <v>-0.38900000000001</v>
      </c>
      <c r="AD4171">
        <v>8.3287999999999807E-2</v>
      </c>
      <c r="AE4171">
        <v>6.2700000000006598E-2</v>
      </c>
      <c r="AF4171">
        <v>0.25446561579542198</v>
      </c>
      <c r="AG4171">
        <v>8.3287999999999807E-2</v>
      </c>
      <c r="AH4171">
        <v>0.278393873745305</v>
      </c>
      <c r="AI4171">
        <v>77.547528782952796</v>
      </c>
      <c r="AJ4171">
        <v>47.571161445807199</v>
      </c>
      <c r="AK4171">
        <v>0.38625482457188898</v>
      </c>
      <c r="AL4171">
        <v>92.469040422322905</v>
      </c>
      <c r="AM4171">
        <v>79.078326025395</v>
      </c>
      <c r="AN4171">
        <v>1.0000000290522799</v>
      </c>
    </row>
    <row r="4172" spans="1:40" x14ac:dyDescent="0.25">
      <c r="A4172" t="str">
        <f>"20190312161354331"</f>
        <v>20190312161354331</v>
      </c>
      <c r="B4172" t="str">
        <f>"1552378434319786"</f>
        <v>1552378434319786</v>
      </c>
      <c r="C4172" t="s">
        <v>40</v>
      </c>
      <c r="D4172">
        <v>5.7305169999999999</v>
      </c>
      <c r="E4172">
        <v>0.62949359999999999</v>
      </c>
      <c r="F4172" t="s">
        <v>43</v>
      </c>
      <c r="G4172">
        <v>-203.65379999999999</v>
      </c>
      <c r="H4172">
        <v>1.191019</v>
      </c>
      <c r="I4172">
        <v>141.40389999999999</v>
      </c>
      <c r="J4172">
        <v>-203.29310000000001</v>
      </c>
      <c r="K4172">
        <v>1.1042050000000001</v>
      </c>
      <c r="L4172">
        <v>141.322</v>
      </c>
      <c r="M4172">
        <v>-0.84184289999999995</v>
      </c>
      <c r="N4172">
        <v>0</v>
      </c>
      <c r="O4172">
        <v>-0.53954799999999903</v>
      </c>
      <c r="P4172">
        <v>-0.92759139999999995</v>
      </c>
      <c r="Q4172">
        <v>-5.2545370000000001E-2</v>
      </c>
      <c r="R4172">
        <v>-0.36988310000000002</v>
      </c>
      <c r="S4172">
        <v>-3.2014309999999999</v>
      </c>
      <c r="T4172">
        <v>0.49912600000000001</v>
      </c>
      <c r="U4172">
        <v>-0.18290709999999999</v>
      </c>
      <c r="V4172">
        <v>0.1885471</v>
      </c>
      <c r="W4172">
        <v>-4.1722919999999997E-2</v>
      </c>
      <c r="X4172">
        <v>0.98117739999999998</v>
      </c>
      <c r="Y4172">
        <v>0.47908420000000002</v>
      </c>
      <c r="Z4172">
        <v>-0.11672829999999999</v>
      </c>
      <c r="AA4172">
        <v>0.86997289999999905</v>
      </c>
      <c r="AB4172">
        <v>21</v>
      </c>
      <c r="AC4172">
        <v>-0.36069999999997998</v>
      </c>
      <c r="AD4172">
        <v>8.6814000000000099E-2</v>
      </c>
      <c r="AE4172">
        <v>8.18999999999903E-2</v>
      </c>
      <c r="AF4172">
        <v>0.249824471921929</v>
      </c>
      <c r="AG4172">
        <v>8.6814000000000099E-2</v>
      </c>
      <c r="AH4172">
        <v>0.245939931926446</v>
      </c>
      <c r="AI4172">
        <v>76.091235829267802</v>
      </c>
      <c r="AJ4172">
        <v>44.551070648216701</v>
      </c>
      <c r="AK4172">
        <v>0.36115839666696897</v>
      </c>
      <c r="AL4172">
        <v>92.391241465245798</v>
      </c>
      <c r="AM4172">
        <v>79.122405402977293</v>
      </c>
      <c r="AN4172">
        <v>0.99999995062124603</v>
      </c>
    </row>
    <row r="4173" spans="1:40" x14ac:dyDescent="0.25">
      <c r="A4173" t="str">
        <f>"20190312161354353"</f>
        <v>20190312161354353</v>
      </c>
      <c r="B4173" t="str">
        <f>"1552378434350042"</f>
        <v>1552378434350042</v>
      </c>
      <c r="C4173" t="s">
        <v>40</v>
      </c>
      <c r="D4173">
        <v>5.965325</v>
      </c>
      <c r="E4173">
        <v>0.60270409999999996</v>
      </c>
      <c r="F4173" t="s">
        <v>43</v>
      </c>
      <c r="G4173">
        <v>-204.01089999999999</v>
      </c>
      <c r="H4173">
        <v>1.2110810000000001</v>
      </c>
      <c r="I4173">
        <v>141.28550000000001</v>
      </c>
      <c r="J4173">
        <v>-203.48349999999999</v>
      </c>
      <c r="K4173">
        <v>1.104239</v>
      </c>
      <c r="L4173">
        <v>141.21449999999999</v>
      </c>
      <c r="M4173">
        <v>-0.84738150000000001</v>
      </c>
      <c r="N4173">
        <v>0</v>
      </c>
      <c r="O4173">
        <v>-0.53080459999999996</v>
      </c>
      <c r="P4173">
        <v>-0.93113789999999996</v>
      </c>
      <c r="Q4173">
        <v>-5.2492530000000003E-2</v>
      </c>
      <c r="R4173">
        <v>-0.36087000000000002</v>
      </c>
      <c r="S4173">
        <v>-3.196304</v>
      </c>
      <c r="T4173">
        <v>0.47589169999999997</v>
      </c>
      <c r="U4173">
        <v>-0.16259770000000001</v>
      </c>
      <c r="V4173">
        <v>0.187913</v>
      </c>
      <c r="W4173">
        <v>-4.1551119999999997E-2</v>
      </c>
      <c r="X4173">
        <v>0.98130640000000002</v>
      </c>
      <c r="Y4173">
        <v>0.47659570000000001</v>
      </c>
      <c r="Z4173">
        <v>-0.11029890000000001</v>
      </c>
      <c r="AA4173">
        <v>0.8721759</v>
      </c>
      <c r="AB4173">
        <v>21</v>
      </c>
      <c r="AC4173">
        <v>-0.52739999999999998</v>
      </c>
      <c r="AD4173">
        <v>0.10684199999999899</v>
      </c>
      <c r="AE4173">
        <v>7.1000000000026306E-2</v>
      </c>
      <c r="AF4173">
        <v>0.326963323145114</v>
      </c>
      <c r="AG4173">
        <v>0.10684199999999899</v>
      </c>
      <c r="AH4173">
        <v>0.39340323566337498</v>
      </c>
      <c r="AI4173">
        <v>78.202560206492194</v>
      </c>
      <c r="AJ4173">
        <v>50.269521905188498</v>
      </c>
      <c r="AK4173">
        <v>0.52257662928656701</v>
      </c>
      <c r="AL4173">
        <v>92.381389338754502</v>
      </c>
      <c r="AM4173">
        <v>79.159510720290598</v>
      </c>
      <c r="AN4173">
        <v>1.0000000209116</v>
      </c>
    </row>
    <row r="4174" spans="1:40" x14ac:dyDescent="0.25">
      <c r="A4174" t="str">
        <f>"20190312161354373"</f>
        <v>20190312161354373</v>
      </c>
      <c r="B4174" t="str">
        <f>"1552378434370540"</f>
        <v>1552378434370540</v>
      </c>
      <c r="C4174" t="s">
        <v>40</v>
      </c>
      <c r="D4174">
        <v>5.279649</v>
      </c>
      <c r="E4174">
        <v>0.60805989999999999</v>
      </c>
      <c r="F4174" t="s">
        <v>78</v>
      </c>
      <c r="G4174">
        <v>-440.75</v>
      </c>
      <c r="H4174">
        <v>15.6548</v>
      </c>
      <c r="I4174">
        <v>116.3533</v>
      </c>
      <c r="J4174">
        <v>-203.64670000000001</v>
      </c>
      <c r="K4174">
        <v>1.104255</v>
      </c>
      <c r="L4174">
        <v>141.12440000000001</v>
      </c>
      <c r="M4174">
        <v>-0.85203079999999998</v>
      </c>
      <c r="N4174">
        <v>0</v>
      </c>
      <c r="O4174">
        <v>-0.52330679999999996</v>
      </c>
      <c r="P4174">
        <v>-0.93399779999999999</v>
      </c>
      <c r="Q4174">
        <v>-5.202727E-2</v>
      </c>
      <c r="R4174">
        <v>-0.35347030000000002</v>
      </c>
      <c r="S4174">
        <v>-3.1064609999999999</v>
      </c>
      <c r="T4174">
        <v>0.1905065</v>
      </c>
      <c r="U4174">
        <v>-0.32550050000000003</v>
      </c>
      <c r="V4174">
        <v>0.1870648</v>
      </c>
      <c r="W4174">
        <v>-4.0990749999999999E-2</v>
      </c>
      <c r="X4174">
        <v>0.98149200000000003</v>
      </c>
      <c r="Y4174">
        <v>0.43003750000000002</v>
      </c>
      <c r="Z4174">
        <v>-4.3624349999999999E-2</v>
      </c>
      <c r="AA4174">
        <v>0.90175640000000001</v>
      </c>
      <c r="AB4174">
        <v>21</v>
      </c>
      <c r="AC4174">
        <v>-237.10329999999999</v>
      </c>
      <c r="AD4174">
        <v>14.550545</v>
      </c>
      <c r="AE4174">
        <v>-24.771100000000001</v>
      </c>
      <c r="AF4174">
        <v>102.59977194262299</v>
      </c>
      <c r="AG4174">
        <v>14.550545</v>
      </c>
      <c r="AH4174">
        <v>214.20501121428001</v>
      </c>
      <c r="AI4174">
        <v>86.494261869412199</v>
      </c>
      <c r="AJ4174">
        <v>64.406542600581801</v>
      </c>
      <c r="AK4174">
        <v>237.95423591897901</v>
      </c>
      <c r="AL4174">
        <v>92.349255141795197</v>
      </c>
      <c r="AM4174">
        <v>79.209283594771506</v>
      </c>
      <c r="AN4174">
        <v>1.0000000135242999</v>
      </c>
    </row>
    <row r="4175" spans="1:40" x14ac:dyDescent="0.25">
      <c r="A4175" t="str">
        <f>"20190312161354395"</f>
        <v>20190312161354395</v>
      </c>
      <c r="B4175" t="str">
        <f>"1552378434390058"</f>
        <v>1552378434390058</v>
      </c>
      <c r="C4175" t="s">
        <v>40</v>
      </c>
      <c r="D4175">
        <v>5.8915259999999998</v>
      </c>
      <c r="E4175">
        <v>0.60780509999999999</v>
      </c>
      <c r="F4175" t="s">
        <v>78</v>
      </c>
      <c r="G4175">
        <v>-461.03219999999999</v>
      </c>
      <c r="H4175">
        <v>21.417770000000001</v>
      </c>
      <c r="I4175">
        <v>119.5371</v>
      </c>
      <c r="J4175">
        <v>-203.83770000000001</v>
      </c>
      <c r="K4175">
        <v>1.1042809999999901</v>
      </c>
      <c r="L4175">
        <v>141.0213</v>
      </c>
      <c r="M4175">
        <v>-0.85735989999999995</v>
      </c>
      <c r="N4175">
        <v>0</v>
      </c>
      <c r="O4175">
        <v>-0.51452759999999997</v>
      </c>
      <c r="P4175">
        <v>-0.93720190000000003</v>
      </c>
      <c r="Q4175">
        <v>-5.044854E-2</v>
      </c>
      <c r="R4175">
        <v>-0.34511969999999997</v>
      </c>
      <c r="S4175">
        <v>-3.1264799999999999</v>
      </c>
      <c r="T4175">
        <v>0.24674989999999999</v>
      </c>
      <c r="U4175">
        <v>-0.26222230000000002</v>
      </c>
      <c r="V4175">
        <v>0.18581449999999999</v>
      </c>
      <c r="W4175">
        <v>-3.9308910000000002E-2</v>
      </c>
      <c r="X4175">
        <v>0.98179819999999995</v>
      </c>
      <c r="Y4175">
        <v>0.43832470000000001</v>
      </c>
      <c r="Z4175">
        <v>-5.5948570000000003E-2</v>
      </c>
      <c r="AA4175">
        <v>0.89707369999999897</v>
      </c>
      <c r="AB4175">
        <v>21</v>
      </c>
      <c r="AC4175">
        <v>-257.19449999999898</v>
      </c>
      <c r="AD4175">
        <v>20.313489000000001</v>
      </c>
      <c r="AE4175">
        <v>-21.484200000000001</v>
      </c>
      <c r="AF4175">
        <v>113.223709609929</v>
      </c>
      <c r="AG4175">
        <v>20.313489000000001</v>
      </c>
      <c r="AH4175">
        <v>230.159299917395</v>
      </c>
      <c r="AI4175">
        <v>85.471940459007101</v>
      </c>
      <c r="AJ4175">
        <v>63.805753426712002</v>
      </c>
      <c r="AK4175">
        <v>257.3043909296</v>
      </c>
      <c r="AL4175">
        <v>92.252815151102794</v>
      </c>
      <c r="AM4175">
        <v>79.282995409197795</v>
      </c>
      <c r="AN4175">
        <v>0.99999996216943798</v>
      </c>
    </row>
    <row r="4176" spans="1:40" x14ac:dyDescent="0.25">
      <c r="A4176" t="str">
        <f>"20190312161354418"</f>
        <v>20190312161354418</v>
      </c>
      <c r="B4176" t="str">
        <f>"1552378434410555"</f>
        <v>1552378434410555</v>
      </c>
      <c r="C4176" t="s">
        <v>40</v>
      </c>
      <c r="D4176">
        <v>5.6099909999999999</v>
      </c>
      <c r="E4176">
        <v>0.60638559999999997</v>
      </c>
      <c r="F4176" t="s">
        <v>44</v>
      </c>
      <c r="G4176">
        <v>0</v>
      </c>
      <c r="H4176">
        <v>0</v>
      </c>
      <c r="I4176">
        <v>0</v>
      </c>
      <c r="J4176">
        <v>-204.0318</v>
      </c>
      <c r="K4176">
        <v>1.1043080000000001</v>
      </c>
      <c r="L4176">
        <v>140.91909999999999</v>
      </c>
      <c r="M4176">
        <v>-0.8626549</v>
      </c>
      <c r="N4176">
        <v>0</v>
      </c>
      <c r="O4176">
        <v>-0.50559790000000004</v>
      </c>
      <c r="P4176">
        <v>-0.94024220000000003</v>
      </c>
      <c r="Q4176">
        <v>-4.9008610000000001E-2</v>
      </c>
      <c r="R4176">
        <v>-0.33696110000000001</v>
      </c>
      <c r="S4176">
        <v>-3.127548</v>
      </c>
      <c r="T4176">
        <v>0.25197570000000002</v>
      </c>
      <c r="U4176">
        <v>-0.23632810000000001</v>
      </c>
      <c r="V4176">
        <v>0.18421589999999999</v>
      </c>
      <c r="W4176">
        <v>-3.7770430000000001E-2</v>
      </c>
      <c r="X4176">
        <v>0.98215980000000003</v>
      </c>
      <c r="Y4176">
        <v>0.43631779999999998</v>
      </c>
      <c r="Z4176">
        <v>-5.6448829999999998E-2</v>
      </c>
      <c r="AA4176">
        <v>0.89802019999999905</v>
      </c>
      <c r="AB4176">
        <v>21</v>
      </c>
      <c r="AC4176">
        <v>-3.127548</v>
      </c>
      <c r="AD4176">
        <v>0.25197570000000002</v>
      </c>
      <c r="AE4176">
        <v>-0.23632810000000001</v>
      </c>
      <c r="AF4176">
        <v>1.3687141625333099</v>
      </c>
      <c r="AG4176">
        <v>0.25197570000000002</v>
      </c>
      <c r="AH4176">
        <v>2.7996900457592302</v>
      </c>
      <c r="AI4176">
        <v>85.377348167079901</v>
      </c>
      <c r="AJ4176">
        <v>63.946887777553698</v>
      </c>
      <c r="AK4176">
        <v>3.12652116008082</v>
      </c>
      <c r="AL4176">
        <v>92.164601135574102</v>
      </c>
      <c r="AM4176">
        <v>79.376910612903501</v>
      </c>
      <c r="AN4176">
        <v>0.99999998796561695</v>
      </c>
    </row>
    <row r="4177" spans="1:40" x14ac:dyDescent="0.25">
      <c r="A4177" t="str">
        <f>"20190312161354440"</f>
        <v>20190312161354440</v>
      </c>
      <c r="B4177" t="str">
        <f>"1552378434430075"</f>
        <v>1552378434430075</v>
      </c>
      <c r="C4177" t="s">
        <v>40</v>
      </c>
      <c r="D4177">
        <v>5.9220730000000001</v>
      </c>
      <c r="E4177">
        <v>0.61689479999999997</v>
      </c>
      <c r="F4177" t="s">
        <v>44</v>
      </c>
      <c r="G4177">
        <v>0</v>
      </c>
      <c r="H4177">
        <v>0</v>
      </c>
      <c r="I4177">
        <v>0</v>
      </c>
      <c r="J4177">
        <v>-204.21870000000001</v>
      </c>
      <c r="K4177">
        <v>1.1043320000000001</v>
      </c>
      <c r="L4177">
        <v>140.82299999999901</v>
      </c>
      <c r="M4177">
        <v>-0.86764289999999999</v>
      </c>
      <c r="N4177">
        <v>0</v>
      </c>
      <c r="O4177">
        <v>-0.49698769999999998</v>
      </c>
      <c r="P4177">
        <v>-0.94303040000000005</v>
      </c>
      <c r="Q4177">
        <v>-4.7314790000000002E-2</v>
      </c>
      <c r="R4177">
        <v>-0.32932470000000003</v>
      </c>
      <c r="S4177">
        <v>-3.124924</v>
      </c>
      <c r="T4177">
        <v>0.2487164</v>
      </c>
      <c r="U4177">
        <v>-0.21965029999999999</v>
      </c>
      <c r="V4177">
        <v>0.18247669999999999</v>
      </c>
      <c r="W4177">
        <v>-3.5987520000000002E-2</v>
      </c>
      <c r="X4177">
        <v>0.98255130000000002</v>
      </c>
      <c r="Y4177">
        <v>0.43218329999999999</v>
      </c>
      <c r="Z4177">
        <v>-5.5031459999999997E-2</v>
      </c>
      <c r="AA4177">
        <v>0.90010509999999999</v>
      </c>
      <c r="AB4177">
        <v>21</v>
      </c>
      <c r="AC4177">
        <v>-3.124924</v>
      </c>
      <c r="AD4177">
        <v>0.2487164</v>
      </c>
      <c r="AE4177">
        <v>-0.21965029999999999</v>
      </c>
      <c r="AF4177">
        <v>1.3540708328083799</v>
      </c>
      <c r="AG4177">
        <v>0.2487164</v>
      </c>
      <c r="AH4177">
        <v>2.80309272248223</v>
      </c>
      <c r="AI4177">
        <v>85.432012748999</v>
      </c>
      <c r="AJ4177">
        <v>64.216523115232505</v>
      </c>
      <c r="AK4177">
        <v>3.1229307515095801</v>
      </c>
      <c r="AL4177">
        <v>92.062378437757999</v>
      </c>
      <c r="AM4177">
        <v>79.479052940534899</v>
      </c>
      <c r="AN4177">
        <v>0.99999995238516404</v>
      </c>
    </row>
    <row r="4178" spans="1:40" x14ac:dyDescent="0.25">
      <c r="A4178" t="str">
        <f>"20190312161354462"</f>
        <v>20190312161354462</v>
      </c>
      <c r="B4178" t="str">
        <f>"1552378434460331"</f>
        <v>1552378434460331</v>
      </c>
      <c r="C4178" t="s">
        <v>40</v>
      </c>
      <c r="D4178">
        <v>5.7071809999999896</v>
      </c>
      <c r="E4178">
        <v>0.59583419999999998</v>
      </c>
      <c r="F4178" t="s">
        <v>42</v>
      </c>
      <c r="G4178">
        <v>-221.196</v>
      </c>
      <c r="H4178" s="1">
        <v>-3.9263699999999998E-6</v>
      </c>
      <c r="I4178">
        <v>140.24459999999999</v>
      </c>
      <c r="J4178">
        <v>-204.4015</v>
      </c>
      <c r="K4178">
        <v>1.1043559999999999</v>
      </c>
      <c r="L4178">
        <v>140.73140000000001</v>
      </c>
      <c r="M4178">
        <v>-0.87241579999999996</v>
      </c>
      <c r="N4178">
        <v>0</v>
      </c>
      <c r="O4178">
        <v>-0.48855959999999898</v>
      </c>
      <c r="P4178">
        <v>-0.94573969999999896</v>
      </c>
      <c r="Q4178">
        <v>-4.5785520000000003E-2</v>
      </c>
      <c r="R4178">
        <v>-0.32168330000000001</v>
      </c>
      <c r="S4178">
        <v>-3.1337130000000002</v>
      </c>
      <c r="T4178">
        <v>-0.20384160000000001</v>
      </c>
      <c r="U4178">
        <v>-0.10676570000000001</v>
      </c>
      <c r="V4178">
        <v>0.1809704</v>
      </c>
      <c r="W4178">
        <v>-3.4382049999999997E-2</v>
      </c>
      <c r="X4178">
        <v>0.98288739999999997</v>
      </c>
      <c r="Y4178">
        <v>0.45669929999999997</v>
      </c>
      <c r="Z4178">
        <v>4.5426960000000002E-2</v>
      </c>
      <c r="AA4178">
        <v>0.88846059999999905</v>
      </c>
      <c r="AB4178">
        <v>21</v>
      </c>
      <c r="AC4178">
        <v>-16.794499999999999</v>
      </c>
      <c r="AD4178">
        <v>-1.1043599263699999</v>
      </c>
      <c r="AE4178">
        <v>-0.486800000000016</v>
      </c>
      <c r="AF4178">
        <v>7.7477279226517703</v>
      </c>
      <c r="AG4178">
        <v>-1.1043599263699999</v>
      </c>
      <c r="AH4178">
        <v>14.8270500041427</v>
      </c>
      <c r="AI4178">
        <v>93.7768213191722</v>
      </c>
      <c r="AJ4178">
        <v>62.411128340341499</v>
      </c>
      <c r="AK4178">
        <v>16.7656884927448</v>
      </c>
      <c r="AL4178">
        <v>91.970334631843599</v>
      </c>
      <c r="AM4178">
        <v>79.567475201835606</v>
      </c>
      <c r="AN4178">
        <v>1.00000002605856</v>
      </c>
    </row>
    <row r="4179" spans="1:40" x14ac:dyDescent="0.25">
      <c r="A4179" t="str">
        <f>"20190312161354485"</f>
        <v>20190312161354485</v>
      </c>
      <c r="B4179" t="str">
        <f>"1552378434479851"</f>
        <v>1552378434479851</v>
      </c>
      <c r="C4179" t="s">
        <v>40</v>
      </c>
      <c r="D4179">
        <v>5.9624360000000003</v>
      </c>
      <c r="E4179">
        <v>0.59519979999999995</v>
      </c>
      <c r="F4179" t="s">
        <v>78</v>
      </c>
      <c r="G4179">
        <v>-470.8775</v>
      </c>
      <c r="H4179">
        <v>16.759529999999899</v>
      </c>
      <c r="I4179">
        <v>119.4678</v>
      </c>
      <c r="J4179">
        <v>-204.5941</v>
      </c>
      <c r="K4179">
        <v>1.104382</v>
      </c>
      <c r="L4179">
        <v>140.63720000000001</v>
      </c>
      <c r="M4179">
        <v>-0.87733510000000003</v>
      </c>
      <c r="N4179">
        <v>0</v>
      </c>
      <c r="O4179">
        <v>-0.4796686</v>
      </c>
      <c r="P4179">
        <v>-0.94851490000000005</v>
      </c>
      <c r="Q4179">
        <v>-4.4468859999999999E-2</v>
      </c>
      <c r="R4179">
        <v>-0.31359569999999998</v>
      </c>
      <c r="S4179">
        <v>-3.0968629999999999</v>
      </c>
      <c r="T4179">
        <v>0.1819375</v>
      </c>
      <c r="U4179">
        <v>-0.24711610000000001</v>
      </c>
      <c r="V4179">
        <v>0.179426</v>
      </c>
      <c r="W4179">
        <v>-3.2993050000000003E-2</v>
      </c>
      <c r="X4179">
        <v>0.98321809999999998</v>
      </c>
      <c r="Y4179">
        <v>0.40695300000000001</v>
      </c>
      <c r="Z4179">
        <v>-3.8988090000000003E-2</v>
      </c>
      <c r="AA4179">
        <v>0.91261669999999995</v>
      </c>
      <c r="AB4179">
        <v>21</v>
      </c>
      <c r="AC4179">
        <v>-266.28339999999997</v>
      </c>
      <c r="AD4179">
        <v>15.655148000000001</v>
      </c>
      <c r="AE4179">
        <v>-21.1694</v>
      </c>
      <c r="AF4179">
        <v>108.792437901121</v>
      </c>
      <c r="AG4179">
        <v>15.655148000000001</v>
      </c>
      <c r="AH4179">
        <v>242.964080899328</v>
      </c>
      <c r="AI4179">
        <v>86.634443786145098</v>
      </c>
      <c r="AJ4179">
        <v>65.8785157867473</v>
      </c>
      <c r="AK4179">
        <v>266.66912609191701</v>
      </c>
      <c r="AL4179">
        <v>91.890705583090806</v>
      </c>
      <c r="AM4179">
        <v>79.657980312168604</v>
      </c>
      <c r="AN4179">
        <v>1.0000000314959501</v>
      </c>
    </row>
    <row r="4180" spans="1:40" x14ac:dyDescent="0.25">
      <c r="A4180" t="str">
        <f>"20190312161354509"</f>
        <v>20190312161354509</v>
      </c>
      <c r="B4180" t="str">
        <f>"1552378434500346"</f>
        <v>1552378434500346</v>
      </c>
      <c r="C4180" t="s">
        <v>40</v>
      </c>
      <c r="D4180">
        <v>5.6278980000000001</v>
      </c>
      <c r="E4180">
        <v>0.59469689999999997</v>
      </c>
      <c r="F4180" t="s">
        <v>44</v>
      </c>
      <c r="G4180">
        <v>0</v>
      </c>
      <c r="H4180">
        <v>0</v>
      </c>
      <c r="I4180">
        <v>0</v>
      </c>
      <c r="J4180">
        <v>-204.7953</v>
      </c>
      <c r="K4180">
        <v>1.1044080000000001</v>
      </c>
      <c r="L4180">
        <v>140.5412</v>
      </c>
      <c r="M4180">
        <v>-0.88235609999999998</v>
      </c>
      <c r="N4180">
        <v>0</v>
      </c>
      <c r="O4180">
        <v>-0.4703678</v>
      </c>
      <c r="P4180">
        <v>-0.95143759999999999</v>
      </c>
      <c r="Q4180">
        <v>-4.3070329999999997E-2</v>
      </c>
      <c r="R4180">
        <v>-0.30481409999999998</v>
      </c>
      <c r="S4180">
        <v>-3.096832</v>
      </c>
      <c r="T4180">
        <v>0.1831864</v>
      </c>
      <c r="U4180">
        <v>-0.2256012</v>
      </c>
      <c r="V4180">
        <v>0.17817379999999999</v>
      </c>
      <c r="W4180">
        <v>-3.1531259999999998E-2</v>
      </c>
      <c r="X4180">
        <v>0.98349370000000003</v>
      </c>
      <c r="Y4180">
        <v>0.40360079999999998</v>
      </c>
      <c r="Z4180">
        <v>-3.869152E-2</v>
      </c>
      <c r="AA4180">
        <v>0.9141167</v>
      </c>
      <c r="AB4180">
        <v>21</v>
      </c>
      <c r="AC4180">
        <v>-3.096832</v>
      </c>
      <c r="AD4180">
        <v>0.1831864</v>
      </c>
      <c r="AE4180">
        <v>-0.2256012</v>
      </c>
      <c r="AF4180">
        <v>1.25335399111031</v>
      </c>
      <c r="AG4180">
        <v>0.1831864</v>
      </c>
      <c r="AH4180">
        <v>2.8290638688635998</v>
      </c>
      <c r="AI4180">
        <v>86.6119389361929</v>
      </c>
      <c r="AJ4180">
        <v>66.105325068302804</v>
      </c>
      <c r="AK4180">
        <v>3.09968641289512</v>
      </c>
      <c r="AL4180">
        <v>91.806907632735204</v>
      </c>
      <c r="AM4180">
        <v>79.731431831569097</v>
      </c>
      <c r="AN4180">
        <v>0.99999999065165801</v>
      </c>
    </row>
    <row r="4181" spans="1:40" x14ac:dyDescent="0.25">
      <c r="A4181" t="str">
        <f>"20190312161354531"</f>
        <v>20190312161354531</v>
      </c>
      <c r="B4181" t="str">
        <f>"1552378434519866"</f>
        <v>1552378434519866</v>
      </c>
      <c r="C4181" t="s">
        <v>40</v>
      </c>
      <c r="D4181">
        <v>5.72464</v>
      </c>
      <c r="E4181">
        <v>0.59431610000000001</v>
      </c>
      <c r="F4181" t="s">
        <v>44</v>
      </c>
      <c r="G4181">
        <v>0</v>
      </c>
      <c r="H4181">
        <v>0</v>
      </c>
      <c r="I4181">
        <v>0</v>
      </c>
      <c r="J4181">
        <v>-204.9914</v>
      </c>
      <c r="K4181">
        <v>1.1044369999999999</v>
      </c>
      <c r="L4181">
        <v>140.45050000000001</v>
      </c>
      <c r="M4181">
        <v>-0.88712990000000003</v>
      </c>
      <c r="N4181">
        <v>0</v>
      </c>
      <c r="O4181">
        <v>-0.46129999999999999</v>
      </c>
      <c r="P4181">
        <v>-0.95423219999999997</v>
      </c>
      <c r="Q4181">
        <v>-4.1890249999999997E-2</v>
      </c>
      <c r="R4181">
        <v>-0.29611890000000002</v>
      </c>
      <c r="S4181">
        <v>-3.0971829999999998</v>
      </c>
      <c r="T4181">
        <v>0.1837374</v>
      </c>
      <c r="U4181">
        <v>-0.2005768</v>
      </c>
      <c r="V4181">
        <v>0.17711209999999999</v>
      </c>
      <c r="W4181">
        <v>-3.0298450000000001E-2</v>
      </c>
      <c r="X4181">
        <v>0.98372420000000005</v>
      </c>
      <c r="Y4181">
        <v>0.4015938</v>
      </c>
      <c r="Z4181">
        <v>-3.8288049999999997E-2</v>
      </c>
      <c r="AA4181">
        <v>0.91501719999999998</v>
      </c>
      <c r="AB4181">
        <v>21</v>
      </c>
      <c r="AC4181">
        <v>-3.0971829999999998</v>
      </c>
      <c r="AD4181">
        <v>0.1837374</v>
      </c>
      <c r="AE4181">
        <v>-0.2005768</v>
      </c>
      <c r="AF4181">
        <v>1.24655100645899</v>
      </c>
      <c r="AG4181">
        <v>0.1837374</v>
      </c>
      <c r="AH4181">
        <v>2.8304979429539201</v>
      </c>
      <c r="AI4181">
        <v>86.600196809623895</v>
      </c>
      <c r="AJ4181">
        <v>66.231312216466193</v>
      </c>
      <c r="AK4181">
        <v>3.0982845977942399</v>
      </c>
      <c r="AL4181">
        <v>91.736239028815305</v>
      </c>
      <c r="AM4181">
        <v>79.793671271662902</v>
      </c>
      <c r="AN4181">
        <v>0.99999999685222596</v>
      </c>
    </row>
    <row r="4182" spans="1:40" x14ac:dyDescent="0.25">
      <c r="A4182" t="str">
        <f>"20190312161354555"</f>
        <v>20190312161354555</v>
      </c>
      <c r="B4182" t="str">
        <f>"1552378434550123"</f>
        <v>1552378434550123</v>
      </c>
      <c r="C4182" t="s">
        <v>40</v>
      </c>
      <c r="D4182">
        <v>5.6736550000000001</v>
      </c>
      <c r="E4182">
        <v>0.59191359999999904</v>
      </c>
      <c r="F4182" t="s">
        <v>44</v>
      </c>
      <c r="G4182">
        <v>0</v>
      </c>
      <c r="H4182">
        <v>0</v>
      </c>
      <c r="I4182">
        <v>0</v>
      </c>
      <c r="J4182">
        <v>-205.18039999999999</v>
      </c>
      <c r="K4182">
        <v>1.104463</v>
      </c>
      <c r="L4182">
        <v>140.36529999999999</v>
      </c>
      <c r="M4182">
        <v>-0.8916231</v>
      </c>
      <c r="N4182">
        <v>0</v>
      </c>
      <c r="O4182">
        <v>-0.45255339999999999</v>
      </c>
      <c r="P4182">
        <v>-0.95680310000000002</v>
      </c>
      <c r="Q4182">
        <v>-4.0714439999999998E-2</v>
      </c>
      <c r="R4182">
        <v>-0.28787200000000002</v>
      </c>
      <c r="S4182">
        <v>-3.0954130000000002</v>
      </c>
      <c r="T4182">
        <v>0.12695129999999999</v>
      </c>
      <c r="U4182">
        <v>-0.17414859999999999</v>
      </c>
      <c r="V4182">
        <v>0.1759694</v>
      </c>
      <c r="W4182">
        <v>-2.9074119999999998E-2</v>
      </c>
      <c r="X4182">
        <v>0.98396620000000001</v>
      </c>
      <c r="Y4182">
        <v>0.40110679999999999</v>
      </c>
      <c r="Z4182">
        <v>-2.616601E-2</v>
      </c>
      <c r="AA4182">
        <v>0.91565750000000001</v>
      </c>
      <c r="AB4182">
        <v>21</v>
      </c>
      <c r="AC4182">
        <v>-3.0954130000000002</v>
      </c>
      <c r="AD4182">
        <v>0.12695129999999999</v>
      </c>
      <c r="AE4182">
        <v>-0.17414859999999999</v>
      </c>
      <c r="AF4182">
        <v>1.24360642357832</v>
      </c>
      <c r="AG4182">
        <v>0.12695129999999999</v>
      </c>
      <c r="AH4182">
        <v>2.8342900456166999</v>
      </c>
      <c r="AI4182">
        <v>87.651237151972893</v>
      </c>
      <c r="AJ4182">
        <v>66.309490916110406</v>
      </c>
      <c r="AK4182">
        <v>3.0977207156260702</v>
      </c>
      <c r="AL4182">
        <v>91.666059132391197</v>
      </c>
      <c r="AM4182">
        <v>79.860592329179596</v>
      </c>
      <c r="AN4182">
        <v>1.0000000084662799</v>
      </c>
    </row>
    <row r="4183" spans="1:40" x14ac:dyDescent="0.25">
      <c r="A4183" t="str">
        <f>"20190312161354575"</f>
        <v>20190312161354575</v>
      </c>
      <c r="B4183" t="str">
        <f>"1552378434570619"</f>
        <v>1552378434570619</v>
      </c>
      <c r="C4183" t="s">
        <v>40</v>
      </c>
      <c r="D4183">
        <v>5.7371610000000004</v>
      </c>
      <c r="E4183">
        <v>0.58979589999999904</v>
      </c>
      <c r="F4183" t="s">
        <v>44</v>
      </c>
      <c r="G4183">
        <v>0</v>
      </c>
      <c r="H4183">
        <v>0</v>
      </c>
      <c r="I4183">
        <v>0</v>
      </c>
      <c r="J4183">
        <v>-205.3622</v>
      </c>
      <c r="K4183">
        <v>1.1044769999999999</v>
      </c>
      <c r="L4183">
        <v>140.28540000000001</v>
      </c>
      <c r="M4183">
        <v>-0.89584719999999995</v>
      </c>
      <c r="N4183">
        <v>0</v>
      </c>
      <c r="O4183">
        <v>-0.44413239999999998</v>
      </c>
      <c r="P4183">
        <v>-0.95906570000000002</v>
      </c>
      <c r="Q4183">
        <v>-3.9070260000000002E-2</v>
      </c>
      <c r="R4183">
        <v>-0.280476</v>
      </c>
      <c r="S4183">
        <v>-3.091202</v>
      </c>
      <c r="T4183">
        <v>0.13203489999999901</v>
      </c>
      <c r="U4183">
        <v>-0.1656647</v>
      </c>
      <c r="V4183">
        <v>0.17435049999999999</v>
      </c>
      <c r="W4183">
        <v>-2.737823E-2</v>
      </c>
      <c r="X4183">
        <v>0.98430300000000004</v>
      </c>
      <c r="Y4183">
        <v>0.3948585</v>
      </c>
      <c r="Z4183">
        <v>-2.679687E-2</v>
      </c>
      <c r="AA4183">
        <v>0.91835109999999998</v>
      </c>
      <c r="AB4183">
        <v>21</v>
      </c>
      <c r="AC4183">
        <v>-3.091202</v>
      </c>
      <c r="AD4183">
        <v>0.13203489999999901</v>
      </c>
      <c r="AE4183">
        <v>-0.1656647</v>
      </c>
      <c r="AF4183">
        <v>1.2223939865186899</v>
      </c>
      <c r="AG4183">
        <v>0.13203489999999901</v>
      </c>
      <c r="AH4183">
        <v>2.8379492635094299</v>
      </c>
      <c r="AI4183">
        <v>87.553267756573007</v>
      </c>
      <c r="AJ4183">
        <v>66.696935604421697</v>
      </c>
      <c r="AK4183">
        <v>3.0928362865416599</v>
      </c>
      <c r="AL4183">
        <v>91.568853017533201</v>
      </c>
      <c r="AM4183">
        <v>79.955332542093899</v>
      </c>
      <c r="AN4183">
        <v>1.0000000300685901</v>
      </c>
    </row>
    <row r="4184" spans="1:40" x14ac:dyDescent="0.25">
      <c r="A4184" t="str">
        <f>"20190312161354597"</f>
        <v>20190312161354597</v>
      </c>
      <c r="B4184" t="str">
        <f>"1552378434590138"</f>
        <v>1552378434590138</v>
      </c>
      <c r="C4184" t="s">
        <v>40</v>
      </c>
      <c r="D4184">
        <v>6.0495190000000001</v>
      </c>
      <c r="E4184">
        <v>0.58909630000000002</v>
      </c>
      <c r="F4184" t="s">
        <v>44</v>
      </c>
      <c r="G4184">
        <v>0</v>
      </c>
      <c r="H4184">
        <v>0</v>
      </c>
      <c r="I4184">
        <v>0</v>
      </c>
      <c r="J4184">
        <v>-205.5574</v>
      </c>
      <c r="K4184">
        <v>1.1045069999999999</v>
      </c>
      <c r="L4184">
        <v>140.20189999999999</v>
      </c>
      <c r="M4184">
        <v>-0.90027590000000002</v>
      </c>
      <c r="N4184">
        <v>0</v>
      </c>
      <c r="O4184">
        <v>-0.43508459999999899</v>
      </c>
      <c r="P4184">
        <v>-0.96148149999999999</v>
      </c>
      <c r="Q4184">
        <v>-3.7257859999999997E-2</v>
      </c>
      <c r="R4184">
        <v>-0.27233259999999998</v>
      </c>
      <c r="S4184">
        <v>-3.0870359999999999</v>
      </c>
      <c r="T4184">
        <v>0.1259942</v>
      </c>
      <c r="U4184">
        <v>-0.15780640000000001</v>
      </c>
      <c r="V4184">
        <v>0.1728392</v>
      </c>
      <c r="W4184">
        <v>-2.5517149999999999E-2</v>
      </c>
      <c r="X4184">
        <v>0.98461940000000003</v>
      </c>
      <c r="Y4184">
        <v>0.38793499999999997</v>
      </c>
      <c r="Z4184">
        <v>-2.5134449999999999E-2</v>
      </c>
      <c r="AA4184">
        <v>0.92134400000000005</v>
      </c>
      <c r="AB4184">
        <v>21</v>
      </c>
      <c r="AC4184">
        <v>-3.0870359999999999</v>
      </c>
      <c r="AD4184">
        <v>0.1259942</v>
      </c>
      <c r="AE4184">
        <v>-0.15780640000000001</v>
      </c>
      <c r="AF4184">
        <v>1.19918309870146</v>
      </c>
      <c r="AG4184">
        <v>0.1259942</v>
      </c>
      <c r="AH4184">
        <v>2.84341060926829</v>
      </c>
      <c r="AI4184">
        <v>87.661999483565296</v>
      </c>
      <c r="AJ4184">
        <v>67.132848225089603</v>
      </c>
      <c r="AK4184">
        <v>3.0885107310068398</v>
      </c>
      <c r="AL4184">
        <v>91.462183796914701</v>
      </c>
      <c r="AM4184">
        <v>80.043787112748603</v>
      </c>
      <c r="AN4184">
        <v>0.99999993842855905</v>
      </c>
    </row>
    <row r="4185" spans="1:40" x14ac:dyDescent="0.25">
      <c r="A4185" t="str">
        <f>"20190312161354620"</f>
        <v>20190312161354620</v>
      </c>
      <c r="B4185" t="str">
        <f>"1552378434610634"</f>
        <v>1552378434610634</v>
      </c>
      <c r="C4185" t="s">
        <v>40</v>
      </c>
      <c r="D4185">
        <v>6.1698779999999998</v>
      </c>
      <c r="E4185">
        <v>0.58926040000000002</v>
      </c>
      <c r="F4185" t="s">
        <v>44</v>
      </c>
      <c r="G4185">
        <v>0</v>
      </c>
      <c r="H4185">
        <v>0</v>
      </c>
      <c r="I4185">
        <v>0</v>
      </c>
      <c r="J4185">
        <v>-205.75649999999999</v>
      </c>
      <c r="K4185">
        <v>1.104535</v>
      </c>
      <c r="L4185">
        <v>140.1191</v>
      </c>
      <c r="M4185">
        <v>-0.90467969999999998</v>
      </c>
      <c r="N4185">
        <v>0</v>
      </c>
      <c r="O4185">
        <v>-0.4258518</v>
      </c>
      <c r="P4185">
        <v>-0.96402339999999997</v>
      </c>
      <c r="Q4185">
        <v>-3.60614E-2</v>
      </c>
      <c r="R4185">
        <v>-0.2633607</v>
      </c>
      <c r="S4185">
        <v>-3.0864410000000002</v>
      </c>
      <c r="T4185">
        <v>0.12705230000000001</v>
      </c>
      <c r="U4185">
        <v>-0.13645940000000001</v>
      </c>
      <c r="V4185">
        <v>0.17197989999999999</v>
      </c>
      <c r="W4185">
        <v>-2.4285009999999999E-2</v>
      </c>
      <c r="X4185">
        <v>0.98480109999999998</v>
      </c>
      <c r="Y4185">
        <v>0.38485249999999999</v>
      </c>
      <c r="Z4185">
        <v>-2.4950920000000001E-2</v>
      </c>
      <c r="AA4185">
        <v>0.92264080000000004</v>
      </c>
      <c r="AB4185">
        <v>21</v>
      </c>
      <c r="AC4185">
        <v>-3.0864410000000002</v>
      </c>
      <c r="AD4185">
        <v>0.12705230000000001</v>
      </c>
      <c r="AE4185">
        <v>-0.13645940000000001</v>
      </c>
      <c r="AF4185">
        <v>1.18902551743973</v>
      </c>
      <c r="AG4185">
        <v>0.12705230000000001</v>
      </c>
      <c r="AH4185">
        <v>2.8458311045608302</v>
      </c>
      <c r="AI4185">
        <v>87.641089188151795</v>
      </c>
      <c r="AJ4185">
        <v>67.324188855543895</v>
      </c>
      <c r="AK4185">
        <v>3.0868557860295298</v>
      </c>
      <c r="AL4185">
        <v>91.391565345521201</v>
      </c>
      <c r="AM4185">
        <v>80.0940947120353</v>
      </c>
      <c r="AN4185">
        <v>1.0000000271379501</v>
      </c>
    </row>
    <row r="4186" spans="1:40" x14ac:dyDescent="0.25">
      <c r="A4186" t="str">
        <f>"20190312161354642"</f>
        <v>20190312161354642</v>
      </c>
      <c r="B4186" t="str">
        <f>"1552378434640687"</f>
        <v>1552378434640687</v>
      </c>
      <c r="C4186" t="s">
        <v>40</v>
      </c>
      <c r="D4186">
        <v>6.1181070000000002</v>
      </c>
      <c r="E4186">
        <v>0.58754130000000004</v>
      </c>
      <c r="F4186" t="s">
        <v>44</v>
      </c>
      <c r="G4186">
        <v>0</v>
      </c>
      <c r="H4186">
        <v>0</v>
      </c>
      <c r="I4186">
        <v>0</v>
      </c>
      <c r="J4186">
        <v>-205.9453</v>
      </c>
      <c r="K4186">
        <v>1.1045659999999999</v>
      </c>
      <c r="L4186">
        <v>140.0427</v>
      </c>
      <c r="M4186">
        <v>-0.90874600000000005</v>
      </c>
      <c r="N4186">
        <v>0</v>
      </c>
      <c r="O4186">
        <v>-0.41710390000000003</v>
      </c>
      <c r="P4186">
        <v>-0.96649160000000001</v>
      </c>
      <c r="Q4186">
        <v>-3.4667000000000003E-2</v>
      </c>
      <c r="R4186">
        <v>-0.2543472</v>
      </c>
      <c r="S4186">
        <v>-3.08725</v>
      </c>
      <c r="T4186">
        <v>0.1124998</v>
      </c>
      <c r="U4186">
        <v>-0.1059113</v>
      </c>
      <c r="V4186">
        <v>0.17171620000000001</v>
      </c>
      <c r="W4186">
        <v>-2.2867180000000001E-2</v>
      </c>
      <c r="X4186">
        <v>0.98488100000000001</v>
      </c>
      <c r="Y4186">
        <v>0.38522420000000002</v>
      </c>
      <c r="Z4186">
        <v>-2.1815950000000001E-2</v>
      </c>
      <c r="AA4186">
        <v>0.92256510000000003</v>
      </c>
      <c r="AB4186">
        <v>21</v>
      </c>
      <c r="AC4186">
        <v>-3.08725</v>
      </c>
      <c r="AD4186">
        <v>0.1124998</v>
      </c>
      <c r="AE4186">
        <v>-0.1059113</v>
      </c>
      <c r="AF4186">
        <v>1.1900013890874399</v>
      </c>
      <c r="AG4186">
        <v>0.1124998</v>
      </c>
      <c r="AH4186">
        <v>2.8462193028034499</v>
      </c>
      <c r="AI4186">
        <v>87.911519611311903</v>
      </c>
      <c r="AJ4186">
        <v>67.310244956310299</v>
      </c>
      <c r="AK4186">
        <v>3.0870250777538302</v>
      </c>
      <c r="AL4186">
        <v>91.310307151045706</v>
      </c>
      <c r="AM4186">
        <v>80.109770003816706</v>
      </c>
      <c r="AN4186">
        <v>0.99999997271229502</v>
      </c>
    </row>
    <row r="4187" spans="1:40" x14ac:dyDescent="0.25">
      <c r="A4187" t="str">
        <f>"20190312161354663"</f>
        <v>20190312161354663</v>
      </c>
      <c r="B4187" t="str">
        <f>"1552378434660208"</f>
        <v>1552378434660208</v>
      </c>
      <c r="C4187" t="s">
        <v>40</v>
      </c>
      <c r="D4187">
        <v>5.787776</v>
      </c>
      <c r="E4187">
        <v>0.58729390000000004</v>
      </c>
      <c r="F4187" t="s">
        <v>44</v>
      </c>
      <c r="G4187">
        <v>0</v>
      </c>
      <c r="H4187">
        <v>0</v>
      </c>
      <c r="I4187">
        <v>0</v>
      </c>
      <c r="J4187">
        <v>-206.1301</v>
      </c>
      <c r="K4187">
        <v>1.1046039999999999</v>
      </c>
      <c r="L4187">
        <v>139.97</v>
      </c>
      <c r="M4187">
        <v>-0.91262719999999997</v>
      </c>
      <c r="N4187">
        <v>0</v>
      </c>
      <c r="O4187">
        <v>-0.4085416</v>
      </c>
      <c r="P4187">
        <v>-0.96884349999999997</v>
      </c>
      <c r="Q4187">
        <v>-3.3829480000000002E-2</v>
      </c>
      <c r="R4187">
        <v>-0.24535360000000001</v>
      </c>
      <c r="S4187">
        <v>-3.0843509999999998</v>
      </c>
      <c r="T4187">
        <v>0.1123325</v>
      </c>
      <c r="U4187">
        <v>-9.002686E-2</v>
      </c>
      <c r="V4187">
        <v>0.17163519999999999</v>
      </c>
      <c r="W4187">
        <v>-2.201092E-2</v>
      </c>
      <c r="X4187">
        <v>0.98491470000000003</v>
      </c>
      <c r="Y4187">
        <v>0.38127090000000002</v>
      </c>
      <c r="Z4187">
        <v>-2.145029E-2</v>
      </c>
      <c r="AA4187">
        <v>0.92421439999999999</v>
      </c>
      <c r="AB4187">
        <v>21</v>
      </c>
      <c r="AC4187">
        <v>-3.0843509999999998</v>
      </c>
      <c r="AD4187">
        <v>0.1123325</v>
      </c>
      <c r="AE4187">
        <v>-9.002686E-2</v>
      </c>
      <c r="AF4187">
        <v>1.1764865015112</v>
      </c>
      <c r="AG4187">
        <v>0.1123325</v>
      </c>
      <c r="AH4187">
        <v>2.8481605184800598</v>
      </c>
      <c r="AI4187">
        <v>87.912327961092004</v>
      </c>
      <c r="AJ4187">
        <v>67.556002898184602</v>
      </c>
      <c r="AK4187">
        <v>3.0836273150014302</v>
      </c>
      <c r="AL4187">
        <v>91.261234617825806</v>
      </c>
      <c r="AM4187">
        <v>80.114674827041696</v>
      </c>
      <c r="AN4187">
        <v>1.0000000443771799</v>
      </c>
    </row>
    <row r="4188" spans="1:40" x14ac:dyDescent="0.25">
      <c r="A4188" t="str">
        <f>"20190312161354686"</f>
        <v>20190312161354686</v>
      </c>
      <c r="B4188" t="str">
        <f>"1552378434680703"</f>
        <v>1552378434680703</v>
      </c>
      <c r="C4188" t="s">
        <v>40</v>
      </c>
      <c r="D4188">
        <v>5.809164</v>
      </c>
      <c r="E4188">
        <v>0.58595680000000006</v>
      </c>
      <c r="F4188" t="s">
        <v>44</v>
      </c>
      <c r="G4188">
        <v>0</v>
      </c>
      <c r="H4188">
        <v>0</v>
      </c>
      <c r="I4188">
        <v>0</v>
      </c>
      <c r="J4188">
        <v>-206.33519999999999</v>
      </c>
      <c r="K4188">
        <v>1.104652</v>
      </c>
      <c r="L4188">
        <v>139.89160000000001</v>
      </c>
      <c r="M4188">
        <v>-0.91681789999999996</v>
      </c>
      <c r="N4188">
        <v>0</v>
      </c>
      <c r="O4188">
        <v>-0.39904840000000003</v>
      </c>
      <c r="P4188">
        <v>-0.97148880000000004</v>
      </c>
      <c r="Q4188">
        <v>-3.2429979999999997E-2</v>
      </c>
      <c r="R4188">
        <v>-0.2348586</v>
      </c>
      <c r="S4188">
        <v>-3.0852200000000001</v>
      </c>
      <c r="T4188">
        <v>0.13602020000000001</v>
      </c>
      <c r="U4188">
        <v>-6.3201900000000005E-2</v>
      </c>
      <c r="V4188">
        <v>0.1721075</v>
      </c>
      <c r="W4188">
        <v>-2.06E-2</v>
      </c>
      <c r="X4188">
        <v>0.98486269999999998</v>
      </c>
      <c r="Y4188">
        <v>0.37948870000000001</v>
      </c>
      <c r="Z4188">
        <v>-2.5545829999999999E-2</v>
      </c>
      <c r="AA4188">
        <v>0.92484359999999999</v>
      </c>
      <c r="AB4188">
        <v>20</v>
      </c>
      <c r="AC4188">
        <v>-3.0852200000000001</v>
      </c>
      <c r="AD4188">
        <v>0.13602020000000001</v>
      </c>
      <c r="AE4188">
        <v>-6.3201900000000005E-2</v>
      </c>
      <c r="AF4188">
        <v>1.1710526790579301</v>
      </c>
      <c r="AG4188">
        <v>0.13602020000000001</v>
      </c>
      <c r="AH4188">
        <v>2.8485640458414498</v>
      </c>
      <c r="AI4188">
        <v>87.471228129282807</v>
      </c>
      <c r="AJ4188">
        <v>67.652298588426007</v>
      </c>
      <c r="AK4188">
        <v>3.0828854982300902</v>
      </c>
      <c r="AL4188">
        <v>91.180376617387907</v>
      </c>
      <c r="AM4188">
        <v>80.087498533252599</v>
      </c>
      <c r="AN4188">
        <v>0.99999994470376796</v>
      </c>
    </row>
    <row r="4189" spans="1:40" x14ac:dyDescent="0.25">
      <c r="A4189" t="str">
        <f>"20190312161354709"</f>
        <v>20190312161354709</v>
      </c>
      <c r="B4189" t="str">
        <f>"1552378434700224"</f>
        <v>1552378434700224</v>
      </c>
      <c r="C4189" t="s">
        <v>40</v>
      </c>
      <c r="D4189">
        <v>5.8339610000000004</v>
      </c>
      <c r="E4189">
        <v>0.58445069999999999</v>
      </c>
      <c r="F4189" t="s">
        <v>44</v>
      </c>
      <c r="G4189">
        <v>0</v>
      </c>
      <c r="H4189">
        <v>0</v>
      </c>
      <c r="I4189">
        <v>0</v>
      </c>
      <c r="J4189">
        <v>-206.53620000000001</v>
      </c>
      <c r="K4189">
        <v>1.1046940000000001</v>
      </c>
      <c r="L4189">
        <v>139.81720000000001</v>
      </c>
      <c r="M4189">
        <v>-0.92080150000000005</v>
      </c>
      <c r="N4189">
        <v>0</v>
      </c>
      <c r="O4189">
        <v>-0.3897679</v>
      </c>
      <c r="P4189">
        <v>-0.97393010000000002</v>
      </c>
      <c r="Q4189">
        <v>-3.1454940000000001E-2</v>
      </c>
      <c r="R4189">
        <v>-0.22465760000000001</v>
      </c>
      <c r="S4189">
        <v>-3.083405</v>
      </c>
      <c r="T4189">
        <v>0.1498024</v>
      </c>
      <c r="U4189">
        <v>-3.9947509999999999E-2</v>
      </c>
      <c r="V4189">
        <v>0.17251520000000001</v>
      </c>
      <c r="W4189">
        <v>-1.961394E-2</v>
      </c>
      <c r="X4189">
        <v>0.98481149999999995</v>
      </c>
      <c r="Y4189">
        <v>0.3769614</v>
      </c>
      <c r="Z4189">
        <v>-2.7675709999999999E-2</v>
      </c>
      <c r="AA4189">
        <v>0.92581539999999996</v>
      </c>
      <c r="AB4189">
        <v>20</v>
      </c>
      <c r="AC4189">
        <v>-3.083405</v>
      </c>
      <c r="AD4189">
        <v>0.1498024</v>
      </c>
      <c r="AE4189">
        <v>-3.9947509999999999E-2</v>
      </c>
      <c r="AF4189">
        <v>1.1624051149163599</v>
      </c>
      <c r="AG4189">
        <v>0.1498024</v>
      </c>
      <c r="AH4189">
        <v>2.8483457317041601</v>
      </c>
      <c r="AI4189">
        <v>87.212241212537705</v>
      </c>
      <c r="AJ4189">
        <v>67.799711116379896</v>
      </c>
      <c r="AK4189">
        <v>3.0800486712951098</v>
      </c>
      <c r="AL4189">
        <v>91.123868110426898</v>
      </c>
      <c r="AM4189">
        <v>80.063978240649206</v>
      </c>
      <c r="AN4189">
        <v>0.99999994570280504</v>
      </c>
    </row>
    <row r="4190" spans="1:40" x14ac:dyDescent="0.25">
      <c r="A4190" t="str">
        <f>"20190312161354734"</f>
        <v>20190312161354734</v>
      </c>
      <c r="B4190" t="str">
        <f>"1552378434730479"</f>
        <v>1552378434730479</v>
      </c>
      <c r="C4190" t="s">
        <v>40</v>
      </c>
      <c r="D4190">
        <v>5.6274550000000003</v>
      </c>
      <c r="E4190">
        <v>0.58256859999999999</v>
      </c>
      <c r="F4190" t="s">
        <v>44</v>
      </c>
      <c r="G4190">
        <v>0</v>
      </c>
      <c r="H4190">
        <v>0</v>
      </c>
      <c r="I4190">
        <v>0</v>
      </c>
      <c r="J4190">
        <v>-206.74199999999999</v>
      </c>
      <c r="K4190">
        <v>1.1047260000000001</v>
      </c>
      <c r="L4190">
        <v>139.7433</v>
      </c>
      <c r="M4190">
        <v>-0.92475719999999995</v>
      </c>
      <c r="N4190">
        <v>0</v>
      </c>
      <c r="O4190">
        <v>-0.3802874</v>
      </c>
      <c r="P4190">
        <v>-0.97620180000000001</v>
      </c>
      <c r="Q4190">
        <v>-3.2176219999999998E-2</v>
      </c>
      <c r="R4190">
        <v>-0.21446470000000001</v>
      </c>
      <c r="S4190">
        <v>-3.0809169999999999</v>
      </c>
      <c r="T4190">
        <v>0.15699260000000001</v>
      </c>
      <c r="U4190">
        <v>-1.9363399999999999E-2</v>
      </c>
      <c r="V4190">
        <v>0.17267550000000001</v>
      </c>
      <c r="W4190">
        <v>-2.0321849999999999E-2</v>
      </c>
      <c r="X4190">
        <v>0.98476909999999895</v>
      </c>
      <c r="Y4190">
        <v>0.3735482</v>
      </c>
      <c r="Z4190">
        <v>-2.8494350000000002E-2</v>
      </c>
      <c r="AA4190">
        <v>0.92717300000000002</v>
      </c>
      <c r="AB4190">
        <v>20</v>
      </c>
      <c r="AC4190">
        <v>-3.0809169999999999</v>
      </c>
      <c r="AD4190">
        <v>0.15699260000000001</v>
      </c>
      <c r="AE4190">
        <v>-1.9363399999999999E-2</v>
      </c>
      <c r="AF4190">
        <v>1.15085794808321</v>
      </c>
      <c r="AG4190">
        <v>0.15699260000000001</v>
      </c>
      <c r="AH4190">
        <v>2.84935930556906</v>
      </c>
      <c r="AI4190">
        <v>87.075430133998594</v>
      </c>
      <c r="AJ4190">
        <v>68.006187769483603</v>
      </c>
      <c r="AK4190">
        <v>3.0770065234500299</v>
      </c>
      <c r="AL4190">
        <v>91.164436402001002</v>
      </c>
      <c r="AM4190">
        <v>80.054510351101996</v>
      </c>
      <c r="AN4190">
        <v>0.99999999310124099</v>
      </c>
    </row>
    <row r="4191" spans="1:40" x14ac:dyDescent="0.25">
      <c r="A4191" t="str">
        <f>"20190312161354754"</f>
        <v>20190312161354754</v>
      </c>
      <c r="B4191" t="str">
        <f>"1552378434750000"</f>
        <v>1552378434750000</v>
      </c>
      <c r="C4191" t="s">
        <v>40</v>
      </c>
      <c r="D4191">
        <v>5.5145819999999999</v>
      </c>
      <c r="E4191">
        <v>0.58115459999999997</v>
      </c>
      <c r="F4191" t="s">
        <v>44</v>
      </c>
      <c r="G4191">
        <v>0</v>
      </c>
      <c r="H4191">
        <v>0</v>
      </c>
      <c r="I4191">
        <v>0</v>
      </c>
      <c r="J4191">
        <v>-206.928</v>
      </c>
      <c r="K4191">
        <v>1.1047579999999999</v>
      </c>
      <c r="L4191">
        <v>139.67859999999999</v>
      </c>
      <c r="M4191">
        <v>-0.92822859999999996</v>
      </c>
      <c r="N4191">
        <v>0</v>
      </c>
      <c r="O4191">
        <v>-0.37173390000000001</v>
      </c>
      <c r="P4191">
        <v>-0.97810249999999999</v>
      </c>
      <c r="Q4191">
        <v>-3.2156360000000002E-2</v>
      </c>
      <c r="R4191">
        <v>-0.2056248</v>
      </c>
      <c r="S4191">
        <v>-3.0777589999999999</v>
      </c>
      <c r="T4191">
        <v>0.15075910000000001</v>
      </c>
      <c r="U4191">
        <v>-1.739502E-3</v>
      </c>
      <c r="V4191">
        <v>0.1724947</v>
      </c>
      <c r="W4191">
        <v>-2.0286180000000001E-2</v>
      </c>
      <c r="X4191">
        <v>0.9848015</v>
      </c>
      <c r="Y4191">
        <v>0.37037419999999999</v>
      </c>
      <c r="Z4191">
        <v>-2.6926499999999999E-2</v>
      </c>
      <c r="AA4191">
        <v>0.92849219999999999</v>
      </c>
      <c r="AB4191">
        <v>20</v>
      </c>
      <c r="AC4191">
        <v>-3.0777589999999999</v>
      </c>
      <c r="AD4191">
        <v>0.15075910000000001</v>
      </c>
      <c r="AE4191">
        <v>-1.739502E-3</v>
      </c>
      <c r="AF4191">
        <v>1.13987516681777</v>
      </c>
      <c r="AG4191">
        <v>0.15075910000000001</v>
      </c>
      <c r="AH4191">
        <v>2.8509637947133202</v>
      </c>
      <c r="AI4191">
        <v>87.188982004111097</v>
      </c>
      <c r="AJ4191">
        <v>68.207432885489098</v>
      </c>
      <c r="AK4191">
        <v>3.07409145292179</v>
      </c>
      <c r="AL4191">
        <v>91.162392264065204</v>
      </c>
      <c r="AM4191">
        <v>80.065036541758502</v>
      </c>
      <c r="AN4191">
        <v>0.99999997251466599</v>
      </c>
    </row>
    <row r="4192" spans="1:40" x14ac:dyDescent="0.25">
      <c r="A4192" t="str">
        <f>"20190312161354778"</f>
        <v>20190312161354778</v>
      </c>
      <c r="B4192" t="str">
        <f>"1552378434770496"</f>
        <v>1552378434770496</v>
      </c>
      <c r="C4192" t="s">
        <v>40</v>
      </c>
      <c r="D4192">
        <v>5.755674</v>
      </c>
      <c r="E4192">
        <v>0.57992390000000005</v>
      </c>
      <c r="F4192" t="s">
        <v>44</v>
      </c>
      <c r="G4192">
        <v>0</v>
      </c>
      <c r="H4192">
        <v>0</v>
      </c>
      <c r="I4192">
        <v>0</v>
      </c>
      <c r="J4192">
        <v>-207.12970000000001</v>
      </c>
      <c r="K4192">
        <v>1.1047899999999999</v>
      </c>
      <c r="L4192">
        <v>139.61060000000001</v>
      </c>
      <c r="M4192">
        <v>-0.93188170000000004</v>
      </c>
      <c r="N4192">
        <v>0</v>
      </c>
      <c r="O4192">
        <v>-0.362479</v>
      </c>
      <c r="P4192">
        <v>-0.98012779999999999</v>
      </c>
      <c r="Q4192">
        <v>-3.1988240000000001E-2</v>
      </c>
      <c r="R4192">
        <v>-0.195772</v>
      </c>
      <c r="S4192">
        <v>-3.0751189999999999</v>
      </c>
      <c r="T4192">
        <v>0.14581350000000001</v>
      </c>
      <c r="U4192">
        <v>1.504517E-2</v>
      </c>
      <c r="V4192">
        <v>0.17261119999999999</v>
      </c>
      <c r="W4192">
        <v>-2.0107730000000001E-2</v>
      </c>
      <c r="X4192">
        <v>0.98478480000000002</v>
      </c>
      <c r="Y4192">
        <v>0.3662668</v>
      </c>
      <c r="Z4192">
        <v>-2.5559689999999999E-2</v>
      </c>
      <c r="AA4192">
        <v>0.9301587</v>
      </c>
      <c r="AB4192">
        <v>20</v>
      </c>
      <c r="AC4192">
        <v>-3.0751189999999999</v>
      </c>
      <c r="AD4192">
        <v>0.14581350000000001</v>
      </c>
      <c r="AE4192">
        <v>1.504517E-2</v>
      </c>
      <c r="AF4192">
        <v>1.1262701193709601</v>
      </c>
      <c r="AG4192">
        <v>0.14581350000000001</v>
      </c>
      <c r="AH4192">
        <v>2.8540705434082998</v>
      </c>
      <c r="AI4192">
        <v>87.279166533789507</v>
      </c>
      <c r="AJ4192">
        <v>68.464871927937395</v>
      </c>
      <c r="AK4192">
        <v>3.0717201411133002</v>
      </c>
      <c r="AL4192">
        <v>91.152165685736705</v>
      </c>
      <c r="AM4192">
        <v>80.058295233071405</v>
      </c>
      <c r="AN4192">
        <v>1.00000002474111</v>
      </c>
    </row>
    <row r="4193" spans="1:40" x14ac:dyDescent="0.25">
      <c r="A4193" t="str">
        <f>"20190312161354799"</f>
        <v>20190312161354799</v>
      </c>
      <c r="B4193" t="str">
        <f>"1552378434790020"</f>
        <v>1552378434790020</v>
      </c>
      <c r="C4193" t="s">
        <v>40</v>
      </c>
      <c r="D4193">
        <v>5.9629430000000001</v>
      </c>
      <c r="E4193">
        <v>0.57824819999999999</v>
      </c>
      <c r="F4193" t="s">
        <v>44</v>
      </c>
      <c r="G4193">
        <v>0</v>
      </c>
      <c r="H4193">
        <v>0</v>
      </c>
      <c r="I4193">
        <v>0</v>
      </c>
      <c r="J4193">
        <v>-207.32040000000001</v>
      </c>
      <c r="K4193">
        <v>1.1048169999999999</v>
      </c>
      <c r="L4193">
        <v>139.54820000000001</v>
      </c>
      <c r="M4193">
        <v>-0.93523339999999999</v>
      </c>
      <c r="N4193">
        <v>0</v>
      </c>
      <c r="O4193">
        <v>-0.3537419</v>
      </c>
      <c r="P4193">
        <v>-0.98195880000000002</v>
      </c>
      <c r="Q4193">
        <v>-3.1344129999999998E-2</v>
      </c>
      <c r="R4193">
        <v>-0.1864809</v>
      </c>
      <c r="S4193">
        <v>-3.072708</v>
      </c>
      <c r="T4193">
        <v>0.14106679999999999</v>
      </c>
      <c r="U4193">
        <v>3.6560059999999998E-2</v>
      </c>
      <c r="V4193">
        <v>0.17273829999999901</v>
      </c>
      <c r="W4193">
        <v>-1.9455440000000001E-2</v>
      </c>
      <c r="X4193">
        <v>0.98477559999999997</v>
      </c>
      <c r="Y4193">
        <v>0.36413679999999998</v>
      </c>
      <c r="Z4193">
        <v>-2.4323870000000001E-2</v>
      </c>
      <c r="AA4193">
        <v>0.93102779999999996</v>
      </c>
      <c r="AB4193">
        <v>20</v>
      </c>
      <c r="AC4193">
        <v>-3.072708</v>
      </c>
      <c r="AD4193">
        <v>0.14106679999999999</v>
      </c>
      <c r="AE4193">
        <v>3.6560059999999998E-2</v>
      </c>
      <c r="AF4193">
        <v>1.1188948255713</v>
      </c>
      <c r="AG4193">
        <v>0.14106679999999999</v>
      </c>
      <c r="AH4193">
        <v>2.8550431230070701</v>
      </c>
      <c r="AI4193">
        <v>87.366073814472699</v>
      </c>
      <c r="AJ4193">
        <v>68.599727562569896</v>
      </c>
      <c r="AK4193">
        <v>3.0697062900190399</v>
      </c>
      <c r="AL4193">
        <v>91.114784925733005</v>
      </c>
      <c r="AM4193">
        <v>80.051029910476998</v>
      </c>
      <c r="AN4193">
        <v>1.00000000839392</v>
      </c>
    </row>
    <row r="4194" spans="1:40" x14ac:dyDescent="0.25">
      <c r="A4194" t="str">
        <f>"20190312161354822"</f>
        <v>20190312161354822</v>
      </c>
      <c r="B4194" t="str">
        <f>"1552378434810516"</f>
        <v>1552378434810516</v>
      </c>
      <c r="C4194" t="s">
        <v>40</v>
      </c>
      <c r="D4194">
        <v>6.0141980000000004</v>
      </c>
      <c r="E4194">
        <v>0.57687469999999996</v>
      </c>
      <c r="F4194" t="s">
        <v>44</v>
      </c>
      <c r="G4194">
        <v>0</v>
      </c>
      <c r="H4194">
        <v>0</v>
      </c>
      <c r="I4194">
        <v>0</v>
      </c>
      <c r="J4194">
        <v>-207.51669999999999</v>
      </c>
      <c r="K4194">
        <v>1.1048469999999999</v>
      </c>
      <c r="L4194">
        <v>139.48599999999999</v>
      </c>
      <c r="M4194">
        <v>-0.93857820000000003</v>
      </c>
      <c r="N4194">
        <v>0</v>
      </c>
      <c r="O4194">
        <v>-0.34476879999999999</v>
      </c>
      <c r="P4194">
        <v>-0.98374609999999996</v>
      </c>
      <c r="Q4194">
        <v>-3.0758810000000001E-2</v>
      </c>
      <c r="R4194">
        <v>-0.17691189999999901</v>
      </c>
      <c r="S4194">
        <v>-3.0691679999999999</v>
      </c>
      <c r="T4194">
        <v>0.12698980000000001</v>
      </c>
      <c r="U4194">
        <v>5.264282E-2</v>
      </c>
      <c r="V4194">
        <v>0.17290939999999999</v>
      </c>
      <c r="W4194">
        <v>-1.886374E-2</v>
      </c>
      <c r="X4194">
        <v>0.98475710000000005</v>
      </c>
      <c r="Y4194">
        <v>0.36025679999999999</v>
      </c>
      <c r="Z4194">
        <v>-2.1493640000000001E-2</v>
      </c>
      <c r="AA4194">
        <v>0.93260549999999998</v>
      </c>
      <c r="AB4194">
        <v>20</v>
      </c>
      <c r="AC4194">
        <v>-3.0691679999999999</v>
      </c>
      <c r="AD4194">
        <v>0.12698980000000001</v>
      </c>
      <c r="AE4194">
        <v>5.264282E-2</v>
      </c>
      <c r="AF4194">
        <v>1.1057840430989001</v>
      </c>
      <c r="AG4194">
        <v>0.12698980000000001</v>
      </c>
      <c r="AH4194">
        <v>2.85790743745605</v>
      </c>
      <c r="AI4194">
        <v>87.626981320172504</v>
      </c>
      <c r="AJ4194">
        <v>68.847505671806005</v>
      </c>
      <c r="AK4194">
        <v>3.06700500168207</v>
      </c>
      <c r="AL4194">
        <v>91.080876772056598</v>
      </c>
      <c r="AM4194">
        <v>80.041189141293202</v>
      </c>
      <c r="AN4194">
        <v>1.00000002364777</v>
      </c>
    </row>
    <row r="4195" spans="1:40" x14ac:dyDescent="0.25">
      <c r="A4195" t="str">
        <f>"20190312161354842"</f>
        <v>20190312161354842</v>
      </c>
      <c r="B4195" t="str">
        <f>"1552378434840768"</f>
        <v>1552378434840768</v>
      </c>
      <c r="C4195" t="s">
        <v>40</v>
      </c>
      <c r="D4195">
        <v>6.047396</v>
      </c>
      <c r="E4195">
        <v>0.57496990000000003</v>
      </c>
      <c r="F4195" t="s">
        <v>44</v>
      </c>
      <c r="G4195">
        <v>0</v>
      </c>
      <c r="H4195">
        <v>0</v>
      </c>
      <c r="I4195">
        <v>0</v>
      </c>
      <c r="J4195">
        <v>-207.70079999999999</v>
      </c>
      <c r="K4195">
        <v>1.1048770000000001</v>
      </c>
      <c r="L4195">
        <v>139.42959999999999</v>
      </c>
      <c r="M4195">
        <v>-0.9416234</v>
      </c>
      <c r="N4195">
        <v>0</v>
      </c>
      <c r="O4195">
        <v>-0.33636280000000002</v>
      </c>
      <c r="P4195">
        <v>-0.98529719999999998</v>
      </c>
      <c r="Q4195">
        <v>-3.0255170000000001E-2</v>
      </c>
      <c r="R4195">
        <v>-0.1681494</v>
      </c>
      <c r="S4195">
        <v>-3.066055</v>
      </c>
      <c r="T4195">
        <v>0.1143811</v>
      </c>
      <c r="U4195">
        <v>7.1777339999999995E-2</v>
      </c>
      <c r="V4195">
        <v>0.17288190000000001</v>
      </c>
      <c r="W4195">
        <v>-1.8352139999999999E-2</v>
      </c>
      <c r="X4195">
        <v>0.98477150000000002</v>
      </c>
      <c r="Y4195">
        <v>0.35786859999999998</v>
      </c>
      <c r="Z4195">
        <v>-1.9039500000000001E-2</v>
      </c>
      <c r="AA4195">
        <v>0.93357780000000001</v>
      </c>
      <c r="AB4195">
        <v>20</v>
      </c>
      <c r="AC4195">
        <v>-3.066055</v>
      </c>
      <c r="AD4195">
        <v>0.1143811</v>
      </c>
      <c r="AE4195">
        <v>7.1777339999999995E-2</v>
      </c>
      <c r="AF4195">
        <v>1.0974804255741799</v>
      </c>
      <c r="AG4195">
        <v>0.1143811</v>
      </c>
      <c r="AH4195">
        <v>2.8592429741701801</v>
      </c>
      <c r="AI4195">
        <v>87.861152360281196</v>
      </c>
      <c r="AJ4195">
        <v>69.001399323384902</v>
      </c>
      <c r="AK4195">
        <v>3.0647702533627599</v>
      </c>
      <c r="AL4195">
        <v>91.051559274199306</v>
      </c>
      <c r="AM4195">
        <v>80.042884005540898</v>
      </c>
      <c r="AN4195">
        <v>0.99999992980121699</v>
      </c>
    </row>
    <row r="4196" spans="1:40" x14ac:dyDescent="0.25">
      <c r="A4196" t="str">
        <f>"20190312161354866"</f>
        <v>20190312161354866</v>
      </c>
      <c r="B4196" t="str">
        <f>"1552378434860288"</f>
        <v>1552378434860288</v>
      </c>
      <c r="C4196" t="s">
        <v>40</v>
      </c>
      <c r="D4196">
        <v>6.1237949999999897</v>
      </c>
      <c r="E4196">
        <v>0.5738799</v>
      </c>
      <c r="F4196" t="s">
        <v>44</v>
      </c>
      <c r="G4196">
        <v>0</v>
      </c>
      <c r="H4196">
        <v>0</v>
      </c>
      <c r="I4196">
        <v>0</v>
      </c>
      <c r="J4196">
        <v>-207.90860000000001</v>
      </c>
      <c r="K4196">
        <v>1.1049150000000001</v>
      </c>
      <c r="L4196">
        <v>139.36789999999999</v>
      </c>
      <c r="M4196">
        <v>-0.94495370000000001</v>
      </c>
      <c r="N4196">
        <v>0</v>
      </c>
      <c r="O4196">
        <v>-0.32689030000000002</v>
      </c>
      <c r="P4196">
        <v>-0.98688200000000004</v>
      </c>
      <c r="Q4196">
        <v>-3.031507E-2</v>
      </c>
      <c r="R4196">
        <v>-0.15857099999999999</v>
      </c>
      <c r="S4196">
        <v>-3.0620120000000002</v>
      </c>
      <c r="T4196">
        <v>9.3661549999999996E-2</v>
      </c>
      <c r="U4196">
        <v>8.4167480000000003E-2</v>
      </c>
      <c r="V4196">
        <v>0.17255809999999999</v>
      </c>
      <c r="W4196">
        <v>-1.8399720000000001E-2</v>
      </c>
      <c r="X4196">
        <v>0.98482749999999997</v>
      </c>
      <c r="Y4196">
        <v>0.35245389999999999</v>
      </c>
      <c r="Z4196">
        <v>-1.525401E-2</v>
      </c>
      <c r="AA4196">
        <v>0.9357048</v>
      </c>
      <c r="AB4196">
        <v>20</v>
      </c>
      <c r="AC4196">
        <v>-3.0620120000000002</v>
      </c>
      <c r="AD4196">
        <v>9.3661549999999996E-2</v>
      </c>
      <c r="AE4196">
        <v>8.4167480000000003E-2</v>
      </c>
      <c r="AF4196">
        <v>1.0795779526799301</v>
      </c>
      <c r="AG4196">
        <v>9.3661549999999996E-2</v>
      </c>
      <c r="AH4196">
        <v>2.8635629379271901</v>
      </c>
      <c r="AI4196">
        <v>88.246994091779698</v>
      </c>
      <c r="AJ4196">
        <v>69.343299102433406</v>
      </c>
      <c r="AK4196">
        <v>3.0617403125234501</v>
      </c>
      <c r="AL4196">
        <v>91.0542857663647</v>
      </c>
      <c r="AM4196">
        <v>80.061714916612303</v>
      </c>
      <c r="AN4196">
        <v>1.0000000261639601</v>
      </c>
    </row>
    <row r="4197" spans="1:40" x14ac:dyDescent="0.25">
      <c r="A4197" t="str">
        <f>"20190312161354889"</f>
        <v>20190312161354889</v>
      </c>
      <c r="B4197" t="str">
        <f>"1552378434880785"</f>
        <v>1552378434880785</v>
      </c>
      <c r="C4197" t="s">
        <v>40</v>
      </c>
      <c r="D4197">
        <v>6.0111270000000001</v>
      </c>
      <c r="E4197">
        <v>0.57331290000000001</v>
      </c>
      <c r="F4197" t="s">
        <v>75</v>
      </c>
      <c r="G4197">
        <v>-511.98009999999999</v>
      </c>
      <c r="H4197">
        <v>9.0919460000000001</v>
      </c>
      <c r="I4197">
        <v>149.8432</v>
      </c>
      <c r="J4197">
        <v>-208.11109999999999</v>
      </c>
      <c r="K4197">
        <v>1.1049450000000001</v>
      </c>
      <c r="L4197">
        <v>139.31</v>
      </c>
      <c r="M4197">
        <v>-0.94809169999999998</v>
      </c>
      <c r="N4197">
        <v>0</v>
      </c>
      <c r="O4197">
        <v>-0.31767450000000003</v>
      </c>
      <c r="P4197">
        <v>-0.98819009999999996</v>
      </c>
      <c r="Q4197">
        <v>-2.9548769999999999E-2</v>
      </c>
      <c r="R4197">
        <v>-0.150357399999999</v>
      </c>
      <c r="S4197">
        <v>-3.0592649999999999</v>
      </c>
      <c r="T4197">
        <v>8.0357910000000005E-2</v>
      </c>
      <c r="U4197">
        <v>0.1053925</v>
      </c>
      <c r="V4197">
        <v>0.17117939999999901</v>
      </c>
      <c r="W4197">
        <v>-1.760569E-2</v>
      </c>
      <c r="X4197">
        <v>0.98508260000000003</v>
      </c>
      <c r="Y4197">
        <v>0.349937</v>
      </c>
      <c r="Z4197">
        <v>-1.2835569999999999E-2</v>
      </c>
      <c r="AA4197">
        <v>0.93668530000000005</v>
      </c>
      <c r="AB4197">
        <v>20</v>
      </c>
      <c r="AC4197">
        <v>-303.86900000000003</v>
      </c>
      <c r="AD4197">
        <v>7.9870009999999896</v>
      </c>
      <c r="AE4197">
        <v>10.5331999999999</v>
      </c>
      <c r="AF4197">
        <v>106.45533579687201</v>
      </c>
      <c r="AG4197">
        <v>7.9870009999999896</v>
      </c>
      <c r="AH4197">
        <v>284.58237209886198</v>
      </c>
      <c r="AI4197">
        <v>88.494229482500103</v>
      </c>
      <c r="AJ4197">
        <v>69.490400761141899</v>
      </c>
      <c r="AK4197">
        <v>303.94679997330701</v>
      </c>
      <c r="AL4197">
        <v>91.008783812418699</v>
      </c>
      <c r="AM4197">
        <v>80.142058284608098</v>
      </c>
      <c r="AN4197">
        <v>1.0000000380637399</v>
      </c>
    </row>
    <row r="4198" spans="1:40" x14ac:dyDescent="0.25">
      <c r="A4198" t="str">
        <f>"20190312161354911"</f>
        <v>20190312161354911</v>
      </c>
      <c r="B4198" t="str">
        <f>"1552378434900306"</f>
        <v>1552378434900306</v>
      </c>
      <c r="C4198" t="s">
        <v>40</v>
      </c>
      <c r="D4198">
        <v>5.9657260000000001</v>
      </c>
      <c r="E4198">
        <v>0.54705999999999999</v>
      </c>
      <c r="F4198" t="s">
        <v>75</v>
      </c>
      <c r="G4198">
        <v>-511.0616</v>
      </c>
      <c r="H4198">
        <v>8.7049620000000001</v>
      </c>
      <c r="I4198">
        <v>151.82169999999999</v>
      </c>
      <c r="J4198">
        <v>-208.30609999999999</v>
      </c>
      <c r="K4198">
        <v>1.1049770000000001</v>
      </c>
      <c r="L4198">
        <v>139.25640000000001</v>
      </c>
      <c r="M4198">
        <v>-0.95101709999999995</v>
      </c>
      <c r="N4198">
        <v>0</v>
      </c>
      <c r="O4198">
        <v>-0.30880669999999999</v>
      </c>
      <c r="P4198">
        <v>-0.98937140000000001</v>
      </c>
      <c r="Q4198">
        <v>-2.911449E-2</v>
      </c>
      <c r="R4198">
        <v>-0.14246629999999999</v>
      </c>
      <c r="S4198">
        <v>-3.0573579999999998</v>
      </c>
      <c r="T4198">
        <v>7.6699260000000005E-2</v>
      </c>
      <c r="U4198">
        <v>0.1262665</v>
      </c>
      <c r="V4198">
        <v>0.16985220000000001</v>
      </c>
      <c r="W4198">
        <v>-1.714574E-2</v>
      </c>
      <c r="X4198">
        <v>0.98532039999999999</v>
      </c>
      <c r="Y4198">
        <v>0.34761779999999998</v>
      </c>
      <c r="Z4198">
        <v>-1.201636E-2</v>
      </c>
      <c r="AA4198">
        <v>0.93755929999999998</v>
      </c>
      <c r="AB4198">
        <v>20</v>
      </c>
      <c r="AC4198">
        <v>-302.75549999999998</v>
      </c>
      <c r="AD4198">
        <v>7.5999850000000002</v>
      </c>
      <c r="AE4198">
        <v>12.565299999999899</v>
      </c>
      <c r="AF4198">
        <v>105.38725097651999</v>
      </c>
      <c r="AG4198">
        <v>7.5999850000000002</v>
      </c>
      <c r="AH4198">
        <v>283.89592502210297</v>
      </c>
      <c r="AI4198">
        <v>88.562355304354398</v>
      </c>
      <c r="AJ4198">
        <v>69.634172403829893</v>
      </c>
      <c r="AK4198">
        <v>302.92099412972999</v>
      </c>
      <c r="AL4198">
        <v>90.982426659553397</v>
      </c>
      <c r="AM4198">
        <v>80.219322538786699</v>
      </c>
      <c r="AN4198">
        <v>1.00000001845057</v>
      </c>
    </row>
    <row r="4199" spans="1:40" x14ac:dyDescent="0.25">
      <c r="A4199" t="str">
        <f>"20190312161354933"</f>
        <v>20190312161354933</v>
      </c>
      <c r="B4199" t="str">
        <f>"1552378434930090"</f>
        <v>1552378434930090</v>
      </c>
      <c r="C4199" t="s">
        <v>40</v>
      </c>
      <c r="D4199">
        <v>6.0602130000000001</v>
      </c>
      <c r="E4199">
        <v>0.54563379999999995</v>
      </c>
      <c r="F4199" t="s">
        <v>42</v>
      </c>
      <c r="G4199">
        <v>-223.54519999999999</v>
      </c>
      <c r="H4199" s="1">
        <v>-2.864858E-6</v>
      </c>
      <c r="I4199">
        <v>138.97659999999999</v>
      </c>
      <c r="J4199">
        <v>-208.50380000000001</v>
      </c>
      <c r="K4199">
        <v>1.1050040000000001</v>
      </c>
      <c r="L4199">
        <v>139.2039</v>
      </c>
      <c r="M4199">
        <v>-0.95388569999999995</v>
      </c>
      <c r="N4199">
        <v>0</v>
      </c>
      <c r="O4199">
        <v>-0.2998287</v>
      </c>
      <c r="P4199">
        <v>-0.99049069999999995</v>
      </c>
      <c r="Q4199">
        <v>-2.9064550000000001E-2</v>
      </c>
      <c r="R4199">
        <v>-0.1344746</v>
      </c>
      <c r="S4199">
        <v>-3.0178069999999999</v>
      </c>
      <c r="T4199">
        <v>-0.2188203</v>
      </c>
      <c r="U4199">
        <v>-5.5389399999999998E-2</v>
      </c>
      <c r="V4199">
        <v>0.16852120000000001</v>
      </c>
      <c r="W4199">
        <v>-1.707121E-2</v>
      </c>
      <c r="X4199">
        <v>0.98555020000000004</v>
      </c>
      <c r="Y4199">
        <v>0.28079900000000002</v>
      </c>
      <c r="Z4199">
        <v>3.1607650000000001E-2</v>
      </c>
      <c r="AA4199">
        <v>0.95924600000000004</v>
      </c>
      <c r="AB4199">
        <v>20</v>
      </c>
      <c r="AC4199">
        <v>-15.0413999999999</v>
      </c>
      <c r="AD4199">
        <v>-1.105006864858</v>
      </c>
      <c r="AE4199">
        <v>-0.22730000000001299</v>
      </c>
      <c r="AF4199">
        <v>4.2704226463008901</v>
      </c>
      <c r="AG4199">
        <v>-1.105006864858</v>
      </c>
      <c r="AH4199">
        <v>14.3400283638614</v>
      </c>
      <c r="AI4199">
        <v>94.223758823832199</v>
      </c>
      <c r="AJ4199">
        <v>73.416607260303905</v>
      </c>
      <c r="AK4199">
        <v>15.003131780590699</v>
      </c>
      <c r="AL4199">
        <v>90.978155789447896</v>
      </c>
      <c r="AM4199">
        <v>80.296722792480296</v>
      </c>
      <c r="AN4199">
        <v>1.0000000088901699</v>
      </c>
    </row>
    <row r="4200" spans="1:40" x14ac:dyDescent="0.25">
      <c r="A4200" t="str">
        <f>"20190312161354956"</f>
        <v>20190312161354956</v>
      </c>
      <c r="B4200" t="str">
        <f>"1552378434950586"</f>
        <v>1552378434950586</v>
      </c>
      <c r="C4200" t="s">
        <v>40</v>
      </c>
      <c r="D4200">
        <v>5.8737349999999999</v>
      </c>
      <c r="E4200">
        <v>0.54716889999999996</v>
      </c>
      <c r="F4200" t="s">
        <v>42</v>
      </c>
      <c r="G4200">
        <v>-223.37370000000001</v>
      </c>
      <c r="H4200" s="1">
        <v>-2.9350950000000001E-6</v>
      </c>
      <c r="I4200">
        <v>138.99549999999999</v>
      </c>
      <c r="J4200">
        <v>-208.70359999999999</v>
      </c>
      <c r="K4200">
        <v>1.105037</v>
      </c>
      <c r="L4200">
        <v>139.15289999999999</v>
      </c>
      <c r="M4200">
        <v>-0.95668779999999998</v>
      </c>
      <c r="N4200">
        <v>0</v>
      </c>
      <c r="O4200">
        <v>-0.29076449999999998</v>
      </c>
      <c r="P4200">
        <v>-0.9915659</v>
      </c>
      <c r="Q4200">
        <v>-2.890272E-2</v>
      </c>
      <c r="R4200">
        <v>-0.12634189999999901</v>
      </c>
      <c r="S4200">
        <v>-3.0164949999999999</v>
      </c>
      <c r="T4200">
        <v>-0.22416140000000001</v>
      </c>
      <c r="U4200">
        <v>-4.2266850000000002E-2</v>
      </c>
      <c r="V4200">
        <v>0.16726260000000001</v>
      </c>
      <c r="W4200">
        <v>-1.688622E-2</v>
      </c>
      <c r="X4200">
        <v>0.98576779999999997</v>
      </c>
      <c r="Y4200">
        <v>0.2758179</v>
      </c>
      <c r="Z4200">
        <v>3.1562760000000002E-2</v>
      </c>
      <c r="AA4200">
        <v>0.96069159999999998</v>
      </c>
      <c r="AB4200">
        <v>20</v>
      </c>
      <c r="AC4200">
        <v>-14.6701</v>
      </c>
      <c r="AD4200">
        <v>-1.105039935095</v>
      </c>
      <c r="AE4200">
        <v>-0.15739999999999499</v>
      </c>
      <c r="AF4200">
        <v>4.0921660638743802</v>
      </c>
      <c r="AG4200">
        <v>-1.105039935095</v>
      </c>
      <c r="AH4200">
        <v>14.002470727369801</v>
      </c>
      <c r="AI4200">
        <v>94.3318248553026</v>
      </c>
      <c r="AJ4200">
        <v>73.709209047837703</v>
      </c>
      <c r="AK4200">
        <v>14.6299734389139</v>
      </c>
      <c r="AL4200">
        <v>90.967555086402996</v>
      </c>
      <c r="AM4200">
        <v>80.369915415060106</v>
      </c>
      <c r="AN4200">
        <v>1.0000000386507399</v>
      </c>
    </row>
    <row r="4201" spans="1:40" x14ac:dyDescent="0.25">
      <c r="A4201" t="str">
        <f>"20190312161354980"</f>
        <v>20190312161354980</v>
      </c>
      <c r="B4201" t="str">
        <f>"1552378434970107"</f>
        <v>1552378434970107</v>
      </c>
      <c r="C4201" t="s">
        <v>40</v>
      </c>
      <c r="D4201">
        <v>5.7066460000000001</v>
      </c>
      <c r="E4201">
        <v>0.54651859999999997</v>
      </c>
      <c r="F4201" t="s">
        <v>42</v>
      </c>
      <c r="G4201">
        <v>-231.58750000000001</v>
      </c>
      <c r="H4201" s="1">
        <v>-3.6809889999999999E-6</v>
      </c>
      <c r="I4201">
        <v>139.1104</v>
      </c>
      <c r="J4201">
        <v>-208.91640000000001</v>
      </c>
      <c r="K4201">
        <v>1.1050709999999999</v>
      </c>
      <c r="L4201">
        <v>139.10079999999999</v>
      </c>
      <c r="M4201">
        <v>-0.95956319999999995</v>
      </c>
      <c r="N4201">
        <v>0</v>
      </c>
      <c r="O4201">
        <v>-0.2811303</v>
      </c>
      <c r="P4201">
        <v>-0.99258670000000004</v>
      </c>
      <c r="Q4201">
        <v>-2.827489E-2</v>
      </c>
      <c r="R4201">
        <v>-0.1182038</v>
      </c>
      <c r="S4201">
        <v>-3.0205540000000002</v>
      </c>
      <c r="T4201">
        <v>-0.14585970000000001</v>
      </c>
      <c r="U4201">
        <v>-5.6152340000000002E-3</v>
      </c>
      <c r="V4201">
        <v>0.16545109999999999</v>
      </c>
      <c r="W4201">
        <v>-1.622581E-2</v>
      </c>
      <c r="X4201">
        <v>0.98608450000000003</v>
      </c>
      <c r="Y4201">
        <v>0.278729</v>
      </c>
      <c r="Z4201">
        <v>2.0154229999999999E-2</v>
      </c>
      <c r="AA4201">
        <v>0.96015830000000002</v>
      </c>
      <c r="AB4201">
        <v>20</v>
      </c>
      <c r="AC4201">
        <v>-22.671099999999999</v>
      </c>
      <c r="AD4201">
        <v>-1.105074680989</v>
      </c>
      <c r="AE4201">
        <v>9.6000000000060395E-3</v>
      </c>
      <c r="AF4201">
        <v>6.3682660856905802</v>
      </c>
      <c r="AG4201">
        <v>-1.105074680989</v>
      </c>
      <c r="AH4201">
        <v>21.702312119002901</v>
      </c>
      <c r="AI4201">
        <v>92.7972226445019</v>
      </c>
      <c r="AJ4201">
        <v>73.646348043134495</v>
      </c>
      <c r="AK4201">
        <v>22.644344863549001</v>
      </c>
      <c r="AL4201">
        <v>90.929711237661195</v>
      </c>
      <c r="AM4201">
        <v>80.475293568778298</v>
      </c>
      <c r="AN4201">
        <v>0.99999999227080805</v>
      </c>
    </row>
    <row r="4202" spans="1:40" x14ac:dyDescent="0.25">
      <c r="A4202" t="str">
        <f>"20190312161355003"</f>
        <v>20190312161355003</v>
      </c>
      <c r="B4202" t="str">
        <f>"1552378435000363"</f>
        <v>1552378435000363</v>
      </c>
      <c r="C4202" t="s">
        <v>40</v>
      </c>
      <c r="D4202">
        <v>5.6611039999999999</v>
      </c>
      <c r="E4202">
        <v>0.54672690000000002</v>
      </c>
      <c r="F4202" t="s">
        <v>42</v>
      </c>
      <c r="G4202">
        <v>-245.14179999999999</v>
      </c>
      <c r="H4202" s="1">
        <v>-2.1287189999999999E-6</v>
      </c>
      <c r="I4202">
        <v>139.2654</v>
      </c>
      <c r="J4202">
        <v>-209.11660000000001</v>
      </c>
      <c r="K4202">
        <v>1.105102</v>
      </c>
      <c r="L4202">
        <v>139.05369999999999</v>
      </c>
      <c r="M4202">
        <v>-0.96216420000000002</v>
      </c>
      <c r="N4202">
        <v>0</v>
      </c>
      <c r="O4202">
        <v>-0.27209549999999999</v>
      </c>
      <c r="P4202">
        <v>-0.99347359999999896</v>
      </c>
      <c r="Q4202">
        <v>-2.7584399999999999E-2</v>
      </c>
      <c r="R4202">
        <v>-0.110678</v>
      </c>
      <c r="S4202">
        <v>-3.0214080000000001</v>
      </c>
      <c r="T4202">
        <v>-9.2169639999999997E-2</v>
      </c>
      <c r="U4202">
        <v>1.3732909999999999E-2</v>
      </c>
      <c r="V4202">
        <v>0.16366820000000001</v>
      </c>
      <c r="W4202">
        <v>-1.5502129999999999E-2</v>
      </c>
      <c r="X4202">
        <v>0.98639359999999998</v>
      </c>
      <c r="Y4202">
        <v>0.27624140000000003</v>
      </c>
      <c r="Z4202">
        <v>1.243319E-2</v>
      </c>
      <c r="AA4202">
        <v>0.96100779999999997</v>
      </c>
      <c r="AB4202">
        <v>20</v>
      </c>
      <c r="AC4202">
        <v>-36.025199999999899</v>
      </c>
      <c r="AD4202">
        <v>-1.105104128719</v>
      </c>
      <c r="AE4202">
        <v>0.21170000000000699</v>
      </c>
      <c r="AF4202">
        <v>9.9975986887079493</v>
      </c>
      <c r="AG4202">
        <v>-1.105104128719</v>
      </c>
      <c r="AH4202">
        <v>34.5755521331822</v>
      </c>
      <c r="AI4202">
        <v>91.758668489830399</v>
      </c>
      <c r="AJ4202">
        <v>73.872655589888296</v>
      </c>
      <c r="AK4202">
        <v>36.008916117958499</v>
      </c>
      <c r="AL4202">
        <v>90.888242232518706</v>
      </c>
      <c r="AM4202">
        <v>80.578981037838503</v>
      </c>
      <c r="AN4202">
        <v>0.99999996492336696</v>
      </c>
    </row>
    <row r="4203" spans="1:40" x14ac:dyDescent="0.25">
      <c r="A4203" t="str">
        <f>"20190312161355024"</f>
        <v>20190312161355024</v>
      </c>
      <c r="B4203" t="str">
        <f>"1552378435019883"</f>
        <v>1552378435019883</v>
      </c>
      <c r="C4203" t="s">
        <v>40</v>
      </c>
      <c r="D4203">
        <v>5.6844510000000001</v>
      </c>
      <c r="E4203">
        <v>0.54649609999999904</v>
      </c>
      <c r="F4203" t="s">
        <v>42</v>
      </c>
      <c r="G4203">
        <v>-249.62649999999999</v>
      </c>
      <c r="H4203" s="1">
        <v>-1.511673E-7</v>
      </c>
      <c r="I4203">
        <v>139.5677</v>
      </c>
      <c r="J4203">
        <v>-209.3013</v>
      </c>
      <c r="K4203">
        <v>1.1051519999999999</v>
      </c>
      <c r="L4203">
        <v>139.012</v>
      </c>
      <c r="M4203">
        <v>-0.96447210000000005</v>
      </c>
      <c r="N4203">
        <v>0</v>
      </c>
      <c r="O4203">
        <v>-0.26379859999999999</v>
      </c>
      <c r="P4203">
        <v>-0.9941586</v>
      </c>
      <c r="Q4203">
        <v>-2.7087259999999998E-2</v>
      </c>
      <c r="R4203">
        <v>-0.1044752</v>
      </c>
      <c r="S4203">
        <v>-3.0216980000000002</v>
      </c>
      <c r="T4203">
        <v>-8.2431439999999995E-2</v>
      </c>
      <c r="U4203">
        <v>3.8345339999999999E-2</v>
      </c>
      <c r="V4203">
        <v>0.1613405</v>
      </c>
      <c r="W4203">
        <v>-1.4962400000000001E-2</v>
      </c>
      <c r="X4203">
        <v>0.98678540000000003</v>
      </c>
      <c r="Y4203">
        <v>0.27584449999999999</v>
      </c>
      <c r="Z4203">
        <v>1.089525E-2</v>
      </c>
      <c r="AA4203">
        <v>0.96114049999999995</v>
      </c>
      <c r="AB4203">
        <v>20</v>
      </c>
      <c r="AC4203">
        <v>-40.325200000000002</v>
      </c>
      <c r="AD4203">
        <v>-1.1051521511672999</v>
      </c>
      <c r="AE4203">
        <v>0.55570000000000097</v>
      </c>
      <c r="AF4203">
        <v>11.166442204383999</v>
      </c>
      <c r="AG4203">
        <v>-1.1051521511672999</v>
      </c>
      <c r="AH4203">
        <v>38.720810325299503</v>
      </c>
      <c r="AI4203">
        <v>91.570883991671593</v>
      </c>
      <c r="AJ4203">
        <v>73.913312356675604</v>
      </c>
      <c r="AK4203">
        <v>40.313917510320202</v>
      </c>
      <c r="AL4203">
        <v>90.857314337721604</v>
      </c>
      <c r="AM4203">
        <v>80.714239396488907</v>
      </c>
      <c r="AN4203">
        <v>1.0000000280035799</v>
      </c>
    </row>
    <row r="4204" spans="1:40" x14ac:dyDescent="0.25">
      <c r="A4204" t="str">
        <f>"20190312161355044"</f>
        <v>20190312161355044</v>
      </c>
      <c r="B4204" t="str">
        <f>"1552378435039909"</f>
        <v>1552378435039909</v>
      </c>
      <c r="C4204" t="s">
        <v>40</v>
      </c>
      <c r="D4204">
        <v>5.7307040000000002</v>
      </c>
      <c r="E4204">
        <v>0.54610219999999998</v>
      </c>
      <c r="F4204" t="s">
        <v>42</v>
      </c>
      <c r="G4204">
        <v>-249.5522</v>
      </c>
      <c r="H4204" s="1">
        <v>-2.098238E-7</v>
      </c>
      <c r="I4204">
        <v>139.74930000000001</v>
      </c>
      <c r="J4204">
        <v>-209.48560000000001</v>
      </c>
      <c r="K4204">
        <v>1.1052059999999999</v>
      </c>
      <c r="L4204">
        <v>138.97200000000001</v>
      </c>
      <c r="M4204">
        <v>-0.96668469999999995</v>
      </c>
      <c r="N4204">
        <v>0</v>
      </c>
      <c r="O4204">
        <v>-0.25557279999999999</v>
      </c>
      <c r="P4204">
        <v>-0.99474949999999995</v>
      </c>
      <c r="Q4204">
        <v>-2.6980520000000001E-2</v>
      </c>
      <c r="R4204">
        <v>-9.8722210000000005E-2</v>
      </c>
      <c r="S4204">
        <v>-3.0211790000000001</v>
      </c>
      <c r="T4204">
        <v>-8.295131E-2</v>
      </c>
      <c r="U4204">
        <v>5.5343629999999998E-2</v>
      </c>
      <c r="V4204">
        <v>0.15864710000000001</v>
      </c>
      <c r="W4204">
        <v>-1.4805759999999999E-2</v>
      </c>
      <c r="X4204">
        <v>0.98722430000000005</v>
      </c>
      <c r="Y4204">
        <v>0.27306530000000001</v>
      </c>
      <c r="Z4204">
        <v>1.0708519999999999E-2</v>
      </c>
      <c r="AA4204">
        <v>0.96193589999999995</v>
      </c>
      <c r="AB4204">
        <v>20</v>
      </c>
      <c r="AC4204">
        <v>-40.066600000000001</v>
      </c>
      <c r="AD4204">
        <v>-1.10520620982379</v>
      </c>
      <c r="AE4204">
        <v>0.77729999999999599</v>
      </c>
      <c r="AF4204">
        <v>10.984099703616</v>
      </c>
      <c r="AG4204">
        <v>-1.10520620982379</v>
      </c>
      <c r="AH4204">
        <v>38.507739577670598</v>
      </c>
      <c r="AI4204">
        <v>91.580963003998093</v>
      </c>
      <c r="AJ4204">
        <v>74.079521668124798</v>
      </c>
      <c r="AK4204">
        <v>40.058930770140499</v>
      </c>
      <c r="AL4204">
        <v>90.848338585642196</v>
      </c>
      <c r="AM4204">
        <v>80.870612652821293</v>
      </c>
      <c r="AN4204">
        <v>0.99999996568903804</v>
      </c>
    </row>
    <row r="4205" spans="1:40" x14ac:dyDescent="0.25">
      <c r="A4205" t="str">
        <f>"20190312161355068"</f>
        <v>20190312161355068</v>
      </c>
      <c r="B4205" t="str">
        <f>"1552378435060406"</f>
        <v>1552378435060406</v>
      </c>
      <c r="C4205" t="s">
        <v>40</v>
      </c>
      <c r="D4205">
        <v>5.7850809999999999</v>
      </c>
      <c r="E4205">
        <v>0.54438710000000001</v>
      </c>
      <c r="F4205" t="s">
        <v>42</v>
      </c>
      <c r="G4205">
        <v>-250.28919999999999</v>
      </c>
      <c r="H4205" s="1">
        <v>-4.2273150000000004E-6</v>
      </c>
      <c r="I4205">
        <v>139.9135</v>
      </c>
      <c r="J4205">
        <v>-209.6927</v>
      </c>
      <c r="K4205">
        <v>1.105275</v>
      </c>
      <c r="L4205">
        <v>138.9288</v>
      </c>
      <c r="M4205">
        <v>-0.96906320000000001</v>
      </c>
      <c r="N4205">
        <v>0</v>
      </c>
      <c r="O4205">
        <v>-0.2464007</v>
      </c>
      <c r="P4205">
        <v>-0.99540090000000003</v>
      </c>
      <c r="Q4205">
        <v>-2.7312969999999999E-2</v>
      </c>
      <c r="R4205">
        <v>-9.1819810000000002E-2</v>
      </c>
      <c r="S4205">
        <v>-3.0205229999999998</v>
      </c>
      <c r="T4205">
        <v>-8.1814289999999998E-2</v>
      </c>
      <c r="U4205">
        <v>6.9702150000000004E-2</v>
      </c>
      <c r="V4205">
        <v>0.1561361</v>
      </c>
      <c r="W4205">
        <v>-1.5087329999999999E-2</v>
      </c>
      <c r="X4205">
        <v>0.98762030000000001</v>
      </c>
      <c r="Y4205">
        <v>0.26853110000000002</v>
      </c>
      <c r="Z4205">
        <v>1.0260679999999999E-2</v>
      </c>
      <c r="AA4205">
        <v>0.96321639999999997</v>
      </c>
      <c r="AB4205">
        <v>20</v>
      </c>
      <c r="AC4205">
        <v>-40.596499999999899</v>
      </c>
      <c r="AD4205">
        <v>-1.1052792273150001</v>
      </c>
      <c r="AE4205">
        <v>0.98470000000000302</v>
      </c>
      <c r="AF4205">
        <v>10.950243892622399</v>
      </c>
      <c r="AG4205">
        <v>-1.1052792273150001</v>
      </c>
      <c r="AH4205">
        <v>39.072970619787498</v>
      </c>
      <c r="AI4205">
        <v>91.560244186995703</v>
      </c>
      <c r="AJ4205">
        <v>74.344412161120999</v>
      </c>
      <c r="AK4205">
        <v>40.593429474891899</v>
      </c>
      <c r="AL4205">
        <v>90.864473146151198</v>
      </c>
      <c r="AM4205">
        <v>81.016276591923102</v>
      </c>
      <c r="AN4205">
        <v>0.99999998311091398</v>
      </c>
    </row>
    <row r="4206" spans="1:40" x14ac:dyDescent="0.25">
      <c r="A4206" t="str">
        <f>"20190312161355092"</f>
        <v>20190312161355092</v>
      </c>
      <c r="B4206" t="str">
        <f>"1552378435079929"</f>
        <v>1552378435079929</v>
      </c>
      <c r="C4206" t="s">
        <v>40</v>
      </c>
      <c r="D4206">
        <v>5.6545160000000001</v>
      </c>
      <c r="E4206">
        <v>0.54372940000000003</v>
      </c>
      <c r="F4206" t="s">
        <v>42</v>
      </c>
      <c r="G4206">
        <v>-253.20939999999999</v>
      </c>
      <c r="H4206" s="1">
        <v>-3.0079879999999999E-6</v>
      </c>
      <c r="I4206">
        <v>140.03909999999999</v>
      </c>
      <c r="J4206">
        <v>-209.90530000000001</v>
      </c>
      <c r="K4206">
        <v>1.1053679999999999</v>
      </c>
      <c r="L4206">
        <v>138.88659999999999</v>
      </c>
      <c r="M4206">
        <v>-0.97137810000000002</v>
      </c>
      <c r="N4206">
        <v>0</v>
      </c>
      <c r="O4206">
        <v>-0.23711199999999999</v>
      </c>
      <c r="P4206">
        <v>-0.99602809999999997</v>
      </c>
      <c r="Q4206">
        <v>-2.7006889999999999E-2</v>
      </c>
      <c r="R4206">
        <v>-8.4847149999999996E-2</v>
      </c>
      <c r="S4206">
        <v>-3.0188290000000002</v>
      </c>
      <c r="T4206">
        <v>-7.6675300000000002E-2</v>
      </c>
      <c r="U4206">
        <v>7.7026369999999997E-2</v>
      </c>
      <c r="V4206">
        <v>0.1536062</v>
      </c>
      <c r="W4206">
        <v>-1.472775E-2</v>
      </c>
      <c r="X4206">
        <v>0.98802239999999997</v>
      </c>
      <c r="Y4206">
        <v>0.26167839999999998</v>
      </c>
      <c r="Z4206">
        <v>9.3041770000000003E-3</v>
      </c>
      <c r="AA4206">
        <v>0.96511029999999998</v>
      </c>
      <c r="AB4206">
        <v>20</v>
      </c>
      <c r="AC4206">
        <v>-43.304099999999899</v>
      </c>
      <c r="AD4206">
        <v>-1.1053710079879999</v>
      </c>
      <c r="AE4206">
        <v>1.1525000000000001</v>
      </c>
      <c r="AF4206">
        <v>11.3811777599573</v>
      </c>
      <c r="AG4206">
        <v>-1.1053710079879999</v>
      </c>
      <c r="AH4206">
        <v>41.768418934660602</v>
      </c>
      <c r="AI4206">
        <v>91.462635996824503</v>
      </c>
      <c r="AJ4206">
        <v>74.757917052588297</v>
      </c>
      <c r="AK4206">
        <v>43.305356164917498</v>
      </c>
      <c r="AL4206">
        <v>90.843868410942207</v>
      </c>
      <c r="AM4206">
        <v>81.163064663864503</v>
      </c>
      <c r="AN4206">
        <v>1.00000001710013</v>
      </c>
    </row>
    <row r="4207" spans="1:40" x14ac:dyDescent="0.25">
      <c r="A4207" t="str">
        <f>"20190312161355116"</f>
        <v>20190312161355116</v>
      </c>
      <c r="B4207" t="str">
        <f>"1552378435110182"</f>
        <v>1552378435110182</v>
      </c>
      <c r="C4207" t="s">
        <v>40</v>
      </c>
      <c r="D4207">
        <v>5.693975</v>
      </c>
      <c r="E4207">
        <v>0.54298999999999997</v>
      </c>
      <c r="F4207" t="s">
        <v>42</v>
      </c>
      <c r="G4207">
        <v>-252.54349999999999</v>
      </c>
      <c r="H4207" s="1">
        <v>-3.3365479999999998E-6</v>
      </c>
      <c r="I4207">
        <v>140.2004</v>
      </c>
      <c r="J4207">
        <v>-210.1182</v>
      </c>
      <c r="K4207">
        <v>1.105469</v>
      </c>
      <c r="L4207">
        <v>138.84630000000001</v>
      </c>
      <c r="M4207">
        <v>-0.97357139999999998</v>
      </c>
      <c r="N4207">
        <v>0</v>
      </c>
      <c r="O4207">
        <v>-0.22794</v>
      </c>
      <c r="P4207">
        <v>-0.9965562</v>
      </c>
      <c r="Q4207">
        <v>-2.6851679999999999E-2</v>
      </c>
      <c r="R4207">
        <v>-7.8453759999999997E-2</v>
      </c>
      <c r="S4207">
        <v>-3.0177459999999998</v>
      </c>
      <c r="T4207">
        <v>-7.8233479999999994E-2</v>
      </c>
      <c r="U4207">
        <v>9.2987059999999996E-2</v>
      </c>
      <c r="V4207">
        <v>0.1506345</v>
      </c>
      <c r="W4207">
        <v>-1.451321E-2</v>
      </c>
      <c r="X4207">
        <v>0.988483</v>
      </c>
      <c r="Y4207">
        <v>0.25768039999999998</v>
      </c>
      <c r="Z4207">
        <v>9.2119720000000006E-3</v>
      </c>
      <c r="AA4207">
        <v>0.96618630000000005</v>
      </c>
      <c r="AB4207">
        <v>20</v>
      </c>
      <c r="AC4207">
        <v>-42.425299999999901</v>
      </c>
      <c r="AD4207">
        <v>-1.1054723365479999</v>
      </c>
      <c r="AE4207">
        <v>1.3540999999999801</v>
      </c>
      <c r="AF4207">
        <v>10.982397365464699</v>
      </c>
      <c r="AG4207">
        <v>-1.1054723365479999</v>
      </c>
      <c r="AH4207">
        <v>40.971758093485299</v>
      </c>
      <c r="AI4207">
        <v>91.492865450433399</v>
      </c>
      <c r="AJ4207">
        <v>74.9947186905639</v>
      </c>
      <c r="AK4207">
        <v>42.432535656627003</v>
      </c>
      <c r="AL4207">
        <v>90.831574863531003</v>
      </c>
      <c r="AM4207">
        <v>81.335381980673702</v>
      </c>
      <c r="AN4207">
        <v>1.0000000135718701</v>
      </c>
    </row>
    <row r="4208" spans="1:40" x14ac:dyDescent="0.25">
      <c r="A4208" t="str">
        <f>"20190312161355135"</f>
        <v>20190312161355135</v>
      </c>
      <c r="B4208" t="str">
        <f>"1552378435130678"</f>
        <v>1552378435130678</v>
      </c>
      <c r="C4208" t="s">
        <v>40</v>
      </c>
      <c r="D4208">
        <v>5.7177540000000002</v>
      </c>
      <c r="E4208">
        <v>0.54239369999999998</v>
      </c>
      <c r="F4208" t="s">
        <v>42</v>
      </c>
      <c r="G4208">
        <v>-251.14060000000001</v>
      </c>
      <c r="H4208" s="1">
        <v>-3.9632170000000003E-6</v>
      </c>
      <c r="I4208">
        <v>140.2936</v>
      </c>
      <c r="J4208">
        <v>-210.29390000000001</v>
      </c>
      <c r="K4208">
        <v>1.1055459999999999</v>
      </c>
      <c r="L4208">
        <v>138.81450000000001</v>
      </c>
      <c r="M4208">
        <v>-0.97529259999999995</v>
      </c>
      <c r="N4208">
        <v>0</v>
      </c>
      <c r="O4208">
        <v>-0.22046009999999999</v>
      </c>
      <c r="P4208">
        <v>-0.99692959999999997</v>
      </c>
      <c r="Q4208">
        <v>-2.7102379999999999E-2</v>
      </c>
      <c r="R4208">
        <v>-7.3465279999999994E-2</v>
      </c>
      <c r="S4208">
        <v>-3.0165410000000001</v>
      </c>
      <c r="T4208">
        <v>-8.1290009999999996E-2</v>
      </c>
      <c r="U4208">
        <v>0.1064301</v>
      </c>
      <c r="V4208">
        <v>0.1479926</v>
      </c>
      <c r="W4208">
        <v>-1.471541E-2</v>
      </c>
      <c r="X4208">
        <v>0.98887899999999995</v>
      </c>
      <c r="Y4208">
        <v>0.25456620000000002</v>
      </c>
      <c r="Z4208">
        <v>9.3357830000000003E-3</v>
      </c>
      <c r="AA4208">
        <v>0.96701029999999999</v>
      </c>
      <c r="AB4208">
        <v>20</v>
      </c>
      <c r="AC4208">
        <v>-40.846699999999998</v>
      </c>
      <c r="AD4208">
        <v>-1.1055499632169901</v>
      </c>
      <c r="AE4208">
        <v>1.4790999999999801</v>
      </c>
      <c r="AF4208">
        <v>10.4410379308871</v>
      </c>
      <c r="AG4208">
        <v>-1.1055499632169901</v>
      </c>
      <c r="AH4208">
        <v>39.486498491801797</v>
      </c>
      <c r="AI4208">
        <v>91.550497493917106</v>
      </c>
      <c r="AJ4208">
        <v>75.188803983836195</v>
      </c>
      <c r="AK4208">
        <v>40.858549618635003</v>
      </c>
      <c r="AL4208">
        <v>90.843161306352002</v>
      </c>
      <c r="AM4208">
        <v>81.488459014249997</v>
      </c>
      <c r="AN4208">
        <v>1.0000000147936099</v>
      </c>
    </row>
    <row r="4209" spans="1:40" x14ac:dyDescent="0.25">
      <c r="A4209" t="str">
        <f>"20190312161355159"</f>
        <v>20190312161355159</v>
      </c>
      <c r="B4209" t="str">
        <f>"1552378435150200"</f>
        <v>1552378435150200</v>
      </c>
      <c r="C4209" t="s">
        <v>40</v>
      </c>
      <c r="D4209">
        <v>5.6975259999999999</v>
      </c>
      <c r="E4209">
        <v>0.54189830000000005</v>
      </c>
      <c r="F4209" t="s">
        <v>42</v>
      </c>
      <c r="G4209">
        <v>-250.00389999999999</v>
      </c>
      <c r="H4209" s="1">
        <v>-4.4050579999999997E-6</v>
      </c>
      <c r="I4209">
        <v>140.35120000000001</v>
      </c>
      <c r="J4209">
        <v>-210.5034</v>
      </c>
      <c r="K4209">
        <v>1.1056459999999999</v>
      </c>
      <c r="L4209">
        <v>138.7782</v>
      </c>
      <c r="M4209">
        <v>-0.97723879999999996</v>
      </c>
      <c r="N4209">
        <v>0</v>
      </c>
      <c r="O4209">
        <v>-0.21166740000000001</v>
      </c>
      <c r="P4209">
        <v>-0.99738510000000002</v>
      </c>
      <c r="Q4209">
        <v>-2.792994E-2</v>
      </c>
      <c r="R4209">
        <v>-6.6654999999999895E-2</v>
      </c>
      <c r="S4209">
        <v>-3.0155789999999998</v>
      </c>
      <c r="T4209">
        <v>-8.3955650000000007E-2</v>
      </c>
      <c r="U4209">
        <v>0.1166992</v>
      </c>
      <c r="V4209">
        <v>0.1458294</v>
      </c>
      <c r="W4209">
        <v>-1.550083E-2</v>
      </c>
      <c r="X4209">
        <v>0.98918830000000002</v>
      </c>
      <c r="Y4209">
        <v>0.24914610000000001</v>
      </c>
      <c r="Z4209">
        <v>9.3287049999999996E-3</v>
      </c>
      <c r="AA4209">
        <v>0.96842099999999998</v>
      </c>
      <c r="AB4209">
        <v>20</v>
      </c>
      <c r="AC4209">
        <v>-39.500499999999903</v>
      </c>
      <c r="AD4209">
        <v>-1.1056504050579901</v>
      </c>
      <c r="AE4209">
        <v>1.573</v>
      </c>
      <c r="AF4209">
        <v>9.8914233597911903</v>
      </c>
      <c r="AG4209">
        <v>-1.1056504050579901</v>
      </c>
      <c r="AH4209">
        <v>38.242404648960203</v>
      </c>
      <c r="AI4209">
        <v>91.603319216106499</v>
      </c>
      <c r="AJ4209">
        <v>75.498223502237096</v>
      </c>
      <c r="AK4209">
        <v>39.516379290563101</v>
      </c>
      <c r="AL4209">
        <v>90.888167715671202</v>
      </c>
      <c r="AM4209">
        <v>81.613674245583795</v>
      </c>
      <c r="AN4209">
        <v>0.99999999124596906</v>
      </c>
    </row>
    <row r="4210" spans="1:40" x14ac:dyDescent="0.25">
      <c r="A4210" t="str">
        <f>"20190312161355182"</f>
        <v>20190312161355182</v>
      </c>
      <c r="B4210" t="str">
        <f>"1552378435170694"</f>
        <v>1552378435170694</v>
      </c>
      <c r="C4210" t="s">
        <v>40</v>
      </c>
      <c r="D4210">
        <v>5.6316199999999998</v>
      </c>
      <c r="E4210">
        <v>0.54150869999999995</v>
      </c>
      <c r="F4210" t="s">
        <v>42</v>
      </c>
      <c r="G4210">
        <v>-247.42230000000001</v>
      </c>
      <c r="H4210" s="1">
        <v>-1.2999799999999999E-6</v>
      </c>
      <c r="I4210">
        <v>140.41239999999999</v>
      </c>
      <c r="J4210">
        <v>-210.7021</v>
      </c>
      <c r="K4210">
        <v>1.1057410000000001</v>
      </c>
      <c r="L4210">
        <v>138.74539999999999</v>
      </c>
      <c r="M4210">
        <v>-0.97897979999999996</v>
      </c>
      <c r="N4210">
        <v>0</v>
      </c>
      <c r="O4210">
        <v>-0.2034656</v>
      </c>
      <c r="P4210">
        <v>-0.99778460000000002</v>
      </c>
      <c r="Q4210">
        <v>-2.74177E-2</v>
      </c>
      <c r="R4210">
        <v>-6.0619609999999997E-2</v>
      </c>
      <c r="S4210">
        <v>-3.0142669999999998</v>
      </c>
      <c r="T4210">
        <v>-9.027135E-2</v>
      </c>
      <c r="U4210">
        <v>0.13342290000000001</v>
      </c>
      <c r="V4210">
        <v>0.14353170000000001</v>
      </c>
      <c r="W4210">
        <v>-1.4946009999999999E-2</v>
      </c>
      <c r="X4210">
        <v>0.98953279999999999</v>
      </c>
      <c r="Y4210">
        <v>0.2463815</v>
      </c>
      <c r="Z4210">
        <v>9.7510189999999997E-3</v>
      </c>
      <c r="AA4210">
        <v>0.96912390000000004</v>
      </c>
      <c r="AB4210">
        <v>20</v>
      </c>
      <c r="AC4210">
        <v>-36.720199999999998</v>
      </c>
      <c r="AD4210">
        <v>-1.10574229998</v>
      </c>
      <c r="AE4210">
        <v>1.667</v>
      </c>
      <c r="AF4210">
        <v>9.0959377115597206</v>
      </c>
      <c r="AG4210">
        <v>-1.10574229998</v>
      </c>
      <c r="AH4210">
        <v>35.580526658751502</v>
      </c>
      <c r="AI4210">
        <v>91.7245908974282</v>
      </c>
      <c r="AJ4210">
        <v>75.659823639021099</v>
      </c>
      <c r="AK4210">
        <v>36.741429289028297</v>
      </c>
      <c r="AL4210">
        <v>90.856375224107097</v>
      </c>
      <c r="AM4210">
        <v>81.746808844900698</v>
      </c>
      <c r="AN4210">
        <v>0.99999994719782304</v>
      </c>
    </row>
    <row r="4211" spans="1:40" x14ac:dyDescent="0.25">
      <c r="A4211" t="str">
        <f>"20190312161355226"</f>
        <v>20190312161355226</v>
      </c>
      <c r="B4211" t="str">
        <f>"1552378435220471"</f>
        <v>1552378435220471</v>
      </c>
      <c r="C4211" t="s">
        <v>40</v>
      </c>
      <c r="D4211">
        <v>5.7003029999999999</v>
      </c>
      <c r="E4211">
        <v>0.54008219999999996</v>
      </c>
      <c r="F4211" t="s">
        <v>42</v>
      </c>
      <c r="G4211">
        <v>-247.69450000000001</v>
      </c>
      <c r="H4211" s="1">
        <v>-1.22468E-6</v>
      </c>
      <c r="I4211">
        <v>140.56829999999999</v>
      </c>
      <c r="J4211">
        <v>-211.08760000000001</v>
      </c>
      <c r="K4211">
        <v>1.105942</v>
      </c>
      <c r="L4211">
        <v>138.68610000000001</v>
      </c>
      <c r="M4211">
        <v>-0.98207370000000005</v>
      </c>
      <c r="N4211">
        <v>0</v>
      </c>
      <c r="O4211">
        <v>-0.18796840000000001</v>
      </c>
      <c r="P4211">
        <v>-0.99841230000000003</v>
      </c>
      <c r="Q4211">
        <v>-2.7478180000000001E-2</v>
      </c>
      <c r="R4211">
        <v>-4.9175650000000001E-2</v>
      </c>
      <c r="S4211">
        <v>-3.0132140000000001</v>
      </c>
      <c r="T4211">
        <v>-9.0068099999999998E-2</v>
      </c>
      <c r="U4211">
        <v>0.14848329999999901</v>
      </c>
      <c r="V4211">
        <v>0.13924410000000001</v>
      </c>
      <c r="W4211">
        <v>-1.492691E-2</v>
      </c>
      <c r="X4211">
        <v>0.99014559999999996</v>
      </c>
      <c r="Y4211">
        <v>0.23591090000000001</v>
      </c>
      <c r="Z4211">
        <v>9.1186150000000001E-3</v>
      </c>
      <c r="AA4211">
        <v>0.97173189999999998</v>
      </c>
      <c r="AB4211">
        <v>20</v>
      </c>
      <c r="AC4211">
        <v>-36.606900000000003</v>
      </c>
      <c r="AD4211">
        <v>-1.1059432246799901</v>
      </c>
      <c r="AE4211">
        <v>1.8821999999999799</v>
      </c>
      <c r="AF4211">
        <v>8.7223287123402198</v>
      </c>
      <c r="AG4211">
        <v>-1.1059432246799901</v>
      </c>
      <c r="AH4211">
        <v>35.568046075940202</v>
      </c>
      <c r="AI4211">
        <v>91.729746267724707</v>
      </c>
      <c r="AJ4211">
        <v>76.221303458851096</v>
      </c>
      <c r="AK4211">
        <v>36.638613923598903</v>
      </c>
      <c r="AL4211">
        <v>90.855280689771206</v>
      </c>
      <c r="AM4211">
        <v>81.994994516470499</v>
      </c>
      <c r="AN4211">
        <v>1.0000000206131501</v>
      </c>
    </row>
    <row r="4212" spans="1:40" x14ac:dyDescent="0.25">
      <c r="A4212" t="str">
        <f>"20190312161355249"</f>
        <v>20190312161355249</v>
      </c>
      <c r="B4212" t="str">
        <f>"1552378435239990"</f>
        <v>1552378435239990</v>
      </c>
      <c r="C4212" t="s">
        <v>40</v>
      </c>
      <c r="D4212">
        <v>5.6623340000000004</v>
      </c>
      <c r="E4212">
        <v>0.53944769999999997</v>
      </c>
      <c r="F4212" t="s">
        <v>42</v>
      </c>
      <c r="G4212">
        <v>-245.81899999999999</v>
      </c>
      <c r="H4212" s="1">
        <v>-2.0556150000000001E-6</v>
      </c>
      <c r="I4212">
        <v>140.66730000000001</v>
      </c>
      <c r="J4212">
        <v>-211.29910000000001</v>
      </c>
      <c r="K4212">
        <v>1.10607099999999</v>
      </c>
      <c r="L4212">
        <v>138.6559</v>
      </c>
      <c r="M4212">
        <v>-0.98361600000000005</v>
      </c>
      <c r="N4212">
        <v>0</v>
      </c>
      <c r="O4212">
        <v>-0.17972449999999901</v>
      </c>
      <c r="P4212">
        <v>-0.99866410000000005</v>
      </c>
      <c r="Q4212">
        <v>-2.705432E-2</v>
      </c>
      <c r="R4212">
        <v>-4.4024769999999998E-2</v>
      </c>
      <c r="S4212">
        <v>-3.0105900000000001</v>
      </c>
      <c r="T4212">
        <v>-9.5865729999999996E-2</v>
      </c>
      <c r="U4212">
        <v>0.17173769999999999</v>
      </c>
      <c r="V4212">
        <v>0.1360577</v>
      </c>
      <c r="W4212">
        <v>-1.444759E-2</v>
      </c>
      <c r="X4212">
        <v>0.99059560000000002</v>
      </c>
      <c r="Y4212">
        <v>0.23526559999999999</v>
      </c>
      <c r="Z4212">
        <v>9.4430480000000008E-3</v>
      </c>
      <c r="AA4212">
        <v>0.97188529999999995</v>
      </c>
      <c r="AB4212">
        <v>20</v>
      </c>
      <c r="AC4212">
        <v>-34.5199</v>
      </c>
      <c r="AD4212">
        <v>-1.10607305561499</v>
      </c>
      <c r="AE4212">
        <v>2.0114000000000001</v>
      </c>
      <c r="AF4212">
        <v>8.17496536750971</v>
      </c>
      <c r="AG4212">
        <v>-1.10607305561499</v>
      </c>
      <c r="AH4212">
        <v>33.561825370377598</v>
      </c>
      <c r="AI4212">
        <v>91.833988883815806</v>
      </c>
      <c r="AJ4212">
        <v>76.3105161483481</v>
      </c>
      <c r="AK4212">
        <v>34.560809865453997</v>
      </c>
      <c r="AL4212">
        <v>90.827814701175697</v>
      </c>
      <c r="AM4212">
        <v>82.179392937907494</v>
      </c>
      <c r="AN4212">
        <v>1.00000003666272</v>
      </c>
    </row>
    <row r="4213" spans="1:40" x14ac:dyDescent="0.25">
      <c r="A4213" t="str">
        <f>"20190312161355280"</f>
        <v>20190312161355280</v>
      </c>
      <c r="B4213" t="str">
        <f>"1552378435270246"</f>
        <v>1552378435270246</v>
      </c>
      <c r="C4213" t="s">
        <v>40</v>
      </c>
      <c r="D4213">
        <v>5.825412</v>
      </c>
      <c r="E4213">
        <v>0.51287050000000001</v>
      </c>
      <c r="F4213" t="s">
        <v>42</v>
      </c>
      <c r="G4213">
        <v>-245.54429999999999</v>
      </c>
      <c r="H4213" s="1">
        <v>-2.1899419999999999E-6</v>
      </c>
      <c r="I4213">
        <v>140.72919999999999</v>
      </c>
      <c r="J4213">
        <v>-211.58179999999999</v>
      </c>
      <c r="K4213">
        <v>1.1062419999999999</v>
      </c>
      <c r="L4213">
        <v>138.6181</v>
      </c>
      <c r="M4213">
        <v>-0.98551449999999996</v>
      </c>
      <c r="N4213">
        <v>0</v>
      </c>
      <c r="O4213">
        <v>-0.1690072</v>
      </c>
      <c r="P4213">
        <v>-0.99894709999999998</v>
      </c>
      <c r="Q4213">
        <v>-2.692375E-2</v>
      </c>
      <c r="R4213">
        <v>-3.7148550000000002E-2</v>
      </c>
      <c r="S4213">
        <v>-3.0093990000000002</v>
      </c>
      <c r="T4213">
        <v>-9.7199560000000004E-2</v>
      </c>
      <c r="U4213">
        <v>0.18220520000000001</v>
      </c>
      <c r="V4213">
        <v>0.13210229999999901</v>
      </c>
      <c r="W4213">
        <v>-1.425097E-2</v>
      </c>
      <c r="X4213">
        <v>0.99113359999999995</v>
      </c>
      <c r="Y4213">
        <v>0.228074</v>
      </c>
      <c r="Z4213">
        <v>9.1189730000000007E-3</v>
      </c>
      <c r="AA4213">
        <v>0.9736011</v>
      </c>
      <c r="AB4213">
        <v>20</v>
      </c>
      <c r="AC4213">
        <v>-33.962499999999999</v>
      </c>
      <c r="AD4213">
        <v>-1.1062441899419999</v>
      </c>
      <c r="AE4213">
        <v>2.1110999999999902</v>
      </c>
      <c r="AF4213">
        <v>7.81294261316377</v>
      </c>
      <c r="AG4213">
        <v>-1.1062441899419999</v>
      </c>
      <c r="AH4213">
        <v>33.082055551020197</v>
      </c>
      <c r="AI4213">
        <v>91.863983587025899</v>
      </c>
      <c r="AJ4213">
        <v>76.712013831914703</v>
      </c>
      <c r="AK4213">
        <v>34.010119787574297</v>
      </c>
      <c r="AL4213">
        <v>90.816548107682294</v>
      </c>
      <c r="AM4213">
        <v>82.408131070564494</v>
      </c>
      <c r="AN4213">
        <v>0.99999996043009398</v>
      </c>
    </row>
    <row r="4214" spans="1:40" x14ac:dyDescent="0.25">
      <c r="A4214" t="str">
        <f>"20190312161355303"</f>
        <v>20190312161355303</v>
      </c>
      <c r="B4214" t="str">
        <f>"1552378435300502"</f>
        <v>1552378435300502</v>
      </c>
      <c r="C4214" t="s">
        <v>40</v>
      </c>
      <c r="D4214">
        <v>5.7713989999999997</v>
      </c>
      <c r="E4214">
        <v>0.52551840000000005</v>
      </c>
      <c r="F4214" t="s">
        <v>42</v>
      </c>
      <c r="G4214">
        <v>-337.12860000000001</v>
      </c>
      <c r="H4214" s="1">
        <v>-1.5807359999999999E-6</v>
      </c>
      <c r="I4214">
        <v>138.2467</v>
      </c>
      <c r="J4214">
        <v>-211.77590000000001</v>
      </c>
      <c r="K4214">
        <v>1.106344</v>
      </c>
      <c r="L4214">
        <v>138.59360000000001</v>
      </c>
      <c r="M4214">
        <v>-0.98672280000000001</v>
      </c>
      <c r="N4214">
        <v>0</v>
      </c>
      <c r="O4214">
        <v>-0.16180710000000001</v>
      </c>
      <c r="P4214">
        <v>-0.99910220000000005</v>
      </c>
      <c r="Q4214">
        <v>-2.71303E-2</v>
      </c>
      <c r="R4214">
        <v>-3.2541180000000003E-2</v>
      </c>
      <c r="S4214">
        <v>-3.0021209999999998</v>
      </c>
      <c r="T4214">
        <v>-2.6452900000000001E-2</v>
      </c>
      <c r="U4214">
        <v>-8.8806149999999997E-3</v>
      </c>
      <c r="V4214">
        <v>0.1294371</v>
      </c>
      <c r="W4214">
        <v>-1.441923E-2</v>
      </c>
      <c r="X4214">
        <v>0.9914828</v>
      </c>
      <c r="Y4214">
        <v>0.1588907</v>
      </c>
      <c r="Z4214">
        <v>2.121052E-3</v>
      </c>
      <c r="AA4214">
        <v>0.98729389999999995</v>
      </c>
      <c r="AB4214">
        <v>20</v>
      </c>
      <c r="AC4214">
        <v>-125.3527</v>
      </c>
      <c r="AD4214">
        <v>-1.1063455807359901</v>
      </c>
      <c r="AE4214">
        <v>-0.34690000000000498</v>
      </c>
      <c r="AF4214">
        <v>19.9410696508128</v>
      </c>
      <c r="AG4214">
        <v>-1.1063455807359901</v>
      </c>
      <c r="AH4214">
        <v>123.747023249026</v>
      </c>
      <c r="AI4214">
        <v>90.5057089413055</v>
      </c>
      <c r="AJ4214">
        <v>80.845833566152194</v>
      </c>
      <c r="AK4214">
        <v>125.3482988411</v>
      </c>
      <c r="AL4214">
        <v>90.826189645783501</v>
      </c>
      <c r="AM4214">
        <v>82.5621567450969</v>
      </c>
      <c r="AN4214">
        <v>1.00000000987302</v>
      </c>
    </row>
    <row r="4215" spans="1:40" x14ac:dyDescent="0.25">
      <c r="A4215" t="str">
        <f>"20190312161355325"</f>
        <v>20190312161355325</v>
      </c>
      <c r="B4215" t="str">
        <f>"1552378435320022"</f>
        <v>1552378435320022</v>
      </c>
      <c r="C4215" t="s">
        <v>40</v>
      </c>
      <c r="D4215">
        <v>6.0340740000000004</v>
      </c>
      <c r="E4215">
        <v>0.50309999999999999</v>
      </c>
      <c r="F4215" t="s">
        <v>42</v>
      </c>
      <c r="G4215">
        <v>-231.9862</v>
      </c>
      <c r="H4215" s="1">
        <v>-3.4752600000000002E-6</v>
      </c>
      <c r="I4215">
        <v>139.30590000000001</v>
      </c>
      <c r="J4215">
        <v>-211.9718</v>
      </c>
      <c r="K4215">
        <v>1.10643799999999</v>
      </c>
      <c r="L4215">
        <v>138.5702</v>
      </c>
      <c r="M4215">
        <v>-0.98786260000000004</v>
      </c>
      <c r="N4215">
        <v>0</v>
      </c>
      <c r="O4215">
        <v>-0.15469729999999901</v>
      </c>
      <c r="P4215">
        <v>-0.99924460000000004</v>
      </c>
      <c r="Q4215">
        <v>-2.6972329999999999E-2</v>
      </c>
      <c r="R4215">
        <v>-2.797972E-2</v>
      </c>
      <c r="S4215">
        <v>-3.0016780000000001</v>
      </c>
      <c r="T4215">
        <v>-0.16431770000000001</v>
      </c>
      <c r="U4215">
        <v>0.10580440000000001</v>
      </c>
      <c r="V4215">
        <v>0.1268292</v>
      </c>
      <c r="W4215">
        <v>-1.422637E-2</v>
      </c>
      <c r="X4215">
        <v>0.99182250000000005</v>
      </c>
      <c r="Y4215">
        <v>0.18890570000000001</v>
      </c>
      <c r="Z4215">
        <v>1.36055E-2</v>
      </c>
      <c r="AA4215">
        <v>0.98190100000000002</v>
      </c>
      <c r="AB4215">
        <v>20</v>
      </c>
      <c r="AC4215">
        <v>-20.014399999999899</v>
      </c>
      <c r="AD4215">
        <v>-1.10644147525999</v>
      </c>
      <c r="AE4215">
        <v>0.73570000000000801</v>
      </c>
      <c r="AF4215">
        <v>3.8116860101699301</v>
      </c>
      <c r="AG4215">
        <v>-1.10644147525999</v>
      </c>
      <c r="AH4215">
        <v>19.599776774402301</v>
      </c>
      <c r="AI4215">
        <v>93.171719791018901</v>
      </c>
      <c r="AJ4215">
        <v>78.994717526904594</v>
      </c>
      <c r="AK4215">
        <v>19.9976101718355</v>
      </c>
      <c r="AL4215">
        <v>90.815138494166106</v>
      </c>
      <c r="AM4215">
        <v>82.712856132781297</v>
      </c>
      <c r="AN4215">
        <v>0.99999995354113203</v>
      </c>
    </row>
    <row r="4216" spans="1:40" x14ac:dyDescent="0.25">
      <c r="A4216" t="str">
        <f>"20190312161355348"</f>
        <v>20190312161355348</v>
      </c>
      <c r="B4216" t="str">
        <f>"1552378435340518"</f>
        <v>1552378435340518</v>
      </c>
      <c r="C4216" t="s">
        <v>40</v>
      </c>
      <c r="D4216">
        <v>5.7665059999999997</v>
      </c>
      <c r="E4216">
        <v>0.5032548</v>
      </c>
      <c r="F4216" t="s">
        <v>42</v>
      </c>
      <c r="G4216">
        <v>-269.30419999999998</v>
      </c>
      <c r="H4216" s="1">
        <v>-8.0248669999999902E-7</v>
      </c>
      <c r="I4216">
        <v>137.43770000000001</v>
      </c>
      <c r="J4216">
        <v>-212.1763</v>
      </c>
      <c r="K4216">
        <v>1.1065419999999999</v>
      </c>
      <c r="L4216">
        <v>138.547</v>
      </c>
      <c r="M4216">
        <v>-0.98897029999999997</v>
      </c>
      <c r="N4216">
        <v>0</v>
      </c>
      <c r="O4216">
        <v>-0.1474512</v>
      </c>
      <c r="P4216">
        <v>-0.99936519999999995</v>
      </c>
      <c r="Q4216">
        <v>-2.663242E-2</v>
      </c>
      <c r="R4216">
        <v>-2.365836E-2</v>
      </c>
      <c r="S4216">
        <v>-2.9990540000000001</v>
      </c>
      <c r="T4216">
        <v>-5.7877779999999997E-2</v>
      </c>
      <c r="U4216">
        <v>-5.9234620000000002E-2</v>
      </c>
      <c r="V4216">
        <v>0.123855199999999</v>
      </c>
      <c r="W4216">
        <v>-1.384815E-2</v>
      </c>
      <c r="X4216">
        <v>0.99220370000000002</v>
      </c>
      <c r="Y4216">
        <v>0.12785450000000001</v>
      </c>
      <c r="Z4216">
        <v>4.0699710000000004E-3</v>
      </c>
      <c r="AA4216">
        <v>0.99178460000000002</v>
      </c>
      <c r="AB4216">
        <v>20</v>
      </c>
      <c r="AC4216">
        <v>-57.127899999999897</v>
      </c>
      <c r="AD4216">
        <v>-1.1065428024866999</v>
      </c>
      <c r="AE4216">
        <v>-1.10929999999999</v>
      </c>
      <c r="AF4216">
        <v>7.3244833875604902</v>
      </c>
      <c r="AG4216">
        <v>-1.1065428024866999</v>
      </c>
      <c r="AH4216">
        <v>56.645670187609298</v>
      </c>
      <c r="AI4216">
        <v>91.109862690381902</v>
      </c>
      <c r="AJ4216">
        <v>82.632334685993698</v>
      </c>
      <c r="AK4216">
        <v>57.127965523653998</v>
      </c>
      <c r="AL4216">
        <v>90.793465885661703</v>
      </c>
      <c r="AM4216">
        <v>82.884664569994399</v>
      </c>
      <c r="AN4216">
        <v>1.0000000320595701</v>
      </c>
    </row>
    <row r="4217" spans="1:40" x14ac:dyDescent="0.25">
      <c r="A4217" t="str">
        <f>"20190312161355372"</f>
        <v>20190312161355372</v>
      </c>
      <c r="B4217" t="str">
        <f>"1552378435361014"</f>
        <v>1552378435361014</v>
      </c>
      <c r="C4217" t="s">
        <v>40</v>
      </c>
      <c r="D4217">
        <v>5.6134040000000001</v>
      </c>
      <c r="E4217">
        <v>0.5026254</v>
      </c>
      <c r="F4217" t="s">
        <v>42</v>
      </c>
      <c r="G4217">
        <v>-269.12240000000003</v>
      </c>
      <c r="H4217" s="1">
        <v>-7.9674080000000002E-7</v>
      </c>
      <c r="I4217">
        <v>137.6917</v>
      </c>
      <c r="J4217">
        <v>-212.38130000000001</v>
      </c>
      <c r="K4217">
        <v>1.1066560000000001</v>
      </c>
      <c r="L4217">
        <v>138.52529999999999</v>
      </c>
      <c r="M4217">
        <v>-0.98999649999999995</v>
      </c>
      <c r="N4217">
        <v>0</v>
      </c>
      <c r="O4217">
        <v>-0.14039969999999999</v>
      </c>
      <c r="P4217">
        <v>-0.99946789999999996</v>
      </c>
      <c r="Q4217">
        <v>-2.6602379999999998E-2</v>
      </c>
      <c r="R4217">
        <v>-1.8872460000000001E-2</v>
      </c>
      <c r="S4217">
        <v>-2.9992679999999998</v>
      </c>
      <c r="T4217">
        <v>-5.8279989999999997E-2</v>
      </c>
      <c r="U4217">
        <v>-4.5043949999999999E-2</v>
      </c>
      <c r="V4217">
        <v>0.12154</v>
      </c>
      <c r="W4217">
        <v>-1.378617E-2</v>
      </c>
      <c r="X4217">
        <v>0.99249080000000001</v>
      </c>
      <c r="Y4217">
        <v>0.1254797</v>
      </c>
      <c r="Z4217">
        <v>3.9394469999999996E-3</v>
      </c>
      <c r="AA4217">
        <v>0.99208839999999998</v>
      </c>
      <c r="AB4217">
        <v>20</v>
      </c>
      <c r="AC4217">
        <v>-56.741100000000003</v>
      </c>
      <c r="AD4217">
        <v>-1.1066567967408001</v>
      </c>
      <c r="AE4217">
        <v>-0.83359999999998902</v>
      </c>
      <c r="AF4217">
        <v>7.1391530960917002</v>
      </c>
      <c r="AG4217">
        <v>-1.1066567967408001</v>
      </c>
      <c r="AH4217">
        <v>56.274610876327998</v>
      </c>
      <c r="AI4217">
        <v>91.117637643653197</v>
      </c>
      <c r="AJ4217">
        <v>82.769920899404795</v>
      </c>
      <c r="AK4217">
        <v>56.736443539204501</v>
      </c>
      <c r="AL4217">
        <v>90.789914372476204</v>
      </c>
      <c r="AM4217">
        <v>83.018344578286801</v>
      </c>
      <c r="AN4217">
        <v>1.00000000908395</v>
      </c>
    </row>
    <row r="4218" spans="1:40" x14ac:dyDescent="0.25">
      <c r="A4218" t="str">
        <f>"20190312161355393"</f>
        <v>20190312161355393</v>
      </c>
      <c r="B4218" t="str">
        <f>"1552378435390294"</f>
        <v>1552378435390294</v>
      </c>
      <c r="C4218" t="s">
        <v>40</v>
      </c>
      <c r="D4218">
        <v>5.7401799999999996</v>
      </c>
      <c r="E4218">
        <v>0.50201220000000002</v>
      </c>
      <c r="F4218" t="s">
        <v>42</v>
      </c>
      <c r="G4218">
        <v>-265.4341</v>
      </c>
      <c r="H4218" s="1">
        <v>-2.2464330000000001E-6</v>
      </c>
      <c r="I4218">
        <v>137.8947</v>
      </c>
      <c r="J4218">
        <v>-212.5677</v>
      </c>
      <c r="K4218">
        <v>1.1067709999999999</v>
      </c>
      <c r="L4218">
        <v>138.50649999999999</v>
      </c>
      <c r="M4218">
        <v>-0.99086419999999997</v>
      </c>
      <c r="N4218">
        <v>0</v>
      </c>
      <c r="O4218">
        <v>-0.1341416</v>
      </c>
      <c r="P4218">
        <v>-0.99952759999999996</v>
      </c>
      <c r="Q4218">
        <v>-2.6979099999999999E-2</v>
      </c>
      <c r="R4218">
        <v>-1.4733889999999999E-2</v>
      </c>
      <c r="S4218">
        <v>-2.9992519999999998</v>
      </c>
      <c r="T4218">
        <v>-6.2563179999999996E-2</v>
      </c>
      <c r="U4218">
        <v>-3.5644530000000001E-2</v>
      </c>
      <c r="V4218">
        <v>0.1193782</v>
      </c>
      <c r="W4218">
        <v>-1.413244E-2</v>
      </c>
      <c r="X4218">
        <v>0.99274830000000003</v>
      </c>
      <c r="Y4218">
        <v>0.1223134</v>
      </c>
      <c r="Z4218">
        <v>4.0666180000000001E-3</v>
      </c>
      <c r="AA4218">
        <v>0.99248320000000001</v>
      </c>
      <c r="AB4218">
        <v>20</v>
      </c>
      <c r="AC4218">
        <v>-52.866399999999999</v>
      </c>
      <c r="AD4218">
        <v>-1.106773246433</v>
      </c>
      <c r="AE4218">
        <v>-0.61179999999998802</v>
      </c>
      <c r="AF4218">
        <v>6.4831613834199704</v>
      </c>
      <c r="AG4218">
        <v>-1.106773246433</v>
      </c>
      <c r="AH4218">
        <v>52.447601299912698</v>
      </c>
      <c r="AI4218">
        <v>91.199773492880894</v>
      </c>
      <c r="AJ4218">
        <v>82.953290901014697</v>
      </c>
      <c r="AK4218">
        <v>52.858369352989797</v>
      </c>
      <c r="AL4218">
        <v>90.809756095229204</v>
      </c>
      <c r="AM4218">
        <v>83.143094055905195</v>
      </c>
      <c r="AN4218">
        <v>1.0000000338242401</v>
      </c>
    </row>
    <row r="4219" spans="1:40" x14ac:dyDescent="0.25">
      <c r="A4219" t="str">
        <f>"20190312161355414"</f>
        <v>20190312161355414</v>
      </c>
      <c r="B4219" t="str">
        <f>"1552378435409815"</f>
        <v>1552378435409815</v>
      </c>
      <c r="C4219" t="s">
        <v>40</v>
      </c>
      <c r="D4219">
        <v>5.5195689999999997</v>
      </c>
      <c r="E4219">
        <v>0.50169710000000001</v>
      </c>
      <c r="F4219" t="s">
        <v>42</v>
      </c>
      <c r="G4219">
        <v>-260.91070000000002</v>
      </c>
      <c r="H4219" s="1">
        <v>-4.1589080000000003E-6</v>
      </c>
      <c r="I4219">
        <v>138.05269999999999</v>
      </c>
      <c r="J4219">
        <v>-212.75749999999999</v>
      </c>
      <c r="K4219">
        <v>1.1068819999999999</v>
      </c>
      <c r="L4219">
        <v>138.48849999999999</v>
      </c>
      <c r="M4219">
        <v>-0.99168900000000004</v>
      </c>
      <c r="N4219">
        <v>0</v>
      </c>
      <c r="O4219">
        <v>-0.1279042</v>
      </c>
      <c r="P4219">
        <v>-0.99958429999999998</v>
      </c>
      <c r="Q4219">
        <v>-2.6958039999999999E-2</v>
      </c>
      <c r="R4219">
        <v>-1.0233320000000001E-2</v>
      </c>
      <c r="S4219">
        <v>-2.9991460000000001</v>
      </c>
      <c r="T4219">
        <v>-6.8663119999999994E-2</v>
      </c>
      <c r="U4219">
        <v>-2.8152469999999999E-2</v>
      </c>
      <c r="V4219">
        <v>0.117605399999999</v>
      </c>
      <c r="W4219">
        <v>-1.4086609999999999E-2</v>
      </c>
      <c r="X4219">
        <v>0.99296050000000002</v>
      </c>
      <c r="Y4219">
        <v>0.1185373</v>
      </c>
      <c r="Z4219">
        <v>4.2783270000000002E-3</v>
      </c>
      <c r="AA4219">
        <v>0.99294039999999995</v>
      </c>
      <c r="AB4219">
        <v>19</v>
      </c>
      <c r="AC4219">
        <v>-48.153199999999998</v>
      </c>
      <c r="AD4219">
        <v>-1.1068861589079999</v>
      </c>
      <c r="AE4219">
        <v>-0.43580000000000002</v>
      </c>
      <c r="AF4219">
        <v>5.7243479962062098</v>
      </c>
      <c r="AG4219">
        <v>-1.1068861589079999</v>
      </c>
      <c r="AH4219">
        <v>47.7881154533695</v>
      </c>
      <c r="AI4219">
        <v>91.317454117702496</v>
      </c>
      <c r="AJ4219">
        <v>83.169313189910199</v>
      </c>
      <c r="AK4219">
        <v>48.142469146638298</v>
      </c>
      <c r="AL4219">
        <v>90.807129988666802</v>
      </c>
      <c r="AM4219">
        <v>83.245403267391097</v>
      </c>
      <c r="AN4219">
        <v>1.00000000862535</v>
      </c>
    </row>
    <row r="4220" spans="1:40" x14ac:dyDescent="0.25">
      <c r="A4220" t="str">
        <f>"20190312161355437"</f>
        <v>20190312161355437</v>
      </c>
      <c r="B4220" t="str">
        <f>"1552378435430311"</f>
        <v>1552378435430311</v>
      </c>
      <c r="C4220" t="s">
        <v>40</v>
      </c>
      <c r="D4220">
        <v>5.5036699999999996</v>
      </c>
      <c r="E4220">
        <v>0.50144849999999996</v>
      </c>
      <c r="F4220" t="s">
        <v>42</v>
      </c>
      <c r="G4220">
        <v>-268.70159999999998</v>
      </c>
      <c r="H4220" s="1">
        <v>-8.1262839999999996E-7</v>
      </c>
      <c r="I4220">
        <v>138.17019999999999</v>
      </c>
      <c r="J4220">
        <v>-212.95230000000001</v>
      </c>
      <c r="K4220">
        <v>1.1069830000000001</v>
      </c>
      <c r="L4220">
        <v>138.471</v>
      </c>
      <c r="M4220">
        <v>-0.99247669999999999</v>
      </c>
      <c r="N4220">
        <v>0</v>
      </c>
      <c r="O4220">
        <v>-0.121643</v>
      </c>
      <c r="P4220">
        <v>-0.99961730000000004</v>
      </c>
      <c r="Q4220">
        <v>-2.695384E-2</v>
      </c>
      <c r="R4220">
        <v>-6.2393269999999898E-3</v>
      </c>
      <c r="S4220">
        <v>-2.999466</v>
      </c>
      <c r="T4220">
        <v>-5.9345960000000003E-2</v>
      </c>
      <c r="U4220">
        <v>-1.7059330000000001E-2</v>
      </c>
      <c r="V4220">
        <v>0.1153098</v>
      </c>
      <c r="W4220">
        <v>-1.405504E-2</v>
      </c>
      <c r="X4220">
        <v>0.99323019999999995</v>
      </c>
      <c r="Y4220">
        <v>0.1159612</v>
      </c>
      <c r="Z4220">
        <v>3.5491070000000001E-3</v>
      </c>
      <c r="AA4220">
        <v>0.9932474</v>
      </c>
      <c r="AB4220">
        <v>19</v>
      </c>
      <c r="AC4220">
        <v>-55.749299999999899</v>
      </c>
      <c r="AD4220">
        <v>-1.1069838126284</v>
      </c>
      <c r="AE4220">
        <v>-0.300800000000009</v>
      </c>
      <c r="AF4220">
        <v>6.4810454769340602</v>
      </c>
      <c r="AG4220">
        <v>-1.1069838126284</v>
      </c>
      <c r="AH4220">
        <v>55.3499918969598</v>
      </c>
      <c r="AI4220">
        <v>91.137973753742997</v>
      </c>
      <c r="AJ4220">
        <v>83.321529258301197</v>
      </c>
      <c r="AK4220">
        <v>55.739133170771701</v>
      </c>
      <c r="AL4220">
        <v>90.805320938718907</v>
      </c>
      <c r="AM4220">
        <v>83.377849215092098</v>
      </c>
      <c r="AN4220">
        <v>1.0000000621587299</v>
      </c>
    </row>
    <row r="4221" spans="1:40" x14ac:dyDescent="0.25">
      <c r="A4221" t="str">
        <f>"20190312161355458"</f>
        <v>20190312161355458</v>
      </c>
      <c r="B4221" t="str">
        <f>"1552378435449831"</f>
        <v>1552378435449831</v>
      </c>
      <c r="C4221" t="s">
        <v>40</v>
      </c>
      <c r="D4221">
        <v>5.5683669999999896</v>
      </c>
      <c r="E4221">
        <v>0.50084300000000004</v>
      </c>
      <c r="F4221" t="s">
        <v>42</v>
      </c>
      <c r="G4221">
        <v>-275.88889999999998</v>
      </c>
      <c r="H4221" s="1">
        <v>-1.9756639999999998E-6</v>
      </c>
      <c r="I4221">
        <v>138.3211</v>
      </c>
      <c r="J4221">
        <v>-213.14779999999999</v>
      </c>
      <c r="K4221">
        <v>1.1070719999999901</v>
      </c>
      <c r="L4221">
        <v>138.4545</v>
      </c>
      <c r="M4221">
        <v>-0.99320779999999997</v>
      </c>
      <c r="N4221">
        <v>0</v>
      </c>
      <c r="O4221">
        <v>-0.1155254</v>
      </c>
      <c r="P4221">
        <v>-0.999641</v>
      </c>
      <c r="Q4221">
        <v>-2.669618E-2</v>
      </c>
      <c r="R4221">
        <v>-2.3026449999999999E-3</v>
      </c>
      <c r="S4221">
        <v>-2.9996800000000001</v>
      </c>
      <c r="T4221">
        <v>-5.2761080000000002E-2</v>
      </c>
      <c r="U4221">
        <v>-7.1411130000000001E-3</v>
      </c>
      <c r="V4221">
        <v>0.1131072</v>
      </c>
      <c r="W4221">
        <v>-1.377368E-2</v>
      </c>
      <c r="X4221">
        <v>0.99348729999999996</v>
      </c>
      <c r="Y4221">
        <v>0.11313620000000001</v>
      </c>
      <c r="Z4221">
        <v>3.0234089999999999E-3</v>
      </c>
      <c r="AA4221">
        <v>0.99357490000000004</v>
      </c>
      <c r="AB4221">
        <v>19</v>
      </c>
      <c r="AC4221">
        <v>-62.741099999999904</v>
      </c>
      <c r="AD4221">
        <v>-1.10707397566399</v>
      </c>
      <c r="AE4221">
        <v>-0.133399999999994</v>
      </c>
      <c r="AF4221">
        <v>7.1141654991005296</v>
      </c>
      <c r="AG4221">
        <v>-1.10707397566399</v>
      </c>
      <c r="AH4221">
        <v>62.316947877363397</v>
      </c>
      <c r="AI4221">
        <v>91.011198148053495</v>
      </c>
      <c r="AJ4221">
        <v>83.487251448380604</v>
      </c>
      <c r="AK4221">
        <v>62.731482975346701</v>
      </c>
      <c r="AL4221">
        <v>90.789198699956302</v>
      </c>
      <c r="AM4221">
        <v>83.504917854142604</v>
      </c>
      <c r="AN4221">
        <v>0.99999998410693602</v>
      </c>
    </row>
    <row r="4222" spans="1:40" x14ac:dyDescent="0.25">
      <c r="A4222" t="str">
        <f>"20190312161355482"</f>
        <v>20190312161355482</v>
      </c>
      <c r="B4222" t="str">
        <f>"1552378435470326"</f>
        <v>1552378435470326</v>
      </c>
      <c r="C4222" t="s">
        <v>40</v>
      </c>
      <c r="D4222">
        <v>5.4829840000000001</v>
      </c>
      <c r="E4222">
        <v>0.50014619999999999</v>
      </c>
      <c r="F4222" t="s">
        <v>84</v>
      </c>
      <c r="G4222">
        <v>-282.6155</v>
      </c>
      <c r="H4222" s="1">
        <v>-4.3350650000000003E-6</v>
      </c>
      <c r="I4222">
        <v>138.45060000000001</v>
      </c>
      <c r="J4222">
        <v>-213.3518</v>
      </c>
      <c r="K4222">
        <v>1.107165</v>
      </c>
      <c r="L4222">
        <v>138.4383</v>
      </c>
      <c r="M4222">
        <v>-0.99391030000000002</v>
      </c>
      <c r="N4222">
        <v>0</v>
      </c>
      <c r="O4222">
        <v>-0.1093203</v>
      </c>
      <c r="P4222">
        <v>-0.99963950000000001</v>
      </c>
      <c r="Q4222">
        <v>-2.6794390000000001E-2</v>
      </c>
      <c r="R4222">
        <v>1.808966E-3</v>
      </c>
      <c r="S4222">
        <v>-2.9998019999999999</v>
      </c>
      <c r="T4222">
        <v>-4.7806500000000002E-2</v>
      </c>
      <c r="U4222">
        <v>-1.67846699999999E-4</v>
      </c>
      <c r="V4222">
        <v>0.1109914</v>
      </c>
      <c r="W4222">
        <v>-1.385047E-2</v>
      </c>
      <c r="X4222">
        <v>0.99372479999999996</v>
      </c>
      <c r="Y4222">
        <v>0.1092475</v>
      </c>
      <c r="Z4222">
        <v>2.6100849999999998E-3</v>
      </c>
      <c r="AA4222">
        <v>0.99401119999999998</v>
      </c>
      <c r="AB4222">
        <v>19</v>
      </c>
      <c r="AC4222">
        <v>-69.2637</v>
      </c>
      <c r="AD4222">
        <v>-1.107169335065</v>
      </c>
      <c r="AE4222">
        <v>1.23000000000104E-2</v>
      </c>
      <c r="AF4222">
        <v>7.5829418635546899</v>
      </c>
      <c r="AG4222">
        <v>-1.107169335065</v>
      </c>
      <c r="AH4222">
        <v>68.829561767679294</v>
      </c>
      <c r="AI4222">
        <v>90.916019960256193</v>
      </c>
      <c r="AJ4222">
        <v>83.7130868652347</v>
      </c>
      <c r="AK4222">
        <v>69.254858344908499</v>
      </c>
      <c r="AL4222">
        <v>90.793598887945294</v>
      </c>
      <c r="AM4222">
        <v>83.626917261784499</v>
      </c>
      <c r="AN4222">
        <v>0.99999995226410898</v>
      </c>
    </row>
    <row r="4223" spans="1:40" x14ac:dyDescent="0.25">
      <c r="A4223" t="str">
        <f>"20190312161355502"</f>
        <v>20190312161355502</v>
      </c>
      <c r="B4223" t="str">
        <f>"1552378435500582"</f>
        <v>1552378435500582</v>
      </c>
      <c r="C4223" t="s">
        <v>40</v>
      </c>
      <c r="D4223">
        <v>5.6907899999999998</v>
      </c>
      <c r="E4223">
        <v>0.49951089999999998</v>
      </c>
      <c r="F4223" t="s">
        <v>84</v>
      </c>
      <c r="G4223">
        <v>-286.63350000000003</v>
      </c>
      <c r="H4223" s="1">
        <v>-6.5038350000000002E-6</v>
      </c>
      <c r="I4223">
        <v>138.59970000000001</v>
      </c>
      <c r="J4223">
        <v>-213.53200000000001</v>
      </c>
      <c r="K4223">
        <v>1.1072569999999999</v>
      </c>
      <c r="L4223">
        <v>138.42500000000001</v>
      </c>
      <c r="M4223">
        <v>-0.99448159999999997</v>
      </c>
      <c r="N4223">
        <v>0</v>
      </c>
      <c r="O4223">
        <v>-0.1039962</v>
      </c>
      <c r="P4223">
        <v>-0.99963089999999999</v>
      </c>
      <c r="Q4223">
        <v>-2.6678690000000001E-2</v>
      </c>
      <c r="R4223">
        <v>5.1394659999999997E-3</v>
      </c>
      <c r="S4223">
        <v>-2.9998629999999999</v>
      </c>
      <c r="T4223">
        <v>-4.5323250000000002E-2</v>
      </c>
      <c r="U4223">
        <v>6.607056E-3</v>
      </c>
      <c r="V4223">
        <v>0.1089849</v>
      </c>
      <c r="W4223">
        <v>-1.371411E-2</v>
      </c>
      <c r="X4223">
        <v>0.99394879999999997</v>
      </c>
      <c r="Y4223">
        <v>0.1061724</v>
      </c>
      <c r="Z4223">
        <v>2.3711909999999999E-3</v>
      </c>
      <c r="AA4223">
        <v>0.99434489999999998</v>
      </c>
      <c r="AB4223">
        <v>19</v>
      </c>
      <c r="AC4223">
        <v>-73.101500000000001</v>
      </c>
      <c r="AD4223">
        <v>-1.1072635038349901</v>
      </c>
      <c r="AE4223">
        <v>0.17470000000000099</v>
      </c>
      <c r="AF4223">
        <v>7.7749736022188296</v>
      </c>
      <c r="AG4223">
        <v>-1.1072635038349901</v>
      </c>
      <c r="AH4223">
        <v>72.670202879119401</v>
      </c>
      <c r="AI4223">
        <v>90.867985543843304</v>
      </c>
      <c r="AJ4223">
        <v>83.893164134413993</v>
      </c>
      <c r="AK4223">
        <v>73.093328241875099</v>
      </c>
      <c r="AL4223">
        <v>90.785785254532897</v>
      </c>
      <c r="AM4223">
        <v>83.742606373134905</v>
      </c>
      <c r="AN4223">
        <v>1.00000000113127</v>
      </c>
    </row>
    <row r="4224" spans="1:40" x14ac:dyDescent="0.25">
      <c r="A4224" t="str">
        <f>"20190312161355524"</f>
        <v>20190312161355524</v>
      </c>
      <c r="B4224" t="str">
        <f>"1552378435520102"</f>
        <v>1552378435520102</v>
      </c>
      <c r="C4224" t="s">
        <v>40</v>
      </c>
      <c r="D4224">
        <v>5.6034730000000001</v>
      </c>
      <c r="E4224">
        <v>0.49036800000000003</v>
      </c>
      <c r="F4224" t="s">
        <v>84</v>
      </c>
      <c r="G4224">
        <v>-291.79020000000003</v>
      </c>
      <c r="H4224" s="1">
        <v>-8.4567690000000003E-6</v>
      </c>
      <c r="I4224">
        <v>138.72669999999999</v>
      </c>
      <c r="J4224">
        <v>-213.72669999999999</v>
      </c>
      <c r="K4224">
        <v>1.107361</v>
      </c>
      <c r="L4224">
        <v>138.41149999999999</v>
      </c>
      <c r="M4224">
        <v>-0.99505120000000002</v>
      </c>
      <c r="N4224">
        <v>0</v>
      </c>
      <c r="O4224">
        <v>-9.8400349999999998E-2</v>
      </c>
      <c r="P4224">
        <v>-0.99959580000000003</v>
      </c>
      <c r="Q4224">
        <v>-2.7190860000000001E-2</v>
      </c>
      <c r="R4224">
        <v>8.2927480000000008E-3</v>
      </c>
      <c r="S4224">
        <v>-2.999908</v>
      </c>
      <c r="T4224">
        <v>-4.2445299999999998E-2</v>
      </c>
      <c r="U4224">
        <v>1.1566160000000001E-2</v>
      </c>
      <c r="V4224">
        <v>0.10652789999999999</v>
      </c>
      <c r="W4224">
        <v>-1.419991E-2</v>
      </c>
      <c r="X4224">
        <v>0.99420830000000004</v>
      </c>
      <c r="Y4224">
        <v>0.1022257</v>
      </c>
      <c r="Z4224">
        <v>2.1138340000000002E-3</v>
      </c>
      <c r="AA4224">
        <v>0.99475899999999995</v>
      </c>
      <c r="AB4224">
        <v>19</v>
      </c>
      <c r="AC4224">
        <v>-78.063500000000005</v>
      </c>
      <c r="AD4224">
        <v>-1.107369456769</v>
      </c>
      <c r="AE4224">
        <v>0.31520000000000398</v>
      </c>
      <c r="AF4224">
        <v>7.9942687792570402</v>
      </c>
      <c r="AG4224">
        <v>-1.107369456769</v>
      </c>
      <c r="AH4224">
        <v>77.637936962645398</v>
      </c>
      <c r="AI4224">
        <v>90.812871424008705</v>
      </c>
      <c r="AJ4224">
        <v>84.121053275788697</v>
      </c>
      <c r="AK4224">
        <v>78.056286462042806</v>
      </c>
      <c r="AL4224">
        <v>90.813622267101593</v>
      </c>
      <c r="AM4224">
        <v>83.884178388539297</v>
      </c>
      <c r="AN4224">
        <v>0.99999998735565399</v>
      </c>
    </row>
    <row r="4225" spans="1:40" x14ac:dyDescent="0.25">
      <c r="A4225" t="str">
        <f>"20190312161355550"</f>
        <v>20190312161355550</v>
      </c>
      <c r="B4225" t="str">
        <f>"1552378435540598"</f>
        <v>1552378435540598</v>
      </c>
      <c r="C4225" t="s">
        <v>40</v>
      </c>
      <c r="D4225">
        <v>5.5930540000000004</v>
      </c>
      <c r="E4225">
        <v>0.48962689999999998</v>
      </c>
      <c r="F4225" t="s">
        <v>42</v>
      </c>
      <c r="G4225">
        <v>-242.2088</v>
      </c>
      <c r="H4225" s="1">
        <v>-3.6259720000000002E-6</v>
      </c>
      <c r="I4225">
        <v>137.9179</v>
      </c>
      <c r="J4225">
        <v>-213.94239999999999</v>
      </c>
      <c r="K4225">
        <v>1.107488</v>
      </c>
      <c r="L4225">
        <v>138.39750000000001</v>
      </c>
      <c r="M4225">
        <v>-0.99562629999999996</v>
      </c>
      <c r="N4225">
        <v>0</v>
      </c>
      <c r="O4225">
        <v>-9.2403570000000004E-2</v>
      </c>
      <c r="P4225">
        <v>-0.99956469999999997</v>
      </c>
      <c r="Q4225">
        <v>-2.7007360000000001E-2</v>
      </c>
      <c r="R4225">
        <v>1.188059E-2</v>
      </c>
      <c r="S4225">
        <v>-2.9984739999999999</v>
      </c>
      <c r="T4225">
        <v>-0.11657869999999999</v>
      </c>
      <c r="U4225">
        <v>-5.1956179999999998E-2</v>
      </c>
      <c r="V4225">
        <v>0.10411289999999999</v>
      </c>
      <c r="W4225">
        <v>-1.398808E-2</v>
      </c>
      <c r="X4225">
        <v>0.99446710000000005</v>
      </c>
      <c r="Y4225">
        <v>7.5021420000000005E-2</v>
      </c>
      <c r="Z4225">
        <v>5.0444670000000004E-3</v>
      </c>
      <c r="AA4225">
        <v>0.99716910000000003</v>
      </c>
      <c r="AB4225">
        <v>19</v>
      </c>
      <c r="AC4225">
        <v>-28.266400000000001</v>
      </c>
      <c r="AD4225">
        <v>-1.107491625972</v>
      </c>
      <c r="AE4225">
        <v>-0.47960000000000402</v>
      </c>
      <c r="AF4225">
        <v>2.1313456253694398</v>
      </c>
      <c r="AG4225">
        <v>-1.107491625972</v>
      </c>
      <c r="AH4225">
        <v>28.1465683698658</v>
      </c>
      <c r="AI4225">
        <v>92.246846309315799</v>
      </c>
      <c r="AJ4225">
        <v>85.669649632034904</v>
      </c>
      <c r="AK4225">
        <v>28.248866930833</v>
      </c>
      <c r="AL4225">
        <v>90.801484096083698</v>
      </c>
      <c r="AM4225">
        <v>84.023353701742195</v>
      </c>
      <c r="AN4225">
        <v>0.99999998765545295</v>
      </c>
    </row>
    <row r="4226" spans="1:40" x14ac:dyDescent="0.25">
      <c r="A4226" t="str">
        <f>"20190312161355572"</f>
        <v>20190312161355572</v>
      </c>
      <c r="B4226" t="str">
        <f>"1552378435560119"</f>
        <v>1552378435560119</v>
      </c>
      <c r="C4226" t="s">
        <v>40</v>
      </c>
      <c r="D4226">
        <v>5.658925</v>
      </c>
      <c r="E4226">
        <v>0.4891199</v>
      </c>
      <c r="F4226" t="s">
        <v>42</v>
      </c>
      <c r="G4226">
        <v>-242.346</v>
      </c>
      <c r="H4226" s="1">
        <v>-3.5614319999999999E-6</v>
      </c>
      <c r="I4226">
        <v>137.94980000000001</v>
      </c>
      <c r="J4226">
        <v>-214.13159999999999</v>
      </c>
      <c r="K4226">
        <v>1.1075999999999999</v>
      </c>
      <c r="L4226">
        <v>138.3861</v>
      </c>
      <c r="M4226">
        <v>-0.99608399999999997</v>
      </c>
      <c r="N4226">
        <v>0</v>
      </c>
      <c r="O4226">
        <v>-8.7335819999999995E-2</v>
      </c>
      <c r="P4226">
        <v>-0.99951049999999997</v>
      </c>
      <c r="Q4226">
        <v>-2.759182E-2</v>
      </c>
      <c r="R4226">
        <v>1.4756099999999999E-2</v>
      </c>
      <c r="S4226">
        <v>-2.9987029999999999</v>
      </c>
      <c r="T4226">
        <v>-0.1169232</v>
      </c>
      <c r="U4226">
        <v>-4.7256470000000002E-2</v>
      </c>
      <c r="V4226">
        <v>0.10191210000000001</v>
      </c>
      <c r="W4226">
        <v>-1.4547900000000001E-2</v>
      </c>
      <c r="X4226">
        <v>0.99468699999999999</v>
      </c>
      <c r="Y4226">
        <v>7.1515930000000005E-2</v>
      </c>
      <c r="Z4226">
        <v>4.7939380000000002E-3</v>
      </c>
      <c r="AA4226">
        <v>0.99742790000000003</v>
      </c>
      <c r="AB4226">
        <v>19</v>
      </c>
      <c r="AC4226">
        <v>-28.214399999999898</v>
      </c>
      <c r="AD4226">
        <v>-1.1076035614319999</v>
      </c>
      <c r="AE4226">
        <v>-0.43629999999998798</v>
      </c>
      <c r="AF4226">
        <v>2.0266058218165099</v>
      </c>
      <c r="AG4226">
        <v>-1.1076035614319999</v>
      </c>
      <c r="AH4226">
        <v>28.101382196629199</v>
      </c>
      <c r="AI4226">
        <v>92.2512787279626</v>
      </c>
      <c r="AJ4226">
        <v>85.875103911356902</v>
      </c>
      <c r="AK4226">
        <v>28.1961273611705</v>
      </c>
      <c r="AL4226">
        <v>90.833562697989905</v>
      </c>
      <c r="AM4226">
        <v>84.150090246450802</v>
      </c>
      <c r="AN4226">
        <v>0.99999997274490904</v>
      </c>
    </row>
    <row r="4227" spans="1:40" x14ac:dyDescent="0.25">
      <c r="A4227" t="str">
        <f>"20190312161355594"</f>
        <v>20190312161355594</v>
      </c>
      <c r="B4227" t="str">
        <f>"1552378435590374"</f>
        <v>1552378435590374</v>
      </c>
      <c r="C4227" t="s">
        <v>40</v>
      </c>
      <c r="D4227">
        <v>5.5238300000000002</v>
      </c>
      <c r="E4227">
        <v>0.48807109999999898</v>
      </c>
      <c r="F4227" t="s">
        <v>42</v>
      </c>
      <c r="G4227">
        <v>-242.30179999999999</v>
      </c>
      <c r="H4227" s="1">
        <v>-3.573931E-6</v>
      </c>
      <c r="I4227">
        <v>137.9863</v>
      </c>
      <c r="J4227">
        <v>-214.32169999999999</v>
      </c>
      <c r="K4227">
        <v>1.1076969999999999</v>
      </c>
      <c r="L4227">
        <v>138.37549999999999</v>
      </c>
      <c r="M4227">
        <v>-0.99650539999999999</v>
      </c>
      <c r="N4227">
        <v>0</v>
      </c>
      <c r="O4227">
        <v>-8.2391469999999994E-2</v>
      </c>
      <c r="P4227">
        <v>-0.99945689999999998</v>
      </c>
      <c r="Q4227">
        <v>-2.7699629999999999E-2</v>
      </c>
      <c r="R4227">
        <v>1.784842E-2</v>
      </c>
      <c r="S4227">
        <v>-2.99884</v>
      </c>
      <c r="T4227">
        <v>-0.1179091</v>
      </c>
      <c r="U4227">
        <v>-4.2556759999999999E-2</v>
      </c>
      <c r="V4227">
        <v>0.10005600000000001</v>
      </c>
      <c r="W4227">
        <v>-1.463776E-2</v>
      </c>
      <c r="X4227">
        <v>0.99487409999999998</v>
      </c>
      <c r="Y4227">
        <v>6.8133429999999995E-2</v>
      </c>
      <c r="Z4227">
        <v>4.5740049999999999E-3</v>
      </c>
      <c r="AA4227">
        <v>0.99766569999999999</v>
      </c>
      <c r="AB4227">
        <v>19</v>
      </c>
      <c r="AC4227">
        <v>-27.9801</v>
      </c>
      <c r="AD4227">
        <v>-1.107700573931</v>
      </c>
      <c r="AE4227">
        <v>-0.389199999999988</v>
      </c>
      <c r="AF4227">
        <v>1.9146623152375</v>
      </c>
      <c r="AG4227">
        <v>-1.107700573931</v>
      </c>
      <c r="AH4227">
        <v>27.873343820891002</v>
      </c>
      <c r="AI4227">
        <v>92.270420695312893</v>
      </c>
      <c r="AJ4227">
        <v>86.070438716117806</v>
      </c>
      <c r="AK4227">
        <v>27.960976880296599</v>
      </c>
      <c r="AL4227">
        <v>90.838711846627106</v>
      </c>
      <c r="AM4227">
        <v>84.256987256654398</v>
      </c>
      <c r="AN4227">
        <v>0.99999997100231297</v>
      </c>
    </row>
    <row r="4228" spans="1:40" x14ac:dyDescent="0.25">
      <c r="A4228" t="str">
        <f>"20190312161355615"</f>
        <v>20190312161355615</v>
      </c>
      <c r="B4228" t="str">
        <f>"1552378435609894"</f>
        <v>1552378435609894</v>
      </c>
      <c r="C4228" t="s">
        <v>40</v>
      </c>
      <c r="D4228">
        <v>5.5352259999999998</v>
      </c>
      <c r="E4228">
        <v>0.4873712</v>
      </c>
      <c r="F4228" t="s">
        <v>42</v>
      </c>
      <c r="G4228">
        <v>-237.17529999999999</v>
      </c>
      <c r="H4228" s="1">
        <v>-1.4706810000000001E-6</v>
      </c>
      <c r="I4228">
        <v>138.05699999999999</v>
      </c>
      <c r="J4228">
        <v>-214.5087</v>
      </c>
      <c r="K4228">
        <v>1.1077840000000001</v>
      </c>
      <c r="L4228">
        <v>138.36580000000001</v>
      </c>
      <c r="M4228">
        <v>-0.9968844</v>
      </c>
      <c r="N4228">
        <v>0</v>
      </c>
      <c r="O4228">
        <v>-7.7674460000000001E-2</v>
      </c>
      <c r="P4228">
        <v>-0.99940070000000003</v>
      </c>
      <c r="Q4228">
        <v>-2.7639500000000001E-2</v>
      </c>
      <c r="R4228">
        <v>2.0839429999999999E-2</v>
      </c>
      <c r="S4228">
        <v>-2.9983369999999998</v>
      </c>
      <c r="T4228">
        <v>-0.14532729999999999</v>
      </c>
      <c r="U4228">
        <v>-4.1778559999999999E-2</v>
      </c>
      <c r="V4228">
        <v>9.8328559999999995E-2</v>
      </c>
      <c r="W4228">
        <v>-1.456357E-2</v>
      </c>
      <c r="X4228">
        <v>0.99504749999999997</v>
      </c>
      <c r="Y4228">
        <v>6.3618110000000005E-2</v>
      </c>
      <c r="Z4228">
        <v>5.3002179999999998E-3</v>
      </c>
      <c r="AA4228">
        <v>0.99796030000000002</v>
      </c>
      <c r="AB4228">
        <v>19</v>
      </c>
      <c r="AC4228">
        <v>-22.666599999999899</v>
      </c>
      <c r="AD4228">
        <v>-1.107785470681</v>
      </c>
      <c r="AE4228">
        <v>-0.30879999999999003</v>
      </c>
      <c r="AF4228">
        <v>1.4494532343751001</v>
      </c>
      <c r="AG4228">
        <v>-1.107785470681</v>
      </c>
      <c r="AH4228">
        <v>22.5681985362002</v>
      </c>
      <c r="AI4228">
        <v>92.804403644781601</v>
      </c>
      <c r="AJ4228">
        <v>86.325198635423206</v>
      </c>
      <c r="AK4228">
        <v>22.6418128359246</v>
      </c>
      <c r="AL4228">
        <v>90.834460540791696</v>
      </c>
      <c r="AM4228">
        <v>84.356470261369296</v>
      </c>
      <c r="AN4228">
        <v>1.00000006526953</v>
      </c>
    </row>
    <row r="4229" spans="1:40" x14ac:dyDescent="0.25">
      <c r="A4229" t="str">
        <f>"20190312161355638"</f>
        <v>20190312161355638</v>
      </c>
      <c r="B4229" t="str">
        <f>"1552378435630391"</f>
        <v>1552378435630391</v>
      </c>
      <c r="C4229" t="s">
        <v>40</v>
      </c>
      <c r="D4229">
        <v>5.6332339999999999</v>
      </c>
      <c r="E4229">
        <v>0.48695110000000003</v>
      </c>
      <c r="F4229" t="s">
        <v>42</v>
      </c>
      <c r="G4229">
        <v>-236.79679999999999</v>
      </c>
      <c r="H4229" s="1">
        <v>-1.628961E-6</v>
      </c>
      <c r="I4229">
        <v>138.08009999999999</v>
      </c>
      <c r="J4229">
        <v>-214.7029</v>
      </c>
      <c r="K4229">
        <v>1.1078650000000001</v>
      </c>
      <c r="L4229">
        <v>138.35640000000001</v>
      </c>
      <c r="M4229">
        <v>-0.99724259999999998</v>
      </c>
      <c r="N4229">
        <v>0</v>
      </c>
      <c r="O4229">
        <v>-7.2935050000000001E-2</v>
      </c>
      <c r="P4229">
        <v>-0.99932580000000004</v>
      </c>
      <c r="Q4229">
        <v>-2.7736070000000002E-2</v>
      </c>
      <c r="R4229">
        <v>2.4054539999999999E-2</v>
      </c>
      <c r="S4229">
        <v>-2.9984739999999999</v>
      </c>
      <c r="T4229">
        <v>-0.149033</v>
      </c>
      <c r="U4229">
        <v>-3.8421629999999998E-2</v>
      </c>
      <c r="V4229">
        <v>9.6802330000000006E-2</v>
      </c>
      <c r="W4229">
        <v>-1.46488E-2</v>
      </c>
      <c r="X4229">
        <v>0.99519579999999996</v>
      </c>
      <c r="Y4229">
        <v>5.9993449999999997E-2</v>
      </c>
      <c r="Z4229">
        <v>5.110145E-3</v>
      </c>
      <c r="AA4229">
        <v>0.99818569999999995</v>
      </c>
      <c r="AB4229">
        <v>19</v>
      </c>
      <c r="AC4229">
        <v>-22.093899999999898</v>
      </c>
      <c r="AD4229">
        <v>-1.107866628961</v>
      </c>
      <c r="AE4229">
        <v>-0.27630000000001997</v>
      </c>
      <c r="AF4229">
        <v>1.3326566686403001</v>
      </c>
      <c r="AG4229">
        <v>-1.107866628961</v>
      </c>
      <c r="AH4229">
        <v>21.999892590336501</v>
      </c>
      <c r="AI4229">
        <v>92.877589510472404</v>
      </c>
      <c r="AJ4229">
        <v>86.533509686143304</v>
      </c>
      <c r="AK4229">
        <v>22.0680451388513</v>
      </c>
      <c r="AL4229">
        <v>90.839344452841601</v>
      </c>
      <c r="AM4229">
        <v>84.444337990631098</v>
      </c>
      <c r="AN4229">
        <v>0.99999997938625396</v>
      </c>
    </row>
    <row r="4230" spans="1:40" x14ac:dyDescent="0.25">
      <c r="A4230" t="str">
        <f>"20190312161355660"</f>
        <v>20190312161355660</v>
      </c>
      <c r="B4230" t="str">
        <f>"1552378435649911"</f>
        <v>1552378435649911</v>
      </c>
      <c r="C4230" t="s">
        <v>40</v>
      </c>
      <c r="D4230">
        <v>5.4720370000000003</v>
      </c>
      <c r="E4230">
        <v>0.4869211</v>
      </c>
      <c r="F4230" t="s">
        <v>42</v>
      </c>
      <c r="G4230">
        <v>-236.88130000000001</v>
      </c>
      <c r="H4230" s="1">
        <v>-1.585863E-6</v>
      </c>
      <c r="I4230">
        <v>138.11879999999999</v>
      </c>
      <c r="J4230">
        <v>-214.9023</v>
      </c>
      <c r="K4230">
        <v>1.107953</v>
      </c>
      <c r="L4230">
        <v>138.3476</v>
      </c>
      <c r="M4230">
        <v>-0.99757510000000005</v>
      </c>
      <c r="N4230">
        <v>0</v>
      </c>
      <c r="O4230">
        <v>-6.8241019999999999E-2</v>
      </c>
      <c r="P4230">
        <v>-0.9992375</v>
      </c>
      <c r="Q4230">
        <v>-2.7752860000000001E-2</v>
      </c>
      <c r="R4230">
        <v>2.7467499999999999E-2</v>
      </c>
      <c r="S4230">
        <v>-2.9986419999999998</v>
      </c>
      <c r="T4230">
        <v>-0.149789899999999</v>
      </c>
      <c r="U4230">
        <v>-3.2119750000000002E-2</v>
      </c>
      <c r="V4230">
        <v>9.5520830000000001E-2</v>
      </c>
      <c r="W4230">
        <v>-1.4655100000000001E-2</v>
      </c>
      <c r="X4230">
        <v>0.99531950000000002</v>
      </c>
      <c r="Y4230">
        <v>5.740112E-2</v>
      </c>
      <c r="Z4230">
        <v>4.8373449999999998E-3</v>
      </c>
      <c r="AA4230">
        <v>0.99833950000000005</v>
      </c>
      <c r="AB4230">
        <v>19</v>
      </c>
      <c r="AC4230">
        <v>-21.978999999999999</v>
      </c>
      <c r="AD4230">
        <v>-1.107954585863</v>
      </c>
      <c r="AE4230">
        <v>-0.228800000000006</v>
      </c>
      <c r="AF4230">
        <v>1.2685200283013101</v>
      </c>
      <c r="AG4230">
        <v>-1.107954585863</v>
      </c>
      <c r="AH4230">
        <v>21.887755623970499</v>
      </c>
      <c r="AI4230">
        <v>92.8929832867138</v>
      </c>
      <c r="AJ4230">
        <v>86.683093793646194</v>
      </c>
      <c r="AK4230">
        <v>21.952461198717302</v>
      </c>
      <c r="AL4230">
        <v>90.839705476330394</v>
      </c>
      <c r="AM4230">
        <v>84.518111734256394</v>
      </c>
      <c r="AN4230">
        <v>0.99999995400007302</v>
      </c>
    </row>
    <row r="4231" spans="1:40" x14ac:dyDescent="0.25">
      <c r="A4231" t="str">
        <f>"20190312161355683"</f>
        <v>20190312161355683</v>
      </c>
      <c r="B4231" t="str">
        <f>"1552378435670406"</f>
        <v>1552378435670406</v>
      </c>
      <c r="C4231" t="s">
        <v>40</v>
      </c>
      <c r="D4231">
        <v>5.470491</v>
      </c>
      <c r="E4231">
        <v>0.48669659999999898</v>
      </c>
      <c r="F4231" t="s">
        <v>42</v>
      </c>
      <c r="G4231">
        <v>-238.61089999999999</v>
      </c>
      <c r="H4231" s="1">
        <v>-8.4309510000000004E-7</v>
      </c>
      <c r="I4231">
        <v>138.17189999999999</v>
      </c>
      <c r="J4231">
        <v>-215.09209999999999</v>
      </c>
      <c r="K4231">
        <v>1.1080479999999999</v>
      </c>
      <c r="L4231">
        <v>138.3399</v>
      </c>
      <c r="M4231">
        <v>-0.99786079999999999</v>
      </c>
      <c r="N4231">
        <v>0</v>
      </c>
      <c r="O4231">
        <v>-6.3930929999999997E-2</v>
      </c>
      <c r="P4231">
        <v>-0.99914060000000005</v>
      </c>
      <c r="Q4231">
        <v>-2.7647390000000001E-2</v>
      </c>
      <c r="R4231">
        <v>3.0882489999999999E-2</v>
      </c>
      <c r="S4231">
        <v>-2.9990079999999999</v>
      </c>
      <c r="T4231">
        <v>-0.1401501</v>
      </c>
      <c r="U4231">
        <v>-2.2216799999999998E-2</v>
      </c>
      <c r="V4231">
        <v>9.4627039999999996E-2</v>
      </c>
      <c r="W4231">
        <v>-1.453992E-2</v>
      </c>
      <c r="X4231">
        <v>0.99540660000000003</v>
      </c>
      <c r="Y4231">
        <v>5.6411200000000002E-2</v>
      </c>
      <c r="Z4231">
        <v>4.3019019999999998E-3</v>
      </c>
      <c r="AA4231">
        <v>0.99839840000000002</v>
      </c>
      <c r="AB4231">
        <v>19</v>
      </c>
      <c r="AC4231">
        <v>-23.518799999999999</v>
      </c>
      <c r="AD4231">
        <v>-1.1080488430951001</v>
      </c>
      <c r="AE4231">
        <v>-0.16800000000000601</v>
      </c>
      <c r="AF4231">
        <v>1.33310394906901</v>
      </c>
      <c r="AG4231">
        <v>-1.1080488430951001</v>
      </c>
      <c r="AH4231">
        <v>23.429417790667198</v>
      </c>
      <c r="AI4231">
        <v>92.703309307562293</v>
      </c>
      <c r="AJ4231">
        <v>86.743454609851796</v>
      </c>
      <c r="AK4231">
        <v>23.493457735874902</v>
      </c>
      <c r="AL4231">
        <v>90.833105412709699</v>
      </c>
      <c r="AM4231">
        <v>84.569570106842903</v>
      </c>
      <c r="AN4231">
        <v>0.99999999264816397</v>
      </c>
    </row>
    <row r="4232" spans="1:40" x14ac:dyDescent="0.25">
      <c r="A4232" t="str">
        <f>"20190312161355705"</f>
        <v>20190312161355705</v>
      </c>
      <c r="B4232" t="str">
        <f>"1552378435700662"</f>
        <v>1552378435700662</v>
      </c>
      <c r="C4232" t="s">
        <v>40</v>
      </c>
      <c r="D4232">
        <v>5.4898939999999996</v>
      </c>
      <c r="E4232">
        <v>0.48599209999999898</v>
      </c>
      <c r="F4232" t="s">
        <v>42</v>
      </c>
      <c r="G4232">
        <v>-240.8973</v>
      </c>
      <c r="H4232" s="1">
        <v>-4.1344669999999997E-6</v>
      </c>
      <c r="I4232">
        <v>138.22299999999899</v>
      </c>
      <c r="J4232">
        <v>-215.2817</v>
      </c>
      <c r="K4232">
        <v>1.1081430000000001</v>
      </c>
      <c r="L4232">
        <v>138.33279999999999</v>
      </c>
      <c r="M4232">
        <v>-0.99811810000000001</v>
      </c>
      <c r="N4232">
        <v>0</v>
      </c>
      <c r="O4232">
        <v>-5.9782969999999998E-2</v>
      </c>
      <c r="P4232">
        <v>-0.99903940000000002</v>
      </c>
      <c r="Q4232">
        <v>-2.74649E-2</v>
      </c>
      <c r="R4232">
        <v>3.414474E-2</v>
      </c>
      <c r="S4232">
        <v>-2.9994350000000001</v>
      </c>
      <c r="T4232">
        <v>-0.1287932</v>
      </c>
      <c r="U4232">
        <v>-1.358032E-2</v>
      </c>
      <c r="V4232">
        <v>9.3744869999999994E-2</v>
      </c>
      <c r="W4232">
        <v>-1.4345399999999999E-2</v>
      </c>
      <c r="X4232">
        <v>0.99549290000000001</v>
      </c>
      <c r="Y4232">
        <v>5.5162589999999997E-2</v>
      </c>
      <c r="Z4232">
        <v>3.7486049999999999E-3</v>
      </c>
      <c r="AA4232">
        <v>0.99847039999999998</v>
      </c>
      <c r="AB4232">
        <v>19</v>
      </c>
      <c r="AC4232">
        <v>-25.615600000000001</v>
      </c>
      <c r="AD4232">
        <v>-1.108147134467</v>
      </c>
      <c r="AE4232">
        <v>-0.109800000000006</v>
      </c>
      <c r="AF4232">
        <v>1.41925963365455</v>
      </c>
      <c r="AG4232">
        <v>-1.108147134467</v>
      </c>
      <c r="AH4232">
        <v>25.528564756862998</v>
      </c>
      <c r="AI4232">
        <v>92.481714532220593</v>
      </c>
      <c r="AJ4232">
        <v>86.817918906137393</v>
      </c>
      <c r="AK4232">
        <v>25.591989108404501</v>
      </c>
      <c r="AL4232">
        <v>90.821959066868402</v>
      </c>
      <c r="AM4232">
        <v>84.620361050189103</v>
      </c>
      <c r="AN4232">
        <v>1.0000000025514399</v>
      </c>
    </row>
    <row r="4233" spans="1:40" x14ac:dyDescent="0.25">
      <c r="A4233" t="str">
        <f>"20190312161355727"</f>
        <v>20190312161355727</v>
      </c>
      <c r="B4233" t="str">
        <f>"1552378435720183"</f>
        <v>1552378435720183</v>
      </c>
      <c r="C4233" t="s">
        <v>40</v>
      </c>
      <c r="D4233">
        <v>5.5479520000000004</v>
      </c>
      <c r="E4233">
        <v>0.48560049999999999</v>
      </c>
      <c r="F4233" t="s">
        <v>42</v>
      </c>
      <c r="G4233">
        <v>-243.2278</v>
      </c>
      <c r="H4233" s="1">
        <v>-3.1307680000000001E-6</v>
      </c>
      <c r="I4233">
        <v>138.24520000000001</v>
      </c>
      <c r="J4233">
        <v>-215.47919999999999</v>
      </c>
      <c r="K4233">
        <v>1.108258</v>
      </c>
      <c r="L4233">
        <v>138.32599999999999</v>
      </c>
      <c r="M4233">
        <v>-0.99835839999999998</v>
      </c>
      <c r="N4233">
        <v>0</v>
      </c>
      <c r="O4233">
        <v>-5.563419E-2</v>
      </c>
      <c r="P4233">
        <v>-0.99890020000000002</v>
      </c>
      <c r="Q4233">
        <v>-2.801843E-2</v>
      </c>
      <c r="R4233">
        <v>3.7598720000000002E-2</v>
      </c>
      <c r="S4233">
        <v>-2.9999389999999999</v>
      </c>
      <c r="T4233">
        <v>-0.1189568</v>
      </c>
      <c r="U4233">
        <v>-9.399414E-3</v>
      </c>
      <c r="V4233">
        <v>9.3050090000000002E-2</v>
      </c>
      <c r="W4233">
        <v>-1.48865E-2</v>
      </c>
      <c r="X4233">
        <v>0.99555020000000005</v>
      </c>
      <c r="Y4233">
        <v>5.2425859999999998E-2</v>
      </c>
      <c r="Z4233">
        <v>3.2435089999999999E-3</v>
      </c>
      <c r="AA4233">
        <v>0.99861960000000005</v>
      </c>
      <c r="AB4233">
        <v>19</v>
      </c>
      <c r="AC4233">
        <v>-27.7486</v>
      </c>
      <c r="AD4233">
        <v>-1.1082611307679999</v>
      </c>
      <c r="AE4233">
        <v>-8.0799999999982206E-2</v>
      </c>
      <c r="AF4233">
        <v>1.4609087803849501</v>
      </c>
      <c r="AG4233">
        <v>-1.1082611307679999</v>
      </c>
      <c r="AH4233">
        <v>27.665980117155801</v>
      </c>
      <c r="AI4233">
        <v>92.290775489280193</v>
      </c>
      <c r="AJ4233">
        <v>86.977289902418505</v>
      </c>
      <c r="AK4233">
        <v>27.726683051555899</v>
      </c>
      <c r="AL4233">
        <v>90.852965073135294</v>
      </c>
      <c r="AM4233">
        <v>84.660305899101402</v>
      </c>
      <c r="AN4233">
        <v>1.0000000639256399</v>
      </c>
    </row>
    <row r="4234" spans="1:40" x14ac:dyDescent="0.25">
      <c r="A4234" t="str">
        <f>"20190312161355750"</f>
        <v>20190312161355750</v>
      </c>
      <c r="B4234" t="str">
        <f>"1552378435740679"</f>
        <v>1552378435740679</v>
      </c>
      <c r="C4234" t="s">
        <v>40</v>
      </c>
      <c r="D4234">
        <v>5.5463469999999999</v>
      </c>
      <c r="E4234">
        <v>0.48505609999999999</v>
      </c>
      <c r="F4234" t="s">
        <v>42</v>
      </c>
      <c r="G4234">
        <v>-244.691</v>
      </c>
      <c r="H4234" s="1">
        <v>-2.4923950000000001E-6</v>
      </c>
      <c r="I4234">
        <v>138.30529999999999</v>
      </c>
      <c r="J4234">
        <v>-215.6704</v>
      </c>
      <c r="K4234">
        <v>1.108366</v>
      </c>
      <c r="L4234">
        <v>138.3201</v>
      </c>
      <c r="M4234">
        <v>-0.99856420000000001</v>
      </c>
      <c r="N4234">
        <v>0</v>
      </c>
      <c r="O4234">
        <v>-5.1808809999999997E-2</v>
      </c>
      <c r="P4234">
        <v>-0.99874879999999999</v>
      </c>
      <c r="Q4234">
        <v>-2.833331E-2</v>
      </c>
      <c r="R4234">
        <v>4.1208500000000002E-2</v>
      </c>
      <c r="S4234">
        <v>-3.0001980000000001</v>
      </c>
      <c r="T4234">
        <v>-0.11382399999999999</v>
      </c>
      <c r="U4234">
        <v>-2.120972E-3</v>
      </c>
      <c r="V4234">
        <v>9.2835899999999999E-2</v>
      </c>
      <c r="W4234">
        <v>-1.5191959999999999E-2</v>
      </c>
      <c r="X4234">
        <v>0.99556549999999999</v>
      </c>
      <c r="Y4234">
        <v>5.103365E-2</v>
      </c>
      <c r="Z4234">
        <v>2.9321009999999999E-3</v>
      </c>
      <c r="AA4234">
        <v>0.99869260000000004</v>
      </c>
      <c r="AB4234">
        <v>19</v>
      </c>
      <c r="AC4234">
        <v>-29.020599999999899</v>
      </c>
      <c r="AD4234">
        <v>-1.1083684923949999</v>
      </c>
      <c r="AE4234">
        <v>-1.48000000000081E-2</v>
      </c>
      <c r="AF4234">
        <v>1.4867134001592599</v>
      </c>
      <c r="AG4234">
        <v>-1.1083684923949999</v>
      </c>
      <c r="AH4234">
        <v>28.940171572119699</v>
      </c>
      <c r="AI4234">
        <v>92.190391487763407</v>
      </c>
      <c r="AJ4234">
        <v>87.059188573076298</v>
      </c>
      <c r="AK4234">
        <v>28.999522893883501</v>
      </c>
      <c r="AL4234">
        <v>90.870468691453894</v>
      </c>
      <c r="AM4234">
        <v>84.672607825672699</v>
      </c>
      <c r="AN4234">
        <v>0.99999998238385002</v>
      </c>
    </row>
    <row r="4235" spans="1:40" x14ac:dyDescent="0.25">
      <c r="A4235" t="str">
        <f>"20190312161355795"</f>
        <v>20190312161355795</v>
      </c>
      <c r="B4235" t="str">
        <f>"1552378435790455"</f>
        <v>1552378435790455</v>
      </c>
      <c r="C4235" t="s">
        <v>40</v>
      </c>
      <c r="D4235">
        <v>5.4638249999999999</v>
      </c>
      <c r="E4235">
        <v>0.48374070000000002</v>
      </c>
      <c r="F4235" t="s">
        <v>42</v>
      </c>
      <c r="G4235">
        <v>-246.16849999999999</v>
      </c>
      <c r="H4235" s="1">
        <v>-1.848118E-6</v>
      </c>
      <c r="I4235">
        <v>138.36420000000001</v>
      </c>
      <c r="J4235">
        <v>-216.0564</v>
      </c>
      <c r="K4235">
        <v>1.10854599999999</v>
      </c>
      <c r="L4235">
        <v>138.30959999999999</v>
      </c>
      <c r="M4235">
        <v>-0.99891260000000004</v>
      </c>
      <c r="N4235">
        <v>0</v>
      </c>
      <c r="O4235">
        <v>-4.4600359999999999E-2</v>
      </c>
      <c r="P4235">
        <v>-0.99841210000000002</v>
      </c>
      <c r="Q4235">
        <v>-2.8849659999999999E-2</v>
      </c>
      <c r="R4235">
        <v>4.83846E-2</v>
      </c>
      <c r="S4235">
        <v>-3.0004879999999998</v>
      </c>
      <c r="T4235">
        <v>-0.10904469999999999</v>
      </c>
      <c r="U4235">
        <v>4.3487550000000002E-3</v>
      </c>
      <c r="V4235">
        <v>9.2808360000000006E-2</v>
      </c>
      <c r="W4235">
        <v>-1.569796E-2</v>
      </c>
      <c r="X4235">
        <v>0.99556020000000001</v>
      </c>
      <c r="Y4235">
        <v>4.5992539999999998E-2</v>
      </c>
      <c r="Z4235">
        <v>2.4555649999999998E-3</v>
      </c>
      <c r="AA4235">
        <v>0.99893869999999896</v>
      </c>
      <c r="AB4235">
        <v>19</v>
      </c>
      <c r="AC4235">
        <v>-30.112100000000002</v>
      </c>
      <c r="AD4235">
        <v>-1.10854784811799</v>
      </c>
      <c r="AE4235">
        <v>5.4600000000021902E-2</v>
      </c>
      <c r="AF4235">
        <v>1.3957883500432899</v>
      </c>
      <c r="AG4235">
        <v>-1.10854784811799</v>
      </c>
      <c r="AH4235">
        <v>30.038983890205301</v>
      </c>
      <c r="AI4235">
        <v>92.111187925099998</v>
      </c>
      <c r="AJ4235">
        <v>87.339613735912096</v>
      </c>
      <c r="AK4235">
        <v>30.091820426915</v>
      </c>
      <c r="AL4235">
        <v>90.899463831142299</v>
      </c>
      <c r="AM4235">
        <v>84.674150931154202</v>
      </c>
      <c r="AN4235">
        <v>0.99999996472904495</v>
      </c>
    </row>
    <row r="4236" spans="1:40" x14ac:dyDescent="0.25">
      <c r="A4236" t="str">
        <f>"20190312161355817"</f>
        <v>20190312161355817</v>
      </c>
      <c r="B4236" t="str">
        <f>"1552378435809975"</f>
        <v>1552378435809975</v>
      </c>
      <c r="C4236" t="s">
        <v>40</v>
      </c>
      <c r="D4236">
        <v>5.5242300000000002</v>
      </c>
      <c r="E4236">
        <v>0.4830005</v>
      </c>
      <c r="F4236" t="s">
        <v>42</v>
      </c>
      <c r="G4236">
        <v>-248.14590000000001</v>
      </c>
      <c r="H4236" s="1">
        <v>-9.8003670000000008E-7</v>
      </c>
      <c r="I4236">
        <v>138.47559999999999</v>
      </c>
      <c r="J4236">
        <v>-216.24789999999999</v>
      </c>
      <c r="K4236">
        <v>1.108608</v>
      </c>
      <c r="L4236">
        <v>138.30520000000001</v>
      </c>
      <c r="M4236">
        <v>-0.9990578</v>
      </c>
      <c r="N4236">
        <v>0</v>
      </c>
      <c r="O4236">
        <v>-4.1224650000000002E-2</v>
      </c>
      <c r="P4236">
        <v>-0.99826230000000005</v>
      </c>
      <c r="Q4236">
        <v>-2.839216E-2</v>
      </c>
      <c r="R4236">
        <v>5.1638990000000003E-2</v>
      </c>
      <c r="S4236">
        <v>-3.0010379999999999</v>
      </c>
      <c r="T4236">
        <v>-0.1036723</v>
      </c>
      <c r="U4236">
        <v>1.5533450000000001E-2</v>
      </c>
      <c r="V4236">
        <v>9.2694349999999995E-2</v>
      </c>
      <c r="W4236">
        <v>-1.5239269999999999E-2</v>
      </c>
      <c r="X4236">
        <v>0.99557799999999996</v>
      </c>
      <c r="Y4236">
        <v>4.634721E-2</v>
      </c>
      <c r="Z4236">
        <v>2.2238560000000002E-3</v>
      </c>
      <c r="AA4236">
        <v>0.99892289999999995</v>
      </c>
      <c r="AB4236">
        <v>19</v>
      </c>
      <c r="AC4236">
        <v>-31.898</v>
      </c>
      <c r="AD4236">
        <v>-1.1086089800366901</v>
      </c>
      <c r="AE4236">
        <v>0.17039999999997199</v>
      </c>
      <c r="AF4236">
        <v>1.4835680781162699</v>
      </c>
      <c r="AG4236">
        <v>-1.1086089800366901</v>
      </c>
      <c r="AH4236">
        <v>31.825412557485102</v>
      </c>
      <c r="AI4236">
        <v>91.992876742627701</v>
      </c>
      <c r="AJ4236">
        <v>87.331041708783999</v>
      </c>
      <c r="AK4236">
        <v>31.879254579854202</v>
      </c>
      <c r="AL4236">
        <v>90.873179639328697</v>
      </c>
      <c r="AM4236">
        <v>84.680750452503602</v>
      </c>
      <c r="AN4236">
        <v>1.00000001597802</v>
      </c>
    </row>
    <row r="4237" spans="1:40" x14ac:dyDescent="0.25">
      <c r="A4237" t="str">
        <f>"20190312161355839"</f>
        <v>20190312161355839</v>
      </c>
      <c r="B4237" t="str">
        <f>"1552378435830471"</f>
        <v>1552378435830471</v>
      </c>
      <c r="C4237" t="s">
        <v>40</v>
      </c>
      <c r="D4237">
        <v>5.5409550000000003</v>
      </c>
      <c r="E4237">
        <v>0.48222599999999999</v>
      </c>
      <c r="F4237" t="s">
        <v>42</v>
      </c>
      <c r="G4237">
        <v>-249.9237</v>
      </c>
      <c r="H4237" s="1">
        <v>-3.0291940000000001E-7</v>
      </c>
      <c r="I4237">
        <v>138.52289999999999</v>
      </c>
      <c r="J4237">
        <v>-216.42760000000001</v>
      </c>
      <c r="K4237">
        <v>1.108657</v>
      </c>
      <c r="L4237">
        <v>138.3015</v>
      </c>
      <c r="M4237">
        <v>-0.9991795</v>
      </c>
      <c r="N4237">
        <v>0</v>
      </c>
      <c r="O4237">
        <v>-3.8165999999999999E-2</v>
      </c>
      <c r="P4237">
        <v>-0.99814599999999998</v>
      </c>
      <c r="Q4237">
        <v>-2.7933989999999999E-2</v>
      </c>
      <c r="R4237">
        <v>5.4075100000000001E-2</v>
      </c>
      <c r="S4237">
        <v>-3.001404</v>
      </c>
      <c r="T4237">
        <v>-9.8806260000000007E-2</v>
      </c>
      <c r="U4237">
        <v>1.9409180000000002E-2</v>
      </c>
      <c r="V4237">
        <v>9.2080090000000003E-2</v>
      </c>
      <c r="W4237">
        <v>-1.477876E-2</v>
      </c>
      <c r="X4237">
        <v>0.99564189999999997</v>
      </c>
      <c r="Y4237">
        <v>4.458575E-2</v>
      </c>
      <c r="Z4237">
        <v>1.9896720000000001E-3</v>
      </c>
      <c r="AA4237">
        <v>0.99900359999999999</v>
      </c>
      <c r="AB4237">
        <v>19</v>
      </c>
      <c r="AC4237">
        <v>-33.496099999999899</v>
      </c>
      <c r="AD4237">
        <v>-1.10865730291939</v>
      </c>
      <c r="AE4237">
        <v>0.221399999999988</v>
      </c>
      <c r="AF4237">
        <v>1.49812713830563</v>
      </c>
      <c r="AG4237">
        <v>-1.10865730291939</v>
      </c>
      <c r="AH4237">
        <v>33.426623215590404</v>
      </c>
      <c r="AI4237">
        <v>91.897723136202799</v>
      </c>
      <c r="AJ4237">
        <v>87.433813220968304</v>
      </c>
      <c r="AK4237">
        <v>33.478540074723902</v>
      </c>
      <c r="AL4237">
        <v>90.846791423330401</v>
      </c>
      <c r="AM4237">
        <v>84.716136676465396</v>
      </c>
      <c r="AN4237">
        <v>0.99999997387857698</v>
      </c>
    </row>
    <row r="4238" spans="1:40" x14ac:dyDescent="0.25">
      <c r="A4238" t="str">
        <f>"20190312161355861"</f>
        <v>20190312161355861</v>
      </c>
      <c r="B4238" t="str">
        <f>"1552378435849991"</f>
        <v>1552378435849991</v>
      </c>
      <c r="C4238" t="s">
        <v>40</v>
      </c>
      <c r="D4238">
        <v>5.5883399999999996</v>
      </c>
      <c r="E4238">
        <v>0.48196480000000003</v>
      </c>
      <c r="F4238" t="s">
        <v>42</v>
      </c>
      <c r="G4238">
        <v>-251.59399999999999</v>
      </c>
      <c r="H4238" s="1">
        <v>-3.778819E-6</v>
      </c>
      <c r="I4238">
        <v>138.5429</v>
      </c>
      <c r="J4238">
        <v>-216.62389999999999</v>
      </c>
      <c r="K4238">
        <v>1.108703</v>
      </c>
      <c r="L4238">
        <v>138.298</v>
      </c>
      <c r="M4238">
        <v>-0.99929809999999997</v>
      </c>
      <c r="N4238">
        <v>0</v>
      </c>
      <c r="O4238">
        <v>-3.492866E-2</v>
      </c>
      <c r="P4238">
        <v>-0.99801399999999996</v>
      </c>
      <c r="Q4238">
        <v>-2.7995849999999999E-2</v>
      </c>
      <c r="R4238">
        <v>5.6430849999999998E-2</v>
      </c>
      <c r="S4238">
        <v>-3.0018009999999999</v>
      </c>
      <c r="T4238">
        <v>-9.4635010000000006E-2</v>
      </c>
      <c r="U4238">
        <v>2.061462E-2</v>
      </c>
      <c r="V4238">
        <v>9.1205999999999995E-2</v>
      </c>
      <c r="W4238">
        <v>-1.483771E-2</v>
      </c>
      <c r="X4238">
        <v>0.99572150000000004</v>
      </c>
      <c r="Y4238">
        <v>4.1756019999999998E-2</v>
      </c>
      <c r="Z4238">
        <v>1.7588739999999999E-3</v>
      </c>
      <c r="AA4238">
        <v>0.99912630000000002</v>
      </c>
      <c r="AB4238">
        <v>19</v>
      </c>
      <c r="AC4238">
        <v>-34.970100000000002</v>
      </c>
      <c r="AD4238">
        <v>-1.1087067788189999</v>
      </c>
      <c r="AE4238">
        <v>0.24490000000000101</v>
      </c>
      <c r="AF4238">
        <v>1.4648488789476399</v>
      </c>
      <c r="AG4238">
        <v>-1.1087067788189999</v>
      </c>
      <c r="AH4238">
        <v>34.905118936264998</v>
      </c>
      <c r="AI4238">
        <v>91.817700705089194</v>
      </c>
      <c r="AJ4238">
        <v>87.5969015208766</v>
      </c>
      <c r="AK4238">
        <v>34.953431032079799</v>
      </c>
      <c r="AL4238">
        <v>90.850169358802901</v>
      </c>
      <c r="AM4238">
        <v>84.766431073807695</v>
      </c>
      <c r="AN4238">
        <v>0.99999999881814605</v>
      </c>
    </row>
    <row r="4239" spans="1:40" x14ac:dyDescent="0.25">
      <c r="A4239" t="str">
        <f>"20190312161355885"</f>
        <v>20190312161355885</v>
      </c>
      <c r="B4239" t="str">
        <f>"1552378435880247"</f>
        <v>1552378435880247</v>
      </c>
      <c r="C4239" t="s">
        <v>40</v>
      </c>
      <c r="D4239">
        <v>5.5736019999999904</v>
      </c>
      <c r="E4239">
        <v>0.44535170000000002</v>
      </c>
      <c r="F4239" t="s">
        <v>42</v>
      </c>
      <c r="G4239">
        <v>-250.87569999999999</v>
      </c>
      <c r="H4239" s="1">
        <v>-4.0787569999999997E-6</v>
      </c>
      <c r="I4239">
        <v>138.58940000000001</v>
      </c>
      <c r="J4239">
        <v>-216.81790000000001</v>
      </c>
      <c r="K4239">
        <v>1.1087450000000001</v>
      </c>
      <c r="L4239">
        <v>138.29499999999999</v>
      </c>
      <c r="M4239">
        <v>-0.99940220000000002</v>
      </c>
      <c r="N4239">
        <v>0</v>
      </c>
      <c r="O4239">
        <v>-3.1814309999999998E-2</v>
      </c>
      <c r="P4239">
        <v>-0.99785239999999997</v>
      </c>
      <c r="Q4239">
        <v>-2.8055460000000001E-2</v>
      </c>
      <c r="R4239">
        <v>5.9194429999999999E-2</v>
      </c>
      <c r="S4239">
        <v>-3.0018009999999999</v>
      </c>
      <c r="T4239">
        <v>-9.7166299999999997E-2</v>
      </c>
      <c r="U4239">
        <v>2.554321E-2</v>
      </c>
      <c r="V4239">
        <v>9.0861890000000001E-2</v>
      </c>
      <c r="W4239">
        <v>-1.489684E-2</v>
      </c>
      <c r="X4239">
        <v>0.99575210000000003</v>
      </c>
      <c r="Y4239">
        <v>4.0282989999999998E-2</v>
      </c>
      <c r="Z4239">
        <v>1.6813030000000001E-3</v>
      </c>
      <c r="AA4239">
        <v>0.99918689999999999</v>
      </c>
      <c r="AB4239">
        <v>19</v>
      </c>
      <c r="AC4239">
        <v>-34.057799999999901</v>
      </c>
      <c r="AD4239">
        <v>-1.108749078757</v>
      </c>
      <c r="AE4239">
        <v>0.29440000000002398</v>
      </c>
      <c r="AF4239">
        <v>1.3764169104030499</v>
      </c>
      <c r="AG4239">
        <v>-1.108749078757</v>
      </c>
      <c r="AH4239">
        <v>33.995163515443302</v>
      </c>
      <c r="AI4239">
        <v>91.866506117597396</v>
      </c>
      <c r="AJ4239">
        <v>87.681439946935797</v>
      </c>
      <c r="AK4239">
        <v>34.041077986347901</v>
      </c>
      <c r="AL4239">
        <v>90.853557613139003</v>
      </c>
      <c r="AM4239">
        <v>84.786227051994999</v>
      </c>
      <c r="AN4239">
        <v>1.0000000217753799</v>
      </c>
    </row>
    <row r="4240" spans="1:40" x14ac:dyDescent="0.25">
      <c r="A4240" t="str">
        <f>"20190312161355904"</f>
        <v>20190312161355904</v>
      </c>
      <c r="B4240" t="str">
        <f>"1552378435900743"</f>
        <v>1552378435900743</v>
      </c>
      <c r="C4240" t="s">
        <v>40</v>
      </c>
      <c r="D4240">
        <v>5.6157620000000001</v>
      </c>
      <c r="E4240">
        <v>0.43681639999999999</v>
      </c>
      <c r="F4240" t="s">
        <v>84</v>
      </c>
      <c r="G4240">
        <v>-294.62439999999998</v>
      </c>
      <c r="H4240" s="1">
        <v>-5.8174609999999998E-6</v>
      </c>
      <c r="I4240">
        <v>131.66810000000001</v>
      </c>
      <c r="J4240">
        <v>-216.9847</v>
      </c>
      <c r="K4240">
        <v>1.1087819999999999</v>
      </c>
      <c r="L4240">
        <v>138.2928</v>
      </c>
      <c r="M4240">
        <v>-0.99948239999999999</v>
      </c>
      <c r="N4240">
        <v>0</v>
      </c>
      <c r="O4240">
        <v>-2.919194E-2</v>
      </c>
      <c r="P4240">
        <v>-0.99767260000000002</v>
      </c>
      <c r="Q4240">
        <v>-2.891266E-2</v>
      </c>
      <c r="R4240">
        <v>6.1756529999999997E-2</v>
      </c>
      <c r="S4240">
        <v>-3.0205229999999998</v>
      </c>
      <c r="T4240">
        <v>-4.3042780000000003E-2</v>
      </c>
      <c r="U4240">
        <v>-0.25726320000000003</v>
      </c>
      <c r="V4240">
        <v>9.0803549999999997E-2</v>
      </c>
      <c r="W4240">
        <v>-1.575505E-2</v>
      </c>
      <c r="X4240">
        <v>0.99574419999999997</v>
      </c>
      <c r="Y4240">
        <v>-5.5736340000000002E-2</v>
      </c>
      <c r="Z4240" s="1">
        <v>1.8693679999999999E-5</v>
      </c>
      <c r="AA4240">
        <v>0.99844549999999999</v>
      </c>
      <c r="AB4240">
        <v>19</v>
      </c>
      <c r="AC4240">
        <v>-77.639699999999905</v>
      </c>
      <c r="AD4240">
        <v>-1.108787817461</v>
      </c>
      <c r="AE4240">
        <v>-6.62469999999999</v>
      </c>
      <c r="AF4240">
        <v>-4.3543339363392404</v>
      </c>
      <c r="AG4240">
        <v>-1.108787817461</v>
      </c>
      <c r="AH4240">
        <v>77.784261697905293</v>
      </c>
      <c r="AI4240">
        <v>90.815399815217006</v>
      </c>
      <c r="AJ4240">
        <v>93.204052277271003</v>
      </c>
      <c r="AK4240">
        <v>77.913933300414996</v>
      </c>
      <c r="AL4240">
        <v>90.902735211858797</v>
      </c>
      <c r="AM4240">
        <v>84.789515133993007</v>
      </c>
      <c r="AN4240">
        <v>1.0000000090633701</v>
      </c>
    </row>
    <row r="4241" spans="1:40" x14ac:dyDescent="0.25">
      <c r="A4241" t="str">
        <f>"20190312161355928"</f>
        <v>20190312161355928</v>
      </c>
      <c r="B4241" t="str">
        <f>"1552378435920263"</f>
        <v>1552378435920263</v>
      </c>
      <c r="C4241" t="s">
        <v>40</v>
      </c>
      <c r="D4241">
        <v>5.5666390000000003</v>
      </c>
      <c r="E4241">
        <v>0.43357849999999998</v>
      </c>
      <c r="F4241" t="s">
        <v>84</v>
      </c>
      <c r="G4241">
        <v>-297.31099999999998</v>
      </c>
      <c r="H4241" s="1">
        <v>-5.0852790000000003E-6</v>
      </c>
      <c r="I4241">
        <v>129.86670000000001</v>
      </c>
      <c r="J4241">
        <v>-217.18459999999999</v>
      </c>
      <c r="K4241">
        <v>1.1088089999999999</v>
      </c>
      <c r="L4241">
        <v>138.29079999999999</v>
      </c>
      <c r="M4241">
        <v>-0.99956800000000001</v>
      </c>
      <c r="N4241">
        <v>0</v>
      </c>
      <c r="O4241">
        <v>-2.610119E-2</v>
      </c>
      <c r="P4241">
        <v>-0.99748360000000003</v>
      </c>
      <c r="Q4241">
        <v>-2.958438E-2</v>
      </c>
      <c r="R4241">
        <v>6.4432249999999996E-2</v>
      </c>
      <c r="S4241">
        <v>-3.025436</v>
      </c>
      <c r="T4241">
        <v>-4.1761760000000002E-2</v>
      </c>
      <c r="U4241">
        <v>-0.31736760000000003</v>
      </c>
      <c r="V4241">
        <v>9.0393680000000004E-2</v>
      </c>
      <c r="W4241">
        <v>-1.642706E-2</v>
      </c>
      <c r="X4241">
        <v>0.99577059999999995</v>
      </c>
      <c r="Y4241">
        <v>-7.832575E-2</v>
      </c>
      <c r="Z4241">
        <v>-1.7991630000000001E-4</v>
      </c>
      <c r="AA4241">
        <v>0.99692780000000003</v>
      </c>
      <c r="AB4241">
        <v>19</v>
      </c>
      <c r="AC4241">
        <v>-80.126399999999904</v>
      </c>
      <c r="AD4241">
        <v>-1.1088140852789901</v>
      </c>
      <c r="AE4241">
        <v>-8.4240999999999797</v>
      </c>
      <c r="AF4241">
        <v>-6.3284454942667603</v>
      </c>
      <c r="AG4241">
        <v>-1.1088140852789901</v>
      </c>
      <c r="AH4241">
        <v>80.3037855675055</v>
      </c>
      <c r="AI4241">
        <v>90.788630396045704</v>
      </c>
      <c r="AJ4241">
        <v>94.505956714431804</v>
      </c>
      <c r="AK4241">
        <v>80.560391431034603</v>
      </c>
      <c r="AL4241">
        <v>90.941243565088797</v>
      </c>
      <c r="AM4241">
        <v>84.813042458320098</v>
      </c>
      <c r="AN4241">
        <v>0.99999997675427199</v>
      </c>
    </row>
    <row r="4242" spans="1:40" x14ac:dyDescent="0.25">
      <c r="A4242" t="str">
        <f>"20190312161355951"</f>
        <v>20190312161355951</v>
      </c>
      <c r="B4242" t="str">
        <f>"1552378435940759"</f>
        <v>1552378435940759</v>
      </c>
      <c r="C4242" t="s">
        <v>40</v>
      </c>
      <c r="D4242">
        <v>5.5771379999999997</v>
      </c>
      <c r="E4242">
        <v>0.43156549999999999</v>
      </c>
      <c r="F4242" t="s">
        <v>42</v>
      </c>
      <c r="G4242">
        <v>-274.76940000000002</v>
      </c>
      <c r="H4242" s="1">
        <v>-3.8150160000000003E-6</v>
      </c>
      <c r="I4242">
        <v>131.91550000000001</v>
      </c>
      <c r="J4242">
        <v>-217.38079999999999</v>
      </c>
      <c r="K4242">
        <v>1.1088199999999999</v>
      </c>
      <c r="L4242">
        <v>138.28919999999999</v>
      </c>
      <c r="M4242">
        <v>-0.99964169999999997</v>
      </c>
      <c r="N4242">
        <v>0</v>
      </c>
      <c r="O4242">
        <v>-2.3113249999999998E-2</v>
      </c>
      <c r="P4242">
        <v>-0.99730640000000004</v>
      </c>
      <c r="Q4242">
        <v>-3.015058E-2</v>
      </c>
      <c r="R4242">
        <v>6.686773E-2</v>
      </c>
      <c r="S4242">
        <v>-3.0274960000000002</v>
      </c>
      <c r="T4242">
        <v>-5.8295369999999999E-2</v>
      </c>
      <c r="U4242">
        <v>-0.33517459999999999</v>
      </c>
      <c r="V4242">
        <v>8.9847389999999999E-2</v>
      </c>
      <c r="W4242">
        <v>-1.699473E-2</v>
      </c>
      <c r="X4242">
        <v>0.99581050000000004</v>
      </c>
      <c r="Y4242">
        <v>-8.7021769999999998E-2</v>
      </c>
      <c r="Z4242">
        <v>-3.916611E-4</v>
      </c>
      <c r="AA4242">
        <v>0.99620629999999999</v>
      </c>
      <c r="AB4242">
        <v>19</v>
      </c>
      <c r="AC4242">
        <v>-57.388599999999997</v>
      </c>
      <c r="AD4242">
        <v>-1.1088238150159999</v>
      </c>
      <c r="AE4242">
        <v>-6.3736999999999799</v>
      </c>
      <c r="AF4242">
        <v>-5.0435791338133003</v>
      </c>
      <c r="AG4242">
        <v>-1.1088238150159999</v>
      </c>
      <c r="AH4242">
        <v>57.499392607016397</v>
      </c>
      <c r="AI4242">
        <v>91.100535795762298</v>
      </c>
      <c r="AJ4242">
        <v>95.0128890534112</v>
      </c>
      <c r="AK4242">
        <v>57.7308178610662</v>
      </c>
      <c r="AL4242">
        <v>90.973773217045803</v>
      </c>
      <c r="AM4242">
        <v>84.844425608011605</v>
      </c>
      <c r="AN4242">
        <v>0.99999996312391604</v>
      </c>
    </row>
    <row r="4243" spans="1:40" x14ac:dyDescent="0.25">
      <c r="A4243" t="str">
        <f>"20190312161355973"</f>
        <v>20190312161355973</v>
      </c>
      <c r="B4243" t="str">
        <f>"1552378435970038"</f>
        <v>1552378435970038</v>
      </c>
      <c r="C4243" t="s">
        <v>40</v>
      </c>
      <c r="D4243">
        <v>5.6277140000000001</v>
      </c>
      <c r="E4243">
        <v>0.42926779999999998</v>
      </c>
      <c r="F4243" t="s">
        <v>42</v>
      </c>
      <c r="G4243">
        <v>-267.58170000000001</v>
      </c>
      <c r="H4243" s="1">
        <v>-2.6784169999999999E-6</v>
      </c>
      <c r="I4243">
        <v>132.59030000000001</v>
      </c>
      <c r="J4243">
        <v>-217.5692</v>
      </c>
      <c r="K4243">
        <v>1.1088180000000001</v>
      </c>
      <c r="L4243">
        <v>138.28829999999999</v>
      </c>
      <c r="M4243">
        <v>-0.99970340000000002</v>
      </c>
      <c r="N4243">
        <v>0</v>
      </c>
      <c r="O4243">
        <v>-2.0271899999999999E-2</v>
      </c>
      <c r="P4243">
        <v>-0.99715010000000004</v>
      </c>
      <c r="Q4243">
        <v>-3.024087E-2</v>
      </c>
      <c r="R4243">
        <v>6.9122279999999994E-2</v>
      </c>
      <c r="S4243">
        <v>-3.0291440000000001</v>
      </c>
      <c r="T4243">
        <v>-6.6906930000000003E-2</v>
      </c>
      <c r="U4243">
        <v>-0.34387210000000001</v>
      </c>
      <c r="V4243">
        <v>8.9268280000000005E-2</v>
      </c>
      <c r="W4243">
        <v>-1.7088059999999999E-2</v>
      </c>
      <c r="X4243">
        <v>0.995861</v>
      </c>
      <c r="Y4243">
        <v>-9.2611739999999998E-2</v>
      </c>
      <c r="Z4243">
        <v>-5.7323149999999995E-4</v>
      </c>
      <c r="AA4243">
        <v>0.99570210000000003</v>
      </c>
      <c r="AB4243">
        <v>19</v>
      </c>
      <c r="AC4243">
        <v>-50.012500000000003</v>
      </c>
      <c r="AD4243">
        <v>-1.108820678417</v>
      </c>
      <c r="AE4243">
        <v>-5.6979999999999702</v>
      </c>
      <c r="AF4243">
        <v>-4.6806168525503997</v>
      </c>
      <c r="AG4243">
        <v>-1.108820678417</v>
      </c>
      <c r="AH4243">
        <v>50.093432785090798</v>
      </c>
      <c r="AI4243">
        <v>91.262540315081196</v>
      </c>
      <c r="AJ4243">
        <v>95.338088889997294</v>
      </c>
      <c r="AK4243">
        <v>50.323847881612501</v>
      </c>
      <c r="AL4243">
        <v>90.979121392983899</v>
      </c>
      <c r="AM4243">
        <v>84.877736802421097</v>
      </c>
      <c r="AN4243">
        <v>0.99999997946485997</v>
      </c>
    </row>
    <row r="4244" spans="1:40" x14ac:dyDescent="0.25">
      <c r="A4244" t="str">
        <f>"20190312161355997"</f>
        <v>20190312161355997</v>
      </c>
      <c r="B4244" t="str">
        <f>"1552378435990534"</f>
        <v>1552378435990534</v>
      </c>
      <c r="C4244" t="s">
        <v>40</v>
      </c>
      <c r="D4244">
        <v>5.6123900000000004</v>
      </c>
      <c r="E4244">
        <v>0.42806070000000002</v>
      </c>
      <c r="F4244" t="s">
        <v>42</v>
      </c>
      <c r="G4244">
        <v>-265.39789999999999</v>
      </c>
      <c r="H4244" s="1">
        <v>-3.3971570000000001E-6</v>
      </c>
      <c r="I4244">
        <v>132.68199999999999</v>
      </c>
      <c r="J4244">
        <v>-217.76349999999999</v>
      </c>
      <c r="K4244">
        <v>1.10880499999999</v>
      </c>
      <c r="L4244">
        <v>138.28790000000001</v>
      </c>
      <c r="M4244">
        <v>-0.99975820000000004</v>
      </c>
      <c r="N4244">
        <v>0</v>
      </c>
      <c r="O4244">
        <v>-1.735424E-2</v>
      </c>
      <c r="P4244">
        <v>-0.99699260000000001</v>
      </c>
      <c r="Q4244">
        <v>-3.0370129999999999E-2</v>
      </c>
      <c r="R4244">
        <v>7.1298239999999999E-2</v>
      </c>
      <c r="S4244">
        <v>-3.0310670000000002</v>
      </c>
      <c r="T4244">
        <v>-7.0269819999999997E-2</v>
      </c>
      <c r="U4244">
        <v>-0.35528559999999998</v>
      </c>
      <c r="V4244">
        <v>8.8534440000000006E-2</v>
      </c>
      <c r="W4244">
        <v>-1.7221480000000001E-2</v>
      </c>
      <c r="X4244">
        <v>0.99592420000000004</v>
      </c>
      <c r="Y4244">
        <v>-9.9140699999999998E-2</v>
      </c>
      <c r="Z4244">
        <v>-7.4430549999999996E-4</v>
      </c>
      <c r="AA4244">
        <v>0.99507310000000004</v>
      </c>
      <c r="AB4244">
        <v>19</v>
      </c>
      <c r="AC4244">
        <v>-47.634399999999999</v>
      </c>
      <c r="AD4244">
        <v>-1.10880839715699</v>
      </c>
      <c r="AE4244">
        <v>-5.6058999999999903</v>
      </c>
      <c r="AF4244">
        <v>-4.7757690632332599</v>
      </c>
      <c r="AG4244">
        <v>-1.10880839715699</v>
      </c>
      <c r="AH4244">
        <v>47.699027932490502</v>
      </c>
      <c r="AI4244">
        <v>91.325031488235098</v>
      </c>
      <c r="AJ4244">
        <v>95.717569812403198</v>
      </c>
      <c r="AK4244">
        <v>47.950335680904701</v>
      </c>
      <c r="AL4244">
        <v>90.986766931157106</v>
      </c>
      <c r="AM4244">
        <v>84.919944385175597</v>
      </c>
      <c r="AN4244">
        <v>0.99999996929257096</v>
      </c>
    </row>
    <row r="4245" spans="1:40" x14ac:dyDescent="0.25">
      <c r="A4245" t="str">
        <f>"20190312161356018"</f>
        <v>20190312161356018</v>
      </c>
      <c r="B4245" t="str">
        <f>"1552378436010055"</f>
        <v>1552378436010055</v>
      </c>
      <c r="C4245" t="s">
        <v>40</v>
      </c>
      <c r="D4245">
        <v>5.5745459999999998</v>
      </c>
      <c r="E4245">
        <v>0.42701939999999999</v>
      </c>
      <c r="F4245" t="s">
        <v>42</v>
      </c>
      <c r="G4245">
        <v>-263.0027</v>
      </c>
      <c r="H4245" s="1">
        <v>-4.1680550000000002E-6</v>
      </c>
      <c r="I4245">
        <v>132.9417</v>
      </c>
      <c r="J4245">
        <v>-217.94550000000001</v>
      </c>
      <c r="K4245">
        <v>1.108789</v>
      </c>
      <c r="L4245">
        <v>138.28799999999899</v>
      </c>
      <c r="M4245">
        <v>-0.99980210000000003</v>
      </c>
      <c r="N4245">
        <v>0</v>
      </c>
      <c r="O4245">
        <v>-1.462046E-2</v>
      </c>
      <c r="P4245">
        <v>-0.99682959999999998</v>
      </c>
      <c r="Q4245">
        <v>-3.091406E-2</v>
      </c>
      <c r="R4245">
        <v>7.3316309999999996E-2</v>
      </c>
      <c r="S4245">
        <v>-3.03241</v>
      </c>
      <c r="T4245">
        <v>-7.4324130000000002E-2</v>
      </c>
      <c r="U4245">
        <v>-0.35835270000000002</v>
      </c>
      <c r="V4245">
        <v>8.7824819999999998E-2</v>
      </c>
      <c r="W4245">
        <v>-1.7769739999999999E-2</v>
      </c>
      <c r="X4245">
        <v>0.99597740000000001</v>
      </c>
      <c r="Y4245">
        <v>-0.10279820000000001</v>
      </c>
      <c r="Z4245">
        <v>-8.9823679999999904E-4</v>
      </c>
      <c r="AA4245">
        <v>0.99470179999999997</v>
      </c>
      <c r="AB4245">
        <v>19</v>
      </c>
      <c r="AC4245">
        <v>-45.057200000000002</v>
      </c>
      <c r="AD4245">
        <v>-1.1087931680550001</v>
      </c>
      <c r="AE4245">
        <v>-5.3462999999999798</v>
      </c>
      <c r="AF4245">
        <v>-4.6841142815646801</v>
      </c>
      <c r="AG4245">
        <v>-1.1087931680550001</v>
      </c>
      <c r="AH4245">
        <v>45.103620975841899</v>
      </c>
      <c r="AI4245">
        <v>91.400702087553896</v>
      </c>
      <c r="AJ4245">
        <v>95.929043315379602</v>
      </c>
      <c r="AK4245">
        <v>45.359750594824597</v>
      </c>
      <c r="AL4245">
        <v>91.018184722650204</v>
      </c>
      <c r="AM4245">
        <v>84.960719256323401</v>
      </c>
      <c r="AN4245">
        <v>0.99999997198922896</v>
      </c>
    </row>
    <row r="4246" spans="1:40" x14ac:dyDescent="0.25">
      <c r="A4246" t="str">
        <f>"20190312161356040"</f>
        <v>20190312161356040</v>
      </c>
      <c r="B4246" t="str">
        <f>"1552378436030551"</f>
        <v>1552378436030551</v>
      </c>
      <c r="C4246" t="s">
        <v>40</v>
      </c>
      <c r="D4246">
        <v>5.6526649999999998</v>
      </c>
      <c r="E4246">
        <v>0.42630259999999998</v>
      </c>
      <c r="F4246" t="s">
        <v>42</v>
      </c>
      <c r="G4246">
        <v>-261.28250000000003</v>
      </c>
      <c r="H4246" s="1">
        <v>-4.8708339999999997E-6</v>
      </c>
      <c r="I4246">
        <v>133.14009999999999</v>
      </c>
      <c r="J4246">
        <v>-218.12809999999999</v>
      </c>
      <c r="K4246">
        <v>1.1087819999999999</v>
      </c>
      <c r="L4246">
        <v>138.2886</v>
      </c>
      <c r="M4246">
        <v>-0.99983860000000002</v>
      </c>
      <c r="N4246">
        <v>0</v>
      </c>
      <c r="O4246">
        <v>-1.1869380000000001E-2</v>
      </c>
      <c r="P4246">
        <v>-0.99667169999999905</v>
      </c>
      <c r="Q4246">
        <v>-3.076533E-2</v>
      </c>
      <c r="R4246">
        <v>7.5492359999999994E-2</v>
      </c>
      <c r="S4246">
        <v>-3.03363</v>
      </c>
      <c r="T4246">
        <v>-7.7616690000000002E-2</v>
      </c>
      <c r="U4246">
        <v>-0.36035159999999999</v>
      </c>
      <c r="V4246">
        <v>8.725861E-2</v>
      </c>
      <c r="W4246">
        <v>-1.7625499999999999E-2</v>
      </c>
      <c r="X4246">
        <v>0.99602970000000002</v>
      </c>
      <c r="Y4246">
        <v>-0.10613</v>
      </c>
      <c r="Z4246">
        <v>-1.0501760000000001E-3</v>
      </c>
      <c r="AA4246">
        <v>0.99435169999999995</v>
      </c>
      <c r="AB4246">
        <v>19</v>
      </c>
      <c r="AC4246">
        <v>-43.154400000000003</v>
      </c>
      <c r="AD4246">
        <v>-1.1087868708339901</v>
      </c>
      <c r="AE4246">
        <v>-5.1485000000000101</v>
      </c>
      <c r="AF4246">
        <v>-4.6328592079409896</v>
      </c>
      <c r="AG4246">
        <v>-1.1087868708339901</v>
      </c>
      <c r="AH4246">
        <v>43.184366257582298</v>
      </c>
      <c r="AI4246">
        <v>91.462395749477096</v>
      </c>
      <c r="AJ4246">
        <v>96.123324966969093</v>
      </c>
      <c r="AK4246">
        <v>43.446314939641901</v>
      </c>
      <c r="AL4246">
        <v>91.009919113651804</v>
      </c>
      <c r="AM4246">
        <v>84.993303584133699</v>
      </c>
      <c r="AN4246">
        <v>0.99999994327573405</v>
      </c>
    </row>
    <row r="4247" spans="1:40" x14ac:dyDescent="0.25">
      <c r="A4247" t="str">
        <f>"20190312161356061"</f>
        <v>20190312161356061</v>
      </c>
      <c r="B4247" t="str">
        <f>"1552378436050072"</f>
        <v>1552378436050072</v>
      </c>
      <c r="C4247" t="s">
        <v>40</v>
      </c>
      <c r="D4247">
        <v>5.6454779999999998</v>
      </c>
      <c r="E4247">
        <v>0.4255892</v>
      </c>
      <c r="F4247" t="s">
        <v>42</v>
      </c>
      <c r="G4247">
        <v>-261.0215</v>
      </c>
      <c r="H4247" s="1">
        <v>-4.970843E-6</v>
      </c>
      <c r="I4247">
        <v>133.20760000000001</v>
      </c>
      <c r="J4247">
        <v>-218.3098</v>
      </c>
      <c r="K4247">
        <v>1.108773</v>
      </c>
      <c r="L4247">
        <v>138.28970000000001</v>
      </c>
      <c r="M4247">
        <v>-0.99986739999999996</v>
      </c>
      <c r="N4247">
        <v>0</v>
      </c>
      <c r="O4247">
        <v>-9.1181950000000008E-3</v>
      </c>
      <c r="P4247">
        <v>-0.99652379999999996</v>
      </c>
      <c r="Q4247">
        <v>-3.0286939999999998E-2</v>
      </c>
      <c r="R4247">
        <v>7.7608419999999997E-2</v>
      </c>
      <c r="S4247">
        <v>-3.0348510000000002</v>
      </c>
      <c r="T4247">
        <v>-7.8450439999999996E-2</v>
      </c>
      <c r="U4247">
        <v>-0.35949710000000001</v>
      </c>
      <c r="V4247">
        <v>8.6634180000000005E-2</v>
      </c>
      <c r="W4247">
        <v>-1.7150499999999999E-2</v>
      </c>
      <c r="X4247">
        <v>0.99609259999999999</v>
      </c>
      <c r="Y4247">
        <v>-0.1085405</v>
      </c>
      <c r="Z4247">
        <v>-1.1629279999999999E-3</v>
      </c>
      <c r="AA4247">
        <v>0.99409130000000001</v>
      </c>
      <c r="AB4247">
        <v>19</v>
      </c>
      <c r="AC4247">
        <v>-42.7117</v>
      </c>
      <c r="AD4247">
        <v>-1.1087779708429999</v>
      </c>
      <c r="AE4247">
        <v>-5.0820999999999898</v>
      </c>
      <c r="AF4247">
        <v>-4.6892836350162499</v>
      </c>
      <c r="AG4247">
        <v>-1.1087779708429999</v>
      </c>
      <c r="AH4247">
        <v>42.727875534613503</v>
      </c>
      <c r="AI4247">
        <v>91.477609966963897</v>
      </c>
      <c r="AJ4247">
        <v>96.263011975401199</v>
      </c>
      <c r="AK4247">
        <v>42.998722275198801</v>
      </c>
      <c r="AL4247">
        <v>90.982699402177005</v>
      </c>
      <c r="AM4247">
        <v>85.029264090431695</v>
      </c>
      <c r="AN4247">
        <v>1.00000004428464</v>
      </c>
    </row>
    <row r="4248" spans="1:40" x14ac:dyDescent="0.25">
      <c r="A4248" t="str">
        <f>"20190312161356084"</f>
        <v>20190312161356084</v>
      </c>
      <c r="B4248" t="str">
        <f>"1552378436080327"</f>
        <v>1552378436080327</v>
      </c>
      <c r="C4248" t="s">
        <v>40</v>
      </c>
      <c r="D4248">
        <v>5.6626839999999996</v>
      </c>
      <c r="E4248">
        <v>0.42447770000000001</v>
      </c>
      <c r="F4248" t="s">
        <v>42</v>
      </c>
      <c r="G4248">
        <v>-260.92939999999999</v>
      </c>
      <c r="H4248" s="1">
        <v>-5.0022789999999996E-6</v>
      </c>
      <c r="I4248">
        <v>133.25309999999999</v>
      </c>
      <c r="J4248">
        <v>-218.49789999999999</v>
      </c>
      <c r="K4248">
        <v>1.1087659999999999</v>
      </c>
      <c r="L4248">
        <v>138.29140000000001</v>
      </c>
      <c r="M4248">
        <v>-0.99988960000000005</v>
      </c>
      <c r="N4248">
        <v>0</v>
      </c>
      <c r="O4248">
        <v>-6.2553419999999997E-3</v>
      </c>
      <c r="P4248">
        <v>-0.99633329999999998</v>
      </c>
      <c r="Q4248">
        <v>-3.036817E-2</v>
      </c>
      <c r="R4248">
        <v>7.9987699999999995E-2</v>
      </c>
      <c r="S4248">
        <v>-3.0359950000000002</v>
      </c>
      <c r="T4248">
        <v>-7.898355E-2</v>
      </c>
      <c r="U4248">
        <v>-0.35877989999999998</v>
      </c>
      <c r="V4248">
        <v>8.6160089999999995E-2</v>
      </c>
      <c r="W4248">
        <v>-1.723527E-2</v>
      </c>
      <c r="X4248">
        <v>0.99613220000000002</v>
      </c>
      <c r="Y4248">
        <v>-0.11110879999999999</v>
      </c>
      <c r="Z4248">
        <v>-1.2778889999999999E-3</v>
      </c>
      <c r="AA4248">
        <v>0.99380740000000001</v>
      </c>
      <c r="AB4248">
        <v>19</v>
      </c>
      <c r="AC4248">
        <v>-42.4315</v>
      </c>
      <c r="AD4248">
        <v>-1.1087710022789901</v>
      </c>
      <c r="AE4248">
        <v>-5.03830000000002</v>
      </c>
      <c r="AF4248">
        <v>-4.7695422874891298</v>
      </c>
      <c r="AG4248">
        <v>-1.1087710022789901</v>
      </c>
      <c r="AH4248">
        <v>42.43361710157</v>
      </c>
      <c r="AI4248">
        <v>91.487409860362106</v>
      </c>
      <c r="AJ4248">
        <v>96.413133665397496</v>
      </c>
      <c r="AK4248">
        <v>42.7152170436988</v>
      </c>
      <c r="AL4248">
        <v>90.987557139027601</v>
      </c>
      <c r="AM4248">
        <v>85.056525932525304</v>
      </c>
      <c r="AN4248">
        <v>0.99999998775881005</v>
      </c>
    </row>
    <row r="4249" spans="1:40" x14ac:dyDescent="0.25">
      <c r="A4249" t="str">
        <f>"20190312161356106"</f>
        <v>20190312161356106</v>
      </c>
      <c r="B4249" t="str">
        <f>"1552378436100823"</f>
        <v>1552378436100823</v>
      </c>
      <c r="C4249" t="s">
        <v>40</v>
      </c>
      <c r="D4249">
        <v>5.6957649999999997</v>
      </c>
      <c r="E4249">
        <v>0.42385299999999998</v>
      </c>
      <c r="F4249" t="s">
        <v>42</v>
      </c>
      <c r="G4249">
        <v>-260.21949999999998</v>
      </c>
      <c r="H4249" s="1">
        <v>-5.291153E-6</v>
      </c>
      <c r="I4249">
        <v>133.34139999999999</v>
      </c>
      <c r="J4249">
        <v>-218.6875</v>
      </c>
      <c r="K4249">
        <v>1.1087629999999999</v>
      </c>
      <c r="L4249">
        <v>138.2937</v>
      </c>
      <c r="M4249">
        <v>-0.9999036</v>
      </c>
      <c r="N4249">
        <v>0</v>
      </c>
      <c r="O4249">
        <v>-3.3578420000000002E-3</v>
      </c>
      <c r="P4249">
        <v>-0.99610299999999996</v>
      </c>
      <c r="Q4249">
        <v>-3.0542699999999999E-2</v>
      </c>
      <c r="R4249">
        <v>8.274186E-2</v>
      </c>
      <c r="S4249">
        <v>-3.0375209999999999</v>
      </c>
      <c r="T4249">
        <v>-8.0723639999999999E-2</v>
      </c>
      <c r="U4249">
        <v>-0.36038209999999998</v>
      </c>
      <c r="V4249">
        <v>8.6026489999999997E-2</v>
      </c>
      <c r="W4249">
        <v>-1.7414010000000001E-2</v>
      </c>
      <c r="X4249">
        <v>0.99614069999999999</v>
      </c>
      <c r="Y4249">
        <v>-0.11444310000000001</v>
      </c>
      <c r="Z4249">
        <v>-1.4262000000000001E-3</v>
      </c>
      <c r="AA4249">
        <v>0.9934288</v>
      </c>
      <c r="AB4249">
        <v>19</v>
      </c>
      <c r="AC4249">
        <v>-41.531999999999897</v>
      </c>
      <c r="AD4249">
        <v>-1.1087682911529999</v>
      </c>
      <c r="AE4249">
        <v>-4.9523000000000001</v>
      </c>
      <c r="AF4249">
        <v>-4.8094218298845099</v>
      </c>
      <c r="AG4249">
        <v>-1.1087682911529999</v>
      </c>
      <c r="AH4249">
        <v>41.519219838460899</v>
      </c>
      <c r="AI4249">
        <v>91.519560863285193</v>
      </c>
      <c r="AJ4249">
        <v>96.607467992988006</v>
      </c>
      <c r="AK4249">
        <v>41.811547704619599</v>
      </c>
      <c r="AL4249">
        <v>90.997799662460096</v>
      </c>
      <c r="AM4249">
        <v>85.064195304646304</v>
      </c>
      <c r="AN4249">
        <v>1.00000004946124</v>
      </c>
    </row>
    <row r="4250" spans="1:40" x14ac:dyDescent="0.25">
      <c r="A4250" t="str">
        <f>"20190312161356130"</f>
        <v>20190312161356130</v>
      </c>
      <c r="B4250" t="str">
        <f>"1552378436120343"</f>
        <v>1552378436120343</v>
      </c>
      <c r="C4250" t="s">
        <v>40</v>
      </c>
      <c r="D4250">
        <v>5.6900700000000004</v>
      </c>
      <c r="E4250">
        <v>0.42319869999999998</v>
      </c>
      <c r="F4250" t="s">
        <v>42</v>
      </c>
      <c r="G4250">
        <v>-259.42270000000002</v>
      </c>
      <c r="H4250" s="1">
        <v>-1.807559E-6</v>
      </c>
      <c r="I4250">
        <v>133.5087</v>
      </c>
      <c r="J4250">
        <v>-218.87970000000001</v>
      </c>
      <c r="K4250">
        <v>1.1087499999999999</v>
      </c>
      <c r="L4250">
        <v>138.29660000000001</v>
      </c>
      <c r="M4250">
        <v>-0.9999091</v>
      </c>
      <c r="N4250">
        <v>0</v>
      </c>
      <c r="O4250">
        <v>-4.1125839999999999E-4</v>
      </c>
      <c r="P4250">
        <v>-0.99585349999999995</v>
      </c>
      <c r="Q4250">
        <v>-3.0425029999999999E-2</v>
      </c>
      <c r="R4250">
        <v>8.5731929999999998E-2</v>
      </c>
      <c r="S4250">
        <v>-3.038834</v>
      </c>
      <c r="T4250">
        <v>-8.2713599999999998E-2</v>
      </c>
      <c r="U4250">
        <v>-0.35694890000000001</v>
      </c>
      <c r="V4250">
        <v>8.6081589999999999E-2</v>
      </c>
      <c r="W4250">
        <v>-1.7302620000000001E-2</v>
      </c>
      <c r="X4250">
        <v>0.99613790000000002</v>
      </c>
      <c r="Y4250">
        <v>-0.1162096</v>
      </c>
      <c r="Z4250">
        <v>-1.5646849999999999E-3</v>
      </c>
      <c r="AA4250">
        <v>0.99322350000000004</v>
      </c>
      <c r="AB4250">
        <v>19</v>
      </c>
      <c r="AC4250">
        <v>-40.542999999999999</v>
      </c>
      <c r="AD4250">
        <v>-1.1087518075589999</v>
      </c>
      <c r="AE4250">
        <v>-4.7878999999999996</v>
      </c>
      <c r="AF4250">
        <v>-4.7677077614899002</v>
      </c>
      <c r="AG4250">
        <v>-1.1087518075589999</v>
      </c>
      <c r="AH4250">
        <v>40.515081816109102</v>
      </c>
      <c r="AI4250">
        <v>91.556850587630606</v>
      </c>
      <c r="AJ4250">
        <v>96.711549080843099</v>
      </c>
      <c r="AK4250">
        <v>40.809707453444801</v>
      </c>
      <c r="AL4250">
        <v>90.991416505480004</v>
      </c>
      <c r="AM4250">
        <v>85.061035738270206</v>
      </c>
      <c r="AN4250">
        <v>1.0000000683060899</v>
      </c>
    </row>
    <row r="4251" spans="1:40" x14ac:dyDescent="0.25">
      <c r="A4251" t="str">
        <f>"20190312161356152"</f>
        <v>20190312161356152</v>
      </c>
      <c r="B4251" t="str">
        <f>"1552378436150600"</f>
        <v>1552378436150600</v>
      </c>
      <c r="C4251" t="s">
        <v>40</v>
      </c>
      <c r="D4251">
        <v>5.700469</v>
      </c>
      <c r="E4251">
        <v>0.42223070000000001</v>
      </c>
      <c r="F4251" t="s">
        <v>42</v>
      </c>
      <c r="G4251">
        <v>-259.5147</v>
      </c>
      <c r="H4251" s="1">
        <v>-1.757871E-6</v>
      </c>
      <c r="I4251">
        <v>133.5778</v>
      </c>
      <c r="J4251">
        <v>-219.06790000000001</v>
      </c>
      <c r="K4251">
        <v>1.1087469999999999</v>
      </c>
      <c r="L4251">
        <v>138.29990000000001</v>
      </c>
      <c r="M4251">
        <v>-0.99990619999999997</v>
      </c>
      <c r="N4251">
        <v>0</v>
      </c>
      <c r="O4251">
        <v>2.4787390000000002E-3</v>
      </c>
      <c r="P4251">
        <v>-0.99558990000000003</v>
      </c>
      <c r="Q4251">
        <v>-3.053821E-2</v>
      </c>
      <c r="R4251">
        <v>8.8704080000000005E-2</v>
      </c>
      <c r="S4251">
        <v>-3.0403440000000002</v>
      </c>
      <c r="T4251">
        <v>-8.2957630000000004E-2</v>
      </c>
      <c r="U4251">
        <v>-0.35305789999999998</v>
      </c>
      <c r="V4251">
        <v>8.6175409999999994E-2</v>
      </c>
      <c r="W4251">
        <v>-1.7423460000000002E-2</v>
      </c>
      <c r="X4251">
        <v>0.9961276</v>
      </c>
      <c r="Y4251">
        <v>-0.1177671</v>
      </c>
      <c r="Z4251">
        <v>-1.6684009999999999E-3</v>
      </c>
      <c r="AA4251">
        <v>0.99303980000000003</v>
      </c>
      <c r="AB4251">
        <v>19</v>
      </c>
      <c r="AC4251">
        <v>-40.446800000000003</v>
      </c>
      <c r="AD4251">
        <v>-1.108748757871</v>
      </c>
      <c r="AE4251">
        <v>-4.72210000000001</v>
      </c>
      <c r="AF4251">
        <v>-4.8187792862644496</v>
      </c>
      <c r="AG4251">
        <v>-1.108748757871</v>
      </c>
      <c r="AH4251">
        <v>40.405015883811501</v>
      </c>
      <c r="AI4251">
        <v>91.560796341254701</v>
      </c>
      <c r="AJ4251">
        <v>96.801080546940696</v>
      </c>
      <c r="AK4251">
        <v>40.7064523901171</v>
      </c>
      <c r="AL4251">
        <v>90.998341252208306</v>
      </c>
      <c r="AM4251">
        <v>85.055628578311001</v>
      </c>
      <c r="AN4251">
        <v>0.99999998686439895</v>
      </c>
    </row>
    <row r="4252" spans="1:40" x14ac:dyDescent="0.25">
      <c r="A4252" t="str">
        <f>"20190312161356175"</f>
        <v>20190312161356175</v>
      </c>
      <c r="B4252" t="str">
        <f>"1552378436170120"</f>
        <v>1552378436170120</v>
      </c>
      <c r="C4252" t="s">
        <v>40</v>
      </c>
      <c r="D4252">
        <v>5.6377090000000001</v>
      </c>
      <c r="E4252">
        <v>0.42159350000000001</v>
      </c>
      <c r="F4252" t="s">
        <v>42</v>
      </c>
      <c r="G4252">
        <v>-260.07249999999999</v>
      </c>
      <c r="H4252" s="1">
        <v>-5.3153709999999998E-6</v>
      </c>
      <c r="I4252">
        <v>133.56030000000001</v>
      </c>
      <c r="J4252">
        <v>-219.26329999999999</v>
      </c>
      <c r="K4252">
        <v>1.1087480000000001</v>
      </c>
      <c r="L4252">
        <v>138.304</v>
      </c>
      <c r="M4252">
        <v>-0.99989439999999996</v>
      </c>
      <c r="N4252">
        <v>0</v>
      </c>
      <c r="O4252">
        <v>5.4788629999999996E-3</v>
      </c>
      <c r="P4252">
        <v>-0.99530180000000001</v>
      </c>
      <c r="Q4252">
        <v>-3.0413900000000001E-2</v>
      </c>
      <c r="R4252">
        <v>9.192111E-2</v>
      </c>
      <c r="S4252">
        <v>-3.042084</v>
      </c>
      <c r="T4252">
        <v>-8.2257150000000001E-2</v>
      </c>
      <c r="U4252">
        <v>-0.35162349999999998</v>
      </c>
      <c r="V4252">
        <v>8.6405910000000002E-2</v>
      </c>
      <c r="W4252">
        <v>-1.7308690000000002E-2</v>
      </c>
      <c r="X4252">
        <v>0.99610969999999999</v>
      </c>
      <c r="Y4252">
        <v>-0.12021800000000001</v>
      </c>
      <c r="Z4252">
        <v>-1.767299E-3</v>
      </c>
      <c r="AA4252">
        <v>0.99274589999999996</v>
      </c>
      <c r="AB4252">
        <v>19</v>
      </c>
      <c r="AC4252">
        <v>-40.809199999999997</v>
      </c>
      <c r="AD4252">
        <v>-1.1087533153710001</v>
      </c>
      <c r="AE4252">
        <v>-4.7436999999999898</v>
      </c>
      <c r="AF4252">
        <v>-4.9636219343610799</v>
      </c>
      <c r="AG4252">
        <v>-1.1087533153710001</v>
      </c>
      <c r="AH4252">
        <v>40.752913604421103</v>
      </c>
      <c r="AI4252">
        <v>91.547019116528503</v>
      </c>
      <c r="AJ4252">
        <v>96.944305133446903</v>
      </c>
      <c r="AK4252">
        <v>41.069049707425997</v>
      </c>
      <c r="AL4252">
        <v>90.991764357878097</v>
      </c>
      <c r="AM4252">
        <v>85.042380666704304</v>
      </c>
      <c r="AN4252">
        <v>1.00000005323326</v>
      </c>
    </row>
    <row r="4253" spans="1:40" x14ac:dyDescent="0.25">
      <c r="A4253" t="str">
        <f>"20190312161356197"</f>
        <v>20190312161356197</v>
      </c>
      <c r="B4253" t="str">
        <f>"1552378436190615"</f>
        <v>1552378436190615</v>
      </c>
      <c r="C4253" t="s">
        <v>40</v>
      </c>
      <c r="D4253">
        <v>5.6534950000000004</v>
      </c>
      <c r="E4253">
        <v>0.42119709999999999</v>
      </c>
      <c r="F4253" t="s">
        <v>42</v>
      </c>
      <c r="G4253">
        <v>-260.60449999999997</v>
      </c>
      <c r="H4253" s="1">
        <v>-5.0812429999999999E-6</v>
      </c>
      <c r="I4253">
        <v>133.59370000000001</v>
      </c>
      <c r="J4253">
        <v>-219.43899999999999</v>
      </c>
      <c r="K4253">
        <v>1.1087450000000001</v>
      </c>
      <c r="L4253">
        <v>138.3082</v>
      </c>
      <c r="M4253">
        <v>-0.99987610000000005</v>
      </c>
      <c r="N4253">
        <v>0</v>
      </c>
      <c r="O4253">
        <v>8.1763249999999999E-3</v>
      </c>
      <c r="P4253">
        <v>-0.99503909999999995</v>
      </c>
      <c r="Q4253">
        <v>-3.0320880000000001E-2</v>
      </c>
      <c r="R4253">
        <v>9.4751310000000005E-2</v>
      </c>
      <c r="S4253">
        <v>-3.0436860000000001</v>
      </c>
      <c r="T4253">
        <v>-8.1630469999999997E-2</v>
      </c>
      <c r="U4253">
        <v>-0.3467865</v>
      </c>
      <c r="V4253">
        <v>8.6551929999999999E-2</v>
      </c>
      <c r="W4253">
        <v>-1.7228159999999999E-2</v>
      </c>
      <c r="X4253">
        <v>0.99609829999999999</v>
      </c>
      <c r="Y4253">
        <v>-0.1212787</v>
      </c>
      <c r="Z4253">
        <v>-1.839374E-3</v>
      </c>
      <c r="AA4253">
        <v>0.99261679999999997</v>
      </c>
      <c r="AB4253">
        <v>18</v>
      </c>
      <c r="AC4253">
        <v>-41.165499999999902</v>
      </c>
      <c r="AD4253">
        <v>-1.108750081243</v>
      </c>
      <c r="AE4253">
        <v>-4.7144999999999797</v>
      </c>
      <c r="AF4253">
        <v>-5.0473412097037302</v>
      </c>
      <c r="AG4253">
        <v>-1.108750081243</v>
      </c>
      <c r="AH4253">
        <v>41.096146193706304</v>
      </c>
      <c r="AI4253">
        <v>91.533911786218994</v>
      </c>
      <c r="AJ4253">
        <v>97.001880212987004</v>
      </c>
      <c r="AK4253">
        <v>41.419780443699999</v>
      </c>
      <c r="AL4253">
        <v>90.987149757944294</v>
      </c>
      <c r="AM4253">
        <v>85.033987943758603</v>
      </c>
      <c r="AN4253">
        <v>0.99999993467329795</v>
      </c>
    </row>
    <row r="4254" spans="1:40" x14ac:dyDescent="0.25">
      <c r="A4254" t="str">
        <f>"20190312161356219"</f>
        <v>20190312161356219</v>
      </c>
      <c r="B4254" t="str">
        <f>"1552378436210135"</f>
        <v>1552378436210135</v>
      </c>
      <c r="C4254" t="s">
        <v>40</v>
      </c>
      <c r="D4254">
        <v>5.838114</v>
      </c>
      <c r="E4254">
        <v>0.40598479999999998</v>
      </c>
      <c r="F4254" t="s">
        <v>42</v>
      </c>
      <c r="G4254">
        <v>-261.51580000000001</v>
      </c>
      <c r="H4254" s="1">
        <v>-4.690722E-6</v>
      </c>
      <c r="I4254">
        <v>133.59119999999999</v>
      </c>
      <c r="J4254">
        <v>-219.62620000000001</v>
      </c>
      <c r="K4254">
        <v>1.1087450000000001</v>
      </c>
      <c r="L4254">
        <v>138.31319999999999</v>
      </c>
      <c r="M4254">
        <v>-0.99984890000000004</v>
      </c>
      <c r="N4254">
        <v>0</v>
      </c>
      <c r="O4254">
        <v>1.1041840000000001E-2</v>
      </c>
      <c r="P4254">
        <v>-0.99475910000000001</v>
      </c>
      <c r="Q4254">
        <v>-3.0037609999999999E-2</v>
      </c>
      <c r="R4254">
        <v>9.7736149999999994E-2</v>
      </c>
      <c r="S4254">
        <v>-3.045013</v>
      </c>
      <c r="T4254">
        <v>-8.0238100000000007E-2</v>
      </c>
      <c r="U4254">
        <v>-0.3413544</v>
      </c>
      <c r="V4254">
        <v>8.6686659999999999E-2</v>
      </c>
      <c r="W4254">
        <v>-1.6960469999999998E-2</v>
      </c>
      <c r="X4254">
        <v>0.99609119999999995</v>
      </c>
      <c r="Y4254">
        <v>-0.1223265</v>
      </c>
      <c r="Z4254">
        <v>-1.896451E-3</v>
      </c>
      <c r="AA4254">
        <v>0.99248809999999998</v>
      </c>
      <c r="AB4254">
        <v>18</v>
      </c>
      <c r="AC4254">
        <v>-41.889600000000002</v>
      </c>
      <c r="AD4254">
        <v>-1.108749690722</v>
      </c>
      <c r="AE4254">
        <v>-4.7220000000000004</v>
      </c>
      <c r="AF4254">
        <v>-5.1807081012657603</v>
      </c>
      <c r="AG4254">
        <v>-1.108749690722</v>
      </c>
      <c r="AH4254">
        <v>41.805980827038098</v>
      </c>
      <c r="AI4254">
        <v>91.507676364168503</v>
      </c>
      <c r="AJ4254">
        <v>97.0642305903786</v>
      </c>
      <c r="AK4254">
        <v>42.140349965536302</v>
      </c>
      <c r="AL4254">
        <v>90.971809986906905</v>
      </c>
      <c r="AM4254">
        <v>85.026261134179194</v>
      </c>
      <c r="AN4254">
        <v>0.99999995664100705</v>
      </c>
    </row>
    <row r="4255" spans="1:40" x14ac:dyDescent="0.25">
      <c r="A4255" t="str">
        <f>"20190312161356242"</f>
        <v>20190312161356242</v>
      </c>
      <c r="B4255" t="str">
        <f>"1552378436230635"</f>
        <v>1552378436230635</v>
      </c>
      <c r="C4255" t="s">
        <v>40</v>
      </c>
      <c r="D4255">
        <v>5.8202829999999999</v>
      </c>
      <c r="E4255">
        <v>0.40576109999999999</v>
      </c>
      <c r="F4255" t="s">
        <v>42</v>
      </c>
      <c r="G4255">
        <v>-256.964</v>
      </c>
      <c r="H4255" s="1">
        <v>-2.8377960000000001E-6</v>
      </c>
      <c r="I4255">
        <v>132.78139999999999</v>
      </c>
      <c r="J4255">
        <v>-219.8107</v>
      </c>
      <c r="K4255">
        <v>1.1087530000000001</v>
      </c>
      <c r="L4255">
        <v>138.3186</v>
      </c>
      <c r="M4255">
        <v>-0.99981410000000004</v>
      </c>
      <c r="N4255">
        <v>0</v>
      </c>
      <c r="O4255">
        <v>1.385084E-2</v>
      </c>
      <c r="P4255">
        <v>-0.99454359999999997</v>
      </c>
      <c r="Q4255">
        <v>-3.0099480000000001E-2</v>
      </c>
      <c r="R4255">
        <v>9.9886520000000006E-2</v>
      </c>
      <c r="S4255">
        <v>-3.0575709999999998</v>
      </c>
      <c r="T4255">
        <v>-9.0795039999999994E-2</v>
      </c>
      <c r="U4255">
        <v>-0.45298769999999999</v>
      </c>
      <c r="V4255">
        <v>8.6041980000000004E-2</v>
      </c>
      <c r="W4255">
        <v>-1.7032289999999999E-2</v>
      </c>
      <c r="X4255">
        <v>0.99614590000000003</v>
      </c>
      <c r="Y4255">
        <v>-0.16016649999999999</v>
      </c>
      <c r="Z4255">
        <v>-2.7737769999999998E-3</v>
      </c>
      <c r="AA4255">
        <v>0.98708609999999997</v>
      </c>
      <c r="AB4255">
        <v>18</v>
      </c>
      <c r="AC4255">
        <v>-37.153300000000002</v>
      </c>
      <c r="AD4255">
        <v>-1.1087558377959901</v>
      </c>
      <c r="AE4255">
        <v>-5.5372000000000101</v>
      </c>
      <c r="AF4255">
        <v>-6.0460519066835703</v>
      </c>
      <c r="AG4255">
        <v>-1.1087558377959901</v>
      </c>
      <c r="AH4255">
        <v>37.040762295939501</v>
      </c>
      <c r="AI4255">
        <v>91.692164595171903</v>
      </c>
      <c r="AJ4255">
        <v>99.270463064246201</v>
      </c>
      <c r="AK4255">
        <v>37.547332190589103</v>
      </c>
      <c r="AL4255">
        <v>90.975925534190395</v>
      </c>
      <c r="AM4255">
        <v>85.063336594035505</v>
      </c>
      <c r="AN4255">
        <v>0.99999998765588705</v>
      </c>
    </row>
    <row r="4256" spans="1:40" x14ac:dyDescent="0.25">
      <c r="A4256" t="str">
        <f>"20190312161356263"</f>
        <v>20190312161356263</v>
      </c>
      <c r="B4256" t="str">
        <f>"1552378436259913"</f>
        <v>1552378436259913</v>
      </c>
      <c r="C4256" t="s">
        <v>40</v>
      </c>
      <c r="D4256">
        <v>5.8131659999999998</v>
      </c>
      <c r="E4256">
        <v>0.40539750000000002</v>
      </c>
      <c r="F4256" t="s">
        <v>42</v>
      </c>
      <c r="G4256">
        <v>-254.44579999999999</v>
      </c>
      <c r="H4256" s="1">
        <v>-3.571953E-6</v>
      </c>
      <c r="I4256">
        <v>133.24289999999999</v>
      </c>
      <c r="J4256">
        <v>-219.99039999999999</v>
      </c>
      <c r="K4256">
        <v>1.1087659999999999</v>
      </c>
      <c r="L4256">
        <v>138.3244</v>
      </c>
      <c r="M4256">
        <v>-0.99977289999999996</v>
      </c>
      <c r="N4256">
        <v>0</v>
      </c>
      <c r="O4256">
        <v>1.6565360000000001E-2</v>
      </c>
      <c r="P4256">
        <v>-0.99436100000000005</v>
      </c>
      <c r="Q4256">
        <v>-3.024398E-2</v>
      </c>
      <c r="R4256">
        <v>0.101645</v>
      </c>
      <c r="S4256">
        <v>-3.0585170000000002</v>
      </c>
      <c r="T4256">
        <v>-9.7911120000000004E-2</v>
      </c>
      <c r="U4256">
        <v>-0.44821169999999999</v>
      </c>
      <c r="V4256">
        <v>8.5099469999999997E-2</v>
      </c>
      <c r="W4256">
        <v>-1.7185499999999999E-2</v>
      </c>
      <c r="X4256">
        <v>0.9962242</v>
      </c>
      <c r="Y4256">
        <v>-0.16127939999999999</v>
      </c>
      <c r="Z4256">
        <v>-3.0946659999999998E-3</v>
      </c>
      <c r="AA4256">
        <v>0.986904</v>
      </c>
      <c r="AB4256">
        <v>18</v>
      </c>
      <c r="AC4256">
        <v>-34.455399999999997</v>
      </c>
      <c r="AD4256">
        <v>-1.108769571953</v>
      </c>
      <c r="AE4256">
        <v>-5.0815000000000001</v>
      </c>
      <c r="AF4256">
        <v>-5.6458979129619298</v>
      </c>
      <c r="AG4256">
        <v>-1.108769571953</v>
      </c>
      <c r="AH4256">
        <v>34.331691788906099</v>
      </c>
      <c r="AI4256">
        <v>91.825270302397598</v>
      </c>
      <c r="AJ4256">
        <v>99.338788099083501</v>
      </c>
      <c r="AK4256">
        <v>34.810495461796002</v>
      </c>
      <c r="AL4256">
        <v>90.984705134018</v>
      </c>
      <c r="AM4256">
        <v>85.117532192444301</v>
      </c>
      <c r="AN4256">
        <v>0.99999995893508398</v>
      </c>
    </row>
    <row r="4257" spans="1:40" x14ac:dyDescent="0.25">
      <c r="A4257" t="str">
        <f>"20190312161356285"</f>
        <v>20190312161356285</v>
      </c>
      <c r="B4257" t="str">
        <f>"1552378436280407"</f>
        <v>1552378436280407</v>
      </c>
      <c r="C4257" t="s">
        <v>40</v>
      </c>
      <c r="D4257">
        <v>5.798997</v>
      </c>
      <c r="E4257">
        <v>0.40470820000000002</v>
      </c>
      <c r="F4257" t="s">
        <v>42</v>
      </c>
      <c r="G4257">
        <v>-252.49780000000001</v>
      </c>
      <c r="H4257" s="1">
        <v>-4.270355E-6</v>
      </c>
      <c r="I4257">
        <v>133.58600000000001</v>
      </c>
      <c r="J4257">
        <v>-220.16220000000001</v>
      </c>
      <c r="K4257">
        <v>1.108784</v>
      </c>
      <c r="L4257">
        <v>138.33029999999999</v>
      </c>
      <c r="M4257">
        <v>-0.99972720000000004</v>
      </c>
      <c r="N4257">
        <v>0</v>
      </c>
      <c r="O4257">
        <v>1.91402E-2</v>
      </c>
      <c r="P4257">
        <v>-0.99419199999999996</v>
      </c>
      <c r="Q4257">
        <v>-3.049485E-2</v>
      </c>
      <c r="R4257">
        <v>0.1032115</v>
      </c>
      <c r="S4257">
        <v>-3.059418</v>
      </c>
      <c r="T4257">
        <v>-0.10435120000000001</v>
      </c>
      <c r="U4257">
        <v>-0.4459381</v>
      </c>
      <c r="V4257">
        <v>8.410368E-2</v>
      </c>
      <c r="W4257">
        <v>-1.744803E-2</v>
      </c>
      <c r="X4257">
        <v>0.99630419999999997</v>
      </c>
      <c r="Y4257">
        <v>-0.16304649999999901</v>
      </c>
      <c r="Z4257">
        <v>-3.414678E-3</v>
      </c>
      <c r="AA4257">
        <v>0.9866125</v>
      </c>
      <c r="AB4257">
        <v>18</v>
      </c>
      <c r="AC4257">
        <v>-32.335599999999999</v>
      </c>
      <c r="AD4257">
        <v>-1.108788270355</v>
      </c>
      <c r="AE4257">
        <v>-4.7442999999999804</v>
      </c>
      <c r="AF4257">
        <v>-5.3562308729688697</v>
      </c>
      <c r="AG4257">
        <v>-1.108788270355</v>
      </c>
      <c r="AH4257">
        <v>32.201795238472002</v>
      </c>
      <c r="AI4257">
        <v>91.9453515103325</v>
      </c>
      <c r="AJ4257">
        <v>99.443736939456599</v>
      </c>
      <c r="AK4257">
        <v>32.663040843949297</v>
      </c>
      <c r="AL4257">
        <v>90.999749249582493</v>
      </c>
      <c r="AM4257">
        <v>85.174778578934706</v>
      </c>
      <c r="AN4257">
        <v>0.99999996083902998</v>
      </c>
    </row>
    <row r="4258" spans="1:40" x14ac:dyDescent="0.25">
      <c r="A4258" t="str">
        <f>"20190312161356319"</f>
        <v>20190312161356319</v>
      </c>
      <c r="B4258" t="str">
        <f>"1552378436310663"</f>
        <v>1552378436310663</v>
      </c>
      <c r="C4258" t="s">
        <v>40</v>
      </c>
      <c r="D4258">
        <v>5.7950739999999996</v>
      </c>
      <c r="E4258">
        <v>0.40386129999999998</v>
      </c>
      <c r="F4258" t="s">
        <v>42</v>
      </c>
      <c r="G4258">
        <v>-252.46379999999999</v>
      </c>
      <c r="H4258" s="1">
        <v>-4.2791079999999996E-6</v>
      </c>
      <c r="I4258">
        <v>133.6189</v>
      </c>
      <c r="J4258">
        <v>-220.44970000000001</v>
      </c>
      <c r="K4258">
        <v>1.108824</v>
      </c>
      <c r="L4258">
        <v>138.34119999999999</v>
      </c>
      <c r="M4258">
        <v>-0.99963749999999996</v>
      </c>
      <c r="N4258">
        <v>0</v>
      </c>
      <c r="O4258">
        <v>2.3390919999999999E-2</v>
      </c>
      <c r="P4258">
        <v>-0.99387570000000003</v>
      </c>
      <c r="Q4258">
        <v>-3.0324429999999999E-2</v>
      </c>
      <c r="R4258">
        <v>0.1062633</v>
      </c>
      <c r="S4258">
        <v>-3.0606689999999999</v>
      </c>
      <c r="T4258">
        <v>-0.1050608</v>
      </c>
      <c r="U4258">
        <v>-0.44641110000000001</v>
      </c>
      <c r="V4258">
        <v>8.2928189999999999E-2</v>
      </c>
      <c r="W4258">
        <v>-1.7310499999999999E-2</v>
      </c>
      <c r="X4258">
        <v>0.99640519999999999</v>
      </c>
      <c r="Y4258">
        <v>-0.16732549999999999</v>
      </c>
      <c r="Z4258">
        <v>-3.6546930000000001E-3</v>
      </c>
      <c r="AA4258">
        <v>0.98589490000000002</v>
      </c>
      <c r="AB4258">
        <v>18</v>
      </c>
      <c r="AC4258">
        <v>-32.0140999999999</v>
      </c>
      <c r="AD4258">
        <v>-1.108828279108</v>
      </c>
      <c r="AE4258">
        <v>-4.72229999999999</v>
      </c>
      <c r="AF4258">
        <v>-5.4634989462736998</v>
      </c>
      <c r="AG4258">
        <v>-1.108828279108</v>
      </c>
      <c r="AH4258">
        <v>31.857467239025599</v>
      </c>
      <c r="AI4258">
        <v>91.964766141385795</v>
      </c>
      <c r="AJ4258">
        <v>99.731455186594204</v>
      </c>
      <c r="AK4258">
        <v>32.341576024895197</v>
      </c>
      <c r="AL4258">
        <v>90.991868101475703</v>
      </c>
      <c r="AM4258">
        <v>85.242387414860801</v>
      </c>
      <c r="AN4258">
        <v>1.00000003034698</v>
      </c>
    </row>
    <row r="4259" spans="1:40" x14ac:dyDescent="0.25">
      <c r="A4259" t="str">
        <f>"20190312161356341"</f>
        <v>20190312161356341</v>
      </c>
      <c r="B4259" t="str">
        <f>"1552378436330183"</f>
        <v>1552378436330183</v>
      </c>
      <c r="C4259" t="s">
        <v>40</v>
      </c>
      <c r="D4259">
        <v>5.7883469999999999</v>
      </c>
      <c r="E4259">
        <v>0.4034585</v>
      </c>
      <c r="F4259" t="s">
        <v>42</v>
      </c>
      <c r="G4259">
        <v>-252.73599999999999</v>
      </c>
      <c r="H4259" s="1">
        <v>-4.1543969999999997E-6</v>
      </c>
      <c r="I4259">
        <v>133.66380000000001</v>
      </c>
      <c r="J4259">
        <v>-220.63579999999999</v>
      </c>
      <c r="K4259">
        <v>1.1088389999999999</v>
      </c>
      <c r="L4259">
        <v>138.34880000000001</v>
      </c>
      <c r="M4259">
        <v>-0.99957070000000003</v>
      </c>
      <c r="N4259">
        <v>0</v>
      </c>
      <c r="O4259">
        <v>2.610378E-2</v>
      </c>
      <c r="P4259">
        <v>-0.99365009999999998</v>
      </c>
      <c r="Q4259">
        <v>-3.027355E-2</v>
      </c>
      <c r="R4259">
        <v>0.10836510000000001</v>
      </c>
      <c r="S4259">
        <v>-3.0627140000000002</v>
      </c>
      <c r="T4259">
        <v>-0.1051849</v>
      </c>
      <c r="U4259">
        <v>-0.44369510000000001</v>
      </c>
      <c r="V4259">
        <v>8.23324E-2</v>
      </c>
      <c r="W4259">
        <v>-1.7283440000000001E-2</v>
      </c>
      <c r="X4259">
        <v>0.99645510000000004</v>
      </c>
      <c r="Y4259">
        <v>-0.169048</v>
      </c>
      <c r="Z4259">
        <v>-3.7789640000000001E-3</v>
      </c>
      <c r="AA4259">
        <v>0.98560060000000005</v>
      </c>
      <c r="AB4259">
        <v>18</v>
      </c>
      <c r="AC4259">
        <v>-32.100200000000001</v>
      </c>
      <c r="AD4259">
        <v>-1.1088431543970001</v>
      </c>
      <c r="AE4259">
        <v>-4.6849999999999996</v>
      </c>
      <c r="AF4259">
        <v>-5.5149705924297097</v>
      </c>
      <c r="AG4259">
        <v>-1.1088431543970001</v>
      </c>
      <c r="AH4259">
        <v>31.929647680077299</v>
      </c>
      <c r="AI4259">
        <v>91.959953469744903</v>
      </c>
      <c r="AJ4259">
        <v>99.799586655200102</v>
      </c>
      <c r="AK4259">
        <v>32.421394707049302</v>
      </c>
      <c r="AL4259">
        <v>90.990317422465395</v>
      </c>
      <c r="AM4259">
        <v>85.276648300469105</v>
      </c>
      <c r="AN4259">
        <v>1.000000053852</v>
      </c>
    </row>
    <row r="4260" spans="1:40" x14ac:dyDescent="0.25">
      <c r="A4260" t="str">
        <f>"20190312161356364"</f>
        <v>20190312161356364</v>
      </c>
      <c r="B4260" t="str">
        <f>"1552378436360438"</f>
        <v>1552378436360438</v>
      </c>
      <c r="C4260" t="s">
        <v>40</v>
      </c>
      <c r="D4260">
        <v>6.2457219999999998</v>
      </c>
      <c r="E4260">
        <v>0.42671189999999998</v>
      </c>
      <c r="F4260" t="s">
        <v>42</v>
      </c>
      <c r="G4260">
        <v>-252.637</v>
      </c>
      <c r="H4260" s="1">
        <v>-4.182025E-6</v>
      </c>
      <c r="I4260">
        <v>133.7475</v>
      </c>
      <c r="J4260">
        <v>-220.81780000000001</v>
      </c>
      <c r="K4260">
        <v>1.108854</v>
      </c>
      <c r="L4260">
        <v>138.35669999999999</v>
      </c>
      <c r="M4260">
        <v>-0.99949929999999998</v>
      </c>
      <c r="N4260">
        <v>0</v>
      </c>
      <c r="O4260">
        <v>2.8726620000000001E-2</v>
      </c>
      <c r="P4260">
        <v>-0.99347569999999996</v>
      </c>
      <c r="Q4260">
        <v>-3.0083269999999999E-2</v>
      </c>
      <c r="R4260">
        <v>0.1100052</v>
      </c>
      <c r="S4260">
        <v>-3.0639799999999999</v>
      </c>
      <c r="T4260">
        <v>-0.1061672</v>
      </c>
      <c r="U4260">
        <v>-0.44055179999999999</v>
      </c>
      <c r="V4260">
        <v>8.1363889999999994E-2</v>
      </c>
      <c r="W4260">
        <v>-1.7115700000000001E-2</v>
      </c>
      <c r="X4260">
        <v>0.99653749999999997</v>
      </c>
      <c r="Y4260">
        <v>-0.17058119999999999</v>
      </c>
      <c r="Z4260">
        <v>-3.9298279999999998E-3</v>
      </c>
      <c r="AA4260">
        <v>0.98533579999999998</v>
      </c>
      <c r="AB4260">
        <v>18</v>
      </c>
      <c r="AC4260">
        <v>-31.819199999999899</v>
      </c>
      <c r="AD4260">
        <v>-1.1088581820250001</v>
      </c>
      <c r="AE4260">
        <v>-4.60919999999998</v>
      </c>
      <c r="AF4260">
        <v>-5.5148761560537896</v>
      </c>
      <c r="AG4260">
        <v>-1.1088581820250001</v>
      </c>
      <c r="AH4260">
        <v>31.636017479935202</v>
      </c>
      <c r="AI4260">
        <v>91.977624504078605</v>
      </c>
      <c r="AJ4260">
        <v>99.888588183865394</v>
      </c>
      <c r="AK4260">
        <v>32.132242801821697</v>
      </c>
      <c r="AL4260">
        <v>90.980705250696502</v>
      </c>
      <c r="AM4260">
        <v>85.332348312492499</v>
      </c>
      <c r="AN4260">
        <v>1.00000000934433</v>
      </c>
    </row>
    <row r="4261" spans="1:40" x14ac:dyDescent="0.25">
      <c r="A4261" t="str">
        <f>"20190312161356387"</f>
        <v>20190312161356387</v>
      </c>
      <c r="B4261" t="str">
        <f>"1552378436379959"</f>
        <v>1552378436379959</v>
      </c>
      <c r="C4261" t="s">
        <v>40</v>
      </c>
      <c r="D4261">
        <v>5.7891469999999998</v>
      </c>
      <c r="E4261">
        <v>0.48325509999999999</v>
      </c>
      <c r="F4261" t="s">
        <v>42</v>
      </c>
      <c r="G4261">
        <v>-245.55869999999999</v>
      </c>
      <c r="H4261" s="1">
        <v>-2.473942E-6</v>
      </c>
      <c r="I4261">
        <v>136.3108</v>
      </c>
      <c r="J4261">
        <v>-221.01300000000001</v>
      </c>
      <c r="K4261">
        <v>1.1088739999999999</v>
      </c>
      <c r="L4261">
        <v>138.3657</v>
      </c>
      <c r="M4261">
        <v>-0.99941590000000002</v>
      </c>
      <c r="N4261">
        <v>0</v>
      </c>
      <c r="O4261">
        <v>3.1507720000000003E-2</v>
      </c>
      <c r="P4261">
        <v>-0.9931778</v>
      </c>
      <c r="Q4261">
        <v>-2.9675030000000002E-2</v>
      </c>
      <c r="R4261">
        <v>0.1127705</v>
      </c>
      <c r="S4261">
        <v>-3.0434269999999999</v>
      </c>
      <c r="T4261">
        <v>-0.13640260000000001</v>
      </c>
      <c r="U4261">
        <v>-0.25166319999999998</v>
      </c>
      <c r="V4261">
        <v>8.1366880000000003E-2</v>
      </c>
      <c r="W4261">
        <v>-1.6739540000000001E-2</v>
      </c>
      <c r="X4261">
        <v>0.99654359999999997</v>
      </c>
      <c r="Y4261">
        <v>-0.11362709999999999</v>
      </c>
      <c r="Z4261">
        <v>-3.9501400000000004E-3</v>
      </c>
      <c r="AA4261">
        <v>0.99351560000000005</v>
      </c>
      <c r="AB4261">
        <v>18</v>
      </c>
      <c r="AC4261">
        <v>-24.545699999999901</v>
      </c>
      <c r="AD4261">
        <v>-1.1088764739419901</v>
      </c>
      <c r="AE4261">
        <v>-2.0548999999999999</v>
      </c>
      <c r="AF4261">
        <v>-2.82160789204036</v>
      </c>
      <c r="AG4261">
        <v>-1.1088764739419901</v>
      </c>
      <c r="AH4261">
        <v>24.419270529534</v>
      </c>
      <c r="AI4261">
        <v>92.582847419724104</v>
      </c>
      <c r="AJ4261">
        <v>96.591205940200098</v>
      </c>
      <c r="AK4261">
        <v>24.606744021211998</v>
      </c>
      <c r="AL4261">
        <v>90.959149825295896</v>
      </c>
      <c r="AM4261">
        <v>85.3322059875223</v>
      </c>
      <c r="AN4261">
        <v>0.99999996403065206</v>
      </c>
    </row>
    <row r="4262" spans="1:40" x14ac:dyDescent="0.25">
      <c r="A4262" t="str">
        <f>"20190312161356410"</f>
        <v>20190312161356410</v>
      </c>
      <c r="B4262" t="str">
        <f>"1552378436400455"</f>
        <v>1552378436400455</v>
      </c>
      <c r="C4262" t="s">
        <v>40</v>
      </c>
      <c r="D4262">
        <v>5.9238089999999897</v>
      </c>
      <c r="E4262">
        <v>0.48784939999999999</v>
      </c>
      <c r="F4262" t="s">
        <v>42</v>
      </c>
      <c r="G4262">
        <v>-241.90639999999999</v>
      </c>
      <c r="H4262" s="1">
        <v>-3.5016489999999999E-6</v>
      </c>
      <c r="I4262">
        <v>139.7937</v>
      </c>
      <c r="J4262">
        <v>-221.18899999999999</v>
      </c>
      <c r="K4262">
        <v>1.108884</v>
      </c>
      <c r="L4262">
        <v>138.37430000000001</v>
      </c>
      <c r="M4262">
        <v>-0.99933530000000004</v>
      </c>
      <c r="N4262">
        <v>0</v>
      </c>
      <c r="O4262">
        <v>3.3980690000000001E-2</v>
      </c>
      <c r="P4262">
        <v>-0.99297800000000003</v>
      </c>
      <c r="Q4262">
        <v>-2.906825E-2</v>
      </c>
      <c r="R4262">
        <v>0.11467339999999999</v>
      </c>
      <c r="S4262">
        <v>-2.992645</v>
      </c>
      <c r="T4262">
        <v>-0.15882929999999901</v>
      </c>
      <c r="U4262">
        <v>0.20454410000000001</v>
      </c>
      <c r="V4262">
        <v>8.0812709999999996E-2</v>
      </c>
      <c r="W4262">
        <v>-1.616484E-2</v>
      </c>
      <c r="X4262">
        <v>0.99659819999999999</v>
      </c>
      <c r="Y4262">
        <v>3.424551E-2</v>
      </c>
      <c r="Z4262">
        <v>-8.9241169999999999E-4</v>
      </c>
      <c r="AA4262">
        <v>0.99941310000000005</v>
      </c>
      <c r="AB4262">
        <v>18</v>
      </c>
      <c r="AC4262">
        <v>-20.717399999999898</v>
      </c>
      <c r="AD4262">
        <v>-1.1088875016490001</v>
      </c>
      <c r="AE4262">
        <v>1.41939999999999</v>
      </c>
      <c r="AF4262">
        <v>0.71249557263789698</v>
      </c>
      <c r="AG4262">
        <v>-1.1088875016490001</v>
      </c>
      <c r="AH4262">
        <v>20.694659339150999</v>
      </c>
      <c r="AI4262">
        <v>93.0653492194309</v>
      </c>
      <c r="AJ4262">
        <v>88.028144839678802</v>
      </c>
      <c r="AK4262">
        <v>20.7365910071027</v>
      </c>
      <c r="AL4262">
        <v>90.926217463216403</v>
      </c>
      <c r="AM4262">
        <v>85.364111029279897</v>
      </c>
      <c r="AN4262">
        <v>0.99999998419650404</v>
      </c>
    </row>
    <row r="4263" spans="1:40" x14ac:dyDescent="0.25">
      <c r="A4263" t="str">
        <f>"20190312161356431"</f>
        <v>20190312161356431</v>
      </c>
      <c r="B4263" t="str">
        <f>"1552378436419975"</f>
        <v>1552378436419975</v>
      </c>
      <c r="C4263" t="s">
        <v>40</v>
      </c>
      <c r="D4263">
        <v>5.9401339999999996</v>
      </c>
      <c r="E4263">
        <v>0.49050490000000002</v>
      </c>
      <c r="F4263" t="s">
        <v>42</v>
      </c>
      <c r="G4263">
        <v>-242.85910000000001</v>
      </c>
      <c r="H4263" s="1">
        <v>-3.191444E-6</v>
      </c>
      <c r="I4263">
        <v>140.16390000000001</v>
      </c>
      <c r="J4263">
        <v>-221.3717</v>
      </c>
      <c r="K4263">
        <v>1.1089</v>
      </c>
      <c r="L4263">
        <v>138.3835</v>
      </c>
      <c r="M4263">
        <v>-0.99924650000000004</v>
      </c>
      <c r="N4263">
        <v>0</v>
      </c>
      <c r="O4263">
        <v>3.6516390000000003E-2</v>
      </c>
      <c r="P4263">
        <v>-0.99278</v>
      </c>
      <c r="Q4263">
        <v>-2.804355E-2</v>
      </c>
      <c r="R4263">
        <v>0.11662640000000001</v>
      </c>
      <c r="S4263">
        <v>-2.988251</v>
      </c>
      <c r="T4263">
        <v>-0.1529131</v>
      </c>
      <c r="U4263">
        <v>0.24679570000000001</v>
      </c>
      <c r="V4263">
        <v>8.0247100000000002E-2</v>
      </c>
      <c r="W4263">
        <v>-1.5180600000000001E-2</v>
      </c>
      <c r="X4263">
        <v>0.99665939999999997</v>
      </c>
      <c r="Y4263">
        <v>4.5845770000000001E-2</v>
      </c>
      <c r="Z4263">
        <v>-6.9311449999999897E-4</v>
      </c>
      <c r="AA4263">
        <v>0.99894830000000001</v>
      </c>
      <c r="AB4263">
        <v>18</v>
      </c>
      <c r="AC4263">
        <v>-21.487400000000001</v>
      </c>
      <c r="AD4263">
        <v>-1.108903191444</v>
      </c>
      <c r="AE4263">
        <v>1.78040000000001</v>
      </c>
      <c r="AF4263">
        <v>0.99187855680904702</v>
      </c>
      <c r="AG4263">
        <v>-1.108903191444</v>
      </c>
      <c r="AH4263">
        <v>21.481265113516201</v>
      </c>
      <c r="AI4263">
        <v>92.951952918914998</v>
      </c>
      <c r="AJ4263">
        <v>87.356295454039596</v>
      </c>
      <c r="AK4263">
        <v>21.5327248678987</v>
      </c>
      <c r="AL4263">
        <v>90.869817717828496</v>
      </c>
      <c r="AM4263">
        <v>85.396699237505203</v>
      </c>
      <c r="AN4263">
        <v>1.0000000036415599</v>
      </c>
    </row>
    <row r="4264" spans="1:40" x14ac:dyDescent="0.25">
      <c r="A4264" t="str">
        <f>"20190312161356454"</f>
        <v>20190312161356454</v>
      </c>
      <c r="B4264" t="str">
        <f>"1552378436450231"</f>
        <v>1552378436450231</v>
      </c>
      <c r="C4264" t="s">
        <v>40</v>
      </c>
      <c r="D4264">
        <v>5.9267110000000001</v>
      </c>
      <c r="E4264">
        <v>0.4899539</v>
      </c>
      <c r="F4264" t="s">
        <v>42</v>
      </c>
      <c r="G4264">
        <v>-241.20310000000001</v>
      </c>
      <c r="H4264" s="1">
        <v>-3.9114310000000002E-6</v>
      </c>
      <c r="I4264">
        <v>140.19990000000001</v>
      </c>
      <c r="J4264">
        <v>-221.55099999999999</v>
      </c>
      <c r="K4264">
        <v>1.108914</v>
      </c>
      <c r="L4264">
        <v>138.3931</v>
      </c>
      <c r="M4264">
        <v>-0.99915430000000005</v>
      </c>
      <c r="N4264">
        <v>0</v>
      </c>
      <c r="O4264">
        <v>3.8979529999999998E-2</v>
      </c>
      <c r="P4264">
        <v>-0.99260280000000001</v>
      </c>
      <c r="Q4264">
        <v>-2.803603E-2</v>
      </c>
      <c r="R4264">
        <v>0.1181271</v>
      </c>
      <c r="S4264">
        <v>-2.984985</v>
      </c>
      <c r="T4264">
        <v>-0.16691020000000001</v>
      </c>
      <c r="U4264">
        <v>0.27340700000000001</v>
      </c>
      <c r="V4264">
        <v>7.9297660000000006E-2</v>
      </c>
      <c r="W4264">
        <v>-1.5214159999999999E-2</v>
      </c>
      <c r="X4264">
        <v>0.99673489999999998</v>
      </c>
      <c r="Y4264">
        <v>5.2301930000000003E-2</v>
      </c>
      <c r="Z4264">
        <v>-7.1408219999999996E-4</v>
      </c>
      <c r="AA4264">
        <v>0.99863109999999999</v>
      </c>
      <c r="AB4264">
        <v>18</v>
      </c>
      <c r="AC4264">
        <v>-19.652100000000001</v>
      </c>
      <c r="AD4264">
        <v>-1.1089179114309999</v>
      </c>
      <c r="AE4264">
        <v>1.8068</v>
      </c>
      <c r="AF4264">
        <v>1.0360601566805201</v>
      </c>
      <c r="AG4264">
        <v>-1.1089179114309999</v>
      </c>
      <c r="AH4264">
        <v>19.6455679767408</v>
      </c>
      <c r="AI4264">
        <v>93.226227607650102</v>
      </c>
      <c r="AJ4264">
        <v>86.981154603059196</v>
      </c>
      <c r="AK4264">
        <v>19.704097561453999</v>
      </c>
      <c r="AL4264">
        <v>90.871740767465894</v>
      </c>
      <c r="AM4264">
        <v>85.451276164644398</v>
      </c>
      <c r="AN4264">
        <v>1.0000000252119901</v>
      </c>
    </row>
    <row r="4265" spans="1:40" x14ac:dyDescent="0.25">
      <c r="A4265" t="str">
        <f>"20190312161356476"</f>
        <v>20190312161356476</v>
      </c>
      <c r="B4265" t="str">
        <f>"1552378436470728"</f>
        <v>1552378436470728</v>
      </c>
      <c r="C4265" t="s">
        <v>40</v>
      </c>
      <c r="D4265">
        <v>5.9267320000000003</v>
      </c>
      <c r="E4265">
        <v>0.49047780000000002</v>
      </c>
      <c r="F4265" t="s">
        <v>42</v>
      </c>
      <c r="G4265">
        <v>-242.77199999999999</v>
      </c>
      <c r="H4265" s="1">
        <v>-3.2754450000000002E-6</v>
      </c>
      <c r="I4265">
        <v>140.33920000000001</v>
      </c>
      <c r="J4265">
        <v>-221.73679999999999</v>
      </c>
      <c r="K4265">
        <v>1.10893</v>
      </c>
      <c r="L4265">
        <v>138.4034</v>
      </c>
      <c r="M4265">
        <v>-0.99905310000000003</v>
      </c>
      <c r="N4265">
        <v>0</v>
      </c>
      <c r="O4265">
        <v>4.1506420000000002E-2</v>
      </c>
      <c r="P4265">
        <v>-0.99245050000000001</v>
      </c>
      <c r="Q4265">
        <v>-2.703858E-2</v>
      </c>
      <c r="R4265">
        <v>0.1196295</v>
      </c>
      <c r="S4265">
        <v>-2.9853519999999998</v>
      </c>
      <c r="T4265">
        <v>-0.15600120000000001</v>
      </c>
      <c r="U4265">
        <v>0.27378849999999999</v>
      </c>
      <c r="V4265">
        <v>7.8288380000000005E-2</v>
      </c>
      <c r="W4265">
        <v>-1.4262159999999999E-2</v>
      </c>
      <c r="X4265">
        <v>0.99682870000000001</v>
      </c>
      <c r="Y4265">
        <v>4.9900819999999999E-2</v>
      </c>
      <c r="Z4265">
        <v>-8.6143919999999896E-4</v>
      </c>
      <c r="AA4265">
        <v>0.99875380000000002</v>
      </c>
      <c r="AB4265">
        <v>18</v>
      </c>
      <c r="AC4265">
        <v>-21.0352</v>
      </c>
      <c r="AD4265">
        <v>-1.1089332754450001</v>
      </c>
      <c r="AE4265">
        <v>1.9358</v>
      </c>
      <c r="AF4265">
        <v>1.0580455832436799</v>
      </c>
      <c r="AG4265">
        <v>-1.1089332754450001</v>
      </c>
      <c r="AH4265">
        <v>21.0394430497042</v>
      </c>
      <c r="AI4265">
        <v>93.013315993821607</v>
      </c>
      <c r="AJ4265">
        <v>87.121096753654697</v>
      </c>
      <c r="AK4265">
        <v>21.0951974939168</v>
      </c>
      <c r="AL4265">
        <v>90.817189306134907</v>
      </c>
      <c r="AM4265">
        <v>85.509353648069293</v>
      </c>
      <c r="AN4265">
        <v>0.999999968397289</v>
      </c>
    </row>
    <row r="4266" spans="1:40" x14ac:dyDescent="0.25">
      <c r="A4266" t="str">
        <f>"20190312161356498"</f>
        <v>20190312161356498</v>
      </c>
      <c r="B4266" t="str">
        <f>"1552378436490248"</f>
        <v>1552378436490248</v>
      </c>
      <c r="C4266" t="s">
        <v>40</v>
      </c>
      <c r="D4266">
        <v>5.9241789999999996</v>
      </c>
      <c r="E4266">
        <v>0.4904425</v>
      </c>
      <c r="F4266" t="s">
        <v>42</v>
      </c>
      <c r="G4266">
        <v>-242.52379999999999</v>
      </c>
      <c r="H4266" s="1">
        <v>-3.3901329999999998E-6</v>
      </c>
      <c r="I4266">
        <v>140.37010000000001</v>
      </c>
      <c r="J4266">
        <v>-221.91829999999999</v>
      </c>
      <c r="K4266">
        <v>1.1089389999999999</v>
      </c>
      <c r="L4266">
        <v>138.41390000000001</v>
      </c>
      <c r="M4266">
        <v>-0.99894950000000005</v>
      </c>
      <c r="N4266">
        <v>0</v>
      </c>
      <c r="O4266">
        <v>4.3944629999999998E-2</v>
      </c>
      <c r="P4266">
        <v>-0.99233870000000002</v>
      </c>
      <c r="Q4266">
        <v>-2.6592069999999999E-2</v>
      </c>
      <c r="R4266">
        <v>0.1206513</v>
      </c>
      <c r="S4266">
        <v>-2.9844360000000001</v>
      </c>
      <c r="T4266">
        <v>-0.1592124</v>
      </c>
      <c r="U4266">
        <v>0.2823639</v>
      </c>
      <c r="V4266">
        <v>7.6883160000000006E-2</v>
      </c>
      <c r="W4266">
        <v>-1.3867829999999999E-2</v>
      </c>
      <c r="X4266">
        <v>0.99694369999999999</v>
      </c>
      <c r="Y4266">
        <v>5.0338519999999998E-2</v>
      </c>
      <c r="Z4266">
        <v>-9.9710490000000005E-4</v>
      </c>
      <c r="AA4266">
        <v>0.9987317</v>
      </c>
      <c r="AB4266">
        <v>18</v>
      </c>
      <c r="AC4266">
        <v>-20.605499999999999</v>
      </c>
      <c r="AD4266">
        <v>-1.108942390133</v>
      </c>
      <c r="AE4266">
        <v>1.9561999999999899</v>
      </c>
      <c r="AF4266">
        <v>1.0457306851982699</v>
      </c>
      <c r="AG4266">
        <v>-1.108942390133</v>
      </c>
      <c r="AH4266">
        <v>20.612395279193802</v>
      </c>
      <c r="AI4266">
        <v>93.075583747584602</v>
      </c>
      <c r="AJ4266">
        <v>87.095697595648403</v>
      </c>
      <c r="AK4266">
        <v>20.668675454327801</v>
      </c>
      <c r="AL4266">
        <v>90.794593569351207</v>
      </c>
      <c r="AM4266">
        <v>85.590143346665897</v>
      </c>
      <c r="AN4266">
        <v>1.00000003898509</v>
      </c>
    </row>
    <row r="4267" spans="1:40" x14ac:dyDescent="0.25">
      <c r="A4267" t="str">
        <f>"20190312161356520"</f>
        <v>20190312161356520</v>
      </c>
      <c r="B4267" t="str">
        <f>"1552378436510744"</f>
        <v>1552378436510744</v>
      </c>
      <c r="C4267" t="s">
        <v>40</v>
      </c>
      <c r="D4267">
        <v>5.9300829999999998</v>
      </c>
      <c r="E4267">
        <v>0.49060399999999998</v>
      </c>
      <c r="F4267" t="s">
        <v>42</v>
      </c>
      <c r="G4267">
        <v>-242.22190000000001</v>
      </c>
      <c r="H4267" s="1">
        <v>-3.5151980000000002E-6</v>
      </c>
      <c r="I4267">
        <v>140.35329999999999</v>
      </c>
      <c r="J4267">
        <v>-222.09719999999999</v>
      </c>
      <c r="K4267">
        <v>1.108943</v>
      </c>
      <c r="L4267">
        <v>138.4246</v>
      </c>
      <c r="M4267">
        <v>-0.99884320000000004</v>
      </c>
      <c r="N4267">
        <v>0</v>
      </c>
      <c r="O4267">
        <v>4.6320779999999999E-2</v>
      </c>
      <c r="P4267">
        <v>-0.99218360000000005</v>
      </c>
      <c r="Q4267">
        <v>-2.6057650000000002E-2</v>
      </c>
      <c r="R4267">
        <v>0.122035199999999</v>
      </c>
      <c r="S4267">
        <v>-2.984146</v>
      </c>
      <c r="T4267">
        <v>-0.1629881</v>
      </c>
      <c r="U4267">
        <v>0.28504940000000001</v>
      </c>
      <c r="V4267">
        <v>7.5903529999999997E-2</v>
      </c>
      <c r="W4267">
        <v>-1.340306E-2</v>
      </c>
      <c r="X4267">
        <v>0.9970251</v>
      </c>
      <c r="Y4267">
        <v>4.8867840000000003E-2</v>
      </c>
      <c r="Z4267">
        <v>-1.1899619999999999E-3</v>
      </c>
      <c r="AA4267">
        <v>0.99880460000000004</v>
      </c>
      <c r="AB4267">
        <v>18</v>
      </c>
      <c r="AC4267">
        <v>-20.124700000000001</v>
      </c>
      <c r="AD4267">
        <v>-1.108946515198</v>
      </c>
      <c r="AE4267">
        <v>1.9286999999999901</v>
      </c>
      <c r="AF4267">
        <v>0.99137709164488597</v>
      </c>
      <c r="AG4267">
        <v>-1.108946515198</v>
      </c>
      <c r="AH4267">
        <v>20.131868676687901</v>
      </c>
      <c r="AI4267">
        <v>93.149093707429003</v>
      </c>
      <c r="AJ4267">
        <v>87.180794472647406</v>
      </c>
      <c r="AK4267">
        <v>20.186746328391202</v>
      </c>
      <c r="AL4267">
        <v>90.767961750205401</v>
      </c>
      <c r="AM4267">
        <v>85.646469519986795</v>
      </c>
      <c r="AN4267">
        <v>1.00000001895691</v>
      </c>
    </row>
    <row r="4268" spans="1:40" x14ac:dyDescent="0.25">
      <c r="A4268" t="str">
        <f>"20190312161356542"</f>
        <v>20190312161356542</v>
      </c>
      <c r="B4268" t="str">
        <f>"1552378436530263"</f>
        <v>1552378436530263</v>
      </c>
      <c r="C4268" t="s">
        <v>40</v>
      </c>
      <c r="D4268">
        <v>5.9402109999999997</v>
      </c>
      <c r="E4268">
        <v>0.49050280000000002</v>
      </c>
      <c r="F4268" t="s">
        <v>42</v>
      </c>
      <c r="G4268">
        <v>-242.2938</v>
      </c>
      <c r="H4268" s="1">
        <v>-3.494124E-6</v>
      </c>
      <c r="I4268">
        <v>140.39009999999999</v>
      </c>
      <c r="J4268">
        <v>-222.27950000000001</v>
      </c>
      <c r="K4268">
        <v>1.108943</v>
      </c>
      <c r="L4268">
        <v>138.43600000000001</v>
      </c>
      <c r="M4268">
        <v>-0.99873060000000002</v>
      </c>
      <c r="N4268">
        <v>0</v>
      </c>
      <c r="O4268">
        <v>4.8711900000000002E-2</v>
      </c>
      <c r="P4268">
        <v>-0.99210209999999999</v>
      </c>
      <c r="Q4268">
        <v>-2.559237E-2</v>
      </c>
      <c r="R4268">
        <v>0.1227946</v>
      </c>
      <c r="S4268">
        <v>-2.9836119999999999</v>
      </c>
      <c r="T4268">
        <v>-0.16382279999999999</v>
      </c>
      <c r="U4268">
        <v>0.29035949999999999</v>
      </c>
      <c r="V4268">
        <v>7.4281249999999993E-2</v>
      </c>
      <c r="W4268">
        <v>-1.302156E-2</v>
      </c>
      <c r="X4268">
        <v>0.99715229999999999</v>
      </c>
      <c r="Y4268">
        <v>4.825931E-2</v>
      </c>
      <c r="Z4268">
        <v>-1.343417E-3</v>
      </c>
      <c r="AA4268">
        <v>0.998834</v>
      </c>
      <c r="AB4268">
        <v>18</v>
      </c>
      <c r="AC4268">
        <v>-20.014299999999899</v>
      </c>
      <c r="AD4268">
        <v>-1.1089464941239999</v>
      </c>
      <c r="AE4268">
        <v>1.95409999999998</v>
      </c>
      <c r="AF4268">
        <v>0.97380378728144501</v>
      </c>
      <c r="AG4268">
        <v>-1.1089464941239999</v>
      </c>
      <c r="AH4268">
        <v>20.024836247182598</v>
      </c>
      <c r="AI4268">
        <v>93.165986118602206</v>
      </c>
      <c r="AJ4268">
        <v>87.215910961182402</v>
      </c>
      <c r="AK4268">
        <v>20.079146467652301</v>
      </c>
      <c r="AL4268">
        <v>90.746101526150895</v>
      </c>
      <c r="AM4268">
        <v>85.739712308412194</v>
      </c>
      <c r="AN4268">
        <v>0.99999998726084205</v>
      </c>
    </row>
    <row r="4269" spans="1:40" x14ac:dyDescent="0.25">
      <c r="A4269" t="str">
        <f>"20190312161356565"</f>
        <v>20190312161356565</v>
      </c>
      <c r="B4269" t="str">
        <f>"1552378436560520"</f>
        <v>1552378436560520</v>
      </c>
      <c r="C4269" t="s">
        <v>40</v>
      </c>
      <c r="D4269">
        <v>5.9894910000000001</v>
      </c>
      <c r="E4269">
        <v>0.49038229999999999</v>
      </c>
      <c r="F4269" t="s">
        <v>42</v>
      </c>
      <c r="G4269">
        <v>-242.69409999999999</v>
      </c>
      <c r="H4269" s="1">
        <v>-3.3339279999999999E-6</v>
      </c>
      <c r="I4269">
        <v>140.4333</v>
      </c>
      <c r="J4269">
        <v>-222.46369999999999</v>
      </c>
      <c r="K4269">
        <v>1.108941</v>
      </c>
      <c r="L4269">
        <v>138.4479</v>
      </c>
      <c r="M4269">
        <v>-0.99861279999999997</v>
      </c>
      <c r="N4269">
        <v>0</v>
      </c>
      <c r="O4269">
        <v>5.1097839999999999E-2</v>
      </c>
      <c r="P4269">
        <v>-0.99204789999999998</v>
      </c>
      <c r="Q4269">
        <v>-2.4904809999999999E-2</v>
      </c>
      <c r="R4269">
        <v>0.12337330000000001</v>
      </c>
      <c r="S4269">
        <v>-2.9835660000000002</v>
      </c>
      <c r="T4269">
        <v>-0.16207160000000001</v>
      </c>
      <c r="U4269">
        <v>0.29191590000000001</v>
      </c>
      <c r="V4269">
        <v>7.2482279999999996E-2</v>
      </c>
      <c r="W4269">
        <v>-1.2431599999999999E-2</v>
      </c>
      <c r="X4269">
        <v>0.99729219999999996</v>
      </c>
      <c r="Y4269">
        <v>4.639675E-2</v>
      </c>
      <c r="Z4269">
        <v>-1.5084199999999999E-3</v>
      </c>
      <c r="AA4269">
        <v>0.99892190000000003</v>
      </c>
      <c r="AB4269">
        <v>18</v>
      </c>
      <c r="AC4269">
        <v>-20.230399999999999</v>
      </c>
      <c r="AD4269">
        <v>-1.1089443339279901</v>
      </c>
      <c r="AE4269">
        <v>1.9853999999999901</v>
      </c>
      <c r="AF4269">
        <v>0.94617682042628404</v>
      </c>
      <c r="AG4269">
        <v>-1.1089443339279901</v>
      </c>
      <c r="AH4269">
        <v>20.245173941341601</v>
      </c>
      <c r="AI4269">
        <v>93.131873691343898</v>
      </c>
      <c r="AJ4269">
        <v>87.324176144475302</v>
      </c>
      <c r="AK4269">
        <v>20.297587936167201</v>
      </c>
      <c r="AL4269">
        <v>90.712296575378403</v>
      </c>
      <c r="AM4269">
        <v>85.843104404082396</v>
      </c>
      <c r="AN4269">
        <v>0.999999978886698</v>
      </c>
    </row>
    <row r="4270" spans="1:40" x14ac:dyDescent="0.25">
      <c r="A4270" t="str">
        <f>"20190312161356589"</f>
        <v>20190312161356589</v>
      </c>
      <c r="B4270" t="str">
        <f>"1552378436581017"</f>
        <v>1552378436581017</v>
      </c>
      <c r="C4270" t="s">
        <v>40</v>
      </c>
      <c r="D4270">
        <v>6.0041029999999997</v>
      </c>
      <c r="E4270">
        <v>0.49033300000000002</v>
      </c>
      <c r="F4270" t="s">
        <v>42</v>
      </c>
      <c r="G4270">
        <v>-242.21510000000001</v>
      </c>
      <c r="H4270" s="1">
        <v>-3.5264919999999998E-6</v>
      </c>
      <c r="I4270">
        <v>140.38470000000001</v>
      </c>
      <c r="J4270">
        <v>-222.6549</v>
      </c>
      <c r="K4270">
        <v>1.1089420000000001</v>
      </c>
      <c r="L4270">
        <v>138.4606</v>
      </c>
      <c r="M4270">
        <v>-0.99848619999999999</v>
      </c>
      <c r="N4270">
        <v>0</v>
      </c>
      <c r="O4270">
        <v>5.3545959999999997E-2</v>
      </c>
      <c r="P4270">
        <v>-0.99193520000000002</v>
      </c>
      <c r="Q4270">
        <v>-2.4112270000000002E-2</v>
      </c>
      <c r="R4270">
        <v>0.1244333</v>
      </c>
      <c r="S4270">
        <v>-2.9834589999999999</v>
      </c>
      <c r="T4270">
        <v>-0.16750689999999999</v>
      </c>
      <c r="U4270">
        <v>0.292572</v>
      </c>
      <c r="V4270">
        <v>7.1104550000000002E-2</v>
      </c>
      <c r="W4270">
        <v>-1.175534E-2</v>
      </c>
      <c r="X4270">
        <v>0.99739960000000005</v>
      </c>
      <c r="Y4270">
        <v>4.41765E-2</v>
      </c>
      <c r="Z4270">
        <v>-1.757799E-3</v>
      </c>
      <c r="AA4270">
        <v>0.99902219999999997</v>
      </c>
      <c r="AB4270">
        <v>18</v>
      </c>
      <c r="AC4270">
        <v>-19.560199999999998</v>
      </c>
      <c r="AD4270">
        <v>-1.1089455264920001</v>
      </c>
      <c r="AE4270">
        <v>1.9241000000000099</v>
      </c>
      <c r="AF4270">
        <v>0.871113604869453</v>
      </c>
      <c r="AG4270">
        <v>-1.1089455264920001</v>
      </c>
      <c r="AH4270">
        <v>19.572861834496301</v>
      </c>
      <c r="AI4270">
        <v>93.2395573608691</v>
      </c>
      <c r="AJ4270">
        <v>87.451664560486293</v>
      </c>
      <c r="AK4270">
        <v>19.6235959876267</v>
      </c>
      <c r="AL4270">
        <v>90.673546879632397</v>
      </c>
      <c r="AM4270">
        <v>85.922286410485498</v>
      </c>
      <c r="AN4270">
        <v>1.0000000035646801</v>
      </c>
    </row>
    <row r="4271" spans="1:40" x14ac:dyDescent="0.25">
      <c r="A4271" t="str">
        <f>"20190312161356612"</f>
        <v>20190312161356612</v>
      </c>
      <c r="B4271" t="str">
        <f>"1552378436600536"</f>
        <v>1552378436600536</v>
      </c>
      <c r="C4271" t="s">
        <v>40</v>
      </c>
      <c r="D4271">
        <v>5.9563300000000003</v>
      </c>
      <c r="E4271">
        <v>0.49019550000000001</v>
      </c>
      <c r="F4271" t="s">
        <v>42</v>
      </c>
      <c r="G4271">
        <v>-242.0609</v>
      </c>
      <c r="H4271" s="1">
        <v>-3.5915930000000001E-6</v>
      </c>
      <c r="I4271">
        <v>140.38079999999999</v>
      </c>
      <c r="J4271">
        <v>-222.8399</v>
      </c>
      <c r="K4271">
        <v>1.108941</v>
      </c>
      <c r="L4271">
        <v>138.47329999999999</v>
      </c>
      <c r="M4271">
        <v>-0.99835989999999997</v>
      </c>
      <c r="N4271">
        <v>0</v>
      </c>
      <c r="O4271">
        <v>5.5877780000000002E-2</v>
      </c>
      <c r="P4271">
        <v>-0.99183489999999996</v>
      </c>
      <c r="Q4271">
        <v>-2.3239269999999999E-2</v>
      </c>
      <c r="R4271">
        <v>0.12539349999999999</v>
      </c>
      <c r="S4271">
        <v>-2.983215</v>
      </c>
      <c r="T4271">
        <v>-0.17047509999999999</v>
      </c>
      <c r="U4271">
        <v>0.29519649999999997</v>
      </c>
      <c r="V4271">
        <v>6.9742390000000001E-2</v>
      </c>
      <c r="W4271">
        <v>-1.100566E-2</v>
      </c>
      <c r="X4271">
        <v>0.99750430000000001</v>
      </c>
      <c r="Y4271">
        <v>4.272832E-2</v>
      </c>
      <c r="Z4271">
        <v>-1.9626880000000002E-3</v>
      </c>
      <c r="AA4271">
        <v>0.9990848</v>
      </c>
      <c r="AB4271">
        <v>18</v>
      </c>
      <c r="AC4271">
        <v>-19.221</v>
      </c>
      <c r="AD4271">
        <v>-1.1089445915930001</v>
      </c>
      <c r="AE4271">
        <v>1.90749999999999</v>
      </c>
      <c r="AF4271">
        <v>0.82768094670998404</v>
      </c>
      <c r="AG4271">
        <v>-1.1089445915930001</v>
      </c>
      <c r="AH4271">
        <v>19.234160563637499</v>
      </c>
      <c r="AI4271">
        <v>93.296688258933301</v>
      </c>
      <c r="AJ4271">
        <v>87.535978451834296</v>
      </c>
      <c r="AK4271">
        <v>19.283872703493898</v>
      </c>
      <c r="AL4271">
        <v>90.630590613687104</v>
      </c>
      <c r="AM4271">
        <v>86.000566200796598</v>
      </c>
      <c r="AN4271">
        <v>0.99999997701671794</v>
      </c>
    </row>
    <row r="4272" spans="1:40" x14ac:dyDescent="0.25">
      <c r="A4272" t="str">
        <f>"20190312161356653"</f>
        <v>20190312161356653</v>
      </c>
      <c r="B4272" t="str">
        <f>"1552378436650755"</f>
        <v>1552378436650755</v>
      </c>
      <c r="C4272" t="s">
        <v>40</v>
      </c>
      <c r="D4272">
        <v>5.9897869999999998</v>
      </c>
      <c r="E4272">
        <v>0.4899461</v>
      </c>
      <c r="F4272" t="s">
        <v>42</v>
      </c>
      <c r="G4272">
        <v>-243.0001</v>
      </c>
      <c r="H4272" s="1">
        <v>-3.2150320000000002E-6</v>
      </c>
      <c r="I4272">
        <v>140.47989999999999</v>
      </c>
      <c r="J4272">
        <v>-223.18879999999999</v>
      </c>
      <c r="K4272">
        <v>1.108946</v>
      </c>
      <c r="L4272">
        <v>138.4984</v>
      </c>
      <c r="M4272">
        <v>-0.99811170000000005</v>
      </c>
      <c r="N4272">
        <v>0</v>
      </c>
      <c r="O4272">
        <v>6.0200249999999997E-2</v>
      </c>
      <c r="P4272">
        <v>-0.99167209999999995</v>
      </c>
      <c r="Q4272">
        <v>-2.1850000000000001E-2</v>
      </c>
      <c r="R4272">
        <v>0.12692290000000001</v>
      </c>
      <c r="S4272">
        <v>-2.9832920000000001</v>
      </c>
      <c r="T4272">
        <v>-0.16410060000000001</v>
      </c>
      <c r="U4272">
        <v>0.29693599999999998</v>
      </c>
      <c r="V4272">
        <v>6.6963720000000004E-2</v>
      </c>
      <c r="W4272">
        <v>-9.8378210000000001E-3</v>
      </c>
      <c r="X4272">
        <v>0.99770689999999995</v>
      </c>
      <c r="Y4272">
        <v>3.8986890000000003E-2</v>
      </c>
      <c r="Z4272">
        <v>-2.2282339999999999E-3</v>
      </c>
      <c r="AA4272">
        <v>0.99923720000000005</v>
      </c>
      <c r="AB4272">
        <v>18</v>
      </c>
      <c r="AC4272">
        <v>-19.811299999999999</v>
      </c>
      <c r="AD4272">
        <v>-1.1089492150319999</v>
      </c>
      <c r="AE4272">
        <v>1.9814999999999801</v>
      </c>
      <c r="AF4272">
        <v>0.78274335203418399</v>
      </c>
      <c r="AG4272">
        <v>-1.1089492150319999</v>
      </c>
      <c r="AH4272">
        <v>19.833131976255299</v>
      </c>
      <c r="AI4272">
        <v>93.197818038590299</v>
      </c>
      <c r="AJ4272">
        <v>87.739911816904396</v>
      </c>
      <c r="AK4272">
        <v>19.8795266418553</v>
      </c>
      <c r="AL4272">
        <v>90.563674720887505</v>
      </c>
      <c r="AM4272">
        <v>86.160202116897196</v>
      </c>
      <c r="AN4272">
        <v>0.99999999041293797</v>
      </c>
    </row>
    <row r="4273" spans="1:40" x14ac:dyDescent="0.25">
      <c r="A4273" t="str">
        <f>"20190312161356677"</f>
        <v>20190312161356677</v>
      </c>
      <c r="B4273" t="str">
        <f>"1552378436670276"</f>
        <v>1552378436670276</v>
      </c>
      <c r="C4273" t="s">
        <v>40</v>
      </c>
      <c r="D4273">
        <v>5.9466219999999996</v>
      </c>
      <c r="E4273">
        <v>0.48979149999999999</v>
      </c>
      <c r="F4273" t="s">
        <v>42</v>
      </c>
      <c r="G4273">
        <v>-244.28210000000001</v>
      </c>
      <c r="H4273" s="1">
        <v>-2.7014730000000002E-6</v>
      </c>
      <c r="I4273">
        <v>140.61670000000001</v>
      </c>
      <c r="J4273">
        <v>-223.37309999999999</v>
      </c>
      <c r="K4273">
        <v>1.10894</v>
      </c>
      <c r="L4273">
        <v>138.51220000000001</v>
      </c>
      <c r="M4273">
        <v>-0.99797559999999996</v>
      </c>
      <c r="N4273">
        <v>0</v>
      </c>
      <c r="O4273">
        <v>6.2434709999999997E-2</v>
      </c>
      <c r="P4273">
        <v>-0.99154759999999997</v>
      </c>
      <c r="Q4273">
        <v>-2.1605969999999999E-2</v>
      </c>
      <c r="R4273">
        <v>0.1279322</v>
      </c>
      <c r="S4273">
        <v>-2.9833829999999999</v>
      </c>
      <c r="T4273">
        <v>-0.1568474</v>
      </c>
      <c r="U4273">
        <v>0.29962159999999999</v>
      </c>
      <c r="V4273">
        <v>6.5746020000000002E-2</v>
      </c>
      <c r="W4273">
        <v>-9.6967210000000002E-3</v>
      </c>
      <c r="X4273">
        <v>0.99778929999999999</v>
      </c>
      <c r="Y4273">
        <v>3.7639489999999998E-2</v>
      </c>
      <c r="Z4273">
        <v>-2.2817670000000001E-3</v>
      </c>
      <c r="AA4273">
        <v>0.99928879999999998</v>
      </c>
      <c r="AB4273">
        <v>18</v>
      </c>
      <c r="AC4273">
        <v>-20.908999999999999</v>
      </c>
      <c r="AD4273">
        <v>-1.108942701473</v>
      </c>
      <c r="AE4273">
        <v>2.1044999999999998</v>
      </c>
      <c r="AF4273">
        <v>0.79264331457150905</v>
      </c>
      <c r="AG4273">
        <v>-1.108942701473</v>
      </c>
      <c r="AH4273">
        <v>20.941290441883801</v>
      </c>
      <c r="AI4273">
        <v>93.029092528095603</v>
      </c>
      <c r="AJ4273">
        <v>87.832347203465105</v>
      </c>
      <c r="AK4273">
        <v>20.985606560464699</v>
      </c>
      <c r="AL4273">
        <v>90.555589880683002</v>
      </c>
      <c r="AM4273">
        <v>86.2301340354215</v>
      </c>
      <c r="AN4273">
        <v>1.0000000263692399</v>
      </c>
    </row>
    <row r="4274" spans="1:40" x14ac:dyDescent="0.25">
      <c r="A4274" t="str">
        <f>"20190312161356698"</f>
        <v>20190312161356698</v>
      </c>
      <c r="B4274" t="str">
        <f>"1552378436690772"</f>
        <v>1552378436690772</v>
      </c>
      <c r="C4274" t="s">
        <v>40</v>
      </c>
      <c r="D4274">
        <v>5.9505520000000001</v>
      </c>
      <c r="E4274">
        <v>0.48779359999999999</v>
      </c>
      <c r="F4274" t="s">
        <v>42</v>
      </c>
      <c r="G4274">
        <v>-244.6576</v>
      </c>
      <c r="H4274" s="1">
        <v>-2.5530310000000002E-6</v>
      </c>
      <c r="I4274">
        <v>140.66419999999999</v>
      </c>
      <c r="J4274">
        <v>-223.5564</v>
      </c>
      <c r="K4274">
        <v>1.108943</v>
      </c>
      <c r="L4274">
        <v>138.52629999999999</v>
      </c>
      <c r="M4274">
        <v>-0.99783750000000004</v>
      </c>
      <c r="N4274">
        <v>0</v>
      </c>
      <c r="O4274">
        <v>6.4622929999999995E-2</v>
      </c>
      <c r="P4274">
        <v>-0.99141650000000003</v>
      </c>
      <c r="Q4274">
        <v>-2.1510430000000001E-2</v>
      </c>
      <c r="R4274">
        <v>0.1289603</v>
      </c>
      <c r="S4274">
        <v>-2.983276</v>
      </c>
      <c r="T4274">
        <v>-0.1554316</v>
      </c>
      <c r="U4274">
        <v>0.30163570000000001</v>
      </c>
      <c r="V4274">
        <v>6.4593020000000001E-2</v>
      </c>
      <c r="W4274">
        <v>-9.7002210000000002E-3</v>
      </c>
      <c r="X4274">
        <v>0.99786450000000004</v>
      </c>
      <c r="Y4274">
        <v>3.6124040000000003E-2</v>
      </c>
      <c r="Z4274">
        <v>-2.4138300000000001E-3</v>
      </c>
      <c r="AA4274">
        <v>0.99934440000000002</v>
      </c>
      <c r="AB4274">
        <v>18</v>
      </c>
      <c r="AC4274">
        <v>-21.101199999999999</v>
      </c>
      <c r="AD4274">
        <v>-1.108945553031</v>
      </c>
      <c r="AE4274">
        <v>2.1379000000000001</v>
      </c>
      <c r="AF4274">
        <v>0.76761240060420999</v>
      </c>
      <c r="AG4274">
        <v>-1.108945553031</v>
      </c>
      <c r="AH4274">
        <v>21.1374681025158</v>
      </c>
      <c r="AI4274">
        <v>93.001209074386495</v>
      </c>
      <c r="AJ4274">
        <v>87.920203501111402</v>
      </c>
      <c r="AK4274">
        <v>21.180451997585401</v>
      </c>
      <c r="AL4274">
        <v>90.555790464205003</v>
      </c>
      <c r="AM4274">
        <v>86.296339545148399</v>
      </c>
      <c r="AN4274">
        <v>0.999999956440208</v>
      </c>
    </row>
    <row r="4275" spans="1:40" x14ac:dyDescent="0.25">
      <c r="A4275" t="str">
        <f>"20190312161356722"</f>
        <v>20190312161356722</v>
      </c>
      <c r="B4275" t="str">
        <f>"1552378436710292"</f>
        <v>1552378436710292</v>
      </c>
      <c r="C4275" t="s">
        <v>40</v>
      </c>
      <c r="D4275">
        <v>5.9390879999999999</v>
      </c>
      <c r="E4275">
        <v>0.48453020000000002</v>
      </c>
      <c r="F4275" t="s">
        <v>42</v>
      </c>
      <c r="G4275">
        <v>-245.49180000000001</v>
      </c>
      <c r="H4275" s="1">
        <v>-2.19116E-6</v>
      </c>
      <c r="I4275">
        <v>140.64920000000001</v>
      </c>
      <c r="J4275">
        <v>-223.7467</v>
      </c>
      <c r="K4275">
        <v>1.1089469999999999</v>
      </c>
      <c r="L4275">
        <v>138.54140000000001</v>
      </c>
      <c r="M4275">
        <v>-0.99769169999999996</v>
      </c>
      <c r="N4275">
        <v>0</v>
      </c>
      <c r="O4275">
        <v>6.6857079999999999E-2</v>
      </c>
      <c r="P4275">
        <v>-0.99121340000000002</v>
      </c>
      <c r="Q4275">
        <v>-2.147253E-2</v>
      </c>
      <c r="R4275">
        <v>0.13051849999999901</v>
      </c>
      <c r="S4275">
        <v>-2.9851230000000002</v>
      </c>
      <c r="T4275">
        <v>-0.15091299999999999</v>
      </c>
      <c r="U4275">
        <v>0.2889099</v>
      </c>
      <c r="V4275">
        <v>6.3927620000000004E-2</v>
      </c>
      <c r="W4275">
        <v>-9.7645749999999993E-3</v>
      </c>
      <c r="X4275">
        <v>0.99790670000000004</v>
      </c>
      <c r="Y4275">
        <v>2.961368E-2</v>
      </c>
      <c r="Z4275">
        <v>-2.619241E-3</v>
      </c>
      <c r="AA4275">
        <v>0.99955799999999995</v>
      </c>
      <c r="AB4275">
        <v>18</v>
      </c>
      <c r="AC4275">
        <v>-21.745100000000001</v>
      </c>
      <c r="AD4275">
        <v>-1.10894919116</v>
      </c>
      <c r="AE4275">
        <v>2.1077999999999899</v>
      </c>
      <c r="AF4275">
        <v>0.647498260356551</v>
      </c>
      <c r="AG4275">
        <v>-1.10894919116</v>
      </c>
      <c r="AH4275">
        <v>21.781250592466101</v>
      </c>
      <c r="AI4275">
        <v>92.913299668630401</v>
      </c>
      <c r="AJ4275">
        <v>88.297251348358103</v>
      </c>
      <c r="AK4275">
        <v>21.8190719252114</v>
      </c>
      <c r="AL4275">
        <v>90.559477863754594</v>
      </c>
      <c r="AM4275">
        <v>86.334542545621801</v>
      </c>
      <c r="AN4275">
        <v>0.99999993471434001</v>
      </c>
    </row>
    <row r="4276" spans="1:40" x14ac:dyDescent="0.25">
      <c r="A4276" t="str">
        <f>"20190312161356743"</f>
        <v>20190312161356743</v>
      </c>
      <c r="B4276" t="str">
        <f>"1552378436740080"</f>
        <v>1552378436740080</v>
      </c>
      <c r="C4276" t="s">
        <v>40</v>
      </c>
      <c r="D4276">
        <v>5.8020350000000001</v>
      </c>
      <c r="E4276">
        <v>0.4805912</v>
      </c>
      <c r="F4276" t="s">
        <v>42</v>
      </c>
      <c r="G4276">
        <v>-246.39250000000001</v>
      </c>
      <c r="H4276" s="1">
        <v>-1.784099E-6</v>
      </c>
      <c r="I4276">
        <v>140.57159999999999</v>
      </c>
      <c r="J4276">
        <v>-223.91929999999999</v>
      </c>
      <c r="K4276">
        <v>1.1089580000000001</v>
      </c>
      <c r="L4276">
        <v>138.55529999999999</v>
      </c>
      <c r="M4276">
        <v>-0.99755720000000003</v>
      </c>
      <c r="N4276">
        <v>0</v>
      </c>
      <c r="O4276">
        <v>6.8850140000000004E-2</v>
      </c>
      <c r="P4276">
        <v>-0.99103189999999997</v>
      </c>
      <c r="Q4276">
        <v>-2.1505730000000001E-2</v>
      </c>
      <c r="R4276">
        <v>0.13188320000000001</v>
      </c>
      <c r="S4276">
        <v>-2.988159</v>
      </c>
      <c r="T4276">
        <v>-0.14632790000000001</v>
      </c>
      <c r="U4276">
        <v>0.26789859999999999</v>
      </c>
      <c r="V4276">
        <v>6.3308160000000002E-2</v>
      </c>
      <c r="W4276">
        <v>-9.8855609999999993E-3</v>
      </c>
      <c r="X4276">
        <v>0.99794510000000003</v>
      </c>
      <c r="Y4276">
        <v>2.056065E-2</v>
      </c>
      <c r="Z4276">
        <v>-2.8563270000000001E-3</v>
      </c>
      <c r="AA4276">
        <v>0.99978449999999996</v>
      </c>
      <c r="AB4276">
        <v>18</v>
      </c>
      <c r="AC4276">
        <v>-22.473199999999999</v>
      </c>
      <c r="AD4276">
        <v>-1.108959784099</v>
      </c>
      <c r="AE4276">
        <v>2.0163000000000002</v>
      </c>
      <c r="AF4276">
        <v>0.46300551866032302</v>
      </c>
      <c r="AG4276">
        <v>-1.108959784099</v>
      </c>
      <c r="AH4276">
        <v>22.5043353500085</v>
      </c>
      <c r="AI4276">
        <v>92.820520945165896</v>
      </c>
      <c r="AJ4276">
        <v>88.821359547740002</v>
      </c>
      <c r="AK4276">
        <v>22.536398901747798</v>
      </c>
      <c r="AL4276">
        <v>90.566410129175296</v>
      </c>
      <c r="AM4276">
        <v>86.370104780108704</v>
      </c>
      <c r="AN4276">
        <v>1.00000003502643</v>
      </c>
    </row>
    <row r="4277" spans="1:40" x14ac:dyDescent="0.25">
      <c r="A4277" t="str">
        <f>"20190312161356765"</f>
        <v>20190312161356765</v>
      </c>
      <c r="B4277" t="str">
        <f>"1552378436760575"</f>
        <v>1552378436760575</v>
      </c>
      <c r="C4277" t="s">
        <v>40</v>
      </c>
      <c r="D4277">
        <v>5.7894290000000002</v>
      </c>
      <c r="E4277">
        <v>0.4784503</v>
      </c>
      <c r="F4277" t="s">
        <v>42</v>
      </c>
      <c r="G4277">
        <v>-247.07929999999999</v>
      </c>
      <c r="H4277" s="1">
        <v>-1.4490400000000001E-6</v>
      </c>
      <c r="I4277">
        <v>140.4196</v>
      </c>
      <c r="J4277">
        <v>-224.09739999999999</v>
      </c>
      <c r="K4277">
        <v>1.1089719999999901</v>
      </c>
      <c r="L4277">
        <v>138.57</v>
      </c>
      <c r="M4277">
        <v>-0.99741709999999995</v>
      </c>
      <c r="N4277">
        <v>0</v>
      </c>
      <c r="O4277">
        <v>7.0866699999999894E-2</v>
      </c>
      <c r="P4277">
        <v>-0.99085869999999998</v>
      </c>
      <c r="Q4277">
        <v>-2.1099030000000001E-2</v>
      </c>
      <c r="R4277">
        <v>0.13324510000000001</v>
      </c>
      <c r="S4277">
        <v>-2.9919889999999998</v>
      </c>
      <c r="T4277">
        <v>-0.14326420000000001</v>
      </c>
      <c r="U4277">
        <v>0.24084469999999999</v>
      </c>
      <c r="V4277">
        <v>6.2663259999999998E-2</v>
      </c>
      <c r="W4277">
        <v>-9.5633760000000002E-3</v>
      </c>
      <c r="X4277">
        <v>0.99798889999999996</v>
      </c>
      <c r="Y4277">
        <v>9.4618810000000001E-3</v>
      </c>
      <c r="Z4277">
        <v>-3.1555300000000001E-3</v>
      </c>
      <c r="AA4277">
        <v>0.99995020000000001</v>
      </c>
      <c r="AB4277">
        <v>18</v>
      </c>
      <c r="AC4277">
        <v>-22.9819</v>
      </c>
      <c r="AD4277">
        <v>-1.1089734490399901</v>
      </c>
      <c r="AE4277">
        <v>1.8495999999999999</v>
      </c>
      <c r="AF4277">
        <v>0.215687080319615</v>
      </c>
      <c r="AG4277">
        <v>-1.1089734490399901</v>
      </c>
      <c r="AH4277">
        <v>23.001980173466901</v>
      </c>
      <c r="AI4277">
        <v>92.760090611562504</v>
      </c>
      <c r="AJ4277">
        <v>89.462759417754498</v>
      </c>
      <c r="AK4277">
        <v>23.0297076604949</v>
      </c>
      <c r="AL4277">
        <v>90.547949438927304</v>
      </c>
      <c r="AM4277">
        <v>86.407141279835201</v>
      </c>
      <c r="AN4277">
        <v>0.99999999341877699</v>
      </c>
    </row>
    <row r="4278" spans="1:40" x14ac:dyDescent="0.25">
      <c r="A4278" t="str">
        <f>"20190312161356790"</f>
        <v>20190312161356790</v>
      </c>
      <c r="B4278" t="str">
        <f>"1552378436780095"</f>
        <v>1552378436780095</v>
      </c>
      <c r="C4278" t="s">
        <v>40</v>
      </c>
      <c r="D4278">
        <v>5.7912650000000001</v>
      </c>
      <c r="E4278">
        <v>0.47650910000000002</v>
      </c>
      <c r="F4278" t="s">
        <v>42</v>
      </c>
      <c r="G4278">
        <v>-247.93299999999999</v>
      </c>
      <c r="H4278" s="1">
        <v>-1.0741330000000001E-6</v>
      </c>
      <c r="I4278">
        <v>140.387</v>
      </c>
      <c r="J4278">
        <v>-224.3032</v>
      </c>
      <c r="K4278">
        <v>1.108995</v>
      </c>
      <c r="L4278">
        <v>138.5874</v>
      </c>
      <c r="M4278">
        <v>-0.99725439999999999</v>
      </c>
      <c r="N4278">
        <v>0</v>
      </c>
      <c r="O4278">
        <v>7.3136039999999999E-2</v>
      </c>
      <c r="P4278">
        <v>-0.99069770000000001</v>
      </c>
      <c r="Q4278">
        <v>-2.018205E-2</v>
      </c>
      <c r="R4278">
        <v>0.13457710000000001</v>
      </c>
      <c r="S4278">
        <v>-2.9939879999999999</v>
      </c>
      <c r="T4278">
        <v>-0.13929820000000001</v>
      </c>
      <c r="U4278">
        <v>0.228241</v>
      </c>
      <c r="V4278">
        <v>6.1735709999999999E-2</v>
      </c>
      <c r="W4278">
        <v>-8.7414850000000002E-3</v>
      </c>
      <c r="X4278">
        <v>0.99805429999999995</v>
      </c>
      <c r="Y4278">
        <v>2.9548589999999998E-3</v>
      </c>
      <c r="Z4278">
        <v>-3.3229560000000002E-3</v>
      </c>
      <c r="AA4278">
        <v>0.99999009999999999</v>
      </c>
      <c r="AB4278">
        <v>18</v>
      </c>
      <c r="AC4278">
        <v>-23.6297999999999</v>
      </c>
      <c r="AD4278">
        <v>-1.1089960741330001</v>
      </c>
      <c r="AE4278">
        <v>1.7995999999999901</v>
      </c>
      <c r="AF4278">
        <v>6.6328246531373897E-2</v>
      </c>
      <c r="AG4278">
        <v>-1.1089960741330001</v>
      </c>
      <c r="AH4278">
        <v>23.646351105758399</v>
      </c>
      <c r="AI4278">
        <v>92.685150846162998</v>
      </c>
      <c r="AJ4278">
        <v>89.839285198604003</v>
      </c>
      <c r="AK4278">
        <v>23.672435285486198</v>
      </c>
      <c r="AL4278">
        <v>90.500856551678993</v>
      </c>
      <c r="AM4278">
        <v>86.460418386372993</v>
      </c>
      <c r="AN4278">
        <v>1.0000000485988401</v>
      </c>
    </row>
    <row r="4279" spans="1:40" x14ac:dyDescent="0.25">
      <c r="A4279" t="str">
        <f>"20190312161356812"</f>
        <v>20190312161356812</v>
      </c>
      <c r="B4279" t="str">
        <f>"1552378436800592"</f>
        <v>1552378436800592</v>
      </c>
      <c r="C4279" t="s">
        <v>40</v>
      </c>
      <c r="D4279">
        <v>5.8128669999999998</v>
      </c>
      <c r="E4279">
        <v>0.474721</v>
      </c>
      <c r="F4279" t="s">
        <v>42</v>
      </c>
      <c r="G4279">
        <v>-249.16890000000001</v>
      </c>
      <c r="H4279" s="1">
        <v>-5.4424269999999895E-7</v>
      </c>
      <c r="I4279">
        <v>140.38820000000001</v>
      </c>
      <c r="J4279">
        <v>-224.48759999999999</v>
      </c>
      <c r="K4279">
        <v>1.1090139999999999</v>
      </c>
      <c r="L4279">
        <v>138.60329999999999</v>
      </c>
      <c r="M4279">
        <v>-0.99710940000000003</v>
      </c>
      <c r="N4279">
        <v>0</v>
      </c>
      <c r="O4279">
        <v>7.5102000000000002E-2</v>
      </c>
      <c r="P4279">
        <v>-0.99045349999999999</v>
      </c>
      <c r="Q4279">
        <v>-2.0173920000000001E-2</v>
      </c>
      <c r="R4279">
        <v>0.13636400000000001</v>
      </c>
      <c r="S4279">
        <v>-2.9959720000000001</v>
      </c>
      <c r="T4279">
        <v>-0.1336186</v>
      </c>
      <c r="U4279">
        <v>0.21698000000000001</v>
      </c>
      <c r="V4279">
        <v>6.156901E-2</v>
      </c>
      <c r="W4279">
        <v>-8.8175119999999996E-3</v>
      </c>
      <c r="X4279">
        <v>0.9980639</v>
      </c>
      <c r="Y4279">
        <v>-2.8032550000000002E-3</v>
      </c>
      <c r="Z4279">
        <v>-3.4014589999999999E-3</v>
      </c>
      <c r="AA4279">
        <v>0.9999903</v>
      </c>
      <c r="AB4279">
        <v>18</v>
      </c>
      <c r="AC4279">
        <v>-24.6813</v>
      </c>
      <c r="AD4279">
        <v>-1.1090145442427</v>
      </c>
      <c r="AE4279">
        <v>1.7849000000000199</v>
      </c>
      <c r="AF4279">
        <v>-7.3731230878969697E-2</v>
      </c>
      <c r="AG4279">
        <v>-1.1090145442427</v>
      </c>
      <c r="AH4279">
        <v>24.696043528327198</v>
      </c>
      <c r="AI4279">
        <v>92.571217891233502</v>
      </c>
      <c r="AJ4279">
        <v>90.171058809125995</v>
      </c>
      <c r="AK4279">
        <v>24.721041958355599</v>
      </c>
      <c r="AL4279">
        <v>90.505212760037907</v>
      </c>
      <c r="AM4279">
        <v>86.469985702960301</v>
      </c>
      <c r="AN4279">
        <v>1.00000001999673</v>
      </c>
    </row>
    <row r="4280" spans="1:40" x14ac:dyDescent="0.25">
      <c r="A4280" t="str">
        <f>"20190312161356835"</f>
        <v>20190312161356835</v>
      </c>
      <c r="B4280" t="str">
        <f>"1552378436830849"</f>
        <v>1552378436830849</v>
      </c>
      <c r="C4280" t="s">
        <v>40</v>
      </c>
      <c r="D4280">
        <v>5.7697760000000002</v>
      </c>
      <c r="E4280">
        <v>0.47235919999999998</v>
      </c>
      <c r="F4280" t="s">
        <v>42</v>
      </c>
      <c r="G4280">
        <v>-249.79329999999999</v>
      </c>
      <c r="H4280" s="1">
        <v>-2.692372E-7</v>
      </c>
      <c r="I4280">
        <v>140.3613</v>
      </c>
      <c r="J4280">
        <v>-224.67490000000001</v>
      </c>
      <c r="K4280">
        <v>1.109035</v>
      </c>
      <c r="L4280">
        <v>138.6198</v>
      </c>
      <c r="M4280">
        <v>-0.99696220000000002</v>
      </c>
      <c r="N4280">
        <v>0</v>
      </c>
      <c r="O4280">
        <v>7.704279E-2</v>
      </c>
      <c r="P4280">
        <v>-0.99012579999999994</v>
      </c>
      <c r="Q4280">
        <v>-2.0516940000000001E-2</v>
      </c>
      <c r="R4280">
        <v>0.1386725</v>
      </c>
      <c r="S4280">
        <v>-2.9975589999999999</v>
      </c>
      <c r="T4280">
        <v>-0.13136719999999999</v>
      </c>
      <c r="U4280">
        <v>0.20825199999999999</v>
      </c>
      <c r="V4280">
        <v>6.1953000000000001E-2</v>
      </c>
      <c r="W4280">
        <v>-9.2389970000000005E-3</v>
      </c>
      <c r="X4280">
        <v>0.99803629999999999</v>
      </c>
      <c r="Y4280">
        <v>-7.6810539999999997E-3</v>
      </c>
      <c r="Z4280">
        <v>-3.5341930000000001E-3</v>
      </c>
      <c r="AA4280">
        <v>0.99996419999999997</v>
      </c>
      <c r="AB4280">
        <v>18</v>
      </c>
      <c r="AC4280">
        <v>-25.118399999999902</v>
      </c>
      <c r="AD4280">
        <v>-1.1090352692372001</v>
      </c>
      <c r="AE4280">
        <v>1.7415</v>
      </c>
      <c r="AF4280">
        <v>-0.198609635166142</v>
      </c>
      <c r="AG4280">
        <v>-1.1090352692372001</v>
      </c>
      <c r="AH4280">
        <v>25.129158697123501</v>
      </c>
      <c r="AI4280">
        <v>92.526939043411303</v>
      </c>
      <c r="AJ4280">
        <v>90.452830795781907</v>
      </c>
      <c r="AK4280">
        <v>25.154403627214201</v>
      </c>
      <c r="AL4280">
        <v>90.5293630690133</v>
      </c>
      <c r="AM4280">
        <v>86.447928130647995</v>
      </c>
      <c r="AN4280">
        <v>0.99999999469612799</v>
      </c>
    </row>
    <row r="4281" spans="1:40" x14ac:dyDescent="0.25">
      <c r="A4281" t="str">
        <f>"20190312161356855"</f>
        <v>20190312161356855</v>
      </c>
      <c r="B4281" t="str">
        <f>"1552378436849899"</f>
        <v>1552378436849899</v>
      </c>
      <c r="C4281" t="s">
        <v>40</v>
      </c>
      <c r="D4281">
        <v>5.7914529999999997</v>
      </c>
      <c r="E4281">
        <v>0.47091339999999998</v>
      </c>
      <c r="F4281" t="s">
        <v>42</v>
      </c>
      <c r="G4281">
        <v>-250.58789999999999</v>
      </c>
      <c r="H4281" s="1">
        <v>-4.2002839999999998E-6</v>
      </c>
      <c r="I4281">
        <v>140.31720000000001</v>
      </c>
      <c r="J4281">
        <v>-224.83789999999999</v>
      </c>
      <c r="K4281">
        <v>1.1090599999999999</v>
      </c>
      <c r="L4281">
        <v>138.6344</v>
      </c>
      <c r="M4281">
        <v>-0.99683480000000002</v>
      </c>
      <c r="N4281">
        <v>0</v>
      </c>
      <c r="O4281">
        <v>7.8683030000000001E-2</v>
      </c>
      <c r="P4281">
        <v>-0.98979839999999997</v>
      </c>
      <c r="Q4281">
        <v>-2.042834E-2</v>
      </c>
      <c r="R4281">
        <v>0.1410034</v>
      </c>
      <c r="S4281">
        <v>-2.9997250000000002</v>
      </c>
      <c r="T4281">
        <v>-0.1283839</v>
      </c>
      <c r="U4281">
        <v>0.1965027</v>
      </c>
      <c r="V4281">
        <v>6.2661179999999997E-2</v>
      </c>
      <c r="W4281">
        <v>-9.2127719999999993E-3</v>
      </c>
      <c r="X4281">
        <v>0.99799230000000005</v>
      </c>
      <c r="Y4281">
        <v>-1.327211E-2</v>
      </c>
      <c r="Z4281">
        <v>-3.6414049999999999E-3</v>
      </c>
      <c r="AA4281">
        <v>0.9999053</v>
      </c>
      <c r="AB4281">
        <v>18</v>
      </c>
      <c r="AC4281">
        <v>-25.75</v>
      </c>
      <c r="AD4281">
        <v>-1.1090642002840001</v>
      </c>
      <c r="AE4281">
        <v>1.6828000000000101</v>
      </c>
      <c r="AF4281">
        <v>-0.347994165870813</v>
      </c>
      <c r="AG4281">
        <v>-1.1090642002840001</v>
      </c>
      <c r="AH4281">
        <v>25.754998904225399</v>
      </c>
      <c r="AI4281">
        <v>92.465528141525894</v>
      </c>
      <c r="AJ4281">
        <v>90.774117049430899</v>
      </c>
      <c r="AK4281">
        <v>25.781215873121401</v>
      </c>
      <c r="AL4281">
        <v>90.527860439042101</v>
      </c>
      <c r="AM4281">
        <v>86.407272434109302</v>
      </c>
      <c r="AN4281">
        <v>0.99999996475310204</v>
      </c>
    </row>
    <row r="4282" spans="1:40" x14ac:dyDescent="0.25">
      <c r="A4282" t="str">
        <f>"20190312161356878"</f>
        <v>20190312161356878</v>
      </c>
      <c r="B4282" t="str">
        <f>"1552378436870396"</f>
        <v>1552378436870396</v>
      </c>
      <c r="C4282" t="s">
        <v>40</v>
      </c>
      <c r="D4282">
        <v>5.8060090000000004</v>
      </c>
      <c r="E4282">
        <v>0.46953549999999999</v>
      </c>
      <c r="F4282" t="s">
        <v>42</v>
      </c>
      <c r="G4282">
        <v>-251.32919999999999</v>
      </c>
      <c r="H4282" s="1">
        <v>-3.8921280000000003E-6</v>
      </c>
      <c r="I4282">
        <v>140.3305</v>
      </c>
      <c r="J4282">
        <v>-225.02549999999999</v>
      </c>
      <c r="K4282">
        <v>1.1090949999999999</v>
      </c>
      <c r="L4282">
        <v>138.6514</v>
      </c>
      <c r="M4282">
        <v>-0.99669030000000003</v>
      </c>
      <c r="N4282">
        <v>0</v>
      </c>
      <c r="O4282">
        <v>8.0503839999999993E-2</v>
      </c>
      <c r="P4282">
        <v>-0.98947739999999995</v>
      </c>
      <c r="Q4282">
        <v>-1.9208300000000001E-2</v>
      </c>
      <c r="R4282">
        <v>0.1434078</v>
      </c>
      <c r="S4282">
        <v>-3.0009610000000002</v>
      </c>
      <c r="T4282">
        <v>-0.1256361</v>
      </c>
      <c r="U4282">
        <v>0.19215389999999999</v>
      </c>
      <c r="V4282">
        <v>6.3264000000000001E-2</v>
      </c>
      <c r="W4282">
        <v>-8.0632489999999998E-3</v>
      </c>
      <c r="X4282">
        <v>0.99796430000000003</v>
      </c>
      <c r="Y4282">
        <v>-1.6567479999999999E-2</v>
      </c>
      <c r="Z4282">
        <v>-3.7070110000000001E-3</v>
      </c>
      <c r="AA4282">
        <v>0.99985590000000002</v>
      </c>
      <c r="AB4282">
        <v>18</v>
      </c>
      <c r="AC4282">
        <v>-26.3036999999999</v>
      </c>
      <c r="AD4282">
        <v>-1.1090988921280001</v>
      </c>
      <c r="AE4282">
        <v>1.6791</v>
      </c>
      <c r="AF4282">
        <v>-0.44324964435224001</v>
      </c>
      <c r="AG4282">
        <v>-1.1090988921280001</v>
      </c>
      <c r="AH4282">
        <v>26.306916552627801</v>
      </c>
      <c r="AI4282">
        <v>92.413816631322504</v>
      </c>
      <c r="AJ4282">
        <v>90.965294847756994</v>
      </c>
      <c r="AK4282">
        <v>26.334016577549701</v>
      </c>
      <c r="AL4282">
        <v>90.461995121475795</v>
      </c>
      <c r="AM4282">
        <v>86.372699617367999</v>
      </c>
      <c r="AN4282">
        <v>1.0000000468774599</v>
      </c>
    </row>
    <row r="4283" spans="1:40" x14ac:dyDescent="0.25">
      <c r="A4283" t="str">
        <f>"20190312161356900"</f>
        <v>20190312161356900</v>
      </c>
      <c r="B4283" t="str">
        <f>"1552378436890891"</f>
        <v>1552378436890891</v>
      </c>
      <c r="C4283" t="s">
        <v>40</v>
      </c>
      <c r="D4283">
        <v>5.8017440000000002</v>
      </c>
      <c r="E4283">
        <v>0.46823779999999998</v>
      </c>
      <c r="F4283" t="s">
        <v>42</v>
      </c>
      <c r="G4283">
        <v>-252.64760000000001</v>
      </c>
      <c r="H4283" s="1">
        <v>-3.3415160000000001E-6</v>
      </c>
      <c r="I4283">
        <v>140.38679999999999</v>
      </c>
      <c r="J4283">
        <v>-225.21440000000001</v>
      </c>
      <c r="K4283">
        <v>1.109129</v>
      </c>
      <c r="L4283">
        <v>138.6688</v>
      </c>
      <c r="M4283">
        <v>-0.99654739999999997</v>
      </c>
      <c r="N4283">
        <v>0</v>
      </c>
      <c r="O4283">
        <v>8.2263849999999999E-2</v>
      </c>
      <c r="P4283">
        <v>-0.9891472</v>
      </c>
      <c r="Q4283">
        <v>-1.875827E-2</v>
      </c>
      <c r="R4283">
        <v>0.14572499999999999</v>
      </c>
      <c r="S4283">
        <v>-3.002243</v>
      </c>
      <c r="T4283">
        <v>-0.120548</v>
      </c>
      <c r="U4283">
        <v>0.1886292</v>
      </c>
      <c r="V4283">
        <v>6.3839510000000002E-2</v>
      </c>
      <c r="W4283">
        <v>-7.6870609999999898E-3</v>
      </c>
      <c r="X4283">
        <v>0.9979306</v>
      </c>
      <c r="Y4283">
        <v>-1.953245E-2</v>
      </c>
      <c r="Z4283">
        <v>-3.685411E-3</v>
      </c>
      <c r="AA4283">
        <v>0.99980239999999998</v>
      </c>
      <c r="AB4283">
        <v>18</v>
      </c>
      <c r="AC4283">
        <v>-27.433199999999999</v>
      </c>
      <c r="AD4283">
        <v>-1.1091323415159999</v>
      </c>
      <c r="AE4283">
        <v>1.71799999999998</v>
      </c>
      <c r="AF4283">
        <v>-0.54384102427071901</v>
      </c>
      <c r="AG4283">
        <v>-1.1091323415159999</v>
      </c>
      <c r="AH4283">
        <v>27.436870631596701</v>
      </c>
      <c r="AI4283">
        <v>92.314460731724097</v>
      </c>
      <c r="AJ4283">
        <v>91.135541876128201</v>
      </c>
      <c r="AK4283">
        <v>27.4646647105995</v>
      </c>
      <c r="AL4283">
        <v>90.440440477491606</v>
      </c>
      <c r="AM4283">
        <v>86.339668245591398</v>
      </c>
      <c r="AN4283">
        <v>1.0000000281801</v>
      </c>
    </row>
    <row r="4284" spans="1:40" x14ac:dyDescent="0.25">
      <c r="A4284" t="str">
        <f>"20190312161356923"</f>
        <v>20190312161356923</v>
      </c>
      <c r="B4284" t="str">
        <f>"1552378436910411"</f>
        <v>1552378436910411</v>
      </c>
      <c r="C4284" t="s">
        <v>40</v>
      </c>
      <c r="D4284">
        <v>5.806235</v>
      </c>
      <c r="E4284">
        <v>0.46703460000000002</v>
      </c>
      <c r="F4284" t="s">
        <v>42</v>
      </c>
      <c r="G4284">
        <v>-253.535</v>
      </c>
      <c r="H4284" s="1">
        <v>-2.9692540000000001E-6</v>
      </c>
      <c r="I4284">
        <v>140.41849999999999</v>
      </c>
      <c r="J4284">
        <v>-225.39689999999999</v>
      </c>
      <c r="K4284">
        <v>1.1091569999999999</v>
      </c>
      <c r="L4284">
        <v>138.6859</v>
      </c>
      <c r="M4284">
        <v>-0.99641259999999998</v>
      </c>
      <c r="N4284">
        <v>0</v>
      </c>
      <c r="O4284">
        <v>8.3892259999999996E-2</v>
      </c>
      <c r="P4284">
        <v>-0.98885109999999998</v>
      </c>
      <c r="Q4284">
        <v>-1.8559180000000002E-2</v>
      </c>
      <c r="R4284">
        <v>0.1477484</v>
      </c>
      <c r="S4284">
        <v>-3.003342</v>
      </c>
      <c r="T4284">
        <v>-0.1176214</v>
      </c>
      <c r="U4284">
        <v>0.18556210000000001</v>
      </c>
      <c r="V4284">
        <v>6.4251249999999996E-2</v>
      </c>
      <c r="W4284">
        <v>-7.557579E-3</v>
      </c>
      <c r="X4284">
        <v>0.99790509999999999</v>
      </c>
      <c r="Y4284">
        <v>-2.2206759999999999E-2</v>
      </c>
      <c r="Z4284">
        <v>-3.7105839999999998E-3</v>
      </c>
      <c r="AA4284">
        <v>0.99974649999999998</v>
      </c>
      <c r="AB4284">
        <v>18</v>
      </c>
      <c r="AC4284">
        <v>-28.138100000000001</v>
      </c>
      <c r="AD4284">
        <v>-1.109159969254</v>
      </c>
      <c r="AE4284">
        <v>1.7325999999999899</v>
      </c>
      <c r="AF4284">
        <v>-0.63324343396081995</v>
      </c>
      <c r="AG4284">
        <v>-1.109159969254</v>
      </c>
      <c r="AH4284">
        <v>28.1406966276577</v>
      </c>
      <c r="AI4284">
        <v>92.256562746662198</v>
      </c>
      <c r="AJ4284">
        <v>91.289095802748705</v>
      </c>
      <c r="AK4284">
        <v>28.169665240714401</v>
      </c>
      <c r="AL4284">
        <v>90.433021517681993</v>
      </c>
      <c r="AM4284">
        <v>86.316031454009007</v>
      </c>
      <c r="AN4284">
        <v>0.999999964366456</v>
      </c>
    </row>
    <row r="4285" spans="1:40" x14ac:dyDescent="0.25">
      <c r="A4285" t="str">
        <f>"20190312161356944"</f>
        <v>20190312161356944</v>
      </c>
      <c r="B4285" t="str">
        <f>"1552378436940668"</f>
        <v>1552378436940668</v>
      </c>
      <c r="C4285" t="s">
        <v>40</v>
      </c>
      <c r="D4285">
        <v>5.7510199999999996</v>
      </c>
      <c r="E4285">
        <v>0.4652017</v>
      </c>
      <c r="F4285" t="s">
        <v>42</v>
      </c>
      <c r="G4285">
        <v>-254.30529999999999</v>
      </c>
      <c r="H4285" s="1">
        <v>-2.6440379999999998E-6</v>
      </c>
      <c r="I4285">
        <v>140.43819999999999</v>
      </c>
      <c r="J4285">
        <v>-225.5761</v>
      </c>
      <c r="K4285">
        <v>1.1091819999999999</v>
      </c>
      <c r="L4285">
        <v>138.7029</v>
      </c>
      <c r="M4285">
        <v>-0.99628329999999998</v>
      </c>
      <c r="N4285">
        <v>0</v>
      </c>
      <c r="O4285">
        <v>8.5421789999999997E-2</v>
      </c>
      <c r="P4285">
        <v>-0.9885486</v>
      </c>
      <c r="Q4285">
        <v>-1.796739E-2</v>
      </c>
      <c r="R4285">
        <v>0.14982860000000001</v>
      </c>
      <c r="S4285">
        <v>-3.0044559999999998</v>
      </c>
      <c r="T4285">
        <v>-0.1152754</v>
      </c>
      <c r="U4285">
        <v>0.18212890000000001</v>
      </c>
      <c r="V4285">
        <v>6.4819509999999997E-2</v>
      </c>
      <c r="W4285">
        <v>-7.0299200000000003E-3</v>
      </c>
      <c r="X4285">
        <v>0.99787219999999999</v>
      </c>
      <c r="Y4285">
        <v>-2.4902509999999999E-2</v>
      </c>
      <c r="Z4285">
        <v>-3.7454760000000002E-3</v>
      </c>
      <c r="AA4285">
        <v>0.99968279999999998</v>
      </c>
      <c r="AB4285">
        <v>18</v>
      </c>
      <c r="AC4285">
        <v>-28.729199999999899</v>
      </c>
      <c r="AD4285">
        <v>-1.109184644038</v>
      </c>
      <c r="AE4285">
        <v>1.7352999999999901</v>
      </c>
      <c r="AF4285">
        <v>-0.72421818411916405</v>
      </c>
      <c r="AG4285">
        <v>-1.109184644038</v>
      </c>
      <c r="AH4285">
        <v>28.729751067073799</v>
      </c>
      <c r="AI4285">
        <v>92.210248861713694</v>
      </c>
      <c r="AJ4285">
        <v>91.444003448497497</v>
      </c>
      <c r="AK4285">
        <v>28.760274319429001</v>
      </c>
      <c r="AL4285">
        <v>90.402788080857107</v>
      </c>
      <c r="AM4285">
        <v>86.283417904813007</v>
      </c>
      <c r="AN4285">
        <v>0.99999995809234199</v>
      </c>
    </row>
    <row r="4286" spans="1:40" x14ac:dyDescent="0.25">
      <c r="A4286" t="str">
        <f>"20190312161356967"</f>
        <v>20190312161356967</v>
      </c>
      <c r="B4286" t="str">
        <f>"1552378436960187"</f>
        <v>1552378436960187</v>
      </c>
      <c r="C4286" t="s">
        <v>40</v>
      </c>
      <c r="D4286">
        <v>5.7660260000000001</v>
      </c>
      <c r="E4286">
        <v>0.46400829999999998</v>
      </c>
      <c r="F4286" t="s">
        <v>42</v>
      </c>
      <c r="G4286">
        <v>-255.6617</v>
      </c>
      <c r="H4286" s="1">
        <v>-2.0638219999999998E-6</v>
      </c>
      <c r="I4286">
        <v>140.44450000000001</v>
      </c>
      <c r="J4286">
        <v>-225.75909999999999</v>
      </c>
      <c r="K4286">
        <v>1.109218</v>
      </c>
      <c r="L4286">
        <v>138.72040000000001</v>
      </c>
      <c r="M4286">
        <v>-0.99615549999999997</v>
      </c>
      <c r="N4286">
        <v>0</v>
      </c>
      <c r="O4286">
        <v>8.6908920000000001E-2</v>
      </c>
      <c r="P4286">
        <v>-0.9883419</v>
      </c>
      <c r="Q4286">
        <v>-1.7579939999999999E-2</v>
      </c>
      <c r="R4286">
        <v>0.1512337</v>
      </c>
      <c r="S4286">
        <v>-3.0063629999999999</v>
      </c>
      <c r="T4286">
        <v>-0.1108377</v>
      </c>
      <c r="U4286">
        <v>0.17404169999999999</v>
      </c>
      <c r="V4286">
        <v>6.4749459999999995E-2</v>
      </c>
      <c r="W4286">
        <v>-6.7038929999999998E-3</v>
      </c>
      <c r="X4286">
        <v>0.99787899999999996</v>
      </c>
      <c r="Y4286">
        <v>-2.9114890000000001E-2</v>
      </c>
      <c r="Z4286">
        <v>-3.7315880000000001E-3</v>
      </c>
      <c r="AA4286">
        <v>0.99956909999999999</v>
      </c>
      <c r="AB4286">
        <v>18</v>
      </c>
      <c r="AC4286">
        <v>-29.9026</v>
      </c>
      <c r="AD4286">
        <v>-1.109220063822</v>
      </c>
      <c r="AE4286">
        <v>1.72409999999999</v>
      </c>
      <c r="AF4286">
        <v>-0.88017721672798799</v>
      </c>
      <c r="AG4286">
        <v>-1.109220063822</v>
      </c>
      <c r="AH4286">
        <v>29.898287747319198</v>
      </c>
      <c r="AI4286">
        <v>92.123767441148203</v>
      </c>
      <c r="AJ4286">
        <v>91.686246352826601</v>
      </c>
      <c r="AK4286">
        <v>29.931800669260301</v>
      </c>
      <c r="AL4286">
        <v>90.384107665142196</v>
      </c>
      <c r="AM4286">
        <v>86.287448378976805</v>
      </c>
      <c r="AN4286">
        <v>0.99999996669632296</v>
      </c>
    </row>
    <row r="4287" spans="1:40" x14ac:dyDescent="0.25">
      <c r="A4287" t="str">
        <f>"20190312161356991"</f>
        <v>20190312161356991</v>
      </c>
      <c r="B4287" t="str">
        <f>"1552378436980683"</f>
        <v>1552378436980683</v>
      </c>
      <c r="C4287" t="s">
        <v>40</v>
      </c>
      <c r="D4287">
        <v>5.7600300000000004</v>
      </c>
      <c r="E4287">
        <v>0.4627752</v>
      </c>
      <c r="F4287" t="s">
        <v>42</v>
      </c>
      <c r="G4287">
        <v>-256.45400000000001</v>
      </c>
      <c r="H4287" s="1">
        <v>-1.724042E-6</v>
      </c>
      <c r="I4287">
        <v>140.44499999999999</v>
      </c>
      <c r="J4287">
        <v>-225.96270000000001</v>
      </c>
      <c r="K4287">
        <v>1.1092610000000001</v>
      </c>
      <c r="L4287">
        <v>138.74010000000001</v>
      </c>
      <c r="M4287">
        <v>-0.99601910000000005</v>
      </c>
      <c r="N4287">
        <v>0</v>
      </c>
      <c r="O4287">
        <v>8.8467920000000005E-2</v>
      </c>
      <c r="P4287">
        <v>-0.98819020000000002</v>
      </c>
      <c r="Q4287">
        <v>-1.7202950000000002E-2</v>
      </c>
      <c r="R4287">
        <v>0.15226410000000001</v>
      </c>
      <c r="S4287">
        <v>-3.0075989999999999</v>
      </c>
      <c r="T4287">
        <v>-0.1086854</v>
      </c>
      <c r="U4287">
        <v>0.16899110000000001</v>
      </c>
      <c r="V4287">
        <v>6.4228789999999994E-2</v>
      </c>
      <c r="W4287">
        <v>-6.3929360000000001E-3</v>
      </c>
      <c r="X4287">
        <v>0.99791470000000004</v>
      </c>
      <c r="Y4287">
        <v>-3.2375880000000003E-2</v>
      </c>
      <c r="Z4287">
        <v>-3.7728039999999998E-3</v>
      </c>
      <c r="AA4287">
        <v>0.99946860000000004</v>
      </c>
      <c r="AB4287">
        <v>19</v>
      </c>
      <c r="AC4287">
        <v>-30.491299999999899</v>
      </c>
      <c r="AD4287">
        <v>-1.1092627240420001</v>
      </c>
      <c r="AE4287">
        <v>1.7048999999999801</v>
      </c>
      <c r="AF4287">
        <v>-0.99813169525171097</v>
      </c>
      <c r="AG4287">
        <v>-1.1092627240420001</v>
      </c>
      <c r="AH4287">
        <v>30.4823510729593</v>
      </c>
      <c r="AI4287">
        <v>92.082977112721906</v>
      </c>
      <c r="AJ4287">
        <v>91.875455969433801</v>
      </c>
      <c r="AK4287">
        <v>30.5188541332593</v>
      </c>
      <c r="AL4287">
        <v>90.366290754690993</v>
      </c>
      <c r="AM4287">
        <v>86.317351026818201</v>
      </c>
      <c r="AN4287">
        <v>0.99999997778582606</v>
      </c>
    </row>
    <row r="4288" spans="1:40" x14ac:dyDescent="0.25">
      <c r="A4288" t="str">
        <f>"20190312161357013"</f>
        <v>20190312161357013</v>
      </c>
      <c r="B4288" t="str">
        <f>"1552378437009964"</f>
        <v>1552378437009964</v>
      </c>
      <c r="C4288" t="s">
        <v>40</v>
      </c>
      <c r="D4288">
        <v>5.7592080000000001</v>
      </c>
      <c r="E4288">
        <v>0.46095170000000002</v>
      </c>
      <c r="F4288" t="s">
        <v>42</v>
      </c>
      <c r="G4288">
        <v>-257.44720000000001</v>
      </c>
      <c r="H4288" s="1">
        <v>-1.2961650000000001E-6</v>
      </c>
      <c r="I4288">
        <v>140.43809999999999</v>
      </c>
      <c r="J4288">
        <v>-226.14660000000001</v>
      </c>
      <c r="K4288">
        <v>1.1092959999999901</v>
      </c>
      <c r="L4288">
        <v>138.75799999999899</v>
      </c>
      <c r="M4288">
        <v>-0.99590120000000004</v>
      </c>
      <c r="N4288">
        <v>0</v>
      </c>
      <c r="O4288">
        <v>8.9793540000000005E-2</v>
      </c>
      <c r="P4288">
        <v>-0.98807080000000003</v>
      </c>
      <c r="Q4288">
        <v>-1.7128060000000001E-2</v>
      </c>
      <c r="R4288">
        <v>0.15304570000000001</v>
      </c>
      <c r="S4288">
        <v>-3.0090029999999999</v>
      </c>
      <c r="T4288">
        <v>-0.10601339999999999</v>
      </c>
      <c r="U4288">
        <v>0.16229250000000001</v>
      </c>
      <c r="V4288">
        <v>6.3690460000000004E-2</v>
      </c>
      <c r="W4288">
        <v>-6.3728269999999898E-3</v>
      </c>
      <c r="X4288">
        <v>0.99794939999999999</v>
      </c>
      <c r="Y4288">
        <v>-3.5951150000000001E-2</v>
      </c>
      <c r="Z4288">
        <v>-3.7880769999999999E-3</v>
      </c>
      <c r="AA4288">
        <v>0.99934639999999997</v>
      </c>
      <c r="AB4288">
        <v>19</v>
      </c>
      <c r="AC4288">
        <v>-31.300599999999999</v>
      </c>
      <c r="AD4288">
        <v>-1.1092972961649901</v>
      </c>
      <c r="AE4288">
        <v>1.6801000000000099</v>
      </c>
      <c r="AF4288">
        <v>-1.1360223896718999</v>
      </c>
      <c r="AG4288">
        <v>-1.1092972961649901</v>
      </c>
      <c r="AH4288">
        <v>31.285832003885901</v>
      </c>
      <c r="AI4288">
        <v>92.029341331696202</v>
      </c>
      <c r="AJ4288">
        <v>92.079558067567802</v>
      </c>
      <c r="AK4288">
        <v>31.326097291818598</v>
      </c>
      <c r="AL4288">
        <v>90.365138545350504</v>
      </c>
      <c r="AM4288">
        <v>86.348259702086096</v>
      </c>
      <c r="AN4288">
        <v>1.0000000462896701</v>
      </c>
    </row>
    <row r="4289" spans="1:40" x14ac:dyDescent="0.25">
      <c r="A4289" t="str">
        <f>"20190312161357036"</f>
        <v>20190312161357036</v>
      </c>
      <c r="B4289" t="str">
        <f>"1552378437030460"</f>
        <v>1552378437030460</v>
      </c>
      <c r="C4289" t="s">
        <v>40</v>
      </c>
      <c r="D4289">
        <v>5.7723559999999896</v>
      </c>
      <c r="E4289">
        <v>0.45986900000000003</v>
      </c>
      <c r="F4289" t="s">
        <v>42</v>
      </c>
      <c r="G4289">
        <v>-258.54809999999998</v>
      </c>
      <c r="H4289" s="1">
        <v>-8.0714599999999997E-7</v>
      </c>
      <c r="I4289">
        <v>140.37520000000001</v>
      </c>
      <c r="J4289">
        <v>-226.33529999999999</v>
      </c>
      <c r="K4289">
        <v>1.1093200000000001</v>
      </c>
      <c r="L4289">
        <v>138.7766</v>
      </c>
      <c r="M4289">
        <v>-0.99578390000000006</v>
      </c>
      <c r="N4289">
        <v>0</v>
      </c>
      <c r="O4289">
        <v>9.1090149999999995E-2</v>
      </c>
      <c r="P4289">
        <v>-0.98796130000000004</v>
      </c>
      <c r="Q4289">
        <v>-1.6711449999999999E-2</v>
      </c>
      <c r="R4289">
        <v>0.15379579999999901</v>
      </c>
      <c r="S4289">
        <v>-3.0111539999999999</v>
      </c>
      <c r="T4289">
        <v>-0.103089899999999</v>
      </c>
      <c r="U4289">
        <v>0.15029909999999999</v>
      </c>
      <c r="V4289">
        <v>6.3149129999999998E-2</v>
      </c>
      <c r="W4289">
        <v>-6.0079560000000001E-3</v>
      </c>
      <c r="X4289">
        <v>0.99798600000000004</v>
      </c>
      <c r="Y4289">
        <v>-4.12603E-2</v>
      </c>
      <c r="Z4289">
        <v>-3.8165299999999998E-3</v>
      </c>
      <c r="AA4289">
        <v>0.99914119999999995</v>
      </c>
      <c r="AB4289">
        <v>19</v>
      </c>
      <c r="AC4289">
        <v>-32.212799999999902</v>
      </c>
      <c r="AD4289">
        <v>-1.1093208071459999</v>
      </c>
      <c r="AE4289">
        <v>1.5986</v>
      </c>
      <c r="AF4289">
        <v>-1.3409008835568099</v>
      </c>
      <c r="AG4289">
        <v>-1.1093208071459999</v>
      </c>
      <c r="AH4289">
        <v>32.186412752163797</v>
      </c>
      <c r="AI4289">
        <v>91.972236929028398</v>
      </c>
      <c r="AJ4289">
        <v>92.385589248590193</v>
      </c>
      <c r="AK4289">
        <v>32.233426341072501</v>
      </c>
      <c r="AL4289">
        <v>90.344232599333907</v>
      </c>
      <c r="AM4289">
        <v>86.379346778637398</v>
      </c>
      <c r="AN4289">
        <v>0.99999998217552699</v>
      </c>
    </row>
    <row r="4290" spans="1:40" x14ac:dyDescent="0.25">
      <c r="A4290" t="str">
        <f>"20190312161357055"</f>
        <v>20190312161357055</v>
      </c>
      <c r="B4290" t="str">
        <f>"1552378437049980"</f>
        <v>1552378437049980</v>
      </c>
      <c r="C4290" t="s">
        <v>40</v>
      </c>
      <c r="D4290">
        <v>5.7710350000000004</v>
      </c>
      <c r="E4290">
        <v>0.45879520000000001</v>
      </c>
      <c r="F4290" t="s">
        <v>42</v>
      </c>
      <c r="G4290">
        <v>-259.53410000000002</v>
      </c>
      <c r="H4290" s="1">
        <v>-3.8162520000000002E-7</v>
      </c>
      <c r="I4290">
        <v>140.36580000000001</v>
      </c>
      <c r="J4290">
        <v>-226.50219999999999</v>
      </c>
      <c r="K4290">
        <v>1.1093360000000001</v>
      </c>
      <c r="L4290">
        <v>138.79329999999999</v>
      </c>
      <c r="M4290">
        <v>-0.9956836</v>
      </c>
      <c r="N4290">
        <v>0</v>
      </c>
      <c r="O4290">
        <v>9.218788E-2</v>
      </c>
      <c r="P4290">
        <v>-0.98793589999999998</v>
      </c>
      <c r="Q4290">
        <v>-1.6253460000000001E-2</v>
      </c>
      <c r="R4290">
        <v>0.1540087</v>
      </c>
      <c r="S4290">
        <v>-3.0124209999999998</v>
      </c>
      <c r="T4290">
        <v>-0.10065830000000001</v>
      </c>
      <c r="U4290">
        <v>0.1442108</v>
      </c>
      <c r="V4290">
        <v>6.2264300000000002E-2</v>
      </c>
      <c r="W4290">
        <v>-5.5968529999999997E-3</v>
      </c>
      <c r="X4290">
        <v>0.99804400000000004</v>
      </c>
      <c r="Y4290">
        <v>-4.4398229999999997E-2</v>
      </c>
      <c r="Z4290">
        <v>-3.814123E-3</v>
      </c>
      <c r="AA4290">
        <v>0.99900659999999997</v>
      </c>
      <c r="AB4290">
        <v>19</v>
      </c>
      <c r="AC4290">
        <v>-33.0319</v>
      </c>
      <c r="AD4290">
        <v>-1.1093363816252</v>
      </c>
      <c r="AE4290">
        <v>1.57250000000001</v>
      </c>
      <c r="AF4290">
        <v>-1.47785080771591</v>
      </c>
      <c r="AG4290">
        <v>-1.1093363816252</v>
      </c>
      <c r="AH4290">
        <v>32.999060967861702</v>
      </c>
      <c r="AI4290">
        <v>91.923472692561603</v>
      </c>
      <c r="AJ4290">
        <v>92.564256981522206</v>
      </c>
      <c r="AK4290">
        <v>33.0507593706729</v>
      </c>
      <c r="AL4290">
        <v>90.320677730663803</v>
      </c>
      <c r="AM4290">
        <v>86.430153274193898</v>
      </c>
      <c r="AN4290">
        <v>0.99999999687699603</v>
      </c>
    </row>
    <row r="4291" spans="1:40" x14ac:dyDescent="0.25">
      <c r="A4291" t="str">
        <f>"20190312161357079"</f>
        <v>20190312161357079</v>
      </c>
      <c r="B4291" t="str">
        <f>"1552378437070475"</f>
        <v>1552378437070475</v>
      </c>
      <c r="C4291" t="s">
        <v>40</v>
      </c>
      <c r="D4291">
        <v>5.7589969999999999</v>
      </c>
      <c r="E4291">
        <v>0.4578006</v>
      </c>
      <c r="F4291" t="s">
        <v>42</v>
      </c>
      <c r="G4291">
        <v>-260.83960000000002</v>
      </c>
      <c r="H4291" s="1">
        <v>-4.1064780000000002E-6</v>
      </c>
      <c r="I4291">
        <v>140.3467</v>
      </c>
      <c r="J4291">
        <v>-226.69550000000001</v>
      </c>
      <c r="K4291">
        <v>1.1093500000000001</v>
      </c>
      <c r="L4291">
        <v>138.8126</v>
      </c>
      <c r="M4291">
        <v>-0.9955714</v>
      </c>
      <c r="N4291">
        <v>0</v>
      </c>
      <c r="O4291">
        <v>9.3398969999999998E-2</v>
      </c>
      <c r="P4291">
        <v>-0.98787530000000001</v>
      </c>
      <c r="Q4291">
        <v>-1.546843E-2</v>
      </c>
      <c r="R4291">
        <v>0.15447739999999999</v>
      </c>
      <c r="S4291">
        <v>-3.013779</v>
      </c>
      <c r="T4291">
        <v>-9.736657E-2</v>
      </c>
      <c r="U4291">
        <v>0.13635249999999999</v>
      </c>
      <c r="V4291">
        <v>6.1523929999999998E-2</v>
      </c>
      <c r="W4291">
        <v>-4.8714099999999996E-3</v>
      </c>
      <c r="X4291">
        <v>0.99809369999999997</v>
      </c>
      <c r="Y4291">
        <v>-4.8236069999999999E-2</v>
      </c>
      <c r="Z4291">
        <v>-3.7889880000000001E-3</v>
      </c>
      <c r="AA4291">
        <v>0.99882879999999996</v>
      </c>
      <c r="AB4291">
        <v>19</v>
      </c>
      <c r="AC4291">
        <v>-34.144100000000002</v>
      </c>
      <c r="AD4291">
        <v>-1.1093541064779999</v>
      </c>
      <c r="AE4291">
        <v>1.53409999999999</v>
      </c>
      <c r="AF4291">
        <v>-1.66006372378308</v>
      </c>
      <c r="AG4291">
        <v>-1.1093541064779999</v>
      </c>
      <c r="AH4291">
        <v>34.102195926938798</v>
      </c>
      <c r="AI4291">
        <v>91.8609888308373</v>
      </c>
      <c r="AJ4291">
        <v>92.786906226114795</v>
      </c>
      <c r="AK4291">
        <v>34.160594917827503</v>
      </c>
      <c r="AL4291">
        <v>90.279112342984803</v>
      </c>
      <c r="AM4291">
        <v>86.472668855909902</v>
      </c>
      <c r="AN4291">
        <v>0.99999997928886097</v>
      </c>
    </row>
    <row r="4292" spans="1:40" x14ac:dyDescent="0.25">
      <c r="A4292" t="str">
        <f>"20190312161357101"</f>
        <v>20190312161357101</v>
      </c>
      <c r="B4292" t="str">
        <f>"1552378437089995"</f>
        <v>1552378437089995</v>
      </c>
      <c r="C4292" t="s">
        <v>40</v>
      </c>
      <c r="D4292">
        <v>5.741892</v>
      </c>
      <c r="E4292">
        <v>0.41674220000000001</v>
      </c>
      <c r="F4292" t="s">
        <v>42</v>
      </c>
      <c r="G4292">
        <v>-262.39240000000001</v>
      </c>
      <c r="H4292" s="1">
        <v>-3.4416190000000001E-6</v>
      </c>
      <c r="I4292">
        <v>140.35159999999999</v>
      </c>
      <c r="J4292">
        <v>-226.88229999999999</v>
      </c>
      <c r="K4292">
        <v>1.109367</v>
      </c>
      <c r="L4292">
        <v>138.83160000000001</v>
      </c>
      <c r="M4292">
        <v>-0.99546710000000005</v>
      </c>
      <c r="N4292">
        <v>0</v>
      </c>
      <c r="O4292">
        <v>9.4510380000000005E-2</v>
      </c>
      <c r="P4292">
        <v>-0.98780999999999997</v>
      </c>
      <c r="Q4292">
        <v>-1.500866E-2</v>
      </c>
      <c r="R4292">
        <v>0.15493970000000001</v>
      </c>
      <c r="S4292">
        <v>-3.0150450000000002</v>
      </c>
      <c r="T4292">
        <v>-9.3698619999999996E-2</v>
      </c>
      <c r="U4292">
        <v>0.12998959999999901</v>
      </c>
      <c r="V4292">
        <v>6.0877140000000003E-2</v>
      </c>
      <c r="W4292">
        <v>-4.4698749999999999E-3</v>
      </c>
      <c r="X4292">
        <v>0.99813529999999995</v>
      </c>
      <c r="Y4292">
        <v>-5.1477000000000002E-2</v>
      </c>
      <c r="Z4292">
        <v>-3.729722E-3</v>
      </c>
      <c r="AA4292">
        <v>0.99866719999999998</v>
      </c>
      <c r="AB4292">
        <v>19</v>
      </c>
      <c r="AC4292">
        <v>-35.510100000000001</v>
      </c>
      <c r="AD4292">
        <v>-1.109370441619</v>
      </c>
      <c r="AE4292">
        <v>1.51999999999998</v>
      </c>
      <c r="AF4292">
        <v>-1.84127343233186</v>
      </c>
      <c r="AG4292">
        <v>-1.109370441619</v>
      </c>
      <c r="AH4292">
        <v>35.460252408029497</v>
      </c>
      <c r="AI4292">
        <v>91.789499029834801</v>
      </c>
      <c r="AJ4292">
        <v>92.972413575920399</v>
      </c>
      <c r="AK4292">
        <v>35.525349983786398</v>
      </c>
      <c r="AL4292">
        <v>90.256105814642396</v>
      </c>
      <c r="AM4292">
        <v>86.509804004815607</v>
      </c>
      <c r="AN4292">
        <v>1.0000000415315899</v>
      </c>
    </row>
    <row r="4293" spans="1:40" x14ac:dyDescent="0.25">
      <c r="A4293" t="str">
        <f>"20190312161357125"</f>
        <v>20190312161357125</v>
      </c>
      <c r="B4293" t="str">
        <f>"1552378437120251"</f>
        <v>1552378437120251</v>
      </c>
      <c r="C4293" t="s">
        <v>40</v>
      </c>
      <c r="D4293">
        <v>5.7141979999999997</v>
      </c>
      <c r="E4293">
        <v>0.41433920000000002</v>
      </c>
      <c r="F4293" t="s">
        <v>84</v>
      </c>
      <c r="G4293">
        <v>-309.68950000000001</v>
      </c>
      <c r="H4293" s="1">
        <v>-7.616911E-6</v>
      </c>
      <c r="I4293">
        <v>133.66890000000001</v>
      </c>
      <c r="J4293">
        <v>-227.07679999999999</v>
      </c>
      <c r="K4293">
        <v>1.109389</v>
      </c>
      <c r="L4293">
        <v>138.85140000000001</v>
      </c>
      <c r="M4293">
        <v>-0.9953632</v>
      </c>
      <c r="N4293">
        <v>0</v>
      </c>
      <c r="O4293">
        <v>9.5607010000000006E-2</v>
      </c>
      <c r="P4293">
        <v>-0.98775400000000002</v>
      </c>
      <c r="Q4293">
        <v>-1.447275E-2</v>
      </c>
      <c r="R4293">
        <v>0.15534770000000001</v>
      </c>
      <c r="S4293">
        <v>-3.0663909999999999</v>
      </c>
      <c r="T4293">
        <v>-4.1080709999999999E-2</v>
      </c>
      <c r="U4293">
        <v>-0.1911774</v>
      </c>
      <c r="V4293">
        <v>6.0189899999999998E-2</v>
      </c>
      <c r="W4293">
        <v>-3.99169E-3</v>
      </c>
      <c r="X4293">
        <v>0.99817900000000004</v>
      </c>
      <c r="Y4293">
        <v>-0.1573446</v>
      </c>
      <c r="Z4293">
        <v>-2.3320229999999999E-3</v>
      </c>
      <c r="AA4293">
        <v>0.987541</v>
      </c>
      <c r="AB4293">
        <v>19</v>
      </c>
      <c r="AC4293">
        <v>-82.612700000000004</v>
      </c>
      <c r="AD4293">
        <v>-1.1093966169110001</v>
      </c>
      <c r="AE4293">
        <v>-5.1825000000000001</v>
      </c>
      <c r="AF4293">
        <v>-13.055205261255599</v>
      </c>
      <c r="AG4293">
        <v>-1.1093966169110001</v>
      </c>
      <c r="AH4293">
        <v>81.724031132208296</v>
      </c>
      <c r="AI4293">
        <v>90.768000972802596</v>
      </c>
      <c r="AJ4293">
        <v>99.0761672870442</v>
      </c>
      <c r="AK4293">
        <v>82.767665242927393</v>
      </c>
      <c r="AL4293">
        <v>90.228707589055702</v>
      </c>
      <c r="AM4293">
        <v>86.549259666249796</v>
      </c>
      <c r="AN4293">
        <v>1.00000003684603</v>
      </c>
    </row>
    <row r="4294" spans="1:40" x14ac:dyDescent="0.25">
      <c r="A4294" t="str">
        <f>"20190312161357146"</f>
        <v>20190312161357146</v>
      </c>
      <c r="B4294" t="str">
        <f>"1552378437140748"</f>
        <v>1552378437140748</v>
      </c>
      <c r="C4294" t="s">
        <v>40</v>
      </c>
      <c r="D4294">
        <v>5.7534839999999896</v>
      </c>
      <c r="E4294">
        <v>0.41354220000000003</v>
      </c>
      <c r="F4294" t="s">
        <v>84</v>
      </c>
      <c r="G4294">
        <v>-313.89060000000001</v>
      </c>
      <c r="H4294" s="1">
        <v>-5.8981329999999998E-6</v>
      </c>
      <c r="I4294">
        <v>132.94280000000001</v>
      </c>
      <c r="J4294">
        <v>-227.25659999999999</v>
      </c>
      <c r="K4294">
        <v>1.1094139999999999</v>
      </c>
      <c r="L4294">
        <v>138.8698</v>
      </c>
      <c r="M4294">
        <v>-0.99527120000000002</v>
      </c>
      <c r="N4294">
        <v>0</v>
      </c>
      <c r="O4294">
        <v>9.6565250000000005E-2</v>
      </c>
      <c r="P4294">
        <v>-0.98768809999999996</v>
      </c>
      <c r="Q4294">
        <v>-1.3724719999999999E-2</v>
      </c>
      <c r="R4294">
        <v>0.1558331</v>
      </c>
      <c r="S4294">
        <v>-3.0694729999999999</v>
      </c>
      <c r="T4294">
        <v>-3.922486E-2</v>
      </c>
      <c r="U4294">
        <v>-0.20890810000000001</v>
      </c>
      <c r="V4294">
        <v>5.9719540000000002E-2</v>
      </c>
      <c r="W4294">
        <v>-3.2961850000000001E-3</v>
      </c>
      <c r="X4294">
        <v>0.99820980000000004</v>
      </c>
      <c r="Y4294">
        <v>-0.163912</v>
      </c>
      <c r="Z4294">
        <v>-2.2782359999999999E-3</v>
      </c>
      <c r="AA4294">
        <v>0.98647240000000003</v>
      </c>
      <c r="AB4294">
        <v>19</v>
      </c>
      <c r="AC4294">
        <v>-86.634</v>
      </c>
      <c r="AD4294">
        <v>-1.1094198981329999</v>
      </c>
      <c r="AE4294">
        <v>-5.9269999999999898</v>
      </c>
      <c r="AF4294">
        <v>-14.263265564524399</v>
      </c>
      <c r="AG4294">
        <v>-1.1094198981329999</v>
      </c>
      <c r="AH4294">
        <v>85.642731845631801</v>
      </c>
      <c r="AI4294">
        <v>90.732088314461294</v>
      </c>
      <c r="AJ4294">
        <v>99.455472307376297</v>
      </c>
      <c r="AK4294">
        <v>86.829425168299494</v>
      </c>
      <c r="AL4294">
        <v>90.188857822187998</v>
      </c>
      <c r="AM4294">
        <v>86.576266812143103</v>
      </c>
      <c r="AN4294">
        <v>1.0000000465547001</v>
      </c>
    </row>
    <row r="4295" spans="1:40" x14ac:dyDescent="0.25">
      <c r="A4295" t="str">
        <f>"20190312161357169"</f>
        <v>20190312161357169</v>
      </c>
      <c r="B4295" t="str">
        <f>"1552378437160267"</f>
        <v>1552378437160267</v>
      </c>
      <c r="C4295" t="s">
        <v>40</v>
      </c>
      <c r="D4295">
        <v>5.7261100000000003</v>
      </c>
      <c r="E4295">
        <v>0.41296830000000001</v>
      </c>
      <c r="F4295" t="s">
        <v>42</v>
      </c>
      <c r="G4295">
        <v>-328.99650000000003</v>
      </c>
      <c r="H4295" s="1">
        <v>-2.408817E-6</v>
      </c>
      <c r="I4295">
        <v>131.79429999999999</v>
      </c>
      <c r="J4295">
        <v>-227.44499999999999</v>
      </c>
      <c r="K4295">
        <v>1.1094459999999999</v>
      </c>
      <c r="L4295">
        <v>138.88919999999999</v>
      </c>
      <c r="M4295">
        <v>-0.99517990000000001</v>
      </c>
      <c r="N4295">
        <v>0</v>
      </c>
      <c r="O4295">
        <v>9.7507919999999998E-2</v>
      </c>
      <c r="P4295">
        <v>-0.98757099999999998</v>
      </c>
      <c r="Q4295">
        <v>-1.338138E-2</v>
      </c>
      <c r="R4295">
        <v>0.15660250000000001</v>
      </c>
      <c r="S4295">
        <v>-3.0706479999999998</v>
      </c>
      <c r="T4295">
        <v>-3.3483739999999998E-2</v>
      </c>
      <c r="U4295">
        <v>-0.21354680000000001</v>
      </c>
      <c r="V4295">
        <v>5.9551970000000003E-2</v>
      </c>
      <c r="W4295">
        <v>-3.00826E-3</v>
      </c>
      <c r="X4295">
        <v>0.99822069999999996</v>
      </c>
      <c r="Y4295">
        <v>-0.16630899999999901</v>
      </c>
      <c r="Z4295">
        <v>-1.967281E-3</v>
      </c>
      <c r="AA4295">
        <v>0.9860717</v>
      </c>
      <c r="AB4295">
        <v>19</v>
      </c>
      <c r="AC4295">
        <v>-101.5515</v>
      </c>
      <c r="AD4295">
        <v>-1.109448408817</v>
      </c>
      <c r="AE4295">
        <v>-7.0948999999999902</v>
      </c>
      <c r="AF4295">
        <v>-16.961688784865501</v>
      </c>
      <c r="AG4295">
        <v>-1.109448408817</v>
      </c>
      <c r="AH4295">
        <v>100.36376118303799</v>
      </c>
      <c r="AI4295">
        <v>90.624482740564105</v>
      </c>
      <c r="AJ4295">
        <v>99.592467991541</v>
      </c>
      <c r="AK4295">
        <v>101.79299740656199</v>
      </c>
      <c r="AL4295">
        <v>90.172360857106696</v>
      </c>
      <c r="AM4295">
        <v>86.585888069540502</v>
      </c>
      <c r="AN4295">
        <v>1.00000002633379</v>
      </c>
    </row>
    <row r="4296" spans="1:40" x14ac:dyDescent="0.25">
      <c r="A4296" t="str">
        <f>"20190312161357191"</f>
        <v>20190312161357191</v>
      </c>
      <c r="B4296" t="str">
        <f>"1552378437179791"</f>
        <v>1552378437179791</v>
      </c>
      <c r="C4296" t="s">
        <v>40</v>
      </c>
      <c r="D4296">
        <v>5.7422029999999999</v>
      </c>
      <c r="E4296">
        <v>0.41253719999999999</v>
      </c>
      <c r="F4296" t="s">
        <v>42</v>
      </c>
      <c r="G4296">
        <v>-335.03809999999999</v>
      </c>
      <c r="H4296" s="1">
        <v>-4.0928080000000002E-6</v>
      </c>
      <c r="I4296">
        <v>131.33609999999999</v>
      </c>
      <c r="J4296">
        <v>-227.63339999999999</v>
      </c>
      <c r="K4296">
        <v>1.1094710000000001</v>
      </c>
      <c r="L4296">
        <v>138.90880000000001</v>
      </c>
      <c r="M4296">
        <v>-0.9950947</v>
      </c>
      <c r="N4296">
        <v>0</v>
      </c>
      <c r="O4296">
        <v>9.8379969999999997E-2</v>
      </c>
      <c r="P4296">
        <v>-0.9874868</v>
      </c>
      <c r="Q4296">
        <v>-1.3015250000000001E-2</v>
      </c>
      <c r="R4296">
        <v>0.1571632</v>
      </c>
      <c r="S4296">
        <v>-3.0715029999999999</v>
      </c>
      <c r="T4296">
        <v>-3.1671879999999999E-2</v>
      </c>
      <c r="U4296">
        <v>-0.21562190000000001</v>
      </c>
      <c r="V4296">
        <v>5.9244060000000001E-2</v>
      </c>
      <c r="W4296">
        <v>-2.6986219999999999E-3</v>
      </c>
      <c r="X4296">
        <v>0.99823989999999996</v>
      </c>
      <c r="Y4296">
        <v>-0.16781840000000001</v>
      </c>
      <c r="Z4296">
        <v>-1.877018E-3</v>
      </c>
      <c r="AA4296">
        <v>0.98581609999999997</v>
      </c>
      <c r="AB4296">
        <v>19</v>
      </c>
      <c r="AC4296">
        <v>-107.40470000000001</v>
      </c>
      <c r="AD4296">
        <v>-1.1094750928079999</v>
      </c>
      <c r="AE4296">
        <v>-7.5727000000000197</v>
      </c>
      <c r="AF4296">
        <v>-18.1010797203812</v>
      </c>
      <c r="AG4296">
        <v>-1.1094750928079999</v>
      </c>
      <c r="AH4296">
        <v>106.127304697767</v>
      </c>
      <c r="AI4296">
        <v>90.590433305216607</v>
      </c>
      <c r="AJ4296">
        <v>99.679230313877994</v>
      </c>
      <c r="AK4296">
        <v>107.66561579463399</v>
      </c>
      <c r="AL4296">
        <v>90.154619835745606</v>
      </c>
      <c r="AM4296">
        <v>86.603564278384397</v>
      </c>
      <c r="AN4296">
        <v>1.00000001957899</v>
      </c>
    </row>
    <row r="4297" spans="1:40" x14ac:dyDescent="0.25">
      <c r="A4297" t="str">
        <f>"20190312161357214"</f>
        <v>20190312161357214</v>
      </c>
      <c r="B4297" t="str">
        <f>"1552378437210044"</f>
        <v>1552378437210044</v>
      </c>
      <c r="C4297" t="s">
        <v>40</v>
      </c>
      <c r="D4297">
        <v>5.8712260000000001</v>
      </c>
      <c r="E4297">
        <v>0.41333540000000002</v>
      </c>
      <c r="F4297" t="s">
        <v>42</v>
      </c>
      <c r="G4297">
        <v>-345.48719999999997</v>
      </c>
      <c r="H4297" s="1">
        <v>-3.9283649999999996E-6</v>
      </c>
      <c r="I4297">
        <v>130.57159999999999</v>
      </c>
      <c r="J4297">
        <v>-227.8288</v>
      </c>
      <c r="K4297">
        <v>1.1094900000000001</v>
      </c>
      <c r="L4297">
        <v>138.92910000000001</v>
      </c>
      <c r="M4297">
        <v>-0.9950116</v>
      </c>
      <c r="N4297">
        <v>0</v>
      </c>
      <c r="O4297">
        <v>9.9223829999999999E-2</v>
      </c>
      <c r="P4297">
        <v>-0.98728289999999996</v>
      </c>
      <c r="Q4297">
        <v>-1.225469E-2</v>
      </c>
      <c r="R4297">
        <v>0.1585017</v>
      </c>
      <c r="S4297">
        <v>-3.0722049999999999</v>
      </c>
      <c r="T4297">
        <v>-2.8921720000000001E-2</v>
      </c>
      <c r="U4297">
        <v>-0.21733089999999999</v>
      </c>
      <c r="V4297">
        <v>5.9750690000000002E-2</v>
      </c>
      <c r="W4297">
        <v>-1.9968149999999999E-3</v>
      </c>
      <c r="X4297">
        <v>0.99821130000000002</v>
      </c>
      <c r="Y4297">
        <v>-0.16918639999999999</v>
      </c>
      <c r="Z4297">
        <v>-1.7279699999999999E-3</v>
      </c>
      <c r="AA4297">
        <v>0.98558259999999998</v>
      </c>
      <c r="AB4297">
        <v>19</v>
      </c>
      <c r="AC4297">
        <v>-117.65839999999901</v>
      </c>
      <c r="AD4297">
        <v>-1.1094939283649901</v>
      </c>
      <c r="AE4297">
        <v>-8.3575000000000106</v>
      </c>
      <c r="AF4297">
        <v>-19.9896229982675</v>
      </c>
      <c r="AG4297">
        <v>-1.1094939283649901</v>
      </c>
      <c r="AH4297">
        <v>116.23811871470799</v>
      </c>
      <c r="AI4297">
        <v>90.538961034775696</v>
      </c>
      <c r="AJ4297">
        <v>99.757785372064902</v>
      </c>
      <c r="AK4297">
        <v>117.949634364522</v>
      </c>
      <c r="AL4297">
        <v>90.114409151907097</v>
      </c>
      <c r="AM4297">
        <v>86.574490363041093</v>
      </c>
      <c r="AN4297">
        <v>0.99999996583665396</v>
      </c>
    </row>
    <row r="4298" spans="1:40" x14ac:dyDescent="0.25">
      <c r="A4298" t="str">
        <f>"20190312161357237"</f>
        <v>20190312161357237</v>
      </c>
      <c r="B4298" t="str">
        <f>"1552378437230539"</f>
        <v>1552378437230539</v>
      </c>
      <c r="C4298" t="s">
        <v>40</v>
      </c>
      <c r="D4298">
        <v>5.8880689999999998</v>
      </c>
      <c r="E4298">
        <v>0.4147633</v>
      </c>
      <c r="F4298" t="s">
        <v>42</v>
      </c>
      <c r="G4298">
        <v>-330.45650000000001</v>
      </c>
      <c r="H4298" s="1">
        <v>-5.8403569999999999E-6</v>
      </c>
      <c r="I4298">
        <v>132.01349999999999</v>
      </c>
      <c r="J4298">
        <v>-228.01769999999999</v>
      </c>
      <c r="K4298">
        <v>1.109504</v>
      </c>
      <c r="L4298">
        <v>138.94890000000001</v>
      </c>
      <c r="M4298">
        <v>-0.99493640000000005</v>
      </c>
      <c r="N4298">
        <v>0</v>
      </c>
      <c r="O4298">
        <v>9.9980330000000006E-2</v>
      </c>
      <c r="P4298">
        <v>-0.98714250000000003</v>
      </c>
      <c r="Q4298">
        <v>-1.24055E-2</v>
      </c>
      <c r="R4298">
        <v>0.15936</v>
      </c>
      <c r="S4298">
        <v>-3.0714570000000001</v>
      </c>
      <c r="T4298">
        <v>-3.3205150000000003E-2</v>
      </c>
      <c r="U4298">
        <v>-0.20697019999999999</v>
      </c>
      <c r="V4298">
        <v>5.9859570000000001E-2</v>
      </c>
      <c r="W4298">
        <v>-2.2004759999999998E-3</v>
      </c>
      <c r="X4298">
        <v>0.99820439999999999</v>
      </c>
      <c r="Y4298">
        <v>-0.1666395</v>
      </c>
      <c r="Z4298">
        <v>-1.9789439999999998E-3</v>
      </c>
      <c r="AA4298">
        <v>0.98601589999999995</v>
      </c>
      <c r="AB4298">
        <v>19</v>
      </c>
      <c r="AC4298">
        <v>-102.4388</v>
      </c>
      <c r="AD4298">
        <v>-1.1095098403569901</v>
      </c>
      <c r="AE4298">
        <v>-6.9354000000000102</v>
      </c>
      <c r="AF4298">
        <v>-17.141049568143899</v>
      </c>
      <c r="AG4298">
        <v>-1.1095098403569901</v>
      </c>
      <c r="AH4298">
        <v>101.220207198539</v>
      </c>
      <c r="AI4298">
        <v>90.619198724763805</v>
      </c>
      <c r="AJ4298">
        <v>99.611519199833495</v>
      </c>
      <c r="AK4298">
        <v>102.66731192399401</v>
      </c>
      <c r="AL4298">
        <v>90.126078087298694</v>
      </c>
      <c r="AM4298">
        <v>86.568239507525902</v>
      </c>
      <c r="AN4298">
        <v>1.00000001719728</v>
      </c>
    </row>
    <row r="4299" spans="1:40" x14ac:dyDescent="0.25">
      <c r="A4299" t="str">
        <f>"20190312161357259"</f>
        <v>20190312161357259</v>
      </c>
      <c r="B4299" t="str">
        <f>"1552378437250060"</f>
        <v>1552378437250060</v>
      </c>
      <c r="C4299" t="s">
        <v>40</v>
      </c>
      <c r="D4299">
        <v>5.8983639999999999</v>
      </c>
      <c r="E4299">
        <v>0.41552299999999998</v>
      </c>
      <c r="F4299" t="s">
        <v>84</v>
      </c>
      <c r="G4299">
        <v>-306.09249999999997</v>
      </c>
      <c r="H4299" s="1">
        <v>-7.1665150000000001E-6</v>
      </c>
      <c r="I4299">
        <v>134.03139999999999</v>
      </c>
      <c r="J4299">
        <v>-228.2072</v>
      </c>
      <c r="K4299">
        <v>1.1095200000000001</v>
      </c>
      <c r="L4299">
        <v>138.96879999999999</v>
      </c>
      <c r="M4299">
        <v>-0.99486739999999996</v>
      </c>
      <c r="N4299">
        <v>0</v>
      </c>
      <c r="O4299">
        <v>0.1006717</v>
      </c>
      <c r="P4299">
        <v>-0.98701499999999998</v>
      </c>
      <c r="Q4299">
        <v>-1.229269E-2</v>
      </c>
      <c r="R4299">
        <v>0.16015779999999999</v>
      </c>
      <c r="S4299">
        <v>-3.0697329999999998</v>
      </c>
      <c r="T4299">
        <v>-4.362357E-2</v>
      </c>
      <c r="U4299">
        <v>-0.19334409999999999</v>
      </c>
      <c r="V4299">
        <v>5.997276E-2</v>
      </c>
      <c r="W4299">
        <v>-2.1395730000000001E-3</v>
      </c>
      <c r="X4299">
        <v>0.99819769999999997</v>
      </c>
      <c r="Y4299">
        <v>-0.16299140000000001</v>
      </c>
      <c r="Z4299">
        <v>-2.5854530000000001E-3</v>
      </c>
      <c r="AA4299">
        <v>0.9866241</v>
      </c>
      <c r="AB4299">
        <v>19</v>
      </c>
      <c r="AC4299">
        <v>-77.885299999999901</v>
      </c>
      <c r="AD4299">
        <v>-1.1095271665149999</v>
      </c>
      <c r="AE4299">
        <v>-4.9373999999999896</v>
      </c>
      <c r="AF4299">
        <v>-12.7509901635452</v>
      </c>
      <c r="AG4299">
        <v>-1.1095271665149999</v>
      </c>
      <c r="AH4299">
        <v>76.976936610357996</v>
      </c>
      <c r="AI4299">
        <v>90.814690548921007</v>
      </c>
      <c r="AJ4299">
        <v>99.405463093247903</v>
      </c>
      <c r="AK4299">
        <v>78.033759172547505</v>
      </c>
      <c r="AL4299">
        <v>90.122588598965095</v>
      </c>
      <c r="AM4299">
        <v>86.561742833631797</v>
      </c>
      <c r="AN4299">
        <v>0.99999997899996396</v>
      </c>
    </row>
    <row r="4300" spans="1:40" x14ac:dyDescent="0.25">
      <c r="A4300" t="str">
        <f>"20190312161357279"</f>
        <v>20190312161357279</v>
      </c>
      <c r="B4300" t="str">
        <f>"1552378437270556"</f>
        <v>1552378437270556</v>
      </c>
      <c r="C4300" t="s">
        <v>40</v>
      </c>
      <c r="D4300">
        <v>5.6723439999999998</v>
      </c>
      <c r="E4300">
        <v>0.41579500000000003</v>
      </c>
      <c r="F4300" t="s">
        <v>84</v>
      </c>
      <c r="G4300">
        <v>-292.60019999999997</v>
      </c>
      <c r="H4300" s="1">
        <v>-7.113533E-6</v>
      </c>
      <c r="I4300">
        <v>135.0889</v>
      </c>
      <c r="J4300">
        <v>-228.3801</v>
      </c>
      <c r="K4300">
        <v>1.10954</v>
      </c>
      <c r="L4300">
        <v>138.98699999999999</v>
      </c>
      <c r="M4300">
        <v>-0.99481050000000004</v>
      </c>
      <c r="N4300">
        <v>0</v>
      </c>
      <c r="O4300">
        <v>0.10123649999999999</v>
      </c>
      <c r="P4300">
        <v>-0.98692080000000004</v>
      </c>
      <c r="Q4300">
        <v>-1.2647179999999999E-2</v>
      </c>
      <c r="R4300">
        <v>0.16070950000000001</v>
      </c>
      <c r="S4300">
        <v>-3.0688170000000001</v>
      </c>
      <c r="T4300">
        <v>-5.2877430000000003E-2</v>
      </c>
      <c r="U4300">
        <v>-0.18490599999999999</v>
      </c>
      <c r="V4300">
        <v>5.996456E-2</v>
      </c>
      <c r="W4300">
        <v>-2.5387360000000002E-3</v>
      </c>
      <c r="X4300">
        <v>0.99819729999999995</v>
      </c>
      <c r="Y4300">
        <v>-0.16085479999999899</v>
      </c>
      <c r="Z4300">
        <v>-3.1262780000000001E-3</v>
      </c>
      <c r="AA4300">
        <v>0.98697310000000005</v>
      </c>
      <c r="AB4300">
        <v>19</v>
      </c>
      <c r="AC4300">
        <v>-64.220099999999903</v>
      </c>
      <c r="AD4300">
        <v>-1.109547113533</v>
      </c>
      <c r="AE4300">
        <v>-3.8980999999999999</v>
      </c>
      <c r="AF4300">
        <v>-10.376738661725399</v>
      </c>
      <c r="AG4300">
        <v>-1.109547113533</v>
      </c>
      <c r="AH4300">
        <v>63.476599079882803</v>
      </c>
      <c r="AI4300">
        <v>90.9882911129192</v>
      </c>
      <c r="AJ4300">
        <v>99.284217537737703</v>
      </c>
      <c r="AK4300">
        <v>64.328737208180002</v>
      </c>
      <c r="AL4300">
        <v>90.145459011195896</v>
      </c>
      <c r="AM4300">
        <v>86.562210440360005</v>
      </c>
      <c r="AN4300">
        <v>1.0000000216818801</v>
      </c>
    </row>
    <row r="4301" spans="1:40" x14ac:dyDescent="0.25">
      <c r="A4301" t="str">
        <f>"20190312161357303"</f>
        <v>20190312161357303</v>
      </c>
      <c r="B4301" t="str">
        <f>"1552378437299836"</f>
        <v>1552378437299836</v>
      </c>
      <c r="C4301" t="s">
        <v>40</v>
      </c>
      <c r="D4301">
        <v>5.75915</v>
      </c>
      <c r="E4301">
        <v>0.4656516</v>
      </c>
      <c r="F4301" t="s">
        <v>84</v>
      </c>
      <c r="G4301">
        <v>-287.1343</v>
      </c>
      <c r="H4301" s="1">
        <v>-5.7375359999999998E-6</v>
      </c>
      <c r="I4301">
        <v>135.51669999999999</v>
      </c>
      <c r="J4301">
        <v>-228.5761</v>
      </c>
      <c r="K4301">
        <v>1.109577</v>
      </c>
      <c r="L4301">
        <v>139.0077</v>
      </c>
      <c r="M4301">
        <v>-0.99475429999999998</v>
      </c>
      <c r="N4301">
        <v>0</v>
      </c>
      <c r="O4301">
        <v>0.1017927</v>
      </c>
      <c r="P4301">
        <v>-0.98673449999999996</v>
      </c>
      <c r="Q4301">
        <v>-1.372227E-2</v>
      </c>
      <c r="R4301">
        <v>0.161762299999999</v>
      </c>
      <c r="S4301">
        <v>-3.0685419999999999</v>
      </c>
      <c r="T4301">
        <v>-5.7947989999999998E-2</v>
      </c>
      <c r="U4301">
        <v>-0.18124390000000001</v>
      </c>
      <c r="V4301">
        <v>6.0472770000000002E-2</v>
      </c>
      <c r="W4301">
        <v>-3.6617080000000001E-3</v>
      </c>
      <c r="X4301">
        <v>0.99816309999999997</v>
      </c>
      <c r="Y4301">
        <v>-0.16023029999999999</v>
      </c>
      <c r="Z4301">
        <v>-3.4309900000000001E-3</v>
      </c>
      <c r="AA4301">
        <v>0.98707370000000005</v>
      </c>
      <c r="AB4301">
        <v>19</v>
      </c>
      <c r="AC4301">
        <v>-58.558199999999999</v>
      </c>
      <c r="AD4301">
        <v>-1.1095827375359999</v>
      </c>
      <c r="AE4301">
        <v>-3.4910000000000099</v>
      </c>
      <c r="AF4301">
        <v>-9.4305923216220204</v>
      </c>
      <c r="AG4301">
        <v>-1.1095827375359999</v>
      </c>
      <c r="AH4301">
        <v>57.877912624759901</v>
      </c>
      <c r="AI4301">
        <v>91.083996170845893</v>
      </c>
      <c r="AJ4301">
        <v>99.254412573708393</v>
      </c>
      <c r="AK4301">
        <v>58.651683822269099</v>
      </c>
      <c r="AL4301">
        <v>90.209800889530698</v>
      </c>
      <c r="AM4301">
        <v>86.533026851071398</v>
      </c>
      <c r="AN4301">
        <v>0.99999996910927902</v>
      </c>
    </row>
    <row r="4302" spans="1:40" x14ac:dyDescent="0.25">
      <c r="A4302" t="str">
        <f>"20190312161357358"</f>
        <v>20190312161357358</v>
      </c>
      <c r="B4302" t="str">
        <f>"1552378437350587"</f>
        <v>1552378437350587</v>
      </c>
      <c r="C4302" t="s">
        <v>40</v>
      </c>
      <c r="D4302">
        <v>6.009341</v>
      </c>
      <c r="E4302">
        <v>0.48104160000000001</v>
      </c>
      <c r="F4302" t="s">
        <v>43</v>
      </c>
      <c r="G4302">
        <v>-229.28210000000001</v>
      </c>
      <c r="H4302">
        <v>0.89147559999999904</v>
      </c>
      <c r="I4302">
        <v>139.054</v>
      </c>
      <c r="J4302">
        <v>-229.04419999999999</v>
      </c>
      <c r="K4302">
        <v>1.109707</v>
      </c>
      <c r="L4302">
        <v>139.05690000000001</v>
      </c>
      <c r="M4302">
        <v>-0.9946644</v>
      </c>
      <c r="N4302">
        <v>0</v>
      </c>
      <c r="O4302">
        <v>0.1026808</v>
      </c>
      <c r="P4302">
        <v>-0.98645910000000003</v>
      </c>
      <c r="Q4302">
        <v>-1.4665579999999999E-2</v>
      </c>
      <c r="R4302">
        <v>0.1633501</v>
      </c>
      <c r="S4302">
        <v>-2.9952390000000002</v>
      </c>
      <c r="T4302">
        <v>-0.92531799999999997</v>
      </c>
      <c r="U4302">
        <v>0.19656370000000001</v>
      </c>
      <c r="V4302">
        <v>6.1190439999999999E-2</v>
      </c>
      <c r="W4302">
        <v>-4.7237879999999996E-3</v>
      </c>
      <c r="X4302">
        <v>0.99811490000000003</v>
      </c>
      <c r="Y4302">
        <v>-3.1136589999999999E-2</v>
      </c>
      <c r="Z4302">
        <v>-3.5596660000000002E-2</v>
      </c>
      <c r="AA4302">
        <v>0.99888100000000002</v>
      </c>
      <c r="AB4302">
        <v>19</v>
      </c>
      <c r="AC4302">
        <v>-0.23790000000002401</v>
      </c>
      <c r="AD4302">
        <v>-0.21823139999999999</v>
      </c>
      <c r="AE4302">
        <v>-2.9000000000110001E-3</v>
      </c>
      <c r="AF4302">
        <v>-1.48334216549662E-2</v>
      </c>
      <c r="AG4302">
        <v>-0.21823139999999999</v>
      </c>
      <c r="AH4302">
        <v>0.128353406967468</v>
      </c>
      <c r="AI4302">
        <v>149.371609037529</v>
      </c>
      <c r="AJ4302">
        <v>96.592258541488306</v>
      </c>
      <c r="AK4302">
        <v>0.253613034807185</v>
      </c>
      <c r="AL4302">
        <v>90.270654130719194</v>
      </c>
      <c r="AM4302">
        <v>86.4918151741077</v>
      </c>
      <c r="AN4302">
        <v>0.99999996886123499</v>
      </c>
    </row>
    <row r="4303" spans="1:40" x14ac:dyDescent="0.25">
      <c r="A4303" t="str">
        <f>"20190312161357379"</f>
        <v>20190312161357379</v>
      </c>
      <c r="B4303" t="str">
        <f>"1552378437370107"</f>
        <v>1552378437370107</v>
      </c>
      <c r="C4303" t="s">
        <v>40</v>
      </c>
      <c r="D4303">
        <v>9.5715470000000007</v>
      </c>
      <c r="E4303">
        <v>0.48634620000000001</v>
      </c>
      <c r="F4303" t="s">
        <v>43</v>
      </c>
      <c r="G4303">
        <v>-229.7672</v>
      </c>
      <c r="H4303">
        <v>0.84223959999999998</v>
      </c>
      <c r="I4303">
        <v>139.13489999999999</v>
      </c>
      <c r="J4303">
        <v>-229.23269999999999</v>
      </c>
      <c r="K4303">
        <v>1.1097619999999999</v>
      </c>
      <c r="L4303">
        <v>139.07660000000001</v>
      </c>
      <c r="M4303">
        <v>-0.99464790000000003</v>
      </c>
      <c r="N4303">
        <v>0</v>
      </c>
      <c r="O4303">
        <v>0.1028462</v>
      </c>
      <c r="P4303">
        <v>-0.98649719999999996</v>
      </c>
      <c r="Q4303">
        <v>-1.5305040000000001E-2</v>
      </c>
      <c r="R4303">
        <v>0.1630624</v>
      </c>
      <c r="S4303">
        <v>-2.971848</v>
      </c>
      <c r="T4303">
        <v>-1.0994459999999999</v>
      </c>
      <c r="U4303">
        <v>0.3199921</v>
      </c>
      <c r="V4303">
        <v>6.073518E-2</v>
      </c>
      <c r="W4303">
        <v>-5.4104409999999898E-3</v>
      </c>
      <c r="X4303">
        <v>0.99813929999999995</v>
      </c>
      <c r="Y4303">
        <v>1.0257230000000001E-2</v>
      </c>
      <c r="Z4303">
        <v>-3.4802939999999997E-2</v>
      </c>
      <c r="AA4303">
        <v>0.99934149999999999</v>
      </c>
      <c r="AB4303">
        <v>19</v>
      </c>
      <c r="AC4303">
        <v>-0.53450000000000797</v>
      </c>
      <c r="AD4303">
        <v>-0.26752239999999999</v>
      </c>
      <c r="AE4303">
        <v>5.8299999999974199E-2</v>
      </c>
      <c r="AF4303">
        <v>2.41817285025681E-3</v>
      </c>
      <c r="AG4303">
        <v>-0.26752239999999999</v>
      </c>
      <c r="AH4303">
        <v>0.43096898055509902</v>
      </c>
      <c r="AI4303">
        <v>121.82938526643299</v>
      </c>
      <c r="AJ4303">
        <v>89.678515970503199</v>
      </c>
      <c r="AK4303">
        <v>0.507255699093066</v>
      </c>
      <c r="AL4303">
        <v>90.309996931973103</v>
      </c>
      <c r="AM4303">
        <v>86.517936698334097</v>
      </c>
      <c r="AN4303">
        <v>1.0000000485829601</v>
      </c>
    </row>
    <row r="4304" spans="1:40" x14ac:dyDescent="0.25">
      <c r="A4304" t="str">
        <f>"20190312161357403"</f>
        <v>20190312161357403</v>
      </c>
      <c r="B4304" t="str">
        <f>"1552378437400363"</f>
        <v>1552378437400363</v>
      </c>
      <c r="C4304" t="s">
        <v>40</v>
      </c>
      <c r="D4304">
        <v>6.1575499999999996</v>
      </c>
      <c r="E4304">
        <v>0.48993969999999998</v>
      </c>
      <c r="F4304" t="s">
        <v>43</v>
      </c>
      <c r="G4304">
        <v>-229.9461</v>
      </c>
      <c r="H4304">
        <v>0.86468639999999997</v>
      </c>
      <c r="I4304">
        <v>139.16390000000001</v>
      </c>
      <c r="J4304">
        <v>-229.4238</v>
      </c>
      <c r="K4304">
        <v>1.1098129999999999</v>
      </c>
      <c r="L4304">
        <v>139.09649999999999</v>
      </c>
      <c r="M4304">
        <v>-0.99464140000000001</v>
      </c>
      <c r="N4304">
        <v>0</v>
      </c>
      <c r="O4304">
        <v>0.1029148</v>
      </c>
      <c r="P4304">
        <v>-0.98655649999999995</v>
      </c>
      <c r="Q4304">
        <v>-1.534258E-2</v>
      </c>
      <c r="R4304">
        <v>0.16270000000000001</v>
      </c>
      <c r="S4304">
        <v>-2.9652859999999999</v>
      </c>
      <c r="T4304">
        <v>-1.018724</v>
      </c>
      <c r="U4304">
        <v>0.36280820000000003</v>
      </c>
      <c r="V4304">
        <v>6.0300569999999998E-2</v>
      </c>
      <c r="W4304">
        <v>-5.4938209999999899E-3</v>
      </c>
      <c r="X4304">
        <v>0.99816510000000003</v>
      </c>
      <c r="Y4304">
        <v>2.3124780000000001E-2</v>
      </c>
      <c r="Z4304">
        <v>-3.0307500000000001E-2</v>
      </c>
      <c r="AA4304">
        <v>0.99927310000000003</v>
      </c>
      <c r="AB4304">
        <v>19</v>
      </c>
      <c r="AC4304">
        <v>-0.52230000000000099</v>
      </c>
      <c r="AD4304">
        <v>-0.2451266</v>
      </c>
      <c r="AE4304">
        <v>6.7400000000020499E-2</v>
      </c>
      <c r="AF4304">
        <v>1.0920990138992399E-2</v>
      </c>
      <c r="AG4304">
        <v>-0.2451266</v>
      </c>
      <c r="AH4304">
        <v>0.43271370588327102</v>
      </c>
      <c r="AI4304">
        <v>119.52315795212</v>
      </c>
      <c r="AJ4304">
        <v>88.5542546311747</v>
      </c>
      <c r="AK4304">
        <v>0.49744092042413401</v>
      </c>
      <c r="AL4304">
        <v>90.314774354669098</v>
      </c>
      <c r="AM4304">
        <v>86.542882206111699</v>
      </c>
      <c r="AN4304">
        <v>0.99999995383475604</v>
      </c>
    </row>
    <row r="4305" spans="1:40" x14ac:dyDescent="0.25">
      <c r="A4305" t="str">
        <f>"20190312161357426"</f>
        <v>20190312161357426</v>
      </c>
      <c r="B4305" t="str">
        <f>"1552378437419884"</f>
        <v>1552378437419884</v>
      </c>
      <c r="C4305" t="s">
        <v>40</v>
      </c>
      <c r="D4305">
        <v>6.0412980000000003</v>
      </c>
      <c r="E4305">
        <v>0.4918286</v>
      </c>
      <c r="F4305" t="s">
        <v>43</v>
      </c>
      <c r="G4305">
        <v>-230.12989999999999</v>
      </c>
      <c r="H4305">
        <v>0.89668049999999999</v>
      </c>
      <c r="I4305">
        <v>139.19</v>
      </c>
      <c r="J4305">
        <v>-229.62450000000001</v>
      </c>
      <c r="K4305">
        <v>1.1098570000000001</v>
      </c>
      <c r="L4305">
        <v>139.1173</v>
      </c>
      <c r="M4305">
        <v>-0.99464509999999995</v>
      </c>
      <c r="N4305">
        <v>0</v>
      </c>
      <c r="O4305">
        <v>0.1028838</v>
      </c>
      <c r="P4305">
        <v>-0.98673840000000002</v>
      </c>
      <c r="Q4305">
        <v>-1.487671E-2</v>
      </c>
      <c r="R4305">
        <v>0.16163540000000001</v>
      </c>
      <c r="S4305">
        <v>-2.9623719999999998</v>
      </c>
      <c r="T4305">
        <v>-0.89406489999999905</v>
      </c>
      <c r="U4305">
        <v>0.39178469999999999</v>
      </c>
      <c r="V4305">
        <v>5.9254460000000002E-2</v>
      </c>
      <c r="W4305">
        <v>-5.0718849999999999E-3</v>
      </c>
      <c r="X4305">
        <v>0.99822999999999995</v>
      </c>
      <c r="Y4305">
        <v>3.1518690000000002E-2</v>
      </c>
      <c r="Z4305">
        <v>-2.552772E-2</v>
      </c>
      <c r="AA4305">
        <v>0.99917710000000004</v>
      </c>
      <c r="AB4305">
        <v>19</v>
      </c>
      <c r="AC4305">
        <v>-0.50539999999997998</v>
      </c>
      <c r="AD4305">
        <v>-0.21317649999999899</v>
      </c>
      <c r="AE4305">
        <v>7.2699999999997503E-2</v>
      </c>
      <c r="AF4305">
        <v>1.72988926295383E-2</v>
      </c>
      <c r="AG4305">
        <v>-0.21317649999999899</v>
      </c>
      <c r="AH4305">
        <v>0.43446731626458301</v>
      </c>
      <c r="AI4305">
        <v>116.117479499924</v>
      </c>
      <c r="AJ4305">
        <v>87.719896924934503</v>
      </c>
      <c r="AK4305">
        <v>0.48425749425342701</v>
      </c>
      <c r="AL4305">
        <v>90.290598858142999</v>
      </c>
      <c r="AM4305">
        <v>86.602935835801006</v>
      </c>
      <c r="AN4305">
        <v>0.99999997397367202</v>
      </c>
    </row>
    <row r="4306" spans="1:40" x14ac:dyDescent="0.25">
      <c r="A4306" t="str">
        <f>"20190312161357492"</f>
        <v>20190312161357492</v>
      </c>
      <c r="B4306" t="str">
        <f>"1552378437490155"</f>
        <v>1552378437490155</v>
      </c>
      <c r="C4306" t="s">
        <v>40</v>
      </c>
      <c r="D4306">
        <v>6.0113390000000004</v>
      </c>
      <c r="E4306">
        <v>0.49807869999999999</v>
      </c>
      <c r="F4306" t="s">
        <v>43</v>
      </c>
      <c r="G4306">
        <v>-230.30539999999999</v>
      </c>
      <c r="H4306">
        <v>0.90662849999999995</v>
      </c>
      <c r="I4306">
        <v>139.21039999999999</v>
      </c>
      <c r="J4306">
        <v>-230.20089999999999</v>
      </c>
      <c r="K4306">
        <v>1.1099650000000001</v>
      </c>
      <c r="L4306">
        <v>139.17619999999999</v>
      </c>
      <c r="M4306">
        <v>-0.99471600000000004</v>
      </c>
      <c r="N4306">
        <v>0</v>
      </c>
      <c r="O4306">
        <v>0.1022097</v>
      </c>
      <c r="P4306">
        <v>-0.98727880000000001</v>
      </c>
      <c r="Q4306">
        <v>-1.540381E-2</v>
      </c>
      <c r="R4306">
        <v>0.158251799999999</v>
      </c>
      <c r="S4306">
        <v>-2.960785</v>
      </c>
      <c r="T4306">
        <v>-0.88361859999999903</v>
      </c>
      <c r="U4306">
        <v>0.40423579999999998</v>
      </c>
      <c r="V4306">
        <v>5.6512060000000003E-2</v>
      </c>
      <c r="W4306">
        <v>-5.7144309999999999E-3</v>
      </c>
      <c r="X4306">
        <v>0.99838550000000004</v>
      </c>
      <c r="Y4306">
        <v>3.6099659999999999E-2</v>
      </c>
      <c r="Z4306">
        <v>-2.4385750000000001E-2</v>
      </c>
      <c r="AA4306">
        <v>0.99905060000000001</v>
      </c>
      <c r="AB4306">
        <v>19</v>
      </c>
      <c r="AC4306">
        <v>-0.10450000000000099</v>
      </c>
      <c r="AD4306">
        <v>-0.203336499999999</v>
      </c>
      <c r="AE4306">
        <v>3.4199999999998398E-2</v>
      </c>
      <c r="AF4306">
        <v>5.28058839201089E-3</v>
      </c>
      <c r="AG4306">
        <v>-0.203336499999999</v>
      </c>
      <c r="AH4306">
        <v>2.4310363212167702E-2</v>
      </c>
      <c r="AI4306">
        <v>173.02479501074399</v>
      </c>
      <c r="AJ4306">
        <v>77.744843362549702</v>
      </c>
      <c r="AK4306">
        <v>0.20485265584200499</v>
      </c>
      <c r="AL4306">
        <v>90.327414581158905</v>
      </c>
      <c r="AM4306">
        <v>86.760318398109007</v>
      </c>
      <c r="AN4306">
        <v>0.99999993712867097</v>
      </c>
    </row>
    <row r="4307" spans="1:40" x14ac:dyDescent="0.25">
      <c r="A4307" t="str">
        <f>"20190312161357516"</f>
        <v>20190312161357516</v>
      </c>
      <c r="B4307" t="str">
        <f>"1552378437510652"</f>
        <v>1552378437510652</v>
      </c>
      <c r="C4307" t="s">
        <v>40</v>
      </c>
      <c r="D4307">
        <v>6.0489600000000001</v>
      </c>
      <c r="E4307">
        <v>0.50568670000000004</v>
      </c>
      <c r="F4307" t="s">
        <v>43</v>
      </c>
      <c r="G4307">
        <v>-230.92859999999999</v>
      </c>
      <c r="H4307">
        <v>0.73387579999999997</v>
      </c>
      <c r="I4307">
        <v>139.28399999999999</v>
      </c>
      <c r="J4307">
        <v>-230.39930000000001</v>
      </c>
      <c r="K4307">
        <v>1.109999</v>
      </c>
      <c r="L4307">
        <v>139.1962</v>
      </c>
      <c r="M4307">
        <v>-0.99475539999999996</v>
      </c>
      <c r="N4307">
        <v>0</v>
      </c>
      <c r="O4307">
        <v>0.1018283</v>
      </c>
      <c r="P4307">
        <v>-0.98734840000000001</v>
      </c>
      <c r="Q4307">
        <v>-1.5806509999999999E-2</v>
      </c>
      <c r="R4307">
        <v>0.15777649999999999</v>
      </c>
      <c r="S4307">
        <v>-2.9451450000000001</v>
      </c>
      <c r="T4307">
        <v>-1.5221530000000001</v>
      </c>
      <c r="U4307">
        <v>0.43537900000000002</v>
      </c>
      <c r="V4307">
        <v>5.6415720000000003E-2</v>
      </c>
      <c r="W4307">
        <v>-6.1558769999999997E-3</v>
      </c>
      <c r="X4307">
        <v>0.99838839999999995</v>
      </c>
      <c r="Y4307">
        <v>5.0947550000000001E-2</v>
      </c>
      <c r="Z4307">
        <v>-3.6809460000000002E-2</v>
      </c>
      <c r="AA4307">
        <v>0.99802270000000004</v>
      </c>
      <c r="AB4307">
        <v>19</v>
      </c>
      <c r="AC4307">
        <v>-0.52929999999997701</v>
      </c>
      <c r="AD4307">
        <v>-0.37612319999999899</v>
      </c>
      <c r="AE4307">
        <v>8.7799999999987194E-2</v>
      </c>
      <c r="AF4307">
        <v>2.2423578448587399E-2</v>
      </c>
      <c r="AG4307">
        <v>-0.37612319999999899</v>
      </c>
      <c r="AH4307">
        <v>0.35904256803693702</v>
      </c>
      <c r="AI4307">
        <v>136.27525047890401</v>
      </c>
      <c r="AJ4307">
        <v>86.426301489612101</v>
      </c>
      <c r="AK4307">
        <v>0.52046425824569198</v>
      </c>
      <c r="AL4307">
        <v>90.352707994455997</v>
      </c>
      <c r="AM4307">
        <v>86.765838946607005</v>
      </c>
      <c r="AN4307">
        <v>1.00000001276965</v>
      </c>
    </row>
    <row r="4308" spans="1:40" x14ac:dyDescent="0.25">
      <c r="A4308" t="str">
        <f>"20190312161357537"</f>
        <v>20190312161357537</v>
      </c>
      <c r="B4308" t="str">
        <f>"1552378437530172"</f>
        <v>1552378437530172</v>
      </c>
      <c r="C4308" t="s">
        <v>40</v>
      </c>
      <c r="D4308">
        <v>5.8983650000000001</v>
      </c>
      <c r="E4308">
        <v>0.50742419999999999</v>
      </c>
      <c r="F4308" t="s">
        <v>43</v>
      </c>
      <c r="G4308">
        <v>-231.14830000000001</v>
      </c>
      <c r="H4308">
        <v>0.86830229999999997</v>
      </c>
      <c r="I4308">
        <v>139.3246</v>
      </c>
      <c r="J4308">
        <v>-230.58869999999999</v>
      </c>
      <c r="K4308">
        <v>1.110017</v>
      </c>
      <c r="L4308">
        <v>139.21510000000001</v>
      </c>
      <c r="M4308">
        <v>-0.99479810000000002</v>
      </c>
      <c r="N4308">
        <v>0</v>
      </c>
      <c r="O4308">
        <v>0.1014135</v>
      </c>
      <c r="P4308">
        <v>-0.98743530000000002</v>
      </c>
      <c r="Q4308">
        <v>-1.6198480000000001E-2</v>
      </c>
      <c r="R4308">
        <v>0.15719179999999999</v>
      </c>
      <c r="S4308">
        <v>-2.9426730000000001</v>
      </c>
      <c r="T4308">
        <v>-0.94959749999999998</v>
      </c>
      <c r="U4308">
        <v>0.5041504</v>
      </c>
      <c r="V4308">
        <v>5.624237E-2</v>
      </c>
      <c r="W4308">
        <v>-6.5854819999999897E-3</v>
      </c>
      <c r="X4308">
        <v>0.99839540000000004</v>
      </c>
      <c r="Y4308">
        <v>6.9582569999999996E-2</v>
      </c>
      <c r="Z4308">
        <v>-2.0718790000000001E-2</v>
      </c>
      <c r="AA4308">
        <v>0.99736100000000005</v>
      </c>
      <c r="AB4308">
        <v>19</v>
      </c>
      <c r="AC4308">
        <v>-0.55960000000001697</v>
      </c>
      <c r="AD4308">
        <v>-0.24171469999999901</v>
      </c>
      <c r="AE4308">
        <v>0.109499999999997</v>
      </c>
      <c r="AF4308">
        <v>4.42333507369242E-2</v>
      </c>
      <c r="AG4308">
        <v>-0.24171469999999901</v>
      </c>
      <c r="AH4308">
        <v>0.48132832796946001</v>
      </c>
      <c r="AI4308">
        <v>116.56850553455401</v>
      </c>
      <c r="AJ4308">
        <v>84.749351896221796</v>
      </c>
      <c r="AK4308">
        <v>0.54042533695172201</v>
      </c>
      <c r="AL4308">
        <v>90.377323061925196</v>
      </c>
      <c r="AM4308">
        <v>86.775778193925404</v>
      </c>
      <c r="AN4308">
        <v>0.99999997374877403</v>
      </c>
    </row>
    <row r="4309" spans="1:40" x14ac:dyDescent="0.25">
      <c r="A4309" t="str">
        <f>"20190312161357560"</f>
        <v>20190312161357560</v>
      </c>
      <c r="B4309" t="str">
        <f>"1552378437550668"</f>
        <v>1552378437550668</v>
      </c>
      <c r="C4309" t="s">
        <v>40</v>
      </c>
      <c r="D4309">
        <v>6.040851</v>
      </c>
      <c r="E4309">
        <v>0.50672340000000005</v>
      </c>
      <c r="F4309" t="s">
        <v>43</v>
      </c>
      <c r="G4309">
        <v>-231.34010000000001</v>
      </c>
      <c r="H4309">
        <v>0.91244760000000003</v>
      </c>
      <c r="I4309">
        <v>139.3477</v>
      </c>
      <c r="J4309">
        <v>-230.78620000000001</v>
      </c>
      <c r="K4309">
        <v>1.1100319999999999</v>
      </c>
      <c r="L4309">
        <v>139.2347</v>
      </c>
      <c r="M4309">
        <v>-0.99484810000000001</v>
      </c>
      <c r="N4309">
        <v>0</v>
      </c>
      <c r="O4309">
        <v>0.1009265</v>
      </c>
      <c r="P4309">
        <v>-0.9874676</v>
      </c>
      <c r="Q4309">
        <v>-1.6500859999999999E-2</v>
      </c>
      <c r="R4309">
        <v>0.15695719999999999</v>
      </c>
      <c r="S4309">
        <v>-2.9428860000000001</v>
      </c>
      <c r="T4309">
        <v>-0.77372220000000003</v>
      </c>
      <c r="U4309">
        <v>0.51876829999999996</v>
      </c>
      <c r="V4309">
        <v>5.6495110000000001E-2</v>
      </c>
      <c r="W4309">
        <v>-6.9295719999999898E-3</v>
      </c>
      <c r="X4309">
        <v>0.99837880000000001</v>
      </c>
      <c r="Y4309">
        <v>7.4186349999999998E-2</v>
      </c>
      <c r="Z4309">
        <v>-1.6293539999999999E-2</v>
      </c>
      <c r="AA4309">
        <v>0.99711130000000003</v>
      </c>
      <c r="AB4309">
        <v>20</v>
      </c>
      <c r="AC4309">
        <v>-0.55389999999999795</v>
      </c>
      <c r="AD4309">
        <v>-0.19758439999999899</v>
      </c>
      <c r="AE4309">
        <v>0.112999999999999</v>
      </c>
      <c r="AF4309">
        <v>5.0364615382233503E-2</v>
      </c>
      <c r="AG4309">
        <v>-0.19758439999999899</v>
      </c>
      <c r="AH4309">
        <v>0.50124406132680599</v>
      </c>
      <c r="AI4309">
        <v>111.415761000028</v>
      </c>
      <c r="AJ4309">
        <v>84.262222377723404</v>
      </c>
      <c r="AK4309">
        <v>0.54113011246958997</v>
      </c>
      <c r="AL4309">
        <v>90.397038418013693</v>
      </c>
      <c r="AM4309">
        <v>86.761266338004205</v>
      </c>
      <c r="AN4309">
        <v>0.99999997235572702</v>
      </c>
    </row>
    <row r="4310" spans="1:40" x14ac:dyDescent="0.25">
      <c r="A4310" t="str">
        <f>"20190312161357581"</f>
        <v>20190312161357581</v>
      </c>
      <c r="B4310" t="str">
        <f>"1552378437570188"</f>
        <v>1552378437570188</v>
      </c>
      <c r="C4310" t="s">
        <v>40</v>
      </c>
      <c r="D4310">
        <v>5.8607370000000003</v>
      </c>
      <c r="E4310">
        <v>0.50665090000000002</v>
      </c>
      <c r="F4310" t="s">
        <v>43</v>
      </c>
      <c r="G4310">
        <v>-231.53210000000001</v>
      </c>
      <c r="H4310">
        <v>0.950156</v>
      </c>
      <c r="I4310">
        <v>139.36510000000001</v>
      </c>
      <c r="J4310">
        <v>-230.97710000000001</v>
      </c>
      <c r="K4310">
        <v>1.1100369999999999</v>
      </c>
      <c r="L4310">
        <v>139.2535</v>
      </c>
      <c r="M4310">
        <v>-0.99490109999999998</v>
      </c>
      <c r="N4310">
        <v>0</v>
      </c>
      <c r="O4310">
        <v>0.1004073</v>
      </c>
      <c r="P4310">
        <v>-0.98748990000000003</v>
      </c>
      <c r="Q4310">
        <v>-1.6768370000000001E-2</v>
      </c>
      <c r="R4310">
        <v>0.1567885</v>
      </c>
      <c r="S4310">
        <v>-2.9457550000000001</v>
      </c>
      <c r="T4310">
        <v>-0.63144869999999897</v>
      </c>
      <c r="U4310">
        <v>0.51441959999999998</v>
      </c>
      <c r="V4310">
        <v>5.68467E-2</v>
      </c>
      <c r="W4310">
        <v>-7.2397099999999999E-3</v>
      </c>
      <c r="X4310">
        <v>0.99835660000000004</v>
      </c>
      <c r="Y4310">
        <v>7.2842699999999996E-2</v>
      </c>
      <c r="Z4310">
        <v>-1.3392029999999999E-2</v>
      </c>
      <c r="AA4310">
        <v>0.99725350000000001</v>
      </c>
      <c r="AB4310">
        <v>20</v>
      </c>
      <c r="AC4310">
        <v>-0.55500000000000604</v>
      </c>
      <c r="AD4310">
        <v>-0.159881</v>
      </c>
      <c r="AE4310">
        <v>0.111600000000009</v>
      </c>
      <c r="AF4310">
        <v>5.1221871126839597E-2</v>
      </c>
      <c r="AG4310">
        <v>-0.159881</v>
      </c>
      <c r="AH4310">
        <v>0.52178278453413396</v>
      </c>
      <c r="AI4310">
        <v>106.958933716042</v>
      </c>
      <c r="AJ4310">
        <v>84.393406722199998</v>
      </c>
      <c r="AK4310">
        <v>0.548126708415973</v>
      </c>
      <c r="AL4310">
        <v>90.414808480272598</v>
      </c>
      <c r="AM4310">
        <v>86.741081497492502</v>
      </c>
      <c r="AN4310">
        <v>0.99999993073266402</v>
      </c>
    </row>
    <row r="4311" spans="1:40" x14ac:dyDescent="0.25">
      <c r="A4311" t="str">
        <f>"20190312161357604"</f>
        <v>20190312161357604</v>
      </c>
      <c r="B4311" t="str">
        <f>"1552378437600444"</f>
        <v>1552378437600444</v>
      </c>
      <c r="C4311" t="s">
        <v>40</v>
      </c>
      <c r="D4311">
        <v>5.8163400000000003</v>
      </c>
      <c r="E4311">
        <v>0.50696070000000004</v>
      </c>
      <c r="F4311" t="s">
        <v>43</v>
      </c>
      <c r="G4311">
        <v>-231.71870000000001</v>
      </c>
      <c r="H4311">
        <v>0.97479320000000003</v>
      </c>
      <c r="I4311">
        <v>139.38310000000001</v>
      </c>
      <c r="J4311">
        <v>-231.16749999999999</v>
      </c>
      <c r="K4311">
        <v>1.1100410000000001</v>
      </c>
      <c r="L4311">
        <v>139.27209999999999</v>
      </c>
      <c r="M4311">
        <v>-0.99495750000000005</v>
      </c>
      <c r="N4311">
        <v>0</v>
      </c>
      <c r="O4311">
        <v>9.985086E-2</v>
      </c>
      <c r="P4311">
        <v>-0.98754540000000002</v>
      </c>
      <c r="Q4311">
        <v>-1.6785999999999999E-2</v>
      </c>
      <c r="R4311">
        <v>0.15643670000000001</v>
      </c>
      <c r="S4311">
        <v>-2.9470670000000001</v>
      </c>
      <c r="T4311">
        <v>-0.53745390000000004</v>
      </c>
      <c r="U4311">
        <v>0.5151367</v>
      </c>
      <c r="V4311">
        <v>5.7049509999999998E-2</v>
      </c>
      <c r="W4311">
        <v>-7.3017619999999998E-3</v>
      </c>
      <c r="X4311">
        <v>0.99834469999999997</v>
      </c>
      <c r="Y4311">
        <v>7.3379150000000004E-2</v>
      </c>
      <c r="Z4311">
        <v>-1.128036E-2</v>
      </c>
      <c r="AA4311">
        <v>0.99724029999999997</v>
      </c>
      <c r="AB4311">
        <v>20</v>
      </c>
      <c r="AC4311">
        <v>-0.55120000000002201</v>
      </c>
      <c r="AD4311">
        <v>-0.1352478</v>
      </c>
      <c r="AE4311">
        <v>0.111000000000018</v>
      </c>
      <c r="AF4311">
        <v>5.2374577168627402E-2</v>
      </c>
      <c r="AG4311">
        <v>-0.1352478</v>
      </c>
      <c r="AH4311">
        <v>0.52892545540230296</v>
      </c>
      <c r="AI4311">
        <v>104.27641660278999</v>
      </c>
      <c r="AJ4311">
        <v>84.344965553647697</v>
      </c>
      <c r="AK4311">
        <v>0.54844981640161605</v>
      </c>
      <c r="AL4311">
        <v>90.418363841819897</v>
      </c>
      <c r="AM4311">
        <v>86.729441062153896</v>
      </c>
      <c r="AN4311">
        <v>1.0000000511688101</v>
      </c>
    </row>
    <row r="4312" spans="1:40" x14ac:dyDescent="0.25">
      <c r="A4312" t="str">
        <f>"20190312161357627"</f>
        <v>20190312161357627</v>
      </c>
      <c r="B4312" t="str">
        <f>"1552378437619964"</f>
        <v>1552378437619964</v>
      </c>
      <c r="C4312" t="s">
        <v>40</v>
      </c>
      <c r="D4312">
        <v>5.8085019999999998</v>
      </c>
      <c r="E4312">
        <v>0.50767180000000001</v>
      </c>
      <c r="F4312" t="s">
        <v>43</v>
      </c>
      <c r="G4312">
        <v>-231.9015</v>
      </c>
      <c r="H4312">
        <v>0.99089930000000004</v>
      </c>
      <c r="I4312">
        <v>139.40119999999999</v>
      </c>
      <c r="J4312">
        <v>-231.37479999999999</v>
      </c>
      <c r="K4312">
        <v>1.110042</v>
      </c>
      <c r="L4312">
        <v>139.29220000000001</v>
      </c>
      <c r="M4312">
        <v>-0.99502170000000001</v>
      </c>
      <c r="N4312">
        <v>0</v>
      </c>
      <c r="O4312">
        <v>9.9214810000000001E-2</v>
      </c>
      <c r="P4312">
        <v>-0.98764739999999995</v>
      </c>
      <c r="Q4312">
        <v>-1.6803099999999901E-2</v>
      </c>
      <c r="R4312">
        <v>0.1557887</v>
      </c>
      <c r="S4312">
        <v>-2.947708</v>
      </c>
      <c r="T4312">
        <v>-0.47848370000000001</v>
      </c>
      <c r="U4312">
        <v>0.5176849</v>
      </c>
      <c r="V4312">
        <v>5.7033E-2</v>
      </c>
      <c r="W4312">
        <v>-7.3727009999999997E-3</v>
      </c>
      <c r="X4312">
        <v>0.99834509999999999</v>
      </c>
      <c r="Y4312">
        <v>7.4705270000000004E-2</v>
      </c>
      <c r="Z4312">
        <v>-9.8490699999999997E-3</v>
      </c>
      <c r="AA4312">
        <v>0.99715699999999996</v>
      </c>
      <c r="AB4312">
        <v>20</v>
      </c>
      <c r="AC4312">
        <v>-0.52670000000000505</v>
      </c>
      <c r="AD4312">
        <v>-0.119142699999999</v>
      </c>
      <c r="AE4312">
        <v>0.10899999999998</v>
      </c>
      <c r="AF4312">
        <v>5.3574621630577197E-2</v>
      </c>
      <c r="AG4312">
        <v>-0.119142699999999</v>
      </c>
      <c r="AH4312">
        <v>0.50989650064506797</v>
      </c>
      <c r="AI4312">
        <v>103.08228451979301</v>
      </c>
      <c r="AJ4312">
        <v>84.001962749457405</v>
      </c>
      <c r="AK4312">
        <v>0.52636457367136202</v>
      </c>
      <c r="AL4312">
        <v>90.422428465585</v>
      </c>
      <c r="AM4312">
        <v>86.730386807955</v>
      </c>
      <c r="AN4312">
        <v>1.0000000292515201</v>
      </c>
    </row>
    <row r="4313" spans="1:40" x14ac:dyDescent="0.25">
      <c r="A4313" t="str">
        <f>"20190312161357650"</f>
        <v>20190312161357650</v>
      </c>
      <c r="B4313" t="str">
        <f>"1552378437640460"</f>
        <v>1552378437640460</v>
      </c>
      <c r="C4313" t="s">
        <v>40</v>
      </c>
      <c r="D4313">
        <v>5.86761</v>
      </c>
      <c r="E4313">
        <v>0.51039950000000001</v>
      </c>
      <c r="F4313" t="s">
        <v>43</v>
      </c>
      <c r="G4313">
        <v>-232.0788</v>
      </c>
      <c r="H4313">
        <v>0.99433859999999996</v>
      </c>
      <c r="I4313">
        <v>139.4169</v>
      </c>
      <c r="J4313">
        <v>-231.56780000000001</v>
      </c>
      <c r="K4313">
        <v>1.110036</v>
      </c>
      <c r="L4313">
        <v>139.3108</v>
      </c>
      <c r="M4313">
        <v>-0.99508339999999995</v>
      </c>
      <c r="N4313">
        <v>0</v>
      </c>
      <c r="O4313">
        <v>9.8601190000000005E-2</v>
      </c>
      <c r="P4313">
        <v>-0.98776580000000003</v>
      </c>
      <c r="Q4313">
        <v>-1.6692909999999998E-2</v>
      </c>
      <c r="R4313">
        <v>0.15504979999999999</v>
      </c>
      <c r="S4313">
        <v>-2.9469910000000001</v>
      </c>
      <c r="T4313">
        <v>-0.48437930000000001</v>
      </c>
      <c r="U4313">
        <v>0.52159120000000003</v>
      </c>
      <c r="V4313">
        <v>5.690191E-2</v>
      </c>
      <c r="W4313">
        <v>-7.320699E-3</v>
      </c>
      <c r="X4313">
        <v>0.99835289999999999</v>
      </c>
      <c r="Y4313">
        <v>7.6618359999999996E-2</v>
      </c>
      <c r="Z4313">
        <v>-9.716209E-3</v>
      </c>
      <c r="AA4313">
        <v>0.99701320000000004</v>
      </c>
      <c r="AB4313">
        <v>20</v>
      </c>
      <c r="AC4313">
        <v>-0.51099999999999501</v>
      </c>
      <c r="AD4313">
        <v>-0.11569739999999901</v>
      </c>
      <c r="AE4313">
        <v>0.106099999999997</v>
      </c>
      <c r="AF4313">
        <v>5.2610043305847697E-2</v>
      </c>
      <c r="AG4313">
        <v>-0.11569739999999901</v>
      </c>
      <c r="AH4313">
        <v>0.49466183218613102</v>
      </c>
      <c r="AI4313">
        <v>103.093091693451</v>
      </c>
      <c r="AJ4313">
        <v>83.929096177117003</v>
      </c>
      <c r="AK4313">
        <v>0.51072892344681498</v>
      </c>
      <c r="AL4313">
        <v>90.419448916470003</v>
      </c>
      <c r="AM4313">
        <v>86.737911176527504</v>
      </c>
      <c r="AN4313">
        <v>0.99999996646695199</v>
      </c>
    </row>
    <row r="4314" spans="1:40" x14ac:dyDescent="0.25">
      <c r="A4314" t="str">
        <f>"20190312161357671"</f>
        <v>20190312161357671</v>
      </c>
      <c r="B4314" t="str">
        <f>"1552378437659980"</f>
        <v>1552378437659980</v>
      </c>
      <c r="C4314" t="s">
        <v>40</v>
      </c>
      <c r="D4314">
        <v>5.3542719999999999</v>
      </c>
      <c r="E4314">
        <v>0.5116252</v>
      </c>
      <c r="F4314" t="s">
        <v>43</v>
      </c>
      <c r="G4314">
        <v>-232.41800000000001</v>
      </c>
      <c r="H4314">
        <v>0.97094829999999999</v>
      </c>
      <c r="I4314">
        <v>139.46700000000001</v>
      </c>
      <c r="J4314">
        <v>-231.77</v>
      </c>
      <c r="K4314">
        <v>1.1100239999999999</v>
      </c>
      <c r="L4314">
        <v>139.33000000000001</v>
      </c>
      <c r="M4314">
        <v>-0.9951489</v>
      </c>
      <c r="N4314">
        <v>0</v>
      </c>
      <c r="O4314">
        <v>9.7943730000000007E-2</v>
      </c>
      <c r="P4314">
        <v>-0.98783989999999999</v>
      </c>
      <c r="Q4314">
        <v>-1.651731E-2</v>
      </c>
      <c r="R4314">
        <v>0.1545956</v>
      </c>
      <c r="S4314">
        <v>-2.9441069999999998</v>
      </c>
      <c r="T4314">
        <v>-0.4816549</v>
      </c>
      <c r="U4314">
        <v>0.54095459999999995</v>
      </c>
      <c r="V4314">
        <v>5.7102119999999999E-2</v>
      </c>
      <c r="W4314">
        <v>-7.2073709999999997E-3</v>
      </c>
      <c r="X4314">
        <v>0.99834230000000002</v>
      </c>
      <c r="Y4314">
        <v>8.3691539999999995E-2</v>
      </c>
      <c r="Z4314">
        <v>-8.9894729999999996E-3</v>
      </c>
      <c r="AA4314">
        <v>0.99645110000000003</v>
      </c>
      <c r="AB4314">
        <v>20</v>
      </c>
      <c r="AC4314">
        <v>-0.64799999999999602</v>
      </c>
      <c r="AD4314">
        <v>-0.139075699999999</v>
      </c>
      <c r="AE4314">
        <v>0.13700000000000001</v>
      </c>
      <c r="AF4314">
        <v>6.9793631005922993E-2</v>
      </c>
      <c r="AG4314">
        <v>-0.139075699999999</v>
      </c>
      <c r="AH4314">
        <v>0.63050274216859803</v>
      </c>
      <c r="AI4314">
        <v>102.365873335442</v>
      </c>
      <c r="AJ4314">
        <v>83.683348322897601</v>
      </c>
      <c r="AK4314">
        <v>0.64942044096378904</v>
      </c>
      <c r="AL4314">
        <v>90.412955526075606</v>
      </c>
      <c r="AM4314">
        <v>86.726423717211205</v>
      </c>
      <c r="AN4314">
        <v>0.99999997313725697</v>
      </c>
    </row>
    <row r="4315" spans="1:40" x14ac:dyDescent="0.25">
      <c r="A4315" t="str">
        <f>"20190312161357694"</f>
        <v>20190312161357694</v>
      </c>
      <c r="B4315" t="str">
        <f>"1552378437690236"</f>
        <v>1552378437690236</v>
      </c>
      <c r="C4315" t="s">
        <v>40</v>
      </c>
      <c r="D4315">
        <v>5.964798</v>
      </c>
      <c r="E4315">
        <v>0.51247540000000003</v>
      </c>
      <c r="F4315" t="s">
        <v>43</v>
      </c>
      <c r="G4315">
        <v>-232.5975</v>
      </c>
      <c r="H4315">
        <v>0.97627830000000004</v>
      </c>
      <c r="I4315">
        <v>139.4846</v>
      </c>
      <c r="J4315">
        <v>-231.95679999999999</v>
      </c>
      <c r="K4315">
        <v>1.1100139999999901</v>
      </c>
      <c r="L4315">
        <v>139.3477</v>
      </c>
      <c r="M4315">
        <v>-0.99520969999999997</v>
      </c>
      <c r="N4315">
        <v>0</v>
      </c>
      <c r="O4315">
        <v>9.7328949999999997E-2</v>
      </c>
      <c r="P4315">
        <v>-0.98788189999999998</v>
      </c>
      <c r="Q4315">
        <v>-1.7282510000000001E-2</v>
      </c>
      <c r="R4315">
        <v>0.1542433</v>
      </c>
      <c r="S4315">
        <v>-2.9430390000000002</v>
      </c>
      <c r="T4315">
        <v>-0.47570279999999998</v>
      </c>
      <c r="U4315">
        <v>0.54917910000000003</v>
      </c>
      <c r="V4315">
        <v>5.7364900000000003E-2</v>
      </c>
      <c r="W4315">
        <v>-8.0266219999999902E-3</v>
      </c>
      <c r="X4315">
        <v>0.99832100000000001</v>
      </c>
      <c r="Y4315">
        <v>8.7009909999999996E-2</v>
      </c>
      <c r="Z4315">
        <v>-8.5188469999999995E-3</v>
      </c>
      <c r="AA4315">
        <v>0.99617100000000003</v>
      </c>
      <c r="AB4315">
        <v>20</v>
      </c>
      <c r="AC4315">
        <v>-0.64070000000000904</v>
      </c>
      <c r="AD4315">
        <v>-0.13373569999999901</v>
      </c>
      <c r="AE4315">
        <v>0.136899999999997</v>
      </c>
      <c r="AF4315">
        <v>7.0933082541820694E-2</v>
      </c>
      <c r="AG4315">
        <v>-0.13373569999999901</v>
      </c>
      <c r="AH4315">
        <v>0.62494301380961903</v>
      </c>
      <c r="AI4315">
        <v>102.004099796391</v>
      </c>
      <c r="AJ4315">
        <v>83.524454280556398</v>
      </c>
      <c r="AK4315">
        <v>0.64301672619211403</v>
      </c>
      <c r="AL4315">
        <v>90.459896507887507</v>
      </c>
      <c r="AM4315">
        <v>86.711321924004906</v>
      </c>
      <c r="AN4315">
        <v>0.99999998872687001</v>
      </c>
    </row>
    <row r="4316" spans="1:40" x14ac:dyDescent="0.25">
      <c r="A4316" t="str">
        <f>"20190312161357715"</f>
        <v>20190312161357715</v>
      </c>
      <c r="B4316" t="str">
        <f>"1552378437710732"</f>
        <v>1552378437710732</v>
      </c>
      <c r="C4316" t="s">
        <v>40</v>
      </c>
      <c r="D4316">
        <v>5.8165279999999999</v>
      </c>
      <c r="E4316">
        <v>0.51297190000000004</v>
      </c>
      <c r="F4316" t="s">
        <v>43</v>
      </c>
      <c r="G4316">
        <v>-232.77549999999999</v>
      </c>
      <c r="H4316">
        <v>0.97785460000000002</v>
      </c>
      <c r="I4316">
        <v>139.50200000000001</v>
      </c>
      <c r="J4316">
        <v>-232.15190000000001</v>
      </c>
      <c r="K4316">
        <v>1.1100000000000001</v>
      </c>
      <c r="L4316">
        <v>139.36600000000001</v>
      </c>
      <c r="M4316">
        <v>-0.99527319999999997</v>
      </c>
      <c r="N4316">
        <v>0</v>
      </c>
      <c r="O4316">
        <v>9.6682560000000001E-2</v>
      </c>
      <c r="P4316">
        <v>-0.98793019999999998</v>
      </c>
      <c r="Q4316">
        <v>-1.733788E-2</v>
      </c>
      <c r="R4316">
        <v>0.15392749999999999</v>
      </c>
      <c r="S4316">
        <v>-2.9419249999999999</v>
      </c>
      <c r="T4316">
        <v>-0.47487879999999899</v>
      </c>
      <c r="U4316">
        <v>0.55447389999999996</v>
      </c>
      <c r="V4316">
        <v>5.7694219999999997E-2</v>
      </c>
      <c r="W4316">
        <v>-8.139248E-3</v>
      </c>
      <c r="X4316">
        <v>0.99830110000000005</v>
      </c>
      <c r="Y4316">
        <v>8.9418349999999994E-2</v>
      </c>
      <c r="Z4316">
        <v>-8.2122440000000005E-3</v>
      </c>
      <c r="AA4316">
        <v>0.99596030000000002</v>
      </c>
      <c r="AB4316">
        <v>20</v>
      </c>
      <c r="AC4316">
        <v>-0.62359999999998195</v>
      </c>
      <c r="AD4316">
        <v>-0.1321454</v>
      </c>
      <c r="AE4316">
        <v>0.13599999999999501</v>
      </c>
      <c r="AF4316">
        <v>7.1983420219046398E-2</v>
      </c>
      <c r="AG4316">
        <v>-0.1321454</v>
      </c>
      <c r="AH4316">
        <v>0.60777491843464204</v>
      </c>
      <c r="AI4316">
        <v>102.18402364707801</v>
      </c>
      <c r="AJ4316">
        <v>83.245489353079293</v>
      </c>
      <c r="AK4316">
        <v>0.62612648163596196</v>
      </c>
      <c r="AL4316">
        <v>90.4663497180901</v>
      </c>
      <c r="AM4316">
        <v>86.692418315624806</v>
      </c>
      <c r="AN4316">
        <v>0.99999997832031096</v>
      </c>
    </row>
    <row r="4317" spans="1:40" x14ac:dyDescent="0.25">
      <c r="A4317" t="str">
        <f>"20190312161357738"</f>
        <v>20190312161357738</v>
      </c>
      <c r="B4317" t="str">
        <f>"1552378437730252"</f>
        <v>1552378437730252</v>
      </c>
      <c r="C4317" t="s">
        <v>40</v>
      </c>
      <c r="D4317">
        <v>5.7856540000000001</v>
      </c>
      <c r="E4317">
        <v>0.53247549999999999</v>
      </c>
      <c r="F4317" t="s">
        <v>43</v>
      </c>
      <c r="G4317">
        <v>-232.95480000000001</v>
      </c>
      <c r="H4317">
        <v>0.98069600000000001</v>
      </c>
      <c r="I4317">
        <v>139.51840000000001</v>
      </c>
      <c r="J4317">
        <v>-232.34780000000001</v>
      </c>
      <c r="K4317">
        <v>1.1099840000000001</v>
      </c>
      <c r="L4317">
        <v>139.3843</v>
      </c>
      <c r="M4317">
        <v>-0.99533669999999996</v>
      </c>
      <c r="N4317">
        <v>0</v>
      </c>
      <c r="O4317">
        <v>9.6032709999999993E-2</v>
      </c>
      <c r="P4317">
        <v>-0.9879677</v>
      </c>
      <c r="Q4317">
        <v>-1.7017919999999999E-2</v>
      </c>
      <c r="R4317">
        <v>0.15372179999999999</v>
      </c>
      <c r="S4317">
        <v>-2.941513</v>
      </c>
      <c r="T4317">
        <v>-0.47385949999999999</v>
      </c>
      <c r="U4317">
        <v>0.55722050000000001</v>
      </c>
      <c r="V4317">
        <v>5.813728E-2</v>
      </c>
      <c r="W4317">
        <v>-7.8834539999999998E-3</v>
      </c>
      <c r="X4317">
        <v>0.99827750000000004</v>
      </c>
      <c r="Y4317">
        <v>9.0964409999999996E-2</v>
      </c>
      <c r="Z4317">
        <v>-7.9701230000000008E-3</v>
      </c>
      <c r="AA4317">
        <v>0.99582230000000005</v>
      </c>
      <c r="AB4317">
        <v>20</v>
      </c>
      <c r="AC4317">
        <v>-0.60699999999999898</v>
      </c>
      <c r="AD4317">
        <v>-0.12928799999999999</v>
      </c>
      <c r="AE4317">
        <v>0.13410000000001701</v>
      </c>
      <c r="AF4317">
        <v>7.2068524632144304E-2</v>
      </c>
      <c r="AG4317">
        <v>-0.12928799999999999</v>
      </c>
      <c r="AH4317">
        <v>0.59148761647843195</v>
      </c>
      <c r="AI4317">
        <v>102.242073869725</v>
      </c>
      <c r="AJ4317">
        <v>83.053161911736396</v>
      </c>
      <c r="AK4317">
        <v>0.60972687298001704</v>
      </c>
      <c r="AL4317">
        <v>90.451693307605396</v>
      </c>
      <c r="AM4317">
        <v>86.666996329255795</v>
      </c>
      <c r="AN4317">
        <v>1.0000000295895</v>
      </c>
    </row>
    <row r="4318" spans="1:40" x14ac:dyDescent="0.25">
      <c r="A4318" t="str">
        <f>"20190312161357759"</f>
        <v>20190312161357759</v>
      </c>
      <c r="B4318" t="str">
        <f>"1552378437750748"</f>
        <v>1552378437750748</v>
      </c>
      <c r="C4318" t="s">
        <v>40</v>
      </c>
      <c r="D4318">
        <v>5.9555829999999998</v>
      </c>
      <c r="E4318">
        <v>0.53234919999999997</v>
      </c>
      <c r="F4318" t="s">
        <v>43</v>
      </c>
      <c r="G4318">
        <v>-233.1003</v>
      </c>
      <c r="H4318">
        <v>0.91689229999999999</v>
      </c>
      <c r="I4318">
        <v>139.5669</v>
      </c>
      <c r="J4318">
        <v>-232.54920000000001</v>
      </c>
      <c r="K4318">
        <v>1.109972</v>
      </c>
      <c r="L4318">
        <v>139.40289999999999</v>
      </c>
      <c r="M4318">
        <v>-0.99540150000000005</v>
      </c>
      <c r="N4318">
        <v>0</v>
      </c>
      <c r="O4318">
        <v>9.5365580000000005E-2</v>
      </c>
      <c r="P4318">
        <v>-0.98795929999999998</v>
      </c>
      <c r="Q4318">
        <v>-1.7549099999999901E-2</v>
      </c>
      <c r="R4318">
        <v>0.15371699999999999</v>
      </c>
      <c r="S4318">
        <v>-2.9137569999999999</v>
      </c>
      <c r="T4318">
        <v>-0.74772069999999902</v>
      </c>
      <c r="U4318">
        <v>0.70635990000000004</v>
      </c>
      <c r="V4318">
        <v>5.8802790000000001E-2</v>
      </c>
      <c r="W4318">
        <v>-8.4853089999999999E-3</v>
      </c>
      <c r="X4318">
        <v>0.99823360000000005</v>
      </c>
      <c r="Y4318">
        <v>0.14045969999999999</v>
      </c>
      <c r="Z4318">
        <v>-6.1680859999999997E-3</v>
      </c>
      <c r="AA4318">
        <v>0.99006719999999904</v>
      </c>
      <c r="AB4318">
        <v>20</v>
      </c>
      <c r="AC4318">
        <v>-0.55109999999999004</v>
      </c>
      <c r="AD4318">
        <v>-0.19307969999999899</v>
      </c>
      <c r="AE4318">
        <v>0.16400000000001499</v>
      </c>
      <c r="AF4318">
        <v>9.9477175266560899E-2</v>
      </c>
      <c r="AG4318">
        <v>-0.19307969999999899</v>
      </c>
      <c r="AH4318">
        <v>0.50705262374607396</v>
      </c>
      <c r="AI4318">
        <v>110.48896191477201</v>
      </c>
      <c r="AJ4318">
        <v>78.900282302916096</v>
      </c>
      <c r="AK4318">
        <v>0.55161385243563399</v>
      </c>
      <c r="AL4318">
        <v>90.486178206285501</v>
      </c>
      <c r="AM4318">
        <v>86.628782300519902</v>
      </c>
      <c r="AN4318">
        <v>1.0000000443747801</v>
      </c>
    </row>
    <row r="4319" spans="1:40" x14ac:dyDescent="0.25">
      <c r="A4319" t="str">
        <f>"20190312161357783"</f>
        <v>20190312161357783</v>
      </c>
      <c r="B4319" t="str">
        <f>"1552378437780028"</f>
        <v>1552378437780028</v>
      </c>
      <c r="C4319" t="s">
        <v>40</v>
      </c>
      <c r="D4319">
        <v>6.0479240000000001</v>
      </c>
      <c r="E4319">
        <v>0.51906779999999997</v>
      </c>
      <c r="F4319" t="s">
        <v>43</v>
      </c>
      <c r="G4319">
        <v>-233.2818</v>
      </c>
      <c r="H4319">
        <v>0.92209300000000005</v>
      </c>
      <c r="I4319">
        <v>139.5804</v>
      </c>
      <c r="J4319">
        <v>-232.7576</v>
      </c>
      <c r="K4319">
        <v>1.1099570000000001</v>
      </c>
      <c r="L4319">
        <v>139.4221</v>
      </c>
      <c r="M4319">
        <v>-0.99546809999999997</v>
      </c>
      <c r="N4319">
        <v>0</v>
      </c>
      <c r="O4319">
        <v>9.4675120000000001E-2</v>
      </c>
      <c r="P4319">
        <v>-0.98792009999999997</v>
      </c>
      <c r="Q4319">
        <v>-1.7855909999999999E-2</v>
      </c>
      <c r="R4319">
        <v>0.15393319999999999</v>
      </c>
      <c r="S4319">
        <v>-2.9134980000000001</v>
      </c>
      <c r="T4319">
        <v>-0.74725280000000005</v>
      </c>
      <c r="U4319">
        <v>0.70556640000000004</v>
      </c>
      <c r="V4319">
        <v>5.9714349999999999E-2</v>
      </c>
      <c r="W4319">
        <v>-8.8641740000000007E-3</v>
      </c>
      <c r="X4319">
        <v>0.99817619999999896</v>
      </c>
      <c r="Y4319">
        <v>0.14087949999999999</v>
      </c>
      <c r="Z4319">
        <v>-5.9424769999999998E-3</v>
      </c>
      <c r="AA4319">
        <v>0.99000889999999997</v>
      </c>
      <c r="AB4319">
        <v>20</v>
      </c>
      <c r="AC4319">
        <v>-0.52420000000000699</v>
      </c>
      <c r="AD4319">
        <v>-0.187863999999999</v>
      </c>
      <c r="AE4319">
        <v>0.158299999999996</v>
      </c>
      <c r="AF4319">
        <v>9.6589276116692199E-2</v>
      </c>
      <c r="AG4319">
        <v>-0.187863999999999</v>
      </c>
      <c r="AH4319">
        <v>0.48029972240676799</v>
      </c>
      <c r="AI4319">
        <v>110.97991843797099</v>
      </c>
      <c r="AJ4319">
        <v>78.629364182707107</v>
      </c>
      <c r="AK4319">
        <v>0.52470009920026195</v>
      </c>
      <c r="AL4319">
        <v>90.507886384029007</v>
      </c>
      <c r="AM4319">
        <v>86.576448684644006</v>
      </c>
      <c r="AN4319">
        <v>1.0000000517115299</v>
      </c>
    </row>
    <row r="4320" spans="1:40" x14ac:dyDescent="0.25">
      <c r="A4320" t="str">
        <f>"20190312161357804"</f>
        <v>20190312161357804</v>
      </c>
      <c r="B4320" t="str">
        <f>"1552378437800524"</f>
        <v>1552378437800524</v>
      </c>
      <c r="C4320" t="s">
        <v>40</v>
      </c>
      <c r="D4320">
        <v>6.0622369999999997</v>
      </c>
      <c r="E4320">
        <v>0.51934239999999998</v>
      </c>
      <c r="F4320" t="s">
        <v>43</v>
      </c>
      <c r="G4320">
        <v>-233.49799999999999</v>
      </c>
      <c r="H4320">
        <v>0.99501680000000003</v>
      </c>
      <c r="I4320">
        <v>139.57499999999999</v>
      </c>
      <c r="J4320">
        <v>-232.94820000000001</v>
      </c>
      <c r="K4320">
        <v>1.10995</v>
      </c>
      <c r="L4320">
        <v>139.43950000000001</v>
      </c>
      <c r="M4320">
        <v>-0.99552859999999999</v>
      </c>
      <c r="N4320">
        <v>0</v>
      </c>
      <c r="O4320">
        <v>9.4041280000000005E-2</v>
      </c>
      <c r="P4320">
        <v>-0.98787340000000001</v>
      </c>
      <c r="Q4320">
        <v>-1.7494539999999999E-2</v>
      </c>
      <c r="R4320">
        <v>0.1542733</v>
      </c>
      <c r="S4320">
        <v>-2.934113</v>
      </c>
      <c r="T4320">
        <v>-0.45551130000000001</v>
      </c>
      <c r="U4320">
        <v>0.60551449999999996</v>
      </c>
      <c r="V4320">
        <v>6.0692679999999999E-2</v>
      </c>
      <c r="W4320">
        <v>-8.5693160000000004E-3</v>
      </c>
      <c r="X4320">
        <v>0.99811970000000005</v>
      </c>
      <c r="Y4320">
        <v>0.10893899999999999</v>
      </c>
      <c r="Z4320">
        <v>-5.994648E-3</v>
      </c>
      <c r="AA4320">
        <v>0.99403039999999998</v>
      </c>
      <c r="AB4320">
        <v>20</v>
      </c>
      <c r="AC4320">
        <v>-0.54979999999997597</v>
      </c>
      <c r="AD4320">
        <v>-0.1149332</v>
      </c>
      <c r="AE4320">
        <v>0.135499999999979</v>
      </c>
      <c r="AF4320">
        <v>7.9901749789412696E-2</v>
      </c>
      <c r="AG4320">
        <v>-0.1149332</v>
      </c>
      <c r="AH4320">
        <v>0.53794429062304105</v>
      </c>
      <c r="AI4320">
        <v>101.932971088705</v>
      </c>
      <c r="AJ4320">
        <v>81.551531385834295</v>
      </c>
      <c r="AK4320">
        <v>0.55585788642024003</v>
      </c>
      <c r="AL4320">
        <v>90.490991656756293</v>
      </c>
      <c r="AM4320">
        <v>86.520299153826599</v>
      </c>
      <c r="AN4320">
        <v>0.99999998505518894</v>
      </c>
    </row>
    <row r="4321" spans="1:40" x14ac:dyDescent="0.25">
      <c r="A4321" t="str">
        <f>"20190312161357828"</f>
        <v>20190312161357828</v>
      </c>
      <c r="B4321" t="str">
        <f>"1552378437820043"</f>
        <v>1552378437820043</v>
      </c>
      <c r="C4321" t="s">
        <v>40</v>
      </c>
      <c r="D4321">
        <v>5.8443949999999996</v>
      </c>
      <c r="E4321">
        <v>0.51963870000000001</v>
      </c>
      <c r="F4321" t="s">
        <v>43</v>
      </c>
      <c r="G4321">
        <v>-233.68029999999999</v>
      </c>
      <c r="H4321">
        <v>0.99973990000000001</v>
      </c>
      <c r="I4321">
        <v>139.5916</v>
      </c>
      <c r="J4321">
        <v>-233.16300000000001</v>
      </c>
      <c r="K4321">
        <v>1.1099559999999999</v>
      </c>
      <c r="L4321">
        <v>139.459</v>
      </c>
      <c r="M4321">
        <v>-0.99559719999999996</v>
      </c>
      <c r="N4321">
        <v>0</v>
      </c>
      <c r="O4321">
        <v>9.3319589999999994E-2</v>
      </c>
      <c r="P4321">
        <v>-0.98801130000000004</v>
      </c>
      <c r="Q4321">
        <v>-1.649904E-2</v>
      </c>
      <c r="R4321">
        <v>0.15349779999999999</v>
      </c>
      <c r="S4321">
        <v>-2.9339599999999999</v>
      </c>
      <c r="T4321">
        <v>-0.4417739</v>
      </c>
      <c r="U4321">
        <v>0.60862729999999998</v>
      </c>
      <c r="V4321">
        <v>6.0630429999999999E-2</v>
      </c>
      <c r="W4321">
        <v>-7.6496469999999999E-3</v>
      </c>
      <c r="X4321">
        <v>0.99813099999999999</v>
      </c>
      <c r="Y4321">
        <v>0.110665</v>
      </c>
      <c r="Z4321">
        <v>-5.5813869999999897E-3</v>
      </c>
      <c r="AA4321">
        <v>0.99384209999999995</v>
      </c>
      <c r="AB4321">
        <v>20</v>
      </c>
      <c r="AC4321">
        <v>-0.51730000000000498</v>
      </c>
      <c r="AD4321">
        <v>-0.1102161</v>
      </c>
      <c r="AE4321">
        <v>0.132599999999996</v>
      </c>
      <c r="AF4321">
        <v>8.0323753779328294E-2</v>
      </c>
      <c r="AG4321">
        <v>-0.1102161</v>
      </c>
      <c r="AH4321">
        <v>0.50586913592905802</v>
      </c>
      <c r="AI4321">
        <v>102.143684731042</v>
      </c>
      <c r="AJ4321">
        <v>80.977687432888104</v>
      </c>
      <c r="AK4321">
        <v>0.52393041217896896</v>
      </c>
      <c r="AL4321">
        <v>90.438296749581994</v>
      </c>
      <c r="AM4321">
        <v>86.523898642141404</v>
      </c>
      <c r="AN4321">
        <v>1.0000000296511</v>
      </c>
    </row>
    <row r="4322" spans="1:40" x14ac:dyDescent="0.25">
      <c r="A4322" t="str">
        <f>"20190312161357851"</f>
        <v>20190312161357851</v>
      </c>
      <c r="B4322" t="str">
        <f>"1552378437840540"</f>
        <v>1552378437840540</v>
      </c>
      <c r="C4322" t="s">
        <v>40</v>
      </c>
      <c r="D4322">
        <v>5.8827189999999998</v>
      </c>
      <c r="E4322">
        <v>0.51997910000000003</v>
      </c>
      <c r="F4322" t="s">
        <v>43</v>
      </c>
      <c r="G4322">
        <v>-233.86420000000001</v>
      </c>
      <c r="H4322">
        <v>1.0059439999999999</v>
      </c>
      <c r="I4322">
        <v>139.6046</v>
      </c>
      <c r="J4322">
        <v>-233.3681</v>
      </c>
      <c r="K4322">
        <v>1.1099570000000001</v>
      </c>
      <c r="L4322">
        <v>139.47739999999999</v>
      </c>
      <c r="M4322">
        <v>-0.99566370000000004</v>
      </c>
      <c r="N4322">
        <v>0</v>
      </c>
      <c r="O4322">
        <v>9.2614520000000006E-2</v>
      </c>
      <c r="P4322">
        <v>-0.98810390000000003</v>
      </c>
      <c r="Q4322">
        <v>-1.56705E-2</v>
      </c>
      <c r="R4322">
        <v>0.15298819999999999</v>
      </c>
      <c r="S4322">
        <v>-2.934555</v>
      </c>
      <c r="T4322">
        <v>-0.43540200000000001</v>
      </c>
      <c r="U4322">
        <v>0.60882569999999903</v>
      </c>
      <c r="V4322">
        <v>6.0820819999999998E-2</v>
      </c>
      <c r="W4322">
        <v>-6.8931119999999999E-3</v>
      </c>
      <c r="X4322">
        <v>0.99812489999999998</v>
      </c>
      <c r="Y4322">
        <v>0.1113837</v>
      </c>
      <c r="Z4322">
        <v>-5.3459800000000002E-3</v>
      </c>
      <c r="AA4322">
        <v>0.99376310000000001</v>
      </c>
      <c r="AB4322">
        <v>20</v>
      </c>
      <c r="AC4322">
        <v>-0.49610000000001198</v>
      </c>
      <c r="AD4322">
        <v>-0.104012999999999</v>
      </c>
      <c r="AE4322">
        <v>0.12720000000001599</v>
      </c>
      <c r="AF4322">
        <v>7.7508500156362306E-2</v>
      </c>
      <c r="AG4322">
        <v>-0.104012999999999</v>
      </c>
      <c r="AH4322">
        <v>0.48571469401565598</v>
      </c>
      <c r="AI4322">
        <v>101.94035014993101</v>
      </c>
      <c r="AJ4322">
        <v>80.933401067907198</v>
      </c>
      <c r="AK4322">
        <v>0.50273754161412199</v>
      </c>
      <c r="AL4322">
        <v>90.394949352402506</v>
      </c>
      <c r="AM4322">
        <v>86.512988718027799</v>
      </c>
      <c r="AN4322">
        <v>1.0000000015692601</v>
      </c>
    </row>
    <row r="4323" spans="1:40" x14ac:dyDescent="0.25">
      <c r="A4323" t="str">
        <f>"20190312161357872"</f>
        <v>20190312161357872</v>
      </c>
      <c r="B4323" t="str">
        <f>"1552378437870797"</f>
        <v>1552378437870797</v>
      </c>
      <c r="C4323" t="s">
        <v>40</v>
      </c>
      <c r="D4323">
        <v>5.9008180000000001</v>
      </c>
      <c r="E4323">
        <v>0.51982189999999995</v>
      </c>
      <c r="F4323" t="s">
        <v>43</v>
      </c>
      <c r="G4323">
        <v>-234.215</v>
      </c>
      <c r="H4323">
        <v>0.98433950000000003</v>
      </c>
      <c r="I4323">
        <v>139.65350000000001</v>
      </c>
      <c r="J4323">
        <v>-233.56970000000001</v>
      </c>
      <c r="K4323">
        <v>1.1099619999999999</v>
      </c>
      <c r="L4323">
        <v>139.49529999999999</v>
      </c>
      <c r="M4323">
        <v>-0.99573020000000001</v>
      </c>
      <c r="N4323">
        <v>0</v>
      </c>
      <c r="O4323">
        <v>9.1903079999999998E-2</v>
      </c>
      <c r="P4323">
        <v>-0.98821619999999999</v>
      </c>
      <c r="Q4323">
        <v>-1.5116269999999999E-2</v>
      </c>
      <c r="R4323">
        <v>0.15231749999999999</v>
      </c>
      <c r="S4323">
        <v>-2.9347690000000002</v>
      </c>
      <c r="T4323">
        <v>-0.43539309999999998</v>
      </c>
      <c r="U4323">
        <v>0.60990909999999998</v>
      </c>
      <c r="V4323">
        <v>6.085554E-2</v>
      </c>
      <c r="W4323">
        <v>-6.4062590000000001E-3</v>
      </c>
      <c r="X4323">
        <v>0.99812599999999996</v>
      </c>
      <c r="Y4323">
        <v>0.112413</v>
      </c>
      <c r="Z4323">
        <v>-5.1670320000000002E-3</v>
      </c>
      <c r="AA4323">
        <v>0.99364810000000003</v>
      </c>
      <c r="AB4323">
        <v>20</v>
      </c>
      <c r="AC4323">
        <v>-0.64529999999999099</v>
      </c>
      <c r="AD4323">
        <v>-0.1256225</v>
      </c>
      <c r="AE4323">
        <v>0.15820000000002199</v>
      </c>
      <c r="AF4323">
        <v>9.4832969637199699E-2</v>
      </c>
      <c r="AG4323">
        <v>-0.1256225</v>
      </c>
      <c r="AH4323">
        <v>0.63442829650764099</v>
      </c>
      <c r="AI4323">
        <v>101.08019485655301</v>
      </c>
      <c r="AJ4323">
        <v>81.498496015913901</v>
      </c>
      <c r="AK4323">
        <v>0.65366166175327001</v>
      </c>
      <c r="AL4323">
        <v>90.367054123257006</v>
      </c>
      <c r="AM4323">
        <v>86.511006884172403</v>
      </c>
      <c r="AN4323">
        <v>0.99999997438953303</v>
      </c>
    </row>
    <row r="4324" spans="1:40" x14ac:dyDescent="0.25">
      <c r="A4324" t="str">
        <f>"20190312161357895"</f>
        <v>20190312161357895</v>
      </c>
      <c r="B4324" t="str">
        <f>"1552378437890317"</f>
        <v>1552378437890317</v>
      </c>
      <c r="C4324" t="s">
        <v>40</v>
      </c>
      <c r="D4324">
        <v>5.9562010000000001</v>
      </c>
      <c r="E4324">
        <v>0.50388659999999996</v>
      </c>
      <c r="F4324" t="s">
        <v>43</v>
      </c>
      <c r="G4324">
        <v>-234.39940000000001</v>
      </c>
      <c r="H4324">
        <v>0.98831559999999896</v>
      </c>
      <c r="I4324">
        <v>139.6669</v>
      </c>
      <c r="J4324">
        <v>-233.76929999999999</v>
      </c>
      <c r="K4324">
        <v>1.10997099999999</v>
      </c>
      <c r="L4324">
        <v>139.5129</v>
      </c>
      <c r="M4324">
        <v>-0.9957973</v>
      </c>
      <c r="N4324">
        <v>0</v>
      </c>
      <c r="O4324">
        <v>9.1180499999999998E-2</v>
      </c>
      <c r="P4324">
        <v>-0.98837319999999995</v>
      </c>
      <c r="Q4324">
        <v>-1.497821E-2</v>
      </c>
      <c r="R4324">
        <v>0.15130969999999999</v>
      </c>
      <c r="S4324">
        <v>-2.9357150000000001</v>
      </c>
      <c r="T4324">
        <v>-0.43052319999999999</v>
      </c>
      <c r="U4324">
        <v>0.60644529999999996</v>
      </c>
      <c r="V4324">
        <v>6.0562119999999997E-2</v>
      </c>
      <c r="W4324">
        <v>-6.3302539999999996E-3</v>
      </c>
      <c r="X4324">
        <v>0.99814429999999998</v>
      </c>
      <c r="Y4324">
        <v>0.1119484</v>
      </c>
      <c r="Z4324">
        <v>-5.0390330000000001E-3</v>
      </c>
      <c r="AA4324">
        <v>0.99370119999999895</v>
      </c>
      <c r="AB4324">
        <v>20</v>
      </c>
      <c r="AC4324">
        <v>-0.63010000000002697</v>
      </c>
      <c r="AD4324">
        <v>-0.121655399999999</v>
      </c>
      <c r="AE4324">
        <v>0.153999999999996</v>
      </c>
      <c r="AF4324">
        <v>9.2644622014670802E-2</v>
      </c>
      <c r="AG4324">
        <v>-0.121655399999999</v>
      </c>
      <c r="AH4324">
        <v>0.61971813749786198</v>
      </c>
      <c r="AI4324">
        <v>100.98729074127201</v>
      </c>
      <c r="AJ4324">
        <v>81.497546901995605</v>
      </c>
      <c r="AK4324">
        <v>0.63830528141416798</v>
      </c>
      <c r="AL4324">
        <v>90.362699280480598</v>
      </c>
      <c r="AM4324">
        <v>86.527851599219801</v>
      </c>
      <c r="AN4324">
        <v>0.99999994305854201</v>
      </c>
    </row>
    <row r="4325" spans="1:40" x14ac:dyDescent="0.25">
      <c r="A4325" t="str">
        <f>"20190312161357915"</f>
        <v>20190312161357915</v>
      </c>
      <c r="B4325" t="str">
        <f>"1552378437910812"</f>
        <v>1552378437910812</v>
      </c>
      <c r="C4325" t="s">
        <v>40</v>
      </c>
      <c r="D4325">
        <v>5.781892</v>
      </c>
      <c r="E4325">
        <v>0.4512776</v>
      </c>
      <c r="F4325" t="s">
        <v>43</v>
      </c>
      <c r="G4325">
        <v>-234.5763</v>
      </c>
      <c r="H4325">
        <v>0.96897279999999997</v>
      </c>
      <c r="I4325">
        <v>139.6429</v>
      </c>
      <c r="J4325">
        <v>-233.9598</v>
      </c>
      <c r="K4325">
        <v>1.1099829999999999</v>
      </c>
      <c r="L4325">
        <v>139.52959999999999</v>
      </c>
      <c r="M4325">
        <v>-0.99586269999999999</v>
      </c>
      <c r="N4325">
        <v>0</v>
      </c>
      <c r="O4325">
        <v>9.0469330000000001E-2</v>
      </c>
      <c r="P4325">
        <v>-0.98859419999999998</v>
      </c>
      <c r="Q4325">
        <v>-1.4504400000000001E-2</v>
      </c>
      <c r="R4325">
        <v>0.1499045</v>
      </c>
      <c r="S4325">
        <v>-2.9545750000000002</v>
      </c>
      <c r="T4325">
        <v>-0.51622270000000003</v>
      </c>
      <c r="U4325">
        <v>0.47610469999999999</v>
      </c>
      <c r="V4325">
        <v>5.9855029999999997E-2</v>
      </c>
      <c r="W4325">
        <v>-5.9141089999999999E-3</v>
      </c>
      <c r="X4325">
        <v>0.99818960000000001</v>
      </c>
      <c r="Y4325">
        <v>6.9423440000000003E-2</v>
      </c>
      <c r="Z4325">
        <v>-9.5646380000000003E-3</v>
      </c>
      <c r="AA4325">
        <v>0.99754140000000002</v>
      </c>
      <c r="AB4325">
        <v>20</v>
      </c>
      <c r="AC4325">
        <v>-0.61650000000000205</v>
      </c>
      <c r="AD4325">
        <v>-0.141010199999999</v>
      </c>
      <c r="AE4325">
        <v>0.113300000000009</v>
      </c>
      <c r="AF4325">
        <v>5.4310497664302002E-2</v>
      </c>
      <c r="AG4325">
        <v>-0.141010199999999</v>
      </c>
      <c r="AH4325">
        <v>0.59415400992692102</v>
      </c>
      <c r="AI4325">
        <v>103.297507463987</v>
      </c>
      <c r="AJ4325">
        <v>84.777214795127193</v>
      </c>
      <c r="AK4325">
        <v>0.61306809913159199</v>
      </c>
      <c r="AL4325">
        <v>90.338855447280494</v>
      </c>
      <c r="AM4325">
        <v>86.568448407864906</v>
      </c>
      <c r="AN4325">
        <v>1.00000003942486</v>
      </c>
    </row>
    <row r="4326" spans="1:40" x14ac:dyDescent="0.25">
      <c r="A4326" t="str">
        <f>"20190312161357939"</f>
        <v>20190312161357939</v>
      </c>
      <c r="B4326" t="str">
        <f>"1552378437930332"</f>
        <v>1552378437930332</v>
      </c>
      <c r="C4326" t="s">
        <v>40</v>
      </c>
      <c r="D4326">
        <v>5.7798509999999998</v>
      </c>
      <c r="E4326">
        <v>0.44523249999999998</v>
      </c>
      <c r="F4326" t="s">
        <v>42</v>
      </c>
      <c r="G4326">
        <v>-247.75219999999999</v>
      </c>
      <c r="H4326" s="1">
        <v>-9.9857070000000008E-7</v>
      </c>
      <c r="I4326">
        <v>139.8116</v>
      </c>
      <c r="J4326">
        <v>-234.1738</v>
      </c>
      <c r="K4326">
        <v>1.109996</v>
      </c>
      <c r="L4326">
        <v>139.548</v>
      </c>
      <c r="M4326">
        <v>-0.99593830000000005</v>
      </c>
      <c r="N4326">
        <v>0</v>
      </c>
      <c r="O4326">
        <v>8.9638679999999998E-2</v>
      </c>
      <c r="P4326">
        <v>-0.98866810000000005</v>
      </c>
      <c r="Q4326">
        <v>-1.420595E-2</v>
      </c>
      <c r="R4326">
        <v>0.1494452</v>
      </c>
      <c r="S4326">
        <v>-3.0216669999999999</v>
      </c>
      <c r="T4326">
        <v>-0.24317800000000001</v>
      </c>
      <c r="U4326">
        <v>6.1798100000000002E-2</v>
      </c>
      <c r="V4326">
        <v>6.0223489999999998E-2</v>
      </c>
      <c r="W4326">
        <v>-5.6790039999999996E-3</v>
      </c>
      <c r="X4326">
        <v>0.99816879999999997</v>
      </c>
      <c r="Y4326">
        <v>-6.8747059999999999E-2</v>
      </c>
      <c r="Z4326">
        <v>-9.9544569999999999E-3</v>
      </c>
      <c r="AA4326">
        <v>0.99758449999999999</v>
      </c>
      <c r="AB4326">
        <v>21</v>
      </c>
      <c r="AC4326">
        <v>-13.578399999999901</v>
      </c>
      <c r="AD4326">
        <v>-1.1099969985707001</v>
      </c>
      <c r="AE4326">
        <v>0.263599999999996</v>
      </c>
      <c r="AF4326">
        <v>-0.94831992485400796</v>
      </c>
      <c r="AG4326">
        <v>-1.1099969985707001</v>
      </c>
      <c r="AH4326">
        <v>13.457466610587</v>
      </c>
      <c r="AI4326">
        <v>94.703578066974103</v>
      </c>
      <c r="AJ4326">
        <v>94.030852217839595</v>
      </c>
      <c r="AK4326">
        <v>13.5364253623981</v>
      </c>
      <c r="AL4326">
        <v>90.325384698158203</v>
      </c>
      <c r="AM4326">
        <v>86.547303382663102</v>
      </c>
      <c r="AN4326">
        <v>1.00000003656382</v>
      </c>
    </row>
    <row r="4327" spans="1:40" x14ac:dyDescent="0.25">
      <c r="A4327" t="str">
        <f>"20190312161357961"</f>
        <v>20190312161357961</v>
      </c>
      <c r="B4327" t="str">
        <f>"1552378437950828"</f>
        <v>1552378437950828</v>
      </c>
      <c r="C4327" t="s">
        <v>40</v>
      </c>
      <c r="D4327">
        <v>5.7788209999999998</v>
      </c>
      <c r="E4327">
        <v>0.44346859999999999</v>
      </c>
      <c r="F4327" t="s">
        <v>42</v>
      </c>
      <c r="G4327">
        <v>-252.2713</v>
      </c>
      <c r="H4327" s="1">
        <v>-3.301321E-6</v>
      </c>
      <c r="I4327">
        <v>139.62909999999999</v>
      </c>
      <c r="J4327">
        <v>-234.38140000000001</v>
      </c>
      <c r="K4327">
        <v>1.110004</v>
      </c>
      <c r="L4327">
        <v>139.5658</v>
      </c>
      <c r="M4327">
        <v>-0.99601450000000002</v>
      </c>
      <c r="N4327">
        <v>0</v>
      </c>
      <c r="O4327">
        <v>8.8794269999999995E-2</v>
      </c>
      <c r="P4327">
        <v>-0.98870769999999997</v>
      </c>
      <c r="Q4327">
        <v>-1.401114E-2</v>
      </c>
      <c r="R4327">
        <v>0.14920169999999999</v>
      </c>
      <c r="S4327">
        <v>-3.0296630000000002</v>
      </c>
      <c r="T4327">
        <v>-0.18582270000000001</v>
      </c>
      <c r="U4327">
        <v>1.358032E-2</v>
      </c>
      <c r="V4327">
        <v>6.0824019999999999E-2</v>
      </c>
      <c r="W4327">
        <v>-5.5442800000000004E-3</v>
      </c>
      <c r="X4327">
        <v>0.9981331</v>
      </c>
      <c r="Y4327">
        <v>-8.4007449999999997E-2</v>
      </c>
      <c r="Z4327">
        <v>-8.0093850000000008E-3</v>
      </c>
      <c r="AA4327">
        <v>0.99643300000000001</v>
      </c>
      <c r="AB4327">
        <v>21</v>
      </c>
      <c r="AC4327">
        <v>-17.889899999999901</v>
      </c>
      <c r="AD4327">
        <v>-1.1100073013209999</v>
      </c>
      <c r="AE4327">
        <v>6.3299999999998094E-2</v>
      </c>
      <c r="AF4327">
        <v>-1.5196764703830601</v>
      </c>
      <c r="AG4327">
        <v>-1.1100073013209999</v>
      </c>
      <c r="AH4327">
        <v>17.7564928171067</v>
      </c>
      <c r="AI4327">
        <v>93.564067169842104</v>
      </c>
      <c r="AJ4327">
        <v>94.891697334653898</v>
      </c>
      <c r="AK4327">
        <v>17.855939346547501</v>
      </c>
      <c r="AL4327">
        <v>90.317665474169203</v>
      </c>
      <c r="AM4327">
        <v>86.512834284448601</v>
      </c>
      <c r="AN4327">
        <v>0.99999999288264396</v>
      </c>
    </row>
    <row r="4328" spans="1:40" x14ac:dyDescent="0.25">
      <c r="A4328" t="str">
        <f>"20190312161357984"</f>
        <v>20190312161357984</v>
      </c>
      <c r="B4328" t="str">
        <f>"1552378437980109"</f>
        <v>1552378437980109</v>
      </c>
      <c r="C4328" t="s">
        <v>40</v>
      </c>
      <c r="D4328">
        <v>5.7581870000000004</v>
      </c>
      <c r="E4328">
        <v>0.44303140000000002</v>
      </c>
      <c r="F4328" t="s">
        <v>42</v>
      </c>
      <c r="G4328">
        <v>-255.22980000000001</v>
      </c>
      <c r="H4328" s="1">
        <v>-2.0387629999999999E-6</v>
      </c>
      <c r="I4328">
        <v>139.55950000000001</v>
      </c>
      <c r="J4328">
        <v>-234.5909</v>
      </c>
      <c r="K4328">
        <v>1.110023</v>
      </c>
      <c r="L4328">
        <v>139.58349999999999</v>
      </c>
      <c r="M4328">
        <v>-0.99609440000000005</v>
      </c>
      <c r="N4328">
        <v>0</v>
      </c>
      <c r="O4328">
        <v>8.7899599999999994E-2</v>
      </c>
      <c r="P4328">
        <v>-0.98869280000000004</v>
      </c>
      <c r="Q4328">
        <v>-1.3540679999999999E-2</v>
      </c>
      <c r="R4328">
        <v>0.14934439999999999</v>
      </c>
      <c r="S4328">
        <v>-3.032089</v>
      </c>
      <c r="T4328">
        <v>-0.1614341</v>
      </c>
      <c r="U4328">
        <v>-9.0026859999999995E-4</v>
      </c>
      <c r="V4328">
        <v>6.1863920000000003E-2</v>
      </c>
      <c r="W4328">
        <v>-5.1322859999999998E-3</v>
      </c>
      <c r="X4328">
        <v>0.99807140000000005</v>
      </c>
      <c r="Y4328">
        <v>-8.7949600000000003E-2</v>
      </c>
      <c r="Z4328">
        <v>-7.0119090000000002E-3</v>
      </c>
      <c r="AA4328">
        <v>0.99610019999999999</v>
      </c>
      <c r="AB4328">
        <v>21</v>
      </c>
      <c r="AC4328">
        <v>-20.6389</v>
      </c>
      <c r="AD4328">
        <v>-1.110025038763</v>
      </c>
      <c r="AE4328">
        <v>-2.3999999999972401E-2</v>
      </c>
      <c r="AF4328">
        <v>-1.8328196371884899</v>
      </c>
      <c r="AG4328">
        <v>-1.110025038763</v>
      </c>
      <c r="AH4328">
        <v>20.4976067288178</v>
      </c>
      <c r="AI4328">
        <v>93.087467238706495</v>
      </c>
      <c r="AJ4328">
        <v>95.109586573233003</v>
      </c>
      <c r="AK4328">
        <v>20.609300449516098</v>
      </c>
      <c r="AL4328">
        <v>90.294059617347898</v>
      </c>
      <c r="AM4328">
        <v>86.453146900189594</v>
      </c>
      <c r="AN4328">
        <v>1.0000000022276501</v>
      </c>
    </row>
    <row r="4329" spans="1:40" x14ac:dyDescent="0.25">
      <c r="A4329" t="str">
        <f>"20190312161358007"</f>
        <v>20190312161358007</v>
      </c>
      <c r="B4329" t="str">
        <f>"1552378438000604"</f>
        <v>1552378438000604</v>
      </c>
      <c r="C4329" t="s">
        <v>40</v>
      </c>
      <c r="D4329">
        <v>5.7445029999999999</v>
      </c>
      <c r="E4329">
        <v>0.44295709999999999</v>
      </c>
      <c r="F4329" t="s">
        <v>42</v>
      </c>
      <c r="G4329">
        <v>-258.74400000000003</v>
      </c>
      <c r="H4329" s="1">
        <v>-5.318661E-7</v>
      </c>
      <c r="I4329">
        <v>139.5558</v>
      </c>
      <c r="J4329">
        <v>-234.80109999999999</v>
      </c>
      <c r="K4329">
        <v>1.1100540000000001</v>
      </c>
      <c r="L4329">
        <v>139.601</v>
      </c>
      <c r="M4329">
        <v>-0.99617789999999995</v>
      </c>
      <c r="N4329">
        <v>0</v>
      </c>
      <c r="O4329">
        <v>8.6954999999999893E-2</v>
      </c>
      <c r="P4329">
        <v>-0.9887513</v>
      </c>
      <c r="Q4329">
        <v>-1.307327E-2</v>
      </c>
      <c r="R4329">
        <v>0.1489974</v>
      </c>
      <c r="S4329">
        <v>-3.0329440000000001</v>
      </c>
      <c r="T4329">
        <v>-0.1393876</v>
      </c>
      <c r="U4329">
        <v>-3.4637449999999998E-3</v>
      </c>
      <c r="V4329">
        <v>6.2459349999999997E-2</v>
      </c>
      <c r="W4329">
        <v>-4.7217220000000002E-3</v>
      </c>
      <c r="X4329">
        <v>0.99803629999999999</v>
      </c>
      <c r="Y4329">
        <v>-8.7911219999999998E-2</v>
      </c>
      <c r="Z4329">
        <v>-6.0095900000000004E-3</v>
      </c>
      <c r="AA4329">
        <v>0.99611019999999995</v>
      </c>
      <c r="AB4329">
        <v>21</v>
      </c>
      <c r="AC4329">
        <v>-23.942900000000002</v>
      </c>
      <c r="AD4329">
        <v>-1.1100545318660999</v>
      </c>
      <c r="AE4329">
        <v>-4.5199999999994099E-2</v>
      </c>
      <c r="AF4329">
        <v>-2.1224926206574399</v>
      </c>
      <c r="AG4329">
        <v>-1.1100545318660999</v>
      </c>
      <c r="AH4329">
        <v>23.7971218762431</v>
      </c>
      <c r="AI4329">
        <v>92.660171954372899</v>
      </c>
      <c r="AJ4329">
        <v>95.096789814014201</v>
      </c>
      <c r="AK4329">
        <v>23.9173620113346</v>
      </c>
      <c r="AL4329">
        <v>90.270535758552796</v>
      </c>
      <c r="AM4329">
        <v>86.418971821833097</v>
      </c>
      <c r="AN4329">
        <v>0.99999996058937801</v>
      </c>
    </row>
    <row r="4330" spans="1:40" x14ac:dyDescent="0.25">
      <c r="A4330" t="str">
        <f>"20190312161358028"</f>
        <v>20190312161358028</v>
      </c>
      <c r="B4330" t="str">
        <f>"1552378438020124"</f>
        <v>1552378438020124</v>
      </c>
      <c r="C4330" t="s">
        <v>40</v>
      </c>
      <c r="D4330">
        <v>5.7490709999999998</v>
      </c>
      <c r="E4330">
        <v>0.44320100000000001</v>
      </c>
      <c r="F4330" t="s">
        <v>42</v>
      </c>
      <c r="G4330">
        <v>-260.16419999999999</v>
      </c>
      <c r="H4330" s="1">
        <v>-4.2118820000000002E-6</v>
      </c>
      <c r="I4330">
        <v>139.55950000000001</v>
      </c>
      <c r="J4330">
        <v>-235.0034</v>
      </c>
      <c r="K4330">
        <v>1.11008</v>
      </c>
      <c r="L4330">
        <v>139.61760000000001</v>
      </c>
      <c r="M4330">
        <v>-0.99626139999999996</v>
      </c>
      <c r="N4330">
        <v>0</v>
      </c>
      <c r="O4330">
        <v>8.5999080000000006E-2</v>
      </c>
      <c r="P4330">
        <v>-0.98887349999999996</v>
      </c>
      <c r="Q4330">
        <v>-1.2303959999999999E-2</v>
      </c>
      <c r="R4330">
        <v>0.1482503</v>
      </c>
      <c r="S4330">
        <v>-3.0331419999999998</v>
      </c>
      <c r="T4330">
        <v>-0.13275049999999999</v>
      </c>
      <c r="U4330">
        <v>-4.9438479999999998E-3</v>
      </c>
      <c r="V4330">
        <v>6.2661510000000004E-2</v>
      </c>
      <c r="W4330">
        <v>-4.0026910000000001E-3</v>
      </c>
      <c r="X4330">
        <v>0.99802679999999999</v>
      </c>
      <c r="Y4330">
        <v>-8.7459869999999995E-2</v>
      </c>
      <c r="Z4330">
        <v>-5.6717859999999998E-3</v>
      </c>
      <c r="AA4330">
        <v>0.99615189999999998</v>
      </c>
      <c r="AB4330">
        <v>21</v>
      </c>
      <c r="AC4330">
        <v>-25.160799999999899</v>
      </c>
      <c r="AD4330">
        <v>-1.110084211882</v>
      </c>
      <c r="AE4330">
        <v>-5.8099999999996002E-2</v>
      </c>
      <c r="AF4330">
        <v>-2.21744697058744</v>
      </c>
      <c r="AG4330">
        <v>-1.110084211882</v>
      </c>
      <c r="AH4330">
        <v>25.013891434154299</v>
      </c>
      <c r="AI4330">
        <v>92.531132335083996</v>
      </c>
      <c r="AJ4330">
        <v>95.065949128465803</v>
      </c>
      <c r="AK4330">
        <v>25.136509755821201</v>
      </c>
      <c r="AL4330">
        <v>90.229337915694799</v>
      </c>
      <c r="AM4330">
        <v>86.407377432394497</v>
      </c>
      <c r="AN4330">
        <v>0.99999998994448003</v>
      </c>
    </row>
    <row r="4331" spans="1:40" x14ac:dyDescent="0.25">
      <c r="A4331" t="str">
        <f>"20190312161358051"</f>
        <v>20190312161358051</v>
      </c>
      <c r="B4331" t="str">
        <f>"1552378438040620"</f>
        <v>1552378438040620</v>
      </c>
      <c r="C4331" t="s">
        <v>40</v>
      </c>
      <c r="D4331">
        <v>5.73536</v>
      </c>
      <c r="E4331">
        <v>0.4431774</v>
      </c>
      <c r="F4331" t="s">
        <v>42</v>
      </c>
      <c r="G4331">
        <v>-261.28879999999998</v>
      </c>
      <c r="H4331" s="1">
        <v>-3.7270340000000002E-6</v>
      </c>
      <c r="I4331">
        <v>139.57320000000001</v>
      </c>
      <c r="J4331">
        <v>-235.21420000000001</v>
      </c>
      <c r="K4331">
        <v>1.110107</v>
      </c>
      <c r="L4331">
        <v>139.63460000000001</v>
      </c>
      <c r="M4331">
        <v>-0.99635110000000005</v>
      </c>
      <c r="N4331">
        <v>0</v>
      </c>
      <c r="O4331">
        <v>8.4955900000000001E-2</v>
      </c>
      <c r="P4331">
        <v>-0.98915750000000002</v>
      </c>
      <c r="Q4331">
        <v>-1.2487359999999999E-2</v>
      </c>
      <c r="R4331">
        <v>0.1463265</v>
      </c>
      <c r="S4331">
        <v>-3.0329130000000002</v>
      </c>
      <c r="T4331">
        <v>-0.12808610000000001</v>
      </c>
      <c r="U4331">
        <v>-5.111694E-3</v>
      </c>
      <c r="V4331">
        <v>6.1765979999999998E-2</v>
      </c>
      <c r="W4331">
        <v>-4.2329359999999996E-3</v>
      </c>
      <c r="X4331">
        <v>0.99808169999999996</v>
      </c>
      <c r="Y4331">
        <v>-8.6485259999999994E-2</v>
      </c>
      <c r="Z4331">
        <v>-5.4086050000000004E-3</v>
      </c>
      <c r="AA4331">
        <v>0.99623850000000003</v>
      </c>
      <c r="AB4331">
        <v>21</v>
      </c>
      <c r="AC4331">
        <v>-26.074599999999901</v>
      </c>
      <c r="AD4331">
        <v>-1.110110727034</v>
      </c>
      <c r="AE4331">
        <v>-6.1399999999991899E-2</v>
      </c>
      <c r="AF4331">
        <v>-2.2723245594980002</v>
      </c>
      <c r="AG4331">
        <v>-1.110110727034</v>
      </c>
      <c r="AH4331">
        <v>25.928113497629699</v>
      </c>
      <c r="AI4331">
        <v>92.442268502020795</v>
      </c>
      <c r="AJ4331">
        <v>95.008571394138698</v>
      </c>
      <c r="AK4331">
        <v>26.051158789503798</v>
      </c>
      <c r="AL4331">
        <v>90.242530087906303</v>
      </c>
      <c r="AM4331">
        <v>86.458784259830495</v>
      </c>
      <c r="AN4331">
        <v>1.00000001695371</v>
      </c>
    </row>
    <row r="4332" spans="1:40" x14ac:dyDescent="0.25">
      <c r="A4332" t="str">
        <f>"20190312161358073"</f>
        <v>20190312161358073</v>
      </c>
      <c r="B4332" t="str">
        <f>"1552378438060139"</f>
        <v>1552378438060139</v>
      </c>
      <c r="C4332" t="s">
        <v>40</v>
      </c>
      <c r="D4332">
        <v>5.7257499999999997</v>
      </c>
      <c r="E4332">
        <v>0.4430906</v>
      </c>
      <c r="F4332" t="s">
        <v>42</v>
      </c>
      <c r="G4332">
        <v>-261.85669999999999</v>
      </c>
      <c r="H4332" s="1">
        <v>-3.4896940000000001E-6</v>
      </c>
      <c r="I4332">
        <v>139.5377</v>
      </c>
      <c r="J4332">
        <v>-235.42769999999999</v>
      </c>
      <c r="K4332">
        <v>1.110123</v>
      </c>
      <c r="L4332">
        <v>139.6515</v>
      </c>
      <c r="M4332">
        <v>-0.996444</v>
      </c>
      <c r="N4332">
        <v>0</v>
      </c>
      <c r="O4332">
        <v>8.3864549999999996E-2</v>
      </c>
      <c r="P4332">
        <v>-0.98940280000000003</v>
      </c>
      <c r="Q4332">
        <v>-1.3203599999999999E-2</v>
      </c>
      <c r="R4332">
        <v>0.14459629999999901</v>
      </c>
      <c r="S4332">
        <v>-3.0328979999999999</v>
      </c>
      <c r="T4332">
        <v>-0.12637190000000001</v>
      </c>
      <c r="U4332">
        <v>-1.101685E-2</v>
      </c>
      <c r="V4332">
        <v>6.1116030000000002E-2</v>
      </c>
      <c r="W4332">
        <v>-4.9928949999999998E-3</v>
      </c>
      <c r="X4332">
        <v>0.99811819999999896</v>
      </c>
      <c r="Y4332">
        <v>-8.7337970000000001E-2</v>
      </c>
      <c r="Z4332">
        <v>-5.308788E-3</v>
      </c>
      <c r="AA4332">
        <v>0.99616459999999996</v>
      </c>
      <c r="AB4332">
        <v>21</v>
      </c>
      <c r="AC4332">
        <v>-26.428999999999998</v>
      </c>
      <c r="AD4332">
        <v>-1.110126489694</v>
      </c>
      <c r="AE4332">
        <v>-0.113799999999997</v>
      </c>
      <c r="AF4332">
        <v>-2.3258250340771598</v>
      </c>
      <c r="AG4332">
        <v>-1.110126489694</v>
      </c>
      <c r="AH4332">
        <v>26.279978601723599</v>
      </c>
      <c r="AI4332">
        <v>92.409460335007196</v>
      </c>
      <c r="AJ4332">
        <v>95.057601600818103</v>
      </c>
      <c r="AK4332">
        <v>26.4060432139939</v>
      </c>
      <c r="AL4332">
        <v>90.286072994025403</v>
      </c>
      <c r="AM4332">
        <v>86.496082186660203</v>
      </c>
      <c r="AN4332">
        <v>1.00000001964734</v>
      </c>
    </row>
    <row r="4333" spans="1:40" x14ac:dyDescent="0.25">
      <c r="A4333" t="str">
        <f>"20190312161358096"</f>
        <v>20190312161358096</v>
      </c>
      <c r="B4333" t="str">
        <f>"1552378438090397"</f>
        <v>1552378438090397</v>
      </c>
      <c r="C4333" t="s">
        <v>40</v>
      </c>
      <c r="D4333">
        <v>5.7052189999999996</v>
      </c>
      <c r="E4333">
        <v>0.44306420000000002</v>
      </c>
      <c r="F4333" t="s">
        <v>42</v>
      </c>
      <c r="G4333">
        <v>-262.51499999999999</v>
      </c>
      <c r="H4333" s="1">
        <v>-3.214281E-6</v>
      </c>
      <c r="I4333">
        <v>139.4983</v>
      </c>
      <c r="J4333">
        <v>-235.63409999999999</v>
      </c>
      <c r="K4333">
        <v>1.1101369999999999</v>
      </c>
      <c r="L4333">
        <v>139.6677</v>
      </c>
      <c r="M4333">
        <v>-0.99653480000000005</v>
      </c>
      <c r="N4333">
        <v>0</v>
      </c>
      <c r="O4333">
        <v>8.2783490000000001E-2</v>
      </c>
      <c r="P4333">
        <v>-0.98960000000000004</v>
      </c>
      <c r="Q4333">
        <v>-1.3102870000000001E-2</v>
      </c>
      <c r="R4333">
        <v>0.14324879999999901</v>
      </c>
      <c r="S4333">
        <v>-3.0329899999999999</v>
      </c>
      <c r="T4333">
        <v>-0.124302</v>
      </c>
      <c r="U4333">
        <v>-1.715088E-2</v>
      </c>
      <c r="V4333">
        <v>6.0839709999999998E-2</v>
      </c>
      <c r="W4333">
        <v>-4.9358170000000003E-3</v>
      </c>
      <c r="X4333">
        <v>0.99813529999999995</v>
      </c>
      <c r="Y4333">
        <v>-8.8276649999999998E-2</v>
      </c>
      <c r="Z4333">
        <v>-5.1968479999999996E-3</v>
      </c>
      <c r="AA4333">
        <v>0.99608240000000003</v>
      </c>
      <c r="AB4333">
        <v>21</v>
      </c>
      <c r="AC4333">
        <v>-26.8809</v>
      </c>
      <c r="AD4333">
        <v>-1.110140214281</v>
      </c>
      <c r="AE4333">
        <v>-0.169399999999996</v>
      </c>
      <c r="AF4333">
        <v>-2.3901095430791899</v>
      </c>
      <c r="AG4333">
        <v>-1.110140214281</v>
      </c>
      <c r="AH4333">
        <v>26.729016559949802</v>
      </c>
      <c r="AI4333">
        <v>92.368866248682906</v>
      </c>
      <c r="AJ4333">
        <v>95.109800191415204</v>
      </c>
      <c r="AK4333">
        <v>26.858618005872099</v>
      </c>
      <c r="AL4333">
        <v>90.282802643610793</v>
      </c>
      <c r="AM4333">
        <v>86.511944634310794</v>
      </c>
      <c r="AN4333">
        <v>0.999999954854214</v>
      </c>
    </row>
    <row r="4334" spans="1:40" x14ac:dyDescent="0.25">
      <c r="A4334" t="str">
        <f>"20190312161358117"</f>
        <v>20190312161358117</v>
      </c>
      <c r="B4334" t="str">
        <f>"1552378438110892"</f>
        <v>1552378438110892</v>
      </c>
      <c r="C4334" t="s">
        <v>40</v>
      </c>
      <c r="D4334">
        <v>5.6839500000000003</v>
      </c>
      <c r="E4334">
        <v>0.44256529999999999</v>
      </c>
      <c r="F4334" t="s">
        <v>42</v>
      </c>
      <c r="G4334">
        <v>-263.15800000000002</v>
      </c>
      <c r="H4334" s="1">
        <v>-2.9428820000000002E-6</v>
      </c>
      <c r="I4334">
        <v>139.47299999999899</v>
      </c>
      <c r="J4334">
        <v>-235.84020000000001</v>
      </c>
      <c r="K4334">
        <v>1.110142</v>
      </c>
      <c r="L4334">
        <v>139.68360000000001</v>
      </c>
      <c r="M4334">
        <v>-0.9966256</v>
      </c>
      <c r="N4334">
        <v>0</v>
      </c>
      <c r="O4334">
        <v>8.1686839999999997E-2</v>
      </c>
      <c r="P4334">
        <v>-0.98982519999999996</v>
      </c>
      <c r="Q4334">
        <v>-1.2782140000000001E-2</v>
      </c>
      <c r="R4334">
        <v>0.14171210000000001</v>
      </c>
      <c r="S4334">
        <v>-3.0330050000000002</v>
      </c>
      <c r="T4334">
        <v>-0.1223321</v>
      </c>
      <c r="U4334">
        <v>-2.1438599999999999E-2</v>
      </c>
      <c r="V4334">
        <v>6.0387440000000001E-2</v>
      </c>
      <c r="W4334">
        <v>-4.6591870000000004E-3</v>
      </c>
      <c r="X4334">
        <v>0.9981641</v>
      </c>
      <c r="Y4334">
        <v>-8.8593720000000001E-2</v>
      </c>
      <c r="Z4334">
        <v>-5.0768389999999997E-3</v>
      </c>
      <c r="AA4334">
        <v>0.99605489999999997</v>
      </c>
      <c r="AB4334">
        <v>21</v>
      </c>
      <c r="AC4334">
        <v>-27.317799999999998</v>
      </c>
      <c r="AD4334">
        <v>-1.1101449428820001</v>
      </c>
      <c r="AE4334">
        <v>-0.21060000000002699</v>
      </c>
      <c r="AF4334">
        <v>-2.43744795245594</v>
      </c>
      <c r="AG4334">
        <v>-1.1101449428820001</v>
      </c>
      <c r="AH4334">
        <v>27.164437141164701</v>
      </c>
      <c r="AI4334">
        <v>92.330883670409605</v>
      </c>
      <c r="AJ4334">
        <v>95.127383072845703</v>
      </c>
      <c r="AK4334">
        <v>27.296157596105498</v>
      </c>
      <c r="AL4334">
        <v>90.266952727387107</v>
      </c>
      <c r="AM4334">
        <v>86.537910470173401</v>
      </c>
      <c r="AN4334">
        <v>0.99999996073103103</v>
      </c>
    </row>
    <row r="4335" spans="1:40" x14ac:dyDescent="0.25">
      <c r="A4335" t="str">
        <f>"20190312161358141"</f>
        <v>20190312161358141</v>
      </c>
      <c r="B4335" t="str">
        <f>"1552378438130412"</f>
        <v>1552378438130412</v>
      </c>
      <c r="C4335" t="s">
        <v>40</v>
      </c>
      <c r="D4335">
        <v>5.6708220000000003</v>
      </c>
      <c r="E4335">
        <v>0.44227549999999999</v>
      </c>
      <c r="F4335" t="s">
        <v>42</v>
      </c>
      <c r="G4335">
        <v>-263.90300000000002</v>
      </c>
      <c r="H4335" s="1">
        <v>-2.6350449999999999E-6</v>
      </c>
      <c r="I4335">
        <v>139.4068</v>
      </c>
      <c r="J4335">
        <v>-236.0599</v>
      </c>
      <c r="K4335">
        <v>1.1101399999999999</v>
      </c>
      <c r="L4335">
        <v>139.7002</v>
      </c>
      <c r="M4335">
        <v>-0.99672190000000005</v>
      </c>
      <c r="N4335">
        <v>0</v>
      </c>
      <c r="O4335">
        <v>8.0509239999999996E-2</v>
      </c>
      <c r="P4335">
        <v>-0.98997849999999998</v>
      </c>
      <c r="Q4335">
        <v>-1.299316E-2</v>
      </c>
      <c r="R4335">
        <v>0.1406212</v>
      </c>
      <c r="S4335">
        <v>-3.033569</v>
      </c>
      <c r="T4335">
        <v>-0.12000619999999999</v>
      </c>
      <c r="U4335">
        <v>-2.990723E-2</v>
      </c>
      <c r="V4335">
        <v>6.0467659999999999E-2</v>
      </c>
      <c r="W4335">
        <v>-4.9126530000000003E-3</v>
      </c>
      <c r="X4335">
        <v>0.99815810000000005</v>
      </c>
      <c r="Y4335">
        <v>-9.0200719999999998E-2</v>
      </c>
      <c r="Z4335">
        <v>-4.9648060000000004E-3</v>
      </c>
      <c r="AA4335">
        <v>0.9959112</v>
      </c>
      <c r="AB4335">
        <v>21</v>
      </c>
      <c r="AC4335">
        <v>-27.8431</v>
      </c>
      <c r="AD4335">
        <v>-1.1101426350450001</v>
      </c>
      <c r="AE4335">
        <v>-0.293399999999991</v>
      </c>
      <c r="AF4335">
        <v>-2.5301240018605</v>
      </c>
      <c r="AG4335">
        <v>-1.1101426350450001</v>
      </c>
      <c r="AH4335">
        <v>27.6850827142956</v>
      </c>
      <c r="AI4335">
        <v>92.286750681926307</v>
      </c>
      <c r="AJ4335">
        <v>95.221723690963799</v>
      </c>
      <c r="AK4335">
        <v>27.8226121892307</v>
      </c>
      <c r="AL4335">
        <v>90.281475406215094</v>
      </c>
      <c r="AM4335">
        <v>86.533301775682304</v>
      </c>
      <c r="AN4335">
        <v>1.0000000323304901</v>
      </c>
    </row>
    <row r="4336" spans="1:40" x14ac:dyDescent="0.25">
      <c r="A4336" t="str">
        <f>"20190312161358163"</f>
        <v>20190312161358163</v>
      </c>
      <c r="B4336" t="str">
        <f>"1552378438160669"</f>
        <v>1552378438160669</v>
      </c>
      <c r="C4336" t="s">
        <v>40</v>
      </c>
      <c r="D4336">
        <v>5.6596250000000001</v>
      </c>
      <c r="E4336">
        <v>0.44190430000000003</v>
      </c>
      <c r="F4336" t="s">
        <v>42</v>
      </c>
      <c r="G4336">
        <v>-264.60079999999999</v>
      </c>
      <c r="H4336" s="1">
        <v>-2.3428260000000001E-6</v>
      </c>
      <c r="I4336">
        <v>139.3665</v>
      </c>
      <c r="J4336">
        <v>-236.27119999999999</v>
      </c>
      <c r="K4336">
        <v>1.1101350000000001</v>
      </c>
      <c r="L4336">
        <v>139.71600000000001</v>
      </c>
      <c r="M4336">
        <v>-0.9968129</v>
      </c>
      <c r="N4336">
        <v>0</v>
      </c>
      <c r="O4336">
        <v>7.9378019999999994E-2</v>
      </c>
      <c r="P4336">
        <v>-0.99006340000000004</v>
      </c>
      <c r="Q4336">
        <v>-1.2970239999999999E-2</v>
      </c>
      <c r="R4336">
        <v>0.1400237</v>
      </c>
      <c r="S4336">
        <v>-3.0338590000000001</v>
      </c>
      <c r="T4336">
        <v>-0.1180069</v>
      </c>
      <c r="U4336">
        <v>-3.5461430000000002E-2</v>
      </c>
      <c r="V4336">
        <v>6.0998160000000003E-2</v>
      </c>
      <c r="W4336">
        <v>-4.9247830000000003E-3</v>
      </c>
      <c r="X4336">
        <v>0.9981257</v>
      </c>
      <c r="Y4336">
        <v>-9.08973E-2</v>
      </c>
      <c r="Z4336">
        <v>-4.8513530000000001E-3</v>
      </c>
      <c r="AA4336">
        <v>0.99584850000000003</v>
      </c>
      <c r="AB4336">
        <v>21</v>
      </c>
      <c r="AC4336">
        <v>-28.329599999999999</v>
      </c>
      <c r="AD4336">
        <v>-1.110137342826</v>
      </c>
      <c r="AE4336">
        <v>-0.34950000000000597</v>
      </c>
      <c r="AF4336">
        <v>-2.5932341879206202</v>
      </c>
      <c r="AG4336">
        <v>-1.110137342826</v>
      </c>
      <c r="AH4336">
        <v>28.1692097497377</v>
      </c>
      <c r="AI4336">
        <v>92.247342873131004</v>
      </c>
      <c r="AJ4336">
        <v>95.259776900437004</v>
      </c>
      <c r="AK4336">
        <v>28.310097958114799</v>
      </c>
      <c r="AL4336">
        <v>90.282170429709794</v>
      </c>
      <c r="AM4336">
        <v>86.502849360714194</v>
      </c>
      <c r="AN4336">
        <v>0.99999997100573501</v>
      </c>
    </row>
    <row r="4337" spans="1:40" x14ac:dyDescent="0.25">
      <c r="A4337" t="str">
        <f>"20190312161358185"</f>
        <v>20190312161358185</v>
      </c>
      <c r="B4337" t="str">
        <f>"1552378438180189"</f>
        <v>1552378438180189</v>
      </c>
      <c r="C4337" t="s">
        <v>40</v>
      </c>
      <c r="D4337">
        <v>5.694947</v>
      </c>
      <c r="E4337">
        <v>0.4417295</v>
      </c>
      <c r="F4337" t="s">
        <v>42</v>
      </c>
      <c r="G4337">
        <v>-265.35129999999998</v>
      </c>
      <c r="H4337" s="1">
        <v>-2.0272019999999999E-6</v>
      </c>
      <c r="I4337">
        <v>139.33080000000001</v>
      </c>
      <c r="J4337">
        <v>-236.47970000000001</v>
      </c>
      <c r="K4337">
        <v>1.110131</v>
      </c>
      <c r="L4337">
        <v>139.73140000000001</v>
      </c>
      <c r="M4337">
        <v>-0.99690109999999998</v>
      </c>
      <c r="N4337">
        <v>0</v>
      </c>
      <c r="O4337">
        <v>7.8265940000000006E-2</v>
      </c>
      <c r="P4337">
        <v>-0.99017109999999997</v>
      </c>
      <c r="Q4337">
        <v>-1.316255E-2</v>
      </c>
      <c r="R4337">
        <v>0.1392418</v>
      </c>
      <c r="S4337">
        <v>-3.0342859999999998</v>
      </c>
      <c r="T4337">
        <v>-0.1158344</v>
      </c>
      <c r="U4337">
        <v>-4.0191650000000002E-2</v>
      </c>
      <c r="V4337">
        <v>6.1323830000000003E-2</v>
      </c>
      <c r="W4337">
        <v>-5.1514689999999997E-3</v>
      </c>
      <c r="X4337">
        <v>0.99810460000000001</v>
      </c>
      <c r="Y4337">
        <v>-9.1342110000000004E-2</v>
      </c>
      <c r="Z4337">
        <v>-4.7275700000000004E-3</v>
      </c>
      <c r="AA4337">
        <v>0.99580840000000004</v>
      </c>
      <c r="AB4337">
        <v>21</v>
      </c>
      <c r="AC4337">
        <v>-28.871599999999901</v>
      </c>
      <c r="AD4337">
        <v>-1.110133027202</v>
      </c>
      <c r="AE4337">
        <v>-0.40059999999999701</v>
      </c>
      <c r="AF4337">
        <v>-2.6551799671210401</v>
      </c>
      <c r="AG4337">
        <v>-1.110133027202</v>
      </c>
      <c r="AH4337">
        <v>28.709239800258199</v>
      </c>
      <c r="AI4337">
        <v>92.205017330119006</v>
      </c>
      <c r="AJ4337">
        <v>95.283980668612202</v>
      </c>
      <c r="AK4337">
        <v>28.853125063060599</v>
      </c>
      <c r="AL4337">
        <v>90.295158745986697</v>
      </c>
      <c r="AM4337">
        <v>86.484150598279498</v>
      </c>
      <c r="AN4337">
        <v>0.99999997114994299</v>
      </c>
    </row>
    <row r="4338" spans="1:40" x14ac:dyDescent="0.25">
      <c r="A4338" t="str">
        <f>"20190312161358206"</f>
        <v>20190312161358206</v>
      </c>
      <c r="B4338" t="str">
        <f>"1552378438200685"</f>
        <v>1552378438200685</v>
      </c>
      <c r="C4338" t="s">
        <v>40</v>
      </c>
      <c r="D4338">
        <v>5.6567150000000002</v>
      </c>
      <c r="E4338">
        <v>0.4415366</v>
      </c>
      <c r="F4338" t="s">
        <v>42</v>
      </c>
      <c r="G4338">
        <v>-265.69569999999999</v>
      </c>
      <c r="H4338" s="1">
        <v>-1.88346E-6</v>
      </c>
      <c r="I4338">
        <v>139.3082</v>
      </c>
      <c r="J4338">
        <v>-236.68360000000001</v>
      </c>
      <c r="K4338">
        <v>1.1101219999999901</v>
      </c>
      <c r="L4338">
        <v>139.74619999999999</v>
      </c>
      <c r="M4338">
        <v>-0.99698540000000002</v>
      </c>
      <c r="N4338">
        <v>0</v>
      </c>
      <c r="O4338">
        <v>7.7186580000000005E-2</v>
      </c>
      <c r="P4338">
        <v>-0.99027129999999997</v>
      </c>
      <c r="Q4338">
        <v>-1.3340619999999999E-2</v>
      </c>
      <c r="R4338">
        <v>0.1385112</v>
      </c>
      <c r="S4338">
        <v>-3.0344090000000001</v>
      </c>
      <c r="T4338">
        <v>-0.11529979999999999</v>
      </c>
      <c r="U4338">
        <v>-4.3945310000000001E-2</v>
      </c>
      <c r="V4338">
        <v>6.16687E-2</v>
      </c>
      <c r="W4338">
        <v>-5.3647269999999997E-3</v>
      </c>
      <c r="X4338">
        <v>0.99808229999999998</v>
      </c>
      <c r="Y4338">
        <v>-9.1496859999999999E-2</v>
      </c>
      <c r="Z4338">
        <v>-4.6675989999999997E-3</v>
      </c>
      <c r="AA4338">
        <v>0.99579439999999997</v>
      </c>
      <c r="AB4338">
        <v>21</v>
      </c>
      <c r="AC4338">
        <v>-29.012099999999901</v>
      </c>
      <c r="AD4338">
        <v>-1.11012388345999</v>
      </c>
      <c r="AE4338">
        <v>-0.43799999999998801</v>
      </c>
      <c r="AF4338">
        <v>-2.67219620839737</v>
      </c>
      <c r="AG4338">
        <v>-1.11012388345999</v>
      </c>
      <c r="AH4338">
        <v>28.849502753371901</v>
      </c>
      <c r="AI4338">
        <v>92.194261040453796</v>
      </c>
      <c r="AJ4338">
        <v>95.291943915413597</v>
      </c>
      <c r="AK4338">
        <v>28.9942548917818</v>
      </c>
      <c r="AL4338">
        <v>90.3073776764721</v>
      </c>
      <c r="AM4338">
        <v>86.464349554144803</v>
      </c>
      <c r="AN4338">
        <v>1.0000000432143801</v>
      </c>
    </row>
    <row r="4339" spans="1:40" x14ac:dyDescent="0.25">
      <c r="A4339" t="str">
        <f>"20190312161358228"</f>
        <v>20190312161358228</v>
      </c>
      <c r="B4339" t="str">
        <f>"1552378438220204"</f>
        <v>1552378438220204</v>
      </c>
      <c r="C4339" t="s">
        <v>40</v>
      </c>
      <c r="D4339">
        <v>5.6726519999999896</v>
      </c>
      <c r="E4339">
        <v>0.44134329999999999</v>
      </c>
      <c r="F4339" t="s">
        <v>42</v>
      </c>
      <c r="G4339">
        <v>-265.94659999999999</v>
      </c>
      <c r="H4339" s="1">
        <v>-1.7798140000000001E-6</v>
      </c>
      <c r="I4339">
        <v>139.28579999999999</v>
      </c>
      <c r="J4339">
        <v>-236.90270000000001</v>
      </c>
      <c r="K4339">
        <v>1.1101160000000001</v>
      </c>
      <c r="L4339">
        <v>139.76179999999999</v>
      </c>
      <c r="M4339">
        <v>-0.99707449999999997</v>
      </c>
      <c r="N4339">
        <v>0</v>
      </c>
      <c r="O4339">
        <v>7.6033879999999998E-2</v>
      </c>
      <c r="P4339">
        <v>-0.99043009999999998</v>
      </c>
      <c r="Q4339">
        <v>-1.2674599999999999E-2</v>
      </c>
      <c r="R4339">
        <v>0.13743279999999999</v>
      </c>
      <c r="S4339">
        <v>-3.0346069999999998</v>
      </c>
      <c r="T4339">
        <v>-0.11512120000000001</v>
      </c>
      <c r="U4339">
        <v>-4.7729489999999999E-2</v>
      </c>
      <c r="V4339">
        <v>6.1734020000000001E-2</v>
      </c>
      <c r="W4339">
        <v>-4.7397799999999999E-3</v>
      </c>
      <c r="X4339">
        <v>0.99808140000000001</v>
      </c>
      <c r="Y4339">
        <v>-9.1587219999999997E-2</v>
      </c>
      <c r="Z4339">
        <v>-4.6181449999999997E-3</v>
      </c>
      <c r="AA4339">
        <v>0.99578639999999996</v>
      </c>
      <c r="AB4339">
        <v>22</v>
      </c>
      <c r="AC4339">
        <v>-29.043899999999901</v>
      </c>
      <c r="AD4339">
        <v>-1.1101177798139901</v>
      </c>
      <c r="AE4339">
        <v>-0.47599999999999898</v>
      </c>
      <c r="AF4339">
        <v>-2.6790971801417198</v>
      </c>
      <c r="AG4339">
        <v>-1.1101177798139901</v>
      </c>
      <c r="AH4339">
        <v>28.881444004065401</v>
      </c>
      <c r="AI4339">
        <v>92.191797170349602</v>
      </c>
      <c r="AJ4339">
        <v>95.299698329362201</v>
      </c>
      <c r="AK4339">
        <v>29.0266727501735</v>
      </c>
      <c r="AL4339">
        <v>90.271570401798598</v>
      </c>
      <c r="AM4339">
        <v>86.4606108953448</v>
      </c>
      <c r="AN4339">
        <v>1.0000000178828801</v>
      </c>
    </row>
    <row r="4340" spans="1:40" x14ac:dyDescent="0.25">
      <c r="A4340" t="str">
        <f>"20190312161358253"</f>
        <v>20190312161358253</v>
      </c>
      <c r="B4340" t="str">
        <f>"1552378438240700"</f>
        <v>1552378438240700</v>
      </c>
      <c r="C4340" t="s">
        <v>40</v>
      </c>
      <c r="D4340">
        <v>5.6337960000000002</v>
      </c>
      <c r="E4340">
        <v>0.44124669999999999</v>
      </c>
      <c r="F4340" t="s">
        <v>42</v>
      </c>
      <c r="G4340">
        <v>-266.96710000000002</v>
      </c>
      <c r="H4340" s="1">
        <v>-1.3500589999999999E-6</v>
      </c>
      <c r="I4340">
        <v>139.2406</v>
      </c>
      <c r="J4340">
        <v>-237.1377</v>
      </c>
      <c r="K4340">
        <v>1.1101099999999999</v>
      </c>
      <c r="L4340">
        <v>139.7783</v>
      </c>
      <c r="M4340">
        <v>-0.99716760000000004</v>
      </c>
      <c r="N4340">
        <v>0</v>
      </c>
      <c r="O4340">
        <v>7.4805540000000004E-2</v>
      </c>
      <c r="P4340">
        <v>-0.99065689999999995</v>
      </c>
      <c r="Q4340">
        <v>-1.2003990000000001E-2</v>
      </c>
      <c r="R4340">
        <v>0.13584949999999901</v>
      </c>
      <c r="S4340">
        <v>-3.0348510000000002</v>
      </c>
      <c r="T4340">
        <v>-0.1120609</v>
      </c>
      <c r="U4340">
        <v>-5.2612300000000001E-2</v>
      </c>
      <c r="V4340">
        <v>6.1366660000000003E-2</v>
      </c>
      <c r="W4340">
        <v>-4.1133740000000004E-3</v>
      </c>
      <c r="X4340">
        <v>0.99810679999999996</v>
      </c>
      <c r="Y4340">
        <v>-9.1967859999999998E-2</v>
      </c>
      <c r="Z4340">
        <v>-4.4568530000000002E-3</v>
      </c>
      <c r="AA4340">
        <v>0.99575199999999997</v>
      </c>
      <c r="AB4340">
        <v>22</v>
      </c>
      <c r="AC4340">
        <v>-29.8294</v>
      </c>
      <c r="AD4340">
        <v>-1.1101113500590001</v>
      </c>
      <c r="AE4340">
        <v>-0.53770000000000095</v>
      </c>
      <c r="AF4340">
        <v>-2.7638390588684301</v>
      </c>
      <c r="AG4340">
        <v>-1.1101113500590001</v>
      </c>
      <c r="AH4340">
        <v>29.664521471391001</v>
      </c>
      <c r="AI4340">
        <v>92.133900296359798</v>
      </c>
      <c r="AJ4340">
        <v>95.322872810194497</v>
      </c>
      <c r="AK4340">
        <v>29.8136711540104</v>
      </c>
      <c r="AL4340">
        <v>90.235679637788493</v>
      </c>
      <c r="AM4340">
        <v>86.481708948065304</v>
      </c>
      <c r="AN4340">
        <v>0.99999998550572899</v>
      </c>
    </row>
    <row r="4341" spans="1:40" x14ac:dyDescent="0.25">
      <c r="A4341" t="str">
        <f>"20190312161358274"</f>
        <v>20190312161358274</v>
      </c>
      <c r="B4341" t="str">
        <f>"1552378438270958"</f>
        <v>1552378438270958</v>
      </c>
      <c r="C4341" t="s">
        <v>40</v>
      </c>
      <c r="D4341">
        <v>5.623767</v>
      </c>
      <c r="E4341">
        <v>0.44115490000000002</v>
      </c>
      <c r="F4341" t="s">
        <v>42</v>
      </c>
      <c r="G4341">
        <v>-267.85300000000001</v>
      </c>
      <c r="H4341" s="1">
        <v>-9.7890789999999992E-7</v>
      </c>
      <c r="I4341">
        <v>139.19030000000001</v>
      </c>
      <c r="J4341">
        <v>-237.3475</v>
      </c>
      <c r="K4341">
        <v>1.1101080000000001</v>
      </c>
      <c r="L4341">
        <v>139.7928</v>
      </c>
      <c r="M4341">
        <v>-0.99724919999999995</v>
      </c>
      <c r="N4341">
        <v>0</v>
      </c>
      <c r="O4341">
        <v>7.3713109999999998E-2</v>
      </c>
      <c r="P4341">
        <v>-0.99094490000000002</v>
      </c>
      <c r="Q4341">
        <v>-1.1097009999999999E-2</v>
      </c>
      <c r="R4341">
        <v>0.13381100000000001</v>
      </c>
      <c r="S4341">
        <v>-3.0349270000000002</v>
      </c>
      <c r="T4341">
        <v>-0.1096883</v>
      </c>
      <c r="U4341">
        <v>-5.8090210000000003E-2</v>
      </c>
      <c r="V4341">
        <v>6.0404449999999998E-2</v>
      </c>
      <c r="W4341">
        <v>-3.2442040000000001E-3</v>
      </c>
      <c r="X4341">
        <v>0.99816870000000002</v>
      </c>
      <c r="Y4341">
        <v>-9.267823E-2</v>
      </c>
      <c r="Z4341">
        <v>-4.3358479999999998E-3</v>
      </c>
      <c r="AA4341">
        <v>0.99568670000000004</v>
      </c>
      <c r="AB4341">
        <v>22</v>
      </c>
      <c r="AC4341">
        <v>-30.505500000000001</v>
      </c>
      <c r="AD4341">
        <v>-1.1101089789078999</v>
      </c>
      <c r="AE4341">
        <v>-0.60249999999999204</v>
      </c>
      <c r="AF4341">
        <v>-2.8458168473769501</v>
      </c>
      <c r="AG4341">
        <v>-1.1101089789078999</v>
      </c>
      <c r="AH4341">
        <v>30.337931115862698</v>
      </c>
      <c r="AI4341">
        <v>92.086449598460604</v>
      </c>
      <c r="AJ4341">
        <v>95.358887469760305</v>
      </c>
      <c r="AK4341">
        <v>30.4913279452485</v>
      </c>
      <c r="AL4341">
        <v>90.185879525361102</v>
      </c>
      <c r="AM4341">
        <v>86.536953558512195</v>
      </c>
      <c r="AN4341">
        <v>0.99999998804954204</v>
      </c>
    </row>
    <row r="4342" spans="1:40" x14ac:dyDescent="0.25">
      <c r="A4342" t="str">
        <f>"20190312161358295"</f>
        <v>20190312161358295</v>
      </c>
      <c r="B4342" t="str">
        <f>"1552378438290476"</f>
        <v>1552378438290476</v>
      </c>
      <c r="C4342" t="s">
        <v>40</v>
      </c>
      <c r="D4342">
        <v>5.6278839999999999</v>
      </c>
      <c r="E4342">
        <v>0.44114219999999998</v>
      </c>
      <c r="F4342" t="s">
        <v>42</v>
      </c>
      <c r="G4342">
        <v>-268.60840000000002</v>
      </c>
      <c r="H4342" s="1">
        <v>-6.6649469999999898E-7</v>
      </c>
      <c r="I4342">
        <v>139.12459999999999</v>
      </c>
      <c r="J4342">
        <v>-237.5521</v>
      </c>
      <c r="K4342">
        <v>1.110106</v>
      </c>
      <c r="L4342">
        <v>139.80670000000001</v>
      </c>
      <c r="M4342">
        <v>-0.99732770000000004</v>
      </c>
      <c r="N4342">
        <v>0</v>
      </c>
      <c r="O4342">
        <v>7.2649229999999995E-2</v>
      </c>
      <c r="P4342">
        <v>-0.99123729999999999</v>
      </c>
      <c r="Q4342">
        <v>-1.0858080000000001E-2</v>
      </c>
      <c r="R4342">
        <v>0.13164619999999999</v>
      </c>
      <c r="S4342">
        <v>-3.034958</v>
      </c>
      <c r="T4342">
        <v>-0.1077747</v>
      </c>
      <c r="U4342">
        <v>-6.4865110000000004E-2</v>
      </c>
      <c r="V4342">
        <v>5.9288390000000003E-2</v>
      </c>
      <c r="W4342">
        <v>-3.043132E-3</v>
      </c>
      <c r="X4342">
        <v>0.99823620000000002</v>
      </c>
      <c r="Y4342">
        <v>-9.3841240000000006E-2</v>
      </c>
      <c r="Z4342">
        <v>-4.2431079999999998E-3</v>
      </c>
      <c r="AA4342">
        <v>0.99557810000000002</v>
      </c>
      <c r="AB4342">
        <v>22</v>
      </c>
      <c r="AC4342">
        <v>-31.0563</v>
      </c>
      <c r="AD4342">
        <v>-1.1101066664946999</v>
      </c>
      <c r="AE4342">
        <v>-0.68210000000001902</v>
      </c>
      <c r="AF4342">
        <v>-2.93283545459161</v>
      </c>
      <c r="AG4342">
        <v>-1.1101066664946999</v>
      </c>
      <c r="AH4342">
        <v>30.8852318439125</v>
      </c>
      <c r="AI4342">
        <v>92.049282997550705</v>
      </c>
      <c r="AJ4342">
        <v>95.424493058999502</v>
      </c>
      <c r="AK4342">
        <v>31.044023686805399</v>
      </c>
      <c r="AL4342">
        <v>90.174358899255097</v>
      </c>
      <c r="AM4342">
        <v>86.601016246413096</v>
      </c>
      <c r="AN4342">
        <v>0.99999994241579904</v>
      </c>
    </row>
    <row r="4343" spans="1:40" x14ac:dyDescent="0.25">
      <c r="A4343" t="str">
        <f>"20190312161358318"</f>
        <v>20190312161358318</v>
      </c>
      <c r="B4343" t="str">
        <f>"1552378438310973"</f>
        <v>1552378438310973</v>
      </c>
      <c r="C4343" t="s">
        <v>40</v>
      </c>
      <c r="D4343">
        <v>5.0012939999999997</v>
      </c>
      <c r="E4343">
        <v>0.44121779999999999</v>
      </c>
      <c r="F4343" t="s">
        <v>42</v>
      </c>
      <c r="G4343">
        <v>-269.14800000000002</v>
      </c>
      <c r="H4343" s="1">
        <v>-4.4662989999999998E-7</v>
      </c>
      <c r="I4343">
        <v>139.0592</v>
      </c>
      <c r="J4343">
        <v>-237.77619999999999</v>
      </c>
      <c r="K4343">
        <v>1.1101049999999999</v>
      </c>
      <c r="L4343">
        <v>139.82169999999999</v>
      </c>
      <c r="M4343">
        <v>-0.99741199999999997</v>
      </c>
      <c r="N4343">
        <v>0</v>
      </c>
      <c r="O4343">
        <v>7.1485229999999997E-2</v>
      </c>
      <c r="P4343">
        <v>-0.99144299999999996</v>
      </c>
      <c r="Q4343">
        <v>-1.0807310000000001E-2</v>
      </c>
      <c r="R4343">
        <v>0.1300926</v>
      </c>
      <c r="S4343">
        <v>-3.0348820000000001</v>
      </c>
      <c r="T4343">
        <v>-0.1066295</v>
      </c>
      <c r="U4343">
        <v>-7.1792599999999998E-2</v>
      </c>
      <c r="V4343">
        <v>5.8889039999999997E-2</v>
      </c>
      <c r="W4343">
        <v>-3.0350799999999999E-3</v>
      </c>
      <c r="X4343">
        <v>0.99825989999999998</v>
      </c>
      <c r="Y4343">
        <v>-9.4953399999999993E-2</v>
      </c>
      <c r="Z4343">
        <v>-4.1768090000000001E-3</v>
      </c>
      <c r="AA4343">
        <v>0.99547300000000005</v>
      </c>
      <c r="AB4343">
        <v>22</v>
      </c>
      <c r="AC4343">
        <v>-31.371799999999901</v>
      </c>
      <c r="AD4343">
        <v>-1.1101054466299001</v>
      </c>
      <c r="AE4343">
        <v>-0.76249999999998797</v>
      </c>
      <c r="AF4343">
        <v>-2.9994823058975499</v>
      </c>
      <c r="AG4343">
        <v>-1.1101054466299001</v>
      </c>
      <c r="AH4343">
        <v>31.1979854777586</v>
      </c>
      <c r="AI4343">
        <v>92.028527068745106</v>
      </c>
      <c r="AJ4343">
        <v>95.491734992630697</v>
      </c>
      <c r="AK4343">
        <v>31.361497510107299</v>
      </c>
      <c r="AL4343">
        <v>90.173897545059305</v>
      </c>
      <c r="AM4343">
        <v>86.623937680738607</v>
      </c>
      <c r="AN4343">
        <v>0.999999979345368</v>
      </c>
    </row>
    <row r="4344" spans="1:40" x14ac:dyDescent="0.25">
      <c r="A4344" t="str">
        <f>"20190312161358341"</f>
        <v>20190312161358341</v>
      </c>
      <c r="B4344" t="str">
        <f>"1552378438330493"</f>
        <v>1552378438330493</v>
      </c>
      <c r="C4344" t="s">
        <v>40</v>
      </c>
      <c r="D4344">
        <v>5.6072329999999999</v>
      </c>
      <c r="E4344">
        <v>0.44147920000000002</v>
      </c>
      <c r="F4344" t="s">
        <v>42</v>
      </c>
      <c r="G4344">
        <v>-270.00450000000001</v>
      </c>
      <c r="H4344" s="1">
        <v>-4.3769469999999998E-6</v>
      </c>
      <c r="I4344">
        <v>139.0153</v>
      </c>
      <c r="J4344">
        <v>-237.99870000000001</v>
      </c>
      <c r="K4344">
        <v>1.1100989999999999</v>
      </c>
      <c r="L4344">
        <v>139.83629999999999</v>
      </c>
      <c r="M4344">
        <v>-0.99749460000000001</v>
      </c>
      <c r="N4344">
        <v>0</v>
      </c>
      <c r="O4344">
        <v>7.0328769999999999E-2</v>
      </c>
      <c r="P4344">
        <v>-0.99158690000000005</v>
      </c>
      <c r="Q4344">
        <v>-1.0467779999999999E-2</v>
      </c>
      <c r="R4344">
        <v>0.1290181</v>
      </c>
      <c r="S4344">
        <v>-3.0346980000000001</v>
      </c>
      <c r="T4344">
        <v>-0.10453079999999999</v>
      </c>
      <c r="U4344">
        <v>-7.5927729999999999E-2</v>
      </c>
      <c r="V4344">
        <v>5.8963939999999999E-2</v>
      </c>
      <c r="W4344">
        <v>-2.7448910000000002E-3</v>
      </c>
      <c r="X4344">
        <v>0.99825629999999999</v>
      </c>
      <c r="Y4344">
        <v>-9.516086E-2</v>
      </c>
      <c r="Z4344">
        <v>-4.0586700000000003E-3</v>
      </c>
      <c r="AA4344">
        <v>0.9954537</v>
      </c>
      <c r="AB4344">
        <v>22</v>
      </c>
      <c r="AC4344">
        <v>-32.005799999999901</v>
      </c>
      <c r="AD4344">
        <v>-1.1101033769469999</v>
      </c>
      <c r="AE4344">
        <v>-0.82099999999999795</v>
      </c>
      <c r="AF4344">
        <v>-3.0662749020634599</v>
      </c>
      <c r="AG4344">
        <v>-1.1101033769469999</v>
      </c>
      <c r="AH4344">
        <v>31.830535831621798</v>
      </c>
      <c r="AI4344">
        <v>91.988208696910206</v>
      </c>
      <c r="AJ4344">
        <v>95.502395044598501</v>
      </c>
      <c r="AK4344">
        <v>31.997146476064</v>
      </c>
      <c r="AL4344">
        <v>90.157270873216305</v>
      </c>
      <c r="AM4344">
        <v>86.619641511441301</v>
      </c>
      <c r="AN4344">
        <v>0.99999996056830598</v>
      </c>
    </row>
    <row r="4345" spans="1:40" x14ac:dyDescent="0.25">
      <c r="A4345" t="str">
        <f>"20190312161358362"</f>
        <v>20190312161358362</v>
      </c>
      <c r="B4345" t="str">
        <f>"1552378438350920"</f>
        <v>1552378438350920</v>
      </c>
      <c r="C4345" t="s">
        <v>40</v>
      </c>
      <c r="D4345">
        <v>5.6341519999999896</v>
      </c>
      <c r="E4345">
        <v>0.44141580000000002</v>
      </c>
      <c r="F4345" t="s">
        <v>42</v>
      </c>
      <c r="G4345">
        <v>-270.47719999999998</v>
      </c>
      <c r="H4345" s="1">
        <v>-4.175273E-6</v>
      </c>
      <c r="I4345">
        <v>139.00890000000001</v>
      </c>
      <c r="J4345">
        <v>-238.21039999999999</v>
      </c>
      <c r="K4345">
        <v>1.1100939999999999</v>
      </c>
      <c r="L4345">
        <v>139.85</v>
      </c>
      <c r="M4345">
        <v>-0.99757220000000002</v>
      </c>
      <c r="N4345">
        <v>0</v>
      </c>
      <c r="O4345">
        <v>6.9227120000000003E-2</v>
      </c>
      <c r="P4345">
        <v>-0.99171330000000002</v>
      </c>
      <c r="Q4345">
        <v>-1.0128959999999999E-2</v>
      </c>
      <c r="R4345">
        <v>0.12807189999999999</v>
      </c>
      <c r="S4345">
        <v>-3.034424</v>
      </c>
      <c r="T4345">
        <v>-0.1037154</v>
      </c>
      <c r="U4345">
        <v>-7.7301030000000007E-2</v>
      </c>
      <c r="V4345">
        <v>5.9113350000000002E-2</v>
      </c>
      <c r="W4345">
        <v>-2.4640920000000002E-3</v>
      </c>
      <c r="X4345">
        <v>0.99824820000000003</v>
      </c>
      <c r="Y4345">
        <v>-9.4516439999999993E-2</v>
      </c>
      <c r="Z4345">
        <v>-3.9787850000000003E-3</v>
      </c>
      <c r="AA4345">
        <v>0.99551529999999999</v>
      </c>
      <c r="AB4345">
        <v>22</v>
      </c>
      <c r="AC4345">
        <v>-32.266799999999897</v>
      </c>
      <c r="AD4345">
        <v>-1.1100981752729999</v>
      </c>
      <c r="AE4345">
        <v>-0.84109999999998297</v>
      </c>
      <c r="AF4345">
        <v>-3.0692533184548001</v>
      </c>
      <c r="AG4345">
        <v>-1.1100981752729999</v>
      </c>
      <c r="AH4345">
        <v>32.093196249635497</v>
      </c>
      <c r="AI4345">
        <v>91.972070620895906</v>
      </c>
      <c r="AJ4345">
        <v>95.4629039983609</v>
      </c>
      <c r="AK4345">
        <v>32.258733381972803</v>
      </c>
      <c r="AL4345">
        <v>90.141182219835798</v>
      </c>
      <c r="AM4345">
        <v>86.611068452160197</v>
      </c>
      <c r="AN4345">
        <v>0.99999996435042204</v>
      </c>
    </row>
    <row r="4346" spans="1:40" x14ac:dyDescent="0.25">
      <c r="A4346" t="str">
        <f>"20190312161358429"</f>
        <v>20190312161358429</v>
      </c>
      <c r="B4346" t="str">
        <f>"1552378438420214"</f>
        <v>1552378438420214</v>
      </c>
      <c r="C4346" t="s">
        <v>40</v>
      </c>
      <c r="D4346">
        <v>5.7159409999999999</v>
      </c>
      <c r="E4346">
        <v>0.43881170000000003</v>
      </c>
      <c r="F4346" t="s">
        <v>42</v>
      </c>
      <c r="G4346">
        <v>-270.2758</v>
      </c>
      <c r="H4346" s="1">
        <v>-4.2635169999999998E-6</v>
      </c>
      <c r="I4346">
        <v>138.9984</v>
      </c>
      <c r="J4346">
        <v>-238.8818</v>
      </c>
      <c r="K4346">
        <v>1.1100669999999999</v>
      </c>
      <c r="L4346">
        <v>139.89179999999999</v>
      </c>
      <c r="M4346">
        <v>-0.99781039999999999</v>
      </c>
      <c r="N4346">
        <v>0</v>
      </c>
      <c r="O4346">
        <v>6.5732429999999994E-2</v>
      </c>
      <c r="P4346">
        <v>-0.99225750000000001</v>
      </c>
      <c r="Q4346">
        <v>-7.6549280000000001E-3</v>
      </c>
      <c r="R4346">
        <v>0.123963</v>
      </c>
      <c r="S4346">
        <v>-3.0344090000000001</v>
      </c>
      <c r="T4346">
        <v>-0.1050508</v>
      </c>
      <c r="U4346">
        <v>-8.0581669999999994E-2</v>
      </c>
      <c r="V4346">
        <v>5.84702E-2</v>
      </c>
      <c r="W4346">
        <v>-2.312227E-4</v>
      </c>
      <c r="X4346">
        <v>0.99828910000000004</v>
      </c>
      <c r="Y4346">
        <v>-9.2105740000000005E-2</v>
      </c>
      <c r="Z4346">
        <v>-3.8674780000000001E-3</v>
      </c>
      <c r="AA4346">
        <v>0.99574169999999995</v>
      </c>
      <c r="AB4346">
        <v>22</v>
      </c>
      <c r="AC4346">
        <v>-31.393999999999998</v>
      </c>
      <c r="AD4346">
        <v>-1.11007126351699</v>
      </c>
      <c r="AE4346">
        <v>-0.89339999999998498</v>
      </c>
      <c r="AF4346">
        <v>-2.9514398461962701</v>
      </c>
      <c r="AG4346">
        <v>-1.11007126351699</v>
      </c>
      <c r="AH4346">
        <v>31.228360452780699</v>
      </c>
      <c r="AI4346">
        <v>92.026805454021599</v>
      </c>
      <c r="AJ4346">
        <v>95.399073773139094</v>
      </c>
      <c r="AK4346">
        <v>31.387159029523499</v>
      </c>
      <c r="AL4346">
        <v>90.013248085320399</v>
      </c>
      <c r="AM4346">
        <v>86.647992323350294</v>
      </c>
      <c r="AN4346">
        <v>0.99999997246539296</v>
      </c>
    </row>
    <row r="4347" spans="1:40" x14ac:dyDescent="0.25">
      <c r="A4347" t="str">
        <f>"20190312161358475"</f>
        <v>20190312161358475</v>
      </c>
      <c r="B4347" t="str">
        <f>"1552378438470967"</f>
        <v>1552378438470967</v>
      </c>
      <c r="C4347" t="s">
        <v>40</v>
      </c>
      <c r="D4347">
        <v>6.0322760000000004</v>
      </c>
      <c r="E4347">
        <v>0.42671130000000002</v>
      </c>
      <c r="F4347" t="s">
        <v>43</v>
      </c>
      <c r="G4347">
        <v>-239.7355</v>
      </c>
      <c r="H4347">
        <v>0.89447330000000003</v>
      </c>
      <c r="I4347">
        <v>139.85640000000001</v>
      </c>
      <c r="J4347">
        <v>-239.3407</v>
      </c>
      <c r="K4347">
        <v>1.110042</v>
      </c>
      <c r="L4347">
        <v>139.91909999999999</v>
      </c>
      <c r="M4347">
        <v>-0.99796609999999997</v>
      </c>
      <c r="N4347">
        <v>0</v>
      </c>
      <c r="O4347">
        <v>6.3344810000000001E-2</v>
      </c>
      <c r="P4347">
        <v>-0.99273</v>
      </c>
      <c r="Q4347">
        <v>-7.8216509999999902E-3</v>
      </c>
      <c r="R4347">
        <v>0.12010800000000001</v>
      </c>
      <c r="S4347">
        <v>-3.0332949999999999</v>
      </c>
      <c r="T4347">
        <v>-0.76612959999999997</v>
      </c>
      <c r="U4347">
        <v>-0.12648010000000001</v>
      </c>
      <c r="V4347">
        <v>5.6982049999999999E-2</v>
      </c>
      <c r="W4347">
        <v>-5.9041989999999999E-4</v>
      </c>
      <c r="X4347">
        <v>0.99837509999999996</v>
      </c>
      <c r="Y4347">
        <v>-9.9754250000000003E-2</v>
      </c>
      <c r="Z4347">
        <v>-2.814059E-2</v>
      </c>
      <c r="AA4347">
        <v>0.99461409999999995</v>
      </c>
      <c r="AB4347">
        <v>23</v>
      </c>
      <c r="AC4347">
        <v>-0.39480000000000298</v>
      </c>
      <c r="AD4347">
        <v>-0.215568699999999</v>
      </c>
      <c r="AE4347">
        <v>-6.2699999999978204E-2</v>
      </c>
      <c r="AF4347">
        <v>-6.7851740463144197E-2</v>
      </c>
      <c r="AG4347">
        <v>-0.215568699999999</v>
      </c>
      <c r="AH4347">
        <v>0.30216477953055698</v>
      </c>
      <c r="AI4347">
        <v>124.841032972078</v>
      </c>
      <c r="AJ4347">
        <v>102.655955790608</v>
      </c>
      <c r="AK4347">
        <v>0.37732913628862202</v>
      </c>
      <c r="AL4347">
        <v>90.033828567958594</v>
      </c>
      <c r="AM4347">
        <v>86.733399311508904</v>
      </c>
      <c r="AN4347">
        <v>1.0000000714589301</v>
      </c>
    </row>
    <row r="4348" spans="1:40" x14ac:dyDescent="0.25">
      <c r="A4348" t="str">
        <f>"20190312161358496"</f>
        <v>20190312161358496</v>
      </c>
      <c r="B4348" t="str">
        <f>"1552378438490487"</f>
        <v>1552378438490487</v>
      </c>
      <c r="C4348" t="s">
        <v>40</v>
      </c>
      <c r="D4348">
        <v>5.601362</v>
      </c>
      <c r="E4348">
        <v>0.4308707</v>
      </c>
      <c r="F4348" t="s">
        <v>44</v>
      </c>
      <c r="G4348">
        <v>0</v>
      </c>
      <c r="H4348">
        <v>0</v>
      </c>
      <c r="I4348">
        <v>0</v>
      </c>
      <c r="J4348">
        <v>-239.55019999999999</v>
      </c>
      <c r="K4348">
        <v>1.1100429999999999</v>
      </c>
      <c r="L4348">
        <v>139.93109999999999</v>
      </c>
      <c r="M4348">
        <v>-0.99803520000000001</v>
      </c>
      <c r="N4348">
        <v>0</v>
      </c>
      <c r="O4348">
        <v>6.2256230000000003E-2</v>
      </c>
      <c r="P4348">
        <v>-0.99296399999999996</v>
      </c>
      <c r="Q4348">
        <v>-7.5738009999999998E-3</v>
      </c>
      <c r="R4348">
        <v>0.1181744</v>
      </c>
      <c r="S4348">
        <v>-3.0486300000000002</v>
      </c>
      <c r="T4348">
        <v>1.7718790000000002E-2</v>
      </c>
      <c r="U4348">
        <v>-0.21920780000000001</v>
      </c>
      <c r="V4348">
        <v>5.6126259999999997E-2</v>
      </c>
      <c r="W4348">
        <v>-4.235997E-4</v>
      </c>
      <c r="X4348">
        <v>0.99842359999999997</v>
      </c>
      <c r="Y4348">
        <v>-0.1336736</v>
      </c>
      <c r="Z4348">
        <v>7.493574E-4</v>
      </c>
      <c r="AA4348">
        <v>0.99102509999999999</v>
      </c>
      <c r="AB4348">
        <v>23</v>
      </c>
      <c r="AC4348">
        <v>-3.0486300000000002</v>
      </c>
      <c r="AD4348">
        <v>1.7718790000000002E-2</v>
      </c>
      <c r="AE4348">
        <v>-0.21920780000000001</v>
      </c>
      <c r="AF4348">
        <v>-0.40856977508051801</v>
      </c>
      <c r="AG4348">
        <v>1.7718790000000002E-2</v>
      </c>
      <c r="AH4348">
        <v>3.02896678687378</v>
      </c>
      <c r="AI4348">
        <v>89.667844143810399</v>
      </c>
      <c r="AJ4348">
        <v>97.682117599185503</v>
      </c>
      <c r="AK4348">
        <v>3.05644941273578</v>
      </c>
      <c r="AL4348">
        <v>90.024270475477493</v>
      </c>
      <c r="AM4348">
        <v>86.782511151928801</v>
      </c>
      <c r="AN4348">
        <v>1.0000000107676199</v>
      </c>
    </row>
    <row r="4349" spans="1:40" x14ac:dyDescent="0.25">
      <c r="A4349" t="str">
        <f>"20190312161358519"</f>
        <v>20190312161358519</v>
      </c>
      <c r="B4349" t="str">
        <f>"1552378438510983"</f>
        <v>1552378438510983</v>
      </c>
      <c r="C4349" t="s">
        <v>40</v>
      </c>
      <c r="D4349">
        <v>5.6958349999999998</v>
      </c>
      <c r="E4349">
        <v>0.43621860000000001</v>
      </c>
      <c r="F4349" t="s">
        <v>54</v>
      </c>
      <c r="G4349">
        <v>-460.74090000000001</v>
      </c>
      <c r="H4349">
        <v>0.86810549999999997</v>
      </c>
      <c r="I4349">
        <v>125.9358</v>
      </c>
      <c r="J4349">
        <v>-239.78790000000001</v>
      </c>
      <c r="K4349">
        <v>1.110034</v>
      </c>
      <c r="L4349">
        <v>139.94460000000001</v>
      </c>
      <c r="M4349">
        <v>-0.998112</v>
      </c>
      <c r="N4349">
        <v>0</v>
      </c>
      <c r="O4349">
        <v>6.102378E-2</v>
      </c>
      <c r="P4349">
        <v>-0.99320770000000003</v>
      </c>
      <c r="Q4349">
        <v>-6.8073379999999996E-3</v>
      </c>
      <c r="R4349">
        <v>0.11615739999999899</v>
      </c>
      <c r="S4349">
        <v>-3.0441590000000001</v>
      </c>
      <c r="T4349">
        <v>-3.3292769999999998E-3</v>
      </c>
      <c r="U4349">
        <v>-0.1926117</v>
      </c>
      <c r="V4349">
        <v>5.5329940000000001E-2</v>
      </c>
      <c r="W4349">
        <v>2.5445619999999998E-4</v>
      </c>
      <c r="X4349">
        <v>0.99846809999999997</v>
      </c>
      <c r="Y4349">
        <v>-0.123932</v>
      </c>
      <c r="Z4349">
        <v>-1.3437740000000001E-4</v>
      </c>
      <c r="AA4349">
        <v>0.99229069999999997</v>
      </c>
      <c r="AB4349">
        <v>23</v>
      </c>
      <c r="AC4349">
        <v>-220.953</v>
      </c>
      <c r="AD4349">
        <v>-0.24192849999999999</v>
      </c>
      <c r="AE4349">
        <v>-14.008800000000001</v>
      </c>
      <c r="AF4349">
        <v>-27.466372382643101</v>
      </c>
      <c r="AG4349">
        <v>-0.24192849999999999</v>
      </c>
      <c r="AH4349">
        <v>219.68603964746899</v>
      </c>
      <c r="AI4349">
        <v>90.062609318177707</v>
      </c>
      <c r="AJ4349">
        <v>97.126458872206101</v>
      </c>
      <c r="AK4349">
        <v>221.39651342613899</v>
      </c>
      <c r="AL4349">
        <v>89.985420733611804</v>
      </c>
      <c r="AM4349">
        <v>86.828208115219894</v>
      </c>
      <c r="AN4349">
        <v>1.00000000686298</v>
      </c>
    </row>
    <row r="4350" spans="1:40" x14ac:dyDescent="0.25">
      <c r="A4350" t="str">
        <f>"20190312161358542"</f>
        <v>20190312161358542</v>
      </c>
      <c r="B4350" t="str">
        <f>"1552378438530504"</f>
        <v>1552378438530504</v>
      </c>
      <c r="C4350" t="s">
        <v>40</v>
      </c>
      <c r="D4350">
        <v>5.6521600000000003</v>
      </c>
      <c r="E4350">
        <v>0.43896829999999998</v>
      </c>
      <c r="F4350" t="s">
        <v>84</v>
      </c>
      <c r="G4350">
        <v>-306.24619999999999</v>
      </c>
      <c r="H4350" s="1">
        <v>-7.9577020000000005E-6</v>
      </c>
      <c r="I4350">
        <v>136.5035</v>
      </c>
      <c r="J4350">
        <v>-240.01820000000001</v>
      </c>
      <c r="K4350">
        <v>1.1100289999999999</v>
      </c>
      <c r="L4350">
        <v>139.9573</v>
      </c>
      <c r="M4350">
        <v>-0.99818459999999998</v>
      </c>
      <c r="N4350">
        <v>0</v>
      </c>
      <c r="O4350">
        <v>5.9833329999999997E-2</v>
      </c>
      <c r="P4350">
        <v>-0.99334719999999999</v>
      </c>
      <c r="Q4350">
        <v>-7.0293550000000002E-3</v>
      </c>
      <c r="R4350">
        <v>0.1149435</v>
      </c>
      <c r="S4350">
        <v>-3.0385740000000001</v>
      </c>
      <c r="T4350">
        <v>-5.0752760000000001E-2</v>
      </c>
      <c r="U4350">
        <v>-0.15733339999999901</v>
      </c>
      <c r="V4350">
        <v>5.5301059999999999E-2</v>
      </c>
      <c r="W4350" s="1">
        <v>-4.7109669999999999E-5</v>
      </c>
      <c r="X4350">
        <v>0.99846970000000002</v>
      </c>
      <c r="Y4350">
        <v>-0.11134769999999899</v>
      </c>
      <c r="Z4350">
        <v>-1.9278330000000001E-3</v>
      </c>
      <c r="AA4350">
        <v>0.99377969999999904</v>
      </c>
      <c r="AB4350">
        <v>23</v>
      </c>
      <c r="AC4350">
        <v>-66.227999999999895</v>
      </c>
      <c r="AD4350">
        <v>-1.1100369577019999</v>
      </c>
      <c r="AE4350">
        <v>-3.4538000000000002</v>
      </c>
      <c r="AF4350">
        <v>-7.40827213319427</v>
      </c>
      <c r="AG4350">
        <v>-1.1100369577019999</v>
      </c>
      <c r="AH4350">
        <v>65.884223404373699</v>
      </c>
      <c r="AI4350">
        <v>90.959201283911199</v>
      </c>
      <c r="AJ4350">
        <v>96.415606668486703</v>
      </c>
      <c r="AK4350">
        <v>66.308714145611006</v>
      </c>
      <c r="AL4350">
        <v>90.002699185332006</v>
      </c>
      <c r="AM4350">
        <v>86.829865354854107</v>
      </c>
      <c r="AN4350">
        <v>0.99999997563726695</v>
      </c>
    </row>
    <row r="4351" spans="1:40" x14ac:dyDescent="0.25">
      <c r="A4351" t="str">
        <f>"20190312161358586"</f>
        <v>20190312161358586</v>
      </c>
      <c r="B4351" t="str">
        <f>"1552378438580280"</f>
        <v>1552378438580280</v>
      </c>
      <c r="C4351" t="s">
        <v>40</v>
      </c>
      <c r="D4351">
        <v>5.7550129999999999</v>
      </c>
      <c r="E4351">
        <v>0.44252380000000002</v>
      </c>
      <c r="F4351" t="s">
        <v>84</v>
      </c>
      <c r="G4351">
        <v>-292.6902</v>
      </c>
      <c r="H4351" s="1">
        <v>-7.9614979999999994E-6</v>
      </c>
      <c r="I4351">
        <v>137.53649999999999</v>
      </c>
      <c r="J4351">
        <v>-240.47049999999999</v>
      </c>
      <c r="K4351">
        <v>1.110023</v>
      </c>
      <c r="L4351">
        <v>139.98159999999999</v>
      </c>
      <c r="M4351">
        <v>-0.99832200000000004</v>
      </c>
      <c r="N4351">
        <v>0</v>
      </c>
      <c r="O4351">
        <v>5.7513549999999997E-2</v>
      </c>
      <c r="P4351">
        <v>-0.99350910000000003</v>
      </c>
      <c r="Q4351">
        <v>-6.1114569999999998E-3</v>
      </c>
      <c r="R4351">
        <v>0.1135901</v>
      </c>
      <c r="S4351">
        <v>-3.0357820000000002</v>
      </c>
      <c r="T4351">
        <v>-6.3977599999999996E-2</v>
      </c>
      <c r="U4351">
        <v>-0.13952639999999999</v>
      </c>
      <c r="V4351">
        <v>5.6259459999999997E-2</v>
      </c>
      <c r="W4351">
        <v>7.3939969999999998E-4</v>
      </c>
      <c r="X4351">
        <v>0.99841590000000002</v>
      </c>
      <c r="Y4351">
        <v>-0.1032547</v>
      </c>
      <c r="Z4351">
        <v>-2.2985480000000001E-3</v>
      </c>
      <c r="AA4351">
        <v>0.99465230000000004</v>
      </c>
      <c r="AB4351">
        <v>23</v>
      </c>
      <c r="AC4351">
        <v>-52.219700000000003</v>
      </c>
      <c r="AD4351">
        <v>-1.110030961498</v>
      </c>
      <c r="AE4351">
        <v>-2.4450999999999898</v>
      </c>
      <c r="AF4351">
        <v>-5.4420073420278401</v>
      </c>
      <c r="AG4351">
        <v>-1.110030961498</v>
      </c>
      <c r="AH4351">
        <v>51.969197284130303</v>
      </c>
      <c r="AI4351">
        <v>91.216965438246305</v>
      </c>
      <c r="AJ4351">
        <v>95.977998874766399</v>
      </c>
      <c r="AK4351">
        <v>52.265142102581301</v>
      </c>
      <c r="AL4351">
        <v>89.957635513594795</v>
      </c>
      <c r="AM4351">
        <v>86.774866620439397</v>
      </c>
      <c r="AN4351">
        <v>0.99999999146210905</v>
      </c>
    </row>
    <row r="4352" spans="1:40" x14ac:dyDescent="0.25">
      <c r="A4352" t="str">
        <f>"20190312161358609"</f>
        <v>20190312161358609</v>
      </c>
      <c r="B4352" t="str">
        <f>"1552378438600774"</f>
        <v>1552378438600774</v>
      </c>
      <c r="C4352" t="s">
        <v>40</v>
      </c>
      <c r="D4352">
        <v>5.8092790000000001</v>
      </c>
      <c r="E4352">
        <v>0.44354270000000001</v>
      </c>
      <c r="F4352" t="s">
        <v>84</v>
      </c>
      <c r="G4352">
        <v>-282.05759999999998</v>
      </c>
      <c r="H4352" s="1">
        <v>-4.0657809999999998E-6</v>
      </c>
      <c r="I4352">
        <v>138.3931</v>
      </c>
      <c r="J4352">
        <v>-240.71</v>
      </c>
      <c r="K4352">
        <v>1.1100190000000001</v>
      </c>
      <c r="L4352">
        <v>139.9941</v>
      </c>
      <c r="M4352">
        <v>-0.99839149999999999</v>
      </c>
      <c r="N4352">
        <v>0</v>
      </c>
      <c r="O4352">
        <v>5.6299490000000001E-2</v>
      </c>
      <c r="P4352">
        <v>-0.99368570000000001</v>
      </c>
      <c r="Q4352">
        <v>-4.9812260000000001E-3</v>
      </c>
      <c r="R4352">
        <v>0.1120897</v>
      </c>
      <c r="S4352">
        <v>-3.032349</v>
      </c>
      <c r="T4352">
        <v>-8.0938460000000004E-2</v>
      </c>
      <c r="U4352">
        <v>-0.1158295</v>
      </c>
      <c r="V4352">
        <v>5.5963649999999997E-2</v>
      </c>
      <c r="W4352">
        <v>1.811329E-3</v>
      </c>
      <c r="X4352">
        <v>0.99843110000000002</v>
      </c>
      <c r="Y4352">
        <v>-9.4315709999999997E-2</v>
      </c>
      <c r="Z4352">
        <v>-2.759793E-3</v>
      </c>
      <c r="AA4352">
        <v>0.99553849999999999</v>
      </c>
      <c r="AB4352">
        <v>23</v>
      </c>
      <c r="AC4352">
        <v>-41.3475999999999</v>
      </c>
      <c r="AD4352">
        <v>-1.110023065781</v>
      </c>
      <c r="AE4352">
        <v>-1.60099999999999</v>
      </c>
      <c r="AF4352">
        <v>-3.92353797839302</v>
      </c>
      <c r="AG4352">
        <v>-1.110023065781</v>
      </c>
      <c r="AH4352">
        <v>41.162257367996403</v>
      </c>
      <c r="AI4352">
        <v>91.537754956089003</v>
      </c>
      <c r="AJ4352">
        <v>95.444915854408507</v>
      </c>
      <c r="AK4352">
        <v>41.363724845613604</v>
      </c>
      <c r="AL4352">
        <v>89.896218429623502</v>
      </c>
      <c r="AM4352">
        <v>86.791837466681997</v>
      </c>
      <c r="AN4352">
        <v>0.99999993624063699</v>
      </c>
    </row>
    <row r="4353" spans="1:40" x14ac:dyDescent="0.25">
      <c r="A4353" t="str">
        <f>"20190312161358631"</f>
        <v>20190312161358631</v>
      </c>
      <c r="B4353" t="str">
        <f>"1552378438620294"</f>
        <v>1552378438620294</v>
      </c>
      <c r="C4353" t="s">
        <v>40</v>
      </c>
      <c r="D4353">
        <v>5.7743779999999996</v>
      </c>
      <c r="E4353">
        <v>0.44403619999999999</v>
      </c>
      <c r="F4353" t="s">
        <v>84</v>
      </c>
      <c r="G4353">
        <v>-282.21170000000001</v>
      </c>
      <c r="H4353" s="1">
        <v>-4.1578920000000002E-6</v>
      </c>
      <c r="I4353">
        <v>138.45570000000001</v>
      </c>
      <c r="J4353">
        <v>-240.94300000000001</v>
      </c>
      <c r="K4353">
        <v>1.110012</v>
      </c>
      <c r="L4353">
        <v>140.0059</v>
      </c>
      <c r="M4353">
        <v>-0.99845700000000004</v>
      </c>
      <c r="N4353">
        <v>0</v>
      </c>
      <c r="O4353">
        <v>5.51327E-2</v>
      </c>
      <c r="P4353">
        <v>-0.99392630000000004</v>
      </c>
      <c r="Q4353">
        <v>-4.2465489999999996E-3</v>
      </c>
      <c r="R4353">
        <v>0.10996599999999999</v>
      </c>
      <c r="S4353">
        <v>-3.031342</v>
      </c>
      <c r="T4353">
        <v>-8.1077689999999994E-2</v>
      </c>
      <c r="U4353">
        <v>-0.1123657</v>
      </c>
      <c r="V4353">
        <v>5.4995500000000003E-2</v>
      </c>
      <c r="W4353">
        <v>2.4908199999999999E-3</v>
      </c>
      <c r="X4353">
        <v>0.99848349999999997</v>
      </c>
      <c r="Y4353">
        <v>-9.2029710000000001E-2</v>
      </c>
      <c r="Z4353">
        <v>-2.7037770000000001E-3</v>
      </c>
      <c r="AA4353">
        <v>0.99575259999999999</v>
      </c>
      <c r="AB4353">
        <v>23</v>
      </c>
      <c r="AC4353">
        <v>-41.268700000000003</v>
      </c>
      <c r="AD4353">
        <v>-1.110016157892</v>
      </c>
      <c r="AE4353">
        <v>-1.55019999999998</v>
      </c>
      <c r="AF4353">
        <v>-3.82038699808954</v>
      </c>
      <c r="AG4353">
        <v>-1.110016157892</v>
      </c>
      <c r="AH4353">
        <v>41.090774622214497</v>
      </c>
      <c r="AI4353">
        <v>91.540756109536105</v>
      </c>
      <c r="AJ4353">
        <v>95.311766130042898</v>
      </c>
      <c r="AK4353">
        <v>41.282917190280799</v>
      </c>
      <c r="AL4353">
        <v>89.857286379543197</v>
      </c>
      <c r="AM4353">
        <v>86.847389642365599</v>
      </c>
      <c r="AN4353">
        <v>1.0000000044883799</v>
      </c>
    </row>
    <row r="4354" spans="1:40" x14ac:dyDescent="0.25">
      <c r="A4354" t="str">
        <f>"20190312161358654"</f>
        <v>20190312161358654</v>
      </c>
      <c r="B4354" t="str">
        <f>"1552378438640791"</f>
        <v>1552378438640791</v>
      </c>
      <c r="C4354" t="s">
        <v>40</v>
      </c>
      <c r="D4354">
        <v>6.1569779999999996</v>
      </c>
      <c r="E4354">
        <v>0.44458629999999999</v>
      </c>
      <c r="F4354" t="s">
        <v>84</v>
      </c>
      <c r="G4354">
        <v>-285.08080000000001</v>
      </c>
      <c r="H4354" s="1">
        <v>-5.4136180000000002E-6</v>
      </c>
      <c r="I4354">
        <v>138.33449999999999</v>
      </c>
      <c r="J4354">
        <v>-241.18190000000001</v>
      </c>
      <c r="K4354">
        <v>1.1100030000000001</v>
      </c>
      <c r="L4354">
        <v>140.01769999999999</v>
      </c>
      <c r="M4354">
        <v>-0.99852180000000001</v>
      </c>
      <c r="N4354">
        <v>0</v>
      </c>
      <c r="O4354">
        <v>5.39503E-2</v>
      </c>
      <c r="P4354">
        <v>-0.99416309999999997</v>
      </c>
      <c r="Q4354">
        <v>-4.2910969999999998E-3</v>
      </c>
      <c r="R4354">
        <v>0.1078027</v>
      </c>
      <c r="S4354">
        <v>-3.0307010000000001</v>
      </c>
      <c r="T4354">
        <v>-7.6218839999999996E-2</v>
      </c>
      <c r="U4354">
        <v>-0.1147614</v>
      </c>
      <c r="V4354">
        <v>5.4005230000000001E-2</v>
      </c>
      <c r="W4354">
        <v>2.3921150000000002E-3</v>
      </c>
      <c r="X4354">
        <v>0.99853780000000003</v>
      </c>
      <c r="Y4354">
        <v>-9.1650899999999993E-2</v>
      </c>
      <c r="Z4354">
        <v>-2.507839E-3</v>
      </c>
      <c r="AA4354">
        <v>0.99578800000000001</v>
      </c>
      <c r="AB4354">
        <v>23</v>
      </c>
      <c r="AC4354">
        <v>-43.898899999999998</v>
      </c>
      <c r="AD4354">
        <v>-1.110008413618</v>
      </c>
      <c r="AE4354">
        <v>-1.68319999999999</v>
      </c>
      <c r="AF4354">
        <v>-4.0465755313528797</v>
      </c>
      <c r="AG4354">
        <v>-1.110008413618</v>
      </c>
      <c r="AH4354">
        <v>43.716243324273499</v>
      </c>
      <c r="AI4354">
        <v>91.448307966612006</v>
      </c>
      <c r="AJ4354">
        <v>95.288489618906496</v>
      </c>
      <c r="AK4354">
        <v>43.917158635279897</v>
      </c>
      <c r="AL4354">
        <v>89.862941777397893</v>
      </c>
      <c r="AM4354">
        <v>86.904213337367906</v>
      </c>
      <c r="AN4354">
        <v>1.00000001255518</v>
      </c>
    </row>
    <row r="4355" spans="1:40" x14ac:dyDescent="0.25">
      <c r="A4355" t="str">
        <f>"20190312161358676"</f>
        <v>20190312161358676</v>
      </c>
      <c r="B4355" t="str">
        <f>"1552378438670578"</f>
        <v>1552378438670578</v>
      </c>
      <c r="C4355" t="s">
        <v>40</v>
      </c>
      <c r="D4355">
        <v>5.8294499999999996</v>
      </c>
      <c r="E4355">
        <v>0.4452913</v>
      </c>
      <c r="F4355" t="s">
        <v>84</v>
      </c>
      <c r="G4355">
        <v>-285.92720000000003</v>
      </c>
      <c r="H4355" s="1">
        <v>-5.9558520000000004E-6</v>
      </c>
      <c r="I4355">
        <v>138.2901</v>
      </c>
      <c r="J4355">
        <v>-241.4161</v>
      </c>
      <c r="K4355">
        <v>1.1099920000000001</v>
      </c>
      <c r="L4355">
        <v>140.0291</v>
      </c>
      <c r="M4355">
        <v>-0.99858329999999995</v>
      </c>
      <c r="N4355">
        <v>0</v>
      </c>
      <c r="O4355">
        <v>5.280841E-2</v>
      </c>
      <c r="P4355">
        <v>-0.99435469999999904</v>
      </c>
      <c r="Q4355">
        <v>-3.6202890000000001E-3</v>
      </c>
      <c r="R4355">
        <v>0.10604719999999999</v>
      </c>
      <c r="S4355">
        <v>-3.0299839999999998</v>
      </c>
      <c r="T4355">
        <v>-7.5165750000000003E-2</v>
      </c>
      <c r="U4355">
        <v>-0.1169891</v>
      </c>
      <c r="V4355">
        <v>5.338271E-2</v>
      </c>
      <c r="W4355">
        <v>3.0153390000000001E-3</v>
      </c>
      <c r="X4355">
        <v>0.9985695</v>
      </c>
      <c r="Y4355">
        <v>-9.1253870000000001E-2</v>
      </c>
      <c r="Z4355">
        <v>-2.440537E-3</v>
      </c>
      <c r="AA4355">
        <v>0.99582470000000001</v>
      </c>
      <c r="AB4355">
        <v>23</v>
      </c>
      <c r="AC4355">
        <v>-44.511099999999999</v>
      </c>
      <c r="AD4355">
        <v>-1.1099979558519999</v>
      </c>
      <c r="AE4355">
        <v>-1.7390000000000001</v>
      </c>
      <c r="AF4355">
        <v>-4.0846476715535598</v>
      </c>
      <c r="AG4355">
        <v>-1.1099979558519999</v>
      </c>
      <c r="AH4355">
        <v>44.329627789276302</v>
      </c>
      <c r="AI4355">
        <v>91.428317954760004</v>
      </c>
      <c r="AJ4355">
        <v>95.264517294125696</v>
      </c>
      <c r="AK4355">
        <v>44.5312512961235</v>
      </c>
      <c r="AL4355">
        <v>89.827233526935004</v>
      </c>
      <c r="AM4355">
        <v>86.939927310076897</v>
      </c>
      <c r="AN4355">
        <v>0.99999992616323596</v>
      </c>
    </row>
    <row r="4356" spans="1:40" x14ac:dyDescent="0.25">
      <c r="A4356" t="str">
        <f>"20190312161358709"</f>
        <v>20190312161358709</v>
      </c>
      <c r="B4356" t="str">
        <f>"1552378438700833"</f>
        <v>1552378438700833</v>
      </c>
      <c r="C4356" t="s">
        <v>40</v>
      </c>
      <c r="D4356">
        <v>5.8769419999999997</v>
      </c>
      <c r="E4356">
        <v>0.44591609999999998</v>
      </c>
      <c r="F4356" t="s">
        <v>84</v>
      </c>
      <c r="G4356">
        <v>-284.32560000000001</v>
      </c>
      <c r="H4356" s="1">
        <v>-5.0638749999999999E-6</v>
      </c>
      <c r="I4356">
        <v>138.37280000000001</v>
      </c>
      <c r="J4356">
        <v>-241.7621</v>
      </c>
      <c r="K4356">
        <v>1.10997099999999</v>
      </c>
      <c r="L4356">
        <v>140.0455</v>
      </c>
      <c r="M4356">
        <v>-0.99866909999999998</v>
      </c>
      <c r="N4356">
        <v>0</v>
      </c>
      <c r="O4356">
        <v>5.1165919999999997E-2</v>
      </c>
      <c r="P4356">
        <v>-0.99454799999999999</v>
      </c>
      <c r="Q4356">
        <v>-2.8117939999999998E-3</v>
      </c>
      <c r="R4356">
        <v>0.10424360000000001</v>
      </c>
      <c r="S4356">
        <v>-3.0292210000000002</v>
      </c>
      <c r="T4356">
        <v>-7.8360920000000001E-2</v>
      </c>
      <c r="U4356">
        <v>-0.11692809999999999</v>
      </c>
      <c r="V4356">
        <v>5.3212969999999998E-2</v>
      </c>
      <c r="W4356">
        <v>3.7653999999999999E-3</v>
      </c>
      <c r="X4356">
        <v>0.99857609999999997</v>
      </c>
      <c r="Y4356">
        <v>-8.9602710000000002E-2</v>
      </c>
      <c r="Z4356">
        <v>-2.4810969999999998E-3</v>
      </c>
      <c r="AA4356">
        <v>0.99597449999999998</v>
      </c>
      <c r="AB4356">
        <v>24</v>
      </c>
      <c r="AC4356">
        <v>-42.563499999999998</v>
      </c>
      <c r="AD4356">
        <v>-1.10997606387499</v>
      </c>
      <c r="AE4356">
        <v>-1.6726999999999901</v>
      </c>
      <c r="AF4356">
        <v>-3.8457440687646001</v>
      </c>
      <c r="AG4356">
        <v>-1.10997606387499</v>
      </c>
      <c r="AH4356">
        <v>42.393373584260203</v>
      </c>
      <c r="AI4356">
        <v>91.493689059561007</v>
      </c>
      <c r="AJ4356">
        <v>95.183438398407802</v>
      </c>
      <c r="AK4356">
        <v>42.581920085400803</v>
      </c>
      <c r="AL4356">
        <v>89.784257964806798</v>
      </c>
      <c r="AM4356">
        <v>86.949659084184603</v>
      </c>
      <c r="AN4356">
        <v>1.0000000129522899</v>
      </c>
    </row>
    <row r="4357" spans="1:40" x14ac:dyDescent="0.25">
      <c r="A4357" t="str">
        <f>"20190312161358732"</f>
        <v>20190312161358732</v>
      </c>
      <c r="B4357" t="str">
        <f>"1552378438720352"</f>
        <v>1552378438720352</v>
      </c>
      <c r="C4357" t="s">
        <v>40</v>
      </c>
      <c r="D4357">
        <v>5.9245900000000002</v>
      </c>
      <c r="E4357">
        <v>0.44624809999999998</v>
      </c>
      <c r="F4357" t="s">
        <v>84</v>
      </c>
      <c r="G4357">
        <v>-285.00760000000002</v>
      </c>
      <c r="H4357" s="1">
        <v>-5.3766560000000002E-6</v>
      </c>
      <c r="I4357">
        <v>138.36859999999999</v>
      </c>
      <c r="J4357">
        <v>-242.00489999999999</v>
      </c>
      <c r="K4357">
        <v>1.10995</v>
      </c>
      <c r="L4357">
        <v>140.05670000000001</v>
      </c>
      <c r="M4357">
        <v>-0.99872539999999999</v>
      </c>
      <c r="N4357">
        <v>0</v>
      </c>
      <c r="O4357">
        <v>5.006004E-2</v>
      </c>
      <c r="P4357">
        <v>-0.99465289999999995</v>
      </c>
      <c r="Q4357">
        <v>-3.2118870000000001E-3</v>
      </c>
      <c r="R4357">
        <v>0.1032255</v>
      </c>
      <c r="S4357">
        <v>-3.0285190000000002</v>
      </c>
      <c r="T4357">
        <v>-7.773244E-2</v>
      </c>
      <c r="U4357">
        <v>-0.1174316</v>
      </c>
      <c r="V4357">
        <v>5.3297270000000001E-2</v>
      </c>
      <c r="W4357">
        <v>3.3300500000000002E-3</v>
      </c>
      <c r="X4357">
        <v>0.99857309999999999</v>
      </c>
      <c r="Y4357">
        <v>-8.867543E-2</v>
      </c>
      <c r="Z4357">
        <v>-2.4215170000000002E-3</v>
      </c>
      <c r="AA4357">
        <v>0.99605759999999999</v>
      </c>
      <c r="AB4357">
        <v>24</v>
      </c>
      <c r="AC4357">
        <v>-43.002699999999997</v>
      </c>
      <c r="AD4357">
        <v>-1.109955376656</v>
      </c>
      <c r="AE4357">
        <v>-1.6881000000000199</v>
      </c>
      <c r="AF4357">
        <v>-3.8361931871915398</v>
      </c>
      <c r="AG4357">
        <v>-1.109955376656</v>
      </c>
      <c r="AH4357">
        <v>42.835779031653601</v>
      </c>
      <c r="AI4357">
        <v>91.478394905686898</v>
      </c>
      <c r="AJ4357">
        <v>95.117518233174593</v>
      </c>
      <c r="AK4357">
        <v>43.021533496102599</v>
      </c>
      <c r="AL4357">
        <v>89.809201829572103</v>
      </c>
      <c r="AM4357">
        <v>86.944826719644595</v>
      </c>
      <c r="AN4357">
        <v>0.99999996213303199</v>
      </c>
    </row>
    <row r="4358" spans="1:40" x14ac:dyDescent="0.25">
      <c r="A4358" t="str">
        <f>"20190312161358754"</f>
        <v>20190312161358754</v>
      </c>
      <c r="B4358" t="str">
        <f>"1552378438750139"</f>
        <v>1552378438750139</v>
      </c>
      <c r="C4358" t="s">
        <v>40</v>
      </c>
      <c r="D4358">
        <v>5.9265119999999998</v>
      </c>
      <c r="E4358">
        <v>0.44668740000000001</v>
      </c>
      <c r="F4358" t="s">
        <v>84</v>
      </c>
      <c r="G4358">
        <v>-284.90620000000001</v>
      </c>
      <c r="H4358" s="1">
        <v>-5.3272630000000003E-6</v>
      </c>
      <c r="I4358">
        <v>138.38839999999999</v>
      </c>
      <c r="J4358">
        <v>-242.23500000000001</v>
      </c>
      <c r="K4358">
        <v>1.1099209999999999</v>
      </c>
      <c r="L4358">
        <v>140.06710000000001</v>
      </c>
      <c r="M4358">
        <v>-0.99877570000000004</v>
      </c>
      <c r="N4358">
        <v>0</v>
      </c>
      <c r="O4358">
        <v>4.9045449999999997E-2</v>
      </c>
      <c r="P4358">
        <v>-0.99471690000000001</v>
      </c>
      <c r="Q4358">
        <v>-4.0889209999999997E-3</v>
      </c>
      <c r="R4358">
        <v>0.1025734</v>
      </c>
      <c r="S4358">
        <v>-3.0281069999999999</v>
      </c>
      <c r="T4358">
        <v>-7.8344230000000001E-2</v>
      </c>
      <c r="U4358">
        <v>-0.1177521</v>
      </c>
      <c r="V4358">
        <v>5.3658789999999998E-2</v>
      </c>
      <c r="W4358">
        <v>2.4245400000000002E-3</v>
      </c>
      <c r="X4358">
        <v>0.99855640000000001</v>
      </c>
      <c r="Y4358">
        <v>-8.7773959999999998E-2</v>
      </c>
      <c r="Z4358">
        <v>-2.4030169999999999E-3</v>
      </c>
      <c r="AA4358">
        <v>0.99613750000000001</v>
      </c>
      <c r="AB4358">
        <v>24</v>
      </c>
      <c r="AC4358">
        <v>-42.671199999999999</v>
      </c>
      <c r="AD4358">
        <v>-1.109926327263</v>
      </c>
      <c r="AE4358">
        <v>-1.6787000000000201</v>
      </c>
      <c r="AF4358">
        <v>-3.7670067260789999</v>
      </c>
      <c r="AG4358">
        <v>-1.109926327263</v>
      </c>
      <c r="AH4358">
        <v>42.508794677671098</v>
      </c>
      <c r="AI4358">
        <v>91.489846422817806</v>
      </c>
      <c r="AJ4358">
        <v>95.064158035557099</v>
      </c>
      <c r="AK4358">
        <v>42.6898102721795</v>
      </c>
      <c r="AL4358">
        <v>89.861083956591699</v>
      </c>
      <c r="AM4358">
        <v>86.924091531834407</v>
      </c>
      <c r="AN4358">
        <v>1.0000000140597101</v>
      </c>
    </row>
    <row r="4359" spans="1:40" x14ac:dyDescent="0.25">
      <c r="A4359" t="str">
        <f>"20190312161358776"</f>
        <v>20190312161358776</v>
      </c>
      <c r="B4359" t="str">
        <f>"1552378438770636"</f>
        <v>1552378438770636</v>
      </c>
      <c r="C4359" t="s">
        <v>40</v>
      </c>
      <c r="D4359">
        <v>5.9316120000000003</v>
      </c>
      <c r="E4359">
        <v>0.4469147</v>
      </c>
      <c r="F4359" t="s">
        <v>84</v>
      </c>
      <c r="G4359">
        <v>-283.2808</v>
      </c>
      <c r="H4359" s="1">
        <v>-4.6458389999999997E-6</v>
      </c>
      <c r="I4359">
        <v>138.4922</v>
      </c>
      <c r="J4359">
        <v>-242.47720000000001</v>
      </c>
      <c r="K4359">
        <v>1.1098840000000001</v>
      </c>
      <c r="L4359">
        <v>140.0779</v>
      </c>
      <c r="M4359">
        <v>-0.99882570000000004</v>
      </c>
      <c r="N4359">
        <v>0</v>
      </c>
      <c r="O4359">
        <v>4.8022139999999998E-2</v>
      </c>
      <c r="P4359">
        <v>-0.99467410000000001</v>
      </c>
      <c r="Q4359">
        <v>-5.4197459999999996E-3</v>
      </c>
      <c r="R4359">
        <v>0.1029286</v>
      </c>
      <c r="S4359">
        <v>-3.0275729999999998</v>
      </c>
      <c r="T4359">
        <v>-8.1869129999999998E-2</v>
      </c>
      <c r="U4359">
        <v>-0.1161652</v>
      </c>
      <c r="V4359">
        <v>5.5040989999999998E-2</v>
      </c>
      <c r="W4359">
        <v>1.0684170000000001E-3</v>
      </c>
      <c r="X4359">
        <v>0.99848349999999997</v>
      </c>
      <c r="Y4359">
        <v>-8.6235430000000002E-2</v>
      </c>
      <c r="Z4359">
        <v>-2.4631240000000001E-3</v>
      </c>
      <c r="AA4359">
        <v>0.99627169999999998</v>
      </c>
      <c r="AB4359">
        <v>24</v>
      </c>
      <c r="AC4359">
        <v>-40.803599999999904</v>
      </c>
      <c r="AD4359">
        <v>-1.109888645839</v>
      </c>
      <c r="AE4359">
        <v>-1.5857000000000001</v>
      </c>
      <c r="AF4359">
        <v>-3.5407711141707998</v>
      </c>
      <c r="AG4359">
        <v>-1.109888645839</v>
      </c>
      <c r="AH4359">
        <v>40.650340456361597</v>
      </c>
      <c r="AI4359">
        <v>91.558079147837404</v>
      </c>
      <c r="AJ4359">
        <v>94.978076533174203</v>
      </c>
      <c r="AK4359">
        <v>40.819347031857497</v>
      </c>
      <c r="AL4359">
        <v>89.938784202020202</v>
      </c>
      <c r="AM4359">
        <v>86.844787200328199</v>
      </c>
      <c r="AN4359">
        <v>0.99999997593365697</v>
      </c>
    </row>
    <row r="4360" spans="1:40" x14ac:dyDescent="0.25">
      <c r="A4360" t="str">
        <f>"20190312161358798"</f>
        <v>20190312161358798</v>
      </c>
      <c r="B4360" t="str">
        <f>"1552378438790155"</f>
        <v>1552378438790155</v>
      </c>
      <c r="C4360" t="s">
        <v>40</v>
      </c>
      <c r="D4360">
        <v>5.9459339999999896</v>
      </c>
      <c r="E4360">
        <v>0.44716610000000001</v>
      </c>
      <c r="F4360" t="s">
        <v>84</v>
      </c>
      <c r="G4360">
        <v>-282.45429999999999</v>
      </c>
      <c r="H4360" s="1">
        <v>-4.3129980000000004E-6</v>
      </c>
      <c r="I4360">
        <v>138.58090000000001</v>
      </c>
      <c r="J4360">
        <v>-242.7217</v>
      </c>
      <c r="K4360">
        <v>1.1098440000000001</v>
      </c>
      <c r="L4360">
        <v>140.08850000000001</v>
      </c>
      <c r="M4360">
        <v>-0.99887239999999999</v>
      </c>
      <c r="N4360">
        <v>0</v>
      </c>
      <c r="O4360">
        <v>4.7045360000000001E-2</v>
      </c>
      <c r="P4360">
        <v>-0.99466489999999996</v>
      </c>
      <c r="Q4360">
        <v>-6.0693580000000004E-3</v>
      </c>
      <c r="R4360">
        <v>0.102982</v>
      </c>
      <c r="S4360">
        <v>-3.0273439999999998</v>
      </c>
      <c r="T4360">
        <v>-8.4048629999999999E-2</v>
      </c>
      <c r="U4360">
        <v>-0.1133575</v>
      </c>
      <c r="V4360">
        <v>5.6072219999999999E-2</v>
      </c>
      <c r="W4360">
        <v>3.9560000000000002E-4</v>
      </c>
      <c r="X4360">
        <v>0.99842660000000005</v>
      </c>
      <c r="Y4360">
        <v>-8.4339720000000007E-2</v>
      </c>
      <c r="Z4360">
        <v>-2.4755049999999998E-3</v>
      </c>
      <c r="AA4360">
        <v>0.99643400000000004</v>
      </c>
      <c r="AB4360">
        <v>24</v>
      </c>
      <c r="AC4360">
        <v>-39.732599999999898</v>
      </c>
      <c r="AD4360">
        <v>-1.1098483129979999</v>
      </c>
      <c r="AE4360">
        <v>-1.5075999999999901</v>
      </c>
      <c r="AF4360">
        <v>-3.37257545807973</v>
      </c>
      <c r="AG4360">
        <v>-1.1098483129979999</v>
      </c>
      <c r="AH4360">
        <v>39.586834236363501</v>
      </c>
      <c r="AI4360">
        <v>91.600118616643798</v>
      </c>
      <c r="AJ4360">
        <v>94.869519512629395</v>
      </c>
      <c r="AK4360">
        <v>39.745735285130003</v>
      </c>
      <c r="AL4360">
        <v>89.977333788194102</v>
      </c>
      <c r="AM4360">
        <v>86.785612182900493</v>
      </c>
      <c r="AN4360">
        <v>0.99999996297132299</v>
      </c>
    </row>
    <row r="4361" spans="1:40" x14ac:dyDescent="0.25">
      <c r="A4361" t="str">
        <f>"20190312161358820"</f>
        <v>20190312161358820</v>
      </c>
      <c r="B4361" t="str">
        <f>"1552378438810655"</f>
        <v>1552378438810655</v>
      </c>
      <c r="C4361" t="s">
        <v>40</v>
      </c>
      <c r="D4361">
        <v>4.6476169999999897</v>
      </c>
      <c r="E4361">
        <v>0.4472932</v>
      </c>
      <c r="F4361" t="s">
        <v>84</v>
      </c>
      <c r="G4361">
        <v>-281.23439999999999</v>
      </c>
      <c r="H4361" s="1">
        <v>-3.8059170000000001E-6</v>
      </c>
      <c r="I4361">
        <v>138.67019999999999</v>
      </c>
      <c r="J4361">
        <v>-242.95949999999999</v>
      </c>
      <c r="K4361">
        <v>1.109807</v>
      </c>
      <c r="L4361">
        <v>140.09870000000001</v>
      </c>
      <c r="M4361">
        <v>-0.99891399999999997</v>
      </c>
      <c r="N4361">
        <v>0</v>
      </c>
      <c r="O4361">
        <v>4.6153890000000003E-2</v>
      </c>
      <c r="P4361">
        <v>-0.99463239999999997</v>
      </c>
      <c r="Q4361">
        <v>-6.0525319999999898E-3</v>
      </c>
      <c r="R4361">
        <v>0.1032956</v>
      </c>
      <c r="S4361">
        <v>-3.0270839999999999</v>
      </c>
      <c r="T4361">
        <v>-8.7233660000000005E-2</v>
      </c>
      <c r="U4361">
        <v>-0.1114807</v>
      </c>
      <c r="V4361">
        <v>5.7277960000000003E-2</v>
      </c>
      <c r="W4361">
        <v>3.9035479999999998E-4</v>
      </c>
      <c r="X4361">
        <v>0.99835819999999997</v>
      </c>
      <c r="Y4361">
        <v>-8.2833660000000003E-2</v>
      </c>
      <c r="Z4361">
        <v>-2.5221649999999998E-3</v>
      </c>
      <c r="AA4361">
        <v>0.99656020000000001</v>
      </c>
      <c r="AB4361">
        <v>24</v>
      </c>
      <c r="AC4361">
        <v>-38.274900000000002</v>
      </c>
      <c r="AD4361">
        <v>-1.109810805917</v>
      </c>
      <c r="AE4361">
        <v>-1.4285000000000101</v>
      </c>
      <c r="AF4361">
        <v>-3.1908700552388698</v>
      </c>
      <c r="AG4361">
        <v>-1.109810805917</v>
      </c>
      <c r="AH4361">
        <v>38.136159603921897</v>
      </c>
      <c r="AI4361">
        <v>91.661108599247996</v>
      </c>
      <c r="AJ4361">
        <v>94.782823934147004</v>
      </c>
      <c r="AK4361">
        <v>38.285506410000004</v>
      </c>
      <c r="AL4361">
        <v>89.977634317020005</v>
      </c>
      <c r="AM4361">
        <v>86.716417287762695</v>
      </c>
      <c r="AN4361">
        <v>1.00000000629293</v>
      </c>
    </row>
    <row r="4362" spans="1:40" x14ac:dyDescent="0.25">
      <c r="A4362" t="str">
        <f>"20190312161358933"</f>
        <v>20190312161358933</v>
      </c>
      <c r="B4362" t="str">
        <f>"1552378438930700"</f>
        <v>1552378438930700</v>
      </c>
      <c r="C4362" t="s">
        <v>40</v>
      </c>
      <c r="D4362">
        <v>5.8646039999999999</v>
      </c>
      <c r="E4362">
        <v>0.44120979999999999</v>
      </c>
      <c r="F4362" t="s">
        <v>84</v>
      </c>
      <c r="G4362">
        <v>-280.28629999999998</v>
      </c>
      <c r="H4362" s="1">
        <v>-3.401615E-6</v>
      </c>
      <c r="I4362">
        <v>138.74789999999999</v>
      </c>
      <c r="J4362">
        <v>-244.1977</v>
      </c>
      <c r="K4362">
        <v>1.1095699999999999</v>
      </c>
      <c r="L4362">
        <v>140.1498</v>
      </c>
      <c r="M4362">
        <v>-0.99907579999999996</v>
      </c>
      <c r="N4362">
        <v>0</v>
      </c>
      <c r="O4362">
        <v>4.2523419999999999E-2</v>
      </c>
      <c r="P4362">
        <v>-0.99509879999999995</v>
      </c>
      <c r="Q4362">
        <v>-6.7345269999999997E-3</v>
      </c>
      <c r="R4362">
        <v>9.8656300000000002E-2</v>
      </c>
      <c r="S4362">
        <v>-3.0270229999999998</v>
      </c>
      <c r="T4362">
        <v>-9.0000150000000001E-2</v>
      </c>
      <c r="U4362">
        <v>-0.1095428</v>
      </c>
      <c r="V4362">
        <v>5.6251629999999997E-2</v>
      </c>
      <c r="W4362">
        <v>-4.3823990000000003E-4</v>
      </c>
      <c r="X4362">
        <v>0.99841650000000004</v>
      </c>
      <c r="Y4362">
        <v>-7.8574920000000006E-2</v>
      </c>
      <c r="Z4362">
        <v>-2.43107E-3</v>
      </c>
      <c r="AA4362">
        <v>0.99690529999999999</v>
      </c>
      <c r="AB4362">
        <v>25</v>
      </c>
      <c r="AC4362">
        <v>-36.0885999999999</v>
      </c>
      <c r="AD4362">
        <v>-1.1095734016150001</v>
      </c>
      <c r="AE4362">
        <v>-1.4019000000000099</v>
      </c>
      <c r="AF4362">
        <v>-2.9325048095459301</v>
      </c>
      <c r="AG4362">
        <v>-1.1095734016150001</v>
      </c>
      <c r="AH4362">
        <v>35.962396536492903</v>
      </c>
      <c r="AI4362">
        <v>91.761384172542705</v>
      </c>
      <c r="AJ4362">
        <v>94.661792170426196</v>
      </c>
      <c r="AK4362">
        <v>36.098818571243299</v>
      </c>
      <c r="AL4362">
        <v>90.025109298173405</v>
      </c>
      <c r="AM4362">
        <v>86.775316469964693</v>
      </c>
      <c r="AN4362">
        <v>0.99999997270205798</v>
      </c>
    </row>
    <row r="4363" spans="1:40" x14ac:dyDescent="0.25">
      <c r="A4363" t="str">
        <f>"20190312161358954"</f>
        <v>20190312161358954</v>
      </c>
      <c r="B4363" t="str">
        <f>"1552378438950220"</f>
        <v>1552378438950220</v>
      </c>
      <c r="C4363" t="s">
        <v>40</v>
      </c>
      <c r="D4363">
        <v>5.9628240000000003</v>
      </c>
      <c r="E4363">
        <v>0.4403608</v>
      </c>
      <c r="F4363" t="s">
        <v>42</v>
      </c>
      <c r="G4363">
        <v>-269.6438</v>
      </c>
      <c r="H4363" s="1">
        <v>-3.5036319999999998E-7</v>
      </c>
      <c r="I4363">
        <v>138.70249999999999</v>
      </c>
      <c r="J4363">
        <v>-244.4281</v>
      </c>
      <c r="K4363">
        <v>1.109526</v>
      </c>
      <c r="L4363">
        <v>140.15899999999999</v>
      </c>
      <c r="M4363">
        <v>-0.99909680000000001</v>
      </c>
      <c r="N4363">
        <v>0</v>
      </c>
      <c r="O4363">
        <v>4.202997E-2</v>
      </c>
      <c r="P4363">
        <v>-0.99517420000000001</v>
      </c>
      <c r="Q4363">
        <v>-7.1748169999999896E-3</v>
      </c>
      <c r="R4363">
        <v>9.7862089999999999E-2</v>
      </c>
      <c r="S4363">
        <v>-3.0309750000000002</v>
      </c>
      <c r="T4363">
        <v>-0.1321648</v>
      </c>
      <c r="U4363">
        <v>-0.17237849999999999</v>
      </c>
      <c r="V4363">
        <v>5.5948489999999997E-2</v>
      </c>
      <c r="W4363">
        <v>-9.0207869999999997E-4</v>
      </c>
      <c r="X4363">
        <v>0.99843320000000002</v>
      </c>
      <c r="Y4363">
        <v>-9.8560129999999996E-2</v>
      </c>
      <c r="Z4363">
        <v>-3.9766269999999999E-3</v>
      </c>
      <c r="AA4363">
        <v>0.99512310000000004</v>
      </c>
      <c r="AB4363">
        <v>25</v>
      </c>
      <c r="AC4363">
        <v>-25.215699999999998</v>
      </c>
      <c r="AD4363">
        <v>-1.1095263503632</v>
      </c>
      <c r="AE4363">
        <v>-1.4564999999999999</v>
      </c>
      <c r="AF4363">
        <v>-2.5102048237325798</v>
      </c>
      <c r="AG4363">
        <v>-1.1095263503632</v>
      </c>
      <c r="AH4363">
        <v>25.083795593141001</v>
      </c>
      <c r="AI4363">
        <v>92.520130256962503</v>
      </c>
      <c r="AJ4363">
        <v>95.714721051717802</v>
      </c>
      <c r="AK4363">
        <v>25.2334892224148</v>
      </c>
      <c r="AL4363">
        <v>90.051685311837304</v>
      </c>
      <c r="AM4363">
        <v>86.792711443444404</v>
      </c>
      <c r="AN4363">
        <v>0.99999995107074902</v>
      </c>
    </row>
    <row r="4364" spans="1:40" x14ac:dyDescent="0.25">
      <c r="A4364" t="str">
        <f>"20190312161358977"</f>
        <v>20190312161358977</v>
      </c>
      <c r="B4364" t="str">
        <f>"1552378438970716"</f>
        <v>1552378438970716</v>
      </c>
      <c r="C4364" t="s">
        <v>40</v>
      </c>
      <c r="D4364">
        <v>5.9547169999999996</v>
      </c>
      <c r="E4364">
        <v>0.44237090000000001</v>
      </c>
      <c r="F4364" t="s">
        <v>84</v>
      </c>
      <c r="G4364">
        <v>-294.76209999999998</v>
      </c>
      <c r="H4364" s="1">
        <v>-7.6486899999999994E-6</v>
      </c>
      <c r="I4364">
        <v>137.16239999999999</v>
      </c>
      <c r="J4364">
        <v>-244.6807</v>
      </c>
      <c r="K4364">
        <v>1.109475</v>
      </c>
      <c r="L4364">
        <v>140.16909999999999</v>
      </c>
      <c r="M4364">
        <v>-0.99911680000000003</v>
      </c>
      <c r="N4364">
        <v>0</v>
      </c>
      <c r="O4364">
        <v>4.1557070000000002E-2</v>
      </c>
      <c r="P4364">
        <v>-0.995147</v>
      </c>
      <c r="Q4364">
        <v>-8.1789900000000006E-3</v>
      </c>
      <c r="R4364">
        <v>9.8058800000000002E-2</v>
      </c>
      <c r="S4364">
        <v>-3.0318149999999999</v>
      </c>
      <c r="T4364">
        <v>-6.6831470000000004E-2</v>
      </c>
      <c r="U4364">
        <v>-0.1804962</v>
      </c>
      <c r="V4364">
        <v>5.661923E-2</v>
      </c>
      <c r="W4364">
        <v>-1.9341219999999999E-3</v>
      </c>
      <c r="X4364">
        <v>0.998394</v>
      </c>
      <c r="Y4364">
        <v>-0.100827399999999</v>
      </c>
      <c r="Z4364">
        <v>-2.0254119999999999E-3</v>
      </c>
      <c r="AA4364">
        <v>0.99490190000000001</v>
      </c>
      <c r="AB4364">
        <v>25</v>
      </c>
      <c r="AC4364">
        <v>-50.081399999999903</v>
      </c>
      <c r="AD4364">
        <v>-1.10948264869</v>
      </c>
      <c r="AE4364">
        <v>-3.0066999999999902</v>
      </c>
      <c r="AF4364">
        <v>-5.0828933223399</v>
      </c>
      <c r="AG4364">
        <v>-1.10948264869</v>
      </c>
      <c r="AH4364">
        <v>49.888785989710797</v>
      </c>
      <c r="AI4364">
        <v>91.267438506431802</v>
      </c>
      <c r="AJ4364">
        <v>95.817477129838196</v>
      </c>
      <c r="AK4364">
        <v>50.159323398558698</v>
      </c>
      <c r="AL4364">
        <v>90.110817093581502</v>
      </c>
      <c r="AM4364">
        <v>86.754215333964297</v>
      </c>
      <c r="AN4364">
        <v>1.00000002863485</v>
      </c>
    </row>
    <row r="4365" spans="1:40" x14ac:dyDescent="0.25">
      <c r="A4365" t="str">
        <f>"20190312161358999"</f>
        <v>20190312161358999</v>
      </c>
      <c r="B4365" t="str">
        <f>"1552378438991212"</f>
        <v>1552378438991212</v>
      </c>
      <c r="C4365" t="s">
        <v>40</v>
      </c>
      <c r="D4365">
        <v>5.9757759999999998</v>
      </c>
      <c r="E4365">
        <v>0.44383220000000001</v>
      </c>
      <c r="F4365" t="s">
        <v>84</v>
      </c>
      <c r="G4365">
        <v>-281.69630000000001</v>
      </c>
      <c r="H4365" s="1">
        <v>-3.8177769999999997E-6</v>
      </c>
      <c r="I4365">
        <v>138.1617</v>
      </c>
      <c r="J4365">
        <v>-244.94759999999999</v>
      </c>
      <c r="K4365">
        <v>1.1094170000000001</v>
      </c>
      <c r="L4365">
        <v>140.1797</v>
      </c>
      <c r="M4365">
        <v>-0.99913419999999997</v>
      </c>
      <c r="N4365">
        <v>0</v>
      </c>
      <c r="O4365">
        <v>4.114015E-2</v>
      </c>
      <c r="P4365">
        <v>-0.99506749999999999</v>
      </c>
      <c r="Q4365">
        <v>-9.2008130000000004E-3</v>
      </c>
      <c r="R4365">
        <v>9.8772680000000002E-2</v>
      </c>
      <c r="S4365">
        <v>-3.0300750000000001</v>
      </c>
      <c r="T4365">
        <v>-9.0821499999999999E-2</v>
      </c>
      <c r="U4365">
        <v>-0.16432189999999999</v>
      </c>
      <c r="V4365">
        <v>5.7752860000000003E-2</v>
      </c>
      <c r="W4365">
        <v>-2.9869160000000001E-3</v>
      </c>
      <c r="X4365">
        <v>0.99832639999999995</v>
      </c>
      <c r="Y4365">
        <v>-9.5124429999999996E-2</v>
      </c>
      <c r="Z4365">
        <v>-2.656266E-3</v>
      </c>
      <c r="AA4365">
        <v>0.99546179999999995</v>
      </c>
      <c r="AB4365">
        <v>25</v>
      </c>
      <c r="AC4365">
        <v>-36.748699999999999</v>
      </c>
      <c r="AD4365">
        <v>-1.109420817777</v>
      </c>
      <c r="AE4365">
        <v>-2.0179999999999998</v>
      </c>
      <c r="AF4365">
        <v>-3.5249644874370398</v>
      </c>
      <c r="AG4365">
        <v>-1.109420817777</v>
      </c>
      <c r="AH4365">
        <v>36.601306302685003</v>
      </c>
      <c r="AI4365">
        <v>91.728167604062506</v>
      </c>
      <c r="AJ4365">
        <v>95.501022960581807</v>
      </c>
      <c r="AK4365">
        <v>36.787386591759699</v>
      </c>
      <c r="AL4365">
        <v>90.171137942268899</v>
      </c>
      <c r="AM4365">
        <v>86.689147708556803</v>
      </c>
      <c r="AN4365">
        <v>0.99999995772116401</v>
      </c>
    </row>
    <row r="4366" spans="1:40" x14ac:dyDescent="0.25">
      <c r="A4366" t="str">
        <f>"20190312161359022"</f>
        <v>20190312161359022</v>
      </c>
      <c r="B4366" t="str">
        <f>"1552378439010736"</f>
        <v>1552378439010736</v>
      </c>
      <c r="C4366" t="s">
        <v>40</v>
      </c>
      <c r="D4366">
        <v>5.9582610000000003</v>
      </c>
      <c r="E4366">
        <v>0.44496249999999998</v>
      </c>
      <c r="F4366" t="s">
        <v>42</v>
      </c>
      <c r="G4366">
        <v>-279.15089999999998</v>
      </c>
      <c r="H4366" s="1">
        <v>-5.7736419999999896E-7</v>
      </c>
      <c r="I4366">
        <v>138.47980000000001</v>
      </c>
      <c r="J4366">
        <v>-245.19370000000001</v>
      </c>
      <c r="K4366">
        <v>1.1093569999999999</v>
      </c>
      <c r="L4366">
        <v>140.18950000000001</v>
      </c>
      <c r="M4366">
        <v>-0.99914689999999995</v>
      </c>
      <c r="N4366">
        <v>0</v>
      </c>
      <c r="O4366">
        <v>4.0833179999999997E-2</v>
      </c>
      <c r="P4366">
        <v>-0.99497230000000003</v>
      </c>
      <c r="Q4366">
        <v>-9.1072210000000004E-3</v>
      </c>
      <c r="R4366">
        <v>9.9736400000000003E-2</v>
      </c>
      <c r="S4366">
        <v>-3.0289000000000001</v>
      </c>
      <c r="T4366">
        <v>-9.8245499999999999E-2</v>
      </c>
      <c r="U4366">
        <v>-0.150528</v>
      </c>
      <c r="V4366">
        <v>5.9025910000000001E-2</v>
      </c>
      <c r="W4366">
        <v>-2.9204320000000001E-3</v>
      </c>
      <c r="X4366">
        <v>0.99825220000000003</v>
      </c>
      <c r="Y4366">
        <v>-9.0309390000000003E-2</v>
      </c>
      <c r="Z4366">
        <v>-2.7867389999999999E-3</v>
      </c>
      <c r="AA4366">
        <v>0.99590990000000001</v>
      </c>
      <c r="AB4366">
        <v>25</v>
      </c>
      <c r="AC4366">
        <v>-33.957199999999901</v>
      </c>
      <c r="AD4366">
        <v>-1.1093575773641999</v>
      </c>
      <c r="AE4366">
        <v>-1.70969999999999</v>
      </c>
      <c r="AF4366">
        <v>-3.0915896533936</v>
      </c>
      <c r="AG4366">
        <v>-1.1093575773641999</v>
      </c>
      <c r="AH4366">
        <v>33.823056570507397</v>
      </c>
      <c r="AI4366">
        <v>91.870769454956204</v>
      </c>
      <c r="AJ4366">
        <v>95.222596767736107</v>
      </c>
      <c r="AK4366">
        <v>33.982168214979602</v>
      </c>
      <c r="AL4366">
        <v>90.167328662315597</v>
      </c>
      <c r="AM4366">
        <v>86.616083203174497</v>
      </c>
      <c r="AN4366">
        <v>1.00000002088961</v>
      </c>
    </row>
    <row r="4367" spans="1:40" x14ac:dyDescent="0.25">
      <c r="A4367" t="str">
        <f>"20190312161359043"</f>
        <v>20190312161359043</v>
      </c>
      <c r="B4367" t="str">
        <f>"1552378439040989"</f>
        <v>1552378439040989</v>
      </c>
      <c r="C4367" t="s">
        <v>40</v>
      </c>
      <c r="D4367">
        <v>5.9580109999999999</v>
      </c>
      <c r="E4367">
        <v>0.44546740000000001</v>
      </c>
      <c r="F4367" t="s">
        <v>42</v>
      </c>
      <c r="G4367">
        <v>-276.81560000000002</v>
      </c>
      <c r="H4367" s="1">
        <v>-1.5039089999999999E-6</v>
      </c>
      <c r="I4367">
        <v>138.73939999999999</v>
      </c>
      <c r="J4367">
        <v>-245.43709999999999</v>
      </c>
      <c r="K4367">
        <v>1.1093010000000001</v>
      </c>
      <c r="L4367">
        <v>140.19909999999999</v>
      </c>
      <c r="M4367">
        <v>-0.9991563</v>
      </c>
      <c r="N4367">
        <v>0</v>
      </c>
      <c r="O4367">
        <v>4.0604660000000001E-2</v>
      </c>
      <c r="P4367">
        <v>-0.99485730000000006</v>
      </c>
      <c r="Q4367">
        <v>-9.0980160000000004E-3</v>
      </c>
      <c r="R4367">
        <v>0.10087930000000001</v>
      </c>
      <c r="S4367">
        <v>-3.0281220000000002</v>
      </c>
      <c r="T4367">
        <v>-0.1062324</v>
      </c>
      <c r="U4367">
        <v>-0.13885500000000001</v>
      </c>
      <c r="V4367">
        <v>6.0400780000000001E-2</v>
      </c>
      <c r="W4367">
        <v>-2.9358499999999998E-3</v>
      </c>
      <c r="X4367">
        <v>0.99816990000000005</v>
      </c>
      <c r="Y4367">
        <v>-8.6254129999999998E-2</v>
      </c>
      <c r="Z4367">
        <v>-2.9350930000000002E-3</v>
      </c>
      <c r="AA4367">
        <v>0.99626890000000001</v>
      </c>
      <c r="AB4367">
        <v>25</v>
      </c>
      <c r="AC4367">
        <v>-31.378499999999999</v>
      </c>
      <c r="AD4367">
        <v>-1.1093025039090001</v>
      </c>
      <c r="AE4367">
        <v>-1.45969999999999</v>
      </c>
      <c r="AF4367">
        <v>-2.7292300389787698</v>
      </c>
      <c r="AG4367">
        <v>-1.1093025039090001</v>
      </c>
      <c r="AH4367">
        <v>31.254372203226598</v>
      </c>
      <c r="AI4367">
        <v>92.025029808542001</v>
      </c>
      <c r="AJ4367">
        <v>94.9905883228341</v>
      </c>
      <c r="AK4367">
        <v>31.392913698296098</v>
      </c>
      <c r="AL4367">
        <v>90.168212054017005</v>
      </c>
      <c r="AM4367">
        <v>86.537167604098499</v>
      </c>
      <c r="AN4367">
        <v>1.0000000113529199</v>
      </c>
    </row>
    <row r="4368" spans="1:40" x14ac:dyDescent="0.25">
      <c r="A4368" t="str">
        <f>"20190312161359067"</f>
        <v>20190312161359067</v>
      </c>
      <c r="B4368" t="str">
        <f>"1552378439060508"</f>
        <v>1552378439060508</v>
      </c>
      <c r="C4368" t="s">
        <v>40</v>
      </c>
      <c r="D4368">
        <v>6.0219589999999998</v>
      </c>
      <c r="E4368">
        <v>0.4458336</v>
      </c>
      <c r="F4368" t="s">
        <v>42</v>
      </c>
      <c r="G4368">
        <v>-277.01510000000002</v>
      </c>
      <c r="H4368" s="1">
        <v>-1.4027079999999999E-6</v>
      </c>
      <c r="I4368">
        <v>138.82759999999999</v>
      </c>
      <c r="J4368">
        <v>-245.70269999999999</v>
      </c>
      <c r="K4368">
        <v>1.1092310000000001</v>
      </c>
      <c r="L4368">
        <v>140.2097</v>
      </c>
      <c r="M4368">
        <v>-0.99916329999999998</v>
      </c>
      <c r="N4368">
        <v>0</v>
      </c>
      <c r="O4368">
        <v>4.0436069999999998E-2</v>
      </c>
      <c r="P4368">
        <v>-0.99478809999999995</v>
      </c>
      <c r="Q4368">
        <v>-8.4884219999999903E-3</v>
      </c>
      <c r="R4368">
        <v>0.1016107</v>
      </c>
      <c r="S4368">
        <v>-3.027847</v>
      </c>
      <c r="T4368">
        <v>-0.1063656</v>
      </c>
      <c r="U4368">
        <v>-0.13150020000000001</v>
      </c>
      <c r="V4368">
        <v>6.1301979999999999E-2</v>
      </c>
      <c r="W4368">
        <v>-2.3505900000000001E-3</v>
      </c>
      <c r="X4368">
        <v>0.99811649999999996</v>
      </c>
      <c r="Y4368">
        <v>-8.3676189999999998E-2</v>
      </c>
      <c r="Z4368">
        <v>-2.8880149999999999E-3</v>
      </c>
      <c r="AA4368">
        <v>0.99648879999999995</v>
      </c>
      <c r="AB4368">
        <v>25</v>
      </c>
      <c r="AC4368">
        <v>-31.3124</v>
      </c>
      <c r="AD4368">
        <v>-1.1092324027079901</v>
      </c>
      <c r="AE4368">
        <v>-1.3821000000000001</v>
      </c>
      <c r="AF4368">
        <v>-2.6438324749647002</v>
      </c>
      <c r="AG4368">
        <v>-1.1092324027079901</v>
      </c>
      <c r="AH4368">
        <v>31.1918349309747</v>
      </c>
      <c r="AI4368">
        <v>92.029402110922604</v>
      </c>
      <c r="AJ4368">
        <v>94.8448331754675</v>
      </c>
      <c r="AK4368">
        <v>31.3233269791073</v>
      </c>
      <c r="AL4368">
        <v>90.134679010011894</v>
      </c>
      <c r="AM4368">
        <v>86.485441970722803</v>
      </c>
      <c r="AN4368">
        <v>1.0000000027987499</v>
      </c>
    </row>
    <row r="4369" spans="1:40" x14ac:dyDescent="0.25">
      <c r="A4369" t="str">
        <f>"20190312161359090"</f>
        <v>20190312161359090</v>
      </c>
      <c r="B4369" t="str">
        <f>"1552378439081005"</f>
        <v>1552378439081005</v>
      </c>
      <c r="C4369" t="s">
        <v>40</v>
      </c>
      <c r="D4369">
        <v>5.9819449999999996</v>
      </c>
      <c r="E4369">
        <v>0.44573049999999997</v>
      </c>
      <c r="F4369" t="s">
        <v>42</v>
      </c>
      <c r="G4369">
        <v>-277.279</v>
      </c>
      <c r="H4369" s="1">
        <v>-1.2780530000000001E-6</v>
      </c>
      <c r="I4369">
        <v>138.892</v>
      </c>
      <c r="J4369">
        <v>-245.96430000000001</v>
      </c>
      <c r="K4369">
        <v>1.109175</v>
      </c>
      <c r="L4369">
        <v>140.22020000000001</v>
      </c>
      <c r="M4369">
        <v>-0.99916700000000003</v>
      </c>
      <c r="N4369">
        <v>0</v>
      </c>
      <c r="O4369">
        <v>4.0348639999999998E-2</v>
      </c>
      <c r="P4369">
        <v>-0.99470449999999999</v>
      </c>
      <c r="Q4369">
        <v>-8.0001929999999992E-3</v>
      </c>
      <c r="R4369">
        <v>0.10246420000000001</v>
      </c>
      <c r="S4369">
        <v>-3.027695</v>
      </c>
      <c r="T4369">
        <v>-0.1063588</v>
      </c>
      <c r="U4369">
        <v>-0.12634280000000001</v>
      </c>
      <c r="V4369">
        <v>6.2245179999999997E-2</v>
      </c>
      <c r="W4369">
        <v>-1.882849E-3</v>
      </c>
      <c r="X4369">
        <v>0.99805909999999998</v>
      </c>
      <c r="Y4369">
        <v>-8.1897819999999996E-2</v>
      </c>
      <c r="Z4369">
        <v>-2.8537860000000001E-3</v>
      </c>
      <c r="AA4369">
        <v>0.99663659999999998</v>
      </c>
      <c r="AB4369">
        <v>25</v>
      </c>
      <c r="AC4369">
        <v>-31.314699999999899</v>
      </c>
      <c r="AD4369">
        <v>-1.1091762780529999</v>
      </c>
      <c r="AE4369">
        <v>-1.3282</v>
      </c>
      <c r="AF4369">
        <v>-2.5874071470138298</v>
      </c>
      <c r="AG4369">
        <v>-1.1091762780529999</v>
      </c>
      <c r="AH4369">
        <v>31.1965374043914</v>
      </c>
      <c r="AI4369">
        <v>92.029301370416704</v>
      </c>
      <c r="AJ4369">
        <v>94.741198638877293</v>
      </c>
      <c r="AK4369">
        <v>31.323296342878798</v>
      </c>
      <c r="AL4369">
        <v>90.107879366268904</v>
      </c>
      <c r="AM4369">
        <v>86.431300515702006</v>
      </c>
      <c r="AN4369">
        <v>0.99999998732319895</v>
      </c>
    </row>
    <row r="4370" spans="1:40" x14ac:dyDescent="0.25">
      <c r="A4370" t="str">
        <f>"20190312161359113"</f>
        <v>20190312161359113</v>
      </c>
      <c r="B4370" t="str">
        <f>"1552378439100524"</f>
        <v>1552378439100524</v>
      </c>
      <c r="C4370" t="s">
        <v>40</v>
      </c>
      <c r="D4370">
        <v>5.9958169999999997</v>
      </c>
      <c r="E4370">
        <v>0.44572319999999999</v>
      </c>
      <c r="F4370" t="s">
        <v>42</v>
      </c>
      <c r="G4370">
        <v>-278.68130000000002</v>
      </c>
      <c r="H4370" s="1">
        <v>-6.7943410000000004E-7</v>
      </c>
      <c r="I4370">
        <v>138.87530000000001</v>
      </c>
      <c r="J4370">
        <v>-246.2303</v>
      </c>
      <c r="K4370">
        <v>1.1091409999999999</v>
      </c>
      <c r="L4370">
        <v>140.23089999999999</v>
      </c>
      <c r="M4370">
        <v>-0.99916819999999895</v>
      </c>
      <c r="N4370">
        <v>0</v>
      </c>
      <c r="O4370">
        <v>4.0319220000000003E-2</v>
      </c>
      <c r="P4370">
        <v>-0.9946855</v>
      </c>
      <c r="Q4370">
        <v>-8.0897169999999997E-3</v>
      </c>
      <c r="R4370">
        <v>0.10264230000000001</v>
      </c>
      <c r="S4370">
        <v>-3.0279850000000001</v>
      </c>
      <c r="T4370">
        <v>-0.1026552</v>
      </c>
      <c r="U4370">
        <v>-0.1244659</v>
      </c>
      <c r="V4370">
        <v>6.2453080000000001E-2</v>
      </c>
      <c r="W4370">
        <v>-1.9884E-3</v>
      </c>
      <c r="X4370">
        <v>0.99804590000000004</v>
      </c>
      <c r="Y4370">
        <v>-8.1253329999999999E-2</v>
      </c>
      <c r="Z4370">
        <v>-2.7423249999999999E-3</v>
      </c>
      <c r="AA4370">
        <v>0.99668970000000001</v>
      </c>
      <c r="AB4370">
        <v>26</v>
      </c>
      <c r="AC4370">
        <v>-32.451000000000001</v>
      </c>
      <c r="AD4370">
        <v>-1.1091416794341</v>
      </c>
      <c r="AE4370">
        <v>-1.3555999999999799</v>
      </c>
      <c r="AF4370">
        <v>-2.6598192493391601</v>
      </c>
      <c r="AG4370">
        <v>-1.1091416794341</v>
      </c>
      <c r="AH4370">
        <v>32.332248924984498</v>
      </c>
      <c r="AI4370">
        <v>91.958123178657701</v>
      </c>
      <c r="AJ4370">
        <v>94.702859446465396</v>
      </c>
      <c r="AK4370">
        <v>32.460424431165002</v>
      </c>
      <c r="AL4370">
        <v>90.113927005367003</v>
      </c>
      <c r="AM4370">
        <v>86.419364721210698</v>
      </c>
      <c r="AN4370">
        <v>0.99999997972142796</v>
      </c>
    </row>
    <row r="4371" spans="1:40" x14ac:dyDescent="0.25">
      <c r="A4371" t="str">
        <f>"20190312161359134"</f>
        <v>20190312161359134</v>
      </c>
      <c r="B4371" t="str">
        <f>"1552378439130780"</f>
        <v>1552378439130780</v>
      </c>
      <c r="C4371" t="s">
        <v>40</v>
      </c>
      <c r="D4371">
        <v>5.982469</v>
      </c>
      <c r="E4371">
        <v>0.44568940000000001</v>
      </c>
      <c r="F4371" t="s">
        <v>42</v>
      </c>
      <c r="G4371">
        <v>-278.15969999999999</v>
      </c>
      <c r="H4371" s="1">
        <v>-8.9497209999999896E-7</v>
      </c>
      <c r="I4371">
        <v>138.92169999999999</v>
      </c>
      <c r="J4371">
        <v>-246.4753</v>
      </c>
      <c r="K4371">
        <v>1.109124</v>
      </c>
      <c r="L4371">
        <v>140.2407</v>
      </c>
      <c r="M4371">
        <v>-0.9991681</v>
      </c>
      <c r="N4371">
        <v>0</v>
      </c>
      <c r="O4371">
        <v>4.0323860000000003E-2</v>
      </c>
      <c r="P4371">
        <v>-0.99466350000000003</v>
      </c>
      <c r="Q4371">
        <v>-7.4469369999999998E-3</v>
      </c>
      <c r="R4371">
        <v>0.1029037</v>
      </c>
      <c r="S4371">
        <v>-3.028</v>
      </c>
      <c r="T4371">
        <v>-0.10518479999999999</v>
      </c>
      <c r="U4371">
        <v>-0.12414550000000001</v>
      </c>
      <c r="V4371">
        <v>6.2710539999999995E-2</v>
      </c>
      <c r="W4371">
        <v>-1.3562299999999999E-3</v>
      </c>
      <c r="X4371">
        <v>0.9980308</v>
      </c>
      <c r="Y4371">
        <v>-8.1149059999999995E-2</v>
      </c>
      <c r="Z4371">
        <v>-2.808203E-3</v>
      </c>
      <c r="AA4371">
        <v>0.99669799999999997</v>
      </c>
      <c r="AB4371">
        <v>26</v>
      </c>
      <c r="AC4371">
        <v>-31.684399999999901</v>
      </c>
      <c r="AD4371">
        <v>-1.1091248949721</v>
      </c>
      <c r="AE4371">
        <v>-1.3190000000000099</v>
      </c>
      <c r="AF4371">
        <v>-2.5924169808572399</v>
      </c>
      <c r="AG4371">
        <v>-1.1091248949721</v>
      </c>
      <c r="AH4371">
        <v>31.566826409080999</v>
      </c>
      <c r="AI4371">
        <v>92.0055574791635</v>
      </c>
      <c r="AJ4371">
        <v>94.694864338683004</v>
      </c>
      <c r="AK4371">
        <v>31.692511944879602</v>
      </c>
      <c r="AL4371">
        <v>90.077706281631706</v>
      </c>
      <c r="AM4371">
        <v>86.4045880993841</v>
      </c>
      <c r="AN4371">
        <v>0.99999996446777095</v>
      </c>
    </row>
    <row r="4372" spans="1:40" x14ac:dyDescent="0.25">
      <c r="A4372" t="str">
        <f>"20190312161359157"</f>
        <v>20190312161359157</v>
      </c>
      <c r="B4372" t="str">
        <f>"1552378439150301"</f>
        <v>1552378439150301</v>
      </c>
      <c r="C4372" t="s">
        <v>40</v>
      </c>
      <c r="D4372">
        <v>5.9973340000000004</v>
      </c>
      <c r="E4372">
        <v>0.44566670000000003</v>
      </c>
      <c r="F4372" t="s">
        <v>42</v>
      </c>
      <c r="G4372">
        <v>-279.66379999999998</v>
      </c>
      <c r="H4372" s="1">
        <v>-2.950998E-7</v>
      </c>
      <c r="I4372">
        <v>138.88470000000001</v>
      </c>
      <c r="J4372">
        <v>-246.7345</v>
      </c>
      <c r="K4372">
        <v>1.109116</v>
      </c>
      <c r="L4372">
        <v>140.25120000000001</v>
      </c>
      <c r="M4372">
        <v>-0.99916700000000003</v>
      </c>
      <c r="N4372">
        <v>0</v>
      </c>
      <c r="O4372">
        <v>4.034857E-2</v>
      </c>
      <c r="P4372">
        <v>-0.99462870000000003</v>
      </c>
      <c r="Q4372">
        <v>-6.5974999999999897E-3</v>
      </c>
      <c r="R4372">
        <v>0.10329720000000001</v>
      </c>
      <c r="S4372">
        <v>-3.028152</v>
      </c>
      <c r="T4372">
        <v>-0.1011977</v>
      </c>
      <c r="U4372">
        <v>-0.1237183</v>
      </c>
      <c r="V4372">
        <v>6.3080449999999996E-2</v>
      </c>
      <c r="W4372">
        <v>-5.1407089999999905E-4</v>
      </c>
      <c r="X4372">
        <v>0.99800829999999996</v>
      </c>
      <c r="Y4372">
        <v>-8.1036750000000005E-2</v>
      </c>
      <c r="Z4372">
        <v>-2.700638E-3</v>
      </c>
      <c r="AA4372">
        <v>0.99670740000000002</v>
      </c>
      <c r="AB4372">
        <v>26</v>
      </c>
      <c r="AC4372">
        <v>-32.929299999999898</v>
      </c>
      <c r="AD4372">
        <v>-1.1091162950997999</v>
      </c>
      <c r="AE4372">
        <v>-1.3665</v>
      </c>
      <c r="AF4372">
        <v>-2.6910145149827098</v>
      </c>
      <c r="AG4372">
        <v>-1.1091162950997999</v>
      </c>
      <c r="AH4372">
        <v>32.8101883084938</v>
      </c>
      <c r="AI4372">
        <v>91.929616133433498</v>
      </c>
      <c r="AJ4372">
        <v>94.688770316987501</v>
      </c>
      <c r="AK4372">
        <v>32.939036945768798</v>
      </c>
      <c r="AL4372">
        <v>90.029454094616099</v>
      </c>
      <c r="AM4372">
        <v>86.383354685908699</v>
      </c>
      <c r="AN4372">
        <v>0.99999998715499105</v>
      </c>
    </row>
    <row r="4373" spans="1:40" x14ac:dyDescent="0.25">
      <c r="A4373" t="str">
        <f>"20190312161359178"</f>
        <v>20190312161359178</v>
      </c>
      <c r="B4373" t="str">
        <f>"1552378439170797"</f>
        <v>1552378439170797</v>
      </c>
      <c r="C4373" t="s">
        <v>40</v>
      </c>
      <c r="D4373">
        <v>6.058554</v>
      </c>
      <c r="E4373">
        <v>0.44526300000000002</v>
      </c>
      <c r="F4373" t="s">
        <v>84</v>
      </c>
      <c r="G4373">
        <v>-281.32380000000001</v>
      </c>
      <c r="H4373" s="1">
        <v>-3.9134889999999998E-6</v>
      </c>
      <c r="I4373">
        <v>138.8493</v>
      </c>
      <c r="J4373">
        <v>-246.99260000000001</v>
      </c>
      <c r="K4373">
        <v>1.1091089999999999</v>
      </c>
      <c r="L4373">
        <v>140.26169999999999</v>
      </c>
      <c r="M4373">
        <v>-0.99916579999999999</v>
      </c>
      <c r="N4373">
        <v>0</v>
      </c>
      <c r="O4373">
        <v>4.0380659999999999E-2</v>
      </c>
      <c r="P4373">
        <v>-0.99464850000000005</v>
      </c>
      <c r="Q4373">
        <v>-6.1144669999999898E-3</v>
      </c>
      <c r="R4373">
        <v>0.10313559999999999</v>
      </c>
      <c r="S4373">
        <v>-3.0283199999999999</v>
      </c>
      <c r="T4373">
        <v>-9.7104430000000005E-2</v>
      </c>
      <c r="U4373">
        <v>-0.1227417</v>
      </c>
      <c r="V4373">
        <v>6.2886159999999997E-2</v>
      </c>
      <c r="W4373" s="1">
        <v>-3.4836409999999998E-5</v>
      </c>
      <c r="X4373">
        <v>0.99802069999999998</v>
      </c>
      <c r="Y4373">
        <v>-8.0751110000000001E-2</v>
      </c>
      <c r="Z4373">
        <v>-2.5877819999999998E-3</v>
      </c>
      <c r="AA4373">
        <v>0.99673089999999998</v>
      </c>
      <c r="AB4373">
        <v>26</v>
      </c>
      <c r="AC4373">
        <v>-34.331199999999903</v>
      </c>
      <c r="AD4373">
        <v>-1.1091129134890001</v>
      </c>
      <c r="AE4373">
        <v>-1.4123999999999901</v>
      </c>
      <c r="AF4373">
        <v>-2.7946783321966202</v>
      </c>
      <c r="AG4373">
        <v>-1.1091129134890001</v>
      </c>
      <c r="AH4373">
        <v>34.210517638770597</v>
      </c>
      <c r="AI4373">
        <v>91.850731344093901</v>
      </c>
      <c r="AJ4373">
        <v>94.670157523995897</v>
      </c>
      <c r="AK4373">
        <v>34.342391814606501</v>
      </c>
      <c r="AL4373">
        <v>90.001995979278803</v>
      </c>
      <c r="AM4373">
        <v>86.394509329693506</v>
      </c>
      <c r="AN4373">
        <v>0.99999999398080497</v>
      </c>
    </row>
    <row r="4374" spans="1:40" x14ac:dyDescent="0.25">
      <c r="A4374" t="str">
        <f>"20190312161359201"</f>
        <v>20190312161359201</v>
      </c>
      <c r="B4374" t="str">
        <f>"1552378439190315"</f>
        <v>1552378439190315</v>
      </c>
      <c r="C4374" t="s">
        <v>40</v>
      </c>
      <c r="D4374">
        <v>6.0781599999999996</v>
      </c>
      <c r="E4374">
        <v>0.41851270000000002</v>
      </c>
      <c r="F4374" t="s">
        <v>84</v>
      </c>
      <c r="G4374">
        <v>-280.92950000000002</v>
      </c>
      <c r="H4374" s="1">
        <v>-3.7363620000000001E-6</v>
      </c>
      <c r="I4374">
        <v>138.8432</v>
      </c>
      <c r="J4374">
        <v>-247.25030000000001</v>
      </c>
      <c r="K4374">
        <v>1.1091139999999999</v>
      </c>
      <c r="L4374">
        <v>140.27209999999999</v>
      </c>
      <c r="M4374">
        <v>-0.99916450000000001</v>
      </c>
      <c r="N4374">
        <v>0</v>
      </c>
      <c r="O4374">
        <v>4.0410979999999999E-2</v>
      </c>
      <c r="P4374">
        <v>-0.99467209999999995</v>
      </c>
      <c r="Q4374">
        <v>-6.098511E-3</v>
      </c>
      <c r="R4374">
        <v>0.1029094</v>
      </c>
      <c r="S4374">
        <v>-3.0286559999999998</v>
      </c>
      <c r="T4374">
        <v>-9.8981260000000001E-2</v>
      </c>
      <c r="U4374">
        <v>-0.1265869</v>
      </c>
      <c r="V4374">
        <v>6.2628950000000003E-2</v>
      </c>
      <c r="W4374" s="1">
        <v>-2.03189E-5</v>
      </c>
      <c r="X4374">
        <v>0.9980369</v>
      </c>
      <c r="Y4374">
        <v>-8.2037040000000006E-2</v>
      </c>
      <c r="Z4374">
        <v>-2.6594079999999998E-3</v>
      </c>
      <c r="AA4374">
        <v>0.99662569999999995</v>
      </c>
      <c r="AB4374">
        <v>26</v>
      </c>
      <c r="AC4374">
        <v>-33.679200000000002</v>
      </c>
      <c r="AD4374">
        <v>-1.109117736362</v>
      </c>
      <c r="AE4374">
        <v>-1.4288999999999901</v>
      </c>
      <c r="AF4374">
        <v>-2.7857518445748402</v>
      </c>
      <c r="AG4374">
        <v>-1.109117736362</v>
      </c>
      <c r="AH4374">
        <v>33.5576155222927</v>
      </c>
      <c r="AI4374">
        <v>91.886517801367802</v>
      </c>
      <c r="AJ4374">
        <v>94.745470855846804</v>
      </c>
      <c r="AK4374">
        <v>33.6913062233373</v>
      </c>
      <c r="AL4374">
        <v>90.001164187191407</v>
      </c>
      <c r="AM4374">
        <v>86.409275578483602</v>
      </c>
      <c r="AN4374">
        <v>1.0000000197762799</v>
      </c>
    </row>
    <row r="4375" spans="1:40" x14ac:dyDescent="0.25">
      <c r="A4375" t="str">
        <f>"20190312161359223"</f>
        <v>20190312161359223</v>
      </c>
      <c r="B4375" t="str">
        <f>"1552378439210812"</f>
        <v>1552378439210812</v>
      </c>
      <c r="C4375" t="s">
        <v>40</v>
      </c>
      <c r="D4375">
        <v>6.0478759999999996</v>
      </c>
      <c r="E4375">
        <v>0.41703879999999999</v>
      </c>
      <c r="F4375" t="s">
        <v>42</v>
      </c>
      <c r="G4375">
        <v>-267.13810000000001</v>
      </c>
      <c r="H4375" s="1">
        <v>-1.4879679999999999E-6</v>
      </c>
      <c r="I4375">
        <v>138.0496</v>
      </c>
      <c r="J4375">
        <v>-247.51060000000001</v>
      </c>
      <c r="K4375">
        <v>1.1091169999999999</v>
      </c>
      <c r="L4375">
        <v>140.2826</v>
      </c>
      <c r="M4375">
        <v>-0.99916369999999999</v>
      </c>
      <c r="N4375">
        <v>0</v>
      </c>
      <c r="O4375">
        <v>4.0434619999999998E-2</v>
      </c>
      <c r="P4375">
        <v>-0.99463140000000005</v>
      </c>
      <c r="Q4375">
        <v>-6.4371609999999899E-3</v>
      </c>
      <c r="R4375">
        <v>0.1032825</v>
      </c>
      <c r="S4375">
        <v>-3.050278</v>
      </c>
      <c r="T4375">
        <v>-0.17011080000000001</v>
      </c>
      <c r="U4375">
        <v>-0.34086609999999901</v>
      </c>
      <c r="V4375">
        <v>6.2979820000000006E-2</v>
      </c>
      <c r="W4375">
        <v>-3.5906000000000002E-4</v>
      </c>
      <c r="X4375">
        <v>0.99801470000000003</v>
      </c>
      <c r="Y4375">
        <v>-0.150858399999999</v>
      </c>
      <c r="Z4375">
        <v>-6.4374499999999999E-3</v>
      </c>
      <c r="AA4375">
        <v>0.98853440000000004</v>
      </c>
      <c r="AB4375">
        <v>26</v>
      </c>
      <c r="AC4375">
        <v>-19.627500000000001</v>
      </c>
      <c r="AD4375">
        <v>-1.1091184879679901</v>
      </c>
      <c r="AE4375">
        <v>-2.2330000000000001</v>
      </c>
      <c r="AF4375">
        <v>-3.0153134565771</v>
      </c>
      <c r="AG4375">
        <v>-1.1091184879679901</v>
      </c>
      <c r="AH4375">
        <v>19.459810568502999</v>
      </c>
      <c r="AI4375">
        <v>93.223675467470102</v>
      </c>
      <c r="AJ4375">
        <v>98.807980842879701</v>
      </c>
      <c r="AK4375">
        <v>19.723247360001</v>
      </c>
      <c r="AL4375">
        <v>90.020572623773901</v>
      </c>
      <c r="AM4375">
        <v>86.389132009293903</v>
      </c>
      <c r="AN4375">
        <v>0.99999996403370195</v>
      </c>
    </row>
    <row r="4376" spans="1:40" x14ac:dyDescent="0.25">
      <c r="A4376" t="str">
        <f>"20190312161359243"</f>
        <v>20190312161359243</v>
      </c>
      <c r="B4376" t="str">
        <f>"1552378439240092"</f>
        <v>1552378439240092</v>
      </c>
      <c r="C4376" t="s">
        <v>40</v>
      </c>
      <c r="D4376">
        <v>6.03437</v>
      </c>
      <c r="E4376">
        <v>0.4162034</v>
      </c>
      <c r="F4376" t="s">
        <v>42</v>
      </c>
      <c r="G4376">
        <v>-268.24090000000001</v>
      </c>
      <c r="H4376" s="1">
        <v>-1.0423069999999999E-6</v>
      </c>
      <c r="I4376">
        <v>137.8963</v>
      </c>
      <c r="J4376">
        <v>-247.76130000000001</v>
      </c>
      <c r="K4376">
        <v>1.109116</v>
      </c>
      <c r="L4376">
        <v>140.2928</v>
      </c>
      <c r="M4376">
        <v>-0.99916309999999997</v>
      </c>
      <c r="N4376">
        <v>0</v>
      </c>
      <c r="O4376">
        <v>4.044859E-2</v>
      </c>
      <c r="P4376">
        <v>-0.99461480000000002</v>
      </c>
      <c r="Q4376">
        <v>-6.3851669999999998E-3</v>
      </c>
      <c r="R4376">
        <v>0.103445</v>
      </c>
      <c r="S4376">
        <v>-3.0516359999999998</v>
      </c>
      <c r="T4376">
        <v>-0.1632699</v>
      </c>
      <c r="U4376">
        <v>-0.35127259999999999</v>
      </c>
      <c r="V4376">
        <v>6.3128829999999997E-2</v>
      </c>
      <c r="W4376">
        <v>-3.0588749999999997E-4</v>
      </c>
      <c r="X4376">
        <v>0.99800529999999998</v>
      </c>
      <c r="Y4376">
        <v>-0.154169899999999</v>
      </c>
      <c r="Z4376">
        <v>-6.2640489999999998E-3</v>
      </c>
      <c r="AA4376">
        <v>0.98802449999999997</v>
      </c>
      <c r="AB4376">
        <v>26</v>
      </c>
      <c r="AC4376">
        <v>-20.479600000000001</v>
      </c>
      <c r="AD4376">
        <v>-1.109117042307</v>
      </c>
      <c r="AE4376">
        <v>-2.3965000000000001</v>
      </c>
      <c r="AF4376">
        <v>-3.2136267184031002</v>
      </c>
      <c r="AG4376">
        <v>-1.109117042307</v>
      </c>
      <c r="AH4376">
        <v>20.307146211093499</v>
      </c>
      <c r="AI4376">
        <v>93.087871610864298</v>
      </c>
      <c r="AJ4376">
        <v>98.992542819740393</v>
      </c>
      <c r="AK4376">
        <v>20.589748044536702</v>
      </c>
      <c r="AL4376">
        <v>90.017526063716303</v>
      </c>
      <c r="AM4376">
        <v>86.380577393654804</v>
      </c>
      <c r="AN4376">
        <v>0.99999996078621001</v>
      </c>
    </row>
    <row r="4377" spans="1:40" x14ac:dyDescent="0.25">
      <c r="A4377" t="str">
        <f>"20190312161359267"</f>
        <v>20190312161359267</v>
      </c>
      <c r="B4377" t="str">
        <f>"1552378439260588"</f>
        <v>1552378439260588</v>
      </c>
      <c r="C4377" t="s">
        <v>40</v>
      </c>
      <c r="D4377">
        <v>6.0105130000000004</v>
      </c>
      <c r="E4377">
        <v>0.41601709999999897</v>
      </c>
      <c r="F4377" t="s">
        <v>42</v>
      </c>
      <c r="G4377">
        <v>-268.82220000000001</v>
      </c>
      <c r="H4377" s="1">
        <v>-8.6275030000000005E-7</v>
      </c>
      <c r="I4377">
        <v>137.82759999999999</v>
      </c>
      <c r="J4377">
        <v>-248.03649999999999</v>
      </c>
      <c r="K4377">
        <v>1.1091139999999999</v>
      </c>
      <c r="L4377">
        <v>140.3039</v>
      </c>
      <c r="M4377">
        <v>-0.99916289999999996</v>
      </c>
      <c r="N4377">
        <v>0</v>
      </c>
      <c r="O4377">
        <v>4.0456190000000003E-2</v>
      </c>
      <c r="P4377">
        <v>-0.99455439999999995</v>
      </c>
      <c r="Q4377">
        <v>-6.6642960000000001E-3</v>
      </c>
      <c r="R4377">
        <v>0.10400710000000001</v>
      </c>
      <c r="S4377">
        <v>-3.0523989999999999</v>
      </c>
      <c r="T4377">
        <v>-0.1607469</v>
      </c>
      <c r="U4377">
        <v>-0.35726930000000001</v>
      </c>
      <c r="V4377">
        <v>6.3685309999999995E-2</v>
      </c>
      <c r="W4377">
        <v>-5.8271590000000002E-4</v>
      </c>
      <c r="X4377">
        <v>0.99796989999999997</v>
      </c>
      <c r="Y4377">
        <v>-0.1560703</v>
      </c>
      <c r="Z4377">
        <v>-6.2154200000000001E-3</v>
      </c>
      <c r="AA4377">
        <v>0.9877264</v>
      </c>
      <c r="AB4377">
        <v>26</v>
      </c>
      <c r="AC4377">
        <v>-20.785699999999999</v>
      </c>
      <c r="AD4377">
        <v>-1.1091148627503</v>
      </c>
      <c r="AE4377">
        <v>-2.4763000000000002</v>
      </c>
      <c r="AF4377">
        <v>-3.3059173047819499</v>
      </c>
      <c r="AG4377">
        <v>-1.1091148627503</v>
      </c>
      <c r="AH4377">
        <v>20.610636748334699</v>
      </c>
      <c r="AI4377">
        <v>93.041469785102393</v>
      </c>
      <c r="AJ4377">
        <v>99.112543639468896</v>
      </c>
      <c r="AK4377">
        <v>20.903530136716899</v>
      </c>
      <c r="AL4377">
        <v>90.033387162286203</v>
      </c>
      <c r="AM4377">
        <v>86.348628986291502</v>
      </c>
      <c r="AN4377">
        <v>1.0000000397868101</v>
      </c>
    </row>
    <row r="4378" spans="1:40" x14ac:dyDescent="0.25">
      <c r="A4378" t="str">
        <f>"20190312161359290"</f>
        <v>20190312161359290</v>
      </c>
      <c r="B4378" t="str">
        <f>"1552378439280109"</f>
        <v>1552378439280109</v>
      </c>
      <c r="C4378" t="s">
        <v>40</v>
      </c>
      <c r="D4378">
        <v>6.0552320000000002</v>
      </c>
      <c r="E4378">
        <v>0.4156241</v>
      </c>
      <c r="F4378" t="s">
        <v>42</v>
      </c>
      <c r="G4378">
        <v>-269.81689999999998</v>
      </c>
      <c r="H4378" s="1">
        <v>-5.4305379999999995E-7</v>
      </c>
      <c r="I4378">
        <v>137.75700000000001</v>
      </c>
      <c r="J4378">
        <v>-248.31</v>
      </c>
      <c r="K4378">
        <v>1.109113</v>
      </c>
      <c r="L4378">
        <v>140.315</v>
      </c>
      <c r="M4378">
        <v>-0.99916269999999996</v>
      </c>
      <c r="N4378">
        <v>0</v>
      </c>
      <c r="O4378">
        <v>4.0457319999999998E-2</v>
      </c>
      <c r="P4378">
        <v>-0.9945195</v>
      </c>
      <c r="Q4378">
        <v>-6.9117629999999996E-3</v>
      </c>
      <c r="R4378">
        <v>0.104322</v>
      </c>
      <c r="S4378">
        <v>-3.0527039999999999</v>
      </c>
      <c r="T4378">
        <v>-0.15545200000000001</v>
      </c>
      <c r="U4378">
        <v>-0.35696409999999901</v>
      </c>
      <c r="V4378">
        <v>6.4000169999999995E-2</v>
      </c>
      <c r="W4378">
        <v>-8.3172149999999995E-4</v>
      </c>
      <c r="X4378">
        <v>0.99794950000000004</v>
      </c>
      <c r="Y4378">
        <v>-0.15598020000000001</v>
      </c>
      <c r="Z4378">
        <v>-6.0081619999999896E-3</v>
      </c>
      <c r="AA4378">
        <v>0.98774189999999995</v>
      </c>
      <c r="AB4378">
        <v>26</v>
      </c>
      <c r="AC4378">
        <v>-21.506899999999899</v>
      </c>
      <c r="AD4378">
        <v>-1.1091135430537999</v>
      </c>
      <c r="AE4378">
        <v>-2.5579999999999901</v>
      </c>
      <c r="AF4378">
        <v>-3.4170724180561201</v>
      </c>
      <c r="AG4378">
        <v>-1.1091135430537999</v>
      </c>
      <c r="AH4378">
        <v>21.329864179116701</v>
      </c>
      <c r="AI4378">
        <v>92.939183558398298</v>
      </c>
      <c r="AJ4378">
        <v>99.1015234893718</v>
      </c>
      <c r="AK4378">
        <v>21.630294095577799</v>
      </c>
      <c r="AL4378">
        <v>90.047654139126607</v>
      </c>
      <c r="AM4378">
        <v>86.330551013268106</v>
      </c>
      <c r="AN4378">
        <v>0.99999995903546501</v>
      </c>
    </row>
    <row r="4379" spans="1:40" x14ac:dyDescent="0.25">
      <c r="A4379" t="str">
        <f>"20190312161400083"</f>
        <v>20190312161400083</v>
      </c>
      <c r="B4379" t="str">
        <f>"1552378440080429"</f>
        <v>1552378440080429</v>
      </c>
      <c r="C4379" t="s">
        <v>40</v>
      </c>
      <c r="D4379">
        <v>5.728936</v>
      </c>
      <c r="E4379">
        <v>0.44289889999999998</v>
      </c>
      <c r="F4379" t="s">
        <v>42</v>
      </c>
      <c r="G4379">
        <v>-270.39670000000001</v>
      </c>
      <c r="H4379" s="1">
        <v>-4.438833E-6</v>
      </c>
      <c r="I4379">
        <v>137.71780000000001</v>
      </c>
      <c r="J4379">
        <v>-258.43889999999999</v>
      </c>
      <c r="K4379">
        <v>1.109138</v>
      </c>
      <c r="L4379">
        <v>140.71899999999999</v>
      </c>
      <c r="M4379">
        <v>-0.99925070000000005</v>
      </c>
      <c r="N4379">
        <v>0</v>
      </c>
      <c r="O4379">
        <v>3.8213980000000002E-2</v>
      </c>
      <c r="P4379">
        <v>-0.99343599999999999</v>
      </c>
      <c r="Q4379">
        <v>-1.6725219999999999E-2</v>
      </c>
      <c r="R4379">
        <v>0.11316089999999999</v>
      </c>
      <c r="S4379">
        <v>-3.0531160000000002</v>
      </c>
      <c r="T4379">
        <v>-0.15331689999999901</v>
      </c>
      <c r="U4379">
        <v>-0.35900880000000002</v>
      </c>
      <c r="V4379">
        <v>7.5117900000000001E-2</v>
      </c>
      <c r="W4379">
        <v>-1.057165E-2</v>
      </c>
      <c r="X4379">
        <v>0.99711859999999997</v>
      </c>
      <c r="Y4379">
        <v>-0.154411299999999</v>
      </c>
      <c r="Z4379">
        <v>-5.7732319999999997E-3</v>
      </c>
      <c r="AA4379">
        <v>0.98798980000000003</v>
      </c>
      <c r="AB4379">
        <v>30</v>
      </c>
      <c r="AC4379">
        <v>-11.957800000000001</v>
      </c>
      <c r="AD4379">
        <v>-1.109142438833</v>
      </c>
      <c r="AE4379">
        <v>-3.0011999999999799</v>
      </c>
      <c r="AF4379">
        <v>-3.4282248337432399</v>
      </c>
      <c r="AG4379">
        <v>-1.109142438833</v>
      </c>
      <c r="AH4379">
        <v>11.7393617347128</v>
      </c>
      <c r="AI4379">
        <v>95.182126204478195</v>
      </c>
      <c r="AJ4379">
        <v>106.27929388991799</v>
      </c>
      <c r="AK4379">
        <v>12.279883403304501</v>
      </c>
      <c r="AL4379">
        <v>90.605722222177207</v>
      </c>
      <c r="AM4379">
        <v>85.691762124170694</v>
      </c>
      <c r="AN4379">
        <v>0.99999998057504602</v>
      </c>
    </row>
    <row r="4380" spans="1:40" x14ac:dyDescent="0.25">
      <c r="A4380" t="str">
        <f>"20190312161400107"</f>
        <v>20190312161400107</v>
      </c>
      <c r="B4380" t="str">
        <f>"1552378440100925"</f>
        <v>1552378440100925</v>
      </c>
      <c r="C4380" t="s">
        <v>40</v>
      </c>
      <c r="D4380">
        <v>5.6579179999999996</v>
      </c>
      <c r="E4380">
        <v>0.45240659999999999</v>
      </c>
      <c r="F4380" t="s">
        <v>42</v>
      </c>
      <c r="G4380">
        <v>-329.38639999999998</v>
      </c>
      <c r="H4380" s="1">
        <v>-6.0521519999999896E-7</v>
      </c>
      <c r="I4380">
        <v>138.07419999999999</v>
      </c>
      <c r="J4380">
        <v>-258.76249999999999</v>
      </c>
      <c r="K4380">
        <v>1.109151</v>
      </c>
      <c r="L4380">
        <v>140.7312</v>
      </c>
      <c r="M4380">
        <v>-0.99925889999999995</v>
      </c>
      <c r="N4380">
        <v>0</v>
      </c>
      <c r="O4380">
        <v>3.7999110000000003E-2</v>
      </c>
      <c r="P4380">
        <v>-0.99354390000000004</v>
      </c>
      <c r="Q4380">
        <v>-1.6371489999999999E-2</v>
      </c>
      <c r="R4380">
        <v>0.1122619</v>
      </c>
      <c r="S4380">
        <v>-3.0318909999999999</v>
      </c>
      <c r="T4380">
        <v>-4.7398330000000002E-2</v>
      </c>
      <c r="U4380">
        <v>-0.11302189999999999</v>
      </c>
      <c r="V4380">
        <v>7.4430070000000001E-2</v>
      </c>
      <c r="W4380">
        <v>-1.0206089999999999E-2</v>
      </c>
      <c r="X4380">
        <v>0.997174</v>
      </c>
      <c r="Y4380">
        <v>-7.5184559999999998E-2</v>
      </c>
      <c r="Z4380">
        <v>-1.181267E-3</v>
      </c>
      <c r="AA4380">
        <v>0.99716899999999997</v>
      </c>
      <c r="AB4380">
        <v>30</v>
      </c>
      <c r="AC4380">
        <v>-70.623899999999907</v>
      </c>
      <c r="AD4380">
        <v>-1.1091516052152</v>
      </c>
      <c r="AE4380">
        <v>-2.6570000000000098</v>
      </c>
      <c r="AF4380">
        <v>-5.3374623118482001</v>
      </c>
      <c r="AG4380">
        <v>-1.1091516052152</v>
      </c>
      <c r="AH4380">
        <v>70.454573098000495</v>
      </c>
      <c r="AI4380">
        <v>90.899344325657097</v>
      </c>
      <c r="AJ4380">
        <v>94.332309659586997</v>
      </c>
      <c r="AK4380">
        <v>70.665165333672306</v>
      </c>
      <c r="AL4380">
        <v>90.584776038890496</v>
      </c>
      <c r="AM4380">
        <v>85.731301036009299</v>
      </c>
      <c r="AN4380">
        <v>0.99999999293464603</v>
      </c>
    </row>
    <row r="4381" spans="1:40" x14ac:dyDescent="0.25">
      <c r="A4381" t="str">
        <f>"20190312161400129"</f>
        <v>20190312161400129</v>
      </c>
      <c r="B4381" t="str">
        <f>"1552378440120445"</f>
        <v>1552378440120445</v>
      </c>
      <c r="C4381" t="s">
        <v>40</v>
      </c>
      <c r="D4381">
        <v>5.7568149999999996</v>
      </c>
      <c r="E4381">
        <v>0.45282719999999999</v>
      </c>
      <c r="F4381" t="s">
        <v>42</v>
      </c>
      <c r="G4381">
        <v>-275.04419999999999</v>
      </c>
      <c r="H4381" s="1">
        <v>-2.3435530000000001E-6</v>
      </c>
      <c r="I4381">
        <v>140.50020000000001</v>
      </c>
      <c r="J4381">
        <v>-259.05540000000002</v>
      </c>
      <c r="K4381">
        <v>1.109165</v>
      </c>
      <c r="L4381">
        <v>140.74209999999999</v>
      </c>
      <c r="M4381">
        <v>-0.99926700000000002</v>
      </c>
      <c r="N4381">
        <v>0</v>
      </c>
      <c r="O4381">
        <v>3.778302E-2</v>
      </c>
      <c r="P4381">
        <v>-0.99363270000000004</v>
      </c>
      <c r="Q4381">
        <v>-1.5513910000000001E-2</v>
      </c>
      <c r="R4381">
        <v>0.1115956</v>
      </c>
      <c r="S4381">
        <v>-3.020905</v>
      </c>
      <c r="T4381">
        <v>-0.2057928</v>
      </c>
      <c r="U4381">
        <v>-4.2846679999999998E-2</v>
      </c>
      <c r="V4381">
        <v>7.3976459999999994E-2</v>
      </c>
      <c r="W4381">
        <v>-9.3363960000000003E-3</v>
      </c>
      <c r="X4381">
        <v>0.99721630000000006</v>
      </c>
      <c r="Y4381">
        <v>-5.1744320000000003E-2</v>
      </c>
      <c r="Z4381">
        <v>-4.3309000000000004E-3</v>
      </c>
      <c r="AA4381">
        <v>0.99865099999999996</v>
      </c>
      <c r="AB4381">
        <v>31</v>
      </c>
      <c r="AC4381">
        <v>-15.9887999999999</v>
      </c>
      <c r="AD4381">
        <v>-1.1091673435529901</v>
      </c>
      <c r="AE4381">
        <v>-0.24189999999998599</v>
      </c>
      <c r="AF4381">
        <v>-0.84179374137193796</v>
      </c>
      <c r="AG4381">
        <v>-1.1091673435529901</v>
      </c>
      <c r="AH4381">
        <v>15.891782910736699</v>
      </c>
      <c r="AI4381">
        <v>93.986914304672595</v>
      </c>
      <c r="AJ4381">
        <v>93.032145268022504</v>
      </c>
      <c r="AK4381">
        <v>15.952668522256699</v>
      </c>
      <c r="AL4381">
        <v>90.534943849474701</v>
      </c>
      <c r="AM4381">
        <v>85.757400414035303</v>
      </c>
      <c r="AN4381">
        <v>1.00000001695504</v>
      </c>
    </row>
    <row r="4382" spans="1:40" x14ac:dyDescent="0.25">
      <c r="A4382" t="str">
        <f>"20190312161400195"</f>
        <v>20190312161400195</v>
      </c>
      <c r="B4382" t="str">
        <f>"1552378440190717"</f>
        <v>1552378440190717</v>
      </c>
      <c r="C4382" t="s">
        <v>40</v>
      </c>
      <c r="D4382">
        <v>5.6830769999999999</v>
      </c>
      <c r="E4382">
        <v>0.49245169999999999</v>
      </c>
      <c r="F4382" t="s">
        <v>42</v>
      </c>
      <c r="G4382">
        <v>-275.89089999999999</v>
      </c>
      <c r="H4382" s="1">
        <v>-1.983128E-6</v>
      </c>
      <c r="I4382">
        <v>140.51070000000001</v>
      </c>
      <c r="J4382">
        <v>-259.97550000000001</v>
      </c>
      <c r="K4382">
        <v>1.1092219999999999</v>
      </c>
      <c r="L4382">
        <v>140.7758</v>
      </c>
      <c r="M4382">
        <v>-0.99929970000000001</v>
      </c>
      <c r="N4382">
        <v>0</v>
      </c>
      <c r="O4382">
        <v>3.6908320000000001E-2</v>
      </c>
      <c r="P4382">
        <v>-0.99369969999999996</v>
      </c>
      <c r="Q4382">
        <v>-1.5065520000000001E-2</v>
      </c>
      <c r="R4382">
        <v>0.1110584</v>
      </c>
      <c r="S4382">
        <v>-3.0207820000000001</v>
      </c>
      <c r="T4382">
        <v>-0.19901720000000001</v>
      </c>
      <c r="U4382">
        <v>-4.1503909999999998E-2</v>
      </c>
      <c r="V4382">
        <v>7.4311329999999995E-2</v>
      </c>
      <c r="W4382">
        <v>-8.8629659999999999E-3</v>
      </c>
      <c r="X4382">
        <v>0.99719570000000002</v>
      </c>
      <c r="Y4382">
        <v>-5.0444990000000002E-2</v>
      </c>
      <c r="Z4382">
        <v>-4.0885039999999997E-3</v>
      </c>
      <c r="AA4382">
        <v>0.99871849999999995</v>
      </c>
      <c r="AB4382">
        <v>31</v>
      </c>
      <c r="AC4382">
        <v>-15.915399999999901</v>
      </c>
      <c r="AD4382">
        <v>-1.109223983128</v>
      </c>
      <c r="AE4382">
        <v>-0.26509999999998901</v>
      </c>
      <c r="AF4382">
        <v>-0.84822216548342499</v>
      </c>
      <c r="AG4382">
        <v>-1.109223983128</v>
      </c>
      <c r="AH4382">
        <v>15.817958389209201</v>
      </c>
      <c r="AI4382">
        <v>94.005526520785196</v>
      </c>
      <c r="AJ4382">
        <v>93.069488866864702</v>
      </c>
      <c r="AK4382">
        <v>15.879473111206099</v>
      </c>
      <c r="AL4382">
        <v>90.507817196803899</v>
      </c>
      <c r="AM4382">
        <v>85.738178279409794</v>
      </c>
      <c r="AN4382">
        <v>0.99999999501558801</v>
      </c>
    </row>
    <row r="4383" spans="1:40" x14ac:dyDescent="0.25">
      <c r="A4383" t="str">
        <f>"20190312161400216"</f>
        <v>20190312161400216</v>
      </c>
      <c r="B4383" t="str">
        <f>"1552378440211213"</f>
        <v>1552378440211213</v>
      </c>
      <c r="C4383" t="s">
        <v>40</v>
      </c>
      <c r="D4383">
        <v>7.9045199999999998</v>
      </c>
      <c r="E4383">
        <v>0.48593530000000001</v>
      </c>
      <c r="F4383" t="s">
        <v>43</v>
      </c>
      <c r="G4383">
        <v>-260.77940000000001</v>
      </c>
      <c r="H4383">
        <v>0.79911650000000001</v>
      </c>
      <c r="I4383">
        <v>140.84530000000001</v>
      </c>
      <c r="J4383">
        <v>-260.26179999999999</v>
      </c>
      <c r="K4383">
        <v>1.1092470000000001</v>
      </c>
      <c r="L4383">
        <v>140.7861</v>
      </c>
      <c r="M4383">
        <v>-0.99931219999999998</v>
      </c>
      <c r="N4383">
        <v>0</v>
      </c>
      <c r="O4383">
        <v>3.6565220000000002E-2</v>
      </c>
      <c r="P4383">
        <v>-0.99369759999999996</v>
      </c>
      <c r="Q4383">
        <v>-1.481092E-2</v>
      </c>
      <c r="R4383">
        <v>0.1111124</v>
      </c>
      <c r="S4383">
        <v>-2.9731450000000001</v>
      </c>
      <c r="T4383">
        <v>-1.14696</v>
      </c>
      <c r="U4383">
        <v>0.25546259999999998</v>
      </c>
      <c r="V4383">
        <v>7.4708239999999995E-2</v>
      </c>
      <c r="W4383">
        <v>-8.6000390000000003E-3</v>
      </c>
      <c r="X4383">
        <v>0.99716839999999995</v>
      </c>
      <c r="Y4383">
        <v>4.8283109999999997E-2</v>
      </c>
      <c r="Z4383">
        <v>-4.6116530000000003E-3</v>
      </c>
      <c r="AA4383">
        <v>0.99882300000000002</v>
      </c>
      <c r="AB4383">
        <v>31</v>
      </c>
      <c r="AC4383">
        <v>-0.51760000000001505</v>
      </c>
      <c r="AD4383">
        <v>-0.31013049999999898</v>
      </c>
      <c r="AE4383">
        <v>5.9200000000004097E-2</v>
      </c>
      <c r="AF4383">
        <v>2.9706736185133201E-2</v>
      </c>
      <c r="AG4383">
        <v>-0.31013049999999898</v>
      </c>
      <c r="AH4383">
        <v>0.38351324066527698</v>
      </c>
      <c r="AI4383">
        <v>128.87720013973001</v>
      </c>
      <c r="AJ4383">
        <v>85.570743056217495</v>
      </c>
      <c r="AK4383">
        <v>0.49411114434973602</v>
      </c>
      <c r="AL4383">
        <v>90.492751987942597</v>
      </c>
      <c r="AM4383">
        <v>85.7153828111135</v>
      </c>
      <c r="AN4383">
        <v>1.0000000498766199</v>
      </c>
    </row>
    <row r="4384" spans="1:40" x14ac:dyDescent="0.25">
      <c r="A4384" t="str">
        <f>"20190312161400239"</f>
        <v>20190312161400239</v>
      </c>
      <c r="B4384" t="str">
        <f>"1552378440230734"</f>
        <v>1552378440230734</v>
      </c>
      <c r="C4384" t="s">
        <v>40</v>
      </c>
      <c r="D4384">
        <v>5.8415400000000002</v>
      </c>
      <c r="E4384">
        <v>0.46949299999999999</v>
      </c>
      <c r="F4384" t="s">
        <v>43</v>
      </c>
      <c r="G4384">
        <v>-261.0761</v>
      </c>
      <c r="H4384">
        <v>0.84322039999999998</v>
      </c>
      <c r="I4384">
        <v>140.8425</v>
      </c>
      <c r="J4384">
        <v>-260.59440000000001</v>
      </c>
      <c r="K4384">
        <v>1.1092919999999999</v>
      </c>
      <c r="L4384">
        <v>140.7978</v>
      </c>
      <c r="M4384">
        <v>-0.99932849999999995</v>
      </c>
      <c r="N4384">
        <v>0</v>
      </c>
      <c r="O4384">
        <v>3.6114930000000003E-2</v>
      </c>
      <c r="P4384">
        <v>-0.99370369999999997</v>
      </c>
      <c r="Q4384">
        <v>-1.463366E-2</v>
      </c>
      <c r="R4384">
        <v>0.1110802</v>
      </c>
      <c r="S4384">
        <v>-2.9814449999999999</v>
      </c>
      <c r="T4384">
        <v>-0.97409259999999998</v>
      </c>
      <c r="U4384">
        <v>0.20626829999999999</v>
      </c>
      <c r="V4384">
        <v>7.5125929999999994E-2</v>
      </c>
      <c r="W4384">
        <v>-8.4115860000000004E-3</v>
      </c>
      <c r="X4384">
        <v>0.99713859999999999</v>
      </c>
      <c r="Y4384">
        <v>3.3099919999999998E-2</v>
      </c>
      <c r="Z4384">
        <v>-6.218103E-3</v>
      </c>
      <c r="AA4384">
        <v>0.99943269999999995</v>
      </c>
      <c r="AB4384">
        <v>31</v>
      </c>
      <c r="AC4384">
        <v>-0.48169999999998903</v>
      </c>
      <c r="AD4384">
        <v>-0.26607160000000002</v>
      </c>
      <c r="AE4384">
        <v>4.4700000000005902E-2</v>
      </c>
      <c r="AF4384">
        <v>2.09397487023378E-2</v>
      </c>
      <c r="AG4384">
        <v>-0.26607160000000002</v>
      </c>
      <c r="AH4384">
        <v>0.37082649557292702</v>
      </c>
      <c r="AI4384">
        <v>125.616618177711</v>
      </c>
      <c r="AJ4384">
        <v>86.768066777874196</v>
      </c>
      <c r="AK4384">
        <v>0.45688604620974699</v>
      </c>
      <c r="AL4384">
        <v>90.4819540488445</v>
      </c>
      <c r="AM4384">
        <v>85.6913894095118</v>
      </c>
      <c r="AN4384">
        <v>1.0000000238736799</v>
      </c>
    </row>
    <row r="4385" spans="1:40" x14ac:dyDescent="0.25">
      <c r="A4385" t="str">
        <f>"20190312161400260"</f>
        <v>20190312161400260</v>
      </c>
      <c r="B4385" t="str">
        <f>"1552378440250253"</f>
        <v>1552378440250253</v>
      </c>
      <c r="C4385" t="s">
        <v>40</v>
      </c>
      <c r="D4385">
        <v>5.5932469999999999</v>
      </c>
      <c r="E4385">
        <v>0.47277459999999999</v>
      </c>
      <c r="F4385" t="s">
        <v>43</v>
      </c>
      <c r="G4385">
        <v>-261.43799999999999</v>
      </c>
      <c r="H4385">
        <v>1.0225930000000001</v>
      </c>
      <c r="I4385">
        <v>140.82239999999999</v>
      </c>
      <c r="J4385">
        <v>-260.90120000000002</v>
      </c>
      <c r="K4385">
        <v>1.1093309999999901</v>
      </c>
      <c r="L4385">
        <v>140.80850000000001</v>
      </c>
      <c r="M4385">
        <v>-0.99934520000000004</v>
      </c>
      <c r="N4385">
        <v>0</v>
      </c>
      <c r="O4385">
        <v>3.5651099999999998E-2</v>
      </c>
      <c r="P4385">
        <v>-0.99376660000000006</v>
      </c>
      <c r="Q4385">
        <v>-1.385658E-2</v>
      </c>
      <c r="R4385">
        <v>0.1106182</v>
      </c>
      <c r="S4385">
        <v>-3.0047299999999999</v>
      </c>
      <c r="T4385">
        <v>-0.30886279999999999</v>
      </c>
      <c r="U4385">
        <v>8.6914060000000001E-2</v>
      </c>
      <c r="V4385">
        <v>7.5124990000000003E-2</v>
      </c>
      <c r="W4385">
        <v>-7.6229369999999998E-3</v>
      </c>
      <c r="X4385">
        <v>0.99714499999999995</v>
      </c>
      <c r="Y4385">
        <v>-6.5196969999999996E-3</v>
      </c>
      <c r="Z4385">
        <v>-3.987422E-3</v>
      </c>
      <c r="AA4385">
        <v>0.99997080000000005</v>
      </c>
      <c r="AB4385">
        <v>31</v>
      </c>
      <c r="AC4385">
        <v>-0.53679999999997097</v>
      </c>
      <c r="AD4385">
        <v>-8.6737999999999704E-2</v>
      </c>
      <c r="AE4385">
        <v>1.3899999999978201E-2</v>
      </c>
      <c r="AF4385">
        <v>-5.1132976107842098E-3</v>
      </c>
      <c r="AG4385">
        <v>-8.6737999999999704E-2</v>
      </c>
      <c r="AH4385">
        <v>0.52330049219996799</v>
      </c>
      <c r="AI4385">
        <v>99.410872301002698</v>
      </c>
      <c r="AJ4385">
        <v>90.559833314495606</v>
      </c>
      <c r="AK4385">
        <v>0.530464920228647</v>
      </c>
      <c r="AL4385">
        <v>90.436766342374995</v>
      </c>
      <c r="AM4385">
        <v>85.691470666819598</v>
      </c>
      <c r="AN4385">
        <v>1.0000000121579999</v>
      </c>
    </row>
    <row r="4386" spans="1:40" x14ac:dyDescent="0.25">
      <c r="A4386" t="str">
        <f>"20190312161400284"</f>
        <v>20190312161400284</v>
      </c>
      <c r="B4386" t="str">
        <f>"1552378440280509"</f>
        <v>1552378440280509</v>
      </c>
      <c r="C4386" t="s">
        <v>40</v>
      </c>
      <c r="D4386">
        <v>5.8680890000000003</v>
      </c>
      <c r="E4386">
        <v>0.47260600000000003</v>
      </c>
      <c r="F4386" t="s">
        <v>43</v>
      </c>
      <c r="G4386">
        <v>-261.72309999999999</v>
      </c>
      <c r="H4386">
        <v>1.0332349999999999</v>
      </c>
      <c r="I4386">
        <v>140.83920000000001</v>
      </c>
      <c r="J4386">
        <v>-261.21480000000003</v>
      </c>
      <c r="K4386">
        <v>1.109369</v>
      </c>
      <c r="L4386">
        <v>140.8192</v>
      </c>
      <c r="M4386">
        <v>-0.99936360000000002</v>
      </c>
      <c r="N4386">
        <v>0</v>
      </c>
      <c r="O4386">
        <v>3.5130630000000003E-2</v>
      </c>
      <c r="P4386">
        <v>-0.99387650000000005</v>
      </c>
      <c r="Q4386">
        <v>-1.396216E-2</v>
      </c>
      <c r="R4386">
        <v>0.1096111</v>
      </c>
      <c r="S4386">
        <v>-3.0024410000000001</v>
      </c>
      <c r="T4386">
        <v>-0.27802120000000002</v>
      </c>
      <c r="U4386">
        <v>0.1120911</v>
      </c>
      <c r="V4386">
        <v>7.463446E-2</v>
      </c>
      <c r="W4386">
        <v>-7.7161139999999996E-3</v>
      </c>
      <c r="X4386">
        <v>0.99718110000000004</v>
      </c>
      <c r="Y4386">
        <v>2.317534E-3</v>
      </c>
      <c r="Z4386">
        <v>-3.1369689999999999E-3</v>
      </c>
      <c r="AA4386">
        <v>0.9999924</v>
      </c>
      <c r="AB4386">
        <v>31</v>
      </c>
      <c r="AC4386">
        <v>-0.508299999999962</v>
      </c>
      <c r="AD4386">
        <v>-7.6133999999999896E-2</v>
      </c>
      <c r="AE4386">
        <v>2.0000000000010201E-2</v>
      </c>
      <c r="AF4386">
        <v>2.0837380650700799E-3</v>
      </c>
      <c r="AG4386">
        <v>-7.6133999999999896E-2</v>
      </c>
      <c r="AH4386">
        <v>0.49754394231417598</v>
      </c>
      <c r="AI4386">
        <v>98.699821142228998</v>
      </c>
      <c r="AJ4386">
        <v>89.760043910551204</v>
      </c>
      <c r="AK4386">
        <v>0.50333954986058405</v>
      </c>
      <c r="AL4386">
        <v>90.442105156378304</v>
      </c>
      <c r="AM4386">
        <v>85.719652770517698</v>
      </c>
      <c r="AN4386">
        <v>0.99999999361598102</v>
      </c>
    </row>
    <row r="4387" spans="1:40" x14ac:dyDescent="0.25">
      <c r="A4387" t="str">
        <f>"20190312161400306"</f>
        <v>20190312161400306</v>
      </c>
      <c r="B4387" t="str">
        <f>"1552378440301005"</f>
        <v>1552378440301005</v>
      </c>
      <c r="C4387" t="s">
        <v>40</v>
      </c>
      <c r="D4387">
        <v>5.8393389999999998</v>
      </c>
      <c r="E4387">
        <v>0.47355120000000001</v>
      </c>
      <c r="F4387" t="s">
        <v>42</v>
      </c>
      <c r="G4387">
        <v>-275.5009</v>
      </c>
      <c r="H4387" s="1">
        <v>-2.3699340000000001E-6</v>
      </c>
      <c r="I4387">
        <v>141.3357</v>
      </c>
      <c r="J4387">
        <v>-261.54320000000001</v>
      </c>
      <c r="K4387">
        <v>1.1094079999999999</v>
      </c>
      <c r="L4387">
        <v>140.83019999999999</v>
      </c>
      <c r="M4387">
        <v>-0.99938419999999895</v>
      </c>
      <c r="N4387">
        <v>0</v>
      </c>
      <c r="O4387">
        <v>3.4540679999999997E-2</v>
      </c>
      <c r="P4387">
        <v>-0.99393719999999997</v>
      </c>
      <c r="Q4387">
        <v>-1.473007E-2</v>
      </c>
      <c r="R4387">
        <v>0.1089599</v>
      </c>
      <c r="S4387">
        <v>-3.0032649999999999</v>
      </c>
      <c r="T4387">
        <v>-0.23321529999999999</v>
      </c>
      <c r="U4387">
        <v>0.10859679999999999</v>
      </c>
      <c r="V4387">
        <v>7.4571780000000004E-2</v>
      </c>
      <c r="W4387">
        <v>-8.4742749999999999E-3</v>
      </c>
      <c r="X4387">
        <v>0.99717960000000005</v>
      </c>
      <c r="Y4387">
        <v>1.694316E-3</v>
      </c>
      <c r="Z4387">
        <v>-2.6108860000000002E-3</v>
      </c>
      <c r="AA4387">
        <v>0.99999519999999997</v>
      </c>
      <c r="AB4387">
        <v>31</v>
      </c>
      <c r="AC4387">
        <v>-13.9576999999999</v>
      </c>
      <c r="AD4387">
        <v>-1.1094103699340001</v>
      </c>
      <c r="AE4387">
        <v>0.50550000000001205</v>
      </c>
      <c r="AF4387">
        <v>2.29359921259122E-2</v>
      </c>
      <c r="AG4387">
        <v>-1.1094103699340001</v>
      </c>
      <c r="AH4387">
        <v>13.8792619733862</v>
      </c>
      <c r="AI4387">
        <v>94.570097842206593</v>
      </c>
      <c r="AJ4387">
        <v>89.9053166981044</v>
      </c>
      <c r="AK4387">
        <v>13.923549488350099</v>
      </c>
      <c r="AL4387">
        <v>90.485546023316999</v>
      </c>
      <c r="AM4387">
        <v>85.723227767066305</v>
      </c>
      <c r="AN4387">
        <v>0.99999995918265105</v>
      </c>
    </row>
    <row r="4388" spans="1:40" x14ac:dyDescent="0.25">
      <c r="A4388" t="str">
        <f>"20190312161400330"</f>
        <v>20190312161400330</v>
      </c>
      <c r="B4388" t="str">
        <f>"1552378440320525"</f>
        <v>1552378440320525</v>
      </c>
      <c r="C4388" t="s">
        <v>40</v>
      </c>
      <c r="D4388">
        <v>5.8255129999999999</v>
      </c>
      <c r="E4388">
        <v>0.47459790000000002</v>
      </c>
      <c r="F4388" t="s">
        <v>42</v>
      </c>
      <c r="G4388">
        <v>-276.06760000000003</v>
      </c>
      <c r="H4388" s="1">
        <v>-2.1389980000000001E-6</v>
      </c>
      <c r="I4388">
        <v>141.38140000000001</v>
      </c>
      <c r="J4388">
        <v>-261.85879999999997</v>
      </c>
      <c r="K4388">
        <v>1.1094329999999999</v>
      </c>
      <c r="L4388">
        <v>140.84049999999999</v>
      </c>
      <c r="M4388">
        <v>-0.99940469999999904</v>
      </c>
      <c r="N4388">
        <v>0</v>
      </c>
      <c r="O4388">
        <v>3.3936840000000003E-2</v>
      </c>
      <c r="P4388">
        <v>-0.99394539999999998</v>
      </c>
      <c r="Q4388">
        <v>-1.5034189999999999E-2</v>
      </c>
      <c r="R4388">
        <v>0.108843</v>
      </c>
      <c r="S4388">
        <v>-3.0024109999999999</v>
      </c>
      <c r="T4388">
        <v>-0.22933239999999999</v>
      </c>
      <c r="U4388">
        <v>0.113967899999999</v>
      </c>
      <c r="V4388">
        <v>7.5058189999999997E-2</v>
      </c>
      <c r="W4388">
        <v>-8.7728089999999995E-3</v>
      </c>
      <c r="X4388">
        <v>0.99714060000000004</v>
      </c>
      <c r="Y4388">
        <v>4.0833379999999997E-3</v>
      </c>
      <c r="Z4388">
        <v>-2.4310870000000002E-3</v>
      </c>
      <c r="AA4388">
        <v>0.99998869999999895</v>
      </c>
      <c r="AB4388">
        <v>32</v>
      </c>
      <c r="AC4388">
        <v>-14.2088</v>
      </c>
      <c r="AD4388">
        <v>-1.1094351389979999</v>
      </c>
      <c r="AE4388">
        <v>0.54090000000002103</v>
      </c>
      <c r="AF4388">
        <v>5.8024115873607902E-2</v>
      </c>
      <c r="AG4388">
        <v>-1.1094351389979999</v>
      </c>
      <c r="AH4388">
        <v>14.132933493576701</v>
      </c>
      <c r="AI4388">
        <v>94.488475772761603</v>
      </c>
      <c r="AJ4388">
        <v>89.764767995840302</v>
      </c>
      <c r="AK4388">
        <v>14.176530684886499</v>
      </c>
      <c r="AL4388">
        <v>90.5026513601874</v>
      </c>
      <c r="AM4388">
        <v>85.695268414973299</v>
      </c>
      <c r="AN4388">
        <v>1.00000003511609</v>
      </c>
    </row>
    <row r="4389" spans="1:40" x14ac:dyDescent="0.25">
      <c r="A4389" t="str">
        <f>"20190312161400351"</f>
        <v>20190312161400351</v>
      </c>
      <c r="B4389" t="str">
        <f>"1552378440341025"</f>
        <v>1552378440341025</v>
      </c>
      <c r="C4389" t="s">
        <v>40</v>
      </c>
      <c r="D4389">
        <v>5.7500939999999998</v>
      </c>
      <c r="E4389">
        <v>0.47544170000000002</v>
      </c>
      <c r="F4389" t="s">
        <v>43</v>
      </c>
      <c r="G4389">
        <v>-262.85320000000002</v>
      </c>
      <c r="H4389">
        <v>1.0330649999999999</v>
      </c>
      <c r="I4389">
        <v>140.88079999999999</v>
      </c>
      <c r="J4389">
        <v>-262.17149999999998</v>
      </c>
      <c r="K4389">
        <v>1.1094520000000001</v>
      </c>
      <c r="L4389">
        <v>140.85050000000001</v>
      </c>
      <c r="M4389">
        <v>-0.99942589999999998</v>
      </c>
      <c r="N4389">
        <v>0</v>
      </c>
      <c r="O4389">
        <v>3.3312500000000002E-2</v>
      </c>
      <c r="P4389">
        <v>-0.9939635</v>
      </c>
      <c r="Q4389">
        <v>-1.500052E-2</v>
      </c>
      <c r="R4389">
        <v>0.1086821</v>
      </c>
      <c r="S4389">
        <v>-3.0014949999999998</v>
      </c>
      <c r="T4389">
        <v>-0.23052039999999999</v>
      </c>
      <c r="U4389">
        <v>0.1215668</v>
      </c>
      <c r="V4389">
        <v>7.5520080000000003E-2</v>
      </c>
      <c r="W4389">
        <v>-8.7350259999999999E-3</v>
      </c>
      <c r="X4389">
        <v>0.99710600000000005</v>
      </c>
      <c r="Y4389">
        <v>7.2371969999999999E-3</v>
      </c>
      <c r="Z4389">
        <v>-2.2755280000000002E-3</v>
      </c>
      <c r="AA4389">
        <v>0.99997119999999995</v>
      </c>
      <c r="AB4389">
        <v>32</v>
      </c>
      <c r="AC4389">
        <v>-0.68170000000003395</v>
      </c>
      <c r="AD4389">
        <v>-7.6387000000000205E-2</v>
      </c>
      <c r="AE4389">
        <v>3.0299999999982601E-2</v>
      </c>
      <c r="AF4389">
        <v>7.4798854960068904E-3</v>
      </c>
      <c r="AG4389">
        <v>-7.6387000000000205E-2</v>
      </c>
      <c r="AH4389">
        <v>0.67388636589977602</v>
      </c>
      <c r="AI4389">
        <v>96.466646198325805</v>
      </c>
      <c r="AJ4389">
        <v>89.364064487516103</v>
      </c>
      <c r="AK4389">
        <v>0.678243139737986</v>
      </c>
      <c r="AL4389">
        <v>90.500486498861903</v>
      </c>
      <c r="AM4389">
        <v>85.668728907294394</v>
      </c>
      <c r="AN4389">
        <v>0.99999997919921302</v>
      </c>
    </row>
    <row r="4390" spans="1:40" x14ac:dyDescent="0.25">
      <c r="A4390" t="str">
        <f>"20190312161400372"</f>
        <v>20190312161400372</v>
      </c>
      <c r="B4390" t="str">
        <f>"1552378440361154"</f>
        <v>1552378440361154</v>
      </c>
      <c r="C4390" t="s">
        <v>40</v>
      </c>
      <c r="D4390">
        <v>5.6826949999999998</v>
      </c>
      <c r="E4390">
        <v>0.4755972</v>
      </c>
      <c r="F4390" t="s">
        <v>43</v>
      </c>
      <c r="G4390">
        <v>-263.13850000000002</v>
      </c>
      <c r="H4390">
        <v>1.034392</v>
      </c>
      <c r="I4390">
        <v>140.89189999999999</v>
      </c>
      <c r="J4390">
        <v>-262.4776</v>
      </c>
      <c r="K4390">
        <v>1.1094599999999999</v>
      </c>
      <c r="L4390">
        <v>140.86009999999999</v>
      </c>
      <c r="M4390">
        <v>-0.99944639999999996</v>
      </c>
      <c r="N4390">
        <v>0</v>
      </c>
      <c r="O4390">
        <v>3.2687330000000001E-2</v>
      </c>
      <c r="P4390">
        <v>-0.994031</v>
      </c>
      <c r="Q4390">
        <v>-1.5604430000000001E-2</v>
      </c>
      <c r="R4390">
        <v>0.1079772</v>
      </c>
      <c r="S4390">
        <v>-3.000702</v>
      </c>
      <c r="T4390">
        <v>-0.23300499999999999</v>
      </c>
      <c r="U4390">
        <v>0.12800599999999901</v>
      </c>
      <c r="V4390">
        <v>7.5438210000000006E-2</v>
      </c>
      <c r="W4390">
        <v>-9.3358209999999994E-3</v>
      </c>
      <c r="X4390">
        <v>0.99710679999999996</v>
      </c>
      <c r="Y4390">
        <v>1.000699E-2</v>
      </c>
      <c r="Z4390">
        <v>-2.1447219999999999E-3</v>
      </c>
      <c r="AA4390">
        <v>0.99994760000000005</v>
      </c>
      <c r="AB4390">
        <v>32</v>
      </c>
      <c r="AC4390">
        <v>-0.66090000000002602</v>
      </c>
      <c r="AD4390">
        <v>-7.5068000000000107E-2</v>
      </c>
      <c r="AE4390">
        <v>3.1800000000003999E-2</v>
      </c>
      <c r="AF4390">
        <v>1.00501725322363E-2</v>
      </c>
      <c r="AG4390">
        <v>-7.5068000000000107E-2</v>
      </c>
      <c r="AH4390">
        <v>0.65317881348775497</v>
      </c>
      <c r="AI4390">
        <v>96.555309455240803</v>
      </c>
      <c r="AJ4390">
        <v>89.118484828339703</v>
      </c>
      <c r="AK4390">
        <v>0.65755514824324701</v>
      </c>
      <c r="AL4390">
        <v>90.534910898211294</v>
      </c>
      <c r="AM4390">
        <v>85.673409981719402</v>
      </c>
      <c r="AN4390">
        <v>1.0000000258439901</v>
      </c>
    </row>
    <row r="4391" spans="1:40" x14ac:dyDescent="0.25">
      <c r="A4391" t="str">
        <f>"20190312161400393"</f>
        <v>20190312161400393</v>
      </c>
      <c r="B4391" t="str">
        <f>"1552378440390435"</f>
        <v>1552378440390435</v>
      </c>
      <c r="C4391" t="s">
        <v>40</v>
      </c>
      <c r="D4391">
        <v>5.6988379999999896</v>
      </c>
      <c r="E4391">
        <v>0.47655429999999999</v>
      </c>
      <c r="F4391" t="s">
        <v>43</v>
      </c>
      <c r="G4391">
        <v>-263.42439999999999</v>
      </c>
      <c r="H4391">
        <v>1.0346740000000001</v>
      </c>
      <c r="I4391">
        <v>140.90029999999999</v>
      </c>
      <c r="J4391">
        <v>-262.77719999999999</v>
      </c>
      <c r="K4391">
        <v>1.1094649999999999</v>
      </c>
      <c r="L4391">
        <v>140.86940000000001</v>
      </c>
      <c r="M4391">
        <v>-0.99946670000000004</v>
      </c>
      <c r="N4391">
        <v>0</v>
      </c>
      <c r="O4391">
        <v>3.2066839999999999E-2</v>
      </c>
      <c r="P4391">
        <v>-0.99402089999999999</v>
      </c>
      <c r="Q4391">
        <v>-1.6469879999999999E-2</v>
      </c>
      <c r="R4391">
        <v>0.10794189999999999</v>
      </c>
      <c r="S4391">
        <v>-3.0004580000000001</v>
      </c>
      <c r="T4391">
        <v>-0.23701269999999999</v>
      </c>
      <c r="U4391">
        <v>0.1273956</v>
      </c>
      <c r="V4391">
        <v>7.6023579999999993E-2</v>
      </c>
      <c r="W4391">
        <v>-1.0197619999999999E-2</v>
      </c>
      <c r="X4391">
        <v>0.99705390000000005</v>
      </c>
      <c r="Y4391">
        <v>1.042735E-2</v>
      </c>
      <c r="Z4391">
        <v>-2.1162360000000001E-3</v>
      </c>
      <c r="AA4391">
        <v>0.99994340000000004</v>
      </c>
      <c r="AB4391">
        <v>32</v>
      </c>
      <c r="AC4391">
        <v>-0.647199999999997</v>
      </c>
      <c r="AD4391">
        <v>-7.4790999999999996E-2</v>
      </c>
      <c r="AE4391">
        <v>3.0899999999974101E-2</v>
      </c>
      <c r="AF4391">
        <v>9.9968572528012709E-3</v>
      </c>
      <c r="AG4391">
        <v>-7.4790999999999996E-2</v>
      </c>
      <c r="AH4391">
        <v>0.63933950969075704</v>
      </c>
      <c r="AI4391">
        <v>96.671421937899098</v>
      </c>
      <c r="AJ4391">
        <v>89.104183227581402</v>
      </c>
      <c r="AK4391">
        <v>0.64377685535249696</v>
      </c>
      <c r="AL4391">
        <v>90.584290697984301</v>
      </c>
      <c r="AM4391">
        <v>85.639735919257205</v>
      </c>
      <c r="AN4391">
        <v>1.0000000278374399</v>
      </c>
    </row>
    <row r="4392" spans="1:40" x14ac:dyDescent="0.25">
      <c r="A4392" t="str">
        <f>"20190312161400417"</f>
        <v>20190312161400417</v>
      </c>
      <c r="B4392" t="str">
        <f>"1552378440410931"</f>
        <v>1552378440410931</v>
      </c>
      <c r="C4392" t="s">
        <v>40</v>
      </c>
      <c r="D4392">
        <v>5.6767849999999997</v>
      </c>
      <c r="E4392">
        <v>0.47709770000000001</v>
      </c>
      <c r="F4392" t="s">
        <v>43</v>
      </c>
      <c r="G4392">
        <v>-263.71190000000001</v>
      </c>
      <c r="H4392">
        <v>1.0368489999999999</v>
      </c>
      <c r="I4392">
        <v>140.91149999999999</v>
      </c>
      <c r="J4392">
        <v>-263.11849999999998</v>
      </c>
      <c r="K4392">
        <v>1.1094710000000001</v>
      </c>
      <c r="L4392">
        <v>140.87970000000001</v>
      </c>
      <c r="M4392">
        <v>-0.99948910000000002</v>
      </c>
      <c r="N4392">
        <v>0</v>
      </c>
      <c r="O4392">
        <v>3.1356250000000002E-2</v>
      </c>
      <c r="P4392">
        <v>-0.99405189999999999</v>
      </c>
      <c r="Q4392">
        <v>-1.666981E-2</v>
      </c>
      <c r="R4392">
        <v>0.10762389999999999</v>
      </c>
      <c r="S4392">
        <v>-2.9995419999999999</v>
      </c>
      <c r="T4392">
        <v>-0.2331058</v>
      </c>
      <c r="U4392">
        <v>0.1348724</v>
      </c>
      <c r="V4392">
        <v>7.641415E-2</v>
      </c>
      <c r="W4392">
        <v>-1.039319E-2</v>
      </c>
      <c r="X4392">
        <v>0.99702199999999996</v>
      </c>
      <c r="Y4392">
        <v>1.362498E-2</v>
      </c>
      <c r="Z4392">
        <v>-1.90288E-3</v>
      </c>
      <c r="AA4392">
        <v>0.9999053</v>
      </c>
      <c r="AB4392">
        <v>32</v>
      </c>
      <c r="AC4392">
        <v>-0.59340000000003101</v>
      </c>
      <c r="AD4392">
        <v>-7.2621999999999895E-2</v>
      </c>
      <c r="AE4392">
        <v>3.1799999999975598E-2</v>
      </c>
      <c r="AF4392">
        <v>1.29833056356627E-2</v>
      </c>
      <c r="AG4392">
        <v>-7.2621999999999895E-2</v>
      </c>
      <c r="AH4392">
        <v>0.58536313469532797</v>
      </c>
      <c r="AI4392">
        <v>97.0704377419612</v>
      </c>
      <c r="AJ4392">
        <v>88.7293927069435</v>
      </c>
      <c r="AK4392">
        <v>0.58999366146558696</v>
      </c>
      <c r="AL4392">
        <v>90.595496641031104</v>
      </c>
      <c r="AM4392">
        <v>85.617282503510907</v>
      </c>
      <c r="AN4392">
        <v>1.00000000460129</v>
      </c>
    </row>
    <row r="4393" spans="1:40" x14ac:dyDescent="0.25">
      <c r="A4393" t="str">
        <f>"20190312161400440"</f>
        <v>20190312161400440</v>
      </c>
      <c r="B4393" t="str">
        <f>"1552378440430450"</f>
        <v>1552378440430450</v>
      </c>
      <c r="C4393" t="s">
        <v>40</v>
      </c>
      <c r="D4393">
        <v>5.6227830000000001</v>
      </c>
      <c r="E4393">
        <v>0.47774319999999998</v>
      </c>
      <c r="F4393" t="s">
        <v>43</v>
      </c>
      <c r="G4393">
        <v>-264.00200000000001</v>
      </c>
      <c r="H4393">
        <v>1.0413699999999999</v>
      </c>
      <c r="I4393">
        <v>140.9205</v>
      </c>
      <c r="J4393">
        <v>-263.44310000000002</v>
      </c>
      <c r="K4393">
        <v>1.1094759999999999</v>
      </c>
      <c r="L4393">
        <v>140.88919999999999</v>
      </c>
      <c r="M4393">
        <v>-0.99951009999999996</v>
      </c>
      <c r="N4393">
        <v>0</v>
      </c>
      <c r="O4393">
        <v>3.0679709999999999E-2</v>
      </c>
      <c r="P4393">
        <v>-0.99417029999999995</v>
      </c>
      <c r="Q4393">
        <v>-1.6671490000000001E-2</v>
      </c>
      <c r="R4393">
        <v>0.1065251</v>
      </c>
      <c r="S4393">
        <v>-2.9991759999999998</v>
      </c>
      <c r="T4393">
        <v>-0.2312343</v>
      </c>
      <c r="U4393">
        <v>0.1379852</v>
      </c>
      <c r="V4393">
        <v>7.5987150000000003E-2</v>
      </c>
      <c r="W4393">
        <v>-1.0390659999999999E-2</v>
      </c>
      <c r="X4393">
        <v>0.99705460000000001</v>
      </c>
      <c r="Y4393">
        <v>1.533499E-2</v>
      </c>
      <c r="Z4393">
        <v>-1.770015E-3</v>
      </c>
      <c r="AA4393">
        <v>0.99988089999999996</v>
      </c>
      <c r="AB4393">
        <v>32</v>
      </c>
      <c r="AC4393">
        <v>-0.55889999999999396</v>
      </c>
      <c r="AD4393">
        <v>-6.8106E-2</v>
      </c>
      <c r="AE4393">
        <v>3.1300000000015801E-2</v>
      </c>
      <c r="AF4393">
        <v>1.39318177702025E-2</v>
      </c>
      <c r="AG4393">
        <v>-6.8106E-2</v>
      </c>
      <c r="AH4393">
        <v>0.55143444115567297</v>
      </c>
      <c r="AI4393">
        <v>97.038549516000501</v>
      </c>
      <c r="AJ4393">
        <v>88.552748022587593</v>
      </c>
      <c r="AK4393">
        <v>0.55579894357137005</v>
      </c>
      <c r="AL4393">
        <v>90.595351710914102</v>
      </c>
      <c r="AM4393">
        <v>85.641820325196505</v>
      </c>
      <c r="AN4393">
        <v>0.99999994408075699</v>
      </c>
    </row>
    <row r="4394" spans="1:40" x14ac:dyDescent="0.25">
      <c r="A4394" t="str">
        <f>"20190312161400462"</f>
        <v>20190312161400462</v>
      </c>
      <c r="B4394" t="str">
        <f>"1552378440450950"</f>
        <v>1552378440450950</v>
      </c>
      <c r="C4394" t="s">
        <v>40</v>
      </c>
      <c r="D4394">
        <v>5.6093190000000002</v>
      </c>
      <c r="E4394">
        <v>0.47833490000000001</v>
      </c>
      <c r="F4394" t="s">
        <v>43</v>
      </c>
      <c r="G4394">
        <v>-264.29270000000002</v>
      </c>
      <c r="H4394">
        <v>1.0441780000000001</v>
      </c>
      <c r="I4394">
        <v>140.929</v>
      </c>
      <c r="J4394">
        <v>-263.76560000000001</v>
      </c>
      <c r="K4394">
        <v>1.10948</v>
      </c>
      <c r="L4394">
        <v>140.89850000000001</v>
      </c>
      <c r="M4394">
        <v>-0.99953049999999999</v>
      </c>
      <c r="N4394">
        <v>0</v>
      </c>
      <c r="O4394">
        <v>3.0007949999999999E-2</v>
      </c>
      <c r="P4394">
        <v>-0.99426720000000002</v>
      </c>
      <c r="Q4394">
        <v>-1.6560249999999999E-2</v>
      </c>
      <c r="R4394">
        <v>0.1056344</v>
      </c>
      <c r="S4394">
        <v>-2.9987180000000002</v>
      </c>
      <c r="T4394">
        <v>-0.23051859999999999</v>
      </c>
      <c r="U4394">
        <v>0.14001459999999999</v>
      </c>
      <c r="V4394">
        <v>7.5763849999999994E-2</v>
      </c>
      <c r="W4394">
        <v>-1.027661E-2</v>
      </c>
      <c r="X4394">
        <v>0.99707279999999998</v>
      </c>
      <c r="Y4394">
        <v>1.6683010000000002E-2</v>
      </c>
      <c r="Z4394">
        <v>-1.6615789999999901E-3</v>
      </c>
      <c r="AA4394">
        <v>0.99985950000000001</v>
      </c>
      <c r="AB4394">
        <v>32</v>
      </c>
      <c r="AC4394">
        <v>-0.527100000000018</v>
      </c>
      <c r="AD4394">
        <v>-6.5301999999999902E-2</v>
      </c>
      <c r="AE4394">
        <v>3.04999999999893E-2</v>
      </c>
      <c r="AF4394">
        <v>1.44477587955165E-2</v>
      </c>
      <c r="AG4394">
        <v>-6.5301999999999902E-2</v>
      </c>
      <c r="AH4394">
        <v>0.51982593493217299</v>
      </c>
      <c r="AI4394">
        <v>97.1574143739563</v>
      </c>
      <c r="AJ4394">
        <v>88.407962175904203</v>
      </c>
      <c r="AK4394">
        <v>0.52411076268888201</v>
      </c>
      <c r="AL4394">
        <v>90.588816763242804</v>
      </c>
      <c r="AM4394">
        <v>85.65465739906</v>
      </c>
      <c r="AN4394">
        <v>0.99999996908987598</v>
      </c>
    </row>
    <row r="4395" spans="1:40" x14ac:dyDescent="0.25">
      <c r="A4395" t="str">
        <f>"20190312161400484"</f>
        <v>20190312161400484</v>
      </c>
      <c r="B4395" t="str">
        <f>"1552378440470467"</f>
        <v>1552378440470467</v>
      </c>
      <c r="C4395" t="s">
        <v>40</v>
      </c>
      <c r="D4395">
        <v>5.5588410000000001</v>
      </c>
      <c r="E4395">
        <v>0.47889520000000002</v>
      </c>
      <c r="F4395" t="s">
        <v>43</v>
      </c>
      <c r="G4395">
        <v>-264.58370000000002</v>
      </c>
      <c r="H4395">
        <v>1.046378</v>
      </c>
      <c r="I4395">
        <v>140.93729999999999</v>
      </c>
      <c r="J4395">
        <v>-264.0761</v>
      </c>
      <c r="K4395">
        <v>1.1094850000000001</v>
      </c>
      <c r="L4395">
        <v>140.90719999999999</v>
      </c>
      <c r="M4395">
        <v>-0.99954960000000004</v>
      </c>
      <c r="N4395">
        <v>0</v>
      </c>
      <c r="O4395">
        <v>2.936107E-2</v>
      </c>
      <c r="P4395">
        <v>-0.99433070000000001</v>
      </c>
      <c r="Q4395">
        <v>-1.6865080000000001E-2</v>
      </c>
      <c r="R4395">
        <v>0.10498739999999999</v>
      </c>
      <c r="S4395">
        <v>-2.998383</v>
      </c>
      <c r="T4395">
        <v>-0.23136880000000001</v>
      </c>
      <c r="U4395">
        <v>0.14208979999999999</v>
      </c>
      <c r="V4395">
        <v>7.576136E-2</v>
      </c>
      <c r="W4395">
        <v>-1.058154E-2</v>
      </c>
      <c r="X4395">
        <v>0.99706980000000001</v>
      </c>
      <c r="Y4395">
        <v>1.8020189999999998E-2</v>
      </c>
      <c r="Z4395">
        <v>-1.566574E-3</v>
      </c>
      <c r="AA4395">
        <v>0.99983639999999996</v>
      </c>
      <c r="AB4395">
        <v>32</v>
      </c>
      <c r="AC4395">
        <v>-0.50760000000002403</v>
      </c>
      <c r="AD4395">
        <v>-6.3106999999999996E-2</v>
      </c>
      <c r="AE4395">
        <v>3.0100000000004401E-2</v>
      </c>
      <c r="AF4395">
        <v>1.4952748606926001E-2</v>
      </c>
      <c r="AG4395">
        <v>-6.3106999999999996E-2</v>
      </c>
      <c r="AH4395">
        <v>0.50055520193509095</v>
      </c>
      <c r="AI4395">
        <v>97.182427230011797</v>
      </c>
      <c r="AJ4395">
        <v>88.288950580281806</v>
      </c>
      <c r="AK4395">
        <v>0.50473912898068596</v>
      </c>
      <c r="AL4395">
        <v>90.606288915941306</v>
      </c>
      <c r="AM4395">
        <v>85.654786639158999</v>
      </c>
      <c r="AN4395">
        <v>0.99999996936492996</v>
      </c>
    </row>
    <row r="4396" spans="1:40" x14ac:dyDescent="0.25">
      <c r="A4396" t="str">
        <f>"20190312161400507"</f>
        <v>20190312161400507</v>
      </c>
      <c r="B4396" t="str">
        <f>"1552378440500722"</f>
        <v>1552378440500722</v>
      </c>
      <c r="C4396" t="s">
        <v>40</v>
      </c>
      <c r="D4396">
        <v>5.4898809999999996</v>
      </c>
      <c r="E4396">
        <v>0.4795719</v>
      </c>
      <c r="F4396" t="s">
        <v>43</v>
      </c>
      <c r="G4396">
        <v>-264.87459999999999</v>
      </c>
      <c r="H4396">
        <v>1.0473809999999999</v>
      </c>
      <c r="I4396">
        <v>140.94589999999999</v>
      </c>
      <c r="J4396">
        <v>-264.41390000000001</v>
      </c>
      <c r="K4396">
        <v>1.109494</v>
      </c>
      <c r="L4396">
        <v>140.91650000000001</v>
      </c>
      <c r="M4396">
        <v>-0.99957019999999996</v>
      </c>
      <c r="N4396">
        <v>0</v>
      </c>
      <c r="O4396">
        <v>2.865554E-2</v>
      </c>
      <c r="P4396">
        <v>-0.99439310000000003</v>
      </c>
      <c r="Q4396">
        <v>-1.6714960000000001E-2</v>
      </c>
      <c r="R4396">
        <v>0.104418</v>
      </c>
      <c r="S4396">
        <v>-2.9978940000000001</v>
      </c>
      <c r="T4396">
        <v>-0.2332892</v>
      </c>
      <c r="U4396">
        <v>0.1443787</v>
      </c>
      <c r="V4396">
        <v>7.5894059999999999E-2</v>
      </c>
      <c r="W4396">
        <v>-1.0435420000000001E-2</v>
      </c>
      <c r="X4396">
        <v>0.99706130000000004</v>
      </c>
      <c r="Y4396">
        <v>1.948923E-2</v>
      </c>
      <c r="Z4396">
        <v>-1.4679669999999999E-3</v>
      </c>
      <c r="AA4396">
        <v>0.99980899999999995</v>
      </c>
      <c r="AB4396">
        <v>32</v>
      </c>
      <c r="AC4396">
        <v>-0.46069999999997402</v>
      </c>
      <c r="AD4396">
        <v>-6.2113000000000002E-2</v>
      </c>
      <c r="AE4396">
        <v>2.9399999999981202E-2</v>
      </c>
      <c r="AF4396">
        <v>1.5898251718959699E-2</v>
      </c>
      <c r="AG4396">
        <v>-6.2113000000000002E-2</v>
      </c>
      <c r="AH4396">
        <v>0.45314967958781699</v>
      </c>
      <c r="AI4396">
        <v>97.800127055876203</v>
      </c>
      <c r="AJ4396">
        <v>87.990665546307198</v>
      </c>
      <c r="AK4396">
        <v>0.45766298876712902</v>
      </c>
      <c r="AL4396">
        <v>90.597916363119296</v>
      </c>
      <c r="AM4396">
        <v>85.647168029670596</v>
      </c>
      <c r="AN4396">
        <v>1.00000002114577</v>
      </c>
    </row>
    <row r="4397" spans="1:40" x14ac:dyDescent="0.25">
      <c r="A4397" t="str">
        <f>"20190312161400530"</f>
        <v>20190312161400530</v>
      </c>
      <c r="B4397" t="str">
        <f>"1552378440521218"</f>
        <v>1552378440521218</v>
      </c>
      <c r="C4397" t="s">
        <v>40</v>
      </c>
      <c r="D4397">
        <v>5.5131129999999997</v>
      </c>
      <c r="E4397">
        <v>0.47979129999999998</v>
      </c>
      <c r="F4397" t="s">
        <v>43</v>
      </c>
      <c r="G4397">
        <v>-265.1712</v>
      </c>
      <c r="H4397">
        <v>1.0507029999999999</v>
      </c>
      <c r="I4397">
        <v>140.95400000000001</v>
      </c>
      <c r="J4397">
        <v>-264.74340000000001</v>
      </c>
      <c r="K4397">
        <v>1.109504</v>
      </c>
      <c r="L4397">
        <v>140.92529999999999</v>
      </c>
      <c r="M4397">
        <v>-0.99958990000000003</v>
      </c>
      <c r="N4397">
        <v>0</v>
      </c>
      <c r="O4397">
        <v>2.796247E-2</v>
      </c>
      <c r="P4397">
        <v>-0.99456999999999995</v>
      </c>
      <c r="Q4397">
        <v>-1.5654999999999999E-2</v>
      </c>
      <c r="R4397">
        <v>0.1028873</v>
      </c>
      <c r="S4397">
        <v>-2.9974980000000002</v>
      </c>
      <c r="T4397">
        <v>-0.232739</v>
      </c>
      <c r="U4397">
        <v>0.14797969999999999</v>
      </c>
      <c r="V4397">
        <v>7.5049080000000004E-2</v>
      </c>
      <c r="W4397">
        <v>-9.383466E-3</v>
      </c>
      <c r="X4397">
        <v>0.99713569999999996</v>
      </c>
      <c r="Y4397">
        <v>2.1379180000000001E-2</v>
      </c>
      <c r="Z4397">
        <v>-1.3377720000000001E-3</v>
      </c>
      <c r="AA4397">
        <v>0.99977050000000001</v>
      </c>
      <c r="AB4397">
        <v>32</v>
      </c>
      <c r="AC4397">
        <v>-0.42779999999999002</v>
      </c>
      <c r="AD4397">
        <v>-5.8800999999999798E-2</v>
      </c>
      <c r="AE4397">
        <v>2.87000000000148E-2</v>
      </c>
      <c r="AF4397">
        <v>1.64174289256349E-2</v>
      </c>
      <c r="AG4397">
        <v>-5.8800999999999798E-2</v>
      </c>
      <c r="AH4397">
        <v>0.42052608727197899</v>
      </c>
      <c r="AI4397">
        <v>97.953920243955196</v>
      </c>
      <c r="AJ4397">
        <v>87.7642958198863</v>
      </c>
      <c r="AK4397">
        <v>0.424934441590475</v>
      </c>
      <c r="AL4397">
        <v>90.537640884176298</v>
      </c>
      <c r="AM4397">
        <v>85.695767855668194</v>
      </c>
      <c r="AN4397">
        <v>1.00000000902875</v>
      </c>
    </row>
    <row r="4398" spans="1:40" x14ac:dyDescent="0.25">
      <c r="A4398" t="str">
        <f>"20190312161400552"</f>
        <v>20190312161400552</v>
      </c>
      <c r="B4398" t="str">
        <f>"1552378440540738"</f>
        <v>1552378440540738</v>
      </c>
      <c r="C4398" t="s">
        <v>40</v>
      </c>
      <c r="D4398">
        <v>5.490075</v>
      </c>
      <c r="E4398">
        <v>0.47991650000000002</v>
      </c>
      <c r="F4398" t="s">
        <v>43</v>
      </c>
      <c r="G4398">
        <v>-265.7405</v>
      </c>
      <c r="H4398">
        <v>1.0327959999999901</v>
      </c>
      <c r="I4398">
        <v>140.97380000000001</v>
      </c>
      <c r="J4398">
        <v>-265.07429999999999</v>
      </c>
      <c r="K4398">
        <v>1.1095120000000001</v>
      </c>
      <c r="L4398">
        <v>140.93379999999999</v>
      </c>
      <c r="M4398">
        <v>-0.99960950000000004</v>
      </c>
      <c r="N4398">
        <v>0</v>
      </c>
      <c r="O4398">
        <v>2.725611E-2</v>
      </c>
      <c r="P4398">
        <v>-0.99462879999999998</v>
      </c>
      <c r="Q4398">
        <v>-1.551424E-2</v>
      </c>
      <c r="R4398">
        <v>0.1023367</v>
      </c>
      <c r="S4398">
        <v>-2.9977109999999998</v>
      </c>
      <c r="T4398">
        <v>-0.23071320000000001</v>
      </c>
      <c r="U4398">
        <v>0.1453247</v>
      </c>
      <c r="V4398">
        <v>7.5201500000000004E-2</v>
      </c>
      <c r="W4398">
        <v>-9.2540420000000005E-3</v>
      </c>
      <c r="X4398">
        <v>0.99712540000000005</v>
      </c>
      <c r="Y4398">
        <v>2.1196909999999999E-2</v>
      </c>
      <c r="Z4398">
        <v>-1.2788840000000001E-3</v>
      </c>
      <c r="AA4398">
        <v>0.99977450000000001</v>
      </c>
      <c r="AB4398">
        <v>33</v>
      </c>
      <c r="AC4398">
        <v>-0.66620000000000301</v>
      </c>
      <c r="AD4398">
        <v>-7.6716000000000201E-2</v>
      </c>
      <c r="AE4398">
        <v>4.0000000000020401E-2</v>
      </c>
      <c r="AF4398">
        <v>2.1542138496713499E-2</v>
      </c>
      <c r="AG4398">
        <v>-7.6716000000000201E-2</v>
      </c>
      <c r="AH4398">
        <v>0.65834408342265405</v>
      </c>
      <c r="AI4398">
        <v>96.643104201987995</v>
      </c>
      <c r="AJ4398">
        <v>88.125853311152099</v>
      </c>
      <c r="AK4398">
        <v>0.66314880725567604</v>
      </c>
      <c r="AL4398">
        <v>90.530225127016607</v>
      </c>
      <c r="AM4398">
        <v>85.687014796749807</v>
      </c>
      <c r="AN4398">
        <v>0.99999998311037297</v>
      </c>
    </row>
    <row r="4399" spans="1:40" x14ac:dyDescent="0.25">
      <c r="A4399" t="str">
        <f>"20190312161400572"</f>
        <v>20190312161400572</v>
      </c>
      <c r="B4399" t="str">
        <f>"1552378440560259"</f>
        <v>1552378440560259</v>
      </c>
      <c r="C4399" t="s">
        <v>40</v>
      </c>
      <c r="D4399">
        <v>5.4923900000000003</v>
      </c>
      <c r="E4399">
        <v>0.48022389999999998</v>
      </c>
      <c r="F4399" t="s">
        <v>43</v>
      </c>
      <c r="G4399">
        <v>-266.03590000000003</v>
      </c>
      <c r="H4399">
        <v>1.0362800000000001</v>
      </c>
      <c r="I4399">
        <v>140.98050000000001</v>
      </c>
      <c r="J4399">
        <v>-265.38560000000001</v>
      </c>
      <c r="K4399">
        <v>1.109526</v>
      </c>
      <c r="L4399">
        <v>140.9417</v>
      </c>
      <c r="M4399">
        <v>-0.99962779999999996</v>
      </c>
      <c r="N4399">
        <v>0</v>
      </c>
      <c r="O4399">
        <v>2.6582339999999999E-2</v>
      </c>
      <c r="P4399">
        <v>-0.99457949999999995</v>
      </c>
      <c r="Q4399">
        <v>-1.554738E-2</v>
      </c>
      <c r="R4399">
        <v>0.1028125</v>
      </c>
      <c r="S4399">
        <v>-2.9977719999999999</v>
      </c>
      <c r="T4399">
        <v>-0.22846140000000001</v>
      </c>
      <c r="U4399">
        <v>0.1444397</v>
      </c>
      <c r="V4399">
        <v>7.6350849999999998E-2</v>
      </c>
      <c r="W4399">
        <v>-9.2983600000000003E-3</v>
      </c>
      <c r="X4399">
        <v>0.99703759999999997</v>
      </c>
      <c r="Y4399">
        <v>2.1571940000000001E-2</v>
      </c>
      <c r="Z4399">
        <v>-1.200947E-3</v>
      </c>
      <c r="AA4399">
        <v>0.99976659999999995</v>
      </c>
      <c r="AB4399">
        <v>33</v>
      </c>
      <c r="AC4399">
        <v>-0.65030000000001498</v>
      </c>
      <c r="AD4399">
        <v>-7.3246000000000103E-2</v>
      </c>
      <c r="AE4399">
        <v>3.8800000000009001E-2</v>
      </c>
      <c r="AF4399">
        <v>2.1231075902296101E-2</v>
      </c>
      <c r="AG4399">
        <v>-7.3246000000000103E-2</v>
      </c>
      <c r="AH4399">
        <v>0.64297348751345795</v>
      </c>
      <c r="AI4399">
        <v>96.495471863651801</v>
      </c>
      <c r="AJ4399">
        <v>88.108772374899502</v>
      </c>
      <c r="AK4399">
        <v>0.64748022421166496</v>
      </c>
      <c r="AL4399">
        <v>90.532764491612696</v>
      </c>
      <c r="AM4399">
        <v>85.620967184212304</v>
      </c>
      <c r="AN4399">
        <v>0.99999994380408397</v>
      </c>
    </row>
    <row r="4400" spans="1:40" x14ac:dyDescent="0.25">
      <c r="A4400" t="str">
        <f>"20190312161400595"</f>
        <v>20190312161400595</v>
      </c>
      <c r="B4400" t="str">
        <f>"1552378440590515"</f>
        <v>1552378440590515</v>
      </c>
      <c r="C4400" t="s">
        <v>40</v>
      </c>
      <c r="D4400">
        <v>5.4758709999999997</v>
      </c>
      <c r="E4400">
        <v>0.48074430000000001</v>
      </c>
      <c r="F4400" t="s">
        <v>43</v>
      </c>
      <c r="G4400">
        <v>-266.33100000000002</v>
      </c>
      <c r="H4400">
        <v>1.037247</v>
      </c>
      <c r="I4400">
        <v>140.98859999999999</v>
      </c>
      <c r="J4400">
        <v>-265.70330000000001</v>
      </c>
      <c r="K4400">
        <v>1.109534</v>
      </c>
      <c r="L4400">
        <v>140.9495</v>
      </c>
      <c r="M4400">
        <v>-0.99964609999999998</v>
      </c>
      <c r="N4400">
        <v>0</v>
      </c>
      <c r="O4400">
        <v>2.5879880000000001E-2</v>
      </c>
      <c r="P4400">
        <v>-0.99454889999999996</v>
      </c>
      <c r="Q4400">
        <v>-1.504131E-2</v>
      </c>
      <c r="R4400">
        <v>0.1031816</v>
      </c>
      <c r="S4400">
        <v>-2.9974370000000001</v>
      </c>
      <c r="T4400">
        <v>-0.2292469</v>
      </c>
      <c r="U4400">
        <v>0.14785770000000001</v>
      </c>
      <c r="V4400">
        <v>7.7420989999999995E-2</v>
      </c>
      <c r="W4400">
        <v>-8.8023189999999994E-3</v>
      </c>
      <c r="X4400">
        <v>0.99695959999999995</v>
      </c>
      <c r="Y4400">
        <v>2.3409869999999999E-2</v>
      </c>
      <c r="Z4400">
        <v>-1.0814360000000001E-3</v>
      </c>
      <c r="AA4400">
        <v>0.99972530000000004</v>
      </c>
      <c r="AB4400">
        <v>33</v>
      </c>
      <c r="AC4400">
        <v>-0.62769999999994697</v>
      </c>
      <c r="AD4400">
        <v>-7.2286999999999907E-2</v>
      </c>
      <c r="AE4400">
        <v>3.9099999999990503E-2</v>
      </c>
      <c r="AF4400">
        <v>2.2543967383662399E-2</v>
      </c>
      <c r="AG4400">
        <v>-7.2286999999999907E-2</v>
      </c>
      <c r="AH4400">
        <v>0.62030682582097196</v>
      </c>
      <c r="AI4400">
        <v>96.642594542574301</v>
      </c>
      <c r="AJ4400">
        <v>87.918601107983207</v>
      </c>
      <c r="AK4400">
        <v>0.62491135290894195</v>
      </c>
      <c r="AL4400">
        <v>90.5043422580856</v>
      </c>
      <c r="AM4400">
        <v>85.559488042741705</v>
      </c>
      <c r="AN4400">
        <v>0.99999996727225804</v>
      </c>
    </row>
    <row r="4401" spans="1:40" x14ac:dyDescent="0.25">
      <c r="A4401" t="str">
        <f>"20190312161400618"</f>
        <v>20190312161400618</v>
      </c>
      <c r="B4401" t="str">
        <f>"1552378440611011"</f>
        <v>1552378440611011</v>
      </c>
      <c r="C4401" t="s">
        <v>40</v>
      </c>
      <c r="D4401">
        <v>5.4768230000000004</v>
      </c>
      <c r="E4401">
        <v>0.48097600000000001</v>
      </c>
      <c r="F4401" t="s">
        <v>43</v>
      </c>
      <c r="G4401">
        <v>-266.62709999999998</v>
      </c>
      <c r="H4401">
        <v>1.0386010000000001</v>
      </c>
      <c r="I4401">
        <v>140.99690000000001</v>
      </c>
      <c r="J4401">
        <v>-266.04790000000003</v>
      </c>
      <c r="K4401">
        <v>1.1095520000000001</v>
      </c>
      <c r="L4401">
        <v>140.95769999999999</v>
      </c>
      <c r="M4401">
        <v>-0.99966650000000001</v>
      </c>
      <c r="N4401">
        <v>0</v>
      </c>
      <c r="O4401">
        <v>2.5093089999999998E-2</v>
      </c>
      <c r="P4401">
        <v>-0.99458009999999997</v>
      </c>
      <c r="Q4401">
        <v>-1.4664699999999999E-2</v>
      </c>
      <c r="R4401">
        <v>0.1029349</v>
      </c>
      <c r="S4401">
        <v>-2.9971009999999998</v>
      </c>
      <c r="T4401">
        <v>-0.230184</v>
      </c>
      <c r="U4401">
        <v>0.1531525</v>
      </c>
      <c r="V4401">
        <v>7.7958E-2</v>
      </c>
      <c r="W4401">
        <v>-8.4341299999999998E-3</v>
      </c>
      <c r="X4401">
        <v>0.9969209</v>
      </c>
      <c r="Y4401">
        <v>2.595416E-2</v>
      </c>
      <c r="Z4401">
        <v>-9.2814150000000001E-4</v>
      </c>
      <c r="AA4401">
        <v>0.99966270000000002</v>
      </c>
      <c r="AB4401">
        <v>33</v>
      </c>
      <c r="AC4401">
        <v>-0.57919999999995697</v>
      </c>
      <c r="AD4401">
        <v>-7.0950999999999903E-2</v>
      </c>
      <c r="AE4401">
        <v>3.92000000000223E-2</v>
      </c>
      <c r="AF4401">
        <v>2.4290628962592601E-2</v>
      </c>
      <c r="AG4401">
        <v>-7.0950999999999903E-2</v>
      </c>
      <c r="AH4401">
        <v>0.57146507569729099</v>
      </c>
      <c r="AI4401">
        <v>97.071095468831402</v>
      </c>
      <c r="AJ4401">
        <v>87.566057304282296</v>
      </c>
      <c r="AK4401">
        <v>0.57636482526096999</v>
      </c>
      <c r="AL4401">
        <v>90.483245814804107</v>
      </c>
      <c r="AM4401">
        <v>85.528639218390097</v>
      </c>
      <c r="AN4401">
        <v>0.999999932584831</v>
      </c>
    </row>
    <row r="4402" spans="1:40" x14ac:dyDescent="0.25">
      <c r="A4402" t="str">
        <f>"20190312161400640"</f>
        <v>20190312161400640</v>
      </c>
      <c r="B4402" t="str">
        <f>"1552378440630530"</f>
        <v>1552378440630530</v>
      </c>
      <c r="C4402" t="s">
        <v>40</v>
      </c>
      <c r="D4402">
        <v>5.5936820000000003</v>
      </c>
      <c r="E4402">
        <v>0.4811957</v>
      </c>
      <c r="F4402" t="s">
        <v>43</v>
      </c>
      <c r="G4402">
        <v>-266.92540000000002</v>
      </c>
      <c r="H4402">
        <v>1.0422119999999999</v>
      </c>
      <c r="I4402">
        <v>141.00309999999999</v>
      </c>
      <c r="J4402">
        <v>-266.3836</v>
      </c>
      <c r="K4402">
        <v>1.109577</v>
      </c>
      <c r="L4402">
        <v>140.96539999999999</v>
      </c>
      <c r="M4402">
        <v>-0.99968610000000002</v>
      </c>
      <c r="N4402">
        <v>0</v>
      </c>
      <c r="O4402">
        <v>2.4296700000000001E-2</v>
      </c>
      <c r="P4402">
        <v>-0.99463239999999997</v>
      </c>
      <c r="Q4402">
        <v>-1.492712E-2</v>
      </c>
      <c r="R4402">
        <v>0.1023902</v>
      </c>
      <c r="S4402">
        <v>-2.9970089999999998</v>
      </c>
      <c r="T4402">
        <v>-0.2300797</v>
      </c>
      <c r="U4402">
        <v>0.15446470000000001</v>
      </c>
      <c r="V4402">
        <v>7.8207219999999994E-2</v>
      </c>
      <c r="W4402">
        <v>-8.7016300000000001E-3</v>
      </c>
      <c r="X4402">
        <v>0.99689910000000004</v>
      </c>
      <c r="Y4402">
        <v>2.7182689999999999E-2</v>
      </c>
      <c r="Z4402">
        <v>-8.1970449999999896E-4</v>
      </c>
      <c r="AA4402">
        <v>0.99963020000000002</v>
      </c>
      <c r="AB4402">
        <v>33</v>
      </c>
      <c r="AC4402">
        <v>-0.54180000000002304</v>
      </c>
      <c r="AD4402">
        <v>-6.7364999999999897E-2</v>
      </c>
      <c r="AE4402">
        <v>3.7700000000000899E-2</v>
      </c>
      <c r="AF4402">
        <v>2.4153080928607198E-2</v>
      </c>
      <c r="AG4402">
        <v>-6.7364999999999897E-2</v>
      </c>
      <c r="AH4402">
        <v>0.53433538910502898</v>
      </c>
      <c r="AI4402">
        <v>97.178259757993004</v>
      </c>
      <c r="AJ4402">
        <v>87.411872280461196</v>
      </c>
      <c r="AK4402">
        <v>0.53910641119668201</v>
      </c>
      <c r="AL4402">
        <v>90.498572990004405</v>
      </c>
      <c r="AM4402">
        <v>85.514305503904396</v>
      </c>
      <c r="AN4402">
        <v>0.99999995160279598</v>
      </c>
    </row>
    <row r="4403" spans="1:40" x14ac:dyDescent="0.25">
      <c r="A4403" t="str">
        <f>"20190312161400663"</f>
        <v>20190312161400663</v>
      </c>
      <c r="B4403" t="str">
        <f>"1552378440651031"</f>
        <v>1552378440651031</v>
      </c>
      <c r="C4403" t="s">
        <v>40</v>
      </c>
      <c r="D4403">
        <v>5.633591</v>
      </c>
      <c r="E4403">
        <v>0.51664209999999899</v>
      </c>
      <c r="F4403" t="s">
        <v>43</v>
      </c>
      <c r="G4403">
        <v>-267.22469999999998</v>
      </c>
      <c r="H4403">
        <v>1.0451250000000001</v>
      </c>
      <c r="I4403">
        <v>141.00909999999999</v>
      </c>
      <c r="J4403">
        <v>-266.71300000000002</v>
      </c>
      <c r="K4403">
        <v>1.1095999999999999</v>
      </c>
      <c r="L4403">
        <v>140.9727</v>
      </c>
      <c r="M4403">
        <v>-0.99970570000000003</v>
      </c>
      <c r="N4403">
        <v>0</v>
      </c>
      <c r="O4403">
        <v>2.3481309999999998E-2</v>
      </c>
      <c r="P4403">
        <v>-0.99470360000000002</v>
      </c>
      <c r="Q4403">
        <v>-1.516177E-2</v>
      </c>
      <c r="R4403">
        <v>0.10166260000000001</v>
      </c>
      <c r="S4403">
        <v>-2.996826</v>
      </c>
      <c r="T4403">
        <v>-0.22982140000000001</v>
      </c>
      <c r="U4403">
        <v>0.15444949999999999</v>
      </c>
      <c r="V4403">
        <v>7.8292349999999997E-2</v>
      </c>
      <c r="W4403">
        <v>-8.9406119999999902E-3</v>
      </c>
      <c r="X4403">
        <v>0.99689039999999995</v>
      </c>
      <c r="Y4403">
        <v>2.799134E-2</v>
      </c>
      <c r="Z4403">
        <v>-7.2552939999999996E-4</v>
      </c>
      <c r="AA4403">
        <v>0.99960789999999999</v>
      </c>
      <c r="AB4403">
        <v>33</v>
      </c>
      <c r="AC4403">
        <v>-0.51170000000001803</v>
      </c>
      <c r="AD4403">
        <v>-6.4474999999999796E-2</v>
      </c>
      <c r="AE4403">
        <v>3.63999999999862E-2</v>
      </c>
      <c r="AF4403">
        <v>2.3995312808956799E-2</v>
      </c>
      <c r="AG4403">
        <v>-6.4474999999999796E-2</v>
      </c>
      <c r="AH4403">
        <v>0.50444519405292998</v>
      </c>
      <c r="AI4403">
        <v>97.275554964123003</v>
      </c>
      <c r="AJ4403">
        <v>87.276622641915196</v>
      </c>
      <c r="AK4403">
        <v>0.50911467712578995</v>
      </c>
      <c r="AL4403">
        <v>90.512266133998693</v>
      </c>
      <c r="AM4403">
        <v>85.509403673403298</v>
      </c>
      <c r="AN4403">
        <v>1.0000000481118001</v>
      </c>
    </row>
    <row r="4404" spans="1:40" x14ac:dyDescent="0.25">
      <c r="A4404" t="str">
        <f>"20190312161400683"</f>
        <v>20190312161400683</v>
      </c>
      <c r="B4404" t="str">
        <f>"1552378440671053"</f>
        <v>1552378440671053</v>
      </c>
      <c r="C4404" t="s">
        <v>40</v>
      </c>
      <c r="D4404">
        <v>5.5135389999999997</v>
      </c>
      <c r="E4404">
        <v>0.54422409999999999</v>
      </c>
      <c r="F4404" t="s">
        <v>43</v>
      </c>
      <c r="G4404">
        <v>-267.48309999999998</v>
      </c>
      <c r="H4404">
        <v>0.96750400000000003</v>
      </c>
      <c r="I4404">
        <v>141.08359999999999</v>
      </c>
      <c r="J4404">
        <v>-267.02339999999998</v>
      </c>
      <c r="K4404">
        <v>1.109626</v>
      </c>
      <c r="L4404">
        <v>140.97919999999999</v>
      </c>
      <c r="M4404">
        <v>-0.99972430000000001</v>
      </c>
      <c r="N4404">
        <v>0</v>
      </c>
      <c r="O4404">
        <v>2.2679620000000001E-2</v>
      </c>
      <c r="P4404">
        <v>-0.99481050000000004</v>
      </c>
      <c r="Q4404">
        <v>-1.5010040000000001E-2</v>
      </c>
      <c r="R4404">
        <v>0.1006341</v>
      </c>
      <c r="S4404">
        <v>-2.9639890000000002</v>
      </c>
      <c r="T4404">
        <v>-0.54687869999999905</v>
      </c>
      <c r="U4404">
        <v>0.42675780000000002</v>
      </c>
      <c r="V4404">
        <v>7.8061399999999906E-2</v>
      </c>
      <c r="W4404">
        <v>-8.7939960000000001E-3</v>
      </c>
      <c r="X4404">
        <v>0.99690970000000001</v>
      </c>
      <c r="Y4404">
        <v>0.11844349999999999</v>
      </c>
      <c r="Z4404">
        <v>6.6542769999999897E-3</v>
      </c>
      <c r="AA4404">
        <v>0.99293849999999995</v>
      </c>
      <c r="AB4404">
        <v>33</v>
      </c>
      <c r="AC4404">
        <v>-0.459699999999998</v>
      </c>
      <c r="AD4404">
        <v>-0.142121999999999</v>
      </c>
      <c r="AE4404">
        <v>0.10439999999999799</v>
      </c>
      <c r="AF4404">
        <v>8.6119436374052893E-2</v>
      </c>
      <c r="AG4404">
        <v>-0.142121999999999</v>
      </c>
      <c r="AH4404">
        <v>0.42345981326998999</v>
      </c>
      <c r="AI4404">
        <v>108.205441853767</v>
      </c>
      <c r="AJ4404">
        <v>78.504474245880601</v>
      </c>
      <c r="AK4404">
        <v>0.45489936651971602</v>
      </c>
      <c r="AL4404">
        <v>90.503865383984902</v>
      </c>
      <c r="AM4404">
        <v>85.522682606921094</v>
      </c>
      <c r="AN4404">
        <v>0.99999993324484604</v>
      </c>
    </row>
    <row r="4405" spans="1:40" x14ac:dyDescent="0.25">
      <c r="A4405" t="str">
        <f>"20190312161400708"</f>
        <v>20190312161400708</v>
      </c>
      <c r="B4405" t="str">
        <f>"1552378440700334"</f>
        <v>1552378440700334</v>
      </c>
      <c r="C4405" t="s">
        <v>40</v>
      </c>
      <c r="D4405">
        <v>5.504149</v>
      </c>
      <c r="E4405">
        <v>0.53344879999999995</v>
      </c>
      <c r="F4405" t="s">
        <v>43</v>
      </c>
      <c r="G4405">
        <v>-267.76319999999998</v>
      </c>
      <c r="H4405">
        <v>0.92439559999999998</v>
      </c>
      <c r="I4405">
        <v>141.14009999999999</v>
      </c>
      <c r="J4405">
        <v>-267.38589999999999</v>
      </c>
      <c r="K4405">
        <v>1.1096490000000001</v>
      </c>
      <c r="L4405">
        <v>140.98660000000001</v>
      </c>
      <c r="M4405">
        <v>-0.99974600000000002</v>
      </c>
      <c r="N4405">
        <v>0</v>
      </c>
      <c r="O4405">
        <v>2.1705080000000002E-2</v>
      </c>
      <c r="P4405">
        <v>-0.99499059999999995</v>
      </c>
      <c r="Q4405">
        <v>-1.4851319999999999E-2</v>
      </c>
      <c r="R4405">
        <v>9.8860310000000007E-2</v>
      </c>
      <c r="S4405">
        <v>-2.939972</v>
      </c>
      <c r="T4405">
        <v>-0.73619760000000001</v>
      </c>
      <c r="U4405">
        <v>0.63835140000000001</v>
      </c>
      <c r="V4405">
        <v>7.7256359999999996E-2</v>
      </c>
      <c r="W4405">
        <v>-8.6413110000000005E-3</v>
      </c>
      <c r="X4405">
        <v>0.99697380000000002</v>
      </c>
      <c r="Y4405">
        <v>0.18607889999999999</v>
      </c>
      <c r="Z4405">
        <v>1.7400740000000001E-2</v>
      </c>
      <c r="AA4405">
        <v>0.9823807</v>
      </c>
      <c r="AB4405">
        <v>33</v>
      </c>
      <c r="AC4405">
        <v>-0.37729999999999098</v>
      </c>
      <c r="AD4405">
        <v>-0.18525339999999901</v>
      </c>
      <c r="AE4405">
        <v>0.15349999999997899</v>
      </c>
      <c r="AF4405">
        <v>0.120375560352491</v>
      </c>
      <c r="AG4405">
        <v>-0.18525339999999901</v>
      </c>
      <c r="AH4405">
        <v>0.31532106122651699</v>
      </c>
      <c r="AI4405">
        <v>118.761128597552</v>
      </c>
      <c r="AJ4405">
        <v>69.1053672756819</v>
      </c>
      <c r="AK4405">
        <v>0.38501489502972802</v>
      </c>
      <c r="AL4405">
        <v>90.495116817919396</v>
      </c>
      <c r="AM4405">
        <v>85.568955678490795</v>
      </c>
      <c r="AN4405">
        <v>0.99999998765134401</v>
      </c>
    </row>
    <row r="4406" spans="1:40" x14ac:dyDescent="0.25">
      <c r="A4406" t="str">
        <f>"20190312161400731"</f>
        <v>20190312161400731</v>
      </c>
      <c r="B4406" t="str">
        <f>"1552378440720829"</f>
        <v>1552378440720829</v>
      </c>
      <c r="C4406" t="s">
        <v>40</v>
      </c>
      <c r="D4406">
        <v>5.5773780000000004</v>
      </c>
      <c r="E4406">
        <v>0.53495309999999996</v>
      </c>
      <c r="F4406" t="s">
        <v>43</v>
      </c>
      <c r="G4406">
        <v>-268.0806</v>
      </c>
      <c r="H4406">
        <v>0.96335119999999996</v>
      </c>
      <c r="I4406">
        <v>141.11609999999999</v>
      </c>
      <c r="J4406">
        <v>-267.7287</v>
      </c>
      <c r="K4406">
        <v>1.1096809999999999</v>
      </c>
      <c r="L4406">
        <v>140.9931</v>
      </c>
      <c r="M4406">
        <v>-0.9997663</v>
      </c>
      <c r="N4406">
        <v>0</v>
      </c>
      <c r="O4406">
        <v>2.0746420000000002E-2</v>
      </c>
      <c r="P4406">
        <v>-0.99516070000000001</v>
      </c>
      <c r="Q4406">
        <v>-1.5229319999999999E-2</v>
      </c>
      <c r="R4406">
        <v>9.7073770000000004E-2</v>
      </c>
      <c r="S4406">
        <v>-2.9511720000000001</v>
      </c>
      <c r="T4406">
        <v>-0.62156610000000001</v>
      </c>
      <c r="U4406">
        <v>0.55018619999999996</v>
      </c>
      <c r="V4406">
        <v>7.6423790000000005E-2</v>
      </c>
      <c r="W4406">
        <v>-9.0234600000000005E-3</v>
      </c>
      <c r="X4406">
        <v>0.99703459999999999</v>
      </c>
      <c r="Y4406">
        <v>0.1598888</v>
      </c>
      <c r="Z4406">
        <v>1.2232959999999999E-2</v>
      </c>
      <c r="AA4406">
        <v>0.98705920000000003</v>
      </c>
      <c r="AB4406">
        <v>34</v>
      </c>
      <c r="AC4406">
        <v>-0.35189999999999999</v>
      </c>
      <c r="AD4406">
        <v>-0.14632980000000001</v>
      </c>
      <c r="AE4406">
        <v>0.12299999999999001</v>
      </c>
      <c r="AF4406">
        <v>0.100228725349313</v>
      </c>
      <c r="AG4406">
        <v>-0.14632980000000001</v>
      </c>
      <c r="AH4406">
        <v>0.30706172120619102</v>
      </c>
      <c r="AI4406">
        <v>114.37173425456</v>
      </c>
      <c r="AJ4406">
        <v>71.922680038074304</v>
      </c>
      <c r="AK4406">
        <v>0.35460556733263099</v>
      </c>
      <c r="AL4406">
        <v>90.517013187750393</v>
      </c>
      <c r="AM4406">
        <v>85.616786935528197</v>
      </c>
      <c r="AN4406">
        <v>1.0000000060527401</v>
      </c>
    </row>
    <row r="4407" spans="1:40" x14ac:dyDescent="0.25">
      <c r="A4407" t="str">
        <f>"20190312161400753"</f>
        <v>20190312161400753</v>
      </c>
      <c r="B4407" t="str">
        <f>"1552378440740349"</f>
        <v>1552378440740349</v>
      </c>
      <c r="C4407" t="s">
        <v>40</v>
      </c>
      <c r="D4407">
        <v>5.9372210000000001</v>
      </c>
      <c r="E4407">
        <v>0.53971899999999995</v>
      </c>
      <c r="F4407" t="s">
        <v>43</v>
      </c>
      <c r="G4407">
        <v>-268.65839999999997</v>
      </c>
      <c r="H4407">
        <v>0.90417340000000002</v>
      </c>
      <c r="I4407">
        <v>141.1687</v>
      </c>
      <c r="J4407">
        <v>-268.06790000000001</v>
      </c>
      <c r="K4407">
        <v>1.109701</v>
      </c>
      <c r="L4407">
        <v>140.99930000000001</v>
      </c>
      <c r="M4407">
        <v>-0.99978610000000001</v>
      </c>
      <c r="N4407">
        <v>0</v>
      </c>
      <c r="O4407">
        <v>1.9774340000000001E-2</v>
      </c>
      <c r="P4407">
        <v>-0.99525640000000004</v>
      </c>
      <c r="Q4407">
        <v>-1.542961E-2</v>
      </c>
      <c r="R4407">
        <v>9.6058030000000003E-2</v>
      </c>
      <c r="S4407">
        <v>-2.9503170000000001</v>
      </c>
      <c r="T4407">
        <v>-0.65230859999999902</v>
      </c>
      <c r="U4407">
        <v>0.55616759999999998</v>
      </c>
      <c r="V4407">
        <v>7.6376769999999997E-2</v>
      </c>
      <c r="W4407">
        <v>-9.225245E-3</v>
      </c>
      <c r="X4407">
        <v>0.99703629999999999</v>
      </c>
      <c r="Y4407">
        <v>0.16245379999999901</v>
      </c>
      <c r="Z4407">
        <v>1.331386E-2</v>
      </c>
      <c r="AA4407">
        <v>0.98662629999999996</v>
      </c>
      <c r="AB4407">
        <v>34</v>
      </c>
      <c r="AC4407">
        <v>-0.59049999999996305</v>
      </c>
      <c r="AD4407">
        <v>-0.2055276</v>
      </c>
      <c r="AE4407">
        <v>0.169399999999996</v>
      </c>
      <c r="AF4407">
        <v>0.14181616318279699</v>
      </c>
      <c r="AG4407">
        <v>-0.2055276</v>
      </c>
      <c r="AH4407">
        <v>0.53396649343945701</v>
      </c>
      <c r="AI4407">
        <v>110.40572490216999</v>
      </c>
      <c r="AJ4407">
        <v>75.126190981632206</v>
      </c>
      <c r="AK4407">
        <v>0.58946894287797702</v>
      </c>
      <c r="AL4407">
        <v>90.528575127584801</v>
      </c>
      <c r="AM4407">
        <v>85.619480662455601</v>
      </c>
      <c r="AN4407">
        <v>0.99999994982931495</v>
      </c>
    </row>
    <row r="4408" spans="1:40" x14ac:dyDescent="0.25">
      <c r="A4408" t="str">
        <f>"20190312161400784"</f>
        <v>20190312161400784</v>
      </c>
      <c r="B4408" t="str">
        <f>"1552378440780366"</f>
        <v>1552378440780366</v>
      </c>
      <c r="C4408" t="s">
        <v>40</v>
      </c>
      <c r="D4408">
        <v>5.5442119999999999</v>
      </c>
      <c r="E4408">
        <v>0.53667189999999998</v>
      </c>
      <c r="F4408" t="s">
        <v>43</v>
      </c>
      <c r="G4408">
        <v>-268.964</v>
      </c>
      <c r="H4408">
        <v>0.90993570000000001</v>
      </c>
      <c r="I4408">
        <v>141.1789</v>
      </c>
      <c r="J4408">
        <v>-268.54399999999998</v>
      </c>
      <c r="K4408">
        <v>1.1097330000000001</v>
      </c>
      <c r="L4408">
        <v>141.00729999999999</v>
      </c>
      <c r="M4408">
        <v>-0.9998127</v>
      </c>
      <c r="N4408">
        <v>0</v>
      </c>
      <c r="O4408">
        <v>1.838393E-2</v>
      </c>
      <c r="P4408">
        <v>-0.99537370000000003</v>
      </c>
      <c r="Q4408">
        <v>-1.532903E-2</v>
      </c>
      <c r="R4408">
        <v>9.484998E-2</v>
      </c>
      <c r="S4408">
        <v>-2.9471440000000002</v>
      </c>
      <c r="T4408">
        <v>-0.65699859999999999</v>
      </c>
      <c r="U4408">
        <v>0.59042359999999905</v>
      </c>
      <c r="V4408">
        <v>7.6553699999999905E-2</v>
      </c>
      <c r="W4408">
        <v>-9.1245600000000003E-3</v>
      </c>
      <c r="X4408">
        <v>0.99702369999999996</v>
      </c>
      <c r="Y4408">
        <v>0.17468800000000001</v>
      </c>
      <c r="Z4408">
        <v>1.5044429999999999E-2</v>
      </c>
      <c r="AA4408">
        <v>0.98450890000000002</v>
      </c>
      <c r="AB4408">
        <v>34</v>
      </c>
      <c r="AC4408">
        <v>-0.41999999999995902</v>
      </c>
      <c r="AD4408">
        <v>-0.19979730000000001</v>
      </c>
      <c r="AE4408">
        <v>0.17160000000001199</v>
      </c>
      <c r="AF4408">
        <v>0.137236003579494</v>
      </c>
      <c r="AG4408">
        <v>-0.19979730000000001</v>
      </c>
      <c r="AH4408">
        <v>0.35436352423157802</v>
      </c>
      <c r="AI4408">
        <v>117.73401158153899</v>
      </c>
      <c r="AJ4408">
        <v>68.829878185705795</v>
      </c>
      <c r="AK4408">
        <v>0.42933225952819498</v>
      </c>
      <c r="AL4408">
        <v>90.522806036617197</v>
      </c>
      <c r="AM4408">
        <v>85.609317369589206</v>
      </c>
      <c r="AN4408">
        <v>0.99999999247028604</v>
      </c>
    </row>
    <row r="4409" spans="1:40" x14ac:dyDescent="0.25">
      <c r="A4409" t="str">
        <f>"20190312161400807"</f>
        <v>20190312161400807</v>
      </c>
      <c r="B4409" t="str">
        <f>"1552378440800862"</f>
        <v>1552378440800862</v>
      </c>
      <c r="C4409" t="s">
        <v>40</v>
      </c>
      <c r="D4409">
        <v>5.4597959999999999</v>
      </c>
      <c r="E4409">
        <v>0.53515990000000002</v>
      </c>
      <c r="F4409" t="s">
        <v>43</v>
      </c>
      <c r="G4409">
        <v>-269.28449999999998</v>
      </c>
      <c r="H4409">
        <v>0.95033339999999999</v>
      </c>
      <c r="I4409">
        <v>141.149</v>
      </c>
      <c r="J4409">
        <v>-268.89319999999998</v>
      </c>
      <c r="K4409">
        <v>1.1097399999999999</v>
      </c>
      <c r="L4409">
        <v>141.0128</v>
      </c>
      <c r="M4409">
        <v>-0.99983109999999997</v>
      </c>
      <c r="N4409">
        <v>0</v>
      </c>
      <c r="O4409">
        <v>1.7353670000000002E-2</v>
      </c>
      <c r="P4409">
        <v>-0.99545220000000001</v>
      </c>
      <c r="Q4409">
        <v>-1.521377E-2</v>
      </c>
      <c r="R4409">
        <v>9.4043249999999995E-2</v>
      </c>
      <c r="S4409">
        <v>-2.9504090000000001</v>
      </c>
      <c r="T4409">
        <v>-0.63513229999999998</v>
      </c>
      <c r="U4409">
        <v>0.56391910000000001</v>
      </c>
      <c r="V4409">
        <v>7.6773229999999998E-2</v>
      </c>
      <c r="W4409">
        <v>-9.0111600000000007E-3</v>
      </c>
      <c r="X4409">
        <v>0.9970078</v>
      </c>
      <c r="Y4409">
        <v>0.167347</v>
      </c>
      <c r="Z4409">
        <v>1.3994049999999999E-2</v>
      </c>
      <c r="AA4409">
        <v>0.98579870000000003</v>
      </c>
      <c r="AB4409">
        <v>34</v>
      </c>
      <c r="AC4409">
        <v>-0.39130000000000098</v>
      </c>
      <c r="AD4409">
        <v>-0.15940659999999901</v>
      </c>
      <c r="AE4409">
        <v>0.13620000000000199</v>
      </c>
      <c r="AF4409">
        <v>0.112705861195081</v>
      </c>
      <c r="AG4409">
        <v>-0.15940659999999901</v>
      </c>
      <c r="AH4409">
        <v>0.34285448048057299</v>
      </c>
      <c r="AI4409">
        <v>113.83041481331099</v>
      </c>
      <c r="AJ4409">
        <v>71.802858889052501</v>
      </c>
      <c r="AK4409">
        <v>0.39454058100135803</v>
      </c>
      <c r="AL4409">
        <v>90.516308454314796</v>
      </c>
      <c r="AM4409">
        <v>85.596705884828395</v>
      </c>
      <c r="AN4409">
        <v>0.99999994155500704</v>
      </c>
    </row>
    <row r="4410" spans="1:40" x14ac:dyDescent="0.25">
      <c r="A4410" t="str">
        <f>"20190312161400830"</f>
        <v>20190312161400830</v>
      </c>
      <c r="B4410" t="str">
        <f>"1552378440820381"</f>
        <v>1552378440820381</v>
      </c>
      <c r="C4410" t="s">
        <v>40</v>
      </c>
      <c r="D4410">
        <v>5.5579289999999997</v>
      </c>
      <c r="E4410">
        <v>0.53421109999999905</v>
      </c>
      <c r="F4410" t="s">
        <v>43</v>
      </c>
      <c r="G4410">
        <v>-269.59500000000003</v>
      </c>
      <c r="H4410">
        <v>0.96280149999999998</v>
      </c>
      <c r="I4410">
        <v>141.1438</v>
      </c>
      <c r="J4410">
        <v>-269.24250000000001</v>
      </c>
      <c r="K4410">
        <v>1.1097539999999999</v>
      </c>
      <c r="L4410">
        <v>141.018</v>
      </c>
      <c r="M4410">
        <v>-0.99984850000000003</v>
      </c>
      <c r="N4410">
        <v>0</v>
      </c>
      <c r="O4410">
        <v>1.6319319999999998E-2</v>
      </c>
      <c r="P4410">
        <v>-0.99554770000000004</v>
      </c>
      <c r="Q4410">
        <v>-1.543809E-2</v>
      </c>
      <c r="R4410">
        <v>9.2987169999999994E-2</v>
      </c>
      <c r="S4410">
        <v>-2.9522710000000001</v>
      </c>
      <c r="T4410">
        <v>-0.618166199999999</v>
      </c>
      <c r="U4410">
        <v>0.55036929999999995</v>
      </c>
      <c r="V4410">
        <v>7.6747629999999997E-2</v>
      </c>
      <c r="W4410">
        <v>-9.2398889999999994E-3</v>
      </c>
      <c r="X4410">
        <v>0.99700770000000005</v>
      </c>
      <c r="Y4410">
        <v>0.16410150000000001</v>
      </c>
      <c r="Z4410">
        <v>1.350428E-2</v>
      </c>
      <c r="AA4410">
        <v>0.98635099999999998</v>
      </c>
      <c r="AB4410">
        <v>34</v>
      </c>
      <c r="AC4410">
        <v>-0.35250000000002002</v>
      </c>
      <c r="AD4410">
        <v>-0.14695250000000001</v>
      </c>
      <c r="AE4410">
        <v>0.125799999999998</v>
      </c>
      <c r="AF4410">
        <v>0.10399820758838001</v>
      </c>
      <c r="AG4410">
        <v>-0.14695250000000001</v>
      </c>
      <c r="AH4410">
        <v>0.30715501801431599</v>
      </c>
      <c r="AI4410">
        <v>114.378155571007</v>
      </c>
      <c r="AJ4410">
        <v>71.2946496147337</v>
      </c>
      <c r="AK4410">
        <v>0.35602650116138901</v>
      </c>
      <c r="AL4410">
        <v>90.529414195250595</v>
      </c>
      <c r="AM4410">
        <v>85.598167949941796</v>
      </c>
      <c r="AN4410">
        <v>0.99999996405931901</v>
      </c>
    </row>
    <row r="4411" spans="1:40" x14ac:dyDescent="0.25">
      <c r="A4411" t="str">
        <f>"20190312161400851"</f>
        <v>20190312161400851</v>
      </c>
      <c r="B4411" t="str">
        <f>"1552378440840894"</f>
        <v>1552378440840894</v>
      </c>
      <c r="C4411" t="s">
        <v>40</v>
      </c>
      <c r="D4411">
        <v>5.50481</v>
      </c>
      <c r="E4411">
        <v>0.5333002</v>
      </c>
      <c r="F4411" t="s">
        <v>43</v>
      </c>
      <c r="G4411">
        <v>-270.18729999999999</v>
      </c>
      <c r="H4411">
        <v>0.91583870000000001</v>
      </c>
      <c r="I4411">
        <v>141.19069999999999</v>
      </c>
      <c r="J4411">
        <v>-269.5752</v>
      </c>
      <c r="K4411">
        <v>1.1097589999999999</v>
      </c>
      <c r="L4411">
        <v>141.02250000000001</v>
      </c>
      <c r="M4411">
        <v>-0.99986410000000003</v>
      </c>
      <c r="N4411">
        <v>0</v>
      </c>
      <c r="O4411">
        <v>1.533434E-2</v>
      </c>
      <c r="P4411">
        <v>-0.99566849999999996</v>
      </c>
      <c r="Q4411">
        <v>-1.557357E-2</v>
      </c>
      <c r="R4411">
        <v>9.1662540000000001E-2</v>
      </c>
      <c r="S4411">
        <v>-2.9536129999999998</v>
      </c>
      <c r="T4411">
        <v>-0.60625819999999997</v>
      </c>
      <c r="U4411">
        <v>0.53956599999999999</v>
      </c>
      <c r="V4411">
        <v>7.6403979999999996E-2</v>
      </c>
      <c r="W4411">
        <v>-9.3795179999999999E-3</v>
      </c>
      <c r="X4411">
        <v>0.99703280000000005</v>
      </c>
      <c r="Y4411">
        <v>0.16164909999999999</v>
      </c>
      <c r="Z4411">
        <v>1.3199020000000001E-2</v>
      </c>
      <c r="AA4411">
        <v>0.98675999999999997</v>
      </c>
      <c r="AB4411">
        <v>34</v>
      </c>
      <c r="AC4411">
        <v>-0.61209999999999798</v>
      </c>
      <c r="AD4411">
        <v>-0.19392029999999999</v>
      </c>
      <c r="AE4411">
        <v>0.168199999999984</v>
      </c>
      <c r="AF4411">
        <v>0.145239741143284</v>
      </c>
      <c r="AG4411">
        <v>-0.19392029999999999</v>
      </c>
      <c r="AH4411">
        <v>0.56214631735658405</v>
      </c>
      <c r="AI4411">
        <v>108.469139329786</v>
      </c>
      <c r="AJ4411">
        <v>75.513488407803905</v>
      </c>
      <c r="AK4411">
        <v>0.61213409256226403</v>
      </c>
      <c r="AL4411">
        <v>90.537414689366798</v>
      </c>
      <c r="AM4411">
        <v>85.617910812548999</v>
      </c>
      <c r="AN4411">
        <v>0.99999997389679596</v>
      </c>
    </row>
    <row r="4412" spans="1:40" x14ac:dyDescent="0.25">
      <c r="A4412" t="str">
        <f>"20190312161400873"</f>
        <v>20190312161400873</v>
      </c>
      <c r="B4412" t="str">
        <f>"1552378440860398"</f>
        <v>1552378440860398</v>
      </c>
      <c r="C4412" t="s">
        <v>40</v>
      </c>
      <c r="D4412">
        <v>5.5030749999999999</v>
      </c>
      <c r="E4412">
        <v>0.53336269999999997</v>
      </c>
      <c r="F4412" t="s">
        <v>43</v>
      </c>
      <c r="G4412">
        <v>-270.49770000000001</v>
      </c>
      <c r="H4412">
        <v>0.92299439999999999</v>
      </c>
      <c r="I4412">
        <v>141.1876</v>
      </c>
      <c r="J4412">
        <v>-269.90440000000001</v>
      </c>
      <c r="K4412">
        <v>1.1097629999999901</v>
      </c>
      <c r="L4412">
        <v>141.0266</v>
      </c>
      <c r="M4412">
        <v>-0.99987870000000001</v>
      </c>
      <c r="N4412">
        <v>0</v>
      </c>
      <c r="O4412">
        <v>1.436075E-2</v>
      </c>
      <c r="P4412">
        <v>-0.99585259999999998</v>
      </c>
      <c r="Q4412">
        <v>-1.4915400000000001E-2</v>
      </c>
      <c r="R4412">
        <v>8.9750919999999998E-2</v>
      </c>
      <c r="S4412">
        <v>-2.9550480000000001</v>
      </c>
      <c r="T4412">
        <v>-0.59835740000000004</v>
      </c>
      <c r="U4412">
        <v>0.52828980000000003</v>
      </c>
      <c r="V4412">
        <v>7.5459200000000004E-2</v>
      </c>
      <c r="W4412">
        <v>-8.7249559999999903E-3</v>
      </c>
      <c r="X4412">
        <v>0.99711070000000002</v>
      </c>
      <c r="Y4412">
        <v>0.15898689999999999</v>
      </c>
      <c r="Z4412">
        <v>1.295725E-2</v>
      </c>
      <c r="AA4412">
        <v>0.98719570000000001</v>
      </c>
      <c r="AB4412">
        <v>34</v>
      </c>
      <c r="AC4412">
        <v>-0.59329999999999905</v>
      </c>
      <c r="AD4412">
        <v>-0.18676859999999901</v>
      </c>
      <c r="AE4412">
        <v>0.161000000000001</v>
      </c>
      <c r="AF4412">
        <v>0.139579810892208</v>
      </c>
      <c r="AG4412">
        <v>-0.18676859999999901</v>
      </c>
      <c r="AH4412">
        <v>0.54522659583810595</v>
      </c>
      <c r="AI4412">
        <v>108.358448632076</v>
      </c>
      <c r="AJ4412">
        <v>75.640485702279094</v>
      </c>
      <c r="AK4412">
        <v>0.59298994457231202</v>
      </c>
      <c r="AL4412">
        <v>90.499909507018501</v>
      </c>
      <c r="AM4412">
        <v>85.672227583192495</v>
      </c>
      <c r="AN4412">
        <v>0.99999998188816497</v>
      </c>
    </row>
    <row r="4413" spans="1:40" x14ac:dyDescent="0.25">
      <c r="A4413" t="str">
        <f>"20190312161400896"</f>
        <v>20190312161400896</v>
      </c>
      <c r="B4413" t="str">
        <f>"1552378440890654"</f>
        <v>1552378440890654</v>
      </c>
      <c r="C4413" t="s">
        <v>40</v>
      </c>
      <c r="D4413">
        <v>5.3259030000000003</v>
      </c>
      <c r="E4413">
        <v>0.532968</v>
      </c>
      <c r="F4413" t="s">
        <v>43</v>
      </c>
      <c r="G4413">
        <v>-270.80680000000001</v>
      </c>
      <c r="H4413">
        <v>0.92494050000000005</v>
      </c>
      <c r="I4413">
        <v>141.1865</v>
      </c>
      <c r="J4413">
        <v>-270.26159999999999</v>
      </c>
      <c r="K4413">
        <v>1.1097760000000001</v>
      </c>
      <c r="L4413">
        <v>141.0308</v>
      </c>
      <c r="M4413">
        <v>-0.99989320000000004</v>
      </c>
      <c r="N4413">
        <v>0</v>
      </c>
      <c r="O4413">
        <v>1.330698E-2</v>
      </c>
      <c r="P4413">
        <v>-0.99604009999999998</v>
      </c>
      <c r="Q4413">
        <v>-1.4143050000000001E-2</v>
      </c>
      <c r="R4413">
        <v>8.7773039999999997E-2</v>
      </c>
      <c r="S4413">
        <v>-2.9562379999999999</v>
      </c>
      <c r="T4413">
        <v>-0.60559319999999905</v>
      </c>
      <c r="U4413">
        <v>0.52319340000000003</v>
      </c>
      <c r="V4413">
        <v>7.4528349999999993E-2</v>
      </c>
      <c r="W4413">
        <v>-7.9544490000000006E-3</v>
      </c>
      <c r="X4413">
        <v>0.99718720000000005</v>
      </c>
      <c r="Y4413">
        <v>0.15823480000000001</v>
      </c>
      <c r="Z4413">
        <v>1.324388E-2</v>
      </c>
      <c r="AA4413">
        <v>0.98731270000000004</v>
      </c>
      <c r="AB4413">
        <v>34</v>
      </c>
      <c r="AC4413">
        <v>-0.545200000000022</v>
      </c>
      <c r="AD4413">
        <v>-0.18483550000000001</v>
      </c>
      <c r="AE4413">
        <v>0.15569999999999501</v>
      </c>
      <c r="AF4413">
        <v>0.134172633717866</v>
      </c>
      <c r="AG4413">
        <v>-0.18483550000000001</v>
      </c>
      <c r="AH4413">
        <v>0.49465665864485298</v>
      </c>
      <c r="AI4413">
        <v>109.830986015742</v>
      </c>
      <c r="AJ4413">
        <v>74.824014547286097</v>
      </c>
      <c r="AK4413">
        <v>0.54484095628057305</v>
      </c>
      <c r="AL4413">
        <v>90.4557611487012</v>
      </c>
      <c r="AM4413">
        <v>85.725741746569398</v>
      </c>
      <c r="AN4413">
        <v>1.0000000300282199</v>
      </c>
    </row>
    <row r="4414" spans="1:40" x14ac:dyDescent="0.25">
      <c r="A4414" t="str">
        <f>"20190312161400920"</f>
        <v>20190312161400920</v>
      </c>
      <c r="B4414" t="str">
        <f>"1552378440910174"</f>
        <v>1552378440910174</v>
      </c>
      <c r="C4414" t="s">
        <v>40</v>
      </c>
      <c r="D4414">
        <v>5.4162109999999997</v>
      </c>
      <c r="E4414">
        <v>0.53225979999999995</v>
      </c>
      <c r="F4414" t="s">
        <v>43</v>
      </c>
      <c r="G4414">
        <v>-271.1182</v>
      </c>
      <c r="H4414">
        <v>0.93061530000000003</v>
      </c>
      <c r="I4414">
        <v>141.1799</v>
      </c>
      <c r="J4414">
        <v>-270.63619999999997</v>
      </c>
      <c r="K4414">
        <v>1.1097859999999999</v>
      </c>
      <c r="L4414">
        <v>141.03479999999999</v>
      </c>
      <c r="M4414">
        <v>-0.9999074</v>
      </c>
      <c r="N4414">
        <v>0</v>
      </c>
      <c r="O4414">
        <v>1.220331E-2</v>
      </c>
      <c r="P4414">
        <v>-0.99624259999999998</v>
      </c>
      <c r="Q4414">
        <v>-1.4230390000000001E-2</v>
      </c>
      <c r="R4414">
        <v>8.5431640000000003E-2</v>
      </c>
      <c r="S4414">
        <v>-2.9577640000000001</v>
      </c>
      <c r="T4414">
        <v>-0.61870879999999995</v>
      </c>
      <c r="U4414">
        <v>0.51443479999999997</v>
      </c>
      <c r="V4414">
        <v>7.3285610000000001E-2</v>
      </c>
      <c r="W4414">
        <v>-8.0421250000000007E-3</v>
      </c>
      <c r="X4414">
        <v>0.99727860000000002</v>
      </c>
      <c r="Y4414">
        <v>0.15629219999999999</v>
      </c>
      <c r="Z4414">
        <v>1.354847E-2</v>
      </c>
      <c r="AA4414">
        <v>0.98761790000000005</v>
      </c>
      <c r="AB4414">
        <v>35</v>
      </c>
      <c r="AC4414">
        <v>-0.48200000000002702</v>
      </c>
      <c r="AD4414">
        <v>-0.17917069999999999</v>
      </c>
      <c r="AE4414">
        <v>0.145100000000013</v>
      </c>
      <c r="AF4414">
        <v>0.12355330558508899</v>
      </c>
      <c r="AG4414">
        <v>-0.17917069999999999</v>
      </c>
      <c r="AH4414">
        <v>0.42933903180635202</v>
      </c>
      <c r="AI4414">
        <v>111.85284324656</v>
      </c>
      <c r="AJ4414">
        <v>73.945471600853693</v>
      </c>
      <c r="AK4414">
        <v>0.48135180823583501</v>
      </c>
      <c r="AL4414">
        <v>90.460784773460503</v>
      </c>
      <c r="AM4414">
        <v>85.797140096069199</v>
      </c>
      <c r="AN4414">
        <v>1.0000000312127699</v>
      </c>
    </row>
    <row r="4415" spans="1:40" x14ac:dyDescent="0.25">
      <c r="A4415" t="str">
        <f>"20190312161400942"</f>
        <v>20190312161400942</v>
      </c>
      <c r="B4415" t="str">
        <f>"1552378440930669"</f>
        <v>1552378440930669</v>
      </c>
      <c r="C4415" t="s">
        <v>40</v>
      </c>
      <c r="D4415">
        <v>5.4904549999999999</v>
      </c>
      <c r="E4415">
        <v>0.53180019999999995</v>
      </c>
      <c r="F4415" t="s">
        <v>43</v>
      </c>
      <c r="G4415">
        <v>-271.43430000000001</v>
      </c>
      <c r="H4415">
        <v>0.94435979999999997</v>
      </c>
      <c r="I4415">
        <v>141.1704</v>
      </c>
      <c r="J4415">
        <v>-270.97340000000003</v>
      </c>
      <c r="K4415">
        <v>1.1097889999999999</v>
      </c>
      <c r="L4415">
        <v>141.03799999999899</v>
      </c>
      <c r="M4415">
        <v>-0.99991890000000005</v>
      </c>
      <c r="N4415">
        <v>0</v>
      </c>
      <c r="O4415">
        <v>1.121106E-2</v>
      </c>
      <c r="P4415">
        <v>-0.99638979999999999</v>
      </c>
      <c r="Q4415">
        <v>-1.4352429999999999E-2</v>
      </c>
      <c r="R4415">
        <v>8.367463E-2</v>
      </c>
      <c r="S4415">
        <v>-2.959473</v>
      </c>
      <c r="T4415">
        <v>-0.61350569999999904</v>
      </c>
      <c r="U4415">
        <v>0.50202939999999996</v>
      </c>
      <c r="V4415">
        <v>7.2516899999999995E-2</v>
      </c>
      <c r="W4415">
        <v>-8.1621509999999994E-3</v>
      </c>
      <c r="X4415">
        <v>0.99733380000000005</v>
      </c>
      <c r="Y4415">
        <v>0.15324679999999999</v>
      </c>
      <c r="Z4415">
        <v>1.3325790000000001E-2</v>
      </c>
      <c r="AA4415">
        <v>0.98809809999999998</v>
      </c>
      <c r="AB4415">
        <v>35</v>
      </c>
      <c r="AC4415">
        <v>-0.46089999999998099</v>
      </c>
      <c r="AD4415">
        <v>-0.165429199999999</v>
      </c>
      <c r="AE4415">
        <v>0.132400000000018</v>
      </c>
      <c r="AF4415">
        <v>0.11369396033809</v>
      </c>
      <c r="AG4415">
        <v>-0.165429199999999</v>
      </c>
      <c r="AH4415">
        <v>0.413183431332241</v>
      </c>
      <c r="AI4415">
        <v>111.10805560854</v>
      </c>
      <c r="AJ4415">
        <v>74.614915979447105</v>
      </c>
      <c r="AK4415">
        <v>0.45936225874301501</v>
      </c>
      <c r="AL4415">
        <v>90.467661989766299</v>
      </c>
      <c r="AM4415">
        <v>85.841298757482406</v>
      </c>
      <c r="AN4415">
        <v>1.00000001505849</v>
      </c>
    </row>
    <row r="4416" spans="1:40" x14ac:dyDescent="0.25">
      <c r="A4416" t="str">
        <f>"20190312161400963"</f>
        <v>20190312161400963</v>
      </c>
      <c r="B4416" t="str">
        <f>"1552378440960927"</f>
        <v>1552378440960927</v>
      </c>
      <c r="C4416" t="s">
        <v>40</v>
      </c>
      <c r="D4416">
        <v>5.4254319999999998</v>
      </c>
      <c r="E4416">
        <v>0.53219179999999999</v>
      </c>
      <c r="F4416" t="s">
        <v>43</v>
      </c>
      <c r="G4416">
        <v>-271.74810000000002</v>
      </c>
      <c r="H4416">
        <v>0.95042260000000001</v>
      </c>
      <c r="I4416">
        <v>141.1671</v>
      </c>
      <c r="J4416">
        <v>-271.30180000000001</v>
      </c>
      <c r="K4416">
        <v>1.109791</v>
      </c>
      <c r="L4416">
        <v>141.04089999999999</v>
      </c>
      <c r="M4416">
        <v>-0.99992919999999996</v>
      </c>
      <c r="N4416">
        <v>0</v>
      </c>
      <c r="O4416">
        <v>1.024568E-2</v>
      </c>
      <c r="P4416">
        <v>-0.99652830000000003</v>
      </c>
      <c r="Q4416">
        <v>-1.4378810000000001E-2</v>
      </c>
      <c r="R4416">
        <v>8.2003290000000006E-2</v>
      </c>
      <c r="S4416">
        <v>-2.960693</v>
      </c>
      <c r="T4416">
        <v>-0.60906549999999904</v>
      </c>
      <c r="U4416">
        <v>0.49301149999999999</v>
      </c>
      <c r="V4416">
        <v>7.1807270000000006E-2</v>
      </c>
      <c r="W4416">
        <v>-8.1850099999999995E-3</v>
      </c>
      <c r="X4416">
        <v>0.99738499999999997</v>
      </c>
      <c r="Y4416">
        <v>0.15126889999999901</v>
      </c>
      <c r="Z4416">
        <v>1.3224359999999999E-2</v>
      </c>
      <c r="AA4416">
        <v>0.98840419999999996</v>
      </c>
      <c r="AB4416">
        <v>35</v>
      </c>
      <c r="AC4416">
        <v>-0.44630000000000702</v>
      </c>
      <c r="AD4416">
        <v>-0.15936839999999899</v>
      </c>
      <c r="AE4416">
        <v>0.126200000000011</v>
      </c>
      <c r="AF4416">
        <v>0.108777202455587</v>
      </c>
      <c r="AG4416">
        <v>-0.15936839999999899</v>
      </c>
      <c r="AH4416">
        <v>0.40030513909299198</v>
      </c>
      <c r="AI4416">
        <v>111.016061496118</v>
      </c>
      <c r="AJ4416">
        <v>74.797773622302699</v>
      </c>
      <c r="AK4416">
        <v>0.44438156023498898</v>
      </c>
      <c r="AL4416">
        <v>90.468971737433804</v>
      </c>
      <c r="AM4416">
        <v>85.882064612420194</v>
      </c>
      <c r="AN4416">
        <v>1.0000000583192701</v>
      </c>
    </row>
    <row r="4417" spans="1:40" x14ac:dyDescent="0.25">
      <c r="A4417" t="str">
        <f>"20190312161401098"</f>
        <v>20190312161401098</v>
      </c>
      <c r="B4417" t="str">
        <f>"1552378441090735"</f>
        <v>1552378441090735</v>
      </c>
      <c r="C4417" t="s">
        <v>40</v>
      </c>
      <c r="D4417">
        <v>5.0387510000000004</v>
      </c>
      <c r="E4417">
        <v>0.43838359999999899</v>
      </c>
      <c r="F4417" t="s">
        <v>44</v>
      </c>
      <c r="G4417">
        <v>0</v>
      </c>
      <c r="H4417">
        <v>0</v>
      </c>
      <c r="I4417">
        <v>0</v>
      </c>
      <c r="J4417">
        <v>-273.423</v>
      </c>
      <c r="K4417">
        <v>1.1098429999999999</v>
      </c>
      <c r="L4417">
        <v>141.0515</v>
      </c>
      <c r="M4417">
        <v>-0.99997290000000005</v>
      </c>
      <c r="N4417">
        <v>0</v>
      </c>
      <c r="O4417">
        <v>4.0232159999999996E-3</v>
      </c>
      <c r="P4417">
        <v>-0.99676290000000001</v>
      </c>
      <c r="Q4417">
        <v>-1.545235E-2</v>
      </c>
      <c r="R4417">
        <v>7.8899540000000004E-2</v>
      </c>
      <c r="S4417">
        <v>-3.0321039999999999</v>
      </c>
      <c r="T4417">
        <v>9.3228580000000005E-2</v>
      </c>
      <c r="U4417">
        <v>-0.25994869999999998</v>
      </c>
      <c r="V4417">
        <v>7.4910340000000006E-2</v>
      </c>
      <c r="W4417">
        <v>-9.1202209999999995E-3</v>
      </c>
      <c r="X4417">
        <v>0.99714860000000005</v>
      </c>
      <c r="Y4417">
        <v>-8.9382859999999995E-2</v>
      </c>
      <c r="Z4417">
        <v>1.4947509999999999E-3</v>
      </c>
      <c r="AA4417">
        <v>0.9959962</v>
      </c>
      <c r="AB4417">
        <v>35</v>
      </c>
      <c r="AC4417">
        <v>-3.0321039999999999</v>
      </c>
      <c r="AD4417">
        <v>9.3228580000000005E-2</v>
      </c>
      <c r="AE4417">
        <v>-0.25994869999999998</v>
      </c>
      <c r="AF4417">
        <v>-0.271890470864526</v>
      </c>
      <c r="AG4417">
        <v>9.3228580000000005E-2</v>
      </c>
      <c r="AH4417">
        <v>3.0281916830515501</v>
      </c>
      <c r="AI4417">
        <v>88.243659388031801</v>
      </c>
      <c r="AJ4417">
        <v>95.1306250544622</v>
      </c>
      <c r="AK4417">
        <v>3.0418022397220899</v>
      </c>
      <c r="AL4417">
        <v>90.522557398193399</v>
      </c>
      <c r="AM4417">
        <v>85.703750456224</v>
      </c>
      <c r="AN4417">
        <v>1.00000003397598</v>
      </c>
    </row>
    <row r="4418" spans="1:40" x14ac:dyDescent="0.25">
      <c r="A4418" t="str">
        <f>"20190312161401121"</f>
        <v>20190312161401121</v>
      </c>
      <c r="B4418" t="str">
        <f>"1552378441110254"</f>
        <v>1552378441110254</v>
      </c>
      <c r="C4418" t="s">
        <v>40</v>
      </c>
      <c r="D4418">
        <v>5.075539</v>
      </c>
      <c r="E4418">
        <v>0.44180809999999998</v>
      </c>
      <c r="F4418" t="s">
        <v>44</v>
      </c>
      <c r="G4418">
        <v>0</v>
      </c>
      <c r="H4418">
        <v>0</v>
      </c>
      <c r="I4418">
        <v>0</v>
      </c>
      <c r="J4418">
        <v>-273.79880000000003</v>
      </c>
      <c r="K4418">
        <v>1.1098509999999999</v>
      </c>
      <c r="L4418">
        <v>141.0521</v>
      </c>
      <c r="M4418">
        <v>-0.99997650000000005</v>
      </c>
      <c r="N4418">
        <v>0</v>
      </c>
      <c r="O4418">
        <v>2.9223780000000002E-3</v>
      </c>
      <c r="P4418">
        <v>-0.99687789999999998</v>
      </c>
      <c r="Q4418">
        <v>-1.519974E-2</v>
      </c>
      <c r="R4418">
        <v>7.7483300000000005E-2</v>
      </c>
      <c r="S4418">
        <v>-3.0311889999999999</v>
      </c>
      <c r="T4418">
        <v>0.1057922</v>
      </c>
      <c r="U4418">
        <v>-0.25010680000000002</v>
      </c>
      <c r="V4418">
        <v>7.4590760000000006E-2</v>
      </c>
      <c r="W4418">
        <v>-8.837513E-3</v>
      </c>
      <c r="X4418">
        <v>0.99717509999999998</v>
      </c>
      <c r="Y4418">
        <v>-8.509063E-2</v>
      </c>
      <c r="Z4418">
        <v>1.583711E-3</v>
      </c>
      <c r="AA4418">
        <v>0.99637200000000004</v>
      </c>
      <c r="AB4418">
        <v>36</v>
      </c>
      <c r="AC4418">
        <v>-3.0311889999999999</v>
      </c>
      <c r="AD4418">
        <v>0.1057922</v>
      </c>
      <c r="AE4418">
        <v>-0.25010680000000002</v>
      </c>
      <c r="AF4418">
        <v>-0.25865125094978902</v>
      </c>
      <c r="AG4418">
        <v>0.1057922</v>
      </c>
      <c r="AH4418">
        <v>3.0267831559408802</v>
      </c>
      <c r="AI4418">
        <v>88.005474661311197</v>
      </c>
      <c r="AJ4418">
        <v>94.884297452199903</v>
      </c>
      <c r="AK4418">
        <v>3.0396560220337698</v>
      </c>
      <c r="AL4418">
        <v>90.506358771684802</v>
      </c>
      <c r="AM4418">
        <v>85.722124050623293</v>
      </c>
      <c r="AN4418">
        <v>1.0000000315866999</v>
      </c>
    </row>
    <row r="4419" spans="1:40" x14ac:dyDescent="0.25">
      <c r="A4419" t="str">
        <f>"20190312161401143"</f>
        <v>20190312161401143</v>
      </c>
      <c r="B4419" t="str">
        <f>"1552378441130750"</f>
        <v>1552378441130750</v>
      </c>
      <c r="C4419" t="s">
        <v>40</v>
      </c>
      <c r="D4419">
        <v>5.0316000000000001</v>
      </c>
      <c r="E4419">
        <v>0.44383529999999999</v>
      </c>
      <c r="F4419" t="s">
        <v>44</v>
      </c>
      <c r="G4419">
        <v>0</v>
      </c>
      <c r="H4419">
        <v>0</v>
      </c>
      <c r="I4419">
        <v>0</v>
      </c>
      <c r="J4419">
        <v>-274.14850000000001</v>
      </c>
      <c r="K4419">
        <v>1.109855</v>
      </c>
      <c r="L4419">
        <v>141.0522</v>
      </c>
      <c r="M4419">
        <v>-0.9999789</v>
      </c>
      <c r="N4419">
        <v>0</v>
      </c>
      <c r="O4419">
        <v>1.8984469999999999E-3</v>
      </c>
      <c r="P4419">
        <v>-0.99699059999999995</v>
      </c>
      <c r="Q4419">
        <v>-1.490295E-2</v>
      </c>
      <c r="R4419">
        <v>7.6077770000000003E-2</v>
      </c>
      <c r="S4419">
        <v>-3.0281069999999999</v>
      </c>
      <c r="T4419">
        <v>6.148696E-2</v>
      </c>
      <c r="U4419">
        <v>-0.2280731</v>
      </c>
      <c r="V4419">
        <v>7.4205220000000002E-2</v>
      </c>
      <c r="W4419">
        <v>-8.5134719999999994E-3</v>
      </c>
      <c r="X4419">
        <v>0.99720660000000005</v>
      </c>
      <c r="Y4419">
        <v>-7.6982809999999999E-2</v>
      </c>
      <c r="Z4419">
        <v>8.1889020000000003E-4</v>
      </c>
      <c r="AA4419">
        <v>0.99703209999999998</v>
      </c>
      <c r="AB4419">
        <v>36</v>
      </c>
      <c r="AC4419">
        <v>-3.0281069999999999</v>
      </c>
      <c r="AD4419">
        <v>6.148696E-2</v>
      </c>
      <c r="AE4419">
        <v>-0.2280731</v>
      </c>
      <c r="AF4419">
        <v>-0.23372567679761999</v>
      </c>
      <c r="AG4419">
        <v>6.148696E-2</v>
      </c>
      <c r="AH4419">
        <v>3.0264277631178098</v>
      </c>
      <c r="AI4419">
        <v>88.839554658689593</v>
      </c>
      <c r="AJ4419">
        <v>94.416086413340395</v>
      </c>
      <c r="AK4419">
        <v>3.03606214422808</v>
      </c>
      <c r="AL4419">
        <v>90.487791932316</v>
      </c>
      <c r="AM4419">
        <v>85.744287756323899</v>
      </c>
      <c r="AN4419">
        <v>0.99999994848215001</v>
      </c>
    </row>
    <row r="4420" spans="1:40" x14ac:dyDescent="0.25">
      <c r="A4420" t="str">
        <f>"20190312161401165"</f>
        <v>20190312161401165</v>
      </c>
      <c r="B4420" t="str">
        <f>"1552378441161006"</f>
        <v>1552378441161006</v>
      </c>
      <c r="C4420" t="s">
        <v>40</v>
      </c>
      <c r="D4420">
        <v>5.112933</v>
      </c>
      <c r="E4420">
        <v>0.44496330000000001</v>
      </c>
      <c r="F4420" t="s">
        <v>44</v>
      </c>
      <c r="G4420">
        <v>0</v>
      </c>
      <c r="H4420">
        <v>0</v>
      </c>
      <c r="I4420">
        <v>0</v>
      </c>
      <c r="J4420">
        <v>-274.5059</v>
      </c>
      <c r="K4420">
        <v>1.1098520000000001</v>
      </c>
      <c r="L4420">
        <v>141.05199999999999</v>
      </c>
      <c r="M4420">
        <v>-0.99998019999999999</v>
      </c>
      <c r="N4420">
        <v>0</v>
      </c>
      <c r="O4420">
        <v>8.5263889999999897E-4</v>
      </c>
      <c r="P4420">
        <v>-0.99717750000000005</v>
      </c>
      <c r="Q4420">
        <v>-1.450656E-2</v>
      </c>
      <c r="R4420">
        <v>7.3666490000000001E-2</v>
      </c>
      <c r="S4420">
        <v>-3.0263369999999998</v>
      </c>
      <c r="T4420">
        <v>5.3296570000000001E-2</v>
      </c>
      <c r="U4420">
        <v>-0.21640010000000001</v>
      </c>
      <c r="V4420">
        <v>7.2835659999999997E-2</v>
      </c>
      <c r="W4420">
        <v>-8.0918190000000001E-3</v>
      </c>
      <c r="X4420">
        <v>0.99731110000000001</v>
      </c>
      <c r="Y4420">
        <v>-7.2162729999999994E-2</v>
      </c>
      <c r="Z4420">
        <v>6.495626E-4</v>
      </c>
      <c r="AA4420">
        <v>0.99739270000000002</v>
      </c>
      <c r="AB4420">
        <v>36</v>
      </c>
      <c r="AC4420">
        <v>-3.0263369999999998</v>
      </c>
      <c r="AD4420">
        <v>5.3296570000000001E-2</v>
      </c>
      <c r="AE4420">
        <v>-0.21640010000000001</v>
      </c>
      <c r="AF4420">
        <v>-0.218912894915506</v>
      </c>
      <c r="AG4420">
        <v>5.3296570000000001E-2</v>
      </c>
      <c r="AH4420">
        <v>3.0252179037109599</v>
      </c>
      <c r="AI4420">
        <v>88.993331578618694</v>
      </c>
      <c r="AJ4420">
        <v>94.138862404645195</v>
      </c>
      <c r="AK4420">
        <v>3.0335963384846298</v>
      </c>
      <c r="AL4420">
        <v>90.463632150616803</v>
      </c>
      <c r="AM4420">
        <v>85.822988322749296</v>
      </c>
      <c r="AN4420">
        <v>0.999999970542786</v>
      </c>
    </row>
    <row r="4421" spans="1:40" x14ac:dyDescent="0.25">
      <c r="A4421" t="str">
        <f>"20190312161401188"</f>
        <v>20190312161401188</v>
      </c>
      <c r="B4421" t="str">
        <f>"1552378441180526"</f>
        <v>1552378441180526</v>
      </c>
      <c r="C4421" t="s">
        <v>40</v>
      </c>
      <c r="D4421">
        <v>4.9793079999999996</v>
      </c>
      <c r="E4421">
        <v>0.44542700000000002</v>
      </c>
      <c r="F4421" t="s">
        <v>44</v>
      </c>
      <c r="G4421">
        <v>0</v>
      </c>
      <c r="H4421">
        <v>0</v>
      </c>
      <c r="I4421">
        <v>0</v>
      </c>
      <c r="J4421">
        <v>-274.85770000000002</v>
      </c>
      <c r="K4421">
        <v>1.10985</v>
      </c>
      <c r="L4421">
        <v>141.0514</v>
      </c>
      <c r="M4421">
        <v>-0.99998019999999999</v>
      </c>
      <c r="N4421">
        <v>0</v>
      </c>
      <c r="O4421">
        <v>-1.764115E-4</v>
      </c>
      <c r="P4421">
        <v>-0.99736230000000003</v>
      </c>
      <c r="Q4421">
        <v>-1.4763470000000001E-2</v>
      </c>
      <c r="R4421">
        <v>7.1068569999999998E-2</v>
      </c>
      <c r="S4421">
        <v>-3.0249630000000001</v>
      </c>
      <c r="T4421">
        <v>4.0317770000000003E-2</v>
      </c>
      <c r="U4421">
        <v>-0.2150726</v>
      </c>
      <c r="V4421">
        <v>7.1264770000000005E-2</v>
      </c>
      <c r="W4421">
        <v>-8.3253800000000003E-3</v>
      </c>
      <c r="X4421">
        <v>0.9974227</v>
      </c>
      <c r="Y4421">
        <v>-7.0738029999999993E-2</v>
      </c>
      <c r="Z4421">
        <v>4.6844729999999998E-4</v>
      </c>
      <c r="AA4421">
        <v>0.99749480000000001</v>
      </c>
      <c r="AB4421">
        <v>36</v>
      </c>
      <c r="AC4421">
        <v>-3.0249630000000001</v>
      </c>
      <c r="AD4421">
        <v>4.0317770000000003E-2</v>
      </c>
      <c r="AE4421">
        <v>-0.2150726</v>
      </c>
      <c r="AF4421">
        <v>-0.21450103446493801</v>
      </c>
      <c r="AG4421">
        <v>4.0317770000000003E-2</v>
      </c>
      <c r="AH4421">
        <v>3.0244663161349701</v>
      </c>
      <c r="AI4421">
        <v>89.238174872781499</v>
      </c>
      <c r="AJ4421">
        <v>94.056735548341393</v>
      </c>
      <c r="AK4421">
        <v>3.0323312341825899</v>
      </c>
      <c r="AL4421">
        <v>90.477014642203798</v>
      </c>
      <c r="AM4421">
        <v>85.913223521178196</v>
      </c>
      <c r="AN4421">
        <v>1.00000001093529</v>
      </c>
    </row>
    <row r="4422" spans="1:40" x14ac:dyDescent="0.25">
      <c r="A4422" t="str">
        <f>"20190312161401210"</f>
        <v>20190312161401210</v>
      </c>
      <c r="B4422" t="str">
        <f>"1552378441201025"</f>
        <v>1552378441201025</v>
      </c>
      <c r="C4422" t="s">
        <v>40</v>
      </c>
      <c r="D4422">
        <v>5.2436059999999998</v>
      </c>
      <c r="E4422">
        <v>0.44587830000000001</v>
      </c>
      <c r="F4422" t="s">
        <v>44</v>
      </c>
      <c r="G4422">
        <v>0</v>
      </c>
      <c r="H4422">
        <v>0</v>
      </c>
      <c r="I4422">
        <v>0</v>
      </c>
      <c r="J4422">
        <v>-275.22329999999999</v>
      </c>
      <c r="K4422">
        <v>1.109853</v>
      </c>
      <c r="L4422">
        <v>141.0504</v>
      </c>
      <c r="M4422">
        <v>-0.99997930000000002</v>
      </c>
      <c r="N4422">
        <v>0</v>
      </c>
      <c r="O4422">
        <v>-1.244446E-3</v>
      </c>
      <c r="P4422">
        <v>-0.99751710000000005</v>
      </c>
      <c r="Q4422">
        <v>-1.527823E-2</v>
      </c>
      <c r="R4422">
        <v>6.8747649999999993E-2</v>
      </c>
      <c r="S4422">
        <v>-3.0241389999999999</v>
      </c>
      <c r="T4422">
        <v>3.8093210000000002E-2</v>
      </c>
      <c r="U4422">
        <v>-0.21932979999999999</v>
      </c>
      <c r="V4422">
        <v>7.0010420000000004E-2</v>
      </c>
      <c r="W4422">
        <v>-8.8163489999999994E-3</v>
      </c>
      <c r="X4422">
        <v>0.99750729999999999</v>
      </c>
      <c r="Y4422">
        <v>-7.1089579999999999E-2</v>
      </c>
      <c r="Z4422">
        <v>4.3147630000000002E-4</v>
      </c>
      <c r="AA4422">
        <v>0.99746979999999996</v>
      </c>
      <c r="AB4422">
        <v>36</v>
      </c>
      <c r="AC4422">
        <v>-3.0241389999999999</v>
      </c>
      <c r="AD4422">
        <v>3.8093210000000002E-2</v>
      </c>
      <c r="AE4422">
        <v>-0.21932979999999999</v>
      </c>
      <c r="AF4422">
        <v>-0.21553215819647201</v>
      </c>
      <c r="AG4422">
        <v>3.8093210000000002E-2</v>
      </c>
      <c r="AH4422">
        <v>3.02393231454454</v>
      </c>
      <c r="AI4422">
        <v>89.280095438464997</v>
      </c>
      <c r="AJ4422">
        <v>94.076888416744893</v>
      </c>
      <c r="AK4422">
        <v>3.0318429785877101</v>
      </c>
      <c r="AL4422">
        <v>90.505146132439904</v>
      </c>
      <c r="AM4422">
        <v>85.9852580047109</v>
      </c>
      <c r="AN4422">
        <v>1.0000000002357701</v>
      </c>
    </row>
    <row r="4423" spans="1:40" x14ac:dyDescent="0.25">
      <c r="A4423" t="str">
        <f>"20190312161401233"</f>
        <v>20190312161401233</v>
      </c>
      <c r="B4423" t="str">
        <f>"1552378441220543"</f>
        <v>1552378441220543</v>
      </c>
      <c r="C4423" t="s">
        <v>40</v>
      </c>
      <c r="D4423">
        <v>5.2111039999999997</v>
      </c>
      <c r="E4423">
        <v>0.44641059999999999</v>
      </c>
      <c r="F4423" t="s">
        <v>44</v>
      </c>
      <c r="G4423">
        <v>0</v>
      </c>
      <c r="H4423">
        <v>0</v>
      </c>
      <c r="I4423">
        <v>0</v>
      </c>
      <c r="J4423">
        <v>-275.58150000000001</v>
      </c>
      <c r="K4423">
        <v>1.109855</v>
      </c>
      <c r="L4423">
        <v>141.04900000000001</v>
      </c>
      <c r="M4423">
        <v>-0.99997740000000002</v>
      </c>
      <c r="N4423">
        <v>0</v>
      </c>
      <c r="O4423">
        <v>-2.2885050000000001E-3</v>
      </c>
      <c r="P4423">
        <v>-0.99763579999999996</v>
      </c>
      <c r="Q4423">
        <v>-1.616625E-2</v>
      </c>
      <c r="R4423">
        <v>6.6795199999999999E-2</v>
      </c>
      <c r="S4423">
        <v>-3.0233759999999998</v>
      </c>
      <c r="T4423">
        <v>3.4024949999999998E-2</v>
      </c>
      <c r="U4423">
        <v>-0.22294620000000001</v>
      </c>
      <c r="V4423">
        <v>6.9101739999999995E-2</v>
      </c>
      <c r="W4423">
        <v>-9.6813790000000004E-3</v>
      </c>
      <c r="X4423">
        <v>0.99756259999999997</v>
      </c>
      <c r="Y4423">
        <v>-7.1254219999999993E-2</v>
      </c>
      <c r="Z4423">
        <v>3.746709E-4</v>
      </c>
      <c r="AA4423">
        <v>0.99745810000000001</v>
      </c>
      <c r="AB4423">
        <v>36</v>
      </c>
      <c r="AC4423">
        <v>-3.0233759999999998</v>
      </c>
      <c r="AD4423">
        <v>3.4024949999999998E-2</v>
      </c>
      <c r="AE4423">
        <v>-0.22294620000000001</v>
      </c>
      <c r="AF4423">
        <v>-0.21599925811828399</v>
      </c>
      <c r="AG4423">
        <v>3.4024949999999998E-2</v>
      </c>
      <c r="AH4423">
        <v>3.02349744649106</v>
      </c>
      <c r="AI4423">
        <v>89.356887654630498</v>
      </c>
      <c r="AJ4423">
        <v>94.086279587015596</v>
      </c>
      <c r="AK4423">
        <v>3.03139409936552</v>
      </c>
      <c r="AL4423">
        <v>90.554710844274396</v>
      </c>
      <c r="AM4423">
        <v>86.037418060731497</v>
      </c>
      <c r="AN4423">
        <v>0.99999996024456295</v>
      </c>
    </row>
    <row r="4424" spans="1:40" x14ac:dyDescent="0.25">
      <c r="A4424" t="str">
        <f>"20190312161401253"</f>
        <v>20190312161401253</v>
      </c>
      <c r="B4424" t="str">
        <f>"1552378441241039"</f>
        <v>1552378441241039</v>
      </c>
      <c r="C4424" t="s">
        <v>40</v>
      </c>
      <c r="D4424">
        <v>5.2162369999999996</v>
      </c>
      <c r="E4424">
        <v>0.44709919999999997</v>
      </c>
      <c r="F4424" t="s">
        <v>44</v>
      </c>
      <c r="G4424">
        <v>0</v>
      </c>
      <c r="H4424">
        <v>0</v>
      </c>
      <c r="I4424">
        <v>0</v>
      </c>
      <c r="J4424">
        <v>-275.92079999999999</v>
      </c>
      <c r="K4424">
        <v>1.1098589999999999</v>
      </c>
      <c r="L4424">
        <v>141.04740000000001</v>
      </c>
      <c r="M4424">
        <v>-0.99997449999999999</v>
      </c>
      <c r="N4424">
        <v>0</v>
      </c>
      <c r="O4424">
        <v>-3.2750909999999999E-3</v>
      </c>
      <c r="P4424">
        <v>-0.9977338</v>
      </c>
      <c r="Q4424">
        <v>-1.5988309999999999E-2</v>
      </c>
      <c r="R4424">
        <v>6.5358659999999999E-2</v>
      </c>
      <c r="S4424">
        <v>-3.0226440000000001</v>
      </c>
      <c r="T4424">
        <v>2.8110619999999999E-2</v>
      </c>
      <c r="U4424">
        <v>-0.2245636</v>
      </c>
      <c r="V4424">
        <v>6.8649169999999995E-2</v>
      </c>
      <c r="W4424">
        <v>-9.4815880000000009E-3</v>
      </c>
      <c r="X4424">
        <v>0.99759580000000003</v>
      </c>
      <c r="Y4424">
        <v>-7.082012E-2</v>
      </c>
      <c r="Z4424">
        <v>2.9843820000000001E-4</v>
      </c>
      <c r="AA4424">
        <v>0.99748899999999996</v>
      </c>
      <c r="AB4424">
        <v>36</v>
      </c>
      <c r="AC4424">
        <v>-3.0226440000000001</v>
      </c>
      <c r="AD4424">
        <v>2.8110619999999999E-2</v>
      </c>
      <c r="AE4424">
        <v>-0.2245636</v>
      </c>
      <c r="AF4424">
        <v>-0.21464429936165799</v>
      </c>
      <c r="AG4424">
        <v>2.8110619999999999E-2</v>
      </c>
      <c r="AH4424">
        <v>3.0231032360648</v>
      </c>
      <c r="AI4424">
        <v>89.468582691808805</v>
      </c>
      <c r="AJ4424">
        <v>94.061260206688104</v>
      </c>
      <c r="AK4424">
        <v>3.0308440339467699</v>
      </c>
      <c r="AL4424">
        <v>90.543263118553298</v>
      </c>
      <c r="AM4424">
        <v>86.063419045073303</v>
      </c>
      <c r="AN4424">
        <v>0.99999999461516498</v>
      </c>
    </row>
    <row r="4425" spans="1:40" x14ac:dyDescent="0.25">
      <c r="A4425" t="str">
        <f>"20190312161401275"</f>
        <v>20190312161401275</v>
      </c>
      <c r="B4425" t="str">
        <f>"1552378441270318"</f>
        <v>1552378441270318</v>
      </c>
      <c r="C4425" t="s">
        <v>40</v>
      </c>
      <c r="D4425">
        <v>5.2886220000000002</v>
      </c>
      <c r="E4425">
        <v>0.44769829999999999</v>
      </c>
      <c r="F4425" t="s">
        <v>44</v>
      </c>
      <c r="G4425">
        <v>0</v>
      </c>
      <c r="H4425">
        <v>0</v>
      </c>
      <c r="I4425">
        <v>0</v>
      </c>
      <c r="J4425">
        <v>-276.27629999999999</v>
      </c>
      <c r="K4425">
        <v>1.109861</v>
      </c>
      <c r="L4425">
        <v>141.0453</v>
      </c>
      <c r="M4425">
        <v>-0.99997060000000004</v>
      </c>
      <c r="N4425">
        <v>0</v>
      </c>
      <c r="O4425">
        <v>-4.3044659999999998E-3</v>
      </c>
      <c r="P4425">
        <v>-0.99783679999999997</v>
      </c>
      <c r="Q4425">
        <v>-1.5202820000000001E-2</v>
      </c>
      <c r="R4425">
        <v>6.3958070000000006E-2</v>
      </c>
      <c r="S4425">
        <v>-3.0218509999999998</v>
      </c>
      <c r="T4425">
        <v>2.362883E-2</v>
      </c>
      <c r="U4425">
        <v>-0.223526</v>
      </c>
      <c r="V4425">
        <v>6.8274089999999996E-2</v>
      </c>
      <c r="W4425">
        <v>-8.6738179999999998E-3</v>
      </c>
      <c r="X4425">
        <v>0.99762890000000004</v>
      </c>
      <c r="Y4425">
        <v>-6.9472880000000001E-2</v>
      </c>
      <c r="Z4425">
        <v>2.3763000000000001E-4</v>
      </c>
      <c r="AA4425">
        <v>0.99758380000000002</v>
      </c>
      <c r="AB4425">
        <v>36</v>
      </c>
      <c r="AC4425">
        <v>-3.0218509999999998</v>
      </c>
      <c r="AD4425">
        <v>2.362883E-2</v>
      </c>
      <c r="AE4425">
        <v>-0.223526</v>
      </c>
      <c r="AF4425">
        <v>-0.210503411787689</v>
      </c>
      <c r="AG4425">
        <v>2.362883E-2</v>
      </c>
      <c r="AH4425">
        <v>3.0226013814483101</v>
      </c>
      <c r="AI4425">
        <v>89.553188321757204</v>
      </c>
      <c r="AJ4425">
        <v>93.983824820593796</v>
      </c>
      <c r="AK4425">
        <v>3.0300147060888398</v>
      </c>
      <c r="AL4425">
        <v>90.496979393377799</v>
      </c>
      <c r="AM4425">
        <v>86.084989852663696</v>
      </c>
      <c r="AN4425">
        <v>1.00000000429961</v>
      </c>
    </row>
    <row r="4426" spans="1:40" x14ac:dyDescent="0.25">
      <c r="A4426" t="str">
        <f>"20190312161401299"</f>
        <v>20190312161401299</v>
      </c>
      <c r="B4426" t="str">
        <f>"1552378441290814"</f>
        <v>1552378441290814</v>
      </c>
      <c r="C4426" t="s">
        <v>40</v>
      </c>
      <c r="D4426">
        <v>5.3220609999999997</v>
      </c>
      <c r="E4426">
        <v>0.44826749999999999</v>
      </c>
      <c r="F4426" t="s">
        <v>44</v>
      </c>
      <c r="G4426">
        <v>0</v>
      </c>
      <c r="H4426">
        <v>0</v>
      </c>
      <c r="I4426">
        <v>0</v>
      </c>
      <c r="J4426">
        <v>-276.66890000000001</v>
      </c>
      <c r="K4426">
        <v>1.1098680000000001</v>
      </c>
      <c r="L4426">
        <v>141.0427</v>
      </c>
      <c r="M4426">
        <v>-0.99996470000000004</v>
      </c>
      <c r="N4426">
        <v>0</v>
      </c>
      <c r="O4426">
        <v>-5.4357650000000004E-3</v>
      </c>
      <c r="P4426">
        <v>-0.9979519</v>
      </c>
      <c r="Q4426">
        <v>-1.4891669999999999E-2</v>
      </c>
      <c r="R4426">
        <v>6.2210620000000001E-2</v>
      </c>
      <c r="S4426">
        <v>-3.0210880000000002</v>
      </c>
      <c r="T4426">
        <v>1.7071490000000002E-2</v>
      </c>
      <c r="U4426">
        <v>-0.22326660000000001</v>
      </c>
      <c r="V4426">
        <v>6.7654889999999995E-2</v>
      </c>
      <c r="W4426">
        <v>-8.3394019999999992E-3</v>
      </c>
      <c r="X4426">
        <v>0.9976739</v>
      </c>
      <c r="Y4426">
        <v>-6.8278560000000002E-2</v>
      </c>
      <c r="Z4426">
        <v>1.6197600000000001E-4</v>
      </c>
      <c r="AA4426">
        <v>0.99766630000000001</v>
      </c>
      <c r="AB4426">
        <v>36</v>
      </c>
      <c r="AC4426">
        <v>-3.0210880000000002</v>
      </c>
      <c r="AD4426">
        <v>1.7071490000000002E-2</v>
      </c>
      <c r="AE4426">
        <v>-0.22326660000000001</v>
      </c>
      <c r="AF4426">
        <v>-0.20683447124722501</v>
      </c>
      <c r="AG4426">
        <v>1.7071490000000002E-2</v>
      </c>
      <c r="AH4426">
        <v>3.0221610374278001</v>
      </c>
      <c r="AI4426">
        <v>89.6771081136974</v>
      </c>
      <c r="AJ4426">
        <v>93.915175679584806</v>
      </c>
      <c r="AK4426">
        <v>3.0292786716335001</v>
      </c>
      <c r="AL4426">
        <v>90.477818090945107</v>
      </c>
      <c r="AM4426">
        <v>86.120561888564893</v>
      </c>
      <c r="AN4426">
        <v>0.99999997025391896</v>
      </c>
    </row>
    <row r="4427" spans="1:40" x14ac:dyDescent="0.25">
      <c r="A4427" t="str">
        <f>"20190312161401321"</f>
        <v>20190312161401321</v>
      </c>
      <c r="B4427" t="str">
        <f>"1552378441310334"</f>
        <v>1552378441310334</v>
      </c>
      <c r="C4427" t="s">
        <v>40</v>
      </c>
      <c r="D4427">
        <v>5.2357230000000001</v>
      </c>
      <c r="E4427">
        <v>0.44849660000000002</v>
      </c>
      <c r="F4427" t="s">
        <v>44</v>
      </c>
      <c r="G4427">
        <v>0</v>
      </c>
      <c r="H4427">
        <v>0</v>
      </c>
      <c r="I4427">
        <v>0</v>
      </c>
      <c r="J4427">
        <v>-277.02109999999999</v>
      </c>
      <c r="K4427">
        <v>1.1098650000000001</v>
      </c>
      <c r="L4427">
        <v>141.03989999999999</v>
      </c>
      <c r="M4427">
        <v>-0.99995860000000003</v>
      </c>
      <c r="N4427">
        <v>0</v>
      </c>
      <c r="O4427">
        <v>-6.4450890000000002E-3</v>
      </c>
      <c r="P4427">
        <v>-0.99803660000000005</v>
      </c>
      <c r="Q4427">
        <v>-1.496053E-2</v>
      </c>
      <c r="R4427">
        <v>6.0821489999999999E-2</v>
      </c>
      <c r="S4427">
        <v>-3.0202939999999998</v>
      </c>
      <c r="T4427">
        <v>1.101422E-2</v>
      </c>
      <c r="U4427">
        <v>-0.22415160000000001</v>
      </c>
      <c r="V4427">
        <v>6.7273589999999994E-2</v>
      </c>
      <c r="W4427">
        <v>-8.3877719999999999E-3</v>
      </c>
      <c r="X4427">
        <v>0.99769929999999996</v>
      </c>
      <c r="Y4427">
        <v>-6.7582130000000004E-2</v>
      </c>
      <c r="Z4427" s="1">
        <v>9.9587399999999995E-5</v>
      </c>
      <c r="AA4427">
        <v>0.99771370000000004</v>
      </c>
      <c r="AB4427">
        <v>36</v>
      </c>
      <c r="AC4427">
        <v>-3.0202939999999998</v>
      </c>
      <c r="AD4427">
        <v>1.101422E-2</v>
      </c>
      <c r="AE4427">
        <v>-0.22415160000000001</v>
      </c>
      <c r="AF4427">
        <v>-0.204677771961362</v>
      </c>
      <c r="AG4427">
        <v>1.101422E-2</v>
      </c>
      <c r="AH4427">
        <v>3.0216360096167101</v>
      </c>
      <c r="AI4427">
        <v>89.791628533978198</v>
      </c>
      <c r="AJ4427">
        <v>93.875147611317601</v>
      </c>
      <c r="AK4427">
        <v>3.0285802743182599</v>
      </c>
      <c r="AL4427">
        <v>90.480589574401606</v>
      </c>
      <c r="AM4427">
        <v>86.142457943285194</v>
      </c>
      <c r="AN4427">
        <v>0.99999999192555</v>
      </c>
    </row>
    <row r="4428" spans="1:40" x14ac:dyDescent="0.25">
      <c r="A4428" t="str">
        <f>"20190312161401344"</f>
        <v>20190312161401344</v>
      </c>
      <c r="B4428" t="str">
        <f>"1552378441340590"</f>
        <v>1552378441340590</v>
      </c>
      <c r="C4428" t="s">
        <v>40</v>
      </c>
      <c r="D4428">
        <v>5.3485769999999997</v>
      </c>
      <c r="E4428">
        <v>0.4584626</v>
      </c>
      <c r="F4428" t="s">
        <v>44</v>
      </c>
      <c r="G4428">
        <v>0</v>
      </c>
      <c r="H4428">
        <v>0</v>
      </c>
      <c r="I4428">
        <v>0</v>
      </c>
      <c r="J4428">
        <v>-277.40089999999998</v>
      </c>
      <c r="K4428">
        <v>1.109864</v>
      </c>
      <c r="L4428">
        <v>141.03649999999999</v>
      </c>
      <c r="M4428">
        <v>-0.99995100000000003</v>
      </c>
      <c r="N4428">
        <v>0</v>
      </c>
      <c r="O4428">
        <v>-7.5252100000000001E-3</v>
      </c>
      <c r="P4428">
        <v>-0.99811859999999997</v>
      </c>
      <c r="Q4428">
        <v>-1.456622E-2</v>
      </c>
      <c r="R4428">
        <v>5.9558149999999997E-2</v>
      </c>
      <c r="S4428">
        <v>-3.0198360000000002</v>
      </c>
      <c r="T4428">
        <v>8.7224250000000007E-3</v>
      </c>
      <c r="U4428">
        <v>-0.2266388</v>
      </c>
      <c r="V4428">
        <v>6.7087380000000002E-2</v>
      </c>
      <c r="W4428">
        <v>-7.9717880000000005E-3</v>
      </c>
      <c r="X4428">
        <v>0.99771520000000002</v>
      </c>
      <c r="Y4428">
        <v>-6.7332929999999999E-2</v>
      </c>
      <c r="Z4428" s="1">
        <v>7.5400849999999995E-5</v>
      </c>
      <c r="AA4428">
        <v>0.99773060000000002</v>
      </c>
      <c r="AB4428">
        <v>37</v>
      </c>
      <c r="AC4428">
        <v>-3.0198360000000002</v>
      </c>
      <c r="AD4428">
        <v>8.7224250000000007E-3</v>
      </c>
      <c r="AE4428">
        <v>-0.2266388</v>
      </c>
      <c r="AF4428">
        <v>-0.203905320774972</v>
      </c>
      <c r="AG4428">
        <v>8.7224250000000007E-3</v>
      </c>
      <c r="AH4428">
        <v>3.0214309644965902</v>
      </c>
      <c r="AI4428">
        <v>89.834971379961601</v>
      </c>
      <c r="AJ4428">
        <v>93.860828362964298</v>
      </c>
      <c r="AK4428">
        <v>3.0283161218335501</v>
      </c>
      <c r="AL4428">
        <v>90.456754671381503</v>
      </c>
      <c r="AM4428">
        <v>86.1531644481271</v>
      </c>
      <c r="AN4428">
        <v>0.99999994313510898</v>
      </c>
    </row>
    <row r="4429" spans="1:40" x14ac:dyDescent="0.25">
      <c r="A4429" t="str">
        <f>"20190312161401366"</f>
        <v>20190312161401366</v>
      </c>
      <c r="B4429" t="str">
        <f>"1552378441360110"</f>
        <v>1552378441360110</v>
      </c>
      <c r="C4429" t="s">
        <v>40</v>
      </c>
      <c r="D4429">
        <v>5.4069710000000004</v>
      </c>
      <c r="E4429">
        <v>0.4578506</v>
      </c>
      <c r="F4429" t="s">
        <v>42</v>
      </c>
      <c r="G4429">
        <v>-328.80739999999997</v>
      </c>
      <c r="H4429" s="1">
        <v>-7.0594149999999997E-7</v>
      </c>
      <c r="I4429">
        <v>138.43610000000001</v>
      </c>
      <c r="J4429">
        <v>-277.77030000000002</v>
      </c>
      <c r="K4429">
        <v>1.109866</v>
      </c>
      <c r="L4429">
        <v>141.03280000000001</v>
      </c>
      <c r="M4429">
        <v>-0.99994240000000001</v>
      </c>
      <c r="N4429">
        <v>0</v>
      </c>
      <c r="O4429">
        <v>-8.5609420000000002E-3</v>
      </c>
      <c r="P4429">
        <v>-0.99821660000000001</v>
      </c>
      <c r="Q4429">
        <v>-1.371261E-2</v>
      </c>
      <c r="R4429">
        <v>5.8101300000000002E-2</v>
      </c>
      <c r="S4429">
        <v>-3.0138240000000001</v>
      </c>
      <c r="T4429">
        <v>-6.5068479999999998E-2</v>
      </c>
      <c r="U4429">
        <v>-0.15245059999999999</v>
      </c>
      <c r="V4429">
        <v>6.6662559999999996E-2</v>
      </c>
      <c r="W4429">
        <v>-7.0986299999999999E-3</v>
      </c>
      <c r="X4429">
        <v>0.99775029999999998</v>
      </c>
      <c r="Y4429">
        <v>-4.1959370000000003E-2</v>
      </c>
      <c r="Z4429">
        <v>-2.6792610000000002E-4</v>
      </c>
      <c r="AA4429">
        <v>0.99911930000000004</v>
      </c>
      <c r="AB4429">
        <v>37</v>
      </c>
      <c r="AC4429">
        <v>-51.037099999999903</v>
      </c>
      <c r="AD4429">
        <v>-1.1098667059414999</v>
      </c>
      <c r="AE4429">
        <v>-2.59669999999999</v>
      </c>
      <c r="AF4429">
        <v>-2.1586518386453601</v>
      </c>
      <c r="AG4429">
        <v>-1.1098667059414999</v>
      </c>
      <c r="AH4429">
        <v>51.033388906516898</v>
      </c>
      <c r="AI4429">
        <v>91.244751171058894</v>
      </c>
      <c r="AJ4429">
        <v>92.422099692399101</v>
      </c>
      <c r="AK4429">
        <v>51.091079115137603</v>
      </c>
      <c r="AL4429">
        <v>90.406724965674798</v>
      </c>
      <c r="AM4429">
        <v>86.177585540488096</v>
      </c>
      <c r="AN4429">
        <v>0.99999997430185905</v>
      </c>
    </row>
    <row r="4430" spans="1:40" x14ac:dyDescent="0.25">
      <c r="A4430" t="str">
        <f>"20190312161401389"</f>
        <v>20190312161401389</v>
      </c>
      <c r="B4430" t="str">
        <f>"1552378441380607"</f>
        <v>1552378441380607</v>
      </c>
      <c r="C4430" t="s">
        <v>40</v>
      </c>
      <c r="D4430">
        <v>5.4544499999999996</v>
      </c>
      <c r="E4430">
        <v>0.45757710000000001</v>
      </c>
      <c r="F4430" t="s">
        <v>42</v>
      </c>
      <c r="G4430">
        <v>-327.09120000000001</v>
      </c>
      <c r="H4430" s="1">
        <v>-1.448438E-6</v>
      </c>
      <c r="I4430">
        <v>138.38589999999999</v>
      </c>
      <c r="J4430">
        <v>-278.14249999999998</v>
      </c>
      <c r="K4430">
        <v>1.109856</v>
      </c>
      <c r="L4430">
        <v>141.02869999999999</v>
      </c>
      <c r="M4430">
        <v>-0.99993319999999997</v>
      </c>
      <c r="N4430">
        <v>0</v>
      </c>
      <c r="O4430">
        <v>-9.582307E-3</v>
      </c>
      <c r="P4430">
        <v>-0.99830989999999997</v>
      </c>
      <c r="Q4430">
        <v>-1.381829E-2</v>
      </c>
      <c r="R4430">
        <v>5.645037E-2</v>
      </c>
      <c r="S4430">
        <v>-3.013855</v>
      </c>
      <c r="T4430">
        <v>-6.7820790000000006E-2</v>
      </c>
      <c r="U4430">
        <v>-0.1617432</v>
      </c>
      <c r="V4430">
        <v>6.6031619999999999E-2</v>
      </c>
      <c r="W4430">
        <v>-7.1864930000000004E-3</v>
      </c>
      <c r="X4430">
        <v>0.9977916</v>
      </c>
      <c r="Y4430">
        <v>-4.400954E-2</v>
      </c>
      <c r="Z4430">
        <v>-2.7931830000000002E-4</v>
      </c>
      <c r="AA4430">
        <v>0.99903109999999995</v>
      </c>
      <c r="AB4430">
        <v>37</v>
      </c>
      <c r="AC4430">
        <v>-48.948700000000002</v>
      </c>
      <c r="AD4430">
        <v>-1.1098574484379999</v>
      </c>
      <c r="AE4430">
        <v>-2.64279999999999</v>
      </c>
      <c r="AF4430">
        <v>-2.1725137378916601</v>
      </c>
      <c r="AG4430">
        <v>-1.1098574484379999</v>
      </c>
      <c r="AH4430">
        <v>48.946686644353399</v>
      </c>
      <c r="AI4430">
        <v>91.297671887087901</v>
      </c>
      <c r="AJ4430">
        <v>92.541422753443698</v>
      </c>
      <c r="AK4430">
        <v>49.007445688973696</v>
      </c>
      <c r="AL4430">
        <v>90.411759283809104</v>
      </c>
      <c r="AM4430">
        <v>86.213814010682</v>
      </c>
      <c r="AN4430">
        <v>0.99999994877600995</v>
      </c>
    </row>
    <row r="4431" spans="1:40" x14ac:dyDescent="0.25">
      <c r="A4431" t="str">
        <f>"20190312161401410"</f>
        <v>20190312161401410</v>
      </c>
      <c r="B4431" t="str">
        <f>"1552378441401104"</f>
        <v>1552378441401104</v>
      </c>
      <c r="C4431" t="s">
        <v>40</v>
      </c>
      <c r="D4431">
        <v>5.4868540000000001</v>
      </c>
      <c r="E4431">
        <v>0.4576963</v>
      </c>
      <c r="F4431" t="s">
        <v>42</v>
      </c>
      <c r="G4431">
        <v>-323.85239999999999</v>
      </c>
      <c r="H4431" s="1">
        <v>-2.8236579999999999E-6</v>
      </c>
      <c r="I4431">
        <v>138.4659</v>
      </c>
      <c r="J4431">
        <v>-278.50099999999998</v>
      </c>
      <c r="K4431">
        <v>1.109836</v>
      </c>
      <c r="L4431">
        <v>141.02449999999999</v>
      </c>
      <c r="M4431">
        <v>-0.99992340000000002</v>
      </c>
      <c r="N4431">
        <v>0</v>
      </c>
      <c r="O4431">
        <v>-1.053422E-2</v>
      </c>
      <c r="P4431">
        <v>-0.99840969999999996</v>
      </c>
      <c r="Q4431">
        <v>-1.388528E-2</v>
      </c>
      <c r="R4431">
        <v>5.4639630000000002E-2</v>
      </c>
      <c r="S4431">
        <v>-3.0136409999999998</v>
      </c>
      <c r="T4431">
        <v>-7.3172810000000005E-2</v>
      </c>
      <c r="U4431">
        <v>-0.16896059999999999</v>
      </c>
      <c r="V4431">
        <v>6.5171729999999997E-2</v>
      </c>
      <c r="W4431">
        <v>-7.2383789999999996E-3</v>
      </c>
      <c r="X4431">
        <v>0.99784779999999995</v>
      </c>
      <c r="Y4431">
        <v>-4.5446060000000003E-2</v>
      </c>
      <c r="Z4431">
        <v>-2.9569219999999997E-4</v>
      </c>
      <c r="AA4431">
        <v>0.99896680000000004</v>
      </c>
      <c r="AB4431">
        <v>37</v>
      </c>
      <c r="AC4431">
        <v>-45.351399999999998</v>
      </c>
      <c r="AD4431">
        <v>-1.1098388236579999</v>
      </c>
      <c r="AE4431">
        <v>-2.5585999999999798</v>
      </c>
      <c r="AF4431">
        <v>-2.0794649202686801</v>
      </c>
      <c r="AG4431">
        <v>-1.1098388236579999</v>
      </c>
      <c r="AH4431">
        <v>45.3487647169216</v>
      </c>
      <c r="AI4431">
        <v>91.400472130482896</v>
      </c>
      <c r="AJ4431">
        <v>92.625455446477702</v>
      </c>
      <c r="AK4431">
        <v>45.409981038532003</v>
      </c>
      <c r="AL4431">
        <v>90.414732192905106</v>
      </c>
      <c r="AM4431">
        <v>86.263188475825501</v>
      </c>
      <c r="AN4431">
        <v>0.99999999024329</v>
      </c>
    </row>
    <row r="4432" spans="1:40" x14ac:dyDescent="0.25">
      <c r="A4432" t="str">
        <f>"20190312161401433"</f>
        <v>20190312161401433</v>
      </c>
      <c r="B4432" t="str">
        <f>"1552378441420622"</f>
        <v>1552378441420622</v>
      </c>
      <c r="C4432" t="s">
        <v>40</v>
      </c>
      <c r="D4432">
        <v>5.4624930000000003</v>
      </c>
      <c r="E4432">
        <v>0.45764739999999998</v>
      </c>
      <c r="F4432" t="s">
        <v>42</v>
      </c>
      <c r="G4432">
        <v>-321.68439999999998</v>
      </c>
      <c r="H4432" s="1">
        <v>-3.7410970000000002E-6</v>
      </c>
      <c r="I4432">
        <v>138.53720000000001</v>
      </c>
      <c r="J4432">
        <v>-278.86649999999997</v>
      </c>
      <c r="K4432">
        <v>1.1098110000000001</v>
      </c>
      <c r="L4432">
        <v>141.0198</v>
      </c>
      <c r="M4432">
        <v>-0.99991289999999999</v>
      </c>
      <c r="N4432">
        <v>0</v>
      </c>
      <c r="O4432">
        <v>-1.1476190000000001E-2</v>
      </c>
      <c r="P4432">
        <v>-0.99850539999999999</v>
      </c>
      <c r="Q4432">
        <v>-1.43482E-2</v>
      </c>
      <c r="R4432">
        <v>5.2739170000000002E-2</v>
      </c>
      <c r="S4432">
        <v>-3.0132140000000001</v>
      </c>
      <c r="T4432">
        <v>-7.7441449999999995E-2</v>
      </c>
      <c r="U4432">
        <v>-0.1735535</v>
      </c>
      <c r="V4432">
        <v>6.4213199999999998E-2</v>
      </c>
      <c r="W4432">
        <v>-7.6868730000000003E-3</v>
      </c>
      <c r="X4432">
        <v>0.99790659999999998</v>
      </c>
      <c r="Y4432">
        <v>-4.6029559999999997E-2</v>
      </c>
      <c r="Z4432">
        <v>-2.962773E-4</v>
      </c>
      <c r="AA4432">
        <v>0.9989401</v>
      </c>
      <c r="AB4432">
        <v>37</v>
      </c>
      <c r="AC4432">
        <v>-42.817900000000002</v>
      </c>
      <c r="AD4432">
        <v>-1.1098147410969901</v>
      </c>
      <c r="AE4432">
        <v>-2.4825999999999899</v>
      </c>
      <c r="AF4432">
        <v>-1.9897074708996401</v>
      </c>
      <c r="AG4432">
        <v>-1.1098147410969901</v>
      </c>
      <c r="AH4432">
        <v>42.814904200653501</v>
      </c>
      <c r="AI4432">
        <v>91.483244176210704</v>
      </c>
      <c r="AJ4432">
        <v>92.660752835058403</v>
      </c>
      <c r="AK4432">
        <v>42.875478379727099</v>
      </c>
      <c r="AL4432">
        <v>90.440429716790803</v>
      </c>
      <c r="AM4432">
        <v>86.318212640111696</v>
      </c>
      <c r="AN4432">
        <v>1.0000000026971501</v>
      </c>
    </row>
    <row r="4433" spans="1:40" x14ac:dyDescent="0.25">
      <c r="A4433" t="str">
        <f>"20190312161401454"</f>
        <v>20190312161401454</v>
      </c>
      <c r="B4433" t="str">
        <f>"1552378441450879"</f>
        <v>1552378441450879</v>
      </c>
      <c r="C4433" t="s">
        <v>40</v>
      </c>
      <c r="D4433">
        <v>5.5368259999999996</v>
      </c>
      <c r="E4433">
        <v>0.45812599999999998</v>
      </c>
      <c r="F4433" t="s">
        <v>84</v>
      </c>
      <c r="G4433">
        <v>-319.55860000000001</v>
      </c>
      <c r="H4433" s="1">
        <v>-5.222431E-6</v>
      </c>
      <c r="I4433">
        <v>138.59309999999999</v>
      </c>
      <c r="J4433">
        <v>-279.22289999999998</v>
      </c>
      <c r="K4433">
        <v>1.109783</v>
      </c>
      <c r="L4433">
        <v>141.01499999999999</v>
      </c>
      <c r="M4433">
        <v>-0.99990230000000002</v>
      </c>
      <c r="N4433">
        <v>0</v>
      </c>
      <c r="O4433">
        <v>-1.235721E-2</v>
      </c>
      <c r="P4433">
        <v>-0.99856259999999997</v>
      </c>
      <c r="Q4433">
        <v>-1.591511E-2</v>
      </c>
      <c r="R4433">
        <v>5.1184130000000001E-2</v>
      </c>
      <c r="S4433">
        <v>-3.0128170000000001</v>
      </c>
      <c r="T4433">
        <v>-8.2170129999999994E-2</v>
      </c>
      <c r="U4433">
        <v>-0.1796722</v>
      </c>
      <c r="V4433">
        <v>6.3541199999999895E-2</v>
      </c>
      <c r="W4433">
        <v>-9.239433E-3</v>
      </c>
      <c r="X4433">
        <v>0.99793639999999995</v>
      </c>
      <c r="Y4433">
        <v>-4.7177200000000002E-2</v>
      </c>
      <c r="Z4433">
        <v>-3.0602119999999998E-4</v>
      </c>
      <c r="AA4433">
        <v>0.99888650000000001</v>
      </c>
      <c r="AB4433">
        <v>37</v>
      </c>
      <c r="AC4433">
        <v>-40.335700000000003</v>
      </c>
      <c r="AD4433">
        <v>-1.1097882224310001</v>
      </c>
      <c r="AE4433">
        <v>-2.4218999999999902</v>
      </c>
      <c r="AF4433">
        <v>-1.9218181100027401</v>
      </c>
      <c r="AG4433">
        <v>-1.1097882224310001</v>
      </c>
      <c r="AH4433">
        <v>40.332126570158202</v>
      </c>
      <c r="AI4433">
        <v>91.5743809425054</v>
      </c>
      <c r="AJ4433">
        <v>92.728069476098497</v>
      </c>
      <c r="AK4433">
        <v>40.393136154770701</v>
      </c>
      <c r="AL4433">
        <v>90.529388072143703</v>
      </c>
      <c r="AM4433">
        <v>86.3567472285945</v>
      </c>
      <c r="AN4433">
        <v>0.99999995483227899</v>
      </c>
    </row>
    <row r="4434" spans="1:40" x14ac:dyDescent="0.25">
      <c r="A4434" t="str">
        <f>"20190312161401477"</f>
        <v>20190312161401477</v>
      </c>
      <c r="B4434" t="str">
        <f>"1552378441470398"</f>
        <v>1552378441470398</v>
      </c>
      <c r="C4434" t="s">
        <v>40</v>
      </c>
      <c r="D4434">
        <v>5.6513920000000004</v>
      </c>
      <c r="E4434">
        <v>0.45825060000000001</v>
      </c>
      <c r="F4434" t="s">
        <v>84</v>
      </c>
      <c r="G4434">
        <v>-316.76760000000002</v>
      </c>
      <c r="H4434" s="1">
        <v>-6.5289689999999999E-6</v>
      </c>
      <c r="I4434">
        <v>138.76390000000001</v>
      </c>
      <c r="J4434">
        <v>-279.60489999999999</v>
      </c>
      <c r="K4434">
        <v>1.1097440000000001</v>
      </c>
      <c r="L4434">
        <v>141.0095</v>
      </c>
      <c r="M4434">
        <v>-0.99989059999999996</v>
      </c>
      <c r="N4434">
        <v>0</v>
      </c>
      <c r="O4434">
        <v>-1.3244560000000001E-2</v>
      </c>
      <c r="P4434">
        <v>-0.99854589999999999</v>
      </c>
      <c r="Q4434">
        <v>-1.7482569999999999E-2</v>
      </c>
      <c r="R4434">
        <v>5.0995409999999998E-2</v>
      </c>
      <c r="S4434">
        <v>-3.012146</v>
      </c>
      <c r="T4434">
        <v>-8.9036459999999998E-2</v>
      </c>
      <c r="U4434">
        <v>-0.18060300000000001</v>
      </c>
      <c r="V4434">
        <v>6.4240469999999994E-2</v>
      </c>
      <c r="W4434">
        <v>-1.078661E-2</v>
      </c>
      <c r="X4434">
        <v>0.99787619999999999</v>
      </c>
      <c r="Y4434">
        <v>-4.6609900000000003E-2</v>
      </c>
      <c r="Z4434">
        <v>-2.9708380000000002E-4</v>
      </c>
      <c r="AA4434">
        <v>0.9989131</v>
      </c>
      <c r="AB4434">
        <v>37</v>
      </c>
      <c r="AC4434">
        <v>-37.162700000000001</v>
      </c>
      <c r="AD4434">
        <v>-1.1097505289689999</v>
      </c>
      <c r="AE4434">
        <v>-2.2455999999999898</v>
      </c>
      <c r="AF4434">
        <v>-1.7516324287099101</v>
      </c>
      <c r="AG4434">
        <v>-1.1097505289689999</v>
      </c>
      <c r="AH4434">
        <v>37.156169888494503</v>
      </c>
      <c r="AI4434">
        <v>91.708858870944695</v>
      </c>
      <c r="AJ4434">
        <v>92.699064431386304</v>
      </c>
      <c r="AK4434">
        <v>37.213985585859</v>
      </c>
      <c r="AL4434">
        <v>90.618039182818904</v>
      </c>
      <c r="AM4434">
        <v>86.316541462522807</v>
      </c>
      <c r="AN4434">
        <v>1.00000004973377</v>
      </c>
    </row>
    <row r="4435" spans="1:40" x14ac:dyDescent="0.25">
      <c r="A4435" t="str">
        <f>"20190312161401500"</f>
        <v>20190312161401500</v>
      </c>
      <c r="B4435" t="str">
        <f>"1552378441490894"</f>
        <v>1552378441490894</v>
      </c>
      <c r="C4435" t="s">
        <v>40</v>
      </c>
      <c r="D4435">
        <v>5.6922220000000001</v>
      </c>
      <c r="E4435">
        <v>0.45853080000000002</v>
      </c>
      <c r="F4435" t="s">
        <v>84</v>
      </c>
      <c r="G4435">
        <v>-316.02999999999997</v>
      </c>
      <c r="H4435" s="1">
        <v>-6.8770219999999997E-6</v>
      </c>
      <c r="I4435">
        <v>138.82929999999999</v>
      </c>
      <c r="J4435">
        <v>-279.99419999999998</v>
      </c>
      <c r="K4435">
        <v>1.109691</v>
      </c>
      <c r="L4435">
        <v>141.00370000000001</v>
      </c>
      <c r="M4435">
        <v>-0.99987930000000003</v>
      </c>
      <c r="N4435">
        <v>0</v>
      </c>
      <c r="O4435">
        <v>-1.407625E-2</v>
      </c>
      <c r="P4435">
        <v>-0.99854019999999999</v>
      </c>
      <c r="Q4435">
        <v>-1.7849009999999998E-2</v>
      </c>
      <c r="R4435">
        <v>5.0983359999999998E-2</v>
      </c>
      <c r="S4435">
        <v>-3.0119929999999999</v>
      </c>
      <c r="T4435">
        <v>-9.1765399999999997E-2</v>
      </c>
      <c r="U4435">
        <v>-0.18028259999999999</v>
      </c>
      <c r="V4435">
        <v>6.5057450000000003E-2</v>
      </c>
      <c r="W4435">
        <v>-1.113136E-2</v>
      </c>
      <c r="X4435">
        <v>0.99781940000000002</v>
      </c>
      <c r="Y4435">
        <v>-4.5676050000000003E-2</v>
      </c>
      <c r="Z4435">
        <v>-2.6668809999999999E-4</v>
      </c>
      <c r="AA4435">
        <v>0.99895630000000002</v>
      </c>
      <c r="AB4435">
        <v>37</v>
      </c>
      <c r="AC4435">
        <v>-36.035800000000002</v>
      </c>
      <c r="AD4435">
        <v>-1.1096978770219901</v>
      </c>
      <c r="AE4435">
        <v>-2.1744000000000199</v>
      </c>
      <c r="AF4435">
        <v>-1.66535115646238</v>
      </c>
      <c r="AG4435">
        <v>-1.1096978770219901</v>
      </c>
      <c r="AH4435">
        <v>36.028795843389801</v>
      </c>
      <c r="AI4435">
        <v>91.762289309722902</v>
      </c>
      <c r="AJ4435">
        <v>92.646486587848401</v>
      </c>
      <c r="AK4435">
        <v>36.084331139391601</v>
      </c>
      <c r="AL4435">
        <v>90.637793140944297</v>
      </c>
      <c r="AM4435">
        <v>86.269616664909094</v>
      </c>
      <c r="AN4435">
        <v>0.99999996699615501</v>
      </c>
    </row>
    <row r="4436" spans="1:40" x14ac:dyDescent="0.25">
      <c r="A4436" t="str">
        <f>"20190312161401522"</f>
        <v>20190312161401522</v>
      </c>
      <c r="B4436" t="str">
        <f>"1552378441510414"</f>
        <v>1552378441510414</v>
      </c>
      <c r="C4436" t="s">
        <v>40</v>
      </c>
      <c r="D4436">
        <v>5.6143609999999997</v>
      </c>
      <c r="E4436">
        <v>0.47889920000000002</v>
      </c>
      <c r="F4436" t="s">
        <v>84</v>
      </c>
      <c r="G4436">
        <v>-314.22620000000001</v>
      </c>
      <c r="H4436" s="1">
        <v>-7.6836789999999999E-6</v>
      </c>
      <c r="I4436">
        <v>138.9787</v>
      </c>
      <c r="J4436">
        <v>-280.35840000000002</v>
      </c>
      <c r="K4436">
        <v>1.109632</v>
      </c>
      <c r="L4436">
        <v>140.99799999999999</v>
      </c>
      <c r="M4436">
        <v>-0.99986900000000001</v>
      </c>
      <c r="N4436">
        <v>0</v>
      </c>
      <c r="O4436">
        <v>-1.4774829999999999E-2</v>
      </c>
      <c r="P4436">
        <v>-0.99856590000000001</v>
      </c>
      <c r="Q4436">
        <v>-1.7622140000000001E-2</v>
      </c>
      <c r="R4436">
        <v>5.0556619999999997E-2</v>
      </c>
      <c r="S4436">
        <v>-3.011749</v>
      </c>
      <c r="T4436">
        <v>-9.7631809999999999E-2</v>
      </c>
      <c r="U4436">
        <v>-0.1781616</v>
      </c>
      <c r="V4436">
        <v>6.5326239999999994E-2</v>
      </c>
      <c r="W4436">
        <v>-1.0882019999999999E-2</v>
      </c>
      <c r="X4436">
        <v>0.99780460000000004</v>
      </c>
      <c r="Y4436">
        <v>-4.4281040000000001E-2</v>
      </c>
      <c r="Z4436">
        <v>-2.3855729999999999E-4</v>
      </c>
      <c r="AA4436">
        <v>0.99901910000000005</v>
      </c>
      <c r="AB4436">
        <v>37</v>
      </c>
      <c r="AC4436">
        <v>-33.867799999999903</v>
      </c>
      <c r="AD4436">
        <v>-1.1096396836789999</v>
      </c>
      <c r="AE4436">
        <v>-2.0192999999999799</v>
      </c>
      <c r="AF4436">
        <v>-1.5170549134836999</v>
      </c>
      <c r="AG4436">
        <v>-1.1096396836789999</v>
      </c>
      <c r="AH4436">
        <v>33.8577219978309</v>
      </c>
      <c r="AI4436">
        <v>91.875237374487995</v>
      </c>
      <c r="AJ4436">
        <v>92.565522424867396</v>
      </c>
      <c r="AK4436">
        <v>33.909852472703598</v>
      </c>
      <c r="AL4436">
        <v>90.623506138540293</v>
      </c>
      <c r="AM4436">
        <v>86.254192677629405</v>
      </c>
      <c r="AN4436">
        <v>0.99999997788648798</v>
      </c>
    </row>
    <row r="4437" spans="1:40" x14ac:dyDescent="0.25">
      <c r="A4437" t="str">
        <f>"20190312161401545"</f>
        <v>20190312161401545</v>
      </c>
      <c r="B4437" t="str">
        <f>"1552378441540670"</f>
        <v>1552378441540670</v>
      </c>
      <c r="C4437" t="s">
        <v>40</v>
      </c>
      <c r="D4437">
        <v>5.6683539999999999</v>
      </c>
      <c r="E4437">
        <v>0.48178759999999998</v>
      </c>
      <c r="F4437" t="s">
        <v>84</v>
      </c>
      <c r="G4437">
        <v>-302.67759999999998</v>
      </c>
      <c r="H4437" s="1">
        <v>-8.8125319999999999E-6</v>
      </c>
      <c r="I4437">
        <v>140.86539999999999</v>
      </c>
      <c r="J4437">
        <v>-280.7475</v>
      </c>
      <c r="K4437">
        <v>1.1095619999999999</v>
      </c>
      <c r="L4437">
        <v>140.99170000000001</v>
      </c>
      <c r="M4437">
        <v>-0.99985869999999999</v>
      </c>
      <c r="N4437">
        <v>0</v>
      </c>
      <c r="O4437">
        <v>-1.5425619999999999E-2</v>
      </c>
      <c r="P4437">
        <v>-0.99857960000000001</v>
      </c>
      <c r="Q4437">
        <v>-1.8294109999999999E-2</v>
      </c>
      <c r="R4437">
        <v>5.004376E-2</v>
      </c>
      <c r="S4437">
        <v>-3.0025330000000001</v>
      </c>
      <c r="T4437">
        <v>-0.14927689999999999</v>
      </c>
      <c r="U4437">
        <v>-1.7837519999999999E-2</v>
      </c>
      <c r="V4437">
        <v>6.5462270000000003E-2</v>
      </c>
      <c r="W4437">
        <v>-1.1519379999999999E-2</v>
      </c>
      <c r="X4437">
        <v>0.99778849999999997</v>
      </c>
      <c r="Y4437">
        <v>9.4549520000000008E-3</v>
      </c>
      <c r="Z4437">
        <v>1.0013089999999999E-3</v>
      </c>
      <c r="AA4437">
        <v>0.99995480000000003</v>
      </c>
      <c r="AB4437">
        <v>37</v>
      </c>
      <c r="AC4437">
        <v>-21.9300999999999</v>
      </c>
      <c r="AD4437">
        <v>-1.1095708125319901</v>
      </c>
      <c r="AE4437">
        <v>-0.12630000000001401</v>
      </c>
      <c r="AF4437">
        <v>0.21146664362728099</v>
      </c>
      <c r="AG4437">
        <v>-1.1095708125319901</v>
      </c>
      <c r="AH4437">
        <v>21.8734461681582</v>
      </c>
      <c r="AI4437">
        <v>92.903809280130105</v>
      </c>
      <c r="AJ4437">
        <v>89.446096941613106</v>
      </c>
      <c r="AK4437">
        <v>21.902591463128399</v>
      </c>
      <c r="AL4437">
        <v>90.660026488755193</v>
      </c>
      <c r="AM4437">
        <v>86.246354597857007</v>
      </c>
      <c r="AN4437">
        <v>0.99999994782069201</v>
      </c>
    </row>
    <row r="4438" spans="1:40" x14ac:dyDescent="0.25">
      <c r="A4438" t="str">
        <f>"20190312161401567"</f>
        <v>20190312161401567</v>
      </c>
      <c r="B4438" t="str">
        <f>"1552378441560191"</f>
        <v>1552378441560191</v>
      </c>
      <c r="C4438" t="s">
        <v>40</v>
      </c>
      <c r="D4438">
        <v>5.7883930000000001</v>
      </c>
      <c r="E4438">
        <v>0.48222429999999999</v>
      </c>
      <c r="F4438" t="s">
        <v>84</v>
      </c>
      <c r="G4438">
        <v>-302.6345</v>
      </c>
      <c r="H4438" s="1">
        <v>-8.8518009999999999E-6</v>
      </c>
      <c r="I4438">
        <v>141.01820000000001</v>
      </c>
      <c r="J4438">
        <v>-281.12909999999999</v>
      </c>
      <c r="K4438">
        <v>1.1094820000000001</v>
      </c>
      <c r="L4438">
        <v>140.9853</v>
      </c>
      <c r="M4438">
        <v>-0.99985000000000002</v>
      </c>
      <c r="N4438">
        <v>0</v>
      </c>
      <c r="O4438">
        <v>-1.595601E-2</v>
      </c>
      <c r="P4438">
        <v>-0.99854969999999998</v>
      </c>
      <c r="Q4438">
        <v>-1.9313029999999998E-2</v>
      </c>
      <c r="R4438">
        <v>5.0256540000000002E-2</v>
      </c>
      <c r="S4438">
        <v>-3.001312</v>
      </c>
      <c r="T4438">
        <v>-0.15215290000000001</v>
      </c>
      <c r="U4438">
        <v>3.6315919999999999E-3</v>
      </c>
      <c r="V4438">
        <v>6.6202759999999999E-2</v>
      </c>
      <c r="W4438">
        <v>-1.248435E-2</v>
      </c>
      <c r="X4438">
        <v>0.99772810000000001</v>
      </c>
      <c r="Y4438">
        <v>1.712373E-2</v>
      </c>
      <c r="Z4438">
        <v>1.242141E-3</v>
      </c>
      <c r="AA4438">
        <v>0.99985259999999998</v>
      </c>
      <c r="AB4438">
        <v>38</v>
      </c>
      <c r="AC4438">
        <v>-21.505400000000002</v>
      </c>
      <c r="AD4438">
        <v>-1.109490851801</v>
      </c>
      <c r="AE4438">
        <v>3.29000000000121E-2</v>
      </c>
      <c r="AF4438">
        <v>0.37504573411174502</v>
      </c>
      <c r="AG4438">
        <v>-1.109490851801</v>
      </c>
      <c r="AH4438">
        <v>21.445057865235</v>
      </c>
      <c r="AI4438">
        <v>92.961186844614005</v>
      </c>
      <c r="AJ4438">
        <v>88.998074640709902</v>
      </c>
      <c r="AK4438">
        <v>21.477014133630998</v>
      </c>
      <c r="AL4438">
        <v>90.715319137988004</v>
      </c>
      <c r="AM4438">
        <v>86.203788783419199</v>
      </c>
      <c r="AN4438">
        <v>1.00000001297807</v>
      </c>
    </row>
    <row r="4439" spans="1:40" x14ac:dyDescent="0.25">
      <c r="A4439" t="str">
        <f>"20190312161401590"</f>
        <v>20190312161401590</v>
      </c>
      <c r="B4439" t="str">
        <f>"1552378441580686"</f>
        <v>1552378441580686</v>
      </c>
      <c r="C4439" t="s">
        <v>40</v>
      </c>
      <c r="D4439">
        <v>5.6497950000000001</v>
      </c>
      <c r="E4439">
        <v>0.48249890000000001</v>
      </c>
      <c r="F4439" t="s">
        <v>84</v>
      </c>
      <c r="G4439">
        <v>-303.93529999999998</v>
      </c>
      <c r="H4439" s="1">
        <v>-9.046395E-6</v>
      </c>
      <c r="I4439">
        <v>141.04429999999999</v>
      </c>
      <c r="J4439">
        <v>-281.50549999999998</v>
      </c>
      <c r="K4439">
        <v>1.1094010000000001</v>
      </c>
      <c r="L4439">
        <v>140.97899999999899</v>
      </c>
      <c r="M4439">
        <v>-0.99984309999999998</v>
      </c>
      <c r="N4439">
        <v>0</v>
      </c>
      <c r="O4439">
        <v>-1.6353599999999999E-2</v>
      </c>
      <c r="P4439">
        <v>-0.99851579999999995</v>
      </c>
      <c r="Q4439">
        <v>-1.9642349999999999E-2</v>
      </c>
      <c r="R4439">
        <v>5.0802050000000001E-2</v>
      </c>
      <c r="S4439">
        <v>-3.0011290000000002</v>
      </c>
      <c r="T4439">
        <v>-0.14600060000000001</v>
      </c>
      <c r="U4439">
        <v>7.766724E-3</v>
      </c>
      <c r="V4439">
        <v>6.7141969999999995E-2</v>
      </c>
      <c r="W4439">
        <v>-1.273853E-2</v>
      </c>
      <c r="X4439">
        <v>0.9976621</v>
      </c>
      <c r="Y4439">
        <v>1.889981E-2</v>
      </c>
      <c r="Z4439">
        <v>1.254556E-3</v>
      </c>
      <c r="AA4439">
        <v>0.99982059999999995</v>
      </c>
      <c r="AB4439">
        <v>38</v>
      </c>
      <c r="AC4439">
        <v>-22.4298</v>
      </c>
      <c r="AD4439">
        <v>-1.1094100463950001</v>
      </c>
      <c r="AE4439">
        <v>6.5300000000007602E-2</v>
      </c>
      <c r="AF4439">
        <v>0.43105320871165198</v>
      </c>
      <c r="AG4439">
        <v>-1.1094100463950001</v>
      </c>
      <c r="AH4439">
        <v>22.371003724676498</v>
      </c>
      <c r="AI4439">
        <v>92.838527723730905</v>
      </c>
      <c r="AJ4439">
        <v>88.896139212231105</v>
      </c>
      <c r="AK4439">
        <v>22.402642816624901</v>
      </c>
      <c r="AL4439">
        <v>90.729883754110006</v>
      </c>
      <c r="AM4439">
        <v>86.149839335161303</v>
      </c>
      <c r="AN4439">
        <v>0.99999999002922502</v>
      </c>
    </row>
    <row r="4440" spans="1:40" x14ac:dyDescent="0.25">
      <c r="A4440" t="str">
        <f>"20190312161401612"</f>
        <v>20190312161401612</v>
      </c>
      <c r="B4440" t="str">
        <f>"1552378441600207"</f>
        <v>1552378441600207</v>
      </c>
      <c r="C4440" t="s">
        <v>40</v>
      </c>
      <c r="D4440">
        <v>5.7452350000000001</v>
      </c>
      <c r="E4440">
        <v>0.48265910000000001</v>
      </c>
      <c r="F4440" t="s">
        <v>84</v>
      </c>
      <c r="G4440">
        <v>-305.97500000000002</v>
      </c>
      <c r="H4440" s="1">
        <v>-9.3484050000000005E-6</v>
      </c>
      <c r="I4440">
        <v>141.07490000000001</v>
      </c>
      <c r="J4440">
        <v>-281.88670000000002</v>
      </c>
      <c r="K4440">
        <v>1.1093219999999999</v>
      </c>
      <c r="L4440">
        <v>140.9725</v>
      </c>
      <c r="M4440">
        <v>-0.99983759999999999</v>
      </c>
      <c r="N4440">
        <v>0</v>
      </c>
      <c r="O4440">
        <v>-1.6637619999999999E-2</v>
      </c>
      <c r="P4440">
        <v>-0.99853789999999998</v>
      </c>
      <c r="Q4440">
        <v>-1.9213480000000002E-2</v>
      </c>
      <c r="R4440">
        <v>5.0528499999999997E-2</v>
      </c>
      <c r="S4440">
        <v>-3.0011899999999998</v>
      </c>
      <c r="T4440">
        <v>-0.13606969999999999</v>
      </c>
      <c r="U4440">
        <v>1.176453E-2</v>
      </c>
      <c r="V4440">
        <v>6.7148659999999999E-2</v>
      </c>
      <c r="W4440">
        <v>-1.2217250000000001E-2</v>
      </c>
      <c r="X4440">
        <v>0.99766820000000001</v>
      </c>
      <c r="Y4440">
        <v>2.0519099999999998E-2</v>
      </c>
      <c r="Z4440">
        <v>1.218846E-3</v>
      </c>
      <c r="AA4440">
        <v>0.99978869999999997</v>
      </c>
      <c r="AB4440">
        <v>38</v>
      </c>
      <c r="AC4440">
        <v>-24.0883</v>
      </c>
      <c r="AD4440">
        <v>-1.109331348405</v>
      </c>
      <c r="AE4440">
        <v>0.10240000000001701</v>
      </c>
      <c r="AF4440">
        <v>0.50210255326710695</v>
      </c>
      <c r="AG4440">
        <v>-1.109331348405</v>
      </c>
      <c r="AH4440">
        <v>24.032293923660799</v>
      </c>
      <c r="AI4440">
        <v>92.642322886157501</v>
      </c>
      <c r="AJ4440">
        <v>88.803103337600007</v>
      </c>
      <c r="AK4440">
        <v>24.0631227035847</v>
      </c>
      <c r="AL4440">
        <v>90.700014262793204</v>
      </c>
      <c r="AM4440">
        <v>86.1494803330217</v>
      </c>
      <c r="AN4440">
        <v>1.00000002051429</v>
      </c>
    </row>
    <row r="4441" spans="1:40" x14ac:dyDescent="0.25">
      <c r="A4441" t="str">
        <f>"20190312161401633"</f>
        <v>20190312161401633</v>
      </c>
      <c r="B4441" t="str">
        <f>"1552378441620703"</f>
        <v>1552378441620703</v>
      </c>
      <c r="C4441" t="s">
        <v>40</v>
      </c>
      <c r="D4441">
        <v>5.7615360000000004</v>
      </c>
      <c r="E4441">
        <v>0.48311769999999998</v>
      </c>
      <c r="F4441" t="s">
        <v>84</v>
      </c>
      <c r="G4441">
        <v>-307.63229999999999</v>
      </c>
      <c r="H4441" s="1">
        <v>-9.5877249999999998E-6</v>
      </c>
      <c r="I4441">
        <v>141.07929999999999</v>
      </c>
      <c r="J4441">
        <v>-282.23129999999998</v>
      </c>
      <c r="K4441">
        <v>1.1092550000000001</v>
      </c>
      <c r="L4441">
        <v>140.9666</v>
      </c>
      <c r="M4441">
        <v>-0.99983379999999999</v>
      </c>
      <c r="N4441">
        <v>0</v>
      </c>
      <c r="O4441">
        <v>-1.6813999999999999E-2</v>
      </c>
      <c r="P4441">
        <v>-0.99853080000000005</v>
      </c>
      <c r="Q4441">
        <v>-1.928206E-2</v>
      </c>
      <c r="R4441">
        <v>5.0640989999999997E-2</v>
      </c>
      <c r="S4441">
        <v>-3.0012509999999999</v>
      </c>
      <c r="T4441">
        <v>-0.12931819999999999</v>
      </c>
      <c r="U4441">
        <v>1.2451169999999999E-2</v>
      </c>
      <c r="V4441">
        <v>6.7434499999999994E-2</v>
      </c>
      <c r="W4441">
        <v>-1.219516E-2</v>
      </c>
      <c r="X4441">
        <v>0.99764920000000001</v>
      </c>
      <c r="Y4441">
        <v>2.0927299999999999E-2</v>
      </c>
      <c r="Z4441">
        <v>1.1747909999999999E-3</v>
      </c>
      <c r="AA4441">
        <v>0.99978029999999996</v>
      </c>
      <c r="AB4441">
        <v>38</v>
      </c>
      <c r="AC4441">
        <v>-25.401</v>
      </c>
      <c r="AD4441">
        <v>-1.10926458772499</v>
      </c>
      <c r="AE4441">
        <v>0.112699999999989</v>
      </c>
      <c r="AF4441">
        <v>0.53875964986827696</v>
      </c>
      <c r="AG4441">
        <v>-1.10926458772499</v>
      </c>
      <c r="AH4441">
        <v>25.347175903460698</v>
      </c>
      <c r="AI4441">
        <v>92.505262421003806</v>
      </c>
      <c r="AJ4441">
        <v>88.782349290875899</v>
      </c>
      <c r="AK4441">
        <v>25.377156187541701</v>
      </c>
      <c r="AL4441">
        <v>90.698748498131806</v>
      </c>
      <c r="AM4441">
        <v>86.133065551865798</v>
      </c>
      <c r="AN4441">
        <v>1.0000000299891501</v>
      </c>
    </row>
    <row r="4442" spans="1:40" x14ac:dyDescent="0.25">
      <c r="A4442" t="str">
        <f>"20190312161401655"</f>
        <v>20190312161401655</v>
      </c>
      <c r="B4442" t="str">
        <f>"1552378441650958"</f>
        <v>1552378441650958</v>
      </c>
      <c r="C4442" t="s">
        <v>40</v>
      </c>
      <c r="D4442">
        <v>5.7318819999999997</v>
      </c>
      <c r="E4442">
        <v>0.48336630000000003</v>
      </c>
      <c r="F4442" t="s">
        <v>84</v>
      </c>
      <c r="G4442">
        <v>-308.31119999999999</v>
      </c>
      <c r="H4442" s="1">
        <v>-9.6943790000000008E-6</v>
      </c>
      <c r="I4442">
        <v>141.11009999999999</v>
      </c>
      <c r="J4442">
        <v>-282.6148</v>
      </c>
      <c r="K4442">
        <v>1.109197</v>
      </c>
      <c r="L4442">
        <v>140.96010000000001</v>
      </c>
      <c r="M4442">
        <v>-0.99983089999999997</v>
      </c>
      <c r="N4442">
        <v>0</v>
      </c>
      <c r="O4442">
        <v>-1.6935780000000001E-2</v>
      </c>
      <c r="P4442">
        <v>-0.99851049999999997</v>
      </c>
      <c r="Q4442">
        <v>-1.9619500000000002E-2</v>
      </c>
      <c r="R4442">
        <v>5.0911240000000003E-2</v>
      </c>
      <c r="S4442">
        <v>-3.0011290000000002</v>
      </c>
      <c r="T4442">
        <v>-0.1276476</v>
      </c>
      <c r="U4442">
        <v>1.6510009999999999E-2</v>
      </c>
      <c r="V4442">
        <v>6.7823549999999996E-2</v>
      </c>
      <c r="W4442">
        <v>-1.2426799999999899E-2</v>
      </c>
      <c r="X4442">
        <v>0.9976199</v>
      </c>
      <c r="Y4442">
        <v>2.240079E-2</v>
      </c>
      <c r="Z4442">
        <v>1.196173E-3</v>
      </c>
      <c r="AA4442">
        <v>0.99974830000000003</v>
      </c>
      <c r="AB4442">
        <v>38</v>
      </c>
      <c r="AC4442">
        <v>-25.696399999999901</v>
      </c>
      <c r="AD4442">
        <v>-1.109206694379</v>
      </c>
      <c r="AE4442">
        <v>0.14999999999997701</v>
      </c>
      <c r="AF4442">
        <v>0.58408994533172498</v>
      </c>
      <c r="AG4442">
        <v>-1.109206694379</v>
      </c>
      <c r="AH4442">
        <v>25.6423963987625</v>
      </c>
      <c r="AI4442">
        <v>92.476243511648704</v>
      </c>
      <c r="AJ4442">
        <v>88.695125756839602</v>
      </c>
      <c r="AK4442">
        <v>25.673020734349901</v>
      </c>
      <c r="AL4442">
        <v>90.712021546349504</v>
      </c>
      <c r="AM4442">
        <v>86.110710434388395</v>
      </c>
      <c r="AN4442">
        <v>0.99999996208442499</v>
      </c>
    </row>
    <row r="4443" spans="1:40" x14ac:dyDescent="0.25">
      <c r="A4443" t="str">
        <f>"20190312161401678"</f>
        <v>20190312161401678</v>
      </c>
      <c r="B4443" t="str">
        <f>"1552378441670478"</f>
        <v>1552378441670478</v>
      </c>
      <c r="C4443" t="s">
        <v>40</v>
      </c>
      <c r="D4443">
        <v>5.8238890000000003</v>
      </c>
      <c r="E4443">
        <v>0.483431</v>
      </c>
      <c r="F4443" t="s">
        <v>84</v>
      </c>
      <c r="G4443">
        <v>-310.00689999999997</v>
      </c>
      <c r="H4443" s="1">
        <v>-9.916437E-6</v>
      </c>
      <c r="I4443">
        <v>141.13499999999999</v>
      </c>
      <c r="J4443">
        <v>-283.00639999999999</v>
      </c>
      <c r="K4443">
        <v>1.1091439999999999</v>
      </c>
      <c r="L4443">
        <v>140.95339999999999</v>
      </c>
      <c r="M4443">
        <v>-0.99982910000000003</v>
      </c>
      <c r="N4443">
        <v>0</v>
      </c>
      <c r="O4443">
        <v>-1.699055E-2</v>
      </c>
      <c r="P4443">
        <v>-0.99845170000000005</v>
      </c>
      <c r="Q4443">
        <v>-2.0467119999999998E-2</v>
      </c>
      <c r="R4443">
        <v>5.1725149999999998E-2</v>
      </c>
      <c r="S4443">
        <v>-3.001099</v>
      </c>
      <c r="T4443">
        <v>-0.12152549999999999</v>
      </c>
      <c r="U4443">
        <v>1.9165040000000001E-2</v>
      </c>
      <c r="V4443">
        <v>6.8689310000000003E-2</v>
      </c>
      <c r="W4443">
        <v>-1.3162200000000001E-2</v>
      </c>
      <c r="X4443">
        <v>0.99755130000000003</v>
      </c>
      <c r="Y4443">
        <v>2.3342559999999998E-2</v>
      </c>
      <c r="Z4443">
        <v>1.1601389999999999E-3</v>
      </c>
      <c r="AA4443">
        <v>0.99972680000000003</v>
      </c>
      <c r="AB4443">
        <v>38</v>
      </c>
      <c r="AC4443">
        <v>-27.000499999999899</v>
      </c>
      <c r="AD4443">
        <v>-1.1091539164369999</v>
      </c>
      <c r="AE4443">
        <v>0.18160000000000301</v>
      </c>
      <c r="AF4443">
        <v>0.63926061435957404</v>
      </c>
      <c r="AG4443">
        <v>-1.1091539164369999</v>
      </c>
      <c r="AH4443">
        <v>26.9480443360838</v>
      </c>
      <c r="AI4443">
        <v>92.356243188356501</v>
      </c>
      <c r="AJ4443">
        <v>88.641086280900296</v>
      </c>
      <c r="AK4443">
        <v>26.978435278625</v>
      </c>
      <c r="AL4443">
        <v>90.754160262754496</v>
      </c>
      <c r="AM4443">
        <v>86.060949364714503</v>
      </c>
      <c r="AN4443">
        <v>1.0000000304743999</v>
      </c>
    </row>
    <row r="4444" spans="1:40" x14ac:dyDescent="0.25">
      <c r="A4444" t="str">
        <f>"20190312161401700"</f>
        <v>20190312161401700</v>
      </c>
      <c r="B4444" t="str">
        <f>"1552378441690979"</f>
        <v>1552378441690979</v>
      </c>
      <c r="C4444" t="s">
        <v>40</v>
      </c>
      <c r="D4444">
        <v>5.7712870000000001</v>
      </c>
      <c r="E4444">
        <v>0.48350890000000002</v>
      </c>
      <c r="F4444" t="s">
        <v>84</v>
      </c>
      <c r="G4444">
        <v>-310.56180000000001</v>
      </c>
      <c r="H4444" s="1">
        <v>-9.6769450000000002E-6</v>
      </c>
      <c r="I4444">
        <v>141.15710000000001</v>
      </c>
      <c r="J4444">
        <v>-283.38929999999999</v>
      </c>
      <c r="K4444">
        <v>1.1090930000000001</v>
      </c>
      <c r="L4444">
        <v>140.9469</v>
      </c>
      <c r="M4444">
        <v>-0.99982859999999996</v>
      </c>
      <c r="N4444">
        <v>0</v>
      </c>
      <c r="O4444">
        <v>-1.6972859999999999E-2</v>
      </c>
      <c r="P4444">
        <v>-0.99840870000000004</v>
      </c>
      <c r="Q4444">
        <v>-2.0754769999999999E-2</v>
      </c>
      <c r="R4444">
        <v>5.2438970000000001E-2</v>
      </c>
      <c r="S4444">
        <v>-3.0010379999999999</v>
      </c>
      <c r="T4444">
        <v>-0.1207969</v>
      </c>
      <c r="U4444">
        <v>2.2186279999999999E-2</v>
      </c>
      <c r="V4444">
        <v>6.9382730000000004E-2</v>
      </c>
      <c r="W4444">
        <v>-1.333995E-2</v>
      </c>
      <c r="X4444">
        <v>0.99750090000000002</v>
      </c>
      <c r="Y4444">
        <v>2.4331019999999998E-2</v>
      </c>
      <c r="Z4444">
        <v>1.1723839999999901E-3</v>
      </c>
      <c r="AA4444">
        <v>0.99970329999999996</v>
      </c>
      <c r="AB4444">
        <v>38</v>
      </c>
      <c r="AC4444">
        <v>-27.172499999999999</v>
      </c>
      <c r="AD4444">
        <v>-1.1091026769450001</v>
      </c>
      <c r="AE4444">
        <v>0.21020000000001399</v>
      </c>
      <c r="AF4444">
        <v>0.67026075846879696</v>
      </c>
      <c r="AG4444">
        <v>-1.1091026769450001</v>
      </c>
      <c r="AH4444">
        <v>27.1198378964481</v>
      </c>
      <c r="AI4444">
        <v>92.341169734461999</v>
      </c>
      <c r="AJ4444">
        <v>88.584235771914507</v>
      </c>
      <c r="AK4444">
        <v>27.1507820469682</v>
      </c>
      <c r="AL4444">
        <v>90.764345518961207</v>
      </c>
      <c r="AM4444">
        <v>86.021111259351301</v>
      </c>
      <c r="AN4444">
        <v>0.99999998149453195</v>
      </c>
    </row>
    <row r="4445" spans="1:40" x14ac:dyDescent="0.25">
      <c r="A4445" t="str">
        <f>"20190312161401723"</f>
        <v>20190312161401723</v>
      </c>
      <c r="B4445" t="str">
        <f>"1552378441710494"</f>
        <v>1552378441710494</v>
      </c>
      <c r="C4445" t="s">
        <v>40</v>
      </c>
      <c r="D4445">
        <v>5.7849089999999999</v>
      </c>
      <c r="E4445">
        <v>0.48347620000000002</v>
      </c>
      <c r="F4445" t="s">
        <v>84</v>
      </c>
      <c r="G4445">
        <v>-311.43239999999997</v>
      </c>
      <c r="H4445" s="1">
        <v>-9.344199E-6</v>
      </c>
      <c r="I4445">
        <v>141.18029999999999</v>
      </c>
      <c r="J4445">
        <v>-283.76799999999997</v>
      </c>
      <c r="K4445">
        <v>1.1090310000000001</v>
      </c>
      <c r="L4445">
        <v>140.94049999999999</v>
      </c>
      <c r="M4445">
        <v>-0.99982939999999998</v>
      </c>
      <c r="N4445">
        <v>0</v>
      </c>
      <c r="O4445">
        <v>-1.6882629999999999E-2</v>
      </c>
      <c r="P4445">
        <v>-0.99839580000000006</v>
      </c>
      <c r="Q4445">
        <v>-2.0166980000000001E-2</v>
      </c>
      <c r="R4445">
        <v>5.2911819999999998E-2</v>
      </c>
      <c r="S4445">
        <v>-3.001007</v>
      </c>
      <c r="T4445">
        <v>-0.1186895</v>
      </c>
      <c r="U4445">
        <v>2.497864E-2</v>
      </c>
      <c r="V4445">
        <v>6.9762889999999994E-2</v>
      </c>
      <c r="W4445">
        <v>-1.264942E-2</v>
      </c>
      <c r="X4445">
        <v>0.99748340000000002</v>
      </c>
      <c r="Y4445">
        <v>2.5171590000000001E-2</v>
      </c>
      <c r="Z4445">
        <v>1.1650040000000001E-3</v>
      </c>
      <c r="AA4445">
        <v>0.99968250000000003</v>
      </c>
      <c r="AB4445">
        <v>38</v>
      </c>
      <c r="AC4445">
        <v>-27.664400000000001</v>
      </c>
      <c r="AD4445">
        <v>-1.10904034419899</v>
      </c>
      <c r="AE4445">
        <v>0.23980000000000201</v>
      </c>
      <c r="AF4445">
        <v>0.70569270535336104</v>
      </c>
      <c r="AG4445">
        <v>-1.10904034419899</v>
      </c>
      <c r="AH4445">
        <v>27.612035515210501</v>
      </c>
      <c r="AI4445">
        <v>92.299304764336398</v>
      </c>
      <c r="AJ4445">
        <v>88.535985742292993</v>
      </c>
      <c r="AK4445">
        <v>27.643308014286099</v>
      </c>
      <c r="AL4445">
        <v>90.724777707818703</v>
      </c>
      <c r="AM4445">
        <v>85.9993108769484</v>
      </c>
      <c r="AN4445">
        <v>1.00000000096152</v>
      </c>
    </row>
    <row r="4446" spans="1:40" x14ac:dyDescent="0.25">
      <c r="A4446" t="str">
        <f>"20190312161401746"</f>
        <v>20190312161401746</v>
      </c>
      <c r="B4446" t="str">
        <f>"1552378441740750"</f>
        <v>1552378441740750</v>
      </c>
      <c r="C4446" t="s">
        <v>40</v>
      </c>
      <c r="D4446">
        <v>5.8878120000000003</v>
      </c>
      <c r="E4446">
        <v>0.4834136</v>
      </c>
      <c r="F4446" t="s">
        <v>84</v>
      </c>
      <c r="G4446">
        <v>-312.8895</v>
      </c>
      <c r="H4446" s="1">
        <v>-8.7993769999999996E-6</v>
      </c>
      <c r="I4446">
        <v>141.1943</v>
      </c>
      <c r="J4446">
        <v>-284.15339999999998</v>
      </c>
      <c r="K4446">
        <v>1.1089519999999999</v>
      </c>
      <c r="L4446">
        <v>140.9341</v>
      </c>
      <c r="M4446">
        <v>-0.99983120000000003</v>
      </c>
      <c r="N4446">
        <v>0</v>
      </c>
      <c r="O4446">
        <v>-1.671419E-2</v>
      </c>
      <c r="P4446">
        <v>-0.99837620000000005</v>
      </c>
      <c r="Q4446">
        <v>-2.0032069999999999E-2</v>
      </c>
      <c r="R4446">
        <v>5.3325610000000002E-2</v>
      </c>
      <c r="S4446">
        <v>-3.0011290000000002</v>
      </c>
      <c r="T4446">
        <v>-0.11429250000000001</v>
      </c>
      <c r="U4446">
        <v>2.6153559999999999E-2</v>
      </c>
      <c r="V4446">
        <v>7.0005620000000005E-2</v>
      </c>
      <c r="W4446">
        <v>-1.2419700000000001E-2</v>
      </c>
      <c r="X4446">
        <v>0.9974693</v>
      </c>
      <c r="Y4446">
        <v>2.539655E-2</v>
      </c>
      <c r="Z4446">
        <v>1.1197010000000001E-3</v>
      </c>
      <c r="AA4446">
        <v>0.99967680000000003</v>
      </c>
      <c r="AB4446">
        <v>38</v>
      </c>
      <c r="AC4446">
        <v>-28.7361</v>
      </c>
      <c r="AD4446">
        <v>-1.1089607993770001</v>
      </c>
      <c r="AE4446">
        <v>0.26019999999999699</v>
      </c>
      <c r="AF4446">
        <v>0.73937721407060097</v>
      </c>
      <c r="AG4446">
        <v>-1.1089607993770001</v>
      </c>
      <c r="AH4446">
        <v>28.6850198477383</v>
      </c>
      <c r="AI4446">
        <v>92.213213800144999</v>
      </c>
      <c r="AJ4446">
        <v>88.523486616683499</v>
      </c>
      <c r="AK4446">
        <v>28.715968317024998</v>
      </c>
      <c r="AL4446">
        <v>90.711614673608906</v>
      </c>
      <c r="AM4446">
        <v>85.985379923589306</v>
      </c>
      <c r="AN4446">
        <v>1.0000000201110799</v>
      </c>
    </row>
    <row r="4447" spans="1:40" x14ac:dyDescent="0.25">
      <c r="A4447" t="str">
        <f>"20190312161401770"</f>
        <v>20190312161401770</v>
      </c>
      <c r="B4447" t="str">
        <f>"1552378441760270"</f>
        <v>1552378441760270</v>
      </c>
      <c r="C4447" t="s">
        <v>40</v>
      </c>
      <c r="D4447">
        <v>5.8672610000000001</v>
      </c>
      <c r="E4447">
        <v>0.48332770000000003</v>
      </c>
      <c r="F4447" t="s">
        <v>84</v>
      </c>
      <c r="G4447">
        <v>-313.97620000000001</v>
      </c>
      <c r="H4447" s="1">
        <v>-8.3923279999999992E-6</v>
      </c>
      <c r="I4447">
        <v>141.202</v>
      </c>
      <c r="J4447">
        <v>-284.56279999999998</v>
      </c>
      <c r="K4447">
        <v>1.1088610000000001</v>
      </c>
      <c r="L4447">
        <v>140.92740000000001</v>
      </c>
      <c r="M4447">
        <v>-0.99983500000000003</v>
      </c>
      <c r="N4447">
        <v>0</v>
      </c>
      <c r="O4447">
        <v>-1.644143E-2</v>
      </c>
      <c r="P4447">
        <v>-0.99836599999999998</v>
      </c>
      <c r="Q4447">
        <v>-2.032519E-2</v>
      </c>
      <c r="R4447">
        <v>5.3410289999999999E-2</v>
      </c>
      <c r="S4447">
        <v>-3.0011899999999998</v>
      </c>
      <c r="T4447">
        <v>-0.1115992</v>
      </c>
      <c r="U4447">
        <v>2.6962280000000002E-2</v>
      </c>
      <c r="V4447">
        <v>6.9815080000000002E-2</v>
      </c>
      <c r="W4447">
        <v>-1.262391E-2</v>
      </c>
      <c r="X4447">
        <v>0.99748009999999998</v>
      </c>
      <c r="Y4447">
        <v>2.5394630000000001E-2</v>
      </c>
      <c r="Z4447">
        <v>1.0831370000000001E-3</v>
      </c>
      <c r="AA4447">
        <v>0.99967689999999998</v>
      </c>
      <c r="AB4447">
        <v>38</v>
      </c>
      <c r="AC4447">
        <v>-29.413399999999999</v>
      </c>
      <c r="AD4447">
        <v>-1.108869392328</v>
      </c>
      <c r="AE4447">
        <v>0.27459999999999202</v>
      </c>
      <c r="AF4447">
        <v>0.75709972804999004</v>
      </c>
      <c r="AG4447">
        <v>-1.108869392328</v>
      </c>
      <c r="AH4447">
        <v>29.3631802494073</v>
      </c>
      <c r="AI4447">
        <v>92.161968868217599</v>
      </c>
      <c r="AJ4447">
        <v>88.523013868009897</v>
      </c>
      <c r="AK4447">
        <v>29.393862381229201</v>
      </c>
      <c r="AL4447">
        <v>90.723315955346806</v>
      </c>
      <c r="AM4447">
        <v>85.996314466633393</v>
      </c>
      <c r="AN4447">
        <v>1.0000000291975499</v>
      </c>
    </row>
    <row r="4448" spans="1:40" x14ac:dyDescent="0.25">
      <c r="A4448" t="str">
        <f>"20190312161401791"</f>
        <v>20190312161401791</v>
      </c>
      <c r="B4448" t="str">
        <f>"1552378441780767"</f>
        <v>1552378441780767</v>
      </c>
      <c r="C4448" t="s">
        <v>40</v>
      </c>
      <c r="D4448">
        <v>5.8527719999999999</v>
      </c>
      <c r="E4448">
        <v>0.4833807</v>
      </c>
      <c r="F4448" t="s">
        <v>84</v>
      </c>
      <c r="G4448">
        <v>-314.55689999999998</v>
      </c>
      <c r="H4448" s="1">
        <v>-8.1712790000000001E-6</v>
      </c>
      <c r="I4448">
        <v>141.1927</v>
      </c>
      <c r="J4448">
        <v>-284.93799999999999</v>
      </c>
      <c r="K4448">
        <v>1.1087720000000001</v>
      </c>
      <c r="L4448">
        <v>140.92150000000001</v>
      </c>
      <c r="M4448">
        <v>-0.99983979999999995</v>
      </c>
      <c r="N4448">
        <v>0</v>
      </c>
      <c r="O4448">
        <v>-1.6096030000000001E-2</v>
      </c>
      <c r="P4448">
        <v>-0.99836950000000002</v>
      </c>
      <c r="Q4448">
        <v>-1.9936969999999998E-2</v>
      </c>
      <c r="R4448">
        <v>5.3485699999999997E-2</v>
      </c>
      <c r="S4448">
        <v>-3.0012210000000001</v>
      </c>
      <c r="T4448">
        <v>-0.1109537</v>
      </c>
      <c r="U4448">
        <v>2.6550290000000001E-2</v>
      </c>
      <c r="V4448">
        <v>6.9543289999999994E-2</v>
      </c>
      <c r="W4448">
        <v>-1.216426E-2</v>
      </c>
      <c r="X4448">
        <v>0.99750479999999997</v>
      </c>
      <c r="Y4448">
        <v>2.491289E-2</v>
      </c>
      <c r="Z4448">
        <v>1.0552000000000001E-3</v>
      </c>
      <c r="AA4448">
        <v>0.99968900000000005</v>
      </c>
      <c r="AB4448">
        <v>38</v>
      </c>
      <c r="AC4448">
        <v>-29.6189</v>
      </c>
      <c r="AD4448">
        <v>-1.108780171279</v>
      </c>
      <c r="AE4448">
        <v>0.271199999999993</v>
      </c>
      <c r="AF4448">
        <v>0.74687961057897601</v>
      </c>
      <c r="AG4448">
        <v>-1.108780171279</v>
      </c>
      <c r="AH4448">
        <v>29.5692632474486</v>
      </c>
      <c r="AI4448">
        <v>92.146771328905203</v>
      </c>
      <c r="AJ4448">
        <v>88.553093732180699</v>
      </c>
      <c r="AK4448">
        <v>29.599468772561298</v>
      </c>
      <c r="AL4448">
        <v>90.696977925714094</v>
      </c>
      <c r="AM4448">
        <v>86.011948850019095</v>
      </c>
      <c r="AN4448">
        <v>1.0000000322142</v>
      </c>
    </row>
    <row r="4449" spans="1:40" x14ac:dyDescent="0.25">
      <c r="A4449" t="str">
        <f>"20190312161401822"</f>
        <v>20190312161401822</v>
      </c>
      <c r="B4449" t="str">
        <f>"1552378441811023"</f>
        <v>1552378441811023</v>
      </c>
      <c r="C4449" t="s">
        <v>40</v>
      </c>
      <c r="D4449">
        <v>5.8121859999999996</v>
      </c>
      <c r="E4449">
        <v>0.48357349999999999</v>
      </c>
      <c r="F4449" t="s">
        <v>84</v>
      </c>
      <c r="G4449">
        <v>-314.85309999999998</v>
      </c>
      <c r="H4449" s="1">
        <v>-8.0597319999999993E-6</v>
      </c>
      <c r="I4449">
        <v>141.1925</v>
      </c>
      <c r="J4449">
        <v>-285.4778</v>
      </c>
      <c r="K4449">
        <v>1.1086400000000001</v>
      </c>
      <c r="L4449">
        <v>140.9134</v>
      </c>
      <c r="M4449">
        <v>-0.99984899999999999</v>
      </c>
      <c r="N4449">
        <v>0</v>
      </c>
      <c r="O4449">
        <v>-1.5463370000000001E-2</v>
      </c>
      <c r="P4449">
        <v>-0.99840329999999999</v>
      </c>
      <c r="Q4449">
        <v>-1.9702170000000001E-2</v>
      </c>
      <c r="R4449">
        <v>5.294066E-2</v>
      </c>
      <c r="S4449">
        <v>-3.0011899999999998</v>
      </c>
      <c r="T4449">
        <v>-0.1112369</v>
      </c>
      <c r="U4449">
        <v>2.7191159999999999E-2</v>
      </c>
      <c r="V4449">
        <v>6.8364259999999996E-2</v>
      </c>
      <c r="W4449">
        <v>-1.183815E-2</v>
      </c>
      <c r="X4449">
        <v>0.99759019999999998</v>
      </c>
      <c r="Y4449">
        <v>2.4494470000000001E-2</v>
      </c>
      <c r="Z4449">
        <v>1.026711E-3</v>
      </c>
      <c r="AA4449">
        <v>0.99969940000000002</v>
      </c>
      <c r="AB4449">
        <v>38</v>
      </c>
      <c r="AC4449">
        <v>-29.3752999999999</v>
      </c>
      <c r="AD4449">
        <v>-1.1086480597319901</v>
      </c>
      <c r="AE4449">
        <v>0.27909999999999902</v>
      </c>
      <c r="AF4449">
        <v>0.73227909570499705</v>
      </c>
      <c r="AG4449">
        <v>-1.1086480597319901</v>
      </c>
      <c r="AH4449">
        <v>29.325704677594398</v>
      </c>
      <c r="AI4449">
        <v>92.164341972748204</v>
      </c>
      <c r="AJ4449">
        <v>88.5695898880345</v>
      </c>
      <c r="AK4449">
        <v>29.355787981790499</v>
      </c>
      <c r="AL4449">
        <v>90.678291868597597</v>
      </c>
      <c r="AM4449">
        <v>86.079683783522</v>
      </c>
      <c r="AN4449">
        <v>1.0000000104883999</v>
      </c>
    </row>
    <row r="4450" spans="1:40" x14ac:dyDescent="0.25">
      <c r="A4450" t="str">
        <f>"20190312161401845"</f>
        <v>20190312161401845</v>
      </c>
      <c r="B4450" t="str">
        <f>"1552378441840303"</f>
        <v>1552378441840303</v>
      </c>
      <c r="C4450" t="s">
        <v>40</v>
      </c>
      <c r="D4450">
        <v>5.9405590000000004</v>
      </c>
      <c r="E4450">
        <v>0.48351379999999999</v>
      </c>
      <c r="F4450" t="s">
        <v>84</v>
      </c>
      <c r="G4450">
        <v>-314.23399999999998</v>
      </c>
      <c r="H4450" s="1">
        <v>-8.2872099999999999E-6</v>
      </c>
      <c r="I4450">
        <v>141.17140000000001</v>
      </c>
      <c r="J4450">
        <v>-285.86529999999999</v>
      </c>
      <c r="K4450">
        <v>1.1085590000000001</v>
      </c>
      <c r="L4450">
        <v>140.90780000000001</v>
      </c>
      <c r="M4450">
        <v>-0.999857</v>
      </c>
      <c r="N4450">
        <v>0</v>
      </c>
      <c r="O4450">
        <v>-1.4904239999999999E-2</v>
      </c>
      <c r="P4450">
        <v>-0.9982837</v>
      </c>
      <c r="Q4450">
        <v>-2.081144E-2</v>
      </c>
      <c r="R4450">
        <v>5.4746499999999997E-2</v>
      </c>
      <c r="S4450">
        <v>-3.001099</v>
      </c>
      <c r="T4450">
        <v>-0.11570229999999999</v>
      </c>
      <c r="U4450">
        <v>2.6931759999999999E-2</v>
      </c>
      <c r="V4450">
        <v>6.9606680000000004E-2</v>
      </c>
      <c r="W4450">
        <v>-1.2893709999999999E-2</v>
      </c>
      <c r="X4450">
        <v>0.99749120000000002</v>
      </c>
      <c r="Y4450">
        <v>2.384795E-2</v>
      </c>
      <c r="Z4450">
        <v>1.0339240000000001E-3</v>
      </c>
      <c r="AA4450">
        <v>0.99971509999999997</v>
      </c>
      <c r="AB4450">
        <v>39</v>
      </c>
      <c r="AC4450">
        <v>-28.3687</v>
      </c>
      <c r="AD4450">
        <v>-1.1085672872100001</v>
      </c>
      <c r="AE4450">
        <v>0.263599999999996</v>
      </c>
      <c r="AF4450">
        <v>0.685351673136258</v>
      </c>
      <c r="AG4450">
        <v>-1.1085672872100001</v>
      </c>
      <c r="AH4450">
        <v>28.318380827981301</v>
      </c>
      <c r="AI4450">
        <v>92.241132608282001</v>
      </c>
      <c r="AJ4450">
        <v>88.613617966143494</v>
      </c>
      <c r="AK4450">
        <v>28.348356584901399</v>
      </c>
      <c r="AL4450">
        <v>90.738775624471998</v>
      </c>
      <c r="AM4450">
        <v>86.008271165746294</v>
      </c>
      <c r="AN4450">
        <v>1.00000001586781</v>
      </c>
    </row>
    <row r="4451" spans="1:40" x14ac:dyDescent="0.25">
      <c r="A4451" t="str">
        <f>"20190312161401868"</f>
        <v>20190312161401868</v>
      </c>
      <c r="B4451" t="str">
        <f>"1552378441860799"</f>
        <v>1552378441860799</v>
      </c>
      <c r="C4451" t="s">
        <v>40</v>
      </c>
      <c r="D4451">
        <v>5.8676050000000002</v>
      </c>
      <c r="E4451">
        <v>0.48342390000000002</v>
      </c>
      <c r="F4451" t="s">
        <v>84</v>
      </c>
      <c r="G4451">
        <v>-314.50990000000002</v>
      </c>
      <c r="H4451" s="1">
        <v>-8.1940600000000006E-6</v>
      </c>
      <c r="I4451">
        <v>141.21190000000001</v>
      </c>
      <c r="J4451">
        <v>-286.26870000000002</v>
      </c>
      <c r="K4451">
        <v>1.1084639999999999</v>
      </c>
      <c r="L4451">
        <v>140.9024</v>
      </c>
      <c r="M4451">
        <v>-0.99986640000000004</v>
      </c>
      <c r="N4451">
        <v>0</v>
      </c>
      <c r="O4451">
        <v>-1.421438E-2</v>
      </c>
      <c r="P4451">
        <v>-0.99820129999999996</v>
      </c>
      <c r="Q4451">
        <v>-1.983035E-2</v>
      </c>
      <c r="R4451">
        <v>5.6577200000000001E-2</v>
      </c>
      <c r="S4451">
        <v>-3.0009769999999998</v>
      </c>
      <c r="T4451">
        <v>-0.1161401</v>
      </c>
      <c r="U4451">
        <v>3.1860350000000003E-2</v>
      </c>
      <c r="V4451">
        <v>7.0746180000000006E-2</v>
      </c>
      <c r="W4451">
        <v>-1.1871069999999999E-2</v>
      </c>
      <c r="X4451">
        <v>0.99742370000000002</v>
      </c>
      <c r="Y4451">
        <v>2.4799829999999998E-2</v>
      </c>
      <c r="Z4451">
        <v>1.029594E-3</v>
      </c>
      <c r="AA4451">
        <v>0.99969189999999997</v>
      </c>
      <c r="AB4451">
        <v>39</v>
      </c>
      <c r="AC4451">
        <v>-28.2411999999999</v>
      </c>
      <c r="AD4451">
        <v>-1.10847219406</v>
      </c>
      <c r="AE4451">
        <v>0.30950000000001399</v>
      </c>
      <c r="AF4451">
        <v>0.70981955166311905</v>
      </c>
      <c r="AG4451">
        <v>-1.10847219406</v>
      </c>
      <c r="AH4451">
        <v>28.1905226828307</v>
      </c>
      <c r="AI4451">
        <v>92.251039662766701</v>
      </c>
      <c r="AJ4451">
        <v>88.557633237668298</v>
      </c>
      <c r="AK4451">
        <v>28.221235329661202</v>
      </c>
      <c r="AL4451">
        <v>90.680178191576402</v>
      </c>
      <c r="AM4451">
        <v>85.942867160628495</v>
      </c>
      <c r="AN4451">
        <v>0.99999999080461299</v>
      </c>
    </row>
    <row r="4452" spans="1:40" x14ac:dyDescent="0.25">
      <c r="A4452" t="str">
        <f>"20190312161401891"</f>
        <v>20190312161401891</v>
      </c>
      <c r="B4452" t="str">
        <f>"1552378441880319"</f>
        <v>1552378441880319</v>
      </c>
      <c r="C4452" t="s">
        <v>40</v>
      </c>
      <c r="D4452">
        <v>5.7615980000000002</v>
      </c>
      <c r="E4452">
        <v>0.48327399999999998</v>
      </c>
      <c r="F4452" t="s">
        <v>84</v>
      </c>
      <c r="G4452">
        <v>-315.85120000000001</v>
      </c>
      <c r="H4452" s="1">
        <v>-7.6432320000000008E-6</v>
      </c>
      <c r="I4452">
        <v>141.26480000000001</v>
      </c>
      <c r="J4452">
        <v>-286.65969999999999</v>
      </c>
      <c r="K4452">
        <v>1.108358</v>
      </c>
      <c r="L4452">
        <v>140.8974</v>
      </c>
      <c r="M4452">
        <v>-0.99987700000000002</v>
      </c>
      <c r="N4452">
        <v>0</v>
      </c>
      <c r="O4452">
        <v>-1.342693E-2</v>
      </c>
      <c r="P4452">
        <v>-0.99811740000000004</v>
      </c>
      <c r="Q4452">
        <v>-1.927274E-2</v>
      </c>
      <c r="R4452">
        <v>5.8222820000000002E-2</v>
      </c>
      <c r="S4452">
        <v>-3.001099</v>
      </c>
      <c r="T4452">
        <v>-0.1124526</v>
      </c>
      <c r="U4452">
        <v>3.6773680000000003E-2</v>
      </c>
      <c r="V4452">
        <v>7.1602780000000005E-2</v>
      </c>
      <c r="W4452">
        <v>-1.12897E-2</v>
      </c>
      <c r="X4452">
        <v>0.99736930000000001</v>
      </c>
      <c r="Y4452">
        <v>2.5650329999999999E-2</v>
      </c>
      <c r="Z4452">
        <v>9.833127000000001E-4</v>
      </c>
      <c r="AA4452">
        <v>0.99967050000000002</v>
      </c>
      <c r="AB4452">
        <v>39</v>
      </c>
      <c r="AC4452">
        <v>-29.191500000000001</v>
      </c>
      <c r="AD4452">
        <v>-1.1083656432319999</v>
      </c>
      <c r="AE4452">
        <v>0.367400000000003</v>
      </c>
      <c r="AF4452">
        <v>0.75823905655197299</v>
      </c>
      <c r="AG4452">
        <v>-1.1083656432319999</v>
      </c>
      <c r="AH4452">
        <v>29.141929958785699</v>
      </c>
      <c r="AI4452">
        <v>92.177365252714694</v>
      </c>
      <c r="AJ4452">
        <v>88.509566857872699</v>
      </c>
      <c r="AK4452">
        <v>29.172855235453799</v>
      </c>
      <c r="AL4452">
        <v>90.646865924461395</v>
      </c>
      <c r="AM4452">
        <v>85.893686923938503</v>
      </c>
      <c r="AN4452">
        <v>0.99999996800615298</v>
      </c>
    </row>
    <row r="4453" spans="1:40" x14ac:dyDescent="0.25">
      <c r="A4453" t="str">
        <f>"20190312161401911"</f>
        <v>20190312161401911</v>
      </c>
      <c r="B4453" t="str">
        <f>"1552378441900814"</f>
        <v>1552378441900814</v>
      </c>
      <c r="C4453" t="s">
        <v>40</v>
      </c>
      <c r="D4453">
        <v>5.9424549999999998</v>
      </c>
      <c r="E4453">
        <v>0.48325439999999997</v>
      </c>
      <c r="F4453" t="s">
        <v>84</v>
      </c>
      <c r="G4453">
        <v>-316.94839999999999</v>
      </c>
      <c r="H4453" s="1">
        <v>-7.1678430000000003E-6</v>
      </c>
      <c r="I4453">
        <v>141.30719999999999</v>
      </c>
      <c r="J4453">
        <v>-287.01870000000002</v>
      </c>
      <c r="K4453">
        <v>1.1082590000000001</v>
      </c>
      <c r="L4453">
        <v>140.89320000000001</v>
      </c>
      <c r="M4453">
        <v>-0.99988719999999998</v>
      </c>
      <c r="N4453">
        <v>0</v>
      </c>
      <c r="O4453">
        <v>-1.262021E-2</v>
      </c>
      <c r="P4453">
        <v>-0.99800960000000005</v>
      </c>
      <c r="Q4453">
        <v>-1.9353229999999999E-2</v>
      </c>
      <c r="R4453">
        <v>6.0018620000000002E-2</v>
      </c>
      <c r="S4453">
        <v>-3.0011899999999998</v>
      </c>
      <c r="T4453">
        <v>-0.1098233</v>
      </c>
      <c r="U4453">
        <v>4.0603640000000003E-2</v>
      </c>
      <c r="V4453">
        <v>7.2589840000000003E-2</v>
      </c>
      <c r="W4453">
        <v>-1.135684E-2</v>
      </c>
      <c r="X4453">
        <v>0.99729719999999999</v>
      </c>
      <c r="Y4453">
        <v>2.612041E-2</v>
      </c>
      <c r="Z4453">
        <v>9.3938910000000004E-4</v>
      </c>
      <c r="AA4453">
        <v>0.9996583</v>
      </c>
      <c r="AB4453">
        <v>39</v>
      </c>
      <c r="AC4453">
        <v>-29.929699999999901</v>
      </c>
      <c r="AD4453">
        <v>-1.1082661678429999</v>
      </c>
      <c r="AE4453">
        <v>0.41399999999998699</v>
      </c>
      <c r="AF4453">
        <v>0.79061481197192995</v>
      </c>
      <c r="AG4453">
        <v>-1.1082661678429999</v>
      </c>
      <c r="AH4453">
        <v>29.8811278346503</v>
      </c>
      <c r="AI4453">
        <v>92.123336756649294</v>
      </c>
      <c r="AJ4453">
        <v>88.484383656081505</v>
      </c>
      <c r="AK4453">
        <v>29.912123400895599</v>
      </c>
      <c r="AL4453">
        <v>90.650712999512194</v>
      </c>
      <c r="AM4453">
        <v>85.836978253441998</v>
      </c>
      <c r="AN4453">
        <v>0.99999998390692502</v>
      </c>
    </row>
    <row r="4454" spans="1:40" x14ac:dyDescent="0.25">
      <c r="A4454" t="str">
        <f>"20190312161401934"</f>
        <v>20190312161401934</v>
      </c>
      <c r="B4454" t="str">
        <f>"1552378441930095"</f>
        <v>1552378441930095</v>
      </c>
      <c r="C4454" t="s">
        <v>40</v>
      </c>
      <c r="D4454">
        <v>5.8705080000000001</v>
      </c>
      <c r="E4454">
        <v>0.48306480000000002</v>
      </c>
      <c r="F4454" t="s">
        <v>84</v>
      </c>
      <c r="G4454">
        <v>-317.0908</v>
      </c>
      <c r="H4454" s="1">
        <v>-7.1168589999999898E-6</v>
      </c>
      <c r="I4454">
        <v>141.35319999999999</v>
      </c>
      <c r="J4454">
        <v>-287.41989999999998</v>
      </c>
      <c r="K4454">
        <v>1.1081620000000001</v>
      </c>
      <c r="L4454">
        <v>140.88900000000001</v>
      </c>
      <c r="M4454">
        <v>-0.99989899999999998</v>
      </c>
      <c r="N4454">
        <v>0</v>
      </c>
      <c r="O4454">
        <v>-1.163729E-2</v>
      </c>
      <c r="P4454">
        <v>-0.99787859999999995</v>
      </c>
      <c r="Q4454">
        <v>-1.9659389999999999E-2</v>
      </c>
      <c r="R4454">
        <v>6.2065960000000003E-2</v>
      </c>
      <c r="S4454">
        <v>-3.0010680000000001</v>
      </c>
      <c r="T4454">
        <v>-0.1106004</v>
      </c>
      <c r="U4454">
        <v>4.5898439999999999E-2</v>
      </c>
      <c r="V4454">
        <v>7.365215E-2</v>
      </c>
      <c r="W4454">
        <v>-1.1652300000000001E-2</v>
      </c>
      <c r="X4454">
        <v>0.99721590000000004</v>
      </c>
      <c r="Y4454">
        <v>2.6901370000000001E-2</v>
      </c>
      <c r="Z4454">
        <v>9.2423259999999997E-4</v>
      </c>
      <c r="AA4454">
        <v>0.99963769999999996</v>
      </c>
      <c r="AB4454">
        <v>39</v>
      </c>
      <c r="AC4454">
        <v>-29.6709</v>
      </c>
      <c r="AD4454">
        <v>-1.108169116859</v>
      </c>
      <c r="AE4454">
        <v>0.46419999999997602</v>
      </c>
      <c r="AF4454">
        <v>0.80834162509482899</v>
      </c>
      <c r="AG4454">
        <v>-1.108169116859</v>
      </c>
      <c r="AH4454">
        <v>29.622177890107199</v>
      </c>
      <c r="AI4454">
        <v>92.141646176321302</v>
      </c>
      <c r="AJ4454">
        <v>88.436878183533295</v>
      </c>
      <c r="AK4454">
        <v>29.653918424511399</v>
      </c>
      <c r="AL4454">
        <v>90.667642731702699</v>
      </c>
      <c r="AM4454">
        <v>85.775930653220698</v>
      </c>
      <c r="AN4454">
        <v>0.99999998325386097</v>
      </c>
    </row>
    <row r="4455" spans="1:40" x14ac:dyDescent="0.25">
      <c r="A4455" t="str">
        <f>"20190312161401981"</f>
        <v>20190312161401981</v>
      </c>
      <c r="B4455" t="str">
        <f>"1552378441970111"</f>
        <v>1552378441970111</v>
      </c>
      <c r="C4455" t="s">
        <v>40</v>
      </c>
      <c r="D4455">
        <v>5.8813269999999997</v>
      </c>
      <c r="E4455">
        <v>0.483045</v>
      </c>
      <c r="F4455" t="s">
        <v>84</v>
      </c>
      <c r="G4455">
        <v>-317.28840000000002</v>
      </c>
      <c r="H4455" s="1">
        <v>-7.0394029999999998E-6</v>
      </c>
      <c r="I4455">
        <v>141.39179999999999</v>
      </c>
      <c r="J4455">
        <v>-288.22949999999997</v>
      </c>
      <c r="K4455">
        <v>1.1080030000000001</v>
      </c>
      <c r="L4455">
        <v>140.8818</v>
      </c>
      <c r="M4455">
        <v>-0.99992170000000002</v>
      </c>
      <c r="N4455">
        <v>0</v>
      </c>
      <c r="O4455">
        <v>-9.4421020000000008E-3</v>
      </c>
      <c r="P4455">
        <v>-0.9977087</v>
      </c>
      <c r="Q4455">
        <v>-1.8326530000000001E-2</v>
      </c>
      <c r="R4455">
        <v>6.5127190000000001E-2</v>
      </c>
      <c r="S4455">
        <v>-3.0010379999999999</v>
      </c>
      <c r="T4455">
        <v>-0.111343</v>
      </c>
      <c r="U4455">
        <v>5.052185E-2</v>
      </c>
      <c r="V4455">
        <v>7.4521009999999999E-2</v>
      </c>
      <c r="W4455">
        <v>-1.0300760000000001E-2</v>
      </c>
      <c r="X4455">
        <v>0.9971662</v>
      </c>
      <c r="Y4455">
        <v>2.6248190000000001E-2</v>
      </c>
      <c r="Z4455">
        <v>8.3690789999999902E-4</v>
      </c>
      <c r="AA4455">
        <v>0.99965510000000002</v>
      </c>
      <c r="AB4455">
        <v>39</v>
      </c>
      <c r="AC4455">
        <v>-29.058900000000001</v>
      </c>
      <c r="AD4455">
        <v>-1.1080100394029999</v>
      </c>
      <c r="AE4455">
        <v>0.50999999999999002</v>
      </c>
      <c r="AF4455">
        <v>0.78322524806141902</v>
      </c>
      <c r="AG4455">
        <v>-1.1080100394029999</v>
      </c>
      <c r="AH4455">
        <v>29.010623875635002</v>
      </c>
      <c r="AI4455">
        <v>92.186453052517393</v>
      </c>
      <c r="AJ4455">
        <v>88.453511270618705</v>
      </c>
      <c r="AK4455">
        <v>29.042338502437801</v>
      </c>
      <c r="AL4455">
        <v>90.590200535850798</v>
      </c>
      <c r="AM4455">
        <v>85.726071469234896</v>
      </c>
      <c r="AN4455">
        <v>0.99999995850521795</v>
      </c>
    </row>
    <row r="4456" spans="1:40" x14ac:dyDescent="0.25">
      <c r="A4456" t="str">
        <f>"20190312161402003"</f>
        <v>20190312161402003</v>
      </c>
      <c r="B4456" t="str">
        <f>"1552378441990607"</f>
        <v>1552378441990607</v>
      </c>
      <c r="C4456" t="s">
        <v>40</v>
      </c>
      <c r="D4456">
        <v>5.928464</v>
      </c>
      <c r="E4456">
        <v>0.48300720000000003</v>
      </c>
      <c r="F4456" t="s">
        <v>84</v>
      </c>
      <c r="G4456">
        <v>-318.42</v>
      </c>
      <c r="H4456" s="1">
        <v>-6.5609990000000001E-6</v>
      </c>
      <c r="I4456">
        <v>141.48050000000001</v>
      </c>
      <c r="J4456">
        <v>-288.62079999999997</v>
      </c>
      <c r="K4456">
        <v>1.107942</v>
      </c>
      <c r="L4456">
        <v>140.87899999999999</v>
      </c>
      <c r="M4456">
        <v>-0.99993160000000003</v>
      </c>
      <c r="N4456">
        <v>0</v>
      </c>
      <c r="O4456">
        <v>-8.3091429999999997E-3</v>
      </c>
      <c r="P4456">
        <v>-0.99762649999999997</v>
      </c>
      <c r="Q4456">
        <v>-1.7666479999999998E-2</v>
      </c>
      <c r="R4456">
        <v>6.6555429999999999E-2</v>
      </c>
      <c r="S4456">
        <v>-3.001007</v>
      </c>
      <c r="T4456">
        <v>-0.1101388</v>
      </c>
      <c r="U4456">
        <v>5.9509279999999998E-2</v>
      </c>
      <c r="V4456">
        <v>7.4819109999999994E-2</v>
      </c>
      <c r="W4456">
        <v>-9.6320680000000006E-3</v>
      </c>
      <c r="X4456">
        <v>0.9971506</v>
      </c>
      <c r="Y4456">
        <v>2.810847E-2</v>
      </c>
      <c r="Z4456">
        <v>8.204067E-4</v>
      </c>
      <c r="AA4456">
        <v>0.99960450000000001</v>
      </c>
      <c r="AB4456">
        <v>39</v>
      </c>
      <c r="AC4456">
        <v>-29.799199999999999</v>
      </c>
      <c r="AD4456">
        <v>-1.1079485609990001</v>
      </c>
      <c r="AE4456">
        <v>0.60150000000001502</v>
      </c>
      <c r="AF4456">
        <v>0.84792175692749105</v>
      </c>
      <c r="AG4456">
        <v>-1.1079485609990001</v>
      </c>
      <c r="AH4456">
        <v>29.752060953405199</v>
      </c>
      <c r="AI4456">
        <v>92.131809539400294</v>
      </c>
      <c r="AJ4456">
        <v>88.367535236790602</v>
      </c>
      <c r="AK4456">
        <v>29.784755367382601</v>
      </c>
      <c r="AL4456">
        <v>90.551885379664398</v>
      </c>
      <c r="AM4456">
        <v>85.708971688940196</v>
      </c>
      <c r="AN4456">
        <v>0.99999999751775404</v>
      </c>
    </row>
    <row r="4457" spans="1:40" x14ac:dyDescent="0.25">
      <c r="A4457" t="str">
        <f>"20190312161402023"</f>
        <v>20190312161402023</v>
      </c>
      <c r="B4457" t="str">
        <f>"1552378442010127"</f>
        <v>1552378442010127</v>
      </c>
      <c r="C4457" t="s">
        <v>40</v>
      </c>
      <c r="D4457">
        <v>5.8991930000000004</v>
      </c>
      <c r="E4457">
        <v>0.48291190000000001</v>
      </c>
      <c r="F4457" t="s">
        <v>84</v>
      </c>
      <c r="G4457">
        <v>-318.80889999999999</v>
      </c>
      <c r="H4457" s="1">
        <v>-6.3982089999999996E-6</v>
      </c>
      <c r="I4457">
        <v>141.5171</v>
      </c>
      <c r="J4457">
        <v>-288.9769</v>
      </c>
      <c r="K4457">
        <v>1.107901</v>
      </c>
      <c r="L4457">
        <v>140.87690000000001</v>
      </c>
      <c r="M4457">
        <v>-0.99993960000000004</v>
      </c>
      <c r="N4457">
        <v>0</v>
      </c>
      <c r="O4457">
        <v>-7.253771E-3</v>
      </c>
      <c r="P4457">
        <v>-0.99756929999999999</v>
      </c>
      <c r="Q4457">
        <v>-1.7118000000000001E-2</v>
      </c>
      <c r="R4457">
        <v>6.7548860000000002E-2</v>
      </c>
      <c r="S4457">
        <v>-3.0009459999999999</v>
      </c>
      <c r="T4457">
        <v>-0.1101393</v>
      </c>
      <c r="U4457">
        <v>6.3430790000000001E-2</v>
      </c>
      <c r="V4457">
        <v>7.4760279999999998E-2</v>
      </c>
      <c r="W4457">
        <v>-9.0743850000000008E-3</v>
      </c>
      <c r="X4457">
        <v>0.9971603</v>
      </c>
      <c r="Y4457">
        <v>2.8360079999999999E-2</v>
      </c>
      <c r="Z4457">
        <v>7.8631329999999996E-4</v>
      </c>
      <c r="AA4457">
        <v>0.99959750000000003</v>
      </c>
      <c r="AB4457">
        <v>39</v>
      </c>
      <c r="AC4457">
        <v>-29.831999999999901</v>
      </c>
      <c r="AD4457">
        <v>-1.107907398209</v>
      </c>
      <c r="AE4457">
        <v>0.640199999999992</v>
      </c>
      <c r="AF4457">
        <v>0.85540575642100902</v>
      </c>
      <c r="AG4457">
        <v>-1.107907398209</v>
      </c>
      <c r="AH4457">
        <v>29.785508400574098</v>
      </c>
      <c r="AI4457">
        <v>92.129325468849501</v>
      </c>
      <c r="AJ4457">
        <v>88.354982857151398</v>
      </c>
      <c r="AK4457">
        <v>29.818378367909201</v>
      </c>
      <c r="AL4457">
        <v>90.519931069886297</v>
      </c>
      <c r="AM4457">
        <v>85.712374675086906</v>
      </c>
      <c r="AN4457">
        <v>1.0000000539124401</v>
      </c>
    </row>
    <row r="4458" spans="1:40" x14ac:dyDescent="0.25">
      <c r="A4458" t="str">
        <f>"20190312161402046"</f>
        <v>20190312161402046</v>
      </c>
      <c r="B4458" t="str">
        <f>"1552378442040383"</f>
        <v>1552378442040383</v>
      </c>
      <c r="C4458" t="s">
        <v>40</v>
      </c>
      <c r="D4458">
        <v>6.0277750000000001</v>
      </c>
      <c r="E4458">
        <v>0.48258869999999998</v>
      </c>
      <c r="F4458" t="s">
        <v>84</v>
      </c>
      <c r="G4458">
        <v>-319.24810000000002</v>
      </c>
      <c r="H4458" s="1">
        <v>-6.209647E-6</v>
      </c>
      <c r="I4458">
        <v>141.54060000000001</v>
      </c>
      <c r="J4458">
        <v>-289.3793</v>
      </c>
      <c r="K4458">
        <v>1.1078600000000001</v>
      </c>
      <c r="L4458">
        <v>140.8749</v>
      </c>
      <c r="M4458">
        <v>-0.99994749999999999</v>
      </c>
      <c r="N4458">
        <v>0</v>
      </c>
      <c r="O4458">
        <v>-6.0447690000000002E-3</v>
      </c>
      <c r="P4458">
        <v>-0.99754940000000003</v>
      </c>
      <c r="Q4458">
        <v>-1.6477700000000001E-2</v>
      </c>
      <c r="R4458">
        <v>6.8000749999999999E-2</v>
      </c>
      <c r="S4458">
        <v>-3.0009459999999999</v>
      </c>
      <c r="T4458">
        <v>-0.1098326</v>
      </c>
      <c r="U4458">
        <v>6.5795899999999893E-2</v>
      </c>
      <c r="V4458">
        <v>7.4007050000000005E-2</v>
      </c>
      <c r="W4458">
        <v>-8.4211530000000007E-3</v>
      </c>
      <c r="X4458">
        <v>0.99722219999999995</v>
      </c>
      <c r="Y4458">
        <v>2.794017E-2</v>
      </c>
      <c r="Z4458">
        <v>7.3220759999999903E-4</v>
      </c>
      <c r="AA4458">
        <v>0.99960939999999998</v>
      </c>
      <c r="AB4458">
        <v>39</v>
      </c>
      <c r="AC4458">
        <v>-29.8688</v>
      </c>
      <c r="AD4458">
        <v>-1.107866209647</v>
      </c>
      <c r="AE4458">
        <v>0.66570000000001495</v>
      </c>
      <c r="AF4458">
        <v>0.84508197052002998</v>
      </c>
      <c r="AG4458">
        <v>-1.107866209647</v>
      </c>
      <c r="AH4458">
        <v>29.823221240868101</v>
      </c>
      <c r="AI4458">
        <v>92.126579486736404</v>
      </c>
      <c r="AJ4458">
        <v>88.376879660776595</v>
      </c>
      <c r="AK4458">
        <v>29.855754156563201</v>
      </c>
      <c r="AL4458">
        <v>90.482502210288004</v>
      </c>
      <c r="AM4458">
        <v>85.755677486359303</v>
      </c>
      <c r="AN4458">
        <v>1.0000000377201901</v>
      </c>
    </row>
    <row r="4459" spans="1:40" x14ac:dyDescent="0.25">
      <c r="A4459" t="str">
        <f>"20190312161402070"</f>
        <v>20190312161402070</v>
      </c>
      <c r="B4459" t="str">
        <f>"1552378442060897"</f>
        <v>1552378442060897</v>
      </c>
      <c r="C4459" t="s">
        <v>40</v>
      </c>
      <c r="D4459">
        <v>5.8949569999999998</v>
      </c>
      <c r="E4459">
        <v>0.48236760000000001</v>
      </c>
      <c r="F4459" t="s">
        <v>42</v>
      </c>
      <c r="G4459">
        <v>-320.63529999999997</v>
      </c>
      <c r="H4459" s="1">
        <v>-4.4024280000000003E-6</v>
      </c>
      <c r="I4459">
        <v>141.5479</v>
      </c>
      <c r="J4459">
        <v>-289.78579999999999</v>
      </c>
      <c r="K4459">
        <v>1.107823</v>
      </c>
      <c r="L4459">
        <v>140.8734</v>
      </c>
      <c r="M4459">
        <v>-0.99995400000000001</v>
      </c>
      <c r="N4459">
        <v>0</v>
      </c>
      <c r="O4459">
        <v>-4.8134060000000001E-3</v>
      </c>
      <c r="P4459">
        <v>-0.99752039999999997</v>
      </c>
      <c r="Q4459">
        <v>-1.6185149999999999E-2</v>
      </c>
      <c r="R4459">
        <v>6.849305E-2</v>
      </c>
      <c r="S4459">
        <v>-3.0012210000000001</v>
      </c>
      <c r="T4459">
        <v>-0.10637779999999999</v>
      </c>
      <c r="U4459">
        <v>6.462097E-2</v>
      </c>
      <c r="V4459">
        <v>7.3271619999999996E-2</v>
      </c>
      <c r="W4459">
        <v>-8.1152940000000003E-3</v>
      </c>
      <c r="X4459">
        <v>0.99727900000000003</v>
      </c>
      <c r="Y4459">
        <v>2.6319240000000001E-2</v>
      </c>
      <c r="Z4459">
        <v>6.3678519999999905E-4</v>
      </c>
      <c r="AA4459">
        <v>0.99965340000000003</v>
      </c>
      <c r="AB4459">
        <v>39</v>
      </c>
      <c r="AC4459">
        <v>-30.8494999999999</v>
      </c>
      <c r="AD4459">
        <v>-1.1078274024279999</v>
      </c>
      <c r="AE4459">
        <v>0.67449999999999399</v>
      </c>
      <c r="AF4459">
        <v>0.82192902867678397</v>
      </c>
      <c r="AG4459">
        <v>-1.1078274024279999</v>
      </c>
      <c r="AH4459">
        <v>30.806187814828199</v>
      </c>
      <c r="AI4459">
        <v>92.058805316166499</v>
      </c>
      <c r="AJ4459">
        <v>88.471674101720296</v>
      </c>
      <c r="AK4459">
        <v>30.837056548319001</v>
      </c>
      <c r="AL4459">
        <v>90.464977201376001</v>
      </c>
      <c r="AM4459">
        <v>85.797941214484695</v>
      </c>
      <c r="AN4459">
        <v>0.99999999606756496</v>
      </c>
    </row>
    <row r="4460" spans="1:40" x14ac:dyDescent="0.25">
      <c r="A4460" t="str">
        <f>"20190312161402092"</f>
        <v>20190312161402092</v>
      </c>
      <c r="B4460" t="str">
        <f>"1552378442080823"</f>
        <v>1552378442080823</v>
      </c>
      <c r="C4460" t="s">
        <v>40</v>
      </c>
      <c r="D4460">
        <v>5.8854329999999999</v>
      </c>
      <c r="E4460">
        <v>0.4821838</v>
      </c>
      <c r="F4460" t="s">
        <v>42</v>
      </c>
      <c r="G4460">
        <v>-321.70389999999998</v>
      </c>
      <c r="H4460" s="1">
        <v>-4.0405840000000003E-6</v>
      </c>
      <c r="I4460">
        <v>141.55799999999999</v>
      </c>
      <c r="J4460">
        <v>-290.19040000000001</v>
      </c>
      <c r="K4460">
        <v>1.107793</v>
      </c>
      <c r="L4460">
        <v>140.8725</v>
      </c>
      <c r="M4460">
        <v>-0.99995909999999999</v>
      </c>
      <c r="N4460">
        <v>0</v>
      </c>
      <c r="O4460">
        <v>-3.5872120000000002E-3</v>
      </c>
      <c r="P4460">
        <v>-0.99746250000000003</v>
      </c>
      <c r="Q4460">
        <v>-1.6040860000000001E-2</v>
      </c>
      <c r="R4460">
        <v>6.9365099999999999E-2</v>
      </c>
      <c r="S4460">
        <v>-3.001312</v>
      </c>
      <c r="T4460">
        <v>-0.104170899999999</v>
      </c>
      <c r="U4460">
        <v>6.4376829999999996E-2</v>
      </c>
      <c r="V4460">
        <v>7.292034E-2</v>
      </c>
      <c r="W4460">
        <v>-7.9586940000000005E-3</v>
      </c>
      <c r="X4460">
        <v>0.99730600000000003</v>
      </c>
      <c r="Y4460">
        <v>2.5013779999999999E-2</v>
      </c>
      <c r="Z4460">
        <v>5.583745E-4</v>
      </c>
      <c r="AA4460">
        <v>0.99968699999999999</v>
      </c>
      <c r="AB4460">
        <v>39</v>
      </c>
      <c r="AC4460">
        <v>-31.513499999999901</v>
      </c>
      <c r="AD4460">
        <v>-1.1077970405840001</v>
      </c>
      <c r="AE4460">
        <v>0.68549999999999001</v>
      </c>
      <c r="AF4460">
        <v>0.79755998016028595</v>
      </c>
      <c r="AG4460">
        <v>-1.1077970405840001</v>
      </c>
      <c r="AH4460">
        <v>31.471965333231498</v>
      </c>
      <c r="AI4460">
        <v>92.015303252889098</v>
      </c>
      <c r="AJ4460">
        <v>88.5483257339001</v>
      </c>
      <c r="AK4460">
        <v>31.501554217866801</v>
      </c>
      <c r="AL4460">
        <v>90.456004396500106</v>
      </c>
      <c r="AM4460">
        <v>85.818127965702999</v>
      </c>
      <c r="AN4460">
        <v>0.99999998721594996</v>
      </c>
    </row>
    <row r="4461" spans="1:40" x14ac:dyDescent="0.25">
      <c r="A4461" t="str">
        <f>"20190312161402114"</f>
        <v>20190312161402114</v>
      </c>
      <c r="B4461" t="str">
        <f>"1552378442100345"</f>
        <v>1552378442100345</v>
      </c>
      <c r="C4461" t="s">
        <v>40</v>
      </c>
      <c r="D4461">
        <v>5.9489359999999998</v>
      </c>
      <c r="E4461">
        <v>0.4821472</v>
      </c>
      <c r="F4461" t="s">
        <v>42</v>
      </c>
      <c r="G4461">
        <v>-322.58499999999998</v>
      </c>
      <c r="H4461" s="1">
        <v>-3.685434E-6</v>
      </c>
      <c r="I4461">
        <v>141.57859999999999</v>
      </c>
      <c r="J4461">
        <v>-290.57089999999999</v>
      </c>
      <c r="K4461">
        <v>1.1077709999999901</v>
      </c>
      <c r="L4461">
        <v>140.87209999999999</v>
      </c>
      <c r="M4461">
        <v>-0.99996240000000003</v>
      </c>
      <c r="N4461">
        <v>0</v>
      </c>
      <c r="O4461">
        <v>-2.43568E-3</v>
      </c>
      <c r="P4461">
        <v>-0.99739789999999995</v>
      </c>
      <c r="Q4461">
        <v>-1.5890979999999999E-2</v>
      </c>
      <c r="R4461">
        <v>7.0321170000000002E-2</v>
      </c>
      <c r="S4461">
        <v>-3.001465</v>
      </c>
      <c r="T4461">
        <v>-0.1026412</v>
      </c>
      <c r="U4461">
        <v>6.5429689999999999E-2</v>
      </c>
      <c r="V4461">
        <v>7.2727959999999994E-2</v>
      </c>
      <c r="W4461">
        <v>-7.7974200000000002E-3</v>
      </c>
      <c r="X4461">
        <v>0.99732129999999997</v>
      </c>
      <c r="Y4461">
        <v>2.4213620000000002E-2</v>
      </c>
      <c r="Z4461">
        <v>4.9710930000000002E-4</v>
      </c>
      <c r="AA4461">
        <v>0.99970669999999995</v>
      </c>
      <c r="AB4461">
        <v>39</v>
      </c>
      <c r="AC4461">
        <v>-32.0140999999999</v>
      </c>
      <c r="AD4461">
        <v>-1.10777468543399</v>
      </c>
      <c r="AE4461">
        <v>0.70650000000000501</v>
      </c>
      <c r="AF4461">
        <v>0.78353899603600297</v>
      </c>
      <c r="AG4461">
        <v>-1.10777468543399</v>
      </c>
      <c r="AH4461">
        <v>31.974018781775101</v>
      </c>
      <c r="AI4461">
        <v>91.983685903465499</v>
      </c>
      <c r="AJ4461">
        <v>88.596219804679293</v>
      </c>
      <c r="AK4461">
        <v>32.002796364838197</v>
      </c>
      <c r="AL4461">
        <v>90.446763799690899</v>
      </c>
      <c r="AM4461">
        <v>85.829185443737998</v>
      </c>
      <c r="AN4461">
        <v>0.99999996567905303</v>
      </c>
    </row>
    <row r="4462" spans="1:40" x14ac:dyDescent="0.25">
      <c r="A4462" t="str">
        <f>"20190312161402137"</f>
        <v>20190312161402137</v>
      </c>
      <c r="B4462" t="str">
        <f>"1552378442130599"</f>
        <v>1552378442130599</v>
      </c>
      <c r="C4462" t="s">
        <v>40</v>
      </c>
      <c r="D4462">
        <v>5.9566910000000002</v>
      </c>
      <c r="E4462">
        <v>0.48205179999999997</v>
      </c>
      <c r="F4462" t="s">
        <v>42</v>
      </c>
      <c r="G4462">
        <v>-322.5068</v>
      </c>
      <c r="H4462" s="1">
        <v>-3.7231870000000001E-6</v>
      </c>
      <c r="I4462">
        <v>141.59450000000001</v>
      </c>
      <c r="J4462">
        <v>-290.98259999999999</v>
      </c>
      <c r="K4462">
        <v>1.1077549999999901</v>
      </c>
      <c r="L4462">
        <v>140.87209999999999</v>
      </c>
      <c r="M4462">
        <v>-0.99996459999999998</v>
      </c>
      <c r="N4462">
        <v>0</v>
      </c>
      <c r="O4462">
        <v>-1.1936889999999999E-3</v>
      </c>
      <c r="P4462">
        <v>-0.99724860000000004</v>
      </c>
      <c r="Q4462">
        <v>-1.6042959999999998E-2</v>
      </c>
      <c r="R4462">
        <v>7.2376360000000001E-2</v>
      </c>
      <c r="S4462">
        <v>-3.0013730000000001</v>
      </c>
      <c r="T4462">
        <v>-0.10410990000000001</v>
      </c>
      <c r="U4462">
        <v>6.7901610000000001E-2</v>
      </c>
      <c r="V4462">
        <v>7.354347E-2</v>
      </c>
      <c r="W4462">
        <v>-7.9404499999999999E-3</v>
      </c>
      <c r="X4462">
        <v>0.99726040000000005</v>
      </c>
      <c r="Y4462">
        <v>2.379612E-2</v>
      </c>
      <c r="Z4462">
        <v>4.5392590000000002E-4</v>
      </c>
      <c r="AA4462">
        <v>0.99971679999999996</v>
      </c>
      <c r="AB4462">
        <v>40</v>
      </c>
      <c r="AC4462">
        <v>-31.5242</v>
      </c>
      <c r="AD4462">
        <v>-1.1077587231870001</v>
      </c>
      <c r="AE4462">
        <v>0.72240000000002103</v>
      </c>
      <c r="AF4462">
        <v>0.75909403200327097</v>
      </c>
      <c r="AG4462">
        <v>-1.1077587231870001</v>
      </c>
      <c r="AH4462">
        <v>31.4844580842467</v>
      </c>
      <c r="AI4462">
        <v>92.014495903210999</v>
      </c>
      <c r="AJ4462">
        <v>88.6188595125506</v>
      </c>
      <c r="AK4462">
        <v>31.5130838541217</v>
      </c>
      <c r="AL4462">
        <v>90.454959053862495</v>
      </c>
      <c r="AM4462">
        <v>85.782328646490001</v>
      </c>
      <c r="AN4462">
        <v>0.99999999906700099</v>
      </c>
    </row>
    <row r="4463" spans="1:40" x14ac:dyDescent="0.25">
      <c r="A4463" t="str">
        <f>"20190312161402158"</f>
        <v>20190312161402158</v>
      </c>
      <c r="B4463" t="str">
        <f>"1552378442150119"</f>
        <v>1552378442150119</v>
      </c>
      <c r="C4463" t="s">
        <v>40</v>
      </c>
      <c r="D4463">
        <v>5.9243870000000003</v>
      </c>
      <c r="E4463">
        <v>0.48187160000000001</v>
      </c>
      <c r="F4463" t="s">
        <v>42</v>
      </c>
      <c r="G4463">
        <v>-322.2396</v>
      </c>
      <c r="H4463" s="1">
        <v>-3.84871E-6</v>
      </c>
      <c r="I4463">
        <v>141.6354</v>
      </c>
      <c r="J4463">
        <v>-291.37560000000002</v>
      </c>
      <c r="K4463">
        <v>1.1077440000000001</v>
      </c>
      <c r="L4463">
        <v>140.8725</v>
      </c>
      <c r="M4463">
        <v>-0.99996510000000005</v>
      </c>
      <c r="N4463">
        <v>0</v>
      </c>
      <c r="O4463" s="1">
        <v>-1.5272819999999999E-5</v>
      </c>
      <c r="P4463">
        <v>-0.99705200000000005</v>
      </c>
      <c r="Q4463">
        <v>-1.619023E-2</v>
      </c>
      <c r="R4463">
        <v>7.5001109999999996E-2</v>
      </c>
      <c r="S4463">
        <v>-3.0012509999999999</v>
      </c>
      <c r="T4463">
        <v>-0.1063654</v>
      </c>
      <c r="U4463">
        <v>7.3303220000000002E-2</v>
      </c>
      <c r="V4463">
        <v>7.4992390000000006E-2</v>
      </c>
      <c r="W4463">
        <v>-8.0810440000000008E-3</v>
      </c>
      <c r="X4463">
        <v>0.99715140000000002</v>
      </c>
      <c r="Y4463">
        <v>2.4416879999999998E-2</v>
      </c>
      <c r="Z4463">
        <v>4.3301229999999997E-4</v>
      </c>
      <c r="AA4463">
        <v>0.99970179999999997</v>
      </c>
      <c r="AB4463">
        <v>40</v>
      </c>
      <c r="AC4463">
        <v>-30.863999999999901</v>
      </c>
      <c r="AD4463">
        <v>-1.1077478487100001</v>
      </c>
      <c r="AE4463">
        <v>0.76290000000000102</v>
      </c>
      <c r="AF4463">
        <v>0.76238989899987697</v>
      </c>
      <c r="AG4463">
        <v>-1.1077478487100001</v>
      </c>
      <c r="AH4463">
        <v>30.8243052581625</v>
      </c>
      <c r="AI4463">
        <v>92.057551470598497</v>
      </c>
      <c r="AJ4463">
        <v>88.583169380262703</v>
      </c>
      <c r="AK4463">
        <v>30.853624394920001</v>
      </c>
      <c r="AL4463">
        <v>90.463014737072697</v>
      </c>
      <c r="AM4463">
        <v>85.699074413193102</v>
      </c>
      <c r="AN4463">
        <v>1.0000000381759999</v>
      </c>
    </row>
    <row r="4464" spans="1:40" x14ac:dyDescent="0.25">
      <c r="A4464" t="str">
        <f>"20190312161402182"</f>
        <v>20190312161402182</v>
      </c>
      <c r="B4464" t="str">
        <f>"1552378442170147"</f>
        <v>1552378442170147</v>
      </c>
      <c r="C4464" t="s">
        <v>40</v>
      </c>
      <c r="D4464">
        <v>5.9116790000000004</v>
      </c>
      <c r="E4464">
        <v>0.48177490000000001</v>
      </c>
      <c r="F4464" t="s">
        <v>42</v>
      </c>
      <c r="G4464">
        <v>-322.84969999999998</v>
      </c>
      <c r="H4464" s="1">
        <v>-3.6067039999999998E-6</v>
      </c>
      <c r="I4464">
        <v>141.70949999999999</v>
      </c>
      <c r="J4464">
        <v>-291.78750000000002</v>
      </c>
      <c r="K4464">
        <v>1.1077399999999999</v>
      </c>
      <c r="L4464">
        <v>140.87350000000001</v>
      </c>
      <c r="M4464">
        <v>-0.99996430000000003</v>
      </c>
      <c r="N4464">
        <v>0</v>
      </c>
      <c r="O4464">
        <v>1.2034459999999999E-3</v>
      </c>
      <c r="P4464">
        <v>-0.99689760000000005</v>
      </c>
      <c r="Q4464">
        <v>-1.5422399999999999E-2</v>
      </c>
      <c r="R4464">
        <v>7.7187539999999999E-2</v>
      </c>
      <c r="S4464">
        <v>-3.0011899999999998</v>
      </c>
      <c r="T4464">
        <v>-0.10562879999999999</v>
      </c>
      <c r="U4464">
        <v>7.9818730000000004E-2</v>
      </c>
      <c r="V4464">
        <v>7.5966220000000001E-2</v>
      </c>
      <c r="W4464">
        <v>-7.3031889999999999E-3</v>
      </c>
      <c r="X4464">
        <v>0.99708370000000002</v>
      </c>
      <c r="Y4464">
        <v>2.536826E-2</v>
      </c>
      <c r="Z4464">
        <v>4.0387240000000003E-4</v>
      </c>
      <c r="AA4464">
        <v>0.99967810000000001</v>
      </c>
      <c r="AB4464">
        <v>40</v>
      </c>
      <c r="AC4464">
        <v>-31.062199999999901</v>
      </c>
      <c r="AD4464">
        <v>-1.1077436067040001</v>
      </c>
      <c r="AE4464">
        <v>0.83599999999998398</v>
      </c>
      <c r="AF4464">
        <v>0.79760276084594295</v>
      </c>
      <c r="AG4464">
        <v>-1.1077436067040001</v>
      </c>
      <c r="AH4464">
        <v>31.023756596942398</v>
      </c>
      <c r="AI4464">
        <v>92.044276687625796</v>
      </c>
      <c r="AJ4464">
        <v>88.527283209803699</v>
      </c>
      <c r="AK4464">
        <v>31.053771742714801</v>
      </c>
      <c r="AL4464">
        <v>90.418445603897595</v>
      </c>
      <c r="AM4464">
        <v>85.643142794319004</v>
      </c>
      <c r="AN4464">
        <v>1.0000000539781699</v>
      </c>
    </row>
    <row r="4465" spans="1:40" x14ac:dyDescent="0.25">
      <c r="A4465" t="str">
        <f>"20190312161402225"</f>
        <v>20190312161402225</v>
      </c>
      <c r="B4465" t="str">
        <f>"1552378442220900"</f>
        <v>1552378442220900</v>
      </c>
      <c r="C4465" t="s">
        <v>40</v>
      </c>
      <c r="D4465">
        <v>5.9918490000000002</v>
      </c>
      <c r="E4465">
        <v>0.48160500000000001</v>
      </c>
      <c r="F4465" t="s">
        <v>42</v>
      </c>
      <c r="G4465">
        <v>-324.16669999999999</v>
      </c>
      <c r="H4465" s="1">
        <v>-3.0650100000000002E-6</v>
      </c>
      <c r="I4465">
        <v>141.797</v>
      </c>
      <c r="J4465">
        <v>-292.55430000000001</v>
      </c>
      <c r="K4465">
        <v>1.1077699999999999</v>
      </c>
      <c r="L4465">
        <v>140.8766</v>
      </c>
      <c r="M4465">
        <v>-0.99995889999999998</v>
      </c>
      <c r="N4465">
        <v>0</v>
      </c>
      <c r="O4465">
        <v>3.3912819999999998E-3</v>
      </c>
      <c r="P4465">
        <v>-0.9965773</v>
      </c>
      <c r="Q4465">
        <v>-1.593425E-2</v>
      </c>
      <c r="R4465">
        <v>8.1116590000000002E-2</v>
      </c>
      <c r="S4465">
        <v>-3.0011290000000002</v>
      </c>
      <c r="T4465">
        <v>-0.1026738</v>
      </c>
      <c r="U4465">
        <v>8.560181E-2</v>
      </c>
      <c r="V4465">
        <v>7.7713489999999996E-2</v>
      </c>
      <c r="W4465">
        <v>-7.7808690000000002E-3</v>
      </c>
      <c r="X4465">
        <v>0.99694539999999998</v>
      </c>
      <c r="Y4465">
        <v>2.5108720000000001E-2</v>
      </c>
      <c r="Z4465">
        <v>3.1332670000000002E-4</v>
      </c>
      <c r="AA4465">
        <v>0.99968469999999998</v>
      </c>
      <c r="AB4465">
        <v>40</v>
      </c>
      <c r="AC4465">
        <v>-31.612399999999901</v>
      </c>
      <c r="AD4465">
        <v>-1.1077730650099999</v>
      </c>
      <c r="AE4465">
        <v>0.9204</v>
      </c>
      <c r="AF4465">
        <v>0.81218785893128398</v>
      </c>
      <c r="AG4465">
        <v>-1.1077730650099999</v>
      </c>
      <c r="AH4465">
        <v>31.576597473567901</v>
      </c>
      <c r="AI4465">
        <v>92.008567970003099</v>
      </c>
      <c r="AJ4465">
        <v>88.526608878435795</v>
      </c>
      <c r="AK4465">
        <v>31.6064600721038</v>
      </c>
      <c r="AL4465">
        <v>90.445815439983207</v>
      </c>
      <c r="AM4465">
        <v>85.542715833854899</v>
      </c>
      <c r="AN4465">
        <v>1.0000000295157601</v>
      </c>
    </row>
    <row r="4466" spans="1:40" x14ac:dyDescent="0.25">
      <c r="A4466" t="str">
        <f>"20190312161402249"</f>
        <v>20190312161402249</v>
      </c>
      <c r="B4466" t="str">
        <f>"1552378442241395"</f>
        <v>1552378442241395</v>
      </c>
      <c r="C4466" t="s">
        <v>40</v>
      </c>
      <c r="D4466">
        <v>5.9207919999999996</v>
      </c>
      <c r="E4466">
        <v>0.4378145</v>
      </c>
      <c r="F4466" t="s">
        <v>42</v>
      </c>
      <c r="G4466">
        <v>-324.60700000000003</v>
      </c>
      <c r="H4466" s="1">
        <v>-2.904196E-6</v>
      </c>
      <c r="I4466">
        <v>141.9025</v>
      </c>
      <c r="J4466">
        <v>-292.97329999999999</v>
      </c>
      <c r="K4466">
        <v>1.1078049999999999</v>
      </c>
      <c r="L4466">
        <v>140.87889999999999</v>
      </c>
      <c r="M4466">
        <v>-0.99995420000000002</v>
      </c>
      <c r="N4466">
        <v>0</v>
      </c>
      <c r="O4466">
        <v>4.5164209999999996E-3</v>
      </c>
      <c r="P4466">
        <v>-0.99642810000000004</v>
      </c>
      <c r="Q4466">
        <v>-1.6195620000000001E-2</v>
      </c>
      <c r="R4466">
        <v>8.2877549999999994E-2</v>
      </c>
      <c r="S4466">
        <v>-3.0008240000000002</v>
      </c>
      <c r="T4466">
        <v>-0.1037117</v>
      </c>
      <c r="U4466">
        <v>9.605408E-2</v>
      </c>
      <c r="V4466">
        <v>7.8353359999999997E-2</v>
      </c>
      <c r="W4466">
        <v>-8.0001469999999904E-3</v>
      </c>
      <c r="X4466">
        <v>0.99689349999999999</v>
      </c>
      <c r="Y4466">
        <v>2.7464559999999999E-2</v>
      </c>
      <c r="Z4466">
        <v>3.1833129999999998E-4</v>
      </c>
      <c r="AA4466">
        <v>0.99962269999999998</v>
      </c>
      <c r="AB4466">
        <v>40</v>
      </c>
      <c r="AC4466">
        <v>-31.633700000000001</v>
      </c>
      <c r="AD4466">
        <v>-1.1078079041959901</v>
      </c>
      <c r="AE4466">
        <v>1.0236000000000101</v>
      </c>
      <c r="AF4466">
        <v>0.87963571707252897</v>
      </c>
      <c r="AG4466">
        <v>-1.1078079041959901</v>
      </c>
      <c r="AH4466">
        <v>31.5992879681313</v>
      </c>
      <c r="AI4466">
        <v>92.007076370676202</v>
      </c>
      <c r="AJ4466">
        <v>88.405457684195596</v>
      </c>
      <c r="AK4466">
        <v>31.630934185386302</v>
      </c>
      <c r="AL4466">
        <v>90.458379570760201</v>
      </c>
      <c r="AM4466">
        <v>85.505932584092307</v>
      </c>
      <c r="AN4466">
        <v>0.99999995085877902</v>
      </c>
    </row>
    <row r="4467" spans="1:40" x14ac:dyDescent="0.25">
      <c r="A4467" t="str">
        <f>"20190312161402271"</f>
        <v>20190312161402271</v>
      </c>
      <c r="B4467" t="str">
        <f>"1552378442260915"</f>
        <v>1552378442260915</v>
      </c>
      <c r="C4467" t="s">
        <v>40</v>
      </c>
      <c r="D4467">
        <v>5.9912539999999996</v>
      </c>
      <c r="E4467">
        <v>0.43744189999999999</v>
      </c>
      <c r="F4467" t="s">
        <v>42</v>
      </c>
      <c r="G4467">
        <v>-326.52760000000001</v>
      </c>
      <c r="H4467" s="1">
        <v>-1.7327289999999999E-6</v>
      </c>
      <c r="I4467">
        <v>138.14619999999999</v>
      </c>
      <c r="J4467">
        <v>-293.3723</v>
      </c>
      <c r="K4467">
        <v>1.107856</v>
      </c>
      <c r="L4467">
        <v>140.88159999999999</v>
      </c>
      <c r="M4467">
        <v>-0.99994859999999997</v>
      </c>
      <c r="N4467">
        <v>0</v>
      </c>
      <c r="O4467">
        <v>5.5173710000000001E-3</v>
      </c>
      <c r="P4467">
        <v>-0.99633400000000005</v>
      </c>
      <c r="Q4467">
        <v>-1.6444589999999999E-2</v>
      </c>
      <c r="R4467">
        <v>8.3953840000000002E-2</v>
      </c>
      <c r="S4467">
        <v>-3.0296630000000002</v>
      </c>
      <c r="T4467">
        <v>-0.1000254</v>
      </c>
      <c r="U4467">
        <v>-0.2467346</v>
      </c>
      <c r="V4467">
        <v>7.8432660000000001E-2</v>
      </c>
      <c r="W4467">
        <v>-8.1829030000000001E-3</v>
      </c>
      <c r="X4467">
        <v>0.99688580000000004</v>
      </c>
      <c r="Y4467">
        <v>-8.6619160000000001E-2</v>
      </c>
      <c r="Z4467">
        <v>-1.608955E-3</v>
      </c>
      <c r="AA4467">
        <v>0.99624020000000002</v>
      </c>
      <c r="AB4467">
        <v>40</v>
      </c>
      <c r="AC4467">
        <v>-33.155299999999997</v>
      </c>
      <c r="AD4467">
        <v>-1.107857732729</v>
      </c>
      <c r="AE4467">
        <v>-2.7353999999999901</v>
      </c>
      <c r="AF4467">
        <v>-2.9150623828578102</v>
      </c>
      <c r="AG4467">
        <v>-1.107857732729</v>
      </c>
      <c r="AH4467">
        <v>33.102992648034203</v>
      </c>
      <c r="AI4467">
        <v>91.909418602907095</v>
      </c>
      <c r="AJ4467">
        <v>95.032506963880905</v>
      </c>
      <c r="AK4467">
        <v>33.249557285890702</v>
      </c>
      <c r="AL4467">
        <v>90.468851052530098</v>
      </c>
      <c r="AM4467">
        <v>85.501368276350405</v>
      </c>
      <c r="AN4467">
        <v>0.99999997014891095</v>
      </c>
    </row>
    <row r="4468" spans="1:40" x14ac:dyDescent="0.25">
      <c r="A4468" t="str">
        <f>"20190312161402292"</f>
        <v>20190312161402292</v>
      </c>
      <c r="B4468" t="str">
        <f>"1552378442280943"</f>
        <v>1552378442280943</v>
      </c>
      <c r="C4468" t="s">
        <v>40</v>
      </c>
      <c r="D4468">
        <v>5.9100929999999998</v>
      </c>
      <c r="E4468">
        <v>0.43751899999999999</v>
      </c>
      <c r="F4468" t="s">
        <v>84</v>
      </c>
      <c r="G4468">
        <v>-319.82409999999999</v>
      </c>
      <c r="H4468" s="1">
        <v>-5.1217249999999997E-6</v>
      </c>
      <c r="I4468">
        <v>138.7253</v>
      </c>
      <c r="J4468">
        <v>-293.7611</v>
      </c>
      <c r="K4468">
        <v>1.107909</v>
      </c>
      <c r="L4468">
        <v>140.8845</v>
      </c>
      <c r="M4468">
        <v>-0.99994269999999996</v>
      </c>
      <c r="N4468">
        <v>0</v>
      </c>
      <c r="O4468">
        <v>6.4342130000000003E-3</v>
      </c>
      <c r="P4468">
        <v>-0.99628479999999997</v>
      </c>
      <c r="Q4468">
        <v>-1.6237740000000001E-2</v>
      </c>
      <c r="R4468">
        <v>8.4578219999999996E-2</v>
      </c>
      <c r="S4468">
        <v>-3.0297550000000002</v>
      </c>
      <c r="T4468">
        <v>-0.12689320000000001</v>
      </c>
      <c r="U4468">
        <v>-0.2469788</v>
      </c>
      <c r="V4468">
        <v>7.8145060000000002E-2</v>
      </c>
      <c r="W4468">
        <v>-7.8981729999999997E-3</v>
      </c>
      <c r="X4468">
        <v>0.99691070000000004</v>
      </c>
      <c r="Y4468">
        <v>-8.7577840000000004E-2</v>
      </c>
      <c r="Z4468">
        <v>-2.0990890000000002E-3</v>
      </c>
      <c r="AA4468">
        <v>0.99615540000000002</v>
      </c>
      <c r="AB4468">
        <v>40</v>
      </c>
      <c r="AC4468">
        <v>-26.062999999999899</v>
      </c>
      <c r="AD4468">
        <v>-1.1079141217249999</v>
      </c>
      <c r="AE4468">
        <v>-2.15919999999999</v>
      </c>
      <c r="AF4468">
        <v>-2.3226877957288798</v>
      </c>
      <c r="AG4468">
        <v>-1.1079141217249999</v>
      </c>
      <c r="AH4468">
        <v>26.001901482744</v>
      </c>
      <c r="AI4468">
        <v>92.430173320553493</v>
      </c>
      <c r="AJ4468">
        <v>95.104546882930805</v>
      </c>
      <c r="AK4468">
        <v>26.128934785326901</v>
      </c>
      <c r="AL4468">
        <v>90.452536689391906</v>
      </c>
      <c r="AM4468">
        <v>85.517908193618297</v>
      </c>
      <c r="AN4468">
        <v>0.99999998765681497</v>
      </c>
    </row>
    <row r="4469" spans="1:40" x14ac:dyDescent="0.25">
      <c r="A4469" t="str">
        <f>"20190312161402314"</f>
        <v>20190312161402314</v>
      </c>
      <c r="B4469" t="str">
        <f>"1552378442310223"</f>
        <v>1552378442310223</v>
      </c>
      <c r="C4469" t="s">
        <v>40</v>
      </c>
      <c r="D4469">
        <v>5.9257929999999996</v>
      </c>
      <c r="E4469">
        <v>0.4381119</v>
      </c>
      <c r="F4469" t="s">
        <v>84</v>
      </c>
      <c r="G4469">
        <v>-319.791</v>
      </c>
      <c r="H4469" s="1">
        <v>-5.1631599999999997E-6</v>
      </c>
      <c r="I4469">
        <v>138.7841</v>
      </c>
      <c r="J4469">
        <v>-294.14980000000003</v>
      </c>
      <c r="K4469">
        <v>1.10797099999999</v>
      </c>
      <c r="L4469">
        <v>140.88759999999999</v>
      </c>
      <c r="M4469">
        <v>-0.99993600000000005</v>
      </c>
      <c r="N4469">
        <v>0</v>
      </c>
      <c r="O4469">
        <v>7.2820609999999899E-3</v>
      </c>
      <c r="P4469">
        <v>-0.99622730000000004</v>
      </c>
      <c r="Q4469">
        <v>-1.6722170000000001E-2</v>
      </c>
      <c r="R4469">
        <v>8.5157899999999995E-2</v>
      </c>
      <c r="S4469">
        <v>-3.029846</v>
      </c>
      <c r="T4469">
        <v>-0.12896009999999999</v>
      </c>
      <c r="U4469">
        <v>-0.24447630000000001</v>
      </c>
      <c r="V4469">
        <v>7.787985E-2</v>
      </c>
      <c r="W4469">
        <v>-8.2941519999999904E-3</v>
      </c>
      <c r="X4469">
        <v>0.99692829999999999</v>
      </c>
      <c r="Y4469">
        <v>-8.7599189999999993E-2</v>
      </c>
      <c r="Z4469">
        <v>-2.169729E-3</v>
      </c>
      <c r="AA4469">
        <v>0.99615339999999997</v>
      </c>
      <c r="AB4469">
        <v>40</v>
      </c>
      <c r="AC4469">
        <v>-25.641199999999898</v>
      </c>
      <c r="AD4469">
        <v>-1.10797616315999</v>
      </c>
      <c r="AE4469">
        <v>-2.1034999999999902</v>
      </c>
      <c r="AF4469">
        <v>-2.2859323100547</v>
      </c>
      <c r="AG4469">
        <v>-1.10797616315999</v>
      </c>
      <c r="AH4469">
        <v>25.5777628902032</v>
      </c>
      <c r="AI4469">
        <v>92.470550197126897</v>
      </c>
      <c r="AJ4469">
        <v>95.1070621107379</v>
      </c>
      <c r="AK4469">
        <v>25.703599984666401</v>
      </c>
      <c r="AL4469">
        <v>90.475225329435403</v>
      </c>
      <c r="AM4469">
        <v>85.533136464425297</v>
      </c>
      <c r="AN4469">
        <v>1.0000000496671499</v>
      </c>
    </row>
    <row r="4470" spans="1:40" x14ac:dyDescent="0.25">
      <c r="A4470" t="str">
        <f>"20190312161402337"</f>
        <v>20190312161402337</v>
      </c>
      <c r="B4470" t="str">
        <f>"1552378442330718"</f>
        <v>1552378442330718</v>
      </c>
      <c r="C4470" t="s">
        <v>40</v>
      </c>
      <c r="D4470">
        <v>5.9580440000000001</v>
      </c>
      <c r="E4470">
        <v>0.43856050000000002</v>
      </c>
      <c r="F4470" t="s">
        <v>84</v>
      </c>
      <c r="G4470">
        <v>-319.42720000000003</v>
      </c>
      <c r="H4470" s="1">
        <v>-5.3936119999999998E-6</v>
      </c>
      <c r="I4470">
        <v>138.9016</v>
      </c>
      <c r="J4470">
        <v>-294.56240000000003</v>
      </c>
      <c r="K4470">
        <v>1.10805</v>
      </c>
      <c r="L4470">
        <v>140.8913</v>
      </c>
      <c r="M4470">
        <v>-0.99992910000000002</v>
      </c>
      <c r="N4470">
        <v>0</v>
      </c>
      <c r="O4470">
        <v>8.0886619999999999E-3</v>
      </c>
      <c r="P4470">
        <v>-0.99616009999999999</v>
      </c>
      <c r="Q4470">
        <v>-1.7198370000000001E-2</v>
      </c>
      <c r="R4470">
        <v>8.5846610000000004E-2</v>
      </c>
      <c r="S4470">
        <v>-3.0294490000000001</v>
      </c>
      <c r="T4470">
        <v>-0.13278879999999901</v>
      </c>
      <c r="U4470">
        <v>-0.23802190000000001</v>
      </c>
      <c r="V4470">
        <v>7.7765189999999998E-2</v>
      </c>
      <c r="W4470">
        <v>-8.6649799999999992E-3</v>
      </c>
      <c r="X4470">
        <v>0.99693410000000005</v>
      </c>
      <c r="Y4470">
        <v>-8.6299429999999996E-2</v>
      </c>
      <c r="Z4470">
        <v>-2.2414259999999999E-3</v>
      </c>
      <c r="AA4470">
        <v>0.99626669999999995</v>
      </c>
      <c r="AB4470">
        <v>40</v>
      </c>
      <c r="AC4470">
        <v>-24.864799999999999</v>
      </c>
      <c r="AD4470">
        <v>-1.1080553936119999</v>
      </c>
      <c r="AE4470">
        <v>-1.98969999999999</v>
      </c>
      <c r="AF4470">
        <v>-2.18645114442009</v>
      </c>
      <c r="AG4470">
        <v>-1.1080553936119999</v>
      </c>
      <c r="AH4470">
        <v>24.798957480266498</v>
      </c>
      <c r="AI4470">
        <v>92.548488566276902</v>
      </c>
      <c r="AJ4470">
        <v>95.038571657936302</v>
      </c>
      <c r="AK4470">
        <v>24.919804322472402</v>
      </c>
      <c r="AL4470">
        <v>90.4964729699727</v>
      </c>
      <c r="AM4470">
        <v>85.539712171926794</v>
      </c>
      <c r="AN4470">
        <v>1.0000000531984701</v>
      </c>
    </row>
    <row r="4471" spans="1:40" x14ac:dyDescent="0.25">
      <c r="A4471" t="str">
        <f>"20190312161402360"</f>
        <v>20190312161402360</v>
      </c>
      <c r="B4471" t="str">
        <f>"1552378442350238"</f>
        <v>1552378442350238</v>
      </c>
      <c r="C4471" t="s">
        <v>40</v>
      </c>
      <c r="D4471">
        <v>5.9074019999999896</v>
      </c>
      <c r="E4471">
        <v>0.438579</v>
      </c>
      <c r="F4471" t="s">
        <v>84</v>
      </c>
      <c r="G4471">
        <v>-319.4042</v>
      </c>
      <c r="H4471" s="1">
        <v>-5.4301489999999998E-6</v>
      </c>
      <c r="I4471">
        <v>138.98390000000001</v>
      </c>
      <c r="J4471">
        <v>-294.97989999999999</v>
      </c>
      <c r="K4471">
        <v>1.1081449999999999</v>
      </c>
      <c r="L4471">
        <v>140.89529999999999</v>
      </c>
      <c r="M4471">
        <v>-0.99992219999999998</v>
      </c>
      <c r="N4471">
        <v>0</v>
      </c>
      <c r="O4471">
        <v>8.7951109999999996E-3</v>
      </c>
      <c r="P4471">
        <v>-0.99614510000000001</v>
      </c>
      <c r="Q4471">
        <v>-1.760596E-2</v>
      </c>
      <c r="R4471">
        <v>8.5936609999999997E-2</v>
      </c>
      <c r="S4471">
        <v>-3.0292659999999998</v>
      </c>
      <c r="T4471">
        <v>-0.13511860000000001</v>
      </c>
      <c r="U4471">
        <v>-0.23258970000000001</v>
      </c>
      <c r="V4471">
        <v>7.715205E-2</v>
      </c>
      <c r="W4471">
        <v>-8.9509889999999995E-3</v>
      </c>
      <c r="X4471">
        <v>0.99697919999999995</v>
      </c>
      <c r="Y4471">
        <v>-8.5229269999999996E-2</v>
      </c>
      <c r="Z4471">
        <v>-2.2886429999999999E-3</v>
      </c>
      <c r="AA4471">
        <v>0.99635879999999999</v>
      </c>
      <c r="AB4471">
        <v>40</v>
      </c>
      <c r="AC4471">
        <v>-24.424299999999999</v>
      </c>
      <c r="AD4471">
        <v>-1.1081504301489999</v>
      </c>
      <c r="AE4471">
        <v>-1.91139999999998</v>
      </c>
      <c r="AF4471">
        <v>-2.1218077215543301</v>
      </c>
      <c r="AG4471">
        <v>-1.1081504301489999</v>
      </c>
      <c r="AH4471">
        <v>24.356710257310599</v>
      </c>
      <c r="AI4471">
        <v>92.595158663602902</v>
      </c>
      <c r="AJ4471">
        <v>94.978689345302698</v>
      </c>
      <c r="AK4471">
        <v>24.474055649639801</v>
      </c>
      <c r="AL4471">
        <v>90.512860719135006</v>
      </c>
      <c r="AM4471">
        <v>85.574938480879894</v>
      </c>
      <c r="AN4471">
        <v>1.00000004212795</v>
      </c>
    </row>
    <row r="4472" spans="1:40" x14ac:dyDescent="0.25">
      <c r="A4472" t="str">
        <f>"20190312161402384"</f>
        <v>20190312161402384</v>
      </c>
      <c r="B4472" t="str">
        <f>"1552378442380495"</f>
        <v>1552378442380495</v>
      </c>
      <c r="C4472" t="s">
        <v>40</v>
      </c>
      <c r="D4472">
        <v>5.8391289999999998</v>
      </c>
      <c r="E4472">
        <v>0.43839470000000003</v>
      </c>
      <c r="F4472" t="s">
        <v>42</v>
      </c>
      <c r="G4472">
        <v>-320.01459999999997</v>
      </c>
      <c r="H4472" s="1">
        <v>-4.3795199999999999E-6</v>
      </c>
      <c r="I4472">
        <v>138.97649999999999</v>
      </c>
      <c r="J4472">
        <v>-295.39729999999997</v>
      </c>
      <c r="K4472">
        <v>1.108258</v>
      </c>
      <c r="L4472">
        <v>140.89940000000001</v>
      </c>
      <c r="M4472">
        <v>-0.99991589999999997</v>
      </c>
      <c r="N4472">
        <v>0</v>
      </c>
      <c r="O4472">
        <v>9.3814280000000007E-3</v>
      </c>
      <c r="P4472">
        <v>-0.99615069999999994</v>
      </c>
      <c r="Q4472">
        <v>-1.7896059999999998E-2</v>
      </c>
      <c r="R4472">
        <v>8.5813630000000002E-2</v>
      </c>
      <c r="S4472">
        <v>-3.0292970000000001</v>
      </c>
      <c r="T4472">
        <v>-0.13409070000000001</v>
      </c>
      <c r="U4472">
        <v>-0.23217769999999999</v>
      </c>
      <c r="V4472">
        <v>7.6446449999999999E-2</v>
      </c>
      <c r="W4472">
        <v>-9.1065130000000001E-3</v>
      </c>
      <c r="X4472">
        <v>0.99703209999999998</v>
      </c>
      <c r="Y4472">
        <v>-8.5678409999999997E-2</v>
      </c>
      <c r="Z4472">
        <v>-2.307066E-3</v>
      </c>
      <c r="AA4472">
        <v>0.99632019999999999</v>
      </c>
      <c r="AB4472">
        <v>40</v>
      </c>
      <c r="AC4472">
        <v>-24.6173</v>
      </c>
      <c r="AD4472">
        <v>-1.10826237952</v>
      </c>
      <c r="AE4472">
        <v>-1.92290000000002</v>
      </c>
      <c r="AF4472">
        <v>-2.1494400596943102</v>
      </c>
      <c r="AG4472">
        <v>-1.10826237952</v>
      </c>
      <c r="AH4472">
        <v>24.548723450722601</v>
      </c>
      <c r="AI4472">
        <v>92.575048247952694</v>
      </c>
      <c r="AJ4472">
        <v>95.003949277206502</v>
      </c>
      <c r="AK4472">
        <v>24.667552799824598</v>
      </c>
      <c r="AL4472">
        <v>90.521771973639005</v>
      </c>
      <c r="AM4472">
        <v>85.615481409031105</v>
      </c>
      <c r="AN4472">
        <v>0.99999999836351505</v>
      </c>
    </row>
    <row r="4473" spans="1:40" x14ac:dyDescent="0.25">
      <c r="A4473" t="str">
        <f>"20190312161402404"</f>
        <v>20190312161402404</v>
      </c>
      <c r="B4473" t="str">
        <f>"1552378442400991"</f>
        <v>1552378442400991</v>
      </c>
      <c r="C4473" t="s">
        <v>40</v>
      </c>
      <c r="D4473">
        <v>5.87242</v>
      </c>
      <c r="E4473">
        <v>0.43830190000000002</v>
      </c>
      <c r="F4473" t="s">
        <v>42</v>
      </c>
      <c r="G4473">
        <v>-320.99090000000001</v>
      </c>
      <c r="H4473" s="1">
        <v>-3.9700790000000004E-6</v>
      </c>
      <c r="I4473">
        <v>138.92359999999999</v>
      </c>
      <c r="J4473">
        <v>-295.77449999999999</v>
      </c>
      <c r="K4473">
        <v>1.1083700000000001</v>
      </c>
      <c r="L4473">
        <v>140.9033</v>
      </c>
      <c r="M4473">
        <v>-0.99991079999999999</v>
      </c>
      <c r="N4473">
        <v>0</v>
      </c>
      <c r="O4473">
        <v>9.8018250000000001E-3</v>
      </c>
      <c r="P4473">
        <v>-0.99617250000000002</v>
      </c>
      <c r="Q4473">
        <v>-1.804644E-2</v>
      </c>
      <c r="R4473">
        <v>8.5527399999999906E-2</v>
      </c>
      <c r="S4473">
        <v>-3.0294189999999999</v>
      </c>
      <c r="T4473">
        <v>-0.1311812</v>
      </c>
      <c r="U4473">
        <v>-0.23387150000000001</v>
      </c>
      <c r="V4473">
        <v>7.5742889999999993E-2</v>
      </c>
      <c r="W4473">
        <v>-9.128766E-3</v>
      </c>
      <c r="X4473">
        <v>0.99708560000000002</v>
      </c>
      <c r="Y4473">
        <v>-8.6650649999999996E-2</v>
      </c>
      <c r="Z4473">
        <v>-2.2960989999999998E-3</v>
      </c>
      <c r="AA4473">
        <v>0.99623609999999896</v>
      </c>
      <c r="AB4473">
        <v>40</v>
      </c>
      <c r="AC4473">
        <v>-25.2164</v>
      </c>
      <c r="AD4473">
        <v>-1.1083739700790001</v>
      </c>
      <c r="AE4473">
        <v>-1.9797</v>
      </c>
      <c r="AF4473">
        <v>-2.2225142153748898</v>
      </c>
      <c r="AG4473">
        <v>-1.1083739700790001</v>
      </c>
      <c r="AH4473">
        <v>25.147495790611199</v>
      </c>
      <c r="AI4473">
        <v>92.513887732538393</v>
      </c>
      <c r="AJ4473">
        <v>95.050629429133295</v>
      </c>
      <c r="AK4473">
        <v>25.269835908329501</v>
      </c>
      <c r="AL4473">
        <v>90.523047025240501</v>
      </c>
      <c r="AM4473">
        <v>85.655910485823696</v>
      </c>
      <c r="AN4473">
        <v>1.0000000067407899</v>
      </c>
    </row>
    <row r="4474" spans="1:40" x14ac:dyDescent="0.25">
      <c r="A4474" t="str">
        <f>"20190312161402427"</f>
        <v>20190312161402427</v>
      </c>
      <c r="B4474" t="str">
        <f>"1552378442420510"</f>
        <v>1552378442420510</v>
      </c>
      <c r="C4474" t="s">
        <v>40</v>
      </c>
      <c r="D4474">
        <v>5.8540349999999997</v>
      </c>
      <c r="E4474">
        <v>0.43819629999999998</v>
      </c>
      <c r="F4474" t="s">
        <v>42</v>
      </c>
      <c r="G4474">
        <v>-321.48180000000002</v>
      </c>
      <c r="H4474" s="1">
        <v>-3.7627929999999998E-6</v>
      </c>
      <c r="I4474">
        <v>138.90479999999999</v>
      </c>
      <c r="J4474">
        <v>-296.17380000000003</v>
      </c>
      <c r="K4474">
        <v>1.1084849999999999</v>
      </c>
      <c r="L4474">
        <v>140.9075</v>
      </c>
      <c r="M4474">
        <v>-0.99990639999999997</v>
      </c>
      <c r="N4474">
        <v>0</v>
      </c>
      <c r="O4474">
        <v>1.01365E-2</v>
      </c>
      <c r="P4474">
        <v>-0.99615960000000003</v>
      </c>
      <c r="Q4474">
        <v>-1.8551350000000001E-2</v>
      </c>
      <c r="R4474">
        <v>8.5569309999999996E-2</v>
      </c>
      <c r="S4474">
        <v>-3.029388</v>
      </c>
      <c r="T4474">
        <v>-0.1306126</v>
      </c>
      <c r="U4474">
        <v>-0.2355042</v>
      </c>
      <c r="V4474">
        <v>7.5452980000000003E-2</v>
      </c>
      <c r="W4474">
        <v>-9.4975849999999994E-3</v>
      </c>
      <c r="X4474">
        <v>0.99710410000000005</v>
      </c>
      <c r="Y4474">
        <v>-8.7518230000000002E-2</v>
      </c>
      <c r="Z4474">
        <v>-2.3192019999999998E-3</v>
      </c>
      <c r="AA4474">
        <v>0.99616020000000005</v>
      </c>
      <c r="AB4474">
        <v>40</v>
      </c>
      <c r="AC4474">
        <v>-25.308</v>
      </c>
      <c r="AD4474">
        <v>-1.108488762793</v>
      </c>
      <c r="AE4474">
        <v>-2.0026999999999999</v>
      </c>
      <c r="AF4474">
        <v>-2.2548436253955901</v>
      </c>
      <c r="AG4474">
        <v>-1.108488762793</v>
      </c>
      <c r="AH4474">
        <v>25.238281772402399</v>
      </c>
      <c r="AI4474">
        <v>92.504903101870198</v>
      </c>
      <c r="AJ4474">
        <v>95.105376050228699</v>
      </c>
      <c r="AK4474">
        <v>25.363042678972999</v>
      </c>
      <c r="AL4474">
        <v>90.544179733117105</v>
      </c>
      <c r="AM4474">
        <v>85.672554425391795</v>
      </c>
      <c r="AN4474">
        <v>0.99999997127426099</v>
      </c>
    </row>
    <row r="4475" spans="1:40" x14ac:dyDescent="0.25">
      <c r="A4475" t="str">
        <f>"20190312161402449"</f>
        <v>20190312161402449</v>
      </c>
      <c r="B4475" t="str">
        <f>"1552378442441010"</f>
        <v>1552378442441010</v>
      </c>
      <c r="C4475" t="s">
        <v>40</v>
      </c>
      <c r="D4475">
        <v>5.8478070000000004</v>
      </c>
      <c r="E4475">
        <v>0.43812440000000002</v>
      </c>
      <c r="F4475" t="s">
        <v>42</v>
      </c>
      <c r="G4475">
        <v>-321.76459999999997</v>
      </c>
      <c r="H4475" s="1">
        <v>-3.6400560000000002E-6</v>
      </c>
      <c r="I4475">
        <v>138.9128</v>
      </c>
      <c r="J4475">
        <v>-296.59109999999998</v>
      </c>
      <c r="K4475">
        <v>1.1086049999999901</v>
      </c>
      <c r="L4475">
        <v>140.91200000000001</v>
      </c>
      <c r="M4475">
        <v>-0.99990279999999998</v>
      </c>
      <c r="N4475">
        <v>0</v>
      </c>
      <c r="O4475">
        <v>1.037333E-2</v>
      </c>
      <c r="P4475">
        <v>-0.99615909999999996</v>
      </c>
      <c r="Q4475">
        <v>-1.833189E-2</v>
      </c>
      <c r="R4475">
        <v>8.5621009999999997E-2</v>
      </c>
      <c r="S4475">
        <v>-3.0294189999999999</v>
      </c>
      <c r="T4475">
        <v>-0.13122220000000001</v>
      </c>
      <c r="U4475">
        <v>-0.2361298</v>
      </c>
      <c r="V4475">
        <v>7.5271399999999905E-2</v>
      </c>
      <c r="W4475">
        <v>-9.1408549999999998E-3</v>
      </c>
      <c r="X4475">
        <v>0.99712120000000004</v>
      </c>
      <c r="Y4475">
        <v>-8.7956409999999999E-2</v>
      </c>
      <c r="Z4475">
        <v>-2.3496860000000001E-3</v>
      </c>
      <c r="AA4475">
        <v>0.99612149999999999</v>
      </c>
      <c r="AB4475">
        <v>40</v>
      </c>
      <c r="AC4475">
        <v>-25.173499999999901</v>
      </c>
      <c r="AD4475">
        <v>-1.10860864005599</v>
      </c>
      <c r="AE4475">
        <v>-1.9992000000000001</v>
      </c>
      <c r="AF4475">
        <v>-2.25588910968726</v>
      </c>
      <c r="AG4475">
        <v>-1.10860864005599</v>
      </c>
      <c r="AH4475">
        <v>25.103026284179698</v>
      </c>
      <c r="AI4475">
        <v>92.5185372842367</v>
      </c>
      <c r="AJ4475">
        <v>95.135104483158898</v>
      </c>
      <c r="AK4475">
        <v>25.228554802370802</v>
      </c>
      <c r="AL4475">
        <v>90.523739699437996</v>
      </c>
      <c r="AM4475">
        <v>85.683002898393198</v>
      </c>
      <c r="AN4475">
        <v>1.0000000131887601</v>
      </c>
    </row>
    <row r="4476" spans="1:40" x14ac:dyDescent="0.25">
      <c r="A4476" t="str">
        <f>"20190312161402472"</f>
        <v>20190312161402472</v>
      </c>
      <c r="B4476" t="str">
        <f>"1552378442460528"</f>
        <v>1552378442460528</v>
      </c>
      <c r="C4476" t="s">
        <v>40</v>
      </c>
      <c r="D4476">
        <v>5.828144</v>
      </c>
      <c r="E4476">
        <v>0.43810759999999999</v>
      </c>
      <c r="F4476" t="s">
        <v>42</v>
      </c>
      <c r="G4476">
        <v>-322.41680000000002</v>
      </c>
      <c r="H4476" s="1">
        <v>-3.363291E-6</v>
      </c>
      <c r="I4476">
        <v>138.89590000000001</v>
      </c>
      <c r="J4476">
        <v>-296.9896</v>
      </c>
      <c r="K4476">
        <v>1.1087070000000001</v>
      </c>
      <c r="L4476">
        <v>140.91630000000001</v>
      </c>
      <c r="M4476">
        <v>-0.99990049999999997</v>
      </c>
      <c r="N4476">
        <v>0</v>
      </c>
      <c r="O4476">
        <v>1.0515190000000001E-2</v>
      </c>
      <c r="P4476">
        <v>-0.99618079999999998</v>
      </c>
      <c r="Q4476">
        <v>-1.8166089999999999E-2</v>
      </c>
      <c r="R4476">
        <v>8.5405250000000002E-2</v>
      </c>
      <c r="S4476">
        <v>-3.029541</v>
      </c>
      <c r="T4476">
        <v>-0.1300482</v>
      </c>
      <c r="U4476">
        <v>-0.23649600000000001</v>
      </c>
      <c r="V4476">
        <v>7.4916360000000001E-2</v>
      </c>
      <c r="W4476">
        <v>-8.85359199999999E-3</v>
      </c>
      <c r="X4476">
        <v>0.99715050000000005</v>
      </c>
      <c r="Y4476">
        <v>-8.8215600000000005E-2</v>
      </c>
      <c r="Z4476">
        <v>-2.3402100000000001E-3</v>
      </c>
      <c r="AA4476">
        <v>0.99609859999999995</v>
      </c>
      <c r="AB4476">
        <v>40</v>
      </c>
      <c r="AC4476">
        <v>-25.427199999999999</v>
      </c>
      <c r="AD4476">
        <v>-1.10871036329099</v>
      </c>
      <c r="AE4476">
        <v>-2.0203999999999902</v>
      </c>
      <c r="AF4476">
        <v>-2.2833579540723301</v>
      </c>
      <c r="AG4476">
        <v>-1.10871036329099</v>
      </c>
      <c r="AH4476">
        <v>25.356641435416201</v>
      </c>
      <c r="AI4476">
        <v>92.493566522950601</v>
      </c>
      <c r="AJ4476">
        <v>95.145589264922407</v>
      </c>
      <c r="AK4476">
        <v>25.483371580314099</v>
      </c>
      <c r="AL4476">
        <v>90.507280090998705</v>
      </c>
      <c r="AM4476">
        <v>85.703414646904307</v>
      </c>
      <c r="AN4476">
        <v>0.99999998336860096</v>
      </c>
    </row>
    <row r="4477" spans="1:40" x14ac:dyDescent="0.25">
      <c r="A4477" t="str">
        <f>"20190312161402492"</f>
        <v>20190312161402492</v>
      </c>
      <c r="B4477" t="str">
        <f>"1552378442481024"</f>
        <v>1552378442481024</v>
      </c>
      <c r="C4477" t="s">
        <v>40</v>
      </c>
      <c r="D4477">
        <v>5.8207430000000002</v>
      </c>
      <c r="E4477">
        <v>0.43807669999999999</v>
      </c>
      <c r="F4477" t="s">
        <v>42</v>
      </c>
      <c r="G4477">
        <v>-322.83139999999997</v>
      </c>
      <c r="H4477" s="1">
        <v>-3.1861100000000001E-6</v>
      </c>
      <c r="I4477">
        <v>138.8921</v>
      </c>
      <c r="J4477">
        <v>-297.36349999999999</v>
      </c>
      <c r="K4477">
        <v>1.108795</v>
      </c>
      <c r="L4477">
        <v>140.9203</v>
      </c>
      <c r="M4477">
        <v>-0.99989870000000003</v>
      </c>
      <c r="N4477">
        <v>0</v>
      </c>
      <c r="O4477">
        <v>1.0595530000000001E-2</v>
      </c>
      <c r="P4477">
        <v>-0.99620679999999995</v>
      </c>
      <c r="Q4477">
        <v>-1.8066599999999999E-2</v>
      </c>
      <c r="R4477">
        <v>8.5122409999999996E-2</v>
      </c>
      <c r="S4477">
        <v>-3.02948</v>
      </c>
      <c r="T4477">
        <v>-0.1299767</v>
      </c>
      <c r="U4477">
        <v>-0.23728940000000001</v>
      </c>
      <c r="V4477">
        <v>7.4554889999999999E-2</v>
      </c>
      <c r="W4477">
        <v>-8.6502149999999993E-3</v>
      </c>
      <c r="X4477">
        <v>0.99717940000000005</v>
      </c>
      <c r="Y4477">
        <v>-8.8556209999999996E-2</v>
      </c>
      <c r="Z4477">
        <v>-2.349683E-3</v>
      </c>
      <c r="AA4477">
        <v>0.99606839999999996</v>
      </c>
      <c r="AB4477">
        <v>40</v>
      </c>
      <c r="AC4477">
        <v>-25.467899999999901</v>
      </c>
      <c r="AD4477">
        <v>-1.10879818611</v>
      </c>
      <c r="AE4477">
        <v>-2.0281999999999898</v>
      </c>
      <c r="AF4477">
        <v>-2.2936241092479301</v>
      </c>
      <c r="AG4477">
        <v>-1.10879818611</v>
      </c>
      <c r="AH4477">
        <v>25.397143085151999</v>
      </c>
      <c r="AI4477">
        <v>92.489733944586902</v>
      </c>
      <c r="AJ4477">
        <v>95.160401211914106</v>
      </c>
      <c r="AK4477">
        <v>25.524596409340699</v>
      </c>
      <c r="AL4477">
        <v>90.495626989117099</v>
      </c>
      <c r="AM4477">
        <v>85.724191979607696</v>
      </c>
      <c r="AN4477">
        <v>1.0000000068134001</v>
      </c>
    </row>
    <row r="4478" spans="1:40" x14ac:dyDescent="0.25">
      <c r="A4478" t="str">
        <f>"20190312161402505"</f>
        <v>20190312161402505</v>
      </c>
      <c r="B4478" t="str">
        <f>"1552378442500544"</f>
        <v>1552378442500544</v>
      </c>
      <c r="C4478" t="s">
        <v>40</v>
      </c>
      <c r="D4478">
        <v>5.8018769999999904</v>
      </c>
      <c r="E4478">
        <v>0.43806790000000001</v>
      </c>
      <c r="F4478" t="s">
        <v>42</v>
      </c>
      <c r="G4478">
        <v>-323.3082</v>
      </c>
      <c r="H4478" s="1">
        <v>-2.9838440000000001E-6</v>
      </c>
      <c r="I4478">
        <v>138.87909999999999</v>
      </c>
      <c r="J4478">
        <v>-297.61149999999998</v>
      </c>
      <c r="K4478">
        <v>1.1088420000000001</v>
      </c>
      <c r="L4478">
        <v>140.9229</v>
      </c>
      <c r="M4478">
        <v>-0.99989790000000001</v>
      </c>
      <c r="N4478">
        <v>0</v>
      </c>
      <c r="O4478">
        <v>1.062534E-2</v>
      </c>
      <c r="P4478">
        <v>-0.99619749999999996</v>
      </c>
      <c r="Q4478">
        <v>-1.8280500000000002E-2</v>
      </c>
      <c r="R4478">
        <v>8.518444E-2</v>
      </c>
      <c r="S4478">
        <v>-3.0294189999999999</v>
      </c>
      <c r="T4478">
        <v>-0.12946830000000001</v>
      </c>
      <c r="U4478">
        <v>-0.23832700000000001</v>
      </c>
      <c r="V4478">
        <v>7.4587860000000006E-2</v>
      </c>
      <c r="W4478">
        <v>-8.7988890000000007E-3</v>
      </c>
      <c r="X4478">
        <v>0.99717560000000005</v>
      </c>
      <c r="Y4478">
        <v>-8.8926870000000005E-2</v>
      </c>
      <c r="Z4478">
        <v>-2.349692E-3</v>
      </c>
      <c r="AA4478">
        <v>0.99603540000000002</v>
      </c>
      <c r="AB4478">
        <v>40</v>
      </c>
      <c r="AC4478">
        <v>-25.6967</v>
      </c>
      <c r="AD4478">
        <v>-1.108844983844</v>
      </c>
      <c r="AE4478">
        <v>-2.0438000000000001</v>
      </c>
      <c r="AF4478">
        <v>-2.3124544588651599</v>
      </c>
      <c r="AG4478">
        <v>-1.108844983844</v>
      </c>
      <c r="AH4478">
        <v>25.626115539518899</v>
      </c>
      <c r="AI4478">
        <v>92.467635421027097</v>
      </c>
      <c r="AJ4478">
        <v>95.156302286698505</v>
      </c>
      <c r="AK4478">
        <v>25.754121620961801</v>
      </c>
      <c r="AL4478">
        <v>90.5041457229201</v>
      </c>
      <c r="AM4478">
        <v>85.722291888923195</v>
      </c>
      <c r="AN4478">
        <v>0.99999997327118595</v>
      </c>
    </row>
    <row r="4479" spans="1:40" x14ac:dyDescent="0.25">
      <c r="A4479" t="str">
        <f>"20190312161402526"</f>
        <v>20190312161402526</v>
      </c>
      <c r="B4479" t="str">
        <f>"1552378442521039"</f>
        <v>1552378442521039</v>
      </c>
      <c r="C4479" t="s">
        <v>40</v>
      </c>
      <c r="D4479">
        <v>5.8206530000000001</v>
      </c>
      <c r="E4479">
        <v>0.43792920000000002</v>
      </c>
      <c r="F4479" t="s">
        <v>42</v>
      </c>
      <c r="G4479">
        <v>-323.38119999999998</v>
      </c>
      <c r="H4479" s="1">
        <v>-2.9493790000000001E-6</v>
      </c>
      <c r="I4479">
        <v>138.89689999999999</v>
      </c>
      <c r="J4479">
        <v>-297.97559999999999</v>
      </c>
      <c r="K4479">
        <v>1.108911</v>
      </c>
      <c r="L4479">
        <v>140.92679999999999</v>
      </c>
      <c r="M4479">
        <v>-0.99989689999999998</v>
      </c>
      <c r="N4479">
        <v>0</v>
      </c>
      <c r="O4479">
        <v>1.0631710000000001E-2</v>
      </c>
      <c r="P4479">
        <v>-0.99612990000000001</v>
      </c>
      <c r="Q4479">
        <v>-1.8804410000000001E-2</v>
      </c>
      <c r="R4479">
        <v>8.5860060000000002E-2</v>
      </c>
      <c r="S4479">
        <v>-3.029388</v>
      </c>
      <c r="T4479">
        <v>-0.13035179999999999</v>
      </c>
      <c r="U4479">
        <v>-0.23815919999999999</v>
      </c>
      <c r="V4479">
        <v>7.525896E-2</v>
      </c>
      <c r="W4479">
        <v>-9.2264919999999993E-3</v>
      </c>
      <c r="X4479">
        <v>0.99712129999999999</v>
      </c>
      <c r="Y4479">
        <v>-8.8877970000000001E-2</v>
      </c>
      <c r="Z4479">
        <v>-2.3649640000000002E-3</v>
      </c>
      <c r="AA4479">
        <v>0.99603969999999997</v>
      </c>
      <c r="AB4479">
        <v>40</v>
      </c>
      <c r="AC4479">
        <v>-25.4056</v>
      </c>
      <c r="AD4479">
        <v>-1.1089139493789999</v>
      </c>
      <c r="AE4479">
        <v>-2.0298999999999898</v>
      </c>
      <c r="AF4479">
        <v>-2.2955571020564798</v>
      </c>
      <c r="AG4479">
        <v>-1.1089139493789999</v>
      </c>
      <c r="AH4479">
        <v>25.334620756034901</v>
      </c>
      <c r="AI4479">
        <v>92.496063833162694</v>
      </c>
      <c r="AJ4479">
        <v>95.177403365296001</v>
      </c>
      <c r="AK4479">
        <v>25.462566276949399</v>
      </c>
      <c r="AL4479">
        <v>90.528646571469494</v>
      </c>
      <c r="AM4479">
        <v>85.683714097272301</v>
      </c>
      <c r="AN4479">
        <v>0.99999996306429795</v>
      </c>
    </row>
    <row r="4480" spans="1:40" x14ac:dyDescent="0.25">
      <c r="A4480" t="str">
        <f>"20190312161402550"</f>
        <v>20190312161402550</v>
      </c>
      <c r="B4480" t="str">
        <f>"1552378442540559"</f>
        <v>1552378442540559</v>
      </c>
      <c r="C4480" t="s">
        <v>40</v>
      </c>
      <c r="D4480">
        <v>5.7764139999999999</v>
      </c>
      <c r="E4480">
        <v>0.43788169999999998</v>
      </c>
      <c r="F4480" t="s">
        <v>42</v>
      </c>
      <c r="G4480">
        <v>-323.58819999999997</v>
      </c>
      <c r="H4480" s="1">
        <v>-2.8564529999999999E-6</v>
      </c>
      <c r="I4480">
        <v>138.92019999999999</v>
      </c>
      <c r="J4480">
        <v>-298.39789999999999</v>
      </c>
      <c r="K4480">
        <v>1.1089910000000001</v>
      </c>
      <c r="L4480">
        <v>140.93129999999999</v>
      </c>
      <c r="M4480">
        <v>-0.99989629999999996</v>
      </c>
      <c r="N4480">
        <v>0</v>
      </c>
      <c r="O4480">
        <v>1.058679E-2</v>
      </c>
      <c r="P4480">
        <v>-0.99610989999999999</v>
      </c>
      <c r="Q4480">
        <v>-1.8361140000000001E-2</v>
      </c>
      <c r="R4480">
        <v>8.6186639999999995E-2</v>
      </c>
      <c r="S4480">
        <v>-3.029633</v>
      </c>
      <c r="T4480">
        <v>-0.13117029999999999</v>
      </c>
      <c r="U4480">
        <v>-0.23735049999999999</v>
      </c>
      <c r="V4480">
        <v>7.5632130000000006E-2</v>
      </c>
      <c r="W4480">
        <v>-8.6550080000000005E-3</v>
      </c>
      <c r="X4480">
        <v>0.99709820000000005</v>
      </c>
      <c r="Y4480">
        <v>-8.8561909999999994E-2</v>
      </c>
      <c r="Z4480">
        <v>-2.3708650000000002E-3</v>
      </c>
      <c r="AA4480">
        <v>0.99606790000000001</v>
      </c>
      <c r="AB4480">
        <v>40</v>
      </c>
      <c r="AC4480">
        <v>-25.190299999999901</v>
      </c>
      <c r="AD4480">
        <v>-1.108993856453</v>
      </c>
      <c r="AE4480">
        <v>-2.0110999999999901</v>
      </c>
      <c r="AF4480">
        <v>-2.2733062639699502</v>
      </c>
      <c r="AG4480">
        <v>-1.108993856453</v>
      </c>
      <c r="AH4480">
        <v>25.119219111285801</v>
      </c>
      <c r="AI4480">
        <v>92.517646337647705</v>
      </c>
      <c r="AJ4480">
        <v>95.171219306212294</v>
      </c>
      <c r="AK4480">
        <v>25.246246404252702</v>
      </c>
      <c r="AL4480">
        <v>90.495901634167396</v>
      </c>
      <c r="AM4480">
        <v>85.662293257319405</v>
      </c>
      <c r="AN4480">
        <v>0.99999997434752796</v>
      </c>
    </row>
    <row r="4481" spans="1:40" x14ac:dyDescent="0.25">
      <c r="A4481" t="str">
        <f>"20190312161402573"</f>
        <v>20190312161402573</v>
      </c>
      <c r="B4481" t="str">
        <f>"1552378442561055"</f>
        <v>1552378442561055</v>
      </c>
      <c r="C4481" t="s">
        <v>40</v>
      </c>
      <c r="D4481">
        <v>5.7472979999999998</v>
      </c>
      <c r="E4481">
        <v>0.43780089999999999</v>
      </c>
      <c r="F4481" t="s">
        <v>42</v>
      </c>
      <c r="G4481">
        <v>-324.15159999999997</v>
      </c>
      <c r="H4481" s="1">
        <v>-2.6149869999999998E-6</v>
      </c>
      <c r="I4481">
        <v>138.9187</v>
      </c>
      <c r="J4481">
        <v>-298.82729999999998</v>
      </c>
      <c r="K4481">
        <v>1.109083</v>
      </c>
      <c r="L4481">
        <v>140.9359</v>
      </c>
      <c r="M4481">
        <v>-0.99989600000000001</v>
      </c>
      <c r="N4481">
        <v>0</v>
      </c>
      <c r="O4481">
        <v>1.049042E-2</v>
      </c>
      <c r="P4481">
        <v>-0.99611590000000005</v>
      </c>
      <c r="Q4481">
        <v>-1.813451E-2</v>
      </c>
      <c r="R4481">
        <v>8.6166019999999996E-2</v>
      </c>
      <c r="S4481">
        <v>-3.029785</v>
      </c>
      <c r="T4481">
        <v>-0.13046740000000001</v>
      </c>
      <c r="U4481">
        <v>-0.2367706</v>
      </c>
      <c r="V4481">
        <v>7.5709079999999998E-2</v>
      </c>
      <c r="W4481">
        <v>-8.2733770000000002E-3</v>
      </c>
      <c r="X4481">
        <v>0.99709559999999997</v>
      </c>
      <c r="Y4481">
        <v>-8.8273899999999905E-2</v>
      </c>
      <c r="Z4481">
        <v>-2.347741E-3</v>
      </c>
      <c r="AA4481">
        <v>0.99609349999999997</v>
      </c>
      <c r="AB4481">
        <v>41</v>
      </c>
      <c r="AC4481">
        <v>-25.324299999999901</v>
      </c>
      <c r="AD4481">
        <v>-1.1090856149869901</v>
      </c>
      <c r="AE4481">
        <v>-2.0171999999999999</v>
      </c>
      <c r="AF4481">
        <v>-2.2784220169540701</v>
      </c>
      <c r="AG4481">
        <v>-1.1090856149869901</v>
      </c>
      <c r="AH4481">
        <v>25.2536122786377</v>
      </c>
      <c r="AI4481">
        <v>92.504534679813105</v>
      </c>
      <c r="AJ4481">
        <v>95.155360636956601</v>
      </c>
      <c r="AK4481">
        <v>25.380429683290899</v>
      </c>
      <c r="AL4481">
        <v>90.474035004441504</v>
      </c>
      <c r="AM4481">
        <v>85.657885557847806</v>
      </c>
      <c r="AN4481">
        <v>0.99999997455039402</v>
      </c>
    </row>
    <row r="4482" spans="1:40" x14ac:dyDescent="0.25">
      <c r="A4482" t="str">
        <f>"20190312161402617"</f>
        <v>20190312161402617</v>
      </c>
      <c r="B4482" t="str">
        <f>"1552378442610831"</f>
        <v>1552378442610831</v>
      </c>
      <c r="C4482" t="s">
        <v>40</v>
      </c>
      <c r="D4482">
        <v>5.7552699999999897</v>
      </c>
      <c r="E4482">
        <v>0.43746299999999999</v>
      </c>
      <c r="F4482" t="s">
        <v>42</v>
      </c>
      <c r="G4482">
        <v>-324.46440000000001</v>
      </c>
      <c r="H4482" s="1">
        <v>-2.4792560000000002E-6</v>
      </c>
      <c r="I4482">
        <v>138.92750000000001</v>
      </c>
      <c r="J4482">
        <v>-299.62529999999998</v>
      </c>
      <c r="K4482">
        <v>1.109235</v>
      </c>
      <c r="L4482">
        <v>140.94399999999999</v>
      </c>
      <c r="M4482">
        <v>-0.99989570000000005</v>
      </c>
      <c r="N4482">
        <v>0</v>
      </c>
      <c r="O4482">
        <v>1.022356E-2</v>
      </c>
      <c r="P4482">
        <v>-0.99605330000000003</v>
      </c>
      <c r="Q4482">
        <v>-1.9029480000000001E-2</v>
      </c>
      <c r="R4482">
        <v>8.669636E-2</v>
      </c>
      <c r="S4482">
        <v>-3.0298769999999999</v>
      </c>
      <c r="T4482">
        <v>-0.13107569999999999</v>
      </c>
      <c r="U4482">
        <v>-0.23735049999999999</v>
      </c>
      <c r="V4482">
        <v>7.650846E-2</v>
      </c>
      <c r="W4482">
        <v>-8.8455400000000007E-3</v>
      </c>
      <c r="X4482">
        <v>0.99702970000000002</v>
      </c>
      <c r="Y4482">
        <v>-8.8194709999999996E-2</v>
      </c>
      <c r="Z4482">
        <v>-2.3453570000000002E-3</v>
      </c>
      <c r="AA4482">
        <v>0.99610050000000006</v>
      </c>
      <c r="AB4482">
        <v>41</v>
      </c>
      <c r="AC4482">
        <v>-24.839099999999998</v>
      </c>
      <c r="AD4482">
        <v>-1.109237479256</v>
      </c>
      <c r="AE4482">
        <v>-2.0164999999999802</v>
      </c>
      <c r="AF4482">
        <v>-2.26586275903025</v>
      </c>
      <c r="AG4482">
        <v>-1.109237479256</v>
      </c>
      <c r="AH4482">
        <v>24.7681146873072</v>
      </c>
      <c r="AI4482">
        <v>92.553622800845801</v>
      </c>
      <c r="AJ4482">
        <v>95.227043291479106</v>
      </c>
      <c r="AK4482">
        <v>24.896265723833899</v>
      </c>
      <c r="AL4482">
        <v>90.506818716164503</v>
      </c>
      <c r="AM4482">
        <v>85.611928243962694</v>
      </c>
      <c r="AN4482">
        <v>1.00000000535577</v>
      </c>
    </row>
    <row r="4483" spans="1:40" x14ac:dyDescent="0.25">
      <c r="A4483" t="str">
        <f>"20190312161402639"</f>
        <v>20190312161402639</v>
      </c>
      <c r="B4483" t="str">
        <f>"1552378442630351"</f>
        <v>1552378442630351</v>
      </c>
      <c r="C4483" t="s">
        <v>40</v>
      </c>
      <c r="D4483">
        <v>5.600333</v>
      </c>
      <c r="E4483">
        <v>0.43754130000000002</v>
      </c>
      <c r="F4483" t="s">
        <v>42</v>
      </c>
      <c r="G4483">
        <v>-325.42430000000002</v>
      </c>
      <c r="H4483" s="1">
        <v>-2.0700309999999999E-6</v>
      </c>
      <c r="I4483">
        <v>138.91290000000001</v>
      </c>
      <c r="J4483">
        <v>-300.029</v>
      </c>
      <c r="K4483">
        <v>1.109307</v>
      </c>
      <c r="L4483">
        <v>140.94799999999901</v>
      </c>
      <c r="M4483">
        <v>-0.99989550000000005</v>
      </c>
      <c r="N4483">
        <v>0</v>
      </c>
      <c r="O4483">
        <v>1.005263E-2</v>
      </c>
      <c r="P4483">
        <v>-0.99613229999999997</v>
      </c>
      <c r="Q4483">
        <v>-1.877556E-2</v>
      </c>
      <c r="R4483">
        <v>8.5838910000000004E-2</v>
      </c>
      <c r="S4483">
        <v>-3.0302120000000001</v>
      </c>
      <c r="T4483">
        <v>-0.13028509999999999</v>
      </c>
      <c r="U4483">
        <v>-0.23855589999999999</v>
      </c>
      <c r="V4483">
        <v>7.5821479999999997E-2</v>
      </c>
      <c r="W4483">
        <v>-8.399353E-3</v>
      </c>
      <c r="X4483">
        <v>0.99708600000000003</v>
      </c>
      <c r="Y4483">
        <v>-8.8410749999999996E-2</v>
      </c>
      <c r="Z4483">
        <v>-2.3282310000000001E-3</v>
      </c>
      <c r="AA4483">
        <v>0.99608140000000001</v>
      </c>
      <c r="AB4483">
        <v>41</v>
      </c>
      <c r="AC4483">
        <v>-25.395299999999999</v>
      </c>
      <c r="AD4483">
        <v>-1.109309070031</v>
      </c>
      <c r="AE4483">
        <v>-2.0350999999999702</v>
      </c>
      <c r="AF4483">
        <v>-2.2859664973229998</v>
      </c>
      <c r="AG4483">
        <v>-1.109309070031</v>
      </c>
      <c r="AH4483">
        <v>25.3255424332235</v>
      </c>
      <c r="AI4483">
        <v>92.497923501415201</v>
      </c>
      <c r="AJ4483">
        <v>95.157727764885493</v>
      </c>
      <c r="AK4483">
        <v>25.452687657234499</v>
      </c>
      <c r="AL4483">
        <v>90.481253151392806</v>
      </c>
      <c r="AM4483">
        <v>85.651422124133305</v>
      </c>
      <c r="AN4483">
        <v>0.99999996867810403</v>
      </c>
    </row>
    <row r="4484" spans="1:40" x14ac:dyDescent="0.25">
      <c r="A4484" t="str">
        <f>"20190312161402660"</f>
        <v>20190312161402660</v>
      </c>
      <c r="B4484" t="str">
        <f>"1552378442650847"</f>
        <v>1552378442650847</v>
      </c>
      <c r="C4484" t="s">
        <v>40</v>
      </c>
      <c r="D4484">
        <v>5.9121360000000003</v>
      </c>
      <c r="E4484">
        <v>0.43722929999999999</v>
      </c>
      <c r="F4484" t="s">
        <v>42</v>
      </c>
      <c r="G4484">
        <v>-325.9135</v>
      </c>
      <c r="H4484" s="1">
        <v>-1.863598E-6</v>
      </c>
      <c r="I4484">
        <v>138.8938</v>
      </c>
      <c r="J4484">
        <v>-300.41160000000002</v>
      </c>
      <c r="K4484">
        <v>1.1093740000000001</v>
      </c>
      <c r="L4484">
        <v>140.95169999999999</v>
      </c>
      <c r="M4484">
        <v>-0.99989519999999998</v>
      </c>
      <c r="N4484">
        <v>0</v>
      </c>
      <c r="O4484">
        <v>9.8735219999999992E-3</v>
      </c>
      <c r="P4484">
        <v>-0.99622860000000002</v>
      </c>
      <c r="Q4484">
        <v>-1.8616750000000001E-2</v>
      </c>
      <c r="R4484">
        <v>8.47469E-2</v>
      </c>
      <c r="S4484">
        <v>-3.0299070000000001</v>
      </c>
      <c r="T4484">
        <v>-0.12985060000000001</v>
      </c>
      <c r="U4484">
        <v>-0.240448</v>
      </c>
      <c r="V4484">
        <v>7.4907790000000002E-2</v>
      </c>
      <c r="W4484">
        <v>-8.0440559999999904E-3</v>
      </c>
      <c r="X4484">
        <v>0.99715799999999999</v>
      </c>
      <c r="Y4484">
        <v>-8.8858679999999995E-2</v>
      </c>
      <c r="Z4484">
        <v>-2.3225659999999999E-3</v>
      </c>
      <c r="AA4484">
        <v>0.99604150000000002</v>
      </c>
      <c r="AB4484">
        <v>41</v>
      </c>
      <c r="AC4484">
        <v>-25.5018999999999</v>
      </c>
      <c r="AD4484">
        <v>-1.109375863598</v>
      </c>
      <c r="AE4484">
        <v>-2.0578999999999801</v>
      </c>
      <c r="AF4484">
        <v>-2.3052730940498498</v>
      </c>
      <c r="AG4484">
        <v>-1.109375863598</v>
      </c>
      <c r="AH4484">
        <v>25.432519867439598</v>
      </c>
      <c r="AI4484">
        <v>92.4874946542364</v>
      </c>
      <c r="AJ4484">
        <v>95.179292421351093</v>
      </c>
      <c r="AK4484">
        <v>25.5608698140848</v>
      </c>
      <c r="AL4484">
        <v>90.460895438605107</v>
      </c>
      <c r="AM4484">
        <v>85.7039365028497</v>
      </c>
      <c r="AN4484">
        <v>0.99999998040180704</v>
      </c>
    </row>
    <row r="4485" spans="1:40" x14ac:dyDescent="0.25">
      <c r="A4485" t="str">
        <f>"20190312161402683"</f>
        <v>20190312161402683</v>
      </c>
      <c r="B4485" t="str">
        <f>"1552378442670367"</f>
        <v>1552378442670367</v>
      </c>
      <c r="C4485" t="s">
        <v>40</v>
      </c>
      <c r="D4485">
        <v>5.7275119999999999</v>
      </c>
      <c r="E4485">
        <v>0.47962050000000001</v>
      </c>
      <c r="F4485" t="s">
        <v>42</v>
      </c>
      <c r="G4485">
        <v>-326.68299999999999</v>
      </c>
      <c r="H4485" s="1">
        <v>-1.5469369999999999E-6</v>
      </c>
      <c r="I4485">
        <v>138.81790000000001</v>
      </c>
      <c r="J4485">
        <v>-300.81509999999997</v>
      </c>
      <c r="K4485">
        <v>1.1094360000000001</v>
      </c>
      <c r="L4485">
        <v>140.9556</v>
      </c>
      <c r="M4485">
        <v>-0.99989499999999998</v>
      </c>
      <c r="N4485">
        <v>0</v>
      </c>
      <c r="O4485">
        <v>9.6733019999999999E-3</v>
      </c>
      <c r="P4485">
        <v>-0.99625019999999997</v>
      </c>
      <c r="Q4485">
        <v>-1.9303279999999999E-2</v>
      </c>
      <c r="R4485">
        <v>8.4339479999999994E-2</v>
      </c>
      <c r="S4485">
        <v>-3.0299070000000001</v>
      </c>
      <c r="T4485">
        <v>-0.1279457</v>
      </c>
      <c r="U4485">
        <v>-0.2460938</v>
      </c>
      <c r="V4485">
        <v>7.4700500000000003E-2</v>
      </c>
      <c r="W4485">
        <v>-8.5204140000000005E-3</v>
      </c>
      <c r="X4485">
        <v>0.99716959999999999</v>
      </c>
      <c r="Y4485">
        <v>-9.0504580000000001E-2</v>
      </c>
      <c r="Z4485">
        <v>-2.314595E-3</v>
      </c>
      <c r="AA4485">
        <v>0.99589340000000004</v>
      </c>
      <c r="AB4485">
        <v>41</v>
      </c>
      <c r="AC4485">
        <v>-25.867899999999999</v>
      </c>
      <c r="AD4485">
        <v>-1.1094375469369999</v>
      </c>
      <c r="AE4485">
        <v>-2.1376999999999899</v>
      </c>
      <c r="AF4485">
        <v>-2.3834880236700302</v>
      </c>
      <c r="AG4485">
        <v>-1.1094375469369999</v>
      </c>
      <c r="AH4485">
        <v>25.798876388935199</v>
      </c>
      <c r="AI4485">
        <v>92.4519628723137</v>
      </c>
      <c r="AJ4485">
        <v>95.278417452282895</v>
      </c>
      <c r="AK4485">
        <v>25.932487149540599</v>
      </c>
      <c r="AL4485">
        <v>90.488189675426398</v>
      </c>
      <c r="AM4485">
        <v>85.715830194046902</v>
      </c>
      <c r="AN4485">
        <v>0.99999998665957002</v>
      </c>
    </row>
    <row r="4486" spans="1:40" x14ac:dyDescent="0.25">
      <c r="A4486" t="str">
        <f>"20190312161402696"</f>
        <v>20190312161402696</v>
      </c>
      <c r="B4486" t="str">
        <f>"1552378442690863"</f>
        <v>1552378442690863</v>
      </c>
      <c r="C4486" t="s">
        <v>40</v>
      </c>
      <c r="D4486">
        <v>5.792789</v>
      </c>
      <c r="E4486">
        <v>0.4912049</v>
      </c>
      <c r="F4486" t="s">
        <v>43</v>
      </c>
      <c r="G4486">
        <v>-301.6336</v>
      </c>
      <c r="H4486">
        <v>1.0229490000000001</v>
      </c>
      <c r="I4486">
        <v>140.97909999999999</v>
      </c>
      <c r="J4486">
        <v>-301.05829999999997</v>
      </c>
      <c r="K4486">
        <v>1.1094710000000001</v>
      </c>
      <c r="L4486">
        <v>140.95779999999999</v>
      </c>
      <c r="M4486">
        <v>-0.99989490000000003</v>
      </c>
      <c r="N4486">
        <v>0</v>
      </c>
      <c r="O4486">
        <v>9.5504330000000005E-3</v>
      </c>
      <c r="P4486">
        <v>-0.99623969999999995</v>
      </c>
      <c r="Q4486">
        <v>-1.972405E-2</v>
      </c>
      <c r="R4486">
        <v>8.4366499999999997E-2</v>
      </c>
      <c r="S4486">
        <v>-2.9979550000000001</v>
      </c>
      <c r="T4486">
        <v>-0.31685069999999999</v>
      </c>
      <c r="U4486">
        <v>8.5098270000000004E-2</v>
      </c>
      <c r="V4486">
        <v>7.4850689999999998E-2</v>
      </c>
      <c r="W4486">
        <v>-8.8154169999999903E-3</v>
      </c>
      <c r="X4486">
        <v>0.99715580000000004</v>
      </c>
      <c r="Y4486">
        <v>1.8774240000000001E-2</v>
      </c>
      <c r="Z4486" s="1">
        <v>-1.7223529999999899E-5</v>
      </c>
      <c r="AA4486">
        <v>0.99982369999999998</v>
      </c>
      <c r="AB4486">
        <v>41</v>
      </c>
      <c r="AC4486">
        <v>-0.57530000000002701</v>
      </c>
      <c r="AD4486">
        <v>-8.6521999999999905E-2</v>
      </c>
      <c r="AE4486">
        <v>2.1299999999996499E-2</v>
      </c>
      <c r="AF4486">
        <v>1.5455241199081701E-2</v>
      </c>
      <c r="AG4486">
        <v>-8.6521999999999905E-2</v>
      </c>
      <c r="AH4486">
        <v>0.562765688725543</v>
      </c>
      <c r="AI4486">
        <v>98.737216236523594</v>
      </c>
      <c r="AJ4486">
        <v>88.426880697058607</v>
      </c>
      <c r="AK4486">
        <v>0.56958769418874999</v>
      </c>
      <c r="AL4486">
        <v>90.505092724037794</v>
      </c>
      <c r="AM4486">
        <v>85.707189583494596</v>
      </c>
      <c r="AN4486">
        <v>1.000000013422</v>
      </c>
    </row>
    <row r="4487" spans="1:40" x14ac:dyDescent="0.25">
      <c r="A4487" t="str">
        <f>"20190312161402717"</f>
        <v>20190312161402717</v>
      </c>
      <c r="B4487" t="str">
        <f>"1552378442710383"</f>
        <v>1552378442710383</v>
      </c>
      <c r="C4487" t="s">
        <v>40</v>
      </c>
      <c r="D4487">
        <v>5.5762700000000001</v>
      </c>
      <c r="E4487">
        <v>0.53347709999999904</v>
      </c>
      <c r="F4487" t="s">
        <v>43</v>
      </c>
      <c r="G4487">
        <v>-301.98160000000001</v>
      </c>
      <c r="H4487">
        <v>0.99427929999999998</v>
      </c>
      <c r="I4487">
        <v>141.01230000000001</v>
      </c>
      <c r="J4487">
        <v>-301.42939999999999</v>
      </c>
      <c r="K4487">
        <v>1.109523</v>
      </c>
      <c r="L4487">
        <v>140.96119999999999</v>
      </c>
      <c r="M4487">
        <v>-0.99989459999999997</v>
      </c>
      <c r="N4487">
        <v>0</v>
      </c>
      <c r="O4487">
        <v>9.3639840000000005E-3</v>
      </c>
      <c r="P4487">
        <v>-0.99626769999999998</v>
      </c>
      <c r="Q4487">
        <v>-1.8867419999999999E-2</v>
      </c>
      <c r="R4487">
        <v>8.4230949999999999E-2</v>
      </c>
      <c r="S4487">
        <v>-2.9891049999999999</v>
      </c>
      <c r="T4487">
        <v>-0.37298520000000002</v>
      </c>
      <c r="U4487">
        <v>0.1756287</v>
      </c>
      <c r="V4487">
        <v>7.4900629999999996E-2</v>
      </c>
      <c r="W4487">
        <v>-7.7657539999999997E-3</v>
      </c>
      <c r="X4487">
        <v>0.99716079999999996</v>
      </c>
      <c r="Y4487">
        <v>4.8997840000000001E-2</v>
      </c>
      <c r="Z4487">
        <v>1.879684E-3</v>
      </c>
      <c r="AA4487">
        <v>0.99879709999999999</v>
      </c>
      <c r="AB4487">
        <v>41</v>
      </c>
      <c r="AC4487">
        <v>-0.552200000000027</v>
      </c>
      <c r="AD4487">
        <v>-0.1152437</v>
      </c>
      <c r="AE4487">
        <v>5.1100000000019401E-2</v>
      </c>
      <c r="AF4487">
        <v>4.4025388882535703E-2</v>
      </c>
      <c r="AG4487">
        <v>-0.1152437</v>
      </c>
      <c r="AH4487">
        <v>0.52977566763252504</v>
      </c>
      <c r="AI4487">
        <v>102.23163967121199</v>
      </c>
      <c r="AJ4487">
        <v>85.249524652067507</v>
      </c>
      <c r="AK4487">
        <v>0.54395000070910504</v>
      </c>
      <c r="AL4487">
        <v>90.444949385168997</v>
      </c>
      <c r="AM4487">
        <v>85.704357618371503</v>
      </c>
      <c r="AN4487">
        <v>1.0000000361831101</v>
      </c>
    </row>
    <row r="4488" spans="1:40" x14ac:dyDescent="0.25">
      <c r="A4488" t="str">
        <f>"20190312161402730"</f>
        <v>20190312161402730</v>
      </c>
      <c r="B4488" t="str">
        <f>"1552378442721119"</f>
        <v>1552378442721119</v>
      </c>
      <c r="C4488" t="s">
        <v>40</v>
      </c>
      <c r="D4488">
        <v>6.2957580000000002</v>
      </c>
      <c r="E4488">
        <v>0.53041260000000001</v>
      </c>
      <c r="F4488" t="s">
        <v>43</v>
      </c>
      <c r="G4488">
        <v>-302.2996</v>
      </c>
      <c r="H4488">
        <v>0.8965225</v>
      </c>
      <c r="I4488">
        <v>141.1097</v>
      </c>
      <c r="J4488">
        <v>-301.68990000000002</v>
      </c>
      <c r="K4488">
        <v>1.109556</v>
      </c>
      <c r="L4488">
        <v>140.96350000000001</v>
      </c>
      <c r="M4488">
        <v>-0.99989410000000001</v>
      </c>
      <c r="N4488">
        <v>0</v>
      </c>
      <c r="O4488">
        <v>9.2358389999999992E-3</v>
      </c>
      <c r="P4488">
        <v>-0.99629959999999995</v>
      </c>
      <c r="Q4488">
        <v>-1.8488029999999999E-2</v>
      </c>
      <c r="R4488">
        <v>8.3936940000000002E-2</v>
      </c>
      <c r="S4488">
        <v>-2.954987</v>
      </c>
      <c r="T4488">
        <v>-0.72335000000000005</v>
      </c>
      <c r="U4488">
        <v>0.5033569</v>
      </c>
      <c r="V4488">
        <v>7.4734149999999999E-2</v>
      </c>
      <c r="W4488">
        <v>-7.2493219999999999E-3</v>
      </c>
      <c r="X4488">
        <v>0.99717710000000004</v>
      </c>
      <c r="Y4488">
        <v>0.15463829999999901</v>
      </c>
      <c r="Z4488">
        <v>1.631146E-2</v>
      </c>
      <c r="AA4488">
        <v>0.98783650000000001</v>
      </c>
      <c r="AB4488">
        <v>41</v>
      </c>
      <c r="AC4488">
        <v>-0.60969999999997504</v>
      </c>
      <c r="AD4488">
        <v>-0.21303349999999999</v>
      </c>
      <c r="AE4488">
        <v>0.146199999999993</v>
      </c>
      <c r="AF4488">
        <v>0.126014318402739</v>
      </c>
      <c r="AG4488">
        <v>-0.21303349999999999</v>
      </c>
      <c r="AH4488">
        <v>0.54778421336251504</v>
      </c>
      <c r="AI4488">
        <v>110.75677242929601</v>
      </c>
      <c r="AJ4488">
        <v>77.044856372894799</v>
      </c>
      <c r="AK4488">
        <v>0.60110766504341495</v>
      </c>
      <c r="AL4488">
        <v>90.415359210758595</v>
      </c>
      <c r="AM4488">
        <v>85.713939629852703</v>
      </c>
      <c r="AN4488">
        <v>0.99999995730504498</v>
      </c>
    </row>
    <row r="4489" spans="1:40" x14ac:dyDescent="0.25">
      <c r="A4489" t="str">
        <f>"20190312161402751"</f>
        <v>20190312161402751</v>
      </c>
      <c r="B4489" t="str">
        <f>"1552378442740639"</f>
        <v>1552378442740639</v>
      </c>
      <c r="C4489" t="s">
        <v>40</v>
      </c>
      <c r="D4489">
        <v>5.8697280000000003</v>
      </c>
      <c r="E4489">
        <v>0.52711359999999996</v>
      </c>
      <c r="F4489" t="s">
        <v>43</v>
      </c>
      <c r="G4489">
        <v>-302.65800000000002</v>
      </c>
      <c r="H4489">
        <v>0.88585639999999999</v>
      </c>
      <c r="I4489">
        <v>141.1206</v>
      </c>
      <c r="J4489">
        <v>-302.05009999999999</v>
      </c>
      <c r="K4489">
        <v>1.109586</v>
      </c>
      <c r="L4489">
        <v>140.9667</v>
      </c>
      <c r="M4489">
        <v>-0.99989360000000005</v>
      </c>
      <c r="N4489">
        <v>0</v>
      </c>
      <c r="O4489">
        <v>9.0619029999999996E-3</v>
      </c>
      <c r="P4489">
        <v>-0.99630580000000002</v>
      </c>
      <c r="Q4489">
        <v>-1.875197E-2</v>
      </c>
      <c r="R4489">
        <v>8.3803829999999996E-2</v>
      </c>
      <c r="S4489">
        <v>-2.9580690000000001</v>
      </c>
      <c r="T4489">
        <v>-0.68350859999999902</v>
      </c>
      <c r="U4489">
        <v>0.47947689999999998</v>
      </c>
      <c r="V4489">
        <v>7.4774640000000003E-2</v>
      </c>
      <c r="W4489">
        <v>-7.3233419999999896E-3</v>
      </c>
      <c r="X4489">
        <v>0.99717350000000005</v>
      </c>
      <c r="Y4489">
        <v>0.14749660000000001</v>
      </c>
      <c r="Z4489">
        <v>1.4660690000000001E-2</v>
      </c>
      <c r="AA4489">
        <v>0.98895390000000005</v>
      </c>
      <c r="AB4489">
        <v>41</v>
      </c>
      <c r="AC4489">
        <v>-0.60790000000002897</v>
      </c>
      <c r="AD4489">
        <v>-0.2237296</v>
      </c>
      <c r="AE4489">
        <v>0.15389999999999299</v>
      </c>
      <c r="AF4489">
        <v>0.131629179559345</v>
      </c>
      <c r="AG4489">
        <v>-0.2237296</v>
      </c>
      <c r="AH4489">
        <v>0.54047174506828399</v>
      </c>
      <c r="AI4489">
        <v>111.90980856822399</v>
      </c>
      <c r="AJ4489">
        <v>76.312371592005704</v>
      </c>
      <c r="AK4489">
        <v>0.59957558493052598</v>
      </c>
      <c r="AL4489">
        <v>90.4196003670653</v>
      </c>
      <c r="AM4489">
        <v>85.711610733677702</v>
      </c>
      <c r="AN4489">
        <v>0.99999993361371198</v>
      </c>
    </row>
    <row r="4490" spans="1:40" x14ac:dyDescent="0.25">
      <c r="A4490" t="str">
        <f>"20190312161402772"</f>
        <v>20190312161402772</v>
      </c>
      <c r="B4490" t="str">
        <f>"1552378442761134"</f>
        <v>1552378442761134</v>
      </c>
      <c r="C4490" t="s">
        <v>40</v>
      </c>
      <c r="D4490">
        <v>5.8639919999999996</v>
      </c>
      <c r="E4490">
        <v>0.52551490000000001</v>
      </c>
      <c r="F4490" t="s">
        <v>43</v>
      </c>
      <c r="G4490">
        <v>-303.02550000000002</v>
      </c>
      <c r="H4490">
        <v>0.8984027</v>
      </c>
      <c r="I4490">
        <v>141.11680000000001</v>
      </c>
      <c r="J4490">
        <v>-302.44240000000002</v>
      </c>
      <c r="K4490">
        <v>1.109618</v>
      </c>
      <c r="L4490">
        <v>140.97</v>
      </c>
      <c r="M4490">
        <v>-0.99989309999999998</v>
      </c>
      <c r="N4490">
        <v>0</v>
      </c>
      <c r="O4490">
        <v>8.8686340000000002E-3</v>
      </c>
      <c r="P4490">
        <v>-0.99626490000000001</v>
      </c>
      <c r="Q4490">
        <v>-1.9552610000000002E-2</v>
      </c>
      <c r="R4490">
        <v>8.4108440000000007E-2</v>
      </c>
      <c r="S4490">
        <v>-2.9608759999999998</v>
      </c>
      <c r="T4490">
        <v>-0.64108199999999904</v>
      </c>
      <c r="U4490">
        <v>0.45448300000000003</v>
      </c>
      <c r="V4490">
        <v>7.5272690000000003E-2</v>
      </c>
      <c r="W4490">
        <v>-7.9189699999999991E-3</v>
      </c>
      <c r="X4490">
        <v>0.99713149999999995</v>
      </c>
      <c r="Y4490">
        <v>0.13997879999999999</v>
      </c>
      <c r="Z4490">
        <v>1.3008749999999999E-2</v>
      </c>
      <c r="AA4490">
        <v>0.99006899999999998</v>
      </c>
      <c r="AB4490">
        <v>41</v>
      </c>
      <c r="AC4490">
        <v>-0.58310000000000095</v>
      </c>
      <c r="AD4490">
        <v>-0.211215299999999</v>
      </c>
      <c r="AE4490">
        <v>0.146800000000013</v>
      </c>
      <c r="AF4490">
        <v>0.126067297307734</v>
      </c>
      <c r="AG4490">
        <v>-0.211215299999999</v>
      </c>
      <c r="AH4490">
        <v>0.52019312063465695</v>
      </c>
      <c r="AI4490">
        <v>111.534671598225</v>
      </c>
      <c r="AJ4490">
        <v>76.377179489546705</v>
      </c>
      <c r="AK4490">
        <v>0.57541789089338302</v>
      </c>
      <c r="AL4490">
        <v>90.453728320401396</v>
      </c>
      <c r="AM4490">
        <v>85.6829736186275</v>
      </c>
      <c r="AN4490">
        <v>0.99999995811897202</v>
      </c>
    </row>
    <row r="4491" spans="1:40" x14ac:dyDescent="0.25">
      <c r="A4491" t="str">
        <f>"20190312161402796"</f>
        <v>20190312161402796</v>
      </c>
      <c r="B4491" t="str">
        <f>"1552378442790415"</f>
        <v>1552378442790415</v>
      </c>
      <c r="C4491" t="s">
        <v>40</v>
      </c>
      <c r="D4491">
        <v>5.8459320000000004</v>
      </c>
      <c r="E4491">
        <v>0.52405059999999903</v>
      </c>
      <c r="F4491" t="s">
        <v>43</v>
      </c>
      <c r="G4491">
        <v>-303.39280000000002</v>
      </c>
      <c r="H4491">
        <v>0.9106609</v>
      </c>
      <c r="I4491">
        <v>141.1121</v>
      </c>
      <c r="J4491">
        <v>-302.86079999999998</v>
      </c>
      <c r="K4491">
        <v>1.1096410000000001</v>
      </c>
      <c r="L4491">
        <v>140.9735</v>
      </c>
      <c r="M4491">
        <v>-0.99989240000000001</v>
      </c>
      <c r="N4491">
        <v>0</v>
      </c>
      <c r="O4491">
        <v>8.6552030000000002E-3</v>
      </c>
      <c r="P4491">
        <v>-0.99626919999999997</v>
      </c>
      <c r="Q4491">
        <v>-1.9501689999999999E-2</v>
      </c>
      <c r="R4491">
        <v>8.4068409999999996E-2</v>
      </c>
      <c r="S4491">
        <v>-2.9617309999999999</v>
      </c>
      <c r="T4491">
        <v>-0.62003459999999999</v>
      </c>
      <c r="U4491">
        <v>0.44248959999999998</v>
      </c>
      <c r="V4491">
        <v>7.5445070000000003E-2</v>
      </c>
      <c r="W4491">
        <v>-7.6534209999999997E-3</v>
      </c>
      <c r="X4491">
        <v>0.99712060000000002</v>
      </c>
      <c r="Y4491">
        <v>0.13648560000000001</v>
      </c>
      <c r="Z4491">
        <v>1.2275029999999999E-2</v>
      </c>
      <c r="AA4491">
        <v>0.99056599999999995</v>
      </c>
      <c r="AB4491">
        <v>41</v>
      </c>
      <c r="AC4491">
        <v>-0.532000000000039</v>
      </c>
      <c r="AD4491">
        <v>-0.19898009999999899</v>
      </c>
      <c r="AE4491">
        <v>0.138599999999996</v>
      </c>
      <c r="AF4491">
        <v>0.118470157060624</v>
      </c>
      <c r="AG4491">
        <v>-0.19898009999999899</v>
      </c>
      <c r="AH4491">
        <v>0.47142271655822199</v>
      </c>
      <c r="AI4491">
        <v>112.262033874344</v>
      </c>
      <c r="AJ4491">
        <v>75.893488777295602</v>
      </c>
      <c r="AK4491">
        <v>0.52523103106834101</v>
      </c>
      <c r="AL4491">
        <v>90.438512997833698</v>
      </c>
      <c r="AM4491">
        <v>85.673077693257895</v>
      </c>
      <c r="AN4491">
        <v>1.00000001219233</v>
      </c>
    </row>
    <row r="4492" spans="1:40" x14ac:dyDescent="0.25">
      <c r="A4492" t="str">
        <f>"20190312161402829"</f>
        <v>20190312161402829</v>
      </c>
      <c r="B4492" t="str">
        <f>"1552378442820671"</f>
        <v>1552378442820671</v>
      </c>
      <c r="C4492" t="s">
        <v>40</v>
      </c>
      <c r="D4492">
        <v>5.7932499999999996</v>
      </c>
      <c r="E4492">
        <v>0.5234335</v>
      </c>
      <c r="F4492" t="s">
        <v>43</v>
      </c>
      <c r="G4492">
        <v>-303.76240000000001</v>
      </c>
      <c r="H4492">
        <v>0.92853209999999997</v>
      </c>
      <c r="I4492">
        <v>141.10489999999999</v>
      </c>
      <c r="J4492">
        <v>-303.46230000000003</v>
      </c>
      <c r="K4492">
        <v>1.109669</v>
      </c>
      <c r="L4492">
        <v>140.97839999999999</v>
      </c>
      <c r="M4492">
        <v>-0.99989139999999999</v>
      </c>
      <c r="N4492">
        <v>0</v>
      </c>
      <c r="O4492">
        <v>8.343629E-3</v>
      </c>
      <c r="P4492">
        <v>-0.9964134</v>
      </c>
      <c r="Q4492">
        <v>-1.8846620000000001E-2</v>
      </c>
      <c r="R4492">
        <v>8.2493810000000001E-2</v>
      </c>
      <c r="S4492">
        <v>-2.963257</v>
      </c>
      <c r="T4492">
        <v>-0.59527890000000006</v>
      </c>
      <c r="U4492">
        <v>0.43086239999999998</v>
      </c>
      <c r="V4492">
        <v>7.417957E-2</v>
      </c>
      <c r="W4492">
        <v>-6.6948399999999996E-3</v>
      </c>
      <c r="X4492">
        <v>0.99722239999999995</v>
      </c>
      <c r="Y4492">
        <v>0.133184</v>
      </c>
      <c r="Z4492">
        <v>1.152689E-2</v>
      </c>
      <c r="AA4492">
        <v>0.99102429999999997</v>
      </c>
      <c r="AB4492">
        <v>41</v>
      </c>
      <c r="AC4492">
        <v>-0.30009999999998599</v>
      </c>
      <c r="AD4492">
        <v>-0.18113689999999999</v>
      </c>
      <c r="AE4492">
        <v>0.12649999999999201</v>
      </c>
      <c r="AF4492">
        <v>9.4696830483768396E-2</v>
      </c>
      <c r="AG4492">
        <v>-0.18113689999999999</v>
      </c>
      <c r="AH4492">
        <v>0.229995516893436</v>
      </c>
      <c r="AI4492">
        <v>126.06413166759199</v>
      </c>
      <c r="AJ4492">
        <v>67.621399835253996</v>
      </c>
      <c r="AK4492">
        <v>0.30769466039624399</v>
      </c>
      <c r="AL4492">
        <v>90.383588952652701</v>
      </c>
      <c r="AM4492">
        <v>85.7458205538111</v>
      </c>
      <c r="AN4492">
        <v>0.99999997227488402</v>
      </c>
    </row>
    <row r="4493" spans="1:40" x14ac:dyDescent="0.25">
      <c r="A4493" t="str">
        <f>"20190312161402850"</f>
        <v>20190312161402850</v>
      </c>
      <c r="B4493" t="str">
        <f>"1552378442841168"</f>
        <v>1552378442841168</v>
      </c>
      <c r="C4493" t="s">
        <v>40</v>
      </c>
      <c r="D4493">
        <v>5.903009</v>
      </c>
      <c r="E4493">
        <v>0.52264999999999995</v>
      </c>
      <c r="F4493" t="s">
        <v>43</v>
      </c>
      <c r="G4493">
        <v>-304.47840000000002</v>
      </c>
      <c r="H4493">
        <v>0.91030919999999904</v>
      </c>
      <c r="I4493">
        <v>141.12360000000001</v>
      </c>
      <c r="J4493">
        <v>-303.85649999999998</v>
      </c>
      <c r="K4493">
        <v>1.1096900000000001</v>
      </c>
      <c r="L4493">
        <v>140.98150000000001</v>
      </c>
      <c r="M4493">
        <v>-0.99989050000000002</v>
      </c>
      <c r="N4493">
        <v>0</v>
      </c>
      <c r="O4493">
        <v>8.1428190000000008E-3</v>
      </c>
      <c r="P4493">
        <v>-0.99648110000000001</v>
      </c>
      <c r="Q4493">
        <v>-1.958099E-2</v>
      </c>
      <c r="R4493">
        <v>8.1497310000000003E-2</v>
      </c>
      <c r="S4493">
        <v>-2.9647830000000002</v>
      </c>
      <c r="T4493">
        <v>-0.58176349999999999</v>
      </c>
      <c r="U4493">
        <v>0.42263790000000001</v>
      </c>
      <c r="V4493">
        <v>7.3383019999999993E-2</v>
      </c>
      <c r="W4493">
        <v>-7.2264719999999899E-3</v>
      </c>
      <c r="X4493">
        <v>0.99727770000000004</v>
      </c>
      <c r="Y4493">
        <v>0.13076779999999999</v>
      </c>
      <c r="Z4493">
        <v>1.107173E-2</v>
      </c>
      <c r="AA4493">
        <v>0.99135119999999999</v>
      </c>
      <c r="AB4493">
        <v>40</v>
      </c>
      <c r="AC4493">
        <v>-0.62190000000003898</v>
      </c>
      <c r="AD4493">
        <v>-0.1993808</v>
      </c>
      <c r="AE4493">
        <v>0.142099999999999</v>
      </c>
      <c r="AF4493">
        <v>0.124836366131897</v>
      </c>
      <c r="AG4493">
        <v>-0.1993808</v>
      </c>
      <c r="AH4493">
        <v>0.56759191037535095</v>
      </c>
      <c r="AI4493">
        <v>108.93581275899901</v>
      </c>
      <c r="AJ4493">
        <v>77.595841166209993</v>
      </c>
      <c r="AK4493">
        <v>0.61440816925005004</v>
      </c>
      <c r="AL4493">
        <v>90.414049929374698</v>
      </c>
      <c r="AM4493">
        <v>85.791569998633605</v>
      </c>
      <c r="AN4493">
        <v>1.0000000502195801</v>
      </c>
    </row>
    <row r="4494" spans="1:40" x14ac:dyDescent="0.25">
      <c r="A4494" t="str">
        <f>"20190312161402872"</f>
        <v>20190312161402872</v>
      </c>
      <c r="B4494" t="str">
        <f>"1552378442860688"</f>
        <v>1552378442860688</v>
      </c>
      <c r="C4494" t="s">
        <v>40</v>
      </c>
      <c r="D4494">
        <v>5.901294</v>
      </c>
      <c r="E4494">
        <v>0.52219150000000003</v>
      </c>
      <c r="F4494" t="s">
        <v>43</v>
      </c>
      <c r="G4494">
        <v>-304.84269999999998</v>
      </c>
      <c r="H4494">
        <v>0.91777629999999999</v>
      </c>
      <c r="I4494">
        <v>141.11930000000001</v>
      </c>
      <c r="J4494">
        <v>-304.24169999999998</v>
      </c>
      <c r="K4494">
        <v>1.1097140000000001</v>
      </c>
      <c r="L4494">
        <v>140.9845</v>
      </c>
      <c r="M4494">
        <v>-0.99988960000000005</v>
      </c>
      <c r="N4494">
        <v>0</v>
      </c>
      <c r="O4494">
        <v>7.9492550000000006E-3</v>
      </c>
      <c r="P4494">
        <v>-0.99644029999999995</v>
      </c>
      <c r="Q4494">
        <v>-2.1010930000000001E-2</v>
      </c>
      <c r="R4494">
        <v>8.1642590000000001E-2</v>
      </c>
      <c r="S4494">
        <v>-2.9654539999999998</v>
      </c>
      <c r="T4494">
        <v>-0.57708669999999995</v>
      </c>
      <c r="U4494">
        <v>0.41340640000000001</v>
      </c>
      <c r="V4494">
        <v>7.3722419999999997E-2</v>
      </c>
      <c r="W4494">
        <v>-8.4561299999999992E-3</v>
      </c>
      <c r="X4494">
        <v>0.99724290000000004</v>
      </c>
      <c r="Y4494">
        <v>0.1279855</v>
      </c>
      <c r="Z4494">
        <v>1.0754420000000001E-2</v>
      </c>
      <c r="AA4494">
        <v>0.99171779999999998</v>
      </c>
      <c r="AB4494">
        <v>40</v>
      </c>
      <c r="AC4494">
        <v>-0.60099999999999898</v>
      </c>
      <c r="AD4494">
        <v>-0.19193769999999899</v>
      </c>
      <c r="AE4494">
        <v>0.13480000000001199</v>
      </c>
      <c r="AF4494">
        <v>0.118509622580177</v>
      </c>
      <c r="AG4494">
        <v>-0.19193769999999899</v>
      </c>
      <c r="AH4494">
        <v>0.548763314193362</v>
      </c>
      <c r="AI4494">
        <v>108.874666879291</v>
      </c>
      <c r="AJ4494">
        <v>77.813686444096405</v>
      </c>
      <c r="AK4494">
        <v>0.59331760999473804</v>
      </c>
      <c r="AL4494">
        <v>90.484506357839095</v>
      </c>
      <c r="AM4494">
        <v>85.7720292223065</v>
      </c>
      <c r="AN4494">
        <v>0.99999995147281995</v>
      </c>
    </row>
    <row r="4495" spans="1:40" x14ac:dyDescent="0.25">
      <c r="A4495" t="str">
        <f>"20190312161402895"</f>
        <v>20190312161402895</v>
      </c>
      <c r="B4495" t="str">
        <f>"1552378442890943"</f>
        <v>1552378442890943</v>
      </c>
      <c r="C4495" t="s">
        <v>40</v>
      </c>
      <c r="D4495">
        <v>5.9424330000000003</v>
      </c>
      <c r="E4495">
        <v>0.54819169999999995</v>
      </c>
      <c r="F4495" t="s">
        <v>43</v>
      </c>
      <c r="G4495">
        <v>-305.2054</v>
      </c>
      <c r="H4495">
        <v>0.92230630000000002</v>
      </c>
      <c r="I4495">
        <v>141.11789999999999</v>
      </c>
      <c r="J4495">
        <v>-304.65879999999999</v>
      </c>
      <c r="K4495">
        <v>1.109753</v>
      </c>
      <c r="L4495">
        <v>140.98759999999999</v>
      </c>
      <c r="M4495">
        <v>-0.9998882</v>
      </c>
      <c r="N4495">
        <v>0</v>
      </c>
      <c r="O4495">
        <v>7.7424319999999996E-3</v>
      </c>
      <c r="P4495">
        <v>-0.99641389999999996</v>
      </c>
      <c r="Q4495">
        <v>-2.089452E-2</v>
      </c>
      <c r="R4495">
        <v>8.1992330000000002E-2</v>
      </c>
      <c r="S4495">
        <v>-2.9650270000000001</v>
      </c>
      <c r="T4495">
        <v>-0.5766521</v>
      </c>
      <c r="U4495">
        <v>0.4095917</v>
      </c>
      <c r="V4495">
        <v>7.4278319999999995E-2</v>
      </c>
      <c r="W4495">
        <v>-8.1035450000000002E-3</v>
      </c>
      <c r="X4495">
        <v>0.9972046</v>
      </c>
      <c r="Y4495">
        <v>0.12697519999999901</v>
      </c>
      <c r="Z4495">
        <v>1.069166E-2</v>
      </c>
      <c r="AA4495">
        <v>0.99184830000000002</v>
      </c>
      <c r="AB4495">
        <v>40</v>
      </c>
      <c r="AC4495">
        <v>-0.54660000000001197</v>
      </c>
      <c r="AD4495">
        <v>-0.18744669999999999</v>
      </c>
      <c r="AE4495">
        <v>0.130300000000005</v>
      </c>
      <c r="AF4495">
        <v>0.113440232906659</v>
      </c>
      <c r="AG4495">
        <v>-0.18744669999999999</v>
      </c>
      <c r="AH4495">
        <v>0.49275888219178499</v>
      </c>
      <c r="AI4495">
        <v>110.340036985913</v>
      </c>
      <c r="AJ4495">
        <v>77.035564311112196</v>
      </c>
      <c r="AK4495">
        <v>0.53927383374469795</v>
      </c>
      <c r="AL4495">
        <v>90.464304020784297</v>
      </c>
      <c r="AM4495">
        <v>85.740102341783398</v>
      </c>
      <c r="AN4495">
        <v>0.99999997526237405</v>
      </c>
    </row>
    <row r="4496" spans="1:40" x14ac:dyDescent="0.25">
      <c r="A4496" t="str">
        <f>"20190312161402917"</f>
        <v>20190312161402917</v>
      </c>
      <c r="B4496" t="str">
        <f>"1552378442910467"</f>
        <v>1552378442910467</v>
      </c>
      <c r="C4496" t="s">
        <v>40</v>
      </c>
      <c r="D4496">
        <v>5.7843179999999998</v>
      </c>
      <c r="E4496">
        <v>0.54672989999999999</v>
      </c>
      <c r="F4496" t="s">
        <v>43</v>
      </c>
      <c r="G4496">
        <v>-305.54719999999998</v>
      </c>
      <c r="H4496">
        <v>0.87333300000000003</v>
      </c>
      <c r="I4496">
        <v>141.17250000000001</v>
      </c>
      <c r="J4496">
        <v>-305.06299999999999</v>
      </c>
      <c r="K4496">
        <v>1.1097939999999999</v>
      </c>
      <c r="L4496">
        <v>140.9905</v>
      </c>
      <c r="M4496">
        <v>-0.99988659999999996</v>
      </c>
      <c r="N4496">
        <v>0</v>
      </c>
      <c r="O4496">
        <v>7.5421059999999998E-3</v>
      </c>
      <c r="P4496">
        <v>-0.99644670000000002</v>
      </c>
      <c r="Q4496">
        <v>-1.994866E-2</v>
      </c>
      <c r="R4496">
        <v>8.1831050000000002E-2</v>
      </c>
      <c r="S4496">
        <v>-2.944</v>
      </c>
      <c r="T4496">
        <v>-0.7834139</v>
      </c>
      <c r="U4496">
        <v>0.6125488</v>
      </c>
      <c r="V4496">
        <v>7.4316190000000004E-2</v>
      </c>
      <c r="W4496">
        <v>-6.9152119999999996E-3</v>
      </c>
      <c r="X4496">
        <v>0.99721070000000001</v>
      </c>
      <c r="Y4496">
        <v>0.19021859999999999</v>
      </c>
      <c r="Z4496">
        <v>2.267301E-2</v>
      </c>
      <c r="AA4496">
        <v>0.98147989999999996</v>
      </c>
      <c r="AB4496">
        <v>40</v>
      </c>
      <c r="AC4496">
        <v>-0.48419999999998697</v>
      </c>
      <c r="AD4496">
        <v>-0.23646099999999901</v>
      </c>
      <c r="AE4496">
        <v>0.18200000000001601</v>
      </c>
      <c r="AF4496">
        <v>0.147516653446676</v>
      </c>
      <c r="AG4496">
        <v>-0.23646099999999901</v>
      </c>
      <c r="AH4496">
        <v>0.40163163315621198</v>
      </c>
      <c r="AI4496">
        <v>118.927334137153</v>
      </c>
      <c r="AJ4496">
        <v>69.8320487790741</v>
      </c>
      <c r="AK4496">
        <v>0.48885881020682498</v>
      </c>
      <c r="AL4496">
        <v>90.396215640444694</v>
      </c>
      <c r="AM4496">
        <v>85.737964455160494</v>
      </c>
      <c r="AN4496">
        <v>0.999999948223804</v>
      </c>
    </row>
    <row r="4497" spans="1:40" x14ac:dyDescent="0.25">
      <c r="A4497" t="str">
        <f>"20190312161402939"</f>
        <v>20190312161402939</v>
      </c>
      <c r="B4497" t="str">
        <f>"1552378442930959"</f>
        <v>1552378442930959</v>
      </c>
      <c r="C4497" t="s">
        <v>40</v>
      </c>
      <c r="D4497">
        <v>5.8545350000000003</v>
      </c>
      <c r="E4497">
        <v>0.54645650000000001</v>
      </c>
      <c r="F4497" t="s">
        <v>43</v>
      </c>
      <c r="G4497">
        <v>-305.90699999999998</v>
      </c>
      <c r="H4497">
        <v>0.87368349999999995</v>
      </c>
      <c r="I4497">
        <v>141.16329999999999</v>
      </c>
      <c r="J4497">
        <v>-305.46530000000001</v>
      </c>
      <c r="K4497">
        <v>1.1098190000000001</v>
      </c>
      <c r="L4497">
        <v>140.99340000000001</v>
      </c>
      <c r="M4497">
        <v>-0.99988500000000002</v>
      </c>
      <c r="N4497">
        <v>0</v>
      </c>
      <c r="O4497">
        <v>7.3409619999999899E-3</v>
      </c>
      <c r="P4497">
        <v>-0.99641360000000001</v>
      </c>
      <c r="Q4497">
        <v>-2.0153440000000002E-2</v>
      </c>
      <c r="R4497">
        <v>8.2181270000000001E-2</v>
      </c>
      <c r="S4497">
        <v>-2.9448240000000001</v>
      </c>
      <c r="T4497">
        <v>-0.823812199999999</v>
      </c>
      <c r="U4497">
        <v>0.6009369</v>
      </c>
      <c r="V4497">
        <v>7.4867080000000003E-2</v>
      </c>
      <c r="W4497">
        <v>-6.8833239999999997E-3</v>
      </c>
      <c r="X4497">
        <v>0.9971698</v>
      </c>
      <c r="Y4497">
        <v>0.18615309999999999</v>
      </c>
      <c r="Z4497">
        <v>2.3305840000000001E-2</v>
      </c>
      <c r="AA4497">
        <v>0.98224429999999996</v>
      </c>
      <c r="AB4497">
        <v>40</v>
      </c>
      <c r="AC4497">
        <v>-0.44169999999996801</v>
      </c>
      <c r="AD4497">
        <v>-0.2361355</v>
      </c>
      <c r="AE4497">
        <v>0.16989999999998401</v>
      </c>
      <c r="AF4497">
        <v>0.133432324578907</v>
      </c>
      <c r="AG4497">
        <v>-0.2361355</v>
      </c>
      <c r="AH4497">
        <v>0.35464129080066897</v>
      </c>
      <c r="AI4497">
        <v>121.930863571743</v>
      </c>
      <c r="AJ4497">
        <v>69.381397483888605</v>
      </c>
      <c r="AK4497">
        <v>0.44646904119271902</v>
      </c>
      <c r="AL4497">
        <v>90.394388514853404</v>
      </c>
      <c r="AM4497">
        <v>85.706313162620106</v>
      </c>
      <c r="AN4497">
        <v>1.0000000349245199</v>
      </c>
    </row>
    <row r="4498" spans="1:40" x14ac:dyDescent="0.25">
      <c r="A4498" t="str">
        <f>"20190312161402962"</f>
        <v>20190312161402962</v>
      </c>
      <c r="B4498" t="str">
        <f>"1552378442950479"</f>
        <v>1552378442950479</v>
      </c>
      <c r="C4498" t="s">
        <v>40</v>
      </c>
      <c r="D4498">
        <v>5.6808540000000001</v>
      </c>
      <c r="E4498">
        <v>0.54648999999999903</v>
      </c>
      <c r="F4498" t="s">
        <v>43</v>
      </c>
      <c r="G4498">
        <v>-306.2722</v>
      </c>
      <c r="H4498">
        <v>0.88715359999999999</v>
      </c>
      <c r="I4498">
        <v>141.1576</v>
      </c>
      <c r="J4498">
        <v>-305.86149999999998</v>
      </c>
      <c r="K4498">
        <v>1.109855</v>
      </c>
      <c r="L4498">
        <v>140.99610000000001</v>
      </c>
      <c r="M4498">
        <v>-0.99988359999999998</v>
      </c>
      <c r="N4498">
        <v>0</v>
      </c>
      <c r="O4498">
        <v>7.1420169999999996E-3</v>
      </c>
      <c r="P4498">
        <v>-0.99639390000000005</v>
      </c>
      <c r="Q4498">
        <v>-2.0356289999999999E-2</v>
      </c>
      <c r="R4498">
        <v>8.2371509999999995E-2</v>
      </c>
      <c r="S4498">
        <v>-2.9449160000000001</v>
      </c>
      <c r="T4498">
        <v>-0.81271510000000002</v>
      </c>
      <c r="U4498">
        <v>0.59930419999999995</v>
      </c>
      <c r="V4498">
        <v>7.5255749999999996E-2</v>
      </c>
      <c r="W4498">
        <v>-6.8694439999999997E-3</v>
      </c>
      <c r="X4498">
        <v>0.99714060000000004</v>
      </c>
      <c r="Y4498">
        <v>0.18599089999999999</v>
      </c>
      <c r="Z4498">
        <v>2.3035079999999999E-2</v>
      </c>
      <c r="AA4498">
        <v>0.98228139999999997</v>
      </c>
      <c r="AB4498">
        <v>40</v>
      </c>
      <c r="AC4498">
        <v>-0.41070000000001899</v>
      </c>
      <c r="AD4498">
        <v>-0.22270139999999999</v>
      </c>
      <c r="AE4498">
        <v>0.16149999999998901</v>
      </c>
      <c r="AF4498">
        <v>0.12637920308182299</v>
      </c>
      <c r="AG4498">
        <v>-0.22270139999999999</v>
      </c>
      <c r="AH4498">
        <v>0.32825185797312501</v>
      </c>
      <c r="AI4498">
        <v>122.339626870855</v>
      </c>
      <c r="AJ4498">
        <v>68.942954235092103</v>
      </c>
      <c r="AK4498">
        <v>0.41631346218488502</v>
      </c>
      <c r="AL4498">
        <v>90.393593245716403</v>
      </c>
      <c r="AM4498">
        <v>85.683980726927302</v>
      </c>
      <c r="AN4498">
        <v>0.99999999666864503</v>
      </c>
    </row>
    <row r="4499" spans="1:40" x14ac:dyDescent="0.25">
      <c r="A4499" t="str">
        <f>"20190312161402985"</f>
        <v>20190312161402985</v>
      </c>
      <c r="B4499" t="str">
        <f>"1552378442980735"</f>
        <v>1552378442980735</v>
      </c>
      <c r="C4499" t="s">
        <v>40</v>
      </c>
      <c r="D4499">
        <v>5.4977970000000003</v>
      </c>
      <c r="E4499">
        <v>0.54424700000000004</v>
      </c>
      <c r="F4499" t="s">
        <v>43</v>
      </c>
      <c r="G4499">
        <v>-306.63560000000001</v>
      </c>
      <c r="H4499">
        <v>0.89720880000000003</v>
      </c>
      <c r="I4499">
        <v>141.15389999999999</v>
      </c>
      <c r="J4499">
        <v>-306.28190000000001</v>
      </c>
      <c r="K4499">
        <v>1.109883</v>
      </c>
      <c r="L4499">
        <v>140.99889999999999</v>
      </c>
      <c r="M4499">
        <v>-0.99988220000000005</v>
      </c>
      <c r="N4499">
        <v>0</v>
      </c>
      <c r="O4499">
        <v>6.9310689999999998E-3</v>
      </c>
      <c r="P4499">
        <v>-0.99640919999999999</v>
      </c>
      <c r="Q4499">
        <v>-2.0399199999999999E-2</v>
      </c>
      <c r="R4499">
        <v>8.2174410000000003E-2</v>
      </c>
      <c r="S4499">
        <v>-2.9447329999999998</v>
      </c>
      <c r="T4499">
        <v>-0.80902839999999998</v>
      </c>
      <c r="U4499">
        <v>0.59925839999999997</v>
      </c>
      <c r="V4499">
        <v>7.5268950000000001E-2</v>
      </c>
      <c r="W4499">
        <v>-6.7041130000000003E-3</v>
      </c>
      <c r="X4499">
        <v>0.99714069999999999</v>
      </c>
      <c r="Y4499">
        <v>0.18623529999999999</v>
      </c>
      <c r="Z4499">
        <v>2.3024570000000001E-2</v>
      </c>
      <c r="AA4499">
        <v>0.98223539999999998</v>
      </c>
      <c r="AB4499">
        <v>40</v>
      </c>
      <c r="AC4499">
        <v>-0.35370000000000301</v>
      </c>
      <c r="AD4499">
        <v>-0.21267419999999901</v>
      </c>
      <c r="AE4499">
        <v>0.155000000000001</v>
      </c>
      <c r="AF4499">
        <v>0.11704508088391</v>
      </c>
      <c r="AG4499">
        <v>-0.21267419999999901</v>
      </c>
      <c r="AH4499">
        <v>0.27220645965338602</v>
      </c>
      <c r="AI4499">
        <v>125.669173803582</v>
      </c>
      <c r="AJ4499">
        <v>66.732951889510403</v>
      </c>
      <c r="AK4499">
        <v>0.364727601069334</v>
      </c>
      <c r="AL4499">
        <v>90.3841202700808</v>
      </c>
      <c r="AM4499">
        <v>85.683226981648104</v>
      </c>
      <c r="AN4499">
        <v>0.99999996778085398</v>
      </c>
    </row>
    <row r="4500" spans="1:40" x14ac:dyDescent="0.25">
      <c r="A4500" t="str">
        <f>"20190312161403008"</f>
        <v>20190312161403008</v>
      </c>
      <c r="B4500" t="str">
        <f>"1552378443000255"</f>
        <v>1552378443000255</v>
      </c>
      <c r="C4500" t="s">
        <v>40</v>
      </c>
      <c r="D4500">
        <v>5.940855</v>
      </c>
      <c r="E4500">
        <v>0.54408669999999903</v>
      </c>
      <c r="F4500" t="s">
        <v>43</v>
      </c>
      <c r="G4500">
        <v>-307.00130000000001</v>
      </c>
      <c r="H4500">
        <v>0.91462869999999996</v>
      </c>
      <c r="I4500">
        <v>141.1412</v>
      </c>
      <c r="J4500">
        <v>-306.67380000000003</v>
      </c>
      <c r="K4500">
        <v>1.1098980000000001</v>
      </c>
      <c r="L4500">
        <v>141.00149999999999</v>
      </c>
      <c r="M4500">
        <v>-0.99988109999999997</v>
      </c>
      <c r="N4500">
        <v>0</v>
      </c>
      <c r="O4500">
        <v>6.734421E-3</v>
      </c>
      <c r="P4500">
        <v>-0.9964634</v>
      </c>
      <c r="Q4500">
        <v>-2.014496E-2</v>
      </c>
      <c r="R4500">
        <v>8.1579929999999995E-2</v>
      </c>
      <c r="S4500">
        <v>-2.946472</v>
      </c>
      <c r="T4500">
        <v>-0.79961340000000003</v>
      </c>
      <c r="U4500">
        <v>0.58180240000000005</v>
      </c>
      <c r="V4500">
        <v>7.4870110000000004E-2</v>
      </c>
      <c r="W4500">
        <v>-6.2762900000000003E-3</v>
      </c>
      <c r="X4500">
        <v>0.99717350000000005</v>
      </c>
      <c r="Y4500">
        <v>0.18103540000000001</v>
      </c>
      <c r="Z4500">
        <v>2.2130670000000002E-2</v>
      </c>
      <c r="AA4500">
        <v>0.98322759999999998</v>
      </c>
      <c r="AB4500">
        <v>40</v>
      </c>
      <c r="AC4500">
        <v>-0.32749999999998602</v>
      </c>
      <c r="AD4500">
        <v>-0.19526930000000001</v>
      </c>
      <c r="AE4500">
        <v>0.13970000000000399</v>
      </c>
      <c r="AF4500">
        <v>0.105699273258776</v>
      </c>
      <c r="AG4500">
        <v>-0.19526930000000001</v>
      </c>
      <c r="AH4500">
        <v>0.25249037265841101</v>
      </c>
      <c r="AI4500">
        <v>125.503510682228</v>
      </c>
      <c r="AJ4500">
        <v>67.284500785050398</v>
      </c>
      <c r="AK4500">
        <v>0.33623477538039798</v>
      </c>
      <c r="AL4500">
        <v>90.359607304368396</v>
      </c>
      <c r="AM4500">
        <v>85.706155912325301</v>
      </c>
      <c r="AN4500">
        <v>0.99999995714491197</v>
      </c>
    </row>
    <row r="4501" spans="1:40" x14ac:dyDescent="0.25">
      <c r="A4501" t="str">
        <f>"20190312161403030"</f>
        <v>20190312161403030</v>
      </c>
      <c r="B4501" t="str">
        <f>"1552378443020753"</f>
        <v>1552378443020753</v>
      </c>
      <c r="C4501" t="s">
        <v>40</v>
      </c>
      <c r="D4501">
        <v>5.4596519999999904</v>
      </c>
      <c r="E4501">
        <v>0.54245829999999995</v>
      </c>
      <c r="F4501" t="s">
        <v>43</v>
      </c>
      <c r="G4501">
        <v>-307.36290000000002</v>
      </c>
      <c r="H4501">
        <v>0.92252990000000001</v>
      </c>
      <c r="I4501">
        <v>141.1371</v>
      </c>
      <c r="J4501">
        <v>-307.06979999999999</v>
      </c>
      <c r="K4501">
        <v>1.1099190000000001</v>
      </c>
      <c r="L4501">
        <v>141.00399999999999</v>
      </c>
      <c r="M4501">
        <v>-0.99988030000000006</v>
      </c>
      <c r="N4501">
        <v>0</v>
      </c>
      <c r="O4501">
        <v>6.5356900000000002E-3</v>
      </c>
      <c r="P4501">
        <v>-0.99646650000000003</v>
      </c>
      <c r="Q4501">
        <v>-2.021684E-2</v>
      </c>
      <c r="R4501">
        <v>8.152363E-2</v>
      </c>
      <c r="S4501">
        <v>-2.9470519999999998</v>
      </c>
      <c r="T4501">
        <v>-0.80131289999999999</v>
      </c>
      <c r="U4501">
        <v>0.57885739999999997</v>
      </c>
      <c r="V4501">
        <v>7.5011679999999997E-2</v>
      </c>
      <c r="W4501">
        <v>-6.192805E-3</v>
      </c>
      <c r="X4501">
        <v>0.99716340000000003</v>
      </c>
      <c r="Y4501">
        <v>0.18024399999999999</v>
      </c>
      <c r="Z4501">
        <v>2.212184E-2</v>
      </c>
      <c r="AA4501">
        <v>0.9833731</v>
      </c>
      <c r="AB4501">
        <v>40</v>
      </c>
      <c r="AC4501">
        <v>-0.293100000000038</v>
      </c>
      <c r="AD4501">
        <v>-0.1873891</v>
      </c>
      <c r="AE4501">
        <v>0.13310000000001301</v>
      </c>
      <c r="AF4501">
        <v>9.79792485341974E-2</v>
      </c>
      <c r="AG4501">
        <v>-0.1873891</v>
      </c>
      <c r="AH4501">
        <v>0.219561265206761</v>
      </c>
      <c r="AI4501">
        <v>127.93242869909599</v>
      </c>
      <c r="AJ4501">
        <v>65.951174877033296</v>
      </c>
      <c r="AK4501">
        <v>0.30483070239286902</v>
      </c>
      <c r="AL4501">
        <v>90.354823866837506</v>
      </c>
      <c r="AM4501">
        <v>85.698023832514494</v>
      </c>
      <c r="AN4501">
        <v>0.999999974634874</v>
      </c>
    </row>
    <row r="4502" spans="1:40" x14ac:dyDescent="0.25">
      <c r="A4502" t="str">
        <f>"20190312161403051"</f>
        <v>20190312161403051</v>
      </c>
      <c r="B4502" t="str">
        <f>"1552378443040271"</f>
        <v>1552378443040271</v>
      </c>
      <c r="C4502" t="s">
        <v>40</v>
      </c>
      <c r="D4502">
        <v>5.5106919999999997</v>
      </c>
      <c r="E4502">
        <v>0.54007969999999905</v>
      </c>
      <c r="F4502" t="s">
        <v>43</v>
      </c>
      <c r="G4502">
        <v>-308.04469999999998</v>
      </c>
      <c r="H4502">
        <v>0.83872659999999999</v>
      </c>
      <c r="I4502">
        <v>141.19130000000001</v>
      </c>
      <c r="J4502">
        <v>-307.4674</v>
      </c>
      <c r="K4502">
        <v>1.1099289999999999</v>
      </c>
      <c r="L4502">
        <v>141.00640000000001</v>
      </c>
      <c r="M4502">
        <v>-0.99987969999999904</v>
      </c>
      <c r="N4502">
        <v>0</v>
      </c>
      <c r="O4502">
        <v>6.3360150000000004E-3</v>
      </c>
      <c r="P4502">
        <v>-0.99650289999999997</v>
      </c>
      <c r="Q4502">
        <v>-2.035522E-2</v>
      </c>
      <c r="R4502">
        <v>8.1040730000000005E-2</v>
      </c>
      <c r="S4502">
        <v>-2.9477540000000002</v>
      </c>
      <c r="T4502">
        <v>-0.82003490000000001</v>
      </c>
      <c r="U4502">
        <v>0.56523129999999999</v>
      </c>
      <c r="V4502">
        <v>7.4727559999999998E-2</v>
      </c>
      <c r="W4502">
        <v>-6.1936509999999997E-3</v>
      </c>
      <c r="X4502">
        <v>0.99718479999999998</v>
      </c>
      <c r="Y4502">
        <v>0.17588000000000001</v>
      </c>
      <c r="Z4502">
        <v>2.2088130000000001E-2</v>
      </c>
      <c r="AA4502">
        <v>0.98416380000000003</v>
      </c>
      <c r="AB4502">
        <v>40</v>
      </c>
      <c r="AC4502">
        <v>-0.57729999999997905</v>
      </c>
      <c r="AD4502">
        <v>-0.27120240000000001</v>
      </c>
      <c r="AE4502">
        <v>0.18489999999999801</v>
      </c>
      <c r="AF4502">
        <v>0.15101189212934901</v>
      </c>
      <c r="AG4502">
        <v>-0.27120240000000001</v>
      </c>
      <c r="AH4502">
        <v>0.48198656067509599</v>
      </c>
      <c r="AI4502">
        <v>118.233087835334</v>
      </c>
      <c r="AJ4502">
        <v>72.603630591866903</v>
      </c>
      <c r="AK4502">
        <v>0.57329432057334595</v>
      </c>
      <c r="AL4502">
        <v>90.354872314159707</v>
      </c>
      <c r="AM4502">
        <v>85.714349132809801</v>
      </c>
      <c r="AN4502">
        <v>1.0000000474436499</v>
      </c>
    </row>
    <row r="4503" spans="1:40" x14ac:dyDescent="0.25">
      <c r="A4503" t="str">
        <f>"20190312161403073"</f>
        <v>20190312161403073</v>
      </c>
      <c r="B4503" t="str">
        <f>"1552378443070528"</f>
        <v>1552378443070528</v>
      </c>
      <c r="C4503" t="s">
        <v>40</v>
      </c>
      <c r="D4503">
        <v>5.392817</v>
      </c>
      <c r="E4503">
        <v>0.53821759999999996</v>
      </c>
      <c r="F4503" t="s">
        <v>43</v>
      </c>
      <c r="G4503">
        <v>-308.40859999999998</v>
      </c>
      <c r="H4503">
        <v>0.85536250000000003</v>
      </c>
      <c r="I4503">
        <v>141.18029999999999</v>
      </c>
      <c r="J4503">
        <v>-307.84339999999997</v>
      </c>
      <c r="K4503">
        <v>1.109934</v>
      </c>
      <c r="L4503">
        <v>141.0086</v>
      </c>
      <c r="M4503">
        <v>-0.99987919999999997</v>
      </c>
      <c r="N4503">
        <v>0</v>
      </c>
      <c r="O4503">
        <v>6.1464629999999996E-3</v>
      </c>
      <c r="P4503">
        <v>-0.99654279999999995</v>
      </c>
      <c r="Q4503">
        <v>-2.0523389999999999E-2</v>
      </c>
      <c r="R4503">
        <v>8.0507579999999995E-2</v>
      </c>
      <c r="S4503">
        <v>-2.9498899999999999</v>
      </c>
      <c r="T4503">
        <v>-0.79793950000000002</v>
      </c>
      <c r="U4503">
        <v>0.54470830000000003</v>
      </c>
      <c r="V4503">
        <v>7.4383299999999999E-2</v>
      </c>
      <c r="W4503">
        <v>-6.2469680000000003E-3</v>
      </c>
      <c r="X4503">
        <v>0.99721009999999999</v>
      </c>
      <c r="Y4503">
        <v>0.16984489999999999</v>
      </c>
      <c r="Z4503">
        <v>2.0766119999999999E-2</v>
      </c>
      <c r="AA4503">
        <v>0.98525200000000002</v>
      </c>
      <c r="AB4503">
        <v>40</v>
      </c>
      <c r="AC4503">
        <v>-0.56520000000000403</v>
      </c>
      <c r="AD4503">
        <v>-0.25457149999999901</v>
      </c>
      <c r="AE4503">
        <v>0.171699999999987</v>
      </c>
      <c r="AF4503">
        <v>0.141872614914899</v>
      </c>
      <c r="AG4503">
        <v>-0.25457149999999901</v>
      </c>
      <c r="AH4503">
        <v>0.47755005932825401</v>
      </c>
      <c r="AI4503">
        <v>117.067237190765</v>
      </c>
      <c r="AJ4503">
        <v>73.454143194058901</v>
      </c>
      <c r="AK4503">
        <v>0.55945379312277499</v>
      </c>
      <c r="AL4503">
        <v>90.357927250028894</v>
      </c>
      <c r="AM4503">
        <v>85.734127338745594</v>
      </c>
      <c r="AN4503">
        <v>0.99999994173504403</v>
      </c>
    </row>
    <row r="4504" spans="1:40" x14ac:dyDescent="0.25">
      <c r="A4504" t="str">
        <f>"20190312161403096"</f>
        <v>20190312161403096</v>
      </c>
      <c r="B4504" t="str">
        <f>"1552378443091023"</f>
        <v>1552378443091023</v>
      </c>
      <c r="C4504" t="s">
        <v>40</v>
      </c>
      <c r="D4504">
        <v>5.3567260000000001</v>
      </c>
      <c r="E4504">
        <v>0.53720049999999997</v>
      </c>
      <c r="F4504" t="s">
        <v>43</v>
      </c>
      <c r="G4504">
        <v>-308.76900000000001</v>
      </c>
      <c r="H4504">
        <v>0.86433939999999998</v>
      </c>
      <c r="I4504">
        <v>141.1748</v>
      </c>
      <c r="J4504">
        <v>-308.26549999999997</v>
      </c>
      <c r="K4504">
        <v>1.109936</v>
      </c>
      <c r="L4504">
        <v>141.011</v>
      </c>
      <c r="M4504">
        <v>-0.99987879999999996</v>
      </c>
      <c r="N4504">
        <v>0</v>
      </c>
      <c r="O4504">
        <v>5.9332069999999898E-3</v>
      </c>
      <c r="P4504">
        <v>-0.99654209999999999</v>
      </c>
      <c r="Q4504">
        <v>-2.124858E-2</v>
      </c>
      <c r="R4504">
        <v>8.0327159999999995E-2</v>
      </c>
      <c r="S4504">
        <v>-2.9515380000000002</v>
      </c>
      <c r="T4504">
        <v>-0.78319499999999997</v>
      </c>
      <c r="U4504">
        <v>0.52894589999999997</v>
      </c>
      <c r="V4504">
        <v>7.441586E-2</v>
      </c>
      <c r="W4504">
        <v>-6.8602079999999996E-3</v>
      </c>
      <c r="X4504">
        <v>0.99720370000000003</v>
      </c>
      <c r="Y4504">
        <v>0.1652141</v>
      </c>
      <c r="Z4504">
        <v>1.9849209999999999E-2</v>
      </c>
      <c r="AA4504">
        <v>0.98605790000000004</v>
      </c>
      <c r="AB4504">
        <v>40</v>
      </c>
      <c r="AC4504">
        <v>-0.50350000000003003</v>
      </c>
      <c r="AD4504">
        <v>-0.2455966</v>
      </c>
      <c r="AE4504">
        <v>0.16380000000000899</v>
      </c>
      <c r="AF4504">
        <v>0.132336346716114</v>
      </c>
      <c r="AG4504">
        <v>-0.2455966</v>
      </c>
      <c r="AH4504">
        <v>0.41514232237557303</v>
      </c>
      <c r="AI4504">
        <v>119.40781647181601</v>
      </c>
      <c r="AJ4504">
        <v>72.319099819384206</v>
      </c>
      <c r="AK4504">
        <v>0.50017371624377804</v>
      </c>
      <c r="AL4504">
        <v>90.393064047729496</v>
      </c>
      <c r="AM4504">
        <v>85.732239635667696</v>
      </c>
      <c r="AN4504">
        <v>1.0000000009835099</v>
      </c>
    </row>
    <row r="4505" spans="1:40" x14ac:dyDescent="0.25">
      <c r="A4505" t="str">
        <f>"20190312161403119"</f>
        <v>20190312161403119</v>
      </c>
      <c r="B4505" t="str">
        <f>"1552378443110543"</f>
        <v>1552378443110543</v>
      </c>
      <c r="C4505" t="s">
        <v>40</v>
      </c>
      <c r="D4505">
        <v>5.5259960000000001</v>
      </c>
      <c r="E4505">
        <v>0.53588309999999995</v>
      </c>
      <c r="F4505" t="s">
        <v>43</v>
      </c>
      <c r="G4505">
        <v>-309.13380000000001</v>
      </c>
      <c r="H4505">
        <v>0.88480159999999997</v>
      </c>
      <c r="I4505">
        <v>141.1643</v>
      </c>
      <c r="J4505">
        <v>-308.6696</v>
      </c>
      <c r="K4505">
        <v>1.109944</v>
      </c>
      <c r="L4505">
        <v>141.01320000000001</v>
      </c>
      <c r="M4505">
        <v>-0.99987859999999995</v>
      </c>
      <c r="N4505">
        <v>0</v>
      </c>
      <c r="O4505">
        <v>5.7286159999999997E-3</v>
      </c>
      <c r="P4505">
        <v>-0.99651210000000001</v>
      </c>
      <c r="Q4505">
        <v>-2.1857689999999999E-2</v>
      </c>
      <c r="R4505">
        <v>8.0536049999999998E-2</v>
      </c>
      <c r="S4505">
        <v>-2.9521790000000001</v>
      </c>
      <c r="T4505">
        <v>-0.76548859999999996</v>
      </c>
      <c r="U4505">
        <v>0.52081299999999997</v>
      </c>
      <c r="V4505">
        <v>7.4829119999999999E-2</v>
      </c>
      <c r="W4505">
        <v>-7.3767099999999999E-3</v>
      </c>
      <c r="X4505">
        <v>0.99716910000000003</v>
      </c>
      <c r="Y4505">
        <v>0.1630422</v>
      </c>
      <c r="Z4505">
        <v>1.919189E-2</v>
      </c>
      <c r="AA4505">
        <v>0.98643239999999999</v>
      </c>
      <c r="AB4505">
        <v>40</v>
      </c>
      <c r="AC4505">
        <v>-0.464200000000005</v>
      </c>
      <c r="AD4505">
        <v>-0.22514239999999999</v>
      </c>
      <c r="AE4505">
        <v>0.151099999999985</v>
      </c>
      <c r="AF4505">
        <v>0.122402935109561</v>
      </c>
      <c r="AG4505">
        <v>-0.22514239999999999</v>
      </c>
      <c r="AH4505">
        <v>0.38348984524609703</v>
      </c>
      <c r="AI4505">
        <v>119.21783850570201</v>
      </c>
      <c r="AJ4505">
        <v>72.297869293426402</v>
      </c>
      <c r="AK4505">
        <v>0.46123317336036301</v>
      </c>
      <c r="AL4505">
        <v>90.422658177252899</v>
      </c>
      <c r="AM4505">
        <v>85.708479062311397</v>
      </c>
      <c r="AN4505">
        <v>1.0000000135225999</v>
      </c>
    </row>
    <row r="4506" spans="1:40" x14ac:dyDescent="0.25">
      <c r="A4506" t="str">
        <f>"20190312161403141"</f>
        <v>20190312161403141</v>
      </c>
      <c r="B4506" t="str">
        <f>"1552378443131039"</f>
        <v>1552378443131039</v>
      </c>
      <c r="C4506" t="s">
        <v>40</v>
      </c>
      <c r="D4506">
        <v>5.0170680000000001</v>
      </c>
      <c r="E4506">
        <v>0.48491089999999998</v>
      </c>
      <c r="F4506" t="s">
        <v>43</v>
      </c>
      <c r="G4506">
        <v>-309.495</v>
      </c>
      <c r="H4506">
        <v>0.89787109999999903</v>
      </c>
      <c r="I4506">
        <v>141.15620000000001</v>
      </c>
      <c r="J4506">
        <v>-309.07089999999999</v>
      </c>
      <c r="K4506">
        <v>1.1099479999999999</v>
      </c>
      <c r="L4506">
        <v>141.0153</v>
      </c>
      <c r="M4506">
        <v>-0.99987859999999995</v>
      </c>
      <c r="N4506">
        <v>0</v>
      </c>
      <c r="O4506">
        <v>5.5251349999999996E-3</v>
      </c>
      <c r="P4506">
        <v>-0.99647370000000002</v>
      </c>
      <c r="Q4506">
        <v>-2.206489E-2</v>
      </c>
      <c r="R4506">
        <v>8.0952060000000006E-2</v>
      </c>
      <c r="S4506">
        <v>-2.9525450000000002</v>
      </c>
      <c r="T4506">
        <v>-0.75860099999999997</v>
      </c>
      <c r="U4506">
        <v>0.51095579999999996</v>
      </c>
      <c r="V4506">
        <v>7.5448310000000005E-2</v>
      </c>
      <c r="W4506">
        <v>-7.504503E-3</v>
      </c>
      <c r="X4506">
        <v>0.99712149999999999</v>
      </c>
      <c r="Y4506">
        <v>0.16019549999999999</v>
      </c>
      <c r="Z4506">
        <v>1.8721209999999999E-2</v>
      </c>
      <c r="AA4506">
        <v>0.9869078</v>
      </c>
      <c r="AB4506">
        <v>40</v>
      </c>
      <c r="AC4506">
        <v>-0.42410000000000903</v>
      </c>
      <c r="AD4506">
        <v>-0.21207689999999901</v>
      </c>
      <c r="AE4506">
        <v>0.14090000000001601</v>
      </c>
      <c r="AF4506">
        <v>0.113086651255653</v>
      </c>
      <c r="AG4506">
        <v>-0.21207689999999901</v>
      </c>
      <c r="AH4506">
        <v>0.346776185116005</v>
      </c>
      <c r="AI4506">
        <v>120.175063235368</v>
      </c>
      <c r="AJ4506">
        <v>71.938413896797201</v>
      </c>
      <c r="AK4506">
        <v>0.42192288960121299</v>
      </c>
      <c r="AL4506">
        <v>90.429980374292001</v>
      </c>
      <c r="AM4506">
        <v>85.672896469471098</v>
      </c>
      <c r="AN4506">
        <v>1.0000000254046899</v>
      </c>
    </row>
    <row r="4507" spans="1:40" x14ac:dyDescent="0.25">
      <c r="A4507" t="str">
        <f>"20190312161403163"</f>
        <v>20190312161403163</v>
      </c>
      <c r="B4507" t="str">
        <f>"1552378443150560"</f>
        <v>1552378443150560</v>
      </c>
      <c r="C4507" t="s">
        <v>40</v>
      </c>
      <c r="D4507">
        <v>5.1838839999999999</v>
      </c>
      <c r="E4507">
        <v>0.4512757</v>
      </c>
      <c r="F4507" t="s">
        <v>43</v>
      </c>
      <c r="G4507">
        <v>-309.83139999999997</v>
      </c>
      <c r="H4507">
        <v>0.85418249999999996</v>
      </c>
      <c r="I4507">
        <v>141.0412</v>
      </c>
      <c r="J4507">
        <v>-309.44560000000001</v>
      </c>
      <c r="K4507">
        <v>1.10995</v>
      </c>
      <c r="L4507">
        <v>141.0172</v>
      </c>
      <c r="M4507">
        <v>-0.99987879999999996</v>
      </c>
      <c r="N4507">
        <v>0</v>
      </c>
      <c r="O4507">
        <v>5.3351789999999998E-3</v>
      </c>
      <c r="P4507">
        <v>-0.99647680000000005</v>
      </c>
      <c r="Q4507">
        <v>-2.179006E-2</v>
      </c>
      <c r="R4507">
        <v>8.0989699999999998E-2</v>
      </c>
      <c r="S4507">
        <v>-2.9802249999999999</v>
      </c>
      <c r="T4507">
        <v>-1.002229</v>
      </c>
      <c r="U4507">
        <v>0.10134890000000001</v>
      </c>
      <c r="V4507">
        <v>7.5675110000000004E-2</v>
      </c>
      <c r="W4507">
        <v>-7.1654789999999998E-3</v>
      </c>
      <c r="X4507">
        <v>0.99710679999999996</v>
      </c>
      <c r="Y4507">
        <v>2.743934E-2</v>
      </c>
      <c r="Z4507">
        <v>2.7432670000000002E-3</v>
      </c>
      <c r="AA4507">
        <v>0.9996197</v>
      </c>
      <c r="AB4507">
        <v>40</v>
      </c>
      <c r="AC4507">
        <v>-0.38579999999996001</v>
      </c>
      <c r="AD4507">
        <v>-0.25576749999999898</v>
      </c>
      <c r="AE4507">
        <v>2.4000000000000899E-2</v>
      </c>
      <c r="AF4507">
        <v>1.5260067309273E-2</v>
      </c>
      <c r="AG4507">
        <v>-0.25576749999999898</v>
      </c>
      <c r="AH4507">
        <v>0.268409392772259</v>
      </c>
      <c r="AI4507">
        <v>133.57226100064699</v>
      </c>
      <c r="AJ4507">
        <v>86.746025864564402</v>
      </c>
      <c r="AK4507">
        <v>0.37107072888993298</v>
      </c>
      <c r="AL4507">
        <v>90.410555210615598</v>
      </c>
      <c r="AM4507">
        <v>85.6598749451868</v>
      </c>
      <c r="AN4507">
        <v>1.0000000184845199</v>
      </c>
    </row>
    <row r="4508" spans="1:40" x14ac:dyDescent="0.25">
      <c r="A4508" t="str">
        <f>"20190312161403186"</f>
        <v>20190312161403186</v>
      </c>
      <c r="B4508" t="str">
        <f>"1552378443180816"</f>
        <v>1552378443180816</v>
      </c>
      <c r="C4508" t="s">
        <v>40</v>
      </c>
      <c r="D4508">
        <v>5.2804769999999897</v>
      </c>
      <c r="E4508">
        <v>0.4482448</v>
      </c>
      <c r="F4508" t="s">
        <v>43</v>
      </c>
      <c r="G4508">
        <v>-310.24979999999999</v>
      </c>
      <c r="H4508">
        <v>0.98742470000000004</v>
      </c>
      <c r="I4508">
        <v>140.97659999999999</v>
      </c>
      <c r="J4508">
        <v>-309.85649999999998</v>
      </c>
      <c r="K4508">
        <v>1.109961</v>
      </c>
      <c r="L4508">
        <v>141.01920000000001</v>
      </c>
      <c r="M4508">
        <v>-0.99987910000000002</v>
      </c>
      <c r="N4508">
        <v>0</v>
      </c>
      <c r="O4508">
        <v>5.1270680000000003E-3</v>
      </c>
      <c r="P4508">
        <v>-0.99652430000000003</v>
      </c>
      <c r="Q4508">
        <v>-2.1481900000000002E-2</v>
      </c>
      <c r="R4508">
        <v>8.0486870000000002E-2</v>
      </c>
      <c r="S4508">
        <v>-3.0130620000000001</v>
      </c>
      <c r="T4508">
        <v>-0.45918009999999898</v>
      </c>
      <c r="U4508">
        <v>-0.15336610000000001</v>
      </c>
      <c r="V4508">
        <v>7.5379329999999994E-2</v>
      </c>
      <c r="W4508">
        <v>-6.7961929999999999E-3</v>
      </c>
      <c r="X4508">
        <v>0.99713180000000001</v>
      </c>
      <c r="Y4508">
        <v>-5.5259469999999998E-2</v>
      </c>
      <c r="Z4508">
        <v>-4.9603199999999998E-3</v>
      </c>
      <c r="AA4508">
        <v>0.99845969999999995</v>
      </c>
      <c r="AB4508">
        <v>40</v>
      </c>
      <c r="AC4508">
        <v>-0.39330000000000997</v>
      </c>
      <c r="AD4508">
        <v>-0.1225363</v>
      </c>
      <c r="AE4508">
        <v>-4.2600000000021503E-2</v>
      </c>
      <c r="AF4508">
        <v>-4.0710244413561997E-2</v>
      </c>
      <c r="AG4508">
        <v>-0.1225363</v>
      </c>
      <c r="AH4508">
        <v>0.358664790285464</v>
      </c>
      <c r="AI4508">
        <v>108.75060368083599</v>
      </c>
      <c r="AJ4508">
        <v>96.475642543560099</v>
      </c>
      <c r="AK4508">
        <v>0.38119929250776102</v>
      </c>
      <c r="AL4508">
        <v>90.389396161950899</v>
      </c>
      <c r="AM4508">
        <v>85.676882085371901</v>
      </c>
      <c r="AN4508">
        <v>1.0000000291008899</v>
      </c>
    </row>
    <row r="4509" spans="1:40" x14ac:dyDescent="0.25">
      <c r="A4509" t="str">
        <f>"20190312161403209"</f>
        <v>20190312161403209</v>
      </c>
      <c r="B4509" t="str">
        <f>"1552378443200337"</f>
        <v>1552378443200337</v>
      </c>
      <c r="C4509" t="s">
        <v>40</v>
      </c>
      <c r="D4509">
        <v>5.238372</v>
      </c>
      <c r="E4509">
        <v>0.44934600000000002</v>
      </c>
      <c r="F4509" t="s">
        <v>42</v>
      </c>
      <c r="G4509">
        <v>-320.80380000000002</v>
      </c>
      <c r="H4509" s="1">
        <v>-4.131333E-6</v>
      </c>
      <c r="I4509">
        <v>140.3827</v>
      </c>
      <c r="J4509">
        <v>-310.26150000000001</v>
      </c>
      <c r="K4509">
        <v>1.109974</v>
      </c>
      <c r="L4509">
        <v>141.02109999999999</v>
      </c>
      <c r="M4509">
        <v>-0.99987939999999997</v>
      </c>
      <c r="N4509">
        <v>0</v>
      </c>
      <c r="O4509">
        <v>4.9218909999999899E-3</v>
      </c>
      <c r="P4509">
        <v>-0.99657859999999998</v>
      </c>
      <c r="Q4509">
        <v>-2.1372749999999999E-2</v>
      </c>
      <c r="R4509">
        <v>7.9841380000000003E-2</v>
      </c>
      <c r="S4509">
        <v>-3.0180359999999999</v>
      </c>
      <c r="T4509">
        <v>-0.306004</v>
      </c>
      <c r="U4509">
        <v>-0.1754608</v>
      </c>
      <c r="V4509">
        <v>7.4938009999999999E-2</v>
      </c>
      <c r="W4509">
        <v>-6.6356180000000002E-3</v>
      </c>
      <c r="X4509">
        <v>0.99716610000000006</v>
      </c>
      <c r="Y4509">
        <v>-6.2607750000000004E-2</v>
      </c>
      <c r="Z4509">
        <v>-3.6606070000000002E-3</v>
      </c>
      <c r="AA4509">
        <v>0.99803149999999996</v>
      </c>
      <c r="AB4509">
        <v>40</v>
      </c>
      <c r="AC4509">
        <v>-10.542299999999999</v>
      </c>
      <c r="AD4509">
        <v>-1.1099781313329999</v>
      </c>
      <c r="AE4509">
        <v>-0.63839999999998998</v>
      </c>
      <c r="AF4509">
        <v>-0.682744981279647</v>
      </c>
      <c r="AG4509">
        <v>-1.1099781313329999</v>
      </c>
      <c r="AH4509">
        <v>10.4238971359015</v>
      </c>
      <c r="AI4509">
        <v>96.065280047483995</v>
      </c>
      <c r="AJ4509">
        <v>93.747409408652601</v>
      </c>
      <c r="AK4509">
        <v>10.5050380133227</v>
      </c>
      <c r="AL4509">
        <v>90.380195702118101</v>
      </c>
      <c r="AM4509">
        <v>85.702244617599305</v>
      </c>
      <c r="AN4509">
        <v>0.99999998387910505</v>
      </c>
    </row>
    <row r="4510" spans="1:40" x14ac:dyDescent="0.25">
      <c r="A4510" t="str">
        <f>"20190312161403231"</f>
        <v>20190312161403231</v>
      </c>
      <c r="B4510" t="str">
        <f>"1552378443220831"</f>
        <v>1552378443220831</v>
      </c>
      <c r="C4510" t="s">
        <v>40</v>
      </c>
      <c r="D4510">
        <v>5.2190849999999998</v>
      </c>
      <c r="E4510">
        <v>0.4508336</v>
      </c>
      <c r="F4510" t="s">
        <v>42</v>
      </c>
      <c r="G4510">
        <v>-323.79759999999999</v>
      </c>
      <c r="H4510" s="1">
        <v>-2.8172319999999999E-6</v>
      </c>
      <c r="I4510">
        <v>140.27070000000001</v>
      </c>
      <c r="J4510">
        <v>-310.65609999999998</v>
      </c>
      <c r="K4510">
        <v>1.1099749999999999</v>
      </c>
      <c r="L4510">
        <v>141.02279999999999</v>
      </c>
      <c r="M4510">
        <v>-0.99987959999999998</v>
      </c>
      <c r="N4510">
        <v>0</v>
      </c>
      <c r="O4510">
        <v>4.7219699999999998E-3</v>
      </c>
      <c r="P4510">
        <v>-0.99663710000000005</v>
      </c>
      <c r="Q4510">
        <v>-2.168701E-2</v>
      </c>
      <c r="R4510">
        <v>7.9021560000000005E-2</v>
      </c>
      <c r="S4510">
        <v>-3.0184329999999999</v>
      </c>
      <c r="T4510">
        <v>-0.2475173</v>
      </c>
      <c r="U4510">
        <v>-0.16731260000000001</v>
      </c>
      <c r="V4510">
        <v>7.4317510000000003E-2</v>
      </c>
      <c r="W4510">
        <v>-6.9075539999999998E-3</v>
      </c>
      <c r="X4510">
        <v>0.99721070000000001</v>
      </c>
      <c r="Y4510">
        <v>-5.9843899999999998E-2</v>
      </c>
      <c r="Z4510">
        <v>-2.8339989999999998E-3</v>
      </c>
      <c r="AA4510">
        <v>0.99820379999999997</v>
      </c>
      <c r="AB4510">
        <v>40</v>
      </c>
      <c r="AC4510">
        <v>-13.141500000000001</v>
      </c>
      <c r="AD4510">
        <v>-1.1099778172319901</v>
      </c>
      <c r="AE4510">
        <v>-0.752099999999984</v>
      </c>
      <c r="AF4510">
        <v>-0.808403763374544</v>
      </c>
      <c r="AG4510">
        <v>-1.1099778172319901</v>
      </c>
      <c r="AH4510">
        <v>13.045040978110301</v>
      </c>
      <c r="AI4510">
        <v>94.854207454034594</v>
      </c>
      <c r="AJ4510">
        <v>93.5460960371325</v>
      </c>
      <c r="AK4510">
        <v>13.117113307430101</v>
      </c>
      <c r="AL4510">
        <v>90.395776840984794</v>
      </c>
      <c r="AM4510">
        <v>85.737889032080304</v>
      </c>
      <c r="AN4510">
        <v>0.99999999339467605</v>
      </c>
    </row>
    <row r="4511" spans="1:40" x14ac:dyDescent="0.25">
      <c r="A4511" t="str">
        <f>"20190312161403252"</f>
        <v>20190312161403252</v>
      </c>
      <c r="B4511" t="str">
        <f>"1552378443240351"</f>
        <v>1552378443240351</v>
      </c>
      <c r="C4511" t="s">
        <v>40</v>
      </c>
      <c r="D4511">
        <v>5.3210499999999996</v>
      </c>
      <c r="E4511">
        <v>0.4521213</v>
      </c>
      <c r="F4511" t="s">
        <v>42</v>
      </c>
      <c r="G4511">
        <v>-325.55130000000003</v>
      </c>
      <c r="H4511" s="1">
        <v>-2.058138E-6</v>
      </c>
      <c r="I4511">
        <v>140.24539999999999</v>
      </c>
      <c r="J4511">
        <v>-311.03660000000002</v>
      </c>
      <c r="K4511">
        <v>1.1099810000000001</v>
      </c>
      <c r="L4511">
        <v>141.02440000000001</v>
      </c>
      <c r="M4511">
        <v>-0.99988010000000005</v>
      </c>
      <c r="N4511">
        <v>0</v>
      </c>
      <c r="O4511">
        <v>4.5289600000000003E-3</v>
      </c>
      <c r="P4511">
        <v>-0.99667830000000002</v>
      </c>
      <c r="Q4511">
        <v>-2.1726249999999999E-2</v>
      </c>
      <c r="R4511">
        <v>7.8490080000000004E-2</v>
      </c>
      <c r="S4511">
        <v>-3.0177309999999999</v>
      </c>
      <c r="T4511">
        <v>-0.22487950000000001</v>
      </c>
      <c r="U4511">
        <v>-0.15750120000000001</v>
      </c>
      <c r="V4511">
        <v>7.3978279999999993E-2</v>
      </c>
      <c r="W4511">
        <v>-6.9120350000000004E-3</v>
      </c>
      <c r="X4511">
        <v>0.99723589999999995</v>
      </c>
      <c r="Y4511">
        <v>-5.6475070000000002E-2</v>
      </c>
      <c r="Z4511">
        <v>-2.4367540000000002E-3</v>
      </c>
      <c r="AA4511">
        <v>0.99840099999999998</v>
      </c>
      <c r="AB4511">
        <v>40</v>
      </c>
      <c r="AC4511">
        <v>-14.514699999999999</v>
      </c>
      <c r="AD4511">
        <v>-1.1099830581379999</v>
      </c>
      <c r="AE4511">
        <v>-0.77900000000002401</v>
      </c>
      <c r="AF4511">
        <v>-0.83983834087065401</v>
      </c>
      <c r="AG4511">
        <v>-1.1099830581379999</v>
      </c>
      <c r="AH4511">
        <v>14.4268947171694</v>
      </c>
      <c r="AI4511">
        <v>94.392174906761099</v>
      </c>
      <c r="AJ4511">
        <v>93.331621128050898</v>
      </c>
      <c r="AK4511">
        <v>14.4938842967798</v>
      </c>
      <c r="AL4511">
        <v>90.396033586414902</v>
      </c>
      <c r="AM4511">
        <v>85.757379499948598</v>
      </c>
      <c r="AN4511">
        <v>1.0000000011942001</v>
      </c>
    </row>
    <row r="4512" spans="1:40" x14ac:dyDescent="0.25">
      <c r="A4512" t="str">
        <f>"20190312161403274"</f>
        <v>20190312161403274</v>
      </c>
      <c r="B4512" t="str">
        <f>"1552378443270608"</f>
        <v>1552378443270608</v>
      </c>
      <c r="C4512" t="s">
        <v>40</v>
      </c>
      <c r="D4512">
        <v>5.3014390000000002</v>
      </c>
      <c r="E4512">
        <v>0.45349879999999998</v>
      </c>
      <c r="F4512" t="s">
        <v>42</v>
      </c>
      <c r="G4512">
        <v>-327.07830000000001</v>
      </c>
      <c r="H4512" s="1">
        <v>-1.4003430000000001E-6</v>
      </c>
      <c r="I4512">
        <v>140.23509999999999</v>
      </c>
      <c r="J4512">
        <v>-311.4162</v>
      </c>
      <c r="K4512">
        <v>1.1099889999999999</v>
      </c>
      <c r="L4512">
        <v>141.02600000000001</v>
      </c>
      <c r="M4512">
        <v>-0.9998804</v>
      </c>
      <c r="N4512">
        <v>0</v>
      </c>
      <c r="O4512">
        <v>4.3362849999999996E-3</v>
      </c>
      <c r="P4512">
        <v>-0.99675360000000002</v>
      </c>
      <c r="Q4512">
        <v>-2.1407289999999999E-2</v>
      </c>
      <c r="R4512">
        <v>7.761506E-2</v>
      </c>
      <c r="S4512">
        <v>-3.0171199999999998</v>
      </c>
      <c r="T4512">
        <v>-0.2087657</v>
      </c>
      <c r="U4512">
        <v>-0.148452799999999</v>
      </c>
      <c r="V4512">
        <v>7.3294799999999993E-2</v>
      </c>
      <c r="W4512">
        <v>-6.5631279999999997E-3</v>
      </c>
      <c r="X4512">
        <v>0.99728870000000003</v>
      </c>
      <c r="Y4512">
        <v>-5.3337500000000003E-2</v>
      </c>
      <c r="Z4512">
        <v>-2.1415409999999998E-3</v>
      </c>
      <c r="AA4512">
        <v>0.99857430000000003</v>
      </c>
      <c r="AB4512">
        <v>40</v>
      </c>
      <c r="AC4512">
        <v>-15.662100000000001</v>
      </c>
      <c r="AD4512">
        <v>-1.1099904003429999</v>
      </c>
      <c r="AE4512">
        <v>-0.79090000000002103</v>
      </c>
      <c r="AF4512">
        <v>-0.85453421271954899</v>
      </c>
      <c r="AG4512">
        <v>-1.1099904003429999</v>
      </c>
      <c r="AH4512">
        <v>15.5804655934776</v>
      </c>
      <c r="AI4512">
        <v>94.068911538443004</v>
      </c>
      <c r="AJ4512">
        <v>93.139328405294194</v>
      </c>
      <c r="AK4512">
        <v>15.6433121658778</v>
      </c>
      <c r="AL4512">
        <v>90.376042243227303</v>
      </c>
      <c r="AM4512">
        <v>85.796657364257399</v>
      </c>
      <c r="AN4512">
        <v>0.99999997675193697</v>
      </c>
    </row>
    <row r="4513" spans="1:40" x14ac:dyDescent="0.25">
      <c r="A4513" t="str">
        <f>"20190312161403296"</f>
        <v>20190312161403296</v>
      </c>
      <c r="B4513" t="str">
        <f>"1552378443291103"</f>
        <v>1552378443291103</v>
      </c>
      <c r="C4513" t="s">
        <v>40</v>
      </c>
      <c r="D4513">
        <v>5.3521000000000001</v>
      </c>
      <c r="E4513">
        <v>0.45402379999999998</v>
      </c>
      <c r="F4513" t="s">
        <v>42</v>
      </c>
      <c r="G4513">
        <v>-328.55020000000002</v>
      </c>
      <c r="H4513" s="1">
        <v>-7.6801359999999999E-7</v>
      </c>
      <c r="I4513">
        <v>140.23169999999999</v>
      </c>
      <c r="J4513">
        <v>-311.82260000000002</v>
      </c>
      <c r="K4513">
        <v>1.109996</v>
      </c>
      <c r="L4513">
        <v>141.0275</v>
      </c>
      <c r="M4513">
        <v>-0.99988089999999996</v>
      </c>
      <c r="N4513">
        <v>0</v>
      </c>
      <c r="O4513">
        <v>4.1302220000000002E-3</v>
      </c>
      <c r="P4513">
        <v>-0.99679030000000002</v>
      </c>
      <c r="Q4513">
        <v>-2.0906660000000001E-2</v>
      </c>
      <c r="R4513">
        <v>7.7281370000000002E-2</v>
      </c>
      <c r="S4513">
        <v>-3.0164490000000002</v>
      </c>
      <c r="T4513">
        <v>-0.1954149</v>
      </c>
      <c r="U4513">
        <v>-0.13981629999999901</v>
      </c>
      <c r="V4513">
        <v>7.316636E-2</v>
      </c>
      <c r="W4513">
        <v>-6.0356400000000001E-3</v>
      </c>
      <c r="X4513">
        <v>0.99730149999999995</v>
      </c>
      <c r="Y4513">
        <v>-5.0313530000000002E-2</v>
      </c>
      <c r="Z4513">
        <v>-1.8943370000000001E-3</v>
      </c>
      <c r="AA4513">
        <v>0.9987317</v>
      </c>
      <c r="AB4513">
        <v>40</v>
      </c>
      <c r="AC4513">
        <v>-16.727599999999899</v>
      </c>
      <c r="AD4513">
        <v>-1.1099967680136</v>
      </c>
      <c r="AE4513">
        <v>-0.79580000000001405</v>
      </c>
      <c r="AF4513">
        <v>-0.86110642317622199</v>
      </c>
      <c r="AG4513">
        <v>-1.1099967680136</v>
      </c>
      <c r="AH4513">
        <v>16.651016601496</v>
      </c>
      <c r="AI4513">
        <v>93.808756861440401</v>
      </c>
      <c r="AJ4513">
        <v>92.960410876146696</v>
      </c>
      <c r="AK4513">
        <v>16.7101750727014</v>
      </c>
      <c r="AL4513">
        <v>90.345818793634095</v>
      </c>
      <c r="AM4513">
        <v>85.804050528894294</v>
      </c>
      <c r="AN4513">
        <v>1.0000000135440501</v>
      </c>
    </row>
    <row r="4514" spans="1:40" x14ac:dyDescent="0.25">
      <c r="A4514" t="str">
        <f>"20190312161403320"</f>
        <v>20190312161403320</v>
      </c>
      <c r="B4514" t="str">
        <f>"1552378443310643"</f>
        <v>1552378443310643</v>
      </c>
      <c r="C4514" t="s">
        <v>40</v>
      </c>
      <c r="D4514">
        <v>5.414568</v>
      </c>
      <c r="E4514">
        <v>0.45444990000000002</v>
      </c>
      <c r="F4514" t="s">
        <v>42</v>
      </c>
      <c r="G4514">
        <v>-329.7362</v>
      </c>
      <c r="H4514" s="1">
        <v>-2.5519149999999999E-7</v>
      </c>
      <c r="I4514">
        <v>140.2165</v>
      </c>
      <c r="J4514">
        <v>-312.23140000000001</v>
      </c>
      <c r="K4514">
        <v>1.109999</v>
      </c>
      <c r="L4514">
        <v>141.029</v>
      </c>
      <c r="M4514">
        <v>-0.99988129999999997</v>
      </c>
      <c r="N4514">
        <v>0</v>
      </c>
      <c r="O4514">
        <v>3.9227619999999998E-3</v>
      </c>
      <c r="P4514">
        <v>-0.99677850000000001</v>
      </c>
      <c r="Q4514">
        <v>-2.0525760000000001E-2</v>
      </c>
      <c r="R4514">
        <v>7.7533379999999999E-2</v>
      </c>
      <c r="S4514">
        <v>-3.016327</v>
      </c>
      <c r="T4514">
        <v>-0.1869043</v>
      </c>
      <c r="U4514">
        <v>-0.1365509</v>
      </c>
      <c r="V4514">
        <v>7.3625010000000005E-2</v>
      </c>
      <c r="W4514">
        <v>-5.6324809999999999E-3</v>
      </c>
      <c r="X4514">
        <v>0.99727010000000005</v>
      </c>
      <c r="Y4514">
        <v>-4.9041729999999999E-2</v>
      </c>
      <c r="Z4514">
        <v>-1.759931E-3</v>
      </c>
      <c r="AA4514">
        <v>0.99879519999999999</v>
      </c>
      <c r="AB4514">
        <v>39</v>
      </c>
      <c r="AC4514">
        <v>-17.5047999999999</v>
      </c>
      <c r="AD4514">
        <v>-1.1099992551914999</v>
      </c>
      <c r="AE4514">
        <v>-0.8125</v>
      </c>
      <c r="AF4514">
        <v>-0.877647126642634</v>
      </c>
      <c r="AG4514">
        <v>-1.1099992551914999</v>
      </c>
      <c r="AH4514">
        <v>17.431536648290201</v>
      </c>
      <c r="AI4514">
        <v>93.638944198909996</v>
      </c>
      <c r="AJ4514">
        <v>92.882307594438004</v>
      </c>
      <c r="AK4514">
        <v>17.4888774009687</v>
      </c>
      <c r="AL4514">
        <v>90.322719092758405</v>
      </c>
      <c r="AM4514">
        <v>85.777710202121995</v>
      </c>
      <c r="AN4514">
        <v>1.00000000964686</v>
      </c>
    </row>
    <row r="4515" spans="1:40" x14ac:dyDescent="0.25">
      <c r="A4515" t="str">
        <f>"20190312161403341"</f>
        <v>20190312161403341</v>
      </c>
      <c r="B4515" t="str">
        <f>"1552378443331123"</f>
        <v>1552378443331123</v>
      </c>
      <c r="C4515" t="s">
        <v>40</v>
      </c>
      <c r="D4515">
        <v>5.338762</v>
      </c>
      <c r="E4515">
        <v>0.45461119999999999</v>
      </c>
      <c r="F4515" t="s">
        <v>42</v>
      </c>
      <c r="G4515">
        <v>-331.30709999999999</v>
      </c>
      <c r="H4515" s="1">
        <v>-4.243174E-6</v>
      </c>
      <c r="I4515">
        <v>140.19329999999999</v>
      </c>
      <c r="J4515">
        <v>-312.60469999999998</v>
      </c>
      <c r="K4515">
        <v>1.1100049999999999</v>
      </c>
      <c r="L4515">
        <v>141.03030000000001</v>
      </c>
      <c r="M4515">
        <v>-0.99988189999999999</v>
      </c>
      <c r="N4515">
        <v>0</v>
      </c>
      <c r="O4515">
        <v>3.7330459999999998E-3</v>
      </c>
      <c r="P4515">
        <v>-0.99677470000000001</v>
      </c>
      <c r="Q4515">
        <v>-2.098711E-2</v>
      </c>
      <c r="R4515">
        <v>7.7457429999999994E-2</v>
      </c>
      <c r="S4515">
        <v>-3.0163880000000001</v>
      </c>
      <c r="T4515">
        <v>-0.1755216</v>
      </c>
      <c r="U4515">
        <v>-0.13215639999999901</v>
      </c>
      <c r="V4515">
        <v>7.3738369999999998E-2</v>
      </c>
      <c r="W4515">
        <v>-6.0768649999999999E-3</v>
      </c>
      <c r="X4515">
        <v>0.99725909999999995</v>
      </c>
      <c r="Y4515">
        <v>-4.7414020000000001E-2</v>
      </c>
      <c r="Z4515">
        <v>-1.5946339999999999E-3</v>
      </c>
      <c r="AA4515">
        <v>0.99887409999999999</v>
      </c>
      <c r="AB4515">
        <v>39</v>
      </c>
      <c r="AC4515">
        <v>-18.702400000000001</v>
      </c>
      <c r="AD4515">
        <v>-1.1100092431739901</v>
      </c>
      <c r="AE4515">
        <v>-0.83700000000001695</v>
      </c>
      <c r="AF4515">
        <v>-0.90364207433424804</v>
      </c>
      <c r="AG4515">
        <v>-1.1100092431739901</v>
      </c>
      <c r="AH4515">
        <v>18.633637828119401</v>
      </c>
      <c r="AI4515">
        <v>93.405099210010306</v>
      </c>
      <c r="AJ4515">
        <v>92.776395404526994</v>
      </c>
      <c r="AK4515">
        <v>18.688529857320599</v>
      </c>
      <c r="AL4515">
        <v>90.348180862230706</v>
      </c>
      <c r="AM4515">
        <v>85.771186257031601</v>
      </c>
      <c r="AN4515">
        <v>0.99999999401564699</v>
      </c>
    </row>
    <row r="4516" spans="1:40" x14ac:dyDescent="0.25">
      <c r="A4516" t="str">
        <f>"20190312161403357"</f>
        <v>20190312161403357</v>
      </c>
      <c r="B4516" t="str">
        <f>"1552378443350639"</f>
        <v>1552378443350639</v>
      </c>
      <c r="C4516" t="s">
        <v>40</v>
      </c>
      <c r="D4516">
        <v>5.3896169999999897</v>
      </c>
      <c r="E4516">
        <v>0.45471679999999998</v>
      </c>
      <c r="F4516" t="s">
        <v>42</v>
      </c>
      <c r="G4516">
        <v>-332.86579999999998</v>
      </c>
      <c r="H4516" s="1">
        <v>-3.495108E-6</v>
      </c>
      <c r="I4516">
        <v>140.15100000000001</v>
      </c>
      <c r="J4516">
        <v>-312.87509999999997</v>
      </c>
      <c r="K4516">
        <v>1.110006</v>
      </c>
      <c r="L4516">
        <v>141.03120000000001</v>
      </c>
      <c r="M4516">
        <v>-0.99988220000000005</v>
      </c>
      <c r="N4516">
        <v>0</v>
      </c>
      <c r="O4516">
        <v>3.5954680000000001E-3</v>
      </c>
      <c r="P4516">
        <v>-0.99678420000000001</v>
      </c>
      <c r="Q4516">
        <v>-2.1091470000000001E-2</v>
      </c>
      <c r="R4516">
        <v>7.7308719999999997E-2</v>
      </c>
      <c r="S4516">
        <v>-3.0163570000000002</v>
      </c>
      <c r="T4516">
        <v>-0.16525139999999999</v>
      </c>
      <c r="U4516">
        <v>-0.1309052</v>
      </c>
      <c r="V4516">
        <v>7.3726840000000002E-2</v>
      </c>
      <c r="W4516">
        <v>-6.1706089999999996E-3</v>
      </c>
      <c r="X4516">
        <v>0.99725940000000002</v>
      </c>
      <c r="Y4516">
        <v>-4.6874279999999997E-2</v>
      </c>
      <c r="Z4516">
        <v>-1.4792049999999999E-3</v>
      </c>
      <c r="AA4516">
        <v>0.99889969999999995</v>
      </c>
      <c r="AB4516">
        <v>39</v>
      </c>
      <c r="AC4516">
        <v>-19.9907</v>
      </c>
      <c r="AD4516">
        <v>-1.110009495108</v>
      </c>
      <c r="AE4516">
        <v>-0.88020000000000198</v>
      </c>
      <c r="AF4516">
        <v>-0.949157483874143</v>
      </c>
      <c r="AG4516">
        <v>-1.110009495108</v>
      </c>
      <c r="AH4516">
        <v>19.926089039622202</v>
      </c>
      <c r="AI4516">
        <v>93.184839100715905</v>
      </c>
      <c r="AJ4516">
        <v>92.727160480451602</v>
      </c>
      <c r="AK4516">
        <v>19.9795406709808</v>
      </c>
      <c r="AL4516">
        <v>90.353552090362797</v>
      </c>
      <c r="AM4516">
        <v>85.771846358892304</v>
      </c>
      <c r="AN4516">
        <v>1.00000001712008</v>
      </c>
    </row>
    <row r="4517" spans="1:40" x14ac:dyDescent="0.25">
      <c r="A4517" t="str">
        <f>"20190312161403375"</f>
        <v>20190312161403375</v>
      </c>
      <c r="B4517" t="str">
        <f>"1552378443371136"</f>
        <v>1552378443371136</v>
      </c>
      <c r="C4517" t="s">
        <v>40</v>
      </c>
      <c r="D4517">
        <v>5.3766910000000001</v>
      </c>
      <c r="E4517">
        <v>0.45492349999999998</v>
      </c>
      <c r="F4517" t="s">
        <v>42</v>
      </c>
      <c r="G4517">
        <v>-333.71100000000001</v>
      </c>
      <c r="H4517" s="1">
        <v>-3.090251E-6</v>
      </c>
      <c r="I4517">
        <v>140.1309</v>
      </c>
      <c r="J4517">
        <v>-313.19439999999997</v>
      </c>
      <c r="K4517">
        <v>1.1100099999999999</v>
      </c>
      <c r="L4517">
        <v>141.03219999999999</v>
      </c>
      <c r="M4517">
        <v>-0.99988270000000001</v>
      </c>
      <c r="N4517">
        <v>0</v>
      </c>
      <c r="O4517">
        <v>3.4330340000000002E-3</v>
      </c>
      <c r="P4517">
        <v>-0.99676480000000001</v>
      </c>
      <c r="Q4517">
        <v>-2.1234039999999999E-2</v>
      </c>
      <c r="R4517">
        <v>7.7519920000000006E-2</v>
      </c>
      <c r="S4517">
        <v>-3.0163570000000002</v>
      </c>
      <c r="T4517">
        <v>-0.16069349999999999</v>
      </c>
      <c r="U4517">
        <v>-0.1303406</v>
      </c>
      <c r="V4517">
        <v>7.4100319999999997E-2</v>
      </c>
      <c r="W4517">
        <v>-6.3024999999999999E-3</v>
      </c>
      <c r="X4517">
        <v>0.99723090000000003</v>
      </c>
      <c r="Y4517">
        <v>-4.6530210000000002E-2</v>
      </c>
      <c r="Z4517">
        <v>-1.420672E-3</v>
      </c>
      <c r="AA4517">
        <v>0.99891589999999997</v>
      </c>
      <c r="AB4517">
        <v>39</v>
      </c>
      <c r="AC4517">
        <v>-20.5166</v>
      </c>
      <c r="AD4517">
        <v>-1.1100130902509999</v>
      </c>
      <c r="AE4517">
        <v>-0.901299999999992</v>
      </c>
      <c r="AF4517">
        <v>-0.96890604724843798</v>
      </c>
      <c r="AG4517">
        <v>-1.1100130902509999</v>
      </c>
      <c r="AH4517">
        <v>20.453628952766799</v>
      </c>
      <c r="AI4517">
        <v>93.102907011418395</v>
      </c>
      <c r="AJ4517">
        <v>92.712123045883004</v>
      </c>
      <c r="AK4517">
        <v>20.506629301920501</v>
      </c>
      <c r="AL4517">
        <v>90.361109032582405</v>
      </c>
      <c r="AM4517">
        <v>85.750384951580997</v>
      </c>
      <c r="AN4517">
        <v>1.0000000234225801</v>
      </c>
    </row>
    <row r="4518" spans="1:40" x14ac:dyDescent="0.25">
      <c r="A4518" t="str">
        <f>"20190312161403398"</f>
        <v>20190312161403398</v>
      </c>
      <c r="B4518" t="str">
        <f>"1552378443390655"</f>
        <v>1552378443390655</v>
      </c>
      <c r="C4518" t="s">
        <v>40</v>
      </c>
      <c r="D4518">
        <v>5.4316060000000004</v>
      </c>
      <c r="E4518">
        <v>0.45514120000000002</v>
      </c>
      <c r="F4518" t="s">
        <v>42</v>
      </c>
      <c r="G4518">
        <v>-334.50439999999998</v>
      </c>
      <c r="H4518" s="1">
        <v>-2.7143980000000002E-6</v>
      </c>
      <c r="I4518">
        <v>140.12790000000001</v>
      </c>
      <c r="J4518">
        <v>-313.6019</v>
      </c>
      <c r="K4518">
        <v>1.110017</v>
      </c>
      <c r="L4518">
        <v>141.0334</v>
      </c>
      <c r="M4518">
        <v>-0.99988319999999997</v>
      </c>
      <c r="N4518">
        <v>0</v>
      </c>
      <c r="O4518">
        <v>3.2259559999999999E-3</v>
      </c>
      <c r="P4518">
        <v>-0.99680389999999996</v>
      </c>
      <c r="Q4518">
        <v>-2.1134960000000001E-2</v>
      </c>
      <c r="R4518">
        <v>7.7041440000000003E-2</v>
      </c>
      <c r="S4518">
        <v>-3.0163570000000002</v>
      </c>
      <c r="T4518">
        <v>-0.1571186</v>
      </c>
      <c r="U4518">
        <v>-0.12800599999999901</v>
      </c>
      <c r="V4518">
        <v>7.3828030000000003E-2</v>
      </c>
      <c r="W4518">
        <v>-6.1917259999999998E-3</v>
      </c>
      <c r="X4518">
        <v>0.99725169999999996</v>
      </c>
      <c r="Y4518">
        <v>-4.5556300000000001E-2</v>
      </c>
      <c r="Z4518">
        <v>-1.3530199999999999E-3</v>
      </c>
      <c r="AA4518">
        <v>0.99896090000000004</v>
      </c>
      <c r="AB4518">
        <v>39</v>
      </c>
      <c r="AC4518">
        <v>-20.9024999999999</v>
      </c>
      <c r="AD4518">
        <v>-1.110019714398</v>
      </c>
      <c r="AE4518">
        <v>-0.90549999999998898</v>
      </c>
      <c r="AF4518">
        <v>-0.97020241294889498</v>
      </c>
      <c r="AG4518">
        <v>-1.110019714398</v>
      </c>
      <c r="AH4518">
        <v>20.840806657174902</v>
      </c>
      <c r="AI4518">
        <v>93.045505785082</v>
      </c>
      <c r="AJ4518">
        <v>92.665367025311497</v>
      </c>
      <c r="AK4518">
        <v>20.892885358661999</v>
      </c>
      <c r="AL4518">
        <v>90.354762057807406</v>
      </c>
      <c r="AM4518">
        <v>85.766031739230002</v>
      </c>
      <c r="AN4518">
        <v>0.99999993431871204</v>
      </c>
    </row>
    <row r="4519" spans="1:40" x14ac:dyDescent="0.25">
      <c r="A4519" t="str">
        <f>"20190312161403420"</f>
        <v>20190312161403420</v>
      </c>
      <c r="B4519" t="str">
        <f>"1552378443411151"</f>
        <v>1552378443411151</v>
      </c>
      <c r="C4519" t="s">
        <v>40</v>
      </c>
      <c r="D4519">
        <v>5.427638</v>
      </c>
      <c r="E4519">
        <v>0.45522220000000002</v>
      </c>
      <c r="F4519" t="s">
        <v>42</v>
      </c>
      <c r="G4519">
        <v>-335.16930000000002</v>
      </c>
      <c r="H4519" s="1">
        <v>-2.398295E-6</v>
      </c>
      <c r="I4519">
        <v>140.12110000000001</v>
      </c>
      <c r="J4519">
        <v>-313.99549999999999</v>
      </c>
      <c r="K4519">
        <v>1.110028</v>
      </c>
      <c r="L4519">
        <v>141.03450000000001</v>
      </c>
      <c r="M4519">
        <v>-0.99988370000000004</v>
      </c>
      <c r="N4519">
        <v>0</v>
      </c>
      <c r="O4519">
        <v>3.0257510000000001E-3</v>
      </c>
      <c r="P4519">
        <v>-0.99679629999999997</v>
      </c>
      <c r="Q4519">
        <v>-2.090328E-2</v>
      </c>
      <c r="R4519">
        <v>7.7206479999999994E-2</v>
      </c>
      <c r="S4519">
        <v>-3.0161440000000002</v>
      </c>
      <c r="T4519">
        <v>-0.15523329999999999</v>
      </c>
      <c r="U4519">
        <v>-0.12757869999999999</v>
      </c>
      <c r="V4519">
        <v>7.4192839999999996E-2</v>
      </c>
      <c r="W4519">
        <v>-5.9512660000000002E-3</v>
      </c>
      <c r="X4519">
        <v>0.99722619999999895</v>
      </c>
      <c r="Y4519">
        <v>-4.5220280000000002E-2</v>
      </c>
      <c r="Z4519">
        <v>-1.3179729999999901E-3</v>
      </c>
      <c r="AA4519">
        <v>0.99897619999999998</v>
      </c>
      <c r="AB4519">
        <v>39</v>
      </c>
      <c r="AC4519">
        <v>-21.1738</v>
      </c>
      <c r="AD4519">
        <v>-1.1100303982949999</v>
      </c>
      <c r="AE4519">
        <v>-0.91339999999999499</v>
      </c>
      <c r="AF4519">
        <v>-0.97479551928165498</v>
      </c>
      <c r="AG4519">
        <v>-1.1100303982949999</v>
      </c>
      <c r="AH4519">
        <v>21.113020820721101</v>
      </c>
      <c r="AI4519">
        <v>93.006394009754899</v>
      </c>
      <c r="AJ4519">
        <v>92.643488771495299</v>
      </c>
      <c r="AK4519">
        <v>21.164641314365699</v>
      </c>
      <c r="AL4519">
        <v>90.340984422205494</v>
      </c>
      <c r="AM4519">
        <v>85.745078471578495</v>
      </c>
      <c r="AN4519">
        <v>1.0000000445203501</v>
      </c>
    </row>
    <row r="4520" spans="1:40" x14ac:dyDescent="0.25">
      <c r="A4520" t="str">
        <f>"20190312161403442"</f>
        <v>20190312161403442</v>
      </c>
      <c r="B4520" t="str">
        <f>"1552378443430672"</f>
        <v>1552378443430672</v>
      </c>
      <c r="C4520" t="s">
        <v>40</v>
      </c>
      <c r="D4520">
        <v>5.4802419999999996</v>
      </c>
      <c r="E4520">
        <v>0.45516570000000001</v>
      </c>
      <c r="F4520" t="s">
        <v>42</v>
      </c>
      <c r="G4520">
        <v>-336.01749999999998</v>
      </c>
      <c r="H4520" s="1">
        <v>-1.994678E-6</v>
      </c>
      <c r="I4520">
        <v>140.11109999999999</v>
      </c>
      <c r="J4520">
        <v>-314.36669999999998</v>
      </c>
      <c r="K4520">
        <v>1.1100300000000001</v>
      </c>
      <c r="L4520">
        <v>141.03540000000001</v>
      </c>
      <c r="M4520">
        <v>-0.99988410000000005</v>
      </c>
      <c r="N4520">
        <v>0</v>
      </c>
      <c r="O4520">
        <v>2.8368270000000001E-3</v>
      </c>
      <c r="P4520">
        <v>-0.99681450000000005</v>
      </c>
      <c r="Q4520">
        <v>-2.12292E-2</v>
      </c>
      <c r="R4520">
        <v>7.6878879999999997E-2</v>
      </c>
      <c r="S4520">
        <v>-3.0162659999999999</v>
      </c>
      <c r="T4520">
        <v>-0.15203599999999901</v>
      </c>
      <c r="U4520">
        <v>-0.12646479999999999</v>
      </c>
      <c r="V4520">
        <v>7.4053450000000007E-2</v>
      </c>
      <c r="W4520">
        <v>-6.2703699999999999E-3</v>
      </c>
      <c r="X4520">
        <v>0.99723459999999997</v>
      </c>
      <c r="Y4520">
        <v>-4.4665099999999999E-2</v>
      </c>
      <c r="Z4520">
        <v>-1.267329E-3</v>
      </c>
      <c r="AA4520">
        <v>0.99900120000000003</v>
      </c>
      <c r="AB4520">
        <v>39</v>
      </c>
      <c r="AC4520">
        <v>-21.6508</v>
      </c>
      <c r="AD4520">
        <v>-1.110031994678</v>
      </c>
      <c r="AE4520">
        <v>-0.924300000000016</v>
      </c>
      <c r="AF4520">
        <v>-0.98314314580411499</v>
      </c>
      <c r="AG4520">
        <v>-1.110031994678</v>
      </c>
      <c r="AH4520">
        <v>21.591438667965999</v>
      </c>
      <c r="AI4520">
        <v>92.939986924679303</v>
      </c>
      <c r="AJ4520">
        <v>92.607101442829304</v>
      </c>
      <c r="AK4520">
        <v>21.642295747607001</v>
      </c>
      <c r="AL4520">
        <v>90.359268077178299</v>
      </c>
      <c r="AM4520">
        <v>85.753078783621305</v>
      </c>
      <c r="AN4520">
        <v>1.0000000392169901</v>
      </c>
    </row>
    <row r="4521" spans="1:40" x14ac:dyDescent="0.25">
      <c r="A4521" t="str">
        <f>"20190312161403457"</f>
        <v>20190312161403457</v>
      </c>
      <c r="B4521" t="str">
        <f>"1552378443450192"</f>
        <v>1552378443450192</v>
      </c>
      <c r="C4521" t="s">
        <v>40</v>
      </c>
      <c r="D4521">
        <v>5.6174269999999904</v>
      </c>
      <c r="E4521">
        <v>0.43659239999999999</v>
      </c>
      <c r="F4521" t="s">
        <v>42</v>
      </c>
      <c r="G4521">
        <v>-336.59519999999998</v>
      </c>
      <c r="H4521" s="1">
        <v>-1.716869E-6</v>
      </c>
      <c r="I4521">
        <v>140.0933</v>
      </c>
      <c r="J4521">
        <v>-314.61770000000001</v>
      </c>
      <c r="K4521">
        <v>1.110033</v>
      </c>
      <c r="L4521">
        <v>141.036</v>
      </c>
      <c r="M4521">
        <v>-0.99988429999999995</v>
      </c>
      <c r="N4521">
        <v>0</v>
      </c>
      <c r="O4521">
        <v>2.7091950000000002E-3</v>
      </c>
      <c r="P4521">
        <v>-0.99680630000000003</v>
      </c>
      <c r="Q4521">
        <v>-2.1464839999999999E-2</v>
      </c>
      <c r="R4521">
        <v>7.6917940000000004E-2</v>
      </c>
      <c r="S4521">
        <v>-3.016235</v>
      </c>
      <c r="T4521">
        <v>-0.150622799999999</v>
      </c>
      <c r="U4521">
        <v>-0.12783810000000001</v>
      </c>
      <c r="V4521">
        <v>7.4219899999999894E-2</v>
      </c>
      <c r="W4521">
        <v>-6.5024050000000002E-3</v>
      </c>
      <c r="X4521">
        <v>0.99722069999999996</v>
      </c>
      <c r="Y4521">
        <v>-4.4992909999999997E-2</v>
      </c>
      <c r="Z4521">
        <v>-1.2573739999999999E-3</v>
      </c>
      <c r="AA4521">
        <v>0.9989865</v>
      </c>
      <c r="AB4521">
        <v>39</v>
      </c>
      <c r="AC4521">
        <v>-21.9774999999999</v>
      </c>
      <c r="AD4521">
        <v>-1.1100347168689999</v>
      </c>
      <c r="AE4521">
        <v>-0.94270000000000198</v>
      </c>
      <c r="AF4521">
        <v>-0.99969895967822198</v>
      </c>
      <c r="AG4521">
        <v>-1.1100347168689999</v>
      </c>
      <c r="AH4521">
        <v>21.919051489376901</v>
      </c>
      <c r="AI4521">
        <v>92.896117086518203</v>
      </c>
      <c r="AJ4521">
        <v>92.611375072002303</v>
      </c>
      <c r="AK4521">
        <v>21.9698974343667</v>
      </c>
      <c r="AL4521">
        <v>90.372562988746097</v>
      </c>
      <c r="AM4521">
        <v>85.743508907291599</v>
      </c>
      <c r="AN4521">
        <v>0.99999999966764097</v>
      </c>
    </row>
    <row r="4522" spans="1:40" x14ac:dyDescent="0.25">
      <c r="A4522" t="str">
        <f>"20190312161403476"</f>
        <v>20190312161403476</v>
      </c>
      <c r="B4522" t="str">
        <f>"1552378443470689"</f>
        <v>1552378443470689</v>
      </c>
      <c r="C4522" t="s">
        <v>40</v>
      </c>
      <c r="D4522">
        <v>5.5638209999999999</v>
      </c>
      <c r="E4522">
        <v>0.43534669999999998</v>
      </c>
      <c r="F4522" t="s">
        <v>42</v>
      </c>
      <c r="G4522">
        <v>-367.83769999999998</v>
      </c>
      <c r="H4522" s="1">
        <v>-1.623025E-6</v>
      </c>
      <c r="I4522">
        <v>136.2295</v>
      </c>
      <c r="J4522">
        <v>-314.95299999999997</v>
      </c>
      <c r="K4522">
        <v>1.110031</v>
      </c>
      <c r="L4522">
        <v>141.0368</v>
      </c>
      <c r="M4522">
        <v>-0.99988480000000002</v>
      </c>
      <c r="N4522">
        <v>0</v>
      </c>
      <c r="O4522">
        <v>2.5384700000000001E-3</v>
      </c>
      <c r="P4522">
        <v>-0.99678840000000002</v>
      </c>
      <c r="Q4522">
        <v>-2.1602440000000001E-2</v>
      </c>
      <c r="R4522">
        <v>7.7114429999999998E-2</v>
      </c>
      <c r="S4522">
        <v>-3.029388</v>
      </c>
      <c r="T4522">
        <v>-6.3185450000000004E-2</v>
      </c>
      <c r="U4522">
        <v>-0.2735901</v>
      </c>
      <c r="V4522">
        <v>7.458687E-2</v>
      </c>
      <c r="W4522">
        <v>-6.6361359999999999E-3</v>
      </c>
      <c r="X4522">
        <v>0.99719239999999998</v>
      </c>
      <c r="Y4522">
        <v>-9.245362E-2</v>
      </c>
      <c r="Z4522">
        <v>-1.014954E-3</v>
      </c>
      <c r="AA4522">
        <v>0.9957165</v>
      </c>
      <c r="AB4522">
        <v>39</v>
      </c>
      <c r="AC4522">
        <v>-52.884700000000002</v>
      </c>
      <c r="AD4522">
        <v>-1.1100326230249999</v>
      </c>
      <c r="AE4522">
        <v>-4.8072999999999899</v>
      </c>
      <c r="AF4522">
        <v>-4.9393874723755804</v>
      </c>
      <c r="AG4522">
        <v>-1.1100326230249999</v>
      </c>
      <c r="AH4522">
        <v>52.849232238544197</v>
      </c>
      <c r="AI4522">
        <v>91.198030356975295</v>
      </c>
      <c r="AJ4522">
        <v>95.339459157799794</v>
      </c>
      <c r="AK4522">
        <v>53.091158107824597</v>
      </c>
      <c r="AL4522">
        <v>90.380225390667107</v>
      </c>
      <c r="AM4522">
        <v>85.722420255309999</v>
      </c>
      <c r="AN4522">
        <v>0.99999996104758204</v>
      </c>
    </row>
    <row r="4523" spans="1:40" x14ac:dyDescent="0.25">
      <c r="A4523" t="str">
        <f>"20190312161403498"</f>
        <v>20190312161403498</v>
      </c>
      <c r="B4523" t="str">
        <f>"1552378443490208"</f>
        <v>1552378443490208</v>
      </c>
      <c r="C4523" t="s">
        <v>40</v>
      </c>
      <c r="D4523">
        <v>5.5848230000000001</v>
      </c>
      <c r="E4523">
        <v>0.43497659999999999</v>
      </c>
      <c r="F4523" t="s">
        <v>42</v>
      </c>
      <c r="G4523">
        <v>-370.80070000000001</v>
      </c>
      <c r="H4523" s="1">
        <v>-4.6011730000000004E-6</v>
      </c>
      <c r="I4523">
        <v>135.82570000000001</v>
      </c>
      <c r="J4523">
        <v>-315.36689999999999</v>
      </c>
      <c r="K4523">
        <v>1.110033</v>
      </c>
      <c r="L4523">
        <v>141.0376</v>
      </c>
      <c r="M4523">
        <v>-0.99988529999999998</v>
      </c>
      <c r="N4523">
        <v>0</v>
      </c>
      <c r="O4523">
        <v>2.3275219999999998E-3</v>
      </c>
      <c r="P4523">
        <v>-0.99675539999999996</v>
      </c>
      <c r="Q4523">
        <v>-2.1519170000000001E-2</v>
      </c>
      <c r="R4523">
        <v>7.7563309999999996E-2</v>
      </c>
      <c r="S4523">
        <v>-3.030243</v>
      </c>
      <c r="T4523">
        <v>-6.0229539999999998E-2</v>
      </c>
      <c r="U4523">
        <v>-0.28274539999999998</v>
      </c>
      <c r="V4523">
        <v>7.5246199999999999E-2</v>
      </c>
      <c r="W4523">
        <v>-6.5494910000000002E-3</v>
      </c>
      <c r="X4523">
        <v>0.99714349999999996</v>
      </c>
      <c r="Y4523">
        <v>-9.520265E-2</v>
      </c>
      <c r="Z4523">
        <v>-9.9015140000000001E-4</v>
      </c>
      <c r="AA4523">
        <v>0.99545740000000005</v>
      </c>
      <c r="AB4523">
        <v>39</v>
      </c>
      <c r="AC4523">
        <v>-55.433799999999998</v>
      </c>
      <c r="AD4523">
        <v>-1.110037601173</v>
      </c>
      <c r="AE4523">
        <v>-5.2118999999999804</v>
      </c>
      <c r="AF4523">
        <v>-5.3388017084366197</v>
      </c>
      <c r="AG4523">
        <v>-1.110037601173</v>
      </c>
      <c r="AH4523">
        <v>55.3994980293499</v>
      </c>
      <c r="AI4523">
        <v>91.142587781863</v>
      </c>
      <c r="AJ4523">
        <v>95.504546451957395</v>
      </c>
      <c r="AK4523">
        <v>55.667219879045199</v>
      </c>
      <c r="AL4523">
        <v>90.375260866507602</v>
      </c>
      <c r="AM4523">
        <v>85.684538866486207</v>
      </c>
      <c r="AN4523">
        <v>1.0000000230195201</v>
      </c>
    </row>
    <row r="4524" spans="1:40" x14ac:dyDescent="0.25">
      <c r="A4524" t="str">
        <f>"20190312161403512"</f>
        <v>20190312161403512</v>
      </c>
      <c r="B4524" t="str">
        <f>"1552378443500943"</f>
        <v>1552378443500943</v>
      </c>
      <c r="C4524" t="s">
        <v>40</v>
      </c>
      <c r="D4524">
        <v>5.567393</v>
      </c>
      <c r="E4524">
        <v>0.43503259999999999</v>
      </c>
      <c r="F4524" t="s">
        <v>42</v>
      </c>
      <c r="G4524">
        <v>-368.23970000000003</v>
      </c>
      <c r="H4524" s="1">
        <v>-1.5269660000000001E-6</v>
      </c>
      <c r="I4524">
        <v>136.07640000000001</v>
      </c>
      <c r="J4524">
        <v>-315.59870000000001</v>
      </c>
      <c r="K4524">
        <v>1.1100369999999999</v>
      </c>
      <c r="L4524">
        <v>141.03809999999999</v>
      </c>
      <c r="M4524">
        <v>-0.99988540000000004</v>
      </c>
      <c r="N4524">
        <v>0</v>
      </c>
      <c r="O4524">
        <v>2.2092660000000001E-3</v>
      </c>
      <c r="P4524">
        <v>-0.99674790000000002</v>
      </c>
      <c r="Q4524">
        <v>-2.1679250000000001E-2</v>
      </c>
      <c r="R4524">
        <v>7.7612769999999998E-2</v>
      </c>
      <c r="S4524">
        <v>-3.030548</v>
      </c>
      <c r="T4524">
        <v>-6.3624739999999999E-2</v>
      </c>
      <c r="U4524">
        <v>-0.28436280000000003</v>
      </c>
      <c r="V4524">
        <v>7.5413389999999997E-2</v>
      </c>
      <c r="W4524">
        <v>-6.7081129999999999E-3</v>
      </c>
      <c r="X4524">
        <v>0.99712979999999996</v>
      </c>
      <c r="Y4524">
        <v>-9.5600019999999994E-2</v>
      </c>
      <c r="Z4524">
        <v>-1.0475090000000001E-3</v>
      </c>
      <c r="AA4524">
        <v>0.99541930000000001</v>
      </c>
      <c r="AB4524">
        <v>39</v>
      </c>
      <c r="AC4524">
        <v>-52.640999999999998</v>
      </c>
      <c r="AD4524">
        <v>-1.110038526966</v>
      </c>
      <c r="AE4524">
        <v>-4.9616999999999702</v>
      </c>
      <c r="AF4524">
        <v>-5.0757617930686703</v>
      </c>
      <c r="AG4524">
        <v>-1.110038526966</v>
      </c>
      <c r="AH4524">
        <v>52.606722453752703</v>
      </c>
      <c r="AI4524">
        <v>91.203215562790305</v>
      </c>
      <c r="AJ4524">
        <v>95.511126214729003</v>
      </c>
      <c r="AK4524">
        <v>52.8626786176929</v>
      </c>
      <c r="AL4524">
        <v>90.384349442859204</v>
      </c>
      <c r="AM4524">
        <v>85.674927461516802</v>
      </c>
      <c r="AN4524">
        <v>1.00000000810967</v>
      </c>
    </row>
    <row r="4525" spans="1:40" x14ac:dyDescent="0.25">
      <c r="A4525" t="str">
        <f>"20190312161403531"</f>
        <v>20190312161403531</v>
      </c>
      <c r="B4525" t="str">
        <f>"1552378443520463"</f>
        <v>1552378443520463</v>
      </c>
      <c r="C4525" t="s">
        <v>40</v>
      </c>
      <c r="D4525">
        <v>5.4915070000000004</v>
      </c>
      <c r="E4525">
        <v>0.43422250000000001</v>
      </c>
      <c r="F4525" t="s">
        <v>42</v>
      </c>
      <c r="G4525">
        <v>-361.56490000000002</v>
      </c>
      <c r="H4525" s="1">
        <v>-4.1130369999999998E-6</v>
      </c>
      <c r="I4525">
        <v>136.72919999999999</v>
      </c>
      <c r="J4525">
        <v>-315.9271</v>
      </c>
      <c r="K4525">
        <v>1.110039</v>
      </c>
      <c r="L4525">
        <v>141.0386</v>
      </c>
      <c r="M4525">
        <v>-0.99988580000000005</v>
      </c>
      <c r="N4525">
        <v>0</v>
      </c>
      <c r="O4525">
        <v>2.0415419999999999E-3</v>
      </c>
      <c r="P4525">
        <v>-0.99675369999999996</v>
      </c>
      <c r="Q4525">
        <v>-2.17176E-2</v>
      </c>
      <c r="R4525">
        <v>7.7529299999999995E-2</v>
      </c>
      <c r="S4525">
        <v>-3.0303339999999999</v>
      </c>
      <c r="T4525">
        <v>-7.3179720000000004E-2</v>
      </c>
      <c r="U4525">
        <v>-0.28405760000000002</v>
      </c>
      <c r="V4525">
        <v>7.5497309999999998E-2</v>
      </c>
      <c r="W4525">
        <v>-6.7448719999999998E-3</v>
      </c>
      <c r="X4525">
        <v>0.99712319999999999</v>
      </c>
      <c r="Y4525">
        <v>-9.5333429999999997E-2</v>
      </c>
      <c r="Z4525">
        <v>-1.197615E-3</v>
      </c>
      <c r="AA4525">
        <v>0.99544469999999996</v>
      </c>
      <c r="AB4525">
        <v>39</v>
      </c>
      <c r="AC4525">
        <v>-45.637799999999999</v>
      </c>
      <c r="AD4525">
        <v>-1.1100431130370001</v>
      </c>
      <c r="AE4525">
        <v>-4.3094000000000099</v>
      </c>
      <c r="AF4525">
        <v>-4.3999929059464602</v>
      </c>
      <c r="AG4525">
        <v>-1.1100431130370001</v>
      </c>
      <c r="AH4525">
        <v>45.602166111857201</v>
      </c>
      <c r="AI4525">
        <v>91.387969207625801</v>
      </c>
      <c r="AJ4525">
        <v>95.511208400678697</v>
      </c>
      <c r="AK4525">
        <v>45.827390143653098</v>
      </c>
      <c r="AL4525">
        <v>90.386455626653799</v>
      </c>
      <c r="AM4525">
        <v>85.6701042644724</v>
      </c>
      <c r="AN4525">
        <v>1.0000000065468799</v>
      </c>
    </row>
    <row r="4526" spans="1:40" x14ac:dyDescent="0.25">
      <c r="A4526" t="str">
        <f>"20190312161403544"</f>
        <v>20190312161403544</v>
      </c>
      <c r="B4526" t="str">
        <f>"1552378443540960"</f>
        <v>1552378443540960</v>
      </c>
      <c r="C4526" t="s">
        <v>40</v>
      </c>
      <c r="D4526">
        <v>5.5824129999999998</v>
      </c>
      <c r="E4526">
        <v>0.4341778</v>
      </c>
      <c r="F4526" t="s">
        <v>42</v>
      </c>
      <c r="G4526">
        <v>-358.21420000000001</v>
      </c>
      <c r="H4526" s="1">
        <v>-1.2950059999999901E-6</v>
      </c>
      <c r="I4526">
        <v>136.98079999999999</v>
      </c>
      <c r="J4526">
        <v>-316.16840000000002</v>
      </c>
      <c r="K4526">
        <v>1.1100380000000001</v>
      </c>
      <c r="L4526">
        <v>141.03899999999999</v>
      </c>
      <c r="M4526">
        <v>-0.99988600000000005</v>
      </c>
      <c r="N4526">
        <v>0</v>
      </c>
      <c r="O4526">
        <v>1.9186419999999999E-3</v>
      </c>
      <c r="P4526">
        <v>-0.99677700000000002</v>
      </c>
      <c r="Q4526">
        <v>-2.1778410000000002E-2</v>
      </c>
      <c r="R4526">
        <v>7.7209109999999997E-2</v>
      </c>
      <c r="S4526">
        <v>-3.0306700000000002</v>
      </c>
      <c r="T4526">
        <v>-7.9555269999999997E-2</v>
      </c>
      <c r="U4526">
        <v>-0.2908173</v>
      </c>
      <c r="V4526">
        <v>7.5299539999999998E-2</v>
      </c>
      <c r="W4526">
        <v>-6.8047740000000004E-3</v>
      </c>
      <c r="X4526">
        <v>0.99713770000000002</v>
      </c>
      <c r="Y4526">
        <v>-9.7395339999999997E-2</v>
      </c>
      <c r="Z4526">
        <v>-1.325417E-3</v>
      </c>
      <c r="AA4526">
        <v>0.99524489999999999</v>
      </c>
      <c r="AB4526">
        <v>39</v>
      </c>
      <c r="AC4526">
        <v>-42.0457999999999</v>
      </c>
      <c r="AD4526">
        <v>-1.1100392950059901</v>
      </c>
      <c r="AE4526">
        <v>-4.0581999999999896</v>
      </c>
      <c r="AF4526">
        <v>-4.1360162287737099</v>
      </c>
      <c r="AG4526">
        <v>-1.1100392950059901</v>
      </c>
      <c r="AH4526">
        <v>42.008925605507599</v>
      </c>
      <c r="AI4526">
        <v>91.5063453449185</v>
      </c>
      <c r="AJ4526">
        <v>95.622971363263503</v>
      </c>
      <c r="AK4526">
        <v>42.226634343861797</v>
      </c>
      <c r="AL4526">
        <v>90.3898878556368</v>
      </c>
      <c r="AM4526">
        <v>85.681466296945104</v>
      </c>
      <c r="AN4526">
        <v>0.99999995921734497</v>
      </c>
    </row>
    <row r="4527" spans="1:40" x14ac:dyDescent="0.25">
      <c r="A4527" t="str">
        <f>"20190312161403565"</f>
        <v>20190312161403565</v>
      </c>
      <c r="B4527" t="str">
        <f>"1552378443560480"</f>
        <v>1552378443560480</v>
      </c>
      <c r="C4527" t="s">
        <v>40</v>
      </c>
      <c r="D4527">
        <v>5.5325449999999998</v>
      </c>
      <c r="E4527">
        <v>0.43407770000000001</v>
      </c>
      <c r="F4527" t="s">
        <v>42</v>
      </c>
      <c r="G4527">
        <v>-356.70749999999998</v>
      </c>
      <c r="H4527" s="1">
        <v>-1.8358939999999999E-6</v>
      </c>
      <c r="I4527">
        <v>137.12950000000001</v>
      </c>
      <c r="J4527">
        <v>-316.50740000000002</v>
      </c>
      <c r="K4527">
        <v>1.110034</v>
      </c>
      <c r="L4527">
        <v>141.0395</v>
      </c>
      <c r="M4527">
        <v>-0.99988619999999995</v>
      </c>
      <c r="N4527">
        <v>0</v>
      </c>
      <c r="O4527">
        <v>1.745681E-3</v>
      </c>
      <c r="P4527">
        <v>-0.99677749999999998</v>
      </c>
      <c r="Q4527">
        <v>-2.2803380000000002E-2</v>
      </c>
      <c r="R4527">
        <v>7.6906470000000005E-2</v>
      </c>
      <c r="S4527">
        <v>-3.0305179999999998</v>
      </c>
      <c r="T4527">
        <v>-8.2981589999999994E-2</v>
      </c>
      <c r="U4527">
        <v>-0.292251599999999</v>
      </c>
      <c r="V4527">
        <v>7.5169940000000005E-2</v>
      </c>
      <c r="W4527">
        <v>-7.8292789999999998E-3</v>
      </c>
      <c r="X4527">
        <v>0.99714000000000003</v>
      </c>
      <c r="Y4527">
        <v>-9.7691609999999998E-2</v>
      </c>
      <c r="Z4527">
        <v>-1.3818379999999901E-3</v>
      </c>
      <c r="AA4527">
        <v>0.99521579999999998</v>
      </c>
      <c r="AB4527">
        <v>39</v>
      </c>
      <c r="AC4527">
        <v>-40.2000999999999</v>
      </c>
      <c r="AD4527">
        <v>-1.1100358358939999</v>
      </c>
      <c r="AE4527">
        <v>-3.9099999999999899</v>
      </c>
      <c r="AF4527">
        <v>-3.9771744354586098</v>
      </c>
      <c r="AG4527">
        <v>-1.1100358358939999</v>
      </c>
      <c r="AH4527">
        <v>40.162876561116903</v>
      </c>
      <c r="AI4527">
        <v>91.575456213509497</v>
      </c>
      <c r="AJ4527">
        <v>95.655341930584797</v>
      </c>
      <c r="AK4527">
        <v>40.374580489592098</v>
      </c>
      <c r="AL4527">
        <v>90.448589226970697</v>
      </c>
      <c r="AM4527">
        <v>85.688880898111407</v>
      </c>
      <c r="AN4527">
        <v>0.99999999854463095</v>
      </c>
    </row>
    <row r="4528" spans="1:40" x14ac:dyDescent="0.25">
      <c r="A4528" t="str">
        <f>"20190312161404085"</f>
        <v>20190312161404085</v>
      </c>
      <c r="B4528" t="str">
        <f>"1552378444080823"</f>
        <v>1552378444080823</v>
      </c>
      <c r="C4528" t="s">
        <v>40</v>
      </c>
      <c r="D4528">
        <v>5.390714</v>
      </c>
      <c r="E4528">
        <v>0.37295919999999999</v>
      </c>
      <c r="F4528" t="s">
        <v>42</v>
      </c>
      <c r="G4528">
        <v>-355.22219999999999</v>
      </c>
      <c r="H4528" s="1">
        <v>-2.4457569999999998E-6</v>
      </c>
      <c r="I4528">
        <v>137.2835</v>
      </c>
      <c r="J4528">
        <v>-325.4264</v>
      </c>
      <c r="K4528">
        <v>1.1100760000000001</v>
      </c>
      <c r="L4528">
        <v>141.03129999999999</v>
      </c>
      <c r="M4528">
        <v>-0.99988480000000002</v>
      </c>
      <c r="N4528">
        <v>0</v>
      </c>
      <c r="O4528">
        <v>-2.8242440000000001E-3</v>
      </c>
      <c r="P4528">
        <v>-0.99724360000000001</v>
      </c>
      <c r="Q4528">
        <v>-2.2650739999999999E-2</v>
      </c>
      <c r="R4528">
        <v>7.0657129999999999E-2</v>
      </c>
      <c r="S4528">
        <v>-3.0303650000000002</v>
      </c>
      <c r="T4528">
        <v>-8.6887000000000006E-2</v>
      </c>
      <c r="U4528">
        <v>-0.29399109999999901</v>
      </c>
      <c r="V4528">
        <v>7.3477120000000007E-2</v>
      </c>
      <c r="W4528">
        <v>-7.745465E-3</v>
      </c>
      <c r="X4528">
        <v>0.99726680000000001</v>
      </c>
      <c r="Y4528">
        <v>-9.3712980000000001E-2</v>
      </c>
      <c r="Z4528">
        <v>-1.259278E-3</v>
      </c>
      <c r="AA4528">
        <v>0.99559839999999999</v>
      </c>
      <c r="AB4528">
        <v>38</v>
      </c>
      <c r="AC4528">
        <v>-29.7957999999999</v>
      </c>
      <c r="AD4528">
        <v>-1.1100784457570001</v>
      </c>
      <c r="AE4528">
        <v>-3.7477999999999798</v>
      </c>
      <c r="AF4528">
        <v>-3.6586259106496901</v>
      </c>
      <c r="AG4528">
        <v>-1.1100784457570001</v>
      </c>
      <c r="AH4528">
        <v>29.765595119019501</v>
      </c>
      <c r="AI4528">
        <v>92.119860961530193</v>
      </c>
      <c r="AJ4528">
        <v>97.007339334787005</v>
      </c>
      <c r="AK4528">
        <v>30.0101394615088</v>
      </c>
      <c r="AL4528">
        <v>90.443786903380797</v>
      </c>
      <c r="AM4528">
        <v>85.786147009554398</v>
      </c>
      <c r="AN4528">
        <v>0.99999997488689996</v>
      </c>
    </row>
    <row r="4529" spans="1:40" x14ac:dyDescent="0.25">
      <c r="A4529" t="str">
        <f>"20190312161404101"</f>
        <v>20190312161404101</v>
      </c>
      <c r="B4529" t="str">
        <f>"1552378444090583"</f>
        <v>1552378444090583</v>
      </c>
      <c r="C4529" t="s">
        <v>40</v>
      </c>
      <c r="D4529">
        <v>5.3796530000000002</v>
      </c>
      <c r="E4529">
        <v>0.37446220000000002</v>
      </c>
      <c r="F4529" t="s">
        <v>54</v>
      </c>
      <c r="G4529">
        <v>-408.39690000000002</v>
      </c>
      <c r="H4529">
        <v>4.7521750000000003</v>
      </c>
      <c r="I4529">
        <v>119.5373</v>
      </c>
      <c r="J4529">
        <v>-325.67930000000001</v>
      </c>
      <c r="K4529">
        <v>1.110079</v>
      </c>
      <c r="L4529">
        <v>141.03039999999999</v>
      </c>
      <c r="M4529">
        <v>-0.99988460000000001</v>
      </c>
      <c r="N4529">
        <v>0</v>
      </c>
      <c r="O4529">
        <v>-2.9542679999999999E-3</v>
      </c>
      <c r="P4529">
        <v>-0.997282</v>
      </c>
      <c r="Q4529">
        <v>-2.2612449999999999E-2</v>
      </c>
      <c r="R4529">
        <v>7.0123649999999996E-2</v>
      </c>
      <c r="S4529">
        <v>-3.0676570000000001</v>
      </c>
      <c r="T4529">
        <v>0.1346589</v>
      </c>
      <c r="U4529">
        <v>-0.79469299999999998</v>
      </c>
      <c r="V4529">
        <v>7.3073390000000002E-2</v>
      </c>
      <c r="W4529">
        <v>-7.7096789999999997E-3</v>
      </c>
      <c r="X4529">
        <v>0.99729679999999998</v>
      </c>
      <c r="Y4529">
        <v>-0.2476951</v>
      </c>
      <c r="Z4529">
        <v>5.21821E-3</v>
      </c>
      <c r="AA4529">
        <v>0.96882400000000002</v>
      </c>
      <c r="AB4529">
        <v>38</v>
      </c>
      <c r="AC4529">
        <v>-82.717600000000004</v>
      </c>
      <c r="AD4529">
        <v>3.642096</v>
      </c>
      <c r="AE4529">
        <v>-21.493099999999899</v>
      </c>
      <c r="AF4529">
        <v>-21.2100900620595</v>
      </c>
      <c r="AG4529">
        <v>3.642096</v>
      </c>
      <c r="AH4529">
        <v>82.630679203200998</v>
      </c>
      <c r="AI4529">
        <v>87.555368612718397</v>
      </c>
      <c r="AJ4529">
        <v>104.396186384651</v>
      </c>
      <c r="AK4529">
        <v>85.387129763777693</v>
      </c>
      <c r="AL4529">
        <v>90.441736429500494</v>
      </c>
      <c r="AM4529">
        <v>85.809343493668194</v>
      </c>
      <c r="AN4529">
        <v>1.0000000333832999</v>
      </c>
    </row>
    <row r="4530" spans="1:40" x14ac:dyDescent="0.25">
      <c r="A4530" t="str">
        <f>"20190312161404257"</f>
        <v>20190312161404257</v>
      </c>
      <c r="B4530" t="str">
        <f>"1552378444251076"</f>
        <v>1552378444251076</v>
      </c>
      <c r="C4530" t="s">
        <v>40</v>
      </c>
      <c r="D4530">
        <v>5.4429109999999996</v>
      </c>
      <c r="E4530">
        <v>0.37310189999999999</v>
      </c>
      <c r="F4530" t="s">
        <v>78</v>
      </c>
      <c r="G4530">
        <v>-440.75</v>
      </c>
      <c r="H4530">
        <v>4.4220129999999997</v>
      </c>
      <c r="I4530">
        <v>111.5501</v>
      </c>
      <c r="J4530">
        <v>-328.30130000000003</v>
      </c>
      <c r="K4530">
        <v>1.1100939999999999</v>
      </c>
      <c r="L4530">
        <v>141.0198</v>
      </c>
      <c r="M4530">
        <v>-0.99988010000000005</v>
      </c>
      <c r="N4530">
        <v>0</v>
      </c>
      <c r="O4530">
        <v>-4.3058710000000002E-3</v>
      </c>
      <c r="P4530">
        <v>-0.99752980000000002</v>
      </c>
      <c r="Q4530">
        <v>-2.21955E-2</v>
      </c>
      <c r="R4530">
        <v>6.6645099999999999E-2</v>
      </c>
      <c r="S4530">
        <v>-3.0654300000000001</v>
      </c>
      <c r="T4530">
        <v>8.8228940000000006E-2</v>
      </c>
      <c r="U4530">
        <v>-0.78533940000000002</v>
      </c>
      <c r="V4530">
        <v>7.0943290000000006E-2</v>
      </c>
      <c r="W4530">
        <v>-7.3204209999999997E-3</v>
      </c>
      <c r="X4530">
        <v>0.99745349999999999</v>
      </c>
      <c r="Y4530">
        <v>-0.24391019999999999</v>
      </c>
      <c r="Z4530">
        <v>3.3317059999999998E-3</v>
      </c>
      <c r="AA4530">
        <v>0.96979210000000005</v>
      </c>
      <c r="AB4530">
        <v>37</v>
      </c>
      <c r="AC4530">
        <v>-112.44869999999899</v>
      </c>
      <c r="AD4530">
        <v>3.3119190000000001</v>
      </c>
      <c r="AE4530">
        <v>-29.4697</v>
      </c>
      <c r="AF4530">
        <v>-28.961675034410899</v>
      </c>
      <c r="AG4530">
        <v>3.3119190000000001</v>
      </c>
      <c r="AH4530">
        <v>112.483260068869</v>
      </c>
      <c r="AI4530">
        <v>88.366728486622904</v>
      </c>
      <c r="AJ4530">
        <v>104.438644550842</v>
      </c>
      <c r="AK4530">
        <v>116.199101648775</v>
      </c>
      <c r="AL4530">
        <v>90.419432968796897</v>
      </c>
      <c r="AM4530">
        <v>85.931722394249405</v>
      </c>
      <c r="AN4530">
        <v>1.00000001181094</v>
      </c>
    </row>
    <row r="4531" spans="1:40" x14ac:dyDescent="0.25">
      <c r="A4531" t="str">
        <f>"20190312161404286"</f>
        <v>20190312161404286</v>
      </c>
      <c r="B4531" t="str">
        <f>"1552378444280864"</f>
        <v>1552378444280864</v>
      </c>
      <c r="C4531" t="s">
        <v>40</v>
      </c>
      <c r="D4531">
        <v>5.4636690000000003</v>
      </c>
      <c r="E4531">
        <v>0.37602770000000002</v>
      </c>
      <c r="F4531" t="s">
        <v>78</v>
      </c>
      <c r="G4531">
        <v>-440.75</v>
      </c>
      <c r="H4531">
        <v>2.8276539999999999</v>
      </c>
      <c r="I4531">
        <v>111.3553</v>
      </c>
      <c r="J4531">
        <v>-328.7944</v>
      </c>
      <c r="K4531">
        <v>1.1100989999999999</v>
      </c>
      <c r="L4531">
        <v>141.01740000000001</v>
      </c>
      <c r="M4531">
        <v>-0.99987899999999996</v>
      </c>
      <c r="N4531">
        <v>0</v>
      </c>
      <c r="O4531">
        <v>-4.5606750000000001E-3</v>
      </c>
      <c r="P4531">
        <v>-0.99753930000000002</v>
      </c>
      <c r="Q4531">
        <v>-2.1998259999999999E-2</v>
      </c>
      <c r="R4531">
        <v>6.6570119999999997E-2</v>
      </c>
      <c r="S4531">
        <v>-3.062408</v>
      </c>
      <c r="T4531">
        <v>4.6776409999999997E-2</v>
      </c>
      <c r="U4531">
        <v>-0.80787659999999994</v>
      </c>
      <c r="V4531">
        <v>7.1122450000000004E-2</v>
      </c>
      <c r="W4531">
        <v>-7.1287719999999898E-3</v>
      </c>
      <c r="X4531">
        <v>0.9974421</v>
      </c>
      <c r="Y4531">
        <v>-0.25063800000000003</v>
      </c>
      <c r="Z4531">
        <v>1.8133909999999999E-3</v>
      </c>
      <c r="AA4531">
        <v>0.96807909999999997</v>
      </c>
      <c r="AB4531">
        <v>37</v>
      </c>
      <c r="AC4531">
        <v>-111.9556</v>
      </c>
      <c r="AD4531">
        <v>1.7175549999999999</v>
      </c>
      <c r="AE4531">
        <v>-29.662099999999999</v>
      </c>
      <c r="AF4531">
        <v>-29.144732331058002</v>
      </c>
      <c r="AG4531">
        <v>1.7175549999999999</v>
      </c>
      <c r="AH4531">
        <v>112.065084127441</v>
      </c>
      <c r="AI4531">
        <v>89.150194649221405</v>
      </c>
      <c r="AJ4531">
        <v>104.577956553447</v>
      </c>
      <c r="AK4531">
        <v>115.80564968220401</v>
      </c>
      <c r="AL4531">
        <v>90.408452015427898</v>
      </c>
      <c r="AM4531">
        <v>85.921436547261493</v>
      </c>
      <c r="AN4531">
        <v>0.99999998256832001</v>
      </c>
    </row>
    <row r="4532" spans="1:40" x14ac:dyDescent="0.25">
      <c r="A4532" t="str">
        <f>"20190312161404302"</f>
        <v>20190312161404302</v>
      </c>
      <c r="B4532" t="str">
        <f>"1552378444290623"</f>
        <v>1552378444290623</v>
      </c>
      <c r="C4532" t="s">
        <v>40</v>
      </c>
      <c r="D4532">
        <v>5.4320629999999896</v>
      </c>
      <c r="E4532">
        <v>0.37725609999999998</v>
      </c>
      <c r="F4532" t="s">
        <v>78</v>
      </c>
      <c r="G4532">
        <v>-440.75</v>
      </c>
      <c r="H4532">
        <v>1.78649199999999</v>
      </c>
      <c r="I4532">
        <v>112.286</v>
      </c>
      <c r="J4532">
        <v>-329.03660000000002</v>
      </c>
      <c r="K4532">
        <v>1.1101030000000001</v>
      </c>
      <c r="L4532">
        <v>141.0162</v>
      </c>
      <c r="M4532">
        <v>-0.9998785</v>
      </c>
      <c r="N4532">
        <v>0</v>
      </c>
      <c r="O4532">
        <v>-4.6854549999999998E-3</v>
      </c>
      <c r="P4532">
        <v>-0.99754969999999998</v>
      </c>
      <c r="Q4532">
        <v>-2.1723470000000002E-2</v>
      </c>
      <c r="R4532">
        <v>6.6503389999999996E-2</v>
      </c>
      <c r="S4532">
        <v>-3.060181</v>
      </c>
      <c r="T4532">
        <v>1.8489120000000001E-2</v>
      </c>
      <c r="U4532">
        <v>-0.78533940000000002</v>
      </c>
      <c r="V4532">
        <v>7.1180010000000002E-2</v>
      </c>
      <c r="W4532">
        <v>-6.8568300000000004E-3</v>
      </c>
      <c r="X4532">
        <v>0.99743990000000005</v>
      </c>
      <c r="Y4532">
        <v>-0.2440309</v>
      </c>
      <c r="Z4532">
        <v>6.9758139999999999E-4</v>
      </c>
      <c r="AA4532">
        <v>0.96976719999999905</v>
      </c>
      <c r="AB4532">
        <v>37</v>
      </c>
      <c r="AC4532">
        <v>-111.713399999999</v>
      </c>
      <c r="AD4532">
        <v>0.67638899999999902</v>
      </c>
      <c r="AE4532">
        <v>-28.7302</v>
      </c>
      <c r="AF4532">
        <v>-28.205428757511999</v>
      </c>
      <c r="AG4532">
        <v>0.67638899999999902</v>
      </c>
      <c r="AH4532">
        <v>111.842956699282</v>
      </c>
      <c r="AI4532">
        <v>89.664017501660595</v>
      </c>
      <c r="AJ4532">
        <v>104.15416046603001</v>
      </c>
      <c r="AK4532">
        <v>115.346654380229</v>
      </c>
      <c r="AL4532">
        <v>90.392870505481895</v>
      </c>
      <c r="AM4532">
        <v>85.918137911490206</v>
      </c>
      <c r="AN4532">
        <v>0.99999998202662899</v>
      </c>
    </row>
    <row r="4533" spans="1:40" x14ac:dyDescent="0.25">
      <c r="A4533" t="str">
        <f>"20190312161404323"</f>
        <v>20190312161404323</v>
      </c>
      <c r="B4533" t="str">
        <f>"1552378444320880"</f>
        <v>1552378444320880</v>
      </c>
      <c r="C4533" t="s">
        <v>40</v>
      </c>
      <c r="D4533">
        <v>5.5478440000000004</v>
      </c>
      <c r="E4533">
        <v>0.38139269999999997</v>
      </c>
      <c r="F4533" t="s">
        <v>78</v>
      </c>
      <c r="G4533">
        <v>-440.75</v>
      </c>
      <c r="H4533">
        <v>1.02112</v>
      </c>
      <c r="I4533">
        <v>112.6729</v>
      </c>
      <c r="J4533">
        <v>-329.39089999999999</v>
      </c>
      <c r="K4533">
        <v>1.1101030000000001</v>
      </c>
      <c r="L4533">
        <v>141.01429999999999</v>
      </c>
      <c r="M4533">
        <v>-0.99987760000000003</v>
      </c>
      <c r="N4533">
        <v>0</v>
      </c>
      <c r="O4533">
        <v>-4.8681569999999997E-3</v>
      </c>
      <c r="P4533">
        <v>-0.99756129999999998</v>
      </c>
      <c r="Q4533">
        <v>-2.1475870000000001E-2</v>
      </c>
      <c r="R4533">
        <v>6.6408690000000006E-2</v>
      </c>
      <c r="S4533">
        <v>-3.0590519999999999</v>
      </c>
      <c r="T4533">
        <v>-2.4358029999999998E-3</v>
      </c>
      <c r="U4533">
        <v>-0.77612300000000001</v>
      </c>
      <c r="V4533">
        <v>7.1267490000000003E-2</v>
      </c>
      <c r="W4533">
        <v>-6.6133549999999996E-3</v>
      </c>
      <c r="X4533">
        <v>0.99743530000000002</v>
      </c>
      <c r="Y4533">
        <v>-0.24119979999999999</v>
      </c>
      <c r="Z4533" s="1">
        <v>-9.071575E-5</v>
      </c>
      <c r="AA4533">
        <v>0.97047550000000005</v>
      </c>
      <c r="AB4533">
        <v>37</v>
      </c>
      <c r="AC4533">
        <v>-111.3591</v>
      </c>
      <c r="AD4533">
        <v>-8.8983000000000007E-2</v>
      </c>
      <c r="AE4533">
        <v>-28.3414</v>
      </c>
      <c r="AF4533">
        <v>-27.798873904100802</v>
      </c>
      <c r="AG4533">
        <v>-8.8983000000000007E-2</v>
      </c>
      <c r="AH4533">
        <v>111.495698932737</v>
      </c>
      <c r="AI4533">
        <v>90.044368598298405</v>
      </c>
      <c r="AJ4533">
        <v>103.999939022604</v>
      </c>
      <c r="AK4533">
        <v>114.90899089631699</v>
      </c>
      <c r="AL4533">
        <v>90.378920097880197</v>
      </c>
      <c r="AM4533">
        <v>85.913119520385905</v>
      </c>
      <c r="AN4533">
        <v>0.99999998464067297</v>
      </c>
    </row>
    <row r="4534" spans="1:40" x14ac:dyDescent="0.25">
      <c r="A4534" t="str">
        <f>"20190312161404338"</f>
        <v>20190312161404338</v>
      </c>
      <c r="B4534" t="str">
        <f>"1552378444330640"</f>
        <v>1552378444330640</v>
      </c>
      <c r="C4534" t="s">
        <v>40</v>
      </c>
      <c r="D4534">
        <v>5.6772460000000002</v>
      </c>
      <c r="E4534">
        <v>0.3831753</v>
      </c>
      <c r="F4534" t="s">
        <v>42</v>
      </c>
      <c r="G4534">
        <v>-428.23719999999997</v>
      </c>
      <c r="H4534" s="1">
        <v>-4.8504960000000003E-6</v>
      </c>
      <c r="I4534">
        <v>116.9466</v>
      </c>
      <c r="J4534">
        <v>-329.65230000000003</v>
      </c>
      <c r="K4534">
        <v>1.110106</v>
      </c>
      <c r="L4534">
        <v>141.0129</v>
      </c>
      <c r="M4534">
        <v>-0.99987689999999996</v>
      </c>
      <c r="N4534">
        <v>0</v>
      </c>
      <c r="O4534">
        <v>-5.0030659999999996E-3</v>
      </c>
      <c r="P4534">
        <v>-0.99756270000000002</v>
      </c>
      <c r="Q4534">
        <v>-2.153424E-2</v>
      </c>
      <c r="R4534">
        <v>6.6368940000000001E-2</v>
      </c>
      <c r="S4534">
        <v>-3.0561219999999998</v>
      </c>
      <c r="T4534">
        <v>-3.432226E-2</v>
      </c>
      <c r="U4534">
        <v>-0.74412539999999905</v>
      </c>
      <c r="V4534">
        <v>7.1362469999999997E-2</v>
      </c>
      <c r="W4534">
        <v>-6.6747330000000004E-3</v>
      </c>
      <c r="X4534">
        <v>0.99742810000000004</v>
      </c>
      <c r="Y4534">
        <v>-0.23169699999999999</v>
      </c>
      <c r="Z4534">
        <v>-1.226909E-3</v>
      </c>
      <c r="AA4534">
        <v>0.97278730000000002</v>
      </c>
      <c r="AB4534">
        <v>37</v>
      </c>
      <c r="AC4534">
        <v>-98.584899999999905</v>
      </c>
      <c r="AD4534">
        <v>-1.110110850496</v>
      </c>
      <c r="AE4534">
        <v>-24.066299999999998</v>
      </c>
      <c r="AF4534">
        <v>-23.569896896180101</v>
      </c>
      <c r="AG4534">
        <v>-1.110110850496</v>
      </c>
      <c r="AH4534">
        <v>98.692274338692698</v>
      </c>
      <c r="AI4534">
        <v>90.626821099556693</v>
      </c>
      <c r="AJ4534">
        <v>103.43190355548499</v>
      </c>
      <c r="AK4534">
        <v>101.473826181635</v>
      </c>
      <c r="AL4534">
        <v>90.382436875993207</v>
      </c>
      <c r="AM4534">
        <v>85.907661883174498</v>
      </c>
      <c r="AN4534">
        <v>0.99999998442736604</v>
      </c>
    </row>
    <row r="4535" spans="1:40" x14ac:dyDescent="0.25">
      <c r="A4535" t="str">
        <f>"20190312161404352"</f>
        <v>20190312161404352</v>
      </c>
      <c r="B4535" t="str">
        <f>"1552378444340400"</f>
        <v>1552378444340400</v>
      </c>
      <c r="C4535" t="s">
        <v>40</v>
      </c>
      <c r="D4535">
        <v>5.7933029999999999</v>
      </c>
      <c r="E4535">
        <v>0.38477869999999997</v>
      </c>
      <c r="F4535" t="s">
        <v>41</v>
      </c>
      <c r="G4535">
        <v>-408.38959999999997</v>
      </c>
      <c r="H4535">
        <v>-0.05</v>
      </c>
      <c r="I4535">
        <v>122.1889</v>
      </c>
      <c r="J4535">
        <v>-329.86840000000001</v>
      </c>
      <c r="K4535">
        <v>1.1101049999999999</v>
      </c>
      <c r="L4535">
        <v>141.01169999999999</v>
      </c>
      <c r="M4535">
        <v>-0.9998766</v>
      </c>
      <c r="N4535">
        <v>0</v>
      </c>
      <c r="O4535">
        <v>-5.1149740000000004E-3</v>
      </c>
      <c r="P4535">
        <v>-0.9975927</v>
      </c>
      <c r="Q4535">
        <v>-2.1176730000000001E-2</v>
      </c>
      <c r="R4535">
        <v>6.6034599999999999E-2</v>
      </c>
      <c r="S4535">
        <v>-3.0549010000000001</v>
      </c>
      <c r="T4535">
        <v>-4.501057E-2</v>
      </c>
      <c r="U4535">
        <v>-0.73034670000000002</v>
      </c>
      <c r="V4535">
        <v>7.1139659999999993E-2</v>
      </c>
      <c r="W4535">
        <v>-6.3193800000000003E-3</v>
      </c>
      <c r="X4535">
        <v>0.99744639999999996</v>
      </c>
      <c r="Y4535">
        <v>-0.2275199</v>
      </c>
      <c r="Z4535">
        <v>-1.5784410000000001E-3</v>
      </c>
      <c r="AA4535">
        <v>0.97377219999999998</v>
      </c>
      <c r="AB4535">
        <v>37</v>
      </c>
      <c r="AC4535">
        <v>-78.521199999999894</v>
      </c>
      <c r="AD4535">
        <v>-1.1601049999999999</v>
      </c>
      <c r="AE4535">
        <v>-18.822799999999901</v>
      </c>
      <c r="AF4535">
        <v>-18.417073823072698</v>
      </c>
      <c r="AG4535">
        <v>-1.1601049999999999</v>
      </c>
      <c r="AH4535">
        <v>78.600236558535997</v>
      </c>
      <c r="AI4535">
        <v>90.823303549166795</v>
      </c>
      <c r="AJ4535">
        <v>103.18725476920299</v>
      </c>
      <c r="AK4535">
        <v>80.737424029215603</v>
      </c>
      <c r="AL4535">
        <v>90.362076193749203</v>
      </c>
      <c r="AM4535">
        <v>85.920470487907295</v>
      </c>
      <c r="AN4535">
        <v>1.0000000533307201</v>
      </c>
    </row>
    <row r="4536" spans="1:40" x14ac:dyDescent="0.25">
      <c r="A4536" t="str">
        <f>"20190312161404369"</f>
        <v>20190312161404369</v>
      </c>
      <c r="B4536" t="str">
        <f>"1552378444360896"</f>
        <v>1552378444360896</v>
      </c>
      <c r="C4536" t="s">
        <v>40</v>
      </c>
      <c r="D4536">
        <v>5.7993160000000001</v>
      </c>
      <c r="E4536">
        <v>0.38764939999999998</v>
      </c>
      <c r="F4536" t="s">
        <v>42</v>
      </c>
      <c r="G4536">
        <v>-385.25700000000001</v>
      </c>
      <c r="H4536">
        <v>7.9986829999999995E-2</v>
      </c>
      <c r="I4536">
        <v>127.97450000000001</v>
      </c>
      <c r="J4536">
        <v>-330.15989999999999</v>
      </c>
      <c r="K4536">
        <v>1.110098</v>
      </c>
      <c r="L4536">
        <v>141.01009999999999</v>
      </c>
      <c r="M4536">
        <v>-0.99987570000000003</v>
      </c>
      <c r="N4536">
        <v>0</v>
      </c>
      <c r="O4536">
        <v>-5.2654980000000004E-3</v>
      </c>
      <c r="P4536">
        <v>-0.99760470000000001</v>
      </c>
      <c r="Q4536">
        <v>-2.1141190000000001E-2</v>
      </c>
      <c r="R4536">
        <v>6.5864699999999998E-2</v>
      </c>
      <c r="S4536">
        <v>-3.0536189999999999</v>
      </c>
      <c r="T4536">
        <v>-5.6791420000000002E-2</v>
      </c>
      <c r="U4536">
        <v>-0.71875</v>
      </c>
      <c r="V4536">
        <v>7.1120020000000006E-2</v>
      </c>
      <c r="W4536">
        <v>-6.2869369999999898E-3</v>
      </c>
      <c r="X4536">
        <v>0.997448</v>
      </c>
      <c r="Y4536">
        <v>-0.22395019999999999</v>
      </c>
      <c r="Z4536">
        <v>-1.957683E-3</v>
      </c>
      <c r="AA4536">
        <v>0.97459859999999998</v>
      </c>
      <c r="AB4536">
        <v>37</v>
      </c>
      <c r="AC4536">
        <v>-55.097099999999898</v>
      </c>
      <c r="AD4536">
        <v>-1.0301111700000001</v>
      </c>
      <c r="AE4536">
        <v>-13.035599999999899</v>
      </c>
      <c r="AF4536">
        <v>-12.7410559709341</v>
      </c>
      <c r="AG4536">
        <v>-1.0301111700000001</v>
      </c>
      <c r="AH4536">
        <v>55.146727770338501</v>
      </c>
      <c r="AI4536">
        <v>91.042669535311603</v>
      </c>
      <c r="AJ4536">
        <v>103.009302028495</v>
      </c>
      <c r="AK4536">
        <v>56.608808678975599</v>
      </c>
      <c r="AL4536">
        <v>90.360217311952198</v>
      </c>
      <c r="AM4536">
        <v>85.921599469822795</v>
      </c>
      <c r="AN4536">
        <v>1.0000000477628199</v>
      </c>
    </row>
    <row r="4537" spans="1:40" x14ac:dyDescent="0.25">
      <c r="A4537" t="str">
        <f>"20190312161404382"</f>
        <v>20190312161404382</v>
      </c>
      <c r="B4537" t="str">
        <f>"1552378444370657"</f>
        <v>1552378444370657</v>
      </c>
      <c r="C4537" t="s">
        <v>40</v>
      </c>
      <c r="D4537">
        <v>5.6886859999999997</v>
      </c>
      <c r="E4537">
        <v>0.38873340000000001</v>
      </c>
      <c r="F4537" t="s">
        <v>42</v>
      </c>
      <c r="G4537">
        <v>-375.93340000000001</v>
      </c>
      <c r="H4537" s="1">
        <v>-3.7803890000000002E-6</v>
      </c>
      <c r="I4537">
        <v>130.55690000000001</v>
      </c>
      <c r="J4537">
        <v>-330.39429999999999</v>
      </c>
      <c r="K4537">
        <v>1.110098</v>
      </c>
      <c r="L4537">
        <v>141.00880000000001</v>
      </c>
      <c r="M4537">
        <v>-0.99987519999999996</v>
      </c>
      <c r="N4537">
        <v>0</v>
      </c>
      <c r="O4537">
        <v>-5.3868229999999998E-3</v>
      </c>
      <c r="P4537">
        <v>-0.99759629999999999</v>
      </c>
      <c r="Q4537">
        <v>-2.1366320000000001E-2</v>
      </c>
      <c r="R4537">
        <v>6.5921190000000005E-2</v>
      </c>
      <c r="S4537">
        <v>-3.051666</v>
      </c>
      <c r="T4537">
        <v>-7.40093E-2</v>
      </c>
      <c r="U4537">
        <v>-0.69689939999999995</v>
      </c>
      <c r="V4537">
        <v>7.1297559999999996E-2</v>
      </c>
      <c r="W4537">
        <v>-6.5147130000000001E-3</v>
      </c>
      <c r="X4537">
        <v>0.99743380000000004</v>
      </c>
      <c r="Y4537">
        <v>-0.2173206</v>
      </c>
      <c r="Z4537">
        <v>-2.4724249999999999E-3</v>
      </c>
      <c r="AA4537">
        <v>0.9760972</v>
      </c>
      <c r="AB4537">
        <v>37</v>
      </c>
      <c r="AC4537">
        <v>-45.539099999999998</v>
      </c>
      <c r="AD4537">
        <v>-1.1101017803890001</v>
      </c>
      <c r="AE4537">
        <v>-10.451899999999901</v>
      </c>
      <c r="AF4537">
        <v>-10.200651953838999</v>
      </c>
      <c r="AG4537">
        <v>-1.1101017803890001</v>
      </c>
      <c r="AH4537">
        <v>45.569024299120599</v>
      </c>
      <c r="AI4537">
        <v>91.361810580530005</v>
      </c>
      <c r="AJ4537">
        <v>102.617683846162</v>
      </c>
      <c r="AK4537">
        <v>46.709973258609601</v>
      </c>
      <c r="AL4537">
        <v>90.373268205812394</v>
      </c>
      <c r="AM4537">
        <v>85.911394855619605</v>
      </c>
      <c r="AN4537">
        <v>0.99999998446493199</v>
      </c>
    </row>
    <row r="4538" spans="1:40" x14ac:dyDescent="0.25">
      <c r="A4538" t="str">
        <f>"20190312161404397"</f>
        <v>20190312161404397</v>
      </c>
      <c r="B4538" t="str">
        <f>"1552378444390683"</f>
        <v>1552378444390683</v>
      </c>
      <c r="C4538" t="s">
        <v>40</v>
      </c>
      <c r="D4538">
        <v>5.7555930000000002</v>
      </c>
      <c r="E4538">
        <v>0.39055250000000002</v>
      </c>
      <c r="F4538" t="s">
        <v>42</v>
      </c>
      <c r="G4538">
        <v>-372.358</v>
      </c>
      <c r="H4538" s="1">
        <v>-4.7345080000000004E-6</v>
      </c>
      <c r="I4538">
        <v>131.5438</v>
      </c>
      <c r="J4538">
        <v>-330.60980000000001</v>
      </c>
      <c r="K4538">
        <v>1.1100989999999999</v>
      </c>
      <c r="L4538">
        <v>141.00749999999999</v>
      </c>
      <c r="M4538">
        <v>-0.99987470000000001</v>
      </c>
      <c r="N4538">
        <v>0</v>
      </c>
      <c r="O4538">
        <v>-5.4983749999999998E-3</v>
      </c>
      <c r="P4538">
        <v>-0.9976005</v>
      </c>
      <c r="Q4538">
        <v>-2.1492509999999999E-2</v>
      </c>
      <c r="R4538">
        <v>6.5816250000000007E-2</v>
      </c>
      <c r="S4538">
        <v>-3.050964</v>
      </c>
      <c r="T4538">
        <v>-8.0709929999999999E-2</v>
      </c>
      <c r="U4538">
        <v>-0.68814090000000006</v>
      </c>
      <c r="V4538">
        <v>7.1303989999999998E-2</v>
      </c>
      <c r="W4538">
        <v>-6.6432369999999998E-3</v>
      </c>
      <c r="X4538">
        <v>0.99743250000000006</v>
      </c>
      <c r="Y4538">
        <v>-0.21458450000000001</v>
      </c>
      <c r="Z4538">
        <v>-2.6590009999999998E-3</v>
      </c>
      <c r="AA4538">
        <v>0.97670179999999995</v>
      </c>
      <c r="AB4538">
        <v>37</v>
      </c>
      <c r="AC4538">
        <v>-41.748199999999997</v>
      </c>
      <c r="AD4538">
        <v>-1.110103734508</v>
      </c>
      <c r="AE4538">
        <v>-9.4636999999999798</v>
      </c>
      <c r="AF4538">
        <v>-9.2277787203463397</v>
      </c>
      <c r="AG4538">
        <v>-1.110103734508</v>
      </c>
      <c r="AH4538">
        <v>41.771518337232102</v>
      </c>
      <c r="AI4538">
        <v>91.486489388456405</v>
      </c>
      <c r="AJ4538">
        <v>102.45718378541901</v>
      </c>
      <c r="AK4538">
        <v>42.793036520101801</v>
      </c>
      <c r="AL4538">
        <v>90.380632245267904</v>
      </c>
      <c r="AM4538">
        <v>85.911022062465804</v>
      </c>
      <c r="AN4538">
        <v>0.99999999182200405</v>
      </c>
    </row>
    <row r="4539" spans="1:40" x14ac:dyDescent="0.25">
      <c r="A4539" t="str">
        <f>"20190312161404414"</f>
        <v>20190312161404414</v>
      </c>
      <c r="B4539" t="str">
        <f>"1552378444411180"</f>
        <v>1552378444411180</v>
      </c>
      <c r="C4539" t="s">
        <v>40</v>
      </c>
      <c r="D4539">
        <v>5.7464199999999996</v>
      </c>
      <c r="E4539">
        <v>0.3921365</v>
      </c>
      <c r="F4539" t="s">
        <v>42</v>
      </c>
      <c r="G4539">
        <v>-367.86520000000002</v>
      </c>
      <c r="H4539" s="1">
        <v>-2.5339899999999999E-6</v>
      </c>
      <c r="I4539">
        <v>132.7706</v>
      </c>
      <c r="J4539">
        <v>-330.88900000000001</v>
      </c>
      <c r="K4539">
        <v>1.1100969999999999</v>
      </c>
      <c r="L4539">
        <v>141.00579999999999</v>
      </c>
      <c r="M4539">
        <v>-0.99987380000000003</v>
      </c>
      <c r="N4539">
        <v>0</v>
      </c>
      <c r="O4539">
        <v>-5.642701E-3</v>
      </c>
      <c r="P4539">
        <v>-0.9975811</v>
      </c>
      <c r="Q4539">
        <v>-2.138406E-2</v>
      </c>
      <c r="R4539">
        <v>6.6142160000000005E-2</v>
      </c>
      <c r="S4539">
        <v>-3.049744</v>
      </c>
      <c r="T4539">
        <v>-9.0873480000000006E-2</v>
      </c>
      <c r="U4539">
        <v>-0.67427060000000005</v>
      </c>
      <c r="V4539">
        <v>7.1773719999999999E-2</v>
      </c>
      <c r="W4539">
        <v>-6.5380789999999996E-3</v>
      </c>
      <c r="X4539">
        <v>0.99739949999999999</v>
      </c>
      <c r="Y4539">
        <v>-0.2102774</v>
      </c>
      <c r="Z4539">
        <v>-2.928702E-3</v>
      </c>
      <c r="AA4539">
        <v>0.97763739999999999</v>
      </c>
      <c r="AB4539">
        <v>37</v>
      </c>
      <c r="AC4539">
        <v>-36.976199999999999</v>
      </c>
      <c r="AD4539">
        <v>-1.1100995339899999</v>
      </c>
      <c r="AE4539">
        <v>-8.2351999999999901</v>
      </c>
      <c r="AF4539">
        <v>-8.0195136512010095</v>
      </c>
      <c r="AG4539">
        <v>-1.1100995339899999</v>
      </c>
      <c r="AH4539">
        <v>36.990320563266998</v>
      </c>
      <c r="AI4539">
        <v>91.679956909569796</v>
      </c>
      <c r="AJ4539">
        <v>102.232437342555</v>
      </c>
      <c r="AK4539">
        <v>37.865931066730901</v>
      </c>
      <c r="AL4539">
        <v>90.374607006213196</v>
      </c>
      <c r="AM4539">
        <v>85.884041624142299</v>
      </c>
      <c r="AN4539">
        <v>0.99999998797994905</v>
      </c>
    </row>
    <row r="4540" spans="1:40" x14ac:dyDescent="0.25">
      <c r="A4540" t="str">
        <f>"20190312161404438"</f>
        <v>20190312161404438</v>
      </c>
      <c r="B4540" t="str">
        <f>"1552378444430699"</f>
        <v>1552378444430699</v>
      </c>
      <c r="C4540" t="s">
        <v>40</v>
      </c>
      <c r="D4540">
        <v>5.7310610000000004</v>
      </c>
      <c r="E4540">
        <v>0.39285379999999998</v>
      </c>
      <c r="F4540" t="s">
        <v>42</v>
      </c>
      <c r="G4540">
        <v>-364.89440000000002</v>
      </c>
      <c r="H4540" s="1">
        <v>-3.3146999999999998E-6</v>
      </c>
      <c r="I4540">
        <v>133.636</v>
      </c>
      <c r="J4540">
        <v>-331.29680000000002</v>
      </c>
      <c r="K4540">
        <v>1.1101030000000001</v>
      </c>
      <c r="L4540">
        <v>141.0033</v>
      </c>
      <c r="M4540">
        <v>-0.99987269999999995</v>
      </c>
      <c r="N4540">
        <v>0</v>
      </c>
      <c r="O4540">
        <v>-5.8536480000000004E-3</v>
      </c>
      <c r="P4540">
        <v>-0.99760369999999998</v>
      </c>
      <c r="Q4540">
        <v>-2.1177189999999999E-2</v>
      </c>
      <c r="R4540">
        <v>6.5866850000000005E-2</v>
      </c>
      <c r="S4540">
        <v>-3.0489809999999999</v>
      </c>
      <c r="T4540">
        <v>-9.9533800000000006E-2</v>
      </c>
      <c r="U4540">
        <v>-0.66078190000000003</v>
      </c>
      <c r="V4540">
        <v>7.1708709999999995E-2</v>
      </c>
      <c r="W4540">
        <v>-6.335678E-3</v>
      </c>
      <c r="X4540">
        <v>0.99740549999999994</v>
      </c>
      <c r="Y4540">
        <v>-0.2059783</v>
      </c>
      <c r="Z4540">
        <v>-3.1338020000000002E-3</v>
      </c>
      <c r="AA4540">
        <v>0.97855150000000002</v>
      </c>
      <c r="AB4540">
        <v>37</v>
      </c>
      <c r="AC4540">
        <v>-33.5976</v>
      </c>
      <c r="AD4540">
        <v>-1.1101063147000001</v>
      </c>
      <c r="AE4540">
        <v>-7.3673000000000002</v>
      </c>
      <c r="AF4540">
        <v>-7.1630222857576404</v>
      </c>
      <c r="AG4540">
        <v>-1.1101063147000001</v>
      </c>
      <c r="AH4540">
        <v>33.605150205352601</v>
      </c>
      <c r="AI4540">
        <v>91.850469865476001</v>
      </c>
      <c r="AJ4540">
        <v>102.032665630609</v>
      </c>
      <c r="AK4540">
        <v>34.378006699349299</v>
      </c>
      <c r="AL4540">
        <v>90.363010036310399</v>
      </c>
      <c r="AM4540">
        <v>85.887781565440207</v>
      </c>
      <c r="AN4540">
        <v>1.0000000056679099</v>
      </c>
    </row>
    <row r="4541" spans="1:40" x14ac:dyDescent="0.25">
      <c r="A4541" t="str">
        <f>"20190312161404458"</f>
        <v>20190312161404458</v>
      </c>
      <c r="B4541" t="str">
        <f>"1552378444451196"</f>
        <v>1552378444451196</v>
      </c>
      <c r="C4541" t="s">
        <v>40</v>
      </c>
      <c r="D4541">
        <v>5.8044449999999896</v>
      </c>
      <c r="E4541">
        <v>0.39409909999999998</v>
      </c>
      <c r="F4541" t="s">
        <v>42</v>
      </c>
      <c r="G4541">
        <v>-364.06389999999999</v>
      </c>
      <c r="H4541" s="1">
        <v>-3.5334980000000001E-6</v>
      </c>
      <c r="I4541">
        <v>133.95259999999999</v>
      </c>
      <c r="J4541">
        <v>-331.63220000000001</v>
      </c>
      <c r="K4541">
        <v>1.1101030000000001</v>
      </c>
      <c r="L4541">
        <v>141.00120000000001</v>
      </c>
      <c r="M4541">
        <v>-0.99987170000000003</v>
      </c>
      <c r="N4541">
        <v>0</v>
      </c>
      <c r="O4541">
        <v>-6.0270509999999899E-3</v>
      </c>
      <c r="P4541">
        <v>-0.99761900000000003</v>
      </c>
      <c r="Q4541">
        <v>-2.1529179999999998E-2</v>
      </c>
      <c r="R4541">
        <v>6.5520579999999995E-2</v>
      </c>
      <c r="S4541">
        <v>-3.048279</v>
      </c>
      <c r="T4541">
        <v>-0.103272</v>
      </c>
      <c r="U4541">
        <v>-0.65591429999999995</v>
      </c>
      <c r="V4541">
        <v>7.1535589999999996E-2</v>
      </c>
      <c r="W4541">
        <v>-6.6914890000000001E-3</v>
      </c>
      <c r="X4541">
        <v>0.99741559999999996</v>
      </c>
      <c r="Y4541">
        <v>-0.20435519999999999</v>
      </c>
      <c r="Z4541">
        <v>-3.2197229999999999E-3</v>
      </c>
      <c r="AA4541">
        <v>0.97889150000000003</v>
      </c>
      <c r="AB4541">
        <v>37</v>
      </c>
      <c r="AC4541">
        <v>-32.4316999999999</v>
      </c>
      <c r="AD4541">
        <v>-1.110106533498</v>
      </c>
      <c r="AE4541">
        <v>-7.04860000000002</v>
      </c>
      <c r="AF4541">
        <v>-6.8453244804052904</v>
      </c>
      <c r="AG4541">
        <v>-1.110106533498</v>
      </c>
      <c r="AH4541">
        <v>32.437307480191699</v>
      </c>
      <c r="AI4541">
        <v>91.917868447937707</v>
      </c>
      <c r="AJ4541">
        <v>101.916423836131</v>
      </c>
      <c r="AK4541">
        <v>33.1703138411781</v>
      </c>
      <c r="AL4541">
        <v>90.383396940367703</v>
      </c>
      <c r="AM4541">
        <v>85.897716794600001</v>
      </c>
      <c r="AN4541">
        <v>0.99999999789252203</v>
      </c>
    </row>
    <row r="4542" spans="1:40" x14ac:dyDescent="0.25">
      <c r="A4542" t="str">
        <f>"20190312161404472"</f>
        <v>20190312161404472</v>
      </c>
      <c r="B4542" t="str">
        <f>"1552378444460956"</f>
        <v>1552378444460956</v>
      </c>
      <c r="C4542" t="s">
        <v>40</v>
      </c>
      <c r="D4542">
        <v>5.7624360000000001</v>
      </c>
      <c r="E4542">
        <v>0.39470450000000001</v>
      </c>
      <c r="F4542" t="s">
        <v>42</v>
      </c>
      <c r="G4542">
        <v>-362.38670000000002</v>
      </c>
      <c r="H4542" s="1">
        <v>-4.1613289999999996E-6</v>
      </c>
      <c r="I4542">
        <v>134.46950000000001</v>
      </c>
      <c r="J4542">
        <v>-331.86799999999999</v>
      </c>
      <c r="K4542">
        <v>1.1101049999999999</v>
      </c>
      <c r="L4542">
        <v>140.99959999999999</v>
      </c>
      <c r="M4542">
        <v>-0.99987090000000001</v>
      </c>
      <c r="N4542">
        <v>0</v>
      </c>
      <c r="O4542">
        <v>-6.1490879999999996E-3</v>
      </c>
      <c r="P4542">
        <v>-0.99761440000000001</v>
      </c>
      <c r="Q4542">
        <v>-2.1769989999999999E-2</v>
      </c>
      <c r="R4542">
        <v>6.5509999999999999E-2</v>
      </c>
      <c r="S4542">
        <v>-3.0473020000000002</v>
      </c>
      <c r="T4542">
        <v>-0.109995</v>
      </c>
      <c r="U4542">
        <v>-0.64718629999999999</v>
      </c>
      <c r="V4542">
        <v>7.164682E-2</v>
      </c>
      <c r="W4542">
        <v>-6.9351119999999898E-3</v>
      </c>
      <c r="X4542">
        <v>0.99740589999999996</v>
      </c>
      <c r="Y4542">
        <v>-0.20160529999999999</v>
      </c>
      <c r="Z4542">
        <v>-3.377868E-3</v>
      </c>
      <c r="AA4542">
        <v>0.97946100000000003</v>
      </c>
      <c r="AB4542">
        <v>37</v>
      </c>
      <c r="AC4542">
        <v>-30.5186999999999</v>
      </c>
      <c r="AD4542">
        <v>-1.1101091613289999</v>
      </c>
      <c r="AE4542">
        <v>-6.5300999999999698</v>
      </c>
      <c r="AF4542">
        <v>-6.33427956170289</v>
      </c>
      <c r="AG4542">
        <v>-1.1101091613289999</v>
      </c>
      <c r="AH4542">
        <v>30.519668134129901</v>
      </c>
      <c r="AI4542">
        <v>92.039703438684995</v>
      </c>
      <c r="AJ4542">
        <v>101.725127883889</v>
      </c>
      <c r="AK4542">
        <v>31.189831402771301</v>
      </c>
      <c r="AL4542">
        <v>90.397355854751197</v>
      </c>
      <c r="AM4542">
        <v>85.891320200779006</v>
      </c>
      <c r="AN4542">
        <v>0.999999945974686</v>
      </c>
    </row>
    <row r="4543" spans="1:40" x14ac:dyDescent="0.25">
      <c r="A4543" t="str">
        <f>"20190312161404486"</f>
        <v>20190312161404486</v>
      </c>
      <c r="B4543" t="str">
        <f>"1552378444480983"</f>
        <v>1552378444480983</v>
      </c>
      <c r="C4543" t="s">
        <v>40</v>
      </c>
      <c r="D4543">
        <v>5.8189260000000003</v>
      </c>
      <c r="E4543">
        <v>0.39579950000000003</v>
      </c>
      <c r="F4543" t="s">
        <v>42</v>
      </c>
      <c r="G4543">
        <v>-361.68220000000002</v>
      </c>
      <c r="H4543" s="1">
        <v>-4.420513E-6</v>
      </c>
      <c r="I4543">
        <v>134.7122</v>
      </c>
      <c r="J4543">
        <v>-332.10899999999998</v>
      </c>
      <c r="K4543">
        <v>1.110107</v>
      </c>
      <c r="L4543">
        <v>140.99809999999999</v>
      </c>
      <c r="M4543">
        <v>-0.99987029999999999</v>
      </c>
      <c r="N4543">
        <v>0</v>
      </c>
      <c r="O4543">
        <v>-6.2741059999999998E-3</v>
      </c>
      <c r="P4543">
        <v>-0.99763299999999999</v>
      </c>
      <c r="Q4543">
        <v>-2.1700879999999999E-2</v>
      </c>
      <c r="R4543">
        <v>6.5251089999999998E-2</v>
      </c>
      <c r="S4543">
        <v>-3.0469059999999999</v>
      </c>
      <c r="T4543">
        <v>-0.1134496</v>
      </c>
      <c r="U4543">
        <v>-0.6425476</v>
      </c>
      <c r="V4543">
        <v>7.1512740000000005E-2</v>
      </c>
      <c r="W4543">
        <v>-6.8685949999999999E-3</v>
      </c>
      <c r="X4543">
        <v>0.99741599999999997</v>
      </c>
      <c r="Y4543">
        <v>-0.20007449999999999</v>
      </c>
      <c r="Z4543">
        <v>-3.452091E-3</v>
      </c>
      <c r="AA4543">
        <v>0.97977460000000005</v>
      </c>
      <c r="AB4543">
        <v>37</v>
      </c>
      <c r="AC4543">
        <v>-29.5731999999999</v>
      </c>
      <c r="AD4543">
        <v>-1.110111420513</v>
      </c>
      <c r="AE4543">
        <v>-6.2858999999999901</v>
      </c>
      <c r="AF4543">
        <v>-6.0919973757461499</v>
      </c>
      <c r="AG4543">
        <v>-1.110111420513</v>
      </c>
      <c r="AH4543">
        <v>29.572192100034499</v>
      </c>
      <c r="AI4543">
        <v>92.105644442887794</v>
      </c>
      <c r="AJ4543">
        <v>101.64033424581299</v>
      </c>
      <c r="AK4543">
        <v>30.213561938199199</v>
      </c>
      <c r="AL4543">
        <v>90.393544613577106</v>
      </c>
      <c r="AM4543">
        <v>85.899024319284806</v>
      </c>
      <c r="AN4543">
        <v>0.99999996331778995</v>
      </c>
    </row>
    <row r="4544" spans="1:40" x14ac:dyDescent="0.25">
      <c r="A4544" t="str">
        <f>"20190312161404503"</f>
        <v>20190312161404503</v>
      </c>
      <c r="B4544" t="str">
        <f>"1552378444490743"</f>
        <v>1552378444490743</v>
      </c>
      <c r="C4544" t="s">
        <v>40</v>
      </c>
      <c r="D4544">
        <v>5.7817619999999996</v>
      </c>
      <c r="E4544">
        <v>0.39626129999999998</v>
      </c>
      <c r="F4544" t="s">
        <v>42</v>
      </c>
      <c r="G4544">
        <v>-359.94690000000003</v>
      </c>
      <c r="H4544" s="1">
        <v>-1.180256E-6</v>
      </c>
      <c r="I4544">
        <v>135.196</v>
      </c>
      <c r="J4544">
        <v>-332.36810000000003</v>
      </c>
      <c r="K4544">
        <v>1.1101099999999999</v>
      </c>
      <c r="L4544">
        <v>140.99629999999999</v>
      </c>
      <c r="M4544">
        <v>-0.99986929999999996</v>
      </c>
      <c r="N4544">
        <v>0</v>
      </c>
      <c r="O4544">
        <v>-6.4079460000000003E-3</v>
      </c>
      <c r="P4544">
        <v>-0.997668</v>
      </c>
      <c r="Q4544">
        <v>-2.1328570000000002E-2</v>
      </c>
      <c r="R4544">
        <v>6.4835939999999995E-2</v>
      </c>
      <c r="S4544">
        <v>-3.0459589999999999</v>
      </c>
      <c r="T4544">
        <v>-0.1214657</v>
      </c>
      <c r="U4544">
        <v>-0.63484189999999996</v>
      </c>
      <c r="V4544">
        <v>7.1231230000000006E-2</v>
      </c>
      <c r="W4544">
        <v>-6.4989339999999996E-3</v>
      </c>
      <c r="X4544">
        <v>0.99743870000000001</v>
      </c>
      <c r="Y4544">
        <v>-0.19761290000000001</v>
      </c>
      <c r="Z4544">
        <v>-3.6440779999999998E-3</v>
      </c>
      <c r="AA4544">
        <v>0.98027339999999996</v>
      </c>
      <c r="AB4544">
        <v>37</v>
      </c>
      <c r="AC4544">
        <v>-27.578800000000001</v>
      </c>
      <c r="AD4544">
        <v>-1.110111180256</v>
      </c>
      <c r="AE4544">
        <v>-5.8002999999999902</v>
      </c>
      <c r="AF4544">
        <v>-5.6147260481410397</v>
      </c>
      <c r="AG4544">
        <v>-1.110111180256</v>
      </c>
      <c r="AH4544">
        <v>27.572623593287499</v>
      </c>
      <c r="AI4544">
        <v>92.259243949160194</v>
      </c>
      <c r="AJ4544">
        <v>101.510001341323</v>
      </c>
      <c r="AK4544">
        <v>28.160381162997702</v>
      </c>
      <c r="AL4544">
        <v>90.3723640950316</v>
      </c>
      <c r="AM4544">
        <v>85.915205710003093</v>
      </c>
      <c r="AN4544">
        <v>1.00000004226406</v>
      </c>
    </row>
    <row r="4545" spans="1:40" x14ac:dyDescent="0.25">
      <c r="A4545" t="str">
        <f>"20190312161404520"</f>
        <v>20190312161404520</v>
      </c>
      <c r="B4545" t="str">
        <f>"1552378444511239"</f>
        <v>1552378444511239</v>
      </c>
      <c r="C4545" t="s">
        <v>40</v>
      </c>
      <c r="D4545">
        <v>5.729247</v>
      </c>
      <c r="E4545">
        <v>0.39704919999999999</v>
      </c>
      <c r="F4545" t="s">
        <v>42</v>
      </c>
      <c r="G4545">
        <v>-359.75119999999998</v>
      </c>
      <c r="H4545" s="1">
        <v>-1.21661E-6</v>
      </c>
      <c r="I4545">
        <v>135.30959999999999</v>
      </c>
      <c r="J4545">
        <v>-332.64319999999998</v>
      </c>
      <c r="K4545">
        <v>1.1101110000000001</v>
      </c>
      <c r="L4545">
        <v>140.99440000000001</v>
      </c>
      <c r="M4545">
        <v>-0.9998686</v>
      </c>
      <c r="N4545">
        <v>0</v>
      </c>
      <c r="O4545">
        <v>-6.5507209999999998E-3</v>
      </c>
      <c r="P4545">
        <v>-0.99768599999999996</v>
      </c>
      <c r="Q4545">
        <v>-2.1523649999999998E-2</v>
      </c>
      <c r="R4545">
        <v>6.4494090000000004E-2</v>
      </c>
      <c r="S4545">
        <v>-3.045471</v>
      </c>
      <c r="T4545">
        <v>-0.1234635</v>
      </c>
      <c r="U4545">
        <v>-0.63244630000000002</v>
      </c>
      <c r="V4545">
        <v>7.1031819999999996E-2</v>
      </c>
      <c r="W4545">
        <v>-6.6970320000000003E-3</v>
      </c>
      <c r="X4545">
        <v>0.99745150000000005</v>
      </c>
      <c r="Y4545">
        <v>-0.19676099999999999</v>
      </c>
      <c r="Z4545">
        <v>-3.6820400000000001E-3</v>
      </c>
      <c r="AA4545">
        <v>0.9804446</v>
      </c>
      <c r="AB4545">
        <v>37</v>
      </c>
      <c r="AC4545">
        <v>-27.108000000000001</v>
      </c>
      <c r="AD4545">
        <v>-1.1101122166099999</v>
      </c>
      <c r="AE4545">
        <v>-5.6848000000000196</v>
      </c>
      <c r="AF4545">
        <v>-5.4982492679514401</v>
      </c>
      <c r="AG4545">
        <v>-1.1101122166099999</v>
      </c>
      <c r="AH4545">
        <v>27.101127244410499</v>
      </c>
      <c r="AI4545">
        <v>92.298848304548002</v>
      </c>
      <c r="AJ4545">
        <v>101.468453783981</v>
      </c>
      <c r="AK4545">
        <v>27.675516111966601</v>
      </c>
      <c r="AL4545">
        <v>90.383714563170798</v>
      </c>
      <c r="AM4545">
        <v>85.926654536514803</v>
      </c>
      <c r="AN4545">
        <v>0.999999932271183</v>
      </c>
    </row>
    <row r="4546" spans="1:40" x14ac:dyDescent="0.25">
      <c r="A4546" t="str">
        <f>"20190312161404536"</f>
        <v>20190312161404536</v>
      </c>
      <c r="B4546" t="str">
        <f>"1552378444530759"</f>
        <v>1552378444530759</v>
      </c>
      <c r="C4546" t="s">
        <v>40</v>
      </c>
      <c r="D4546">
        <v>5.7209269999999997</v>
      </c>
      <c r="E4546">
        <v>0.39779229999999999</v>
      </c>
      <c r="F4546" t="s">
        <v>42</v>
      </c>
      <c r="G4546">
        <v>-359.02210000000002</v>
      </c>
      <c r="H4546" s="1">
        <v>-1.3981030000000001E-6</v>
      </c>
      <c r="I4546">
        <v>135.56</v>
      </c>
      <c r="J4546">
        <v>-332.9135</v>
      </c>
      <c r="K4546">
        <v>1.1100989999999999</v>
      </c>
      <c r="L4546">
        <v>140.99250000000001</v>
      </c>
      <c r="M4546">
        <v>-0.99986770000000003</v>
      </c>
      <c r="N4546">
        <v>0</v>
      </c>
      <c r="O4546">
        <v>-6.6905180000000003E-3</v>
      </c>
      <c r="P4546">
        <v>-0.99770130000000001</v>
      </c>
      <c r="Q4546">
        <v>-2.171874E-2</v>
      </c>
      <c r="R4546">
        <v>6.4190639999999993E-2</v>
      </c>
      <c r="S4546">
        <v>-3.0447389999999999</v>
      </c>
      <c r="T4546">
        <v>-0.12813260000000001</v>
      </c>
      <c r="U4546">
        <v>-0.62724299999999999</v>
      </c>
      <c r="V4546">
        <v>7.0868070000000005E-2</v>
      </c>
      <c r="W4546">
        <v>-6.8951100000000003E-3</v>
      </c>
      <c r="X4546">
        <v>0.99746190000000001</v>
      </c>
      <c r="Y4546">
        <v>-0.1950537</v>
      </c>
      <c r="Z4546">
        <v>-3.7813679999999998E-3</v>
      </c>
      <c r="AA4546">
        <v>0.98078529999999997</v>
      </c>
      <c r="AB4546">
        <v>37</v>
      </c>
      <c r="AC4546">
        <v>-26.108599999999999</v>
      </c>
      <c r="AD4546">
        <v>-1.110100398103</v>
      </c>
      <c r="AE4546">
        <v>-5.4325000000000001</v>
      </c>
      <c r="AF4546">
        <v>-5.2485843348748</v>
      </c>
      <c r="AG4546">
        <v>-1.110100398103</v>
      </c>
      <c r="AH4546">
        <v>26.099140948891499</v>
      </c>
      <c r="AI4546">
        <v>92.387801515580705</v>
      </c>
      <c r="AJ4546">
        <v>101.370620299051</v>
      </c>
      <c r="AK4546">
        <v>26.644795339508001</v>
      </c>
      <c r="AL4546">
        <v>90.395063819309797</v>
      </c>
      <c r="AM4546">
        <v>85.936055570732606</v>
      </c>
      <c r="AN4546">
        <v>1.0000000339195201</v>
      </c>
    </row>
    <row r="4547" spans="1:40" x14ac:dyDescent="0.25">
      <c r="A4547" t="str">
        <f>"20190312161404559"</f>
        <v>20190312161404559</v>
      </c>
      <c r="B4547" t="str">
        <f>"1552378444551254"</f>
        <v>1552378444551254</v>
      </c>
      <c r="C4547" t="s">
        <v>40</v>
      </c>
      <c r="D4547">
        <v>5.8064939999999998</v>
      </c>
      <c r="E4547">
        <v>0.39853179999999999</v>
      </c>
      <c r="F4547" t="s">
        <v>42</v>
      </c>
      <c r="G4547">
        <v>-358.42540000000002</v>
      </c>
      <c r="H4547" s="1">
        <v>-1.5437820000000001E-6</v>
      </c>
      <c r="I4547">
        <v>135.7757</v>
      </c>
      <c r="J4547">
        <v>-333.28820000000002</v>
      </c>
      <c r="K4547">
        <v>1.1100989999999999</v>
      </c>
      <c r="L4547">
        <v>140.9898</v>
      </c>
      <c r="M4547">
        <v>-0.99986640000000004</v>
      </c>
      <c r="N4547">
        <v>0</v>
      </c>
      <c r="O4547">
        <v>-6.8848980000000004E-3</v>
      </c>
      <c r="P4547">
        <v>-0.99774039999999997</v>
      </c>
      <c r="Q4547">
        <v>-2.1651400000000001E-2</v>
      </c>
      <c r="R4547">
        <v>6.3604220000000003E-2</v>
      </c>
      <c r="S4547">
        <v>-3.0440670000000001</v>
      </c>
      <c r="T4547">
        <v>-0.13245670000000001</v>
      </c>
      <c r="U4547">
        <v>-0.6224518</v>
      </c>
      <c r="V4547">
        <v>7.0475720000000006E-2</v>
      </c>
      <c r="W4547">
        <v>-6.8317289999999999E-3</v>
      </c>
      <c r="X4547">
        <v>0.99749010000000005</v>
      </c>
      <c r="Y4547">
        <v>-0.1934148</v>
      </c>
      <c r="Z4547">
        <v>-3.8666759999999999E-3</v>
      </c>
      <c r="AA4547">
        <v>0.98110940000000002</v>
      </c>
      <c r="AB4547">
        <v>37</v>
      </c>
      <c r="AC4547">
        <v>-25.1372</v>
      </c>
      <c r="AD4547">
        <v>-1.110100543782</v>
      </c>
      <c r="AE4547">
        <v>-5.2141000000000002</v>
      </c>
      <c r="AF4547">
        <v>-5.0314824299858003</v>
      </c>
      <c r="AG4547">
        <v>-1.110100543782</v>
      </c>
      <c r="AH4547">
        <v>25.125526784231401</v>
      </c>
      <c r="AI4547">
        <v>92.480621011031204</v>
      </c>
      <c r="AJ4547">
        <v>101.323914635368</v>
      </c>
      <c r="AK4547">
        <v>25.648396340623101</v>
      </c>
      <c r="AL4547">
        <v>90.391432283523599</v>
      </c>
      <c r="AM4547">
        <v>85.958594079342902</v>
      </c>
      <c r="AN4547">
        <v>0.99999999961432895</v>
      </c>
    </row>
    <row r="4548" spans="1:40" x14ac:dyDescent="0.25">
      <c r="A4548" t="str">
        <f>"20190312161404581"</f>
        <v>20190312161404581</v>
      </c>
      <c r="B4548" t="str">
        <f>"1552378444570778"</f>
        <v>1552378444570778</v>
      </c>
      <c r="C4548" t="s">
        <v>40</v>
      </c>
      <c r="D4548">
        <v>5.6342270000000001</v>
      </c>
      <c r="E4548">
        <v>0.39911140000000001</v>
      </c>
      <c r="F4548" t="s">
        <v>42</v>
      </c>
      <c r="G4548">
        <v>-358.32190000000003</v>
      </c>
      <c r="H4548" s="1">
        <v>-1.545051E-6</v>
      </c>
      <c r="I4548">
        <v>135.9032</v>
      </c>
      <c r="J4548">
        <v>-333.64859999999999</v>
      </c>
      <c r="K4548">
        <v>1.1100989999999999</v>
      </c>
      <c r="L4548">
        <v>140.9871</v>
      </c>
      <c r="M4548">
        <v>-0.99986520000000001</v>
      </c>
      <c r="N4548">
        <v>0</v>
      </c>
      <c r="O4548">
        <v>-7.0717699999999998E-3</v>
      </c>
      <c r="P4548">
        <v>-0.99776719999999997</v>
      </c>
      <c r="Q4548">
        <v>-2.2047609999999999E-2</v>
      </c>
      <c r="R4548">
        <v>6.3044500000000003E-2</v>
      </c>
      <c r="S4548">
        <v>-3.0432739999999998</v>
      </c>
      <c r="T4548">
        <v>-0.13495179999999901</v>
      </c>
      <c r="U4548">
        <v>-0.61834719999999999</v>
      </c>
      <c r="V4548">
        <v>7.0102709999999999E-2</v>
      </c>
      <c r="W4548">
        <v>-7.2318919999999898E-3</v>
      </c>
      <c r="X4548">
        <v>0.9975136</v>
      </c>
      <c r="Y4548">
        <v>-0.19200590000000001</v>
      </c>
      <c r="Z4548">
        <v>-3.9018709999999999E-3</v>
      </c>
      <c r="AA4548">
        <v>0.98138599999999998</v>
      </c>
      <c r="AB4548">
        <v>37</v>
      </c>
      <c r="AC4548">
        <v>-24.673300000000001</v>
      </c>
      <c r="AD4548">
        <v>-1.110100545051</v>
      </c>
      <c r="AE4548">
        <v>-5.0838999999999999</v>
      </c>
      <c r="AF4548">
        <v>-4.8997552680113499</v>
      </c>
      <c r="AG4548">
        <v>-1.110100545051</v>
      </c>
      <c r="AH4548">
        <v>24.660751901304799</v>
      </c>
      <c r="AI4548">
        <v>92.528071657400702</v>
      </c>
      <c r="AJ4548">
        <v>101.237543576398</v>
      </c>
      <c r="AK4548">
        <v>25.167292449610802</v>
      </c>
      <c r="AL4548">
        <v>90.414360486408995</v>
      </c>
      <c r="AM4548">
        <v>85.980008288264997</v>
      </c>
      <c r="AN4548">
        <v>1.0000000361981001</v>
      </c>
    </row>
    <row r="4549" spans="1:40" x14ac:dyDescent="0.25">
      <c r="A4549" t="str">
        <f>"20190312161404595"</f>
        <v>20190312161404595</v>
      </c>
      <c r="B4549" t="str">
        <f>"1552378444590801"</f>
        <v>1552378444590801</v>
      </c>
      <c r="C4549" t="s">
        <v>40</v>
      </c>
      <c r="D4549">
        <v>5.6496890000000004</v>
      </c>
      <c r="E4549">
        <v>0.42894490000000002</v>
      </c>
      <c r="F4549" t="s">
        <v>42</v>
      </c>
      <c r="G4549">
        <v>-358.58670000000001</v>
      </c>
      <c r="H4549" s="1">
        <v>-1.4443779999999999E-6</v>
      </c>
      <c r="I4549">
        <v>135.94299999999899</v>
      </c>
      <c r="J4549">
        <v>-333.88650000000001</v>
      </c>
      <c r="K4549">
        <v>1.110101</v>
      </c>
      <c r="L4549">
        <v>140.9853</v>
      </c>
      <c r="M4549">
        <v>-0.99986430000000004</v>
      </c>
      <c r="N4549">
        <v>0</v>
      </c>
      <c r="O4549">
        <v>-7.1950010000000003E-3</v>
      </c>
      <c r="P4549">
        <v>-0.99777879999999997</v>
      </c>
      <c r="Q4549">
        <v>-2.1994050000000001E-2</v>
      </c>
      <c r="R4549">
        <v>6.2880720000000001E-2</v>
      </c>
      <c r="S4549">
        <v>-3.0426030000000002</v>
      </c>
      <c r="T4549">
        <v>-0.13543929999999901</v>
      </c>
      <c r="U4549">
        <v>-0.61540220000000001</v>
      </c>
      <c r="V4549">
        <v>7.0061940000000003E-2</v>
      </c>
      <c r="W4549">
        <v>-7.1810169999999996E-3</v>
      </c>
      <c r="X4549">
        <v>0.99751679999999998</v>
      </c>
      <c r="Y4549">
        <v>-0.1910144</v>
      </c>
      <c r="Z4549">
        <v>-3.8899059999999998E-3</v>
      </c>
      <c r="AA4549">
        <v>0.98157950000000005</v>
      </c>
      <c r="AB4549">
        <v>37</v>
      </c>
      <c r="AC4549">
        <v>-24.700199999999899</v>
      </c>
      <c r="AD4549">
        <v>-1.1101024443780001</v>
      </c>
      <c r="AE4549">
        <v>-5.0423000000000098</v>
      </c>
      <c r="AF4549">
        <v>-4.8550177491211404</v>
      </c>
      <c r="AG4549">
        <v>-1.1101024443780001</v>
      </c>
      <c r="AH4549">
        <v>24.6879721186937</v>
      </c>
      <c r="AI4549">
        <v>92.526266921576806</v>
      </c>
      <c r="AJ4549">
        <v>101.12554169128001</v>
      </c>
      <c r="AK4549">
        <v>25.1853030975347</v>
      </c>
      <c r="AL4549">
        <v>90.411445501137294</v>
      </c>
      <c r="AM4549">
        <v>85.982351403770494</v>
      </c>
      <c r="AN4549">
        <v>1.0000000043619699</v>
      </c>
    </row>
    <row r="4550" spans="1:40" x14ac:dyDescent="0.25">
      <c r="A4550" t="str">
        <f>"20190312161404609"</f>
        <v>20190312161404609</v>
      </c>
      <c r="B4550" t="str">
        <f>"1552378444600561"</f>
        <v>1552378444600561</v>
      </c>
      <c r="C4550" t="s">
        <v>40</v>
      </c>
      <c r="D4550">
        <v>5.639303</v>
      </c>
      <c r="E4550">
        <v>0.42892750000000002</v>
      </c>
      <c r="F4550" t="s">
        <v>42</v>
      </c>
      <c r="G4550">
        <v>-356.66480000000001</v>
      </c>
      <c r="H4550" s="1">
        <v>-1.6756849999999999E-6</v>
      </c>
      <c r="I4550">
        <v>138.13589999999999</v>
      </c>
      <c r="J4550">
        <v>-334.11540000000002</v>
      </c>
      <c r="K4550">
        <v>1.1101019999999999</v>
      </c>
      <c r="L4550">
        <v>140.9836</v>
      </c>
      <c r="M4550">
        <v>-0.99986350000000002</v>
      </c>
      <c r="N4550">
        <v>0</v>
      </c>
      <c r="O4550">
        <v>-7.3135830000000002E-3</v>
      </c>
      <c r="P4550">
        <v>-0.99781489999999995</v>
      </c>
      <c r="Q4550">
        <v>-2.1892169999999999E-2</v>
      </c>
      <c r="R4550">
        <v>6.2339480000000003E-2</v>
      </c>
      <c r="S4550">
        <v>-3.0272519999999998</v>
      </c>
      <c r="T4550">
        <v>-0.14753339999999901</v>
      </c>
      <c r="U4550">
        <v>-0.3786774</v>
      </c>
      <c r="V4550">
        <v>6.963925E-2</v>
      </c>
      <c r="W4550">
        <v>-7.0814889999999998E-3</v>
      </c>
      <c r="X4550">
        <v>0.99754710000000002</v>
      </c>
      <c r="Y4550">
        <v>-0.116733199999999</v>
      </c>
      <c r="Z4550">
        <v>-2.4769660000000002E-3</v>
      </c>
      <c r="AA4550">
        <v>0.99316020000000005</v>
      </c>
      <c r="AB4550">
        <v>37</v>
      </c>
      <c r="AC4550">
        <v>-22.549399999999899</v>
      </c>
      <c r="AD4550">
        <v>-1.110103675685</v>
      </c>
      <c r="AE4550">
        <v>-2.8477000000000001</v>
      </c>
      <c r="AF4550">
        <v>-2.6763043996891098</v>
      </c>
      <c r="AG4550">
        <v>-1.110103675685</v>
      </c>
      <c r="AH4550">
        <v>22.515913514519202</v>
      </c>
      <c r="AI4550">
        <v>92.802873551232807</v>
      </c>
      <c r="AJ4550">
        <v>96.778532661096094</v>
      </c>
      <c r="AK4550">
        <v>22.701570359864299</v>
      </c>
      <c r="AL4550">
        <v>90.405742825741797</v>
      </c>
      <c r="AM4550">
        <v>86.0066324852978</v>
      </c>
      <c r="AN4550">
        <v>0.99999999467271405</v>
      </c>
    </row>
    <row r="4551" spans="1:40" x14ac:dyDescent="0.25">
      <c r="A4551" t="str">
        <f>"20190312161404625"</f>
        <v>20190312161404625</v>
      </c>
      <c r="B4551" t="str">
        <f>"1552378444621057"</f>
        <v>1552378444621057</v>
      </c>
      <c r="C4551" t="s">
        <v>40</v>
      </c>
      <c r="D4551">
        <v>5.6131469999999997</v>
      </c>
      <c r="E4551">
        <v>0.42904179999999997</v>
      </c>
      <c r="F4551" t="s">
        <v>42</v>
      </c>
      <c r="G4551">
        <v>-358.3623</v>
      </c>
      <c r="H4551" s="1">
        <v>-9.8997509999999993E-7</v>
      </c>
      <c r="I4551">
        <v>137.93780000000001</v>
      </c>
      <c r="J4551">
        <v>-334.37580000000003</v>
      </c>
      <c r="K4551">
        <v>1.110107</v>
      </c>
      <c r="L4551">
        <v>140.98150000000001</v>
      </c>
      <c r="M4551">
        <v>-0.99986269999999999</v>
      </c>
      <c r="N4551">
        <v>0</v>
      </c>
      <c r="O4551">
        <v>-7.4487310000000001E-3</v>
      </c>
      <c r="P4551">
        <v>-0.99783370000000005</v>
      </c>
      <c r="Q4551">
        <v>-2.1707850000000001E-2</v>
      </c>
      <c r="R4551">
        <v>6.2104010000000001E-2</v>
      </c>
      <c r="S4551">
        <v>-3.0272519999999998</v>
      </c>
      <c r="T4551">
        <v>-0.13859779999999999</v>
      </c>
      <c r="U4551">
        <v>-0.3802643</v>
      </c>
      <c r="V4551">
        <v>6.9538559999999999E-2</v>
      </c>
      <c r="W4551">
        <v>-6.900074E-3</v>
      </c>
      <c r="X4551">
        <v>0.99755539999999998</v>
      </c>
      <c r="Y4551">
        <v>-0.1171263</v>
      </c>
      <c r="Z4551">
        <v>-2.3298289999999998E-3</v>
      </c>
      <c r="AA4551">
        <v>0.99311430000000001</v>
      </c>
      <c r="AB4551">
        <v>37</v>
      </c>
      <c r="AC4551">
        <v>-23.9864999999999</v>
      </c>
      <c r="AD4551">
        <v>-1.1101079899751001</v>
      </c>
      <c r="AE4551">
        <v>-3.0436999999999999</v>
      </c>
      <c r="AF4551">
        <v>-2.85890057141882</v>
      </c>
      <c r="AG4551">
        <v>-1.1101079899751001</v>
      </c>
      <c r="AH4551">
        <v>23.958006411975099</v>
      </c>
      <c r="AI4551">
        <v>92.634272791450499</v>
      </c>
      <c r="AJ4551">
        <v>96.804907538372802</v>
      </c>
      <c r="AK4551">
        <v>24.153503337257401</v>
      </c>
      <c r="AL4551">
        <v>90.395348256038801</v>
      </c>
      <c r="AM4551">
        <v>86.012420846549503</v>
      </c>
      <c r="AN4551">
        <v>0.99999999920861904</v>
      </c>
    </row>
    <row r="4552" spans="1:40" x14ac:dyDescent="0.25">
      <c r="A4552" t="str">
        <f>"20190312161404650"</f>
        <v>20190312161404650</v>
      </c>
      <c r="B4552" t="str">
        <f>"1552378444640577"</f>
        <v>1552378444640577</v>
      </c>
      <c r="C4552" t="s">
        <v>40</v>
      </c>
      <c r="D4552">
        <v>5.5891869999999999</v>
      </c>
      <c r="E4552">
        <v>0.42881049999999998</v>
      </c>
      <c r="F4552" t="s">
        <v>42</v>
      </c>
      <c r="G4552">
        <v>-358.99430000000001</v>
      </c>
      <c r="H4552" s="1">
        <v>-7.8713169999999995E-7</v>
      </c>
      <c r="I4552">
        <v>137.89179999999999</v>
      </c>
      <c r="J4552">
        <v>-334.76479999999998</v>
      </c>
      <c r="K4552">
        <v>1.1101110000000001</v>
      </c>
      <c r="L4552">
        <v>140.97839999999999</v>
      </c>
      <c r="M4552">
        <v>-0.99986109999999995</v>
      </c>
      <c r="N4552">
        <v>0</v>
      </c>
      <c r="O4552">
        <v>-7.6502609999999898E-3</v>
      </c>
      <c r="P4552">
        <v>-0.99783999999999995</v>
      </c>
      <c r="Q4552">
        <v>-2.1315299999999999E-2</v>
      </c>
      <c r="R4552">
        <v>6.2135179999999998E-2</v>
      </c>
      <c r="S4552">
        <v>-3.0271910000000002</v>
      </c>
      <c r="T4552">
        <v>-0.1365036</v>
      </c>
      <c r="U4552">
        <v>-0.37991330000000001</v>
      </c>
      <c r="V4552">
        <v>6.9770559999999995E-2</v>
      </c>
      <c r="W4552">
        <v>-6.5120509999999996E-3</v>
      </c>
      <c r="X4552">
        <v>0.99754180000000003</v>
      </c>
      <c r="Y4552">
        <v>-0.1168191</v>
      </c>
      <c r="Z4552">
        <v>-2.278782E-3</v>
      </c>
      <c r="AA4552">
        <v>0.99315059999999999</v>
      </c>
      <c r="AB4552">
        <v>37</v>
      </c>
      <c r="AC4552">
        <v>-24.229500000000002</v>
      </c>
      <c r="AD4552">
        <v>-1.1101117871316999</v>
      </c>
      <c r="AE4552">
        <v>-3.0865999999999998</v>
      </c>
      <c r="AF4552">
        <v>-2.8951470194568198</v>
      </c>
      <c r="AG4552">
        <v>-1.1101117871316999</v>
      </c>
      <c r="AH4552">
        <v>24.202413370281601</v>
      </c>
      <c r="AI4552">
        <v>92.607626772880195</v>
      </c>
      <c r="AJ4552">
        <v>96.821435933422407</v>
      </c>
      <c r="AK4552">
        <v>24.400226174980101</v>
      </c>
      <c r="AL4552">
        <v>90.373115679032693</v>
      </c>
      <c r="AM4552">
        <v>85.999105935276503</v>
      </c>
      <c r="AN4552">
        <v>0.99999999029909004</v>
      </c>
    </row>
    <row r="4553" spans="1:40" x14ac:dyDescent="0.25">
      <c r="A4553" t="str">
        <f>"20190312161404670"</f>
        <v>20190312161404670</v>
      </c>
      <c r="B4553" t="str">
        <f>"1552378444661073"</f>
        <v>1552378444661073</v>
      </c>
      <c r="C4553" t="s">
        <v>40</v>
      </c>
      <c r="D4553">
        <v>5.5867430000000002</v>
      </c>
      <c r="E4553">
        <v>0.42855389999999999</v>
      </c>
      <c r="F4553" t="s">
        <v>42</v>
      </c>
      <c r="G4553">
        <v>-359.79340000000002</v>
      </c>
      <c r="H4553" s="1">
        <v>-5.3369310000000003E-7</v>
      </c>
      <c r="I4553">
        <v>137.82230000000001</v>
      </c>
      <c r="J4553">
        <v>-335.12119999999999</v>
      </c>
      <c r="K4553">
        <v>1.1101110000000001</v>
      </c>
      <c r="L4553">
        <v>140.97550000000001</v>
      </c>
      <c r="M4553">
        <v>-0.99985979999999997</v>
      </c>
      <c r="N4553">
        <v>0</v>
      </c>
      <c r="O4553">
        <v>-7.8353429999999998E-3</v>
      </c>
      <c r="P4553">
        <v>-0.99785599999999997</v>
      </c>
      <c r="Q4553">
        <v>-2.0883309999999999E-2</v>
      </c>
      <c r="R4553">
        <v>6.2028970000000003E-2</v>
      </c>
      <c r="S4553">
        <v>-3.027374</v>
      </c>
      <c r="T4553">
        <v>-0.1342757</v>
      </c>
      <c r="U4553">
        <v>-0.38174439999999998</v>
      </c>
      <c r="V4553">
        <v>6.9849120000000001E-2</v>
      </c>
      <c r="W4553">
        <v>-6.084145E-3</v>
      </c>
      <c r="X4553">
        <v>0.99753899999999995</v>
      </c>
      <c r="Y4553">
        <v>-0.11722249999999999</v>
      </c>
      <c r="Z4553">
        <v>-2.2421429999999998E-3</v>
      </c>
      <c r="AA4553">
        <v>0.99310310000000002</v>
      </c>
      <c r="AB4553">
        <v>37</v>
      </c>
      <c r="AC4553">
        <v>-24.6722</v>
      </c>
      <c r="AD4553">
        <v>-1.1101115336931</v>
      </c>
      <c r="AE4553">
        <v>-3.1531999999999898</v>
      </c>
      <c r="AF4553">
        <v>-2.9538828427293402</v>
      </c>
      <c r="AG4553">
        <v>-1.1101115336931</v>
      </c>
      <c r="AH4553">
        <v>24.647055581873801</v>
      </c>
      <c r="AI4553">
        <v>92.560578872217803</v>
      </c>
      <c r="AJ4553">
        <v>96.834147881358206</v>
      </c>
      <c r="AK4553">
        <v>24.8482417953824</v>
      </c>
      <c r="AL4553">
        <v>90.348597985855406</v>
      </c>
      <c r="AM4553">
        <v>85.994604471545998</v>
      </c>
      <c r="AN4553">
        <v>0.99999998645307697</v>
      </c>
    </row>
    <row r="4554" spans="1:40" x14ac:dyDescent="0.25">
      <c r="A4554" t="str">
        <f>"20190312161404692"</f>
        <v>20190312161404692</v>
      </c>
      <c r="B4554" t="str">
        <f>"1552378444680593"</f>
        <v>1552378444680593</v>
      </c>
      <c r="C4554" t="s">
        <v>40</v>
      </c>
      <c r="D4554">
        <v>5.5615389999999998</v>
      </c>
      <c r="E4554">
        <v>0.42848819999999999</v>
      </c>
      <c r="F4554" t="s">
        <v>42</v>
      </c>
      <c r="G4554">
        <v>-360.7242</v>
      </c>
      <c r="H4554" s="1">
        <v>-4.2965719999999997E-6</v>
      </c>
      <c r="I4554">
        <v>137.7278</v>
      </c>
      <c r="J4554">
        <v>-335.46010000000001</v>
      </c>
      <c r="K4554">
        <v>1.110117</v>
      </c>
      <c r="L4554">
        <v>140.9727</v>
      </c>
      <c r="M4554">
        <v>-0.99985829999999998</v>
      </c>
      <c r="N4554">
        <v>0</v>
      </c>
      <c r="O4554">
        <v>-8.0113700000000003E-3</v>
      </c>
      <c r="P4554">
        <v>-0.99789459999999996</v>
      </c>
      <c r="Q4554">
        <v>-2.0268540000000002E-2</v>
      </c>
      <c r="R4554">
        <v>6.1606260000000003E-2</v>
      </c>
      <c r="S4554">
        <v>-3.0275569999999998</v>
      </c>
      <c r="T4554">
        <v>-0.13127179999999999</v>
      </c>
      <c r="U4554">
        <v>-0.38403320000000002</v>
      </c>
      <c r="V4554">
        <v>6.9601869999999996E-2</v>
      </c>
      <c r="W4554">
        <v>-5.4729710000000001E-3</v>
      </c>
      <c r="X4554">
        <v>0.9975598</v>
      </c>
      <c r="Y4554">
        <v>-0.1177835</v>
      </c>
      <c r="Z4554">
        <v>-2.1963080000000001E-3</v>
      </c>
      <c r="AA4554">
        <v>0.9930369</v>
      </c>
      <c r="AB4554">
        <v>37</v>
      </c>
      <c r="AC4554">
        <v>-25.2640999999999</v>
      </c>
      <c r="AD4554">
        <v>-1.110121296572</v>
      </c>
      <c r="AE4554">
        <v>-3.2448999999999999</v>
      </c>
      <c r="AF4554">
        <v>-3.0366057312457202</v>
      </c>
      <c r="AG4554">
        <v>-1.110121296572</v>
      </c>
      <c r="AH4554">
        <v>25.241343398989098</v>
      </c>
      <c r="AI4554">
        <v>92.500256768295898</v>
      </c>
      <c r="AJ4554">
        <v>96.859878912383905</v>
      </c>
      <c r="AK4554">
        <v>25.447568847452299</v>
      </c>
      <c r="AL4554">
        <v>90.313579716417095</v>
      </c>
      <c r="AM4554">
        <v>86.008819709256201</v>
      </c>
      <c r="AN4554">
        <v>0.99999996414755099</v>
      </c>
    </row>
    <row r="4555" spans="1:40" x14ac:dyDescent="0.25">
      <c r="A4555" t="str">
        <f>"20190312161404708"</f>
        <v>20190312161404708</v>
      </c>
      <c r="B4555" t="str">
        <f>"1552378444701089"</f>
        <v>1552378444701089</v>
      </c>
      <c r="C4555" t="s">
        <v>40</v>
      </c>
      <c r="D4555">
        <v>5.518008</v>
      </c>
      <c r="E4555">
        <v>0.42859920000000001</v>
      </c>
      <c r="F4555" t="s">
        <v>42</v>
      </c>
      <c r="G4555">
        <v>-362.32339999999999</v>
      </c>
      <c r="H4555" s="1">
        <v>-3.6420559999999999E-6</v>
      </c>
      <c r="I4555">
        <v>137.55009999999999</v>
      </c>
      <c r="J4555">
        <v>-335.73579999999998</v>
      </c>
      <c r="K4555">
        <v>1.1101160000000001</v>
      </c>
      <c r="L4555">
        <v>140.97030000000001</v>
      </c>
      <c r="M4555">
        <v>-0.99985729999999995</v>
      </c>
      <c r="N4555">
        <v>0</v>
      </c>
      <c r="O4555">
        <v>-8.1545039999999999E-3</v>
      </c>
      <c r="P4555">
        <v>-0.99791459999999998</v>
      </c>
      <c r="Q4555">
        <v>-2.01923E-2</v>
      </c>
      <c r="R4555">
        <v>6.1309530000000001E-2</v>
      </c>
      <c r="S4555">
        <v>-3.0275569999999998</v>
      </c>
      <c r="T4555">
        <v>-0.12511369999999999</v>
      </c>
      <c r="U4555">
        <v>-0.38572689999999998</v>
      </c>
      <c r="V4555">
        <v>6.9448029999999994E-2</v>
      </c>
      <c r="W4555">
        <v>-5.3996369999999997E-3</v>
      </c>
      <c r="X4555">
        <v>0.99757090000000004</v>
      </c>
      <c r="Y4555">
        <v>-0.1181971</v>
      </c>
      <c r="Z4555">
        <v>-2.0959120000000001E-3</v>
      </c>
      <c r="AA4555">
        <v>0.99298790000000003</v>
      </c>
      <c r="AB4555">
        <v>36</v>
      </c>
      <c r="AC4555">
        <v>-26.587599999999998</v>
      </c>
      <c r="AD4555">
        <v>-1.11011964205599</v>
      </c>
      <c r="AE4555">
        <v>-3.4202000000000199</v>
      </c>
      <c r="AF4555">
        <v>-3.1977697960474298</v>
      </c>
      <c r="AG4555">
        <v>-1.11011964205599</v>
      </c>
      <c r="AH4555">
        <v>26.569044107571699</v>
      </c>
      <c r="AI4555">
        <v>92.375442764810003</v>
      </c>
      <c r="AJ4555">
        <v>96.862935416294704</v>
      </c>
      <c r="AK4555">
        <v>26.7838048469272</v>
      </c>
      <c r="AL4555">
        <v>90.309377932105093</v>
      </c>
      <c r="AM4555">
        <v>86.017657110781599</v>
      </c>
      <c r="AN4555">
        <v>0.99999994273870896</v>
      </c>
    </row>
    <row r="4556" spans="1:40" x14ac:dyDescent="0.25">
      <c r="A4556" t="str">
        <f>"20190312161404721"</f>
        <v>20190312161404721</v>
      </c>
      <c r="B4556" t="str">
        <f>"1552378444710849"</f>
        <v>1552378444710849</v>
      </c>
      <c r="C4556" t="s">
        <v>40</v>
      </c>
      <c r="D4556">
        <v>5.5170430000000001</v>
      </c>
      <c r="E4556">
        <v>0.42852980000000002</v>
      </c>
      <c r="F4556" t="s">
        <v>42</v>
      </c>
      <c r="G4556">
        <v>-363.78559999999999</v>
      </c>
      <c r="H4556" s="1">
        <v>-3.0418549999999999E-6</v>
      </c>
      <c r="I4556">
        <v>137.3974</v>
      </c>
      <c r="J4556">
        <v>-335.95100000000002</v>
      </c>
      <c r="K4556">
        <v>1.110117</v>
      </c>
      <c r="L4556">
        <v>140.96850000000001</v>
      </c>
      <c r="M4556">
        <v>-0.99985639999999998</v>
      </c>
      <c r="N4556">
        <v>0</v>
      </c>
      <c r="O4556">
        <v>-8.2662929999999992E-3</v>
      </c>
      <c r="P4556">
        <v>-0.99791439999999998</v>
      </c>
      <c r="Q4556">
        <v>-2.0369229999999999E-2</v>
      </c>
      <c r="R4556">
        <v>6.1253950000000001E-2</v>
      </c>
      <c r="S4556">
        <v>-3.0275270000000001</v>
      </c>
      <c r="T4556">
        <v>-0.11982</v>
      </c>
      <c r="U4556">
        <v>-0.38563540000000002</v>
      </c>
      <c r="V4556">
        <v>6.9504339999999998E-2</v>
      </c>
      <c r="W4556">
        <v>-5.5791019999999998E-3</v>
      </c>
      <c r="X4556">
        <v>0.99756599999999995</v>
      </c>
      <c r="Y4556">
        <v>-0.11806560000000001</v>
      </c>
      <c r="Z4556">
        <v>-2.0003320000000001E-3</v>
      </c>
      <c r="AA4556">
        <v>0.99300379999999999</v>
      </c>
      <c r="AB4556">
        <v>36</v>
      </c>
      <c r="AC4556">
        <v>-27.834599999999998</v>
      </c>
      <c r="AD4556">
        <v>-1.1101200418549999</v>
      </c>
      <c r="AE4556">
        <v>-3.5710999999999999</v>
      </c>
      <c r="AF4556">
        <v>-3.3356439565382501</v>
      </c>
      <c r="AG4556">
        <v>-1.1101200418549999</v>
      </c>
      <c r="AH4556">
        <v>27.819637528192501</v>
      </c>
      <c r="AI4556">
        <v>92.268895019783599</v>
      </c>
      <c r="AJ4556">
        <v>96.837266043577998</v>
      </c>
      <c r="AK4556">
        <v>28.0408829980822</v>
      </c>
      <c r="AL4556">
        <v>90.319660671742398</v>
      </c>
      <c r="AM4556">
        <v>86.014419027074496</v>
      </c>
      <c r="AN4556">
        <v>0.999999952006979</v>
      </c>
    </row>
    <row r="4557" spans="1:40" x14ac:dyDescent="0.25">
      <c r="A4557" t="str">
        <f>"20190312161404738"</f>
        <v>20190312161404738</v>
      </c>
      <c r="B4557" t="str">
        <f>"1552378444730369"</f>
        <v>1552378444730369</v>
      </c>
      <c r="C4557" t="s">
        <v>40</v>
      </c>
      <c r="D4557">
        <v>9.3113229999999998</v>
      </c>
      <c r="E4557">
        <v>0.42884870000000003</v>
      </c>
      <c r="F4557" t="s">
        <v>42</v>
      </c>
      <c r="G4557">
        <v>-364.02850000000001</v>
      </c>
      <c r="H4557" s="1">
        <v>-2.9398720000000001E-6</v>
      </c>
      <c r="I4557">
        <v>137.38480000000001</v>
      </c>
      <c r="J4557">
        <v>-336.20580000000001</v>
      </c>
      <c r="K4557">
        <v>1.110115</v>
      </c>
      <c r="L4557">
        <v>140.96619999999999</v>
      </c>
      <c r="M4557">
        <v>-0.9998553</v>
      </c>
      <c r="N4557">
        <v>0</v>
      </c>
      <c r="O4557">
        <v>-8.3984619999999902E-3</v>
      </c>
      <c r="P4557">
        <v>-0.99793480000000001</v>
      </c>
      <c r="Q4557">
        <v>-2.0343099999999999E-2</v>
      </c>
      <c r="R4557">
        <v>6.0931399999999997E-2</v>
      </c>
      <c r="S4557">
        <v>-3.0275569999999998</v>
      </c>
      <c r="T4557">
        <v>-0.1197029</v>
      </c>
      <c r="U4557">
        <v>-0.38641360000000002</v>
      </c>
      <c r="V4557">
        <v>6.9313840000000002E-2</v>
      </c>
      <c r="W4557">
        <v>-5.555735E-3</v>
      </c>
      <c r="X4557">
        <v>0.99757949999999995</v>
      </c>
      <c r="Y4557">
        <v>-0.1181845</v>
      </c>
      <c r="Z4557">
        <v>-1.9954640000000002E-3</v>
      </c>
      <c r="AA4557">
        <v>0.99298969999999998</v>
      </c>
      <c r="AB4557">
        <v>36</v>
      </c>
      <c r="AC4557">
        <v>-27.822700000000001</v>
      </c>
      <c r="AD4557">
        <v>-1.110117939872</v>
      </c>
      <c r="AE4557">
        <v>-3.5813999999999702</v>
      </c>
      <c r="AF4557">
        <v>-3.3423459580571402</v>
      </c>
      <c r="AG4557">
        <v>-1.110117939872</v>
      </c>
      <c r="AH4557">
        <v>27.808251271543501</v>
      </c>
      <c r="AI4557">
        <v>92.2697409246653</v>
      </c>
      <c r="AJ4557">
        <v>96.853651551723004</v>
      </c>
      <c r="AK4557">
        <v>28.0303848907764</v>
      </c>
      <c r="AL4557">
        <v>90.318321783934394</v>
      </c>
      <c r="AM4557">
        <v>86.025361406493502</v>
      </c>
      <c r="AN4557">
        <v>1.00000006671359</v>
      </c>
    </row>
    <row r="4558" spans="1:40" x14ac:dyDescent="0.25">
      <c r="A4558" t="str">
        <f>"20190312161404752"</f>
        <v>20190312161404752</v>
      </c>
      <c r="B4558" t="str">
        <f>"1552378444741105"</f>
        <v>1552378444741105</v>
      </c>
      <c r="C4558" t="s">
        <v>40</v>
      </c>
      <c r="D4558">
        <v>5.4319379999999997</v>
      </c>
      <c r="E4558">
        <v>0.42879040000000002</v>
      </c>
      <c r="F4558" t="s">
        <v>42</v>
      </c>
      <c r="G4558">
        <v>-398.01769999999999</v>
      </c>
      <c r="H4558" s="1">
        <v>-2.3844590000000001E-6</v>
      </c>
      <c r="I4558">
        <v>133.13740000000001</v>
      </c>
      <c r="J4558">
        <v>-336.44659999999999</v>
      </c>
      <c r="K4558">
        <v>1.110115</v>
      </c>
      <c r="L4558">
        <v>140.9641</v>
      </c>
      <c r="M4558">
        <v>-0.99985440000000003</v>
      </c>
      <c r="N4558">
        <v>0</v>
      </c>
      <c r="O4558">
        <v>-8.5237179999999996E-3</v>
      </c>
      <c r="P4558">
        <v>-0.99793759999999998</v>
      </c>
      <c r="Q4558">
        <v>-2.0325780000000002E-2</v>
      </c>
      <c r="R4558">
        <v>6.0889110000000003E-2</v>
      </c>
      <c r="S4558">
        <v>-3.0285340000000001</v>
      </c>
      <c r="T4558">
        <v>-5.4391259999999997E-2</v>
      </c>
      <c r="U4558">
        <v>-0.38357540000000001</v>
      </c>
      <c r="V4558">
        <v>6.9396289999999999E-2</v>
      </c>
      <c r="W4558">
        <v>-5.5411409999999899E-3</v>
      </c>
      <c r="X4558">
        <v>0.99757379999999996</v>
      </c>
      <c r="Y4558">
        <v>-0.1171712</v>
      </c>
      <c r="Z4558">
        <v>-8.9544829999999996E-4</v>
      </c>
      <c r="AA4558">
        <v>0.99311130000000003</v>
      </c>
      <c r="AB4558">
        <v>36</v>
      </c>
      <c r="AC4558">
        <v>-61.571100000000001</v>
      </c>
      <c r="AD4558">
        <v>-1.110117384459</v>
      </c>
      <c r="AE4558">
        <v>-7.8266999999999802</v>
      </c>
      <c r="AF4558">
        <v>-7.2992085065917296</v>
      </c>
      <c r="AG4558">
        <v>-1.110117384459</v>
      </c>
      <c r="AH4558">
        <v>61.615871366697398</v>
      </c>
      <c r="AI4558">
        <v>91.025006108090807</v>
      </c>
      <c r="AJ4558">
        <v>96.755951104369103</v>
      </c>
      <c r="AK4558">
        <v>62.056638723889797</v>
      </c>
      <c r="AL4558">
        <v>90.317485612017606</v>
      </c>
      <c r="AM4558">
        <v>86.020626021693801</v>
      </c>
      <c r="AN4558">
        <v>1.0000000178778901</v>
      </c>
    </row>
    <row r="4559" spans="1:40" x14ac:dyDescent="0.25">
      <c r="A4559" t="str">
        <f>"20190312161404766"</f>
        <v>20190312161404766</v>
      </c>
      <c r="B4559" t="str">
        <f>"1552378444760626"</f>
        <v>1552378444760626</v>
      </c>
      <c r="C4559" t="s">
        <v>40</v>
      </c>
      <c r="D4559">
        <v>5.3447100000000001</v>
      </c>
      <c r="E4559">
        <v>0.4288651</v>
      </c>
      <c r="F4559" t="s">
        <v>42</v>
      </c>
      <c r="G4559">
        <v>-399.31810000000002</v>
      </c>
      <c r="H4559" s="1">
        <v>-1.9812659999999999E-6</v>
      </c>
      <c r="I4559">
        <v>132.9896</v>
      </c>
      <c r="J4559">
        <v>-336.67</v>
      </c>
      <c r="K4559">
        <v>1.110114</v>
      </c>
      <c r="L4559">
        <v>140.96209999999999</v>
      </c>
      <c r="M4559">
        <v>-0.9998534</v>
      </c>
      <c r="N4559">
        <v>0</v>
      </c>
      <c r="O4559">
        <v>-8.6399189999999994E-3</v>
      </c>
      <c r="P4559">
        <v>-0.99795529999999999</v>
      </c>
      <c r="Q4559">
        <v>-2.0268769999999998E-2</v>
      </c>
      <c r="R4559">
        <v>6.061925E-2</v>
      </c>
      <c r="S4559">
        <v>-3.0285030000000002</v>
      </c>
      <c r="T4559">
        <v>-5.3474069999999999E-2</v>
      </c>
      <c r="U4559">
        <v>-0.38412479999999999</v>
      </c>
      <c r="V4559">
        <v>6.9242369999999998E-2</v>
      </c>
      <c r="W4559">
        <v>-5.4864609999999998E-3</v>
      </c>
      <c r="X4559">
        <v>0.99758480000000005</v>
      </c>
      <c r="Y4559">
        <v>-0.1172349</v>
      </c>
      <c r="Z4559">
        <v>-8.7886690000000005E-4</v>
      </c>
      <c r="AA4559">
        <v>0.99310379999999998</v>
      </c>
      <c r="AB4559">
        <v>36</v>
      </c>
      <c r="AC4559">
        <v>-62.648099999999999</v>
      </c>
      <c r="AD4559">
        <v>-1.110115981266</v>
      </c>
      <c r="AE4559">
        <v>-7.9724999999999904</v>
      </c>
      <c r="AF4559">
        <v>-7.4285733488930497</v>
      </c>
      <c r="AG4559">
        <v>-1.110115981266</v>
      </c>
      <c r="AH4559">
        <v>62.695278249347901</v>
      </c>
      <c r="AI4559">
        <v>91.007358457195906</v>
      </c>
      <c r="AJ4559">
        <v>96.757298378375296</v>
      </c>
      <c r="AK4559">
        <v>63.143598046475802</v>
      </c>
      <c r="AL4559">
        <v>90.314352630518499</v>
      </c>
      <c r="AM4559">
        <v>86.029467597267299</v>
      </c>
      <c r="AN4559">
        <v>1.00000002012428</v>
      </c>
    </row>
    <row r="4560" spans="1:40" x14ac:dyDescent="0.25">
      <c r="A4560" t="str">
        <f>"20190312161404782"</f>
        <v>20190312161404782</v>
      </c>
      <c r="B4560" t="str">
        <f>"1552378444770385"</f>
        <v>1552378444770385</v>
      </c>
      <c r="C4560" t="s">
        <v>40</v>
      </c>
      <c r="D4560">
        <v>5.2698070000000001</v>
      </c>
      <c r="E4560">
        <v>0.42887540000000002</v>
      </c>
      <c r="F4560" t="s">
        <v>42</v>
      </c>
      <c r="G4560">
        <v>-394.63119999999998</v>
      </c>
      <c r="H4560" s="1">
        <v>-3.412739E-6</v>
      </c>
      <c r="I4560">
        <v>133.60409999999999</v>
      </c>
      <c r="J4560">
        <v>-336.91640000000001</v>
      </c>
      <c r="K4560">
        <v>1.110112</v>
      </c>
      <c r="L4560">
        <v>140.9599</v>
      </c>
      <c r="M4560">
        <v>-0.99985239999999997</v>
      </c>
      <c r="N4560">
        <v>0</v>
      </c>
      <c r="O4560">
        <v>-8.7680359999999999E-3</v>
      </c>
      <c r="P4560">
        <v>-0.99794939999999999</v>
      </c>
      <c r="Q4560">
        <v>-2.0553439999999999E-2</v>
      </c>
      <c r="R4560">
        <v>6.0620239999999999E-2</v>
      </c>
      <c r="S4560">
        <v>-3.0283199999999999</v>
      </c>
      <c r="T4560">
        <v>-5.8000799999999998E-2</v>
      </c>
      <c r="U4560">
        <v>-0.38442989999999999</v>
      </c>
      <c r="V4560">
        <v>6.9371360000000007E-2</v>
      </c>
      <c r="W4560">
        <v>-5.7739690000000003E-3</v>
      </c>
      <c r="X4560">
        <v>0.99757419999999997</v>
      </c>
      <c r="Y4560">
        <v>-0.1172107</v>
      </c>
      <c r="Z4560">
        <v>-9.5062949999999999E-4</v>
      </c>
      <c r="AA4560">
        <v>0.99310659999999895</v>
      </c>
      <c r="AB4560">
        <v>36</v>
      </c>
      <c r="AC4560">
        <v>-57.714799999999897</v>
      </c>
      <c r="AD4560">
        <v>-1.1101154127390001</v>
      </c>
      <c r="AE4560">
        <v>-7.3558000000000101</v>
      </c>
      <c r="AF4560">
        <v>-6.84692385392799</v>
      </c>
      <c r="AG4560">
        <v>-1.1101154127390001</v>
      </c>
      <c r="AH4560">
        <v>57.756057684309901</v>
      </c>
      <c r="AI4560">
        <v>91.093477819311204</v>
      </c>
      <c r="AJ4560">
        <v>96.760804339408395</v>
      </c>
      <c r="AK4560">
        <v>58.171083209137699</v>
      </c>
      <c r="AL4560">
        <v>90.330825891517605</v>
      </c>
      <c r="AM4560">
        <v>86.022052576026894</v>
      </c>
      <c r="AN4560">
        <v>1.00000000440595</v>
      </c>
    </row>
    <row r="4561" spans="1:40" x14ac:dyDescent="0.25">
      <c r="A4561" t="str">
        <f>"20190312161404797"</f>
        <v>20190312161404797</v>
      </c>
      <c r="B4561" t="str">
        <f>"1552378444790881"</f>
        <v>1552378444790881</v>
      </c>
      <c r="C4561" t="s">
        <v>40</v>
      </c>
      <c r="D4561">
        <v>5.341005</v>
      </c>
      <c r="E4561">
        <v>0.42904029999999999</v>
      </c>
      <c r="F4561" t="s">
        <v>42</v>
      </c>
      <c r="G4561">
        <v>-397.69850000000002</v>
      </c>
      <c r="H4561" s="1">
        <v>-2.4645739999999998E-6</v>
      </c>
      <c r="I4561">
        <v>133.24459999999999</v>
      </c>
      <c r="J4561">
        <v>-337.16640000000001</v>
      </c>
      <c r="K4561">
        <v>1.110114</v>
      </c>
      <c r="L4561">
        <v>140.95750000000001</v>
      </c>
      <c r="M4561">
        <v>-0.99985119999999905</v>
      </c>
      <c r="N4561">
        <v>0</v>
      </c>
      <c r="O4561">
        <v>-8.8981779999999996E-3</v>
      </c>
      <c r="P4561">
        <v>-0.99794649999999996</v>
      </c>
      <c r="Q4561">
        <v>-2.0610949999999999E-2</v>
      </c>
      <c r="R4561">
        <v>6.0649179999999997E-2</v>
      </c>
      <c r="S4561">
        <v>-3.0284119999999999</v>
      </c>
      <c r="T4561">
        <v>-5.5310489999999997E-2</v>
      </c>
      <c r="U4561">
        <v>-0.3843994</v>
      </c>
      <c r="V4561">
        <v>6.9530110000000006E-2</v>
      </c>
      <c r="W4561">
        <v>-5.8343419999999898E-3</v>
      </c>
      <c r="X4561">
        <v>0.99756279999999997</v>
      </c>
      <c r="Y4561">
        <v>-0.117069699999999</v>
      </c>
      <c r="Z4561">
        <v>-9.0286679999999995E-4</v>
      </c>
      <c r="AA4561">
        <v>0.99312330000000004</v>
      </c>
      <c r="AB4561">
        <v>36</v>
      </c>
      <c r="AC4561">
        <v>-60.5321</v>
      </c>
      <c r="AD4561">
        <v>-1.110116464574</v>
      </c>
      <c r="AE4561">
        <v>-7.7129000000000101</v>
      </c>
      <c r="AF4561">
        <v>-7.1715368860856197</v>
      </c>
      <c r="AG4561">
        <v>-1.110116464574</v>
      </c>
      <c r="AH4561">
        <v>60.578292493385803</v>
      </c>
      <c r="AI4561">
        <v>91.0425671616904</v>
      </c>
      <c r="AJ4561">
        <v>96.751514292311398</v>
      </c>
      <c r="AK4561">
        <v>61.011415499786601</v>
      </c>
      <c r="AL4561">
        <v>90.334285066717499</v>
      </c>
      <c r="AM4561">
        <v>86.012933316821503</v>
      </c>
      <c r="AN4561">
        <v>1.0000000078435101</v>
      </c>
    </row>
    <row r="4562" spans="1:40" x14ac:dyDescent="0.25">
      <c r="A4562" t="str">
        <f>"20190312161404816"</f>
        <v>20190312161404816</v>
      </c>
      <c r="B4562" t="str">
        <f>"1552378444810401"</f>
        <v>1552378444810401</v>
      </c>
      <c r="C4562" t="s">
        <v>40</v>
      </c>
      <c r="D4562">
        <v>5.3042439999999997</v>
      </c>
      <c r="E4562">
        <v>0.45657530000000002</v>
      </c>
      <c r="F4562" t="s">
        <v>84</v>
      </c>
      <c r="G4562">
        <v>-400.70760000000001</v>
      </c>
      <c r="H4562" s="1">
        <v>-2.2269740000000002E-6</v>
      </c>
      <c r="I4562">
        <v>132.92519999999999</v>
      </c>
      <c r="J4562">
        <v>-337.45960000000002</v>
      </c>
      <c r="K4562">
        <v>1.1101160000000001</v>
      </c>
      <c r="L4562">
        <v>140.95480000000001</v>
      </c>
      <c r="M4562">
        <v>-0.99984989999999996</v>
      </c>
      <c r="N4562">
        <v>0</v>
      </c>
      <c r="O4562">
        <v>-9.0507269999999997E-3</v>
      </c>
      <c r="P4562">
        <v>-0.99795029999999996</v>
      </c>
      <c r="Q4562">
        <v>-2.0698339999999999E-2</v>
      </c>
      <c r="R4562">
        <v>6.0556140000000001E-2</v>
      </c>
      <c r="S4562">
        <v>-3.0283199999999999</v>
      </c>
      <c r="T4562">
        <v>-5.290723E-2</v>
      </c>
      <c r="U4562">
        <v>-0.3828125</v>
      </c>
      <c r="V4562">
        <v>6.9589280000000003E-2</v>
      </c>
      <c r="W4562">
        <v>-5.9249949999999997E-3</v>
      </c>
      <c r="X4562">
        <v>0.9975581</v>
      </c>
      <c r="Y4562">
        <v>-0.1164113</v>
      </c>
      <c r="Z4562">
        <v>-8.5531509999999997E-4</v>
      </c>
      <c r="AA4562">
        <v>0.99320070000000005</v>
      </c>
      <c r="AB4562">
        <v>36</v>
      </c>
      <c r="AC4562">
        <v>-63.247999999999898</v>
      </c>
      <c r="AD4562">
        <v>-1.110118226974</v>
      </c>
      <c r="AE4562">
        <v>-8.0296000000000092</v>
      </c>
      <c r="AF4562">
        <v>-7.4545081239119098</v>
      </c>
      <c r="AG4562">
        <v>-1.110118226974</v>
      </c>
      <c r="AH4562">
        <v>63.298899550197497</v>
      </c>
      <c r="AI4562">
        <v>90.997839908525407</v>
      </c>
      <c r="AJ4562">
        <v>96.716603074326002</v>
      </c>
      <c r="AK4562">
        <v>63.746001742174599</v>
      </c>
      <c r="AL4562">
        <v>90.339479204231097</v>
      </c>
      <c r="AM4562">
        <v>86.009532546690295</v>
      </c>
      <c r="AN4562">
        <v>0.99999996816613801</v>
      </c>
    </row>
    <row r="4563" spans="1:40" x14ac:dyDescent="0.25">
      <c r="A4563" t="str">
        <f>"20190312161404832"</f>
        <v>20190312161404832</v>
      </c>
      <c r="B4563" t="str">
        <f>"1552378444821138"</f>
        <v>1552378444821138</v>
      </c>
      <c r="C4563" t="s">
        <v>40</v>
      </c>
      <c r="D4563">
        <v>5.2250560000000004</v>
      </c>
      <c r="E4563">
        <v>0.46578629999999999</v>
      </c>
      <c r="F4563" t="s">
        <v>42</v>
      </c>
      <c r="G4563">
        <v>-366.14229999999998</v>
      </c>
      <c r="H4563" s="1">
        <v>-1.6786900000000001E-6</v>
      </c>
      <c r="I4563">
        <v>139.3827</v>
      </c>
      <c r="J4563">
        <v>-337.74400000000003</v>
      </c>
      <c r="K4563">
        <v>1.1101179999999999</v>
      </c>
      <c r="L4563">
        <v>140.9521</v>
      </c>
      <c r="M4563">
        <v>-0.99984859999999998</v>
      </c>
      <c r="N4563">
        <v>0</v>
      </c>
      <c r="O4563">
        <v>-9.1987490000000009E-3</v>
      </c>
      <c r="P4563">
        <v>-0.99794689999999997</v>
      </c>
      <c r="Q4563">
        <v>-2.0810450000000001E-2</v>
      </c>
      <c r="R4563">
        <v>6.0573639999999998E-2</v>
      </c>
      <c r="S4563">
        <v>-3.013763</v>
      </c>
      <c r="T4563">
        <v>-0.1166431</v>
      </c>
      <c r="U4563">
        <v>-0.1651764</v>
      </c>
      <c r="V4563">
        <v>6.9754410000000003E-2</v>
      </c>
      <c r="W4563">
        <v>-6.0403210000000004E-3</v>
      </c>
      <c r="X4563">
        <v>0.99754589999999999</v>
      </c>
      <c r="Y4563">
        <v>-4.5509849999999998E-2</v>
      </c>
      <c r="Z4563">
        <v>-5.2406890000000002E-4</v>
      </c>
      <c r="AA4563">
        <v>0.99896379999999996</v>
      </c>
      <c r="AB4563">
        <v>36</v>
      </c>
      <c r="AC4563">
        <v>-28.3982999999999</v>
      </c>
      <c r="AD4563">
        <v>-1.1101196786899901</v>
      </c>
      <c r="AE4563">
        <v>-1.5693999999999999</v>
      </c>
      <c r="AF4563">
        <v>-1.30608648366601</v>
      </c>
      <c r="AG4563">
        <v>-1.1101196786899901</v>
      </c>
      <c r="AH4563">
        <v>28.3683183657249</v>
      </c>
      <c r="AI4563">
        <v>92.238607579840206</v>
      </c>
      <c r="AJ4563">
        <v>92.636054574038795</v>
      </c>
      <c r="AK4563">
        <v>28.420058312799998</v>
      </c>
      <c r="AL4563">
        <v>90.346087007208297</v>
      </c>
      <c r="AM4563">
        <v>86.0000454145422</v>
      </c>
      <c r="AN4563">
        <v>0.99999999289952002</v>
      </c>
    </row>
    <row r="4564" spans="1:40" x14ac:dyDescent="0.25">
      <c r="A4564" t="str">
        <f>"20190312161404850"</f>
        <v>20190312161404850</v>
      </c>
      <c r="B4564" t="str">
        <f>"1552378444840658"</f>
        <v>1552378444840658</v>
      </c>
      <c r="C4564" t="s">
        <v>40</v>
      </c>
      <c r="D4564">
        <v>5.1961409999999999</v>
      </c>
      <c r="E4564">
        <v>0.47970750000000001</v>
      </c>
      <c r="F4564" t="s">
        <v>42</v>
      </c>
      <c r="G4564">
        <v>-366.67349999999999</v>
      </c>
      <c r="H4564" s="1">
        <v>-1.530225E-6</v>
      </c>
      <c r="I4564">
        <v>140.07040000000001</v>
      </c>
      <c r="J4564">
        <v>-338.01760000000002</v>
      </c>
      <c r="K4564">
        <v>1.11012</v>
      </c>
      <c r="L4564">
        <v>140.9494</v>
      </c>
      <c r="M4564">
        <v>-0.99984740000000005</v>
      </c>
      <c r="N4564">
        <v>0</v>
      </c>
      <c r="O4564">
        <v>-9.3412860000000007E-3</v>
      </c>
      <c r="P4564">
        <v>-0.99796200000000002</v>
      </c>
      <c r="Q4564">
        <v>-2.087959E-2</v>
      </c>
      <c r="R4564">
        <v>6.0302429999999997E-2</v>
      </c>
      <c r="S4564">
        <v>-3.0093079999999999</v>
      </c>
      <c r="T4564">
        <v>-0.1154773</v>
      </c>
      <c r="U4564">
        <v>-9.1705320000000007E-2</v>
      </c>
      <c r="V4564">
        <v>6.9625690000000004E-2</v>
      </c>
      <c r="W4564">
        <v>-6.1123899999999997E-3</v>
      </c>
      <c r="X4564">
        <v>0.99755450000000001</v>
      </c>
      <c r="Y4564">
        <v>-2.11118E-2</v>
      </c>
      <c r="Z4564" s="1">
        <v>-4.6558499999999998E-5</v>
      </c>
      <c r="AA4564">
        <v>0.99977709999999997</v>
      </c>
      <c r="AB4564">
        <v>36</v>
      </c>
      <c r="AC4564">
        <v>-28.6558999999999</v>
      </c>
      <c r="AD4564">
        <v>-1.110121530225</v>
      </c>
      <c r="AE4564">
        <v>-0.87899999999999001</v>
      </c>
      <c r="AF4564">
        <v>-0.61033440359189395</v>
      </c>
      <c r="AG4564">
        <v>-1.110121530225</v>
      </c>
      <c r="AH4564">
        <v>28.619949865800098</v>
      </c>
      <c r="AI4564">
        <v>92.220792565417995</v>
      </c>
      <c r="AJ4564">
        <v>91.221675296875404</v>
      </c>
      <c r="AK4564">
        <v>28.647973893750098</v>
      </c>
      <c r="AL4564">
        <v>90.350216316773498</v>
      </c>
      <c r="AM4564">
        <v>86.007437071771307</v>
      </c>
      <c r="AN4564">
        <v>1.00000003924486</v>
      </c>
    </row>
    <row r="4565" spans="1:40" x14ac:dyDescent="0.25">
      <c r="A4565" t="str">
        <f>"20190312161404870"</f>
        <v>20190312161404870</v>
      </c>
      <c r="B4565" t="str">
        <f>"1552378444861152"</f>
        <v>1552378444861152</v>
      </c>
      <c r="C4565" t="s">
        <v>40</v>
      </c>
      <c r="D4565">
        <v>5.1683339999999998</v>
      </c>
      <c r="E4565">
        <v>0.48694549999999998</v>
      </c>
      <c r="F4565" t="s">
        <v>42</v>
      </c>
      <c r="G4565">
        <v>-376.60050000000001</v>
      </c>
      <c r="H4565" s="1">
        <v>-1.859648E-6</v>
      </c>
      <c r="I4565">
        <v>141.1909</v>
      </c>
      <c r="J4565">
        <v>-338.36369999999999</v>
      </c>
      <c r="K4565">
        <v>1.11012</v>
      </c>
      <c r="L4565">
        <v>140.946</v>
      </c>
      <c r="M4565">
        <v>-0.9998456</v>
      </c>
      <c r="N4565">
        <v>0</v>
      </c>
      <c r="O4565">
        <v>-9.5212460000000006E-3</v>
      </c>
      <c r="P4565">
        <v>-0.99796379999999996</v>
      </c>
      <c r="Q4565">
        <v>-2.1040280000000001E-2</v>
      </c>
      <c r="R4565">
        <v>6.0212979999999999E-2</v>
      </c>
      <c r="S4565">
        <v>-3.003174</v>
      </c>
      <c r="T4565">
        <v>-8.6408499999999999E-2</v>
      </c>
      <c r="U4565">
        <v>1.8798829999999999E-2</v>
      </c>
      <c r="V4565">
        <v>6.971579E-2</v>
      </c>
      <c r="W4565">
        <v>-6.2769499999999999E-3</v>
      </c>
      <c r="X4565">
        <v>0.99754710000000002</v>
      </c>
      <c r="Y4565">
        <v>1.5770880000000001E-2</v>
      </c>
      <c r="Z4565">
        <v>5.0075239999999995E-4</v>
      </c>
      <c r="AA4565">
        <v>0.99987550000000003</v>
      </c>
      <c r="AB4565">
        <v>36</v>
      </c>
      <c r="AC4565">
        <v>-38.236800000000002</v>
      </c>
      <c r="AD4565">
        <v>-1.110121859648</v>
      </c>
      <c r="AE4565">
        <v>0.24490000000000101</v>
      </c>
      <c r="AF4565">
        <v>0.608477719846648</v>
      </c>
      <c r="AG4565">
        <v>-1.110121859648</v>
      </c>
      <c r="AH4565">
        <v>38.200536340642202</v>
      </c>
      <c r="AI4565">
        <v>91.664357281578802</v>
      </c>
      <c r="AJ4565">
        <v>89.087440633180506</v>
      </c>
      <c r="AK4565">
        <v>38.221506935121603</v>
      </c>
      <c r="AL4565">
        <v>90.359645121425402</v>
      </c>
      <c r="AM4565">
        <v>86.002257627220601</v>
      </c>
      <c r="AN4565">
        <v>0.99999995409751696</v>
      </c>
    </row>
    <row r="4566" spans="1:40" x14ac:dyDescent="0.25">
      <c r="A4566" t="str">
        <f>"20190312161404893"</f>
        <v>20190312161404893</v>
      </c>
      <c r="B4566" t="str">
        <f>"1552378444880674"</f>
        <v>1552378444880674</v>
      </c>
      <c r="C4566" t="s">
        <v>40</v>
      </c>
      <c r="D4566">
        <v>5.1280400000000004</v>
      </c>
      <c r="E4566">
        <v>0.49122120000000002</v>
      </c>
      <c r="F4566" t="s">
        <v>42</v>
      </c>
      <c r="G4566">
        <v>-392.43049999999999</v>
      </c>
      <c r="H4566" s="1">
        <v>-3.9302080000000003E-6</v>
      </c>
      <c r="I4566">
        <v>142.32939999999999</v>
      </c>
      <c r="J4566">
        <v>-338.71879999999999</v>
      </c>
      <c r="K4566">
        <v>1.1101219999999901</v>
      </c>
      <c r="L4566">
        <v>140.94239999999999</v>
      </c>
      <c r="M4566">
        <v>-0.99984379999999995</v>
      </c>
      <c r="N4566">
        <v>0</v>
      </c>
      <c r="O4566">
        <v>-9.7062139999999995E-3</v>
      </c>
      <c r="P4566">
        <v>-0.99799020000000005</v>
      </c>
      <c r="Q4566">
        <v>-2.091548E-2</v>
      </c>
      <c r="R4566">
        <v>5.9818410000000002E-2</v>
      </c>
      <c r="S4566">
        <v>-3.0001220000000002</v>
      </c>
      <c r="T4566">
        <v>-6.1599969999999997E-2</v>
      </c>
      <c r="U4566">
        <v>7.6766970000000004E-2</v>
      </c>
      <c r="V4566">
        <v>6.9505860000000003E-2</v>
      </c>
      <c r="W4566">
        <v>-6.1558960000000001E-3</v>
      </c>
      <c r="X4566">
        <v>0.99756250000000002</v>
      </c>
      <c r="Y4566">
        <v>3.5272989999999997E-2</v>
      </c>
      <c r="Z4566">
        <v>5.6128839999999998E-4</v>
      </c>
      <c r="AA4566">
        <v>0.99937750000000003</v>
      </c>
      <c r="AB4566">
        <v>36</v>
      </c>
      <c r="AC4566">
        <v>-53.7117</v>
      </c>
      <c r="AD4566">
        <v>-1.11012593020799</v>
      </c>
      <c r="AE4566">
        <v>1.387</v>
      </c>
      <c r="AF4566">
        <v>1.90751448061469</v>
      </c>
      <c r="AG4566">
        <v>-1.11012593020799</v>
      </c>
      <c r="AH4566">
        <v>53.672792852734098</v>
      </c>
      <c r="AI4566">
        <v>91.184144619308697</v>
      </c>
      <c r="AJ4566">
        <v>87.964582362101694</v>
      </c>
      <c r="AK4566">
        <v>53.718150412008598</v>
      </c>
      <c r="AL4566">
        <v>90.352709105053407</v>
      </c>
      <c r="AM4566">
        <v>86.014318207907905</v>
      </c>
      <c r="AN4566">
        <v>0.999999950518074</v>
      </c>
    </row>
    <row r="4567" spans="1:40" x14ac:dyDescent="0.25">
      <c r="A4567" t="str">
        <f>"20190312161404915"</f>
        <v>20190312161404915</v>
      </c>
      <c r="B4567" t="str">
        <f>"1552378444910930"</f>
        <v>1552378444910930</v>
      </c>
      <c r="C4567" t="s">
        <v>40</v>
      </c>
      <c r="D4567">
        <v>5.0840439999999996</v>
      </c>
      <c r="E4567">
        <v>0.49519410000000003</v>
      </c>
      <c r="F4567" t="s">
        <v>84</v>
      </c>
      <c r="G4567">
        <v>-409.8098</v>
      </c>
      <c r="H4567" s="1">
        <v>-1.201975E-5</v>
      </c>
      <c r="I4567">
        <v>143.5472</v>
      </c>
      <c r="J4567">
        <v>-339.0761</v>
      </c>
      <c r="K4567">
        <v>1.110123</v>
      </c>
      <c r="L4567">
        <v>140.93879999999999</v>
      </c>
      <c r="M4567">
        <v>-0.99984200000000001</v>
      </c>
      <c r="N4567">
        <v>0</v>
      </c>
      <c r="O4567">
        <v>-9.8924879999999996E-3</v>
      </c>
      <c r="P4567">
        <v>-0.99801459999999997</v>
      </c>
      <c r="Q4567">
        <v>-2.0531509999999999E-2</v>
      </c>
      <c r="R4567">
        <v>5.9543020000000002E-2</v>
      </c>
      <c r="S4567">
        <v>-2.9985050000000002</v>
      </c>
      <c r="T4567">
        <v>-4.6823620000000003E-2</v>
      </c>
      <c r="U4567">
        <v>0.1098633</v>
      </c>
      <c r="V4567">
        <v>6.9416580000000006E-2</v>
      </c>
      <c r="W4567">
        <v>-5.7759119999999898E-3</v>
      </c>
      <c r="X4567">
        <v>0.99757110000000004</v>
      </c>
      <c r="Y4567">
        <v>4.6493069999999997E-2</v>
      </c>
      <c r="Z4567">
        <v>5.1730449999999996E-4</v>
      </c>
      <c r="AA4567">
        <v>0.99891850000000004</v>
      </c>
      <c r="AB4567">
        <v>36</v>
      </c>
      <c r="AC4567">
        <v>-70.733699999999999</v>
      </c>
      <c r="AD4567">
        <v>-1.11013501975</v>
      </c>
      <c r="AE4567">
        <v>2.6084000000000098</v>
      </c>
      <c r="AF4567">
        <v>3.30726740157316</v>
      </c>
      <c r="AG4567">
        <v>-1.11013501975</v>
      </c>
      <c r="AH4567">
        <v>70.687043779025103</v>
      </c>
      <c r="AI4567">
        <v>90.898769160531202</v>
      </c>
      <c r="AJ4567">
        <v>87.321229400872795</v>
      </c>
      <c r="AK4567">
        <v>70.773078042751493</v>
      </c>
      <c r="AL4567">
        <v>90.330937200295295</v>
      </c>
      <c r="AM4567">
        <v>86.019455537950506</v>
      </c>
      <c r="AN4567">
        <v>1.0000000611467601</v>
      </c>
    </row>
    <row r="4568" spans="1:40" x14ac:dyDescent="0.25">
      <c r="A4568" t="str">
        <f>"20190312161404930"</f>
        <v>20190312161404930</v>
      </c>
      <c r="B4568" t="str">
        <f>"1552378444920690"</f>
        <v>1552378444920690</v>
      </c>
      <c r="C4568" t="s">
        <v>40</v>
      </c>
      <c r="D4568">
        <v>5.1252620000000002</v>
      </c>
      <c r="E4568">
        <v>0.49602449999999998</v>
      </c>
      <c r="F4568" t="s">
        <v>84</v>
      </c>
      <c r="G4568">
        <v>-427.15710000000001</v>
      </c>
      <c r="H4568" s="1">
        <v>-1.29349E-5</v>
      </c>
      <c r="I4568">
        <v>145.0778</v>
      </c>
      <c r="J4568">
        <v>-339.32420000000002</v>
      </c>
      <c r="K4568">
        <v>1.110115</v>
      </c>
      <c r="L4568">
        <v>140.93620000000001</v>
      </c>
      <c r="M4568">
        <v>-0.99984079999999997</v>
      </c>
      <c r="N4568">
        <v>0</v>
      </c>
      <c r="O4568">
        <v>-1.002168E-2</v>
      </c>
      <c r="P4568">
        <v>-0.9980097</v>
      </c>
      <c r="Q4568">
        <v>-2.0737200000000001E-2</v>
      </c>
      <c r="R4568">
        <v>5.9553250000000002E-2</v>
      </c>
      <c r="S4568">
        <v>-2.996826</v>
      </c>
      <c r="T4568">
        <v>-3.7770749999999999E-2</v>
      </c>
      <c r="U4568">
        <v>0.14082339999999999</v>
      </c>
      <c r="V4568">
        <v>6.955546E-2</v>
      </c>
      <c r="W4568">
        <v>-5.9844980000000004E-3</v>
      </c>
      <c r="X4568">
        <v>0.99756009999999995</v>
      </c>
      <c r="Y4568">
        <v>5.6943100000000003E-2</v>
      </c>
      <c r="Z4568">
        <v>4.8488550000000001E-4</v>
      </c>
      <c r="AA4568">
        <v>0.99837730000000002</v>
      </c>
      <c r="AB4568">
        <v>36</v>
      </c>
      <c r="AC4568">
        <v>-87.832899999999995</v>
      </c>
      <c r="AD4568">
        <v>-1.1101279348999999</v>
      </c>
      <c r="AE4568">
        <v>4.14159999999998</v>
      </c>
      <c r="AF4568">
        <v>5.0209208271647503</v>
      </c>
      <c r="AG4568">
        <v>-1.1101279348999999</v>
      </c>
      <c r="AH4568">
        <v>87.772987576620906</v>
      </c>
      <c r="AI4568">
        <v>90.723439645439797</v>
      </c>
      <c r="AJ4568">
        <v>86.726049642455195</v>
      </c>
      <c r="AK4568">
        <v>87.923485930154897</v>
      </c>
      <c r="AL4568">
        <v>90.342888536752895</v>
      </c>
      <c r="AM4568">
        <v>86.011473601482606</v>
      </c>
      <c r="AN4568">
        <v>0.99999996467206598</v>
      </c>
    </row>
    <row r="4569" spans="1:40" x14ac:dyDescent="0.25">
      <c r="A4569" t="str">
        <f>"20190312161404944"</f>
        <v>20190312161404944</v>
      </c>
      <c r="B4569" t="str">
        <f>"1552378444941186"</f>
        <v>1552378444941186</v>
      </c>
      <c r="C4569" t="s">
        <v>40</v>
      </c>
      <c r="D4569">
        <v>5.0934860000000004</v>
      </c>
      <c r="E4569">
        <v>0.49760510000000002</v>
      </c>
      <c r="F4569" t="s">
        <v>84</v>
      </c>
      <c r="G4569">
        <v>-436.71460000000002</v>
      </c>
      <c r="H4569" s="1">
        <v>-1.072289E-5</v>
      </c>
      <c r="I4569">
        <v>145.73249999999999</v>
      </c>
      <c r="J4569">
        <v>-339.53399999999999</v>
      </c>
      <c r="K4569">
        <v>1.110117</v>
      </c>
      <c r="L4569">
        <v>140.934</v>
      </c>
      <c r="M4569">
        <v>-0.99983979999999995</v>
      </c>
      <c r="N4569">
        <v>0</v>
      </c>
      <c r="O4569">
        <v>-1.01312E-2</v>
      </c>
      <c r="P4569">
        <v>-0.99800560000000005</v>
      </c>
      <c r="Q4569">
        <v>-2.0906379999999999E-2</v>
      </c>
      <c r="R4569">
        <v>5.9566420000000002E-2</v>
      </c>
      <c r="S4569">
        <v>-2.996429</v>
      </c>
      <c r="T4569">
        <v>-3.4155489999999997E-2</v>
      </c>
      <c r="U4569">
        <v>0.1475677</v>
      </c>
      <c r="V4569">
        <v>6.967806E-2</v>
      </c>
      <c r="W4569">
        <v>-6.1560240000000004E-3</v>
      </c>
      <c r="X4569">
        <v>0.99755050000000001</v>
      </c>
      <c r="Y4569">
        <v>5.9301279999999998E-2</v>
      </c>
      <c r="Z4569">
        <v>4.5319149999999999E-4</v>
      </c>
      <c r="AA4569">
        <v>0.99824009999999996</v>
      </c>
      <c r="AB4569">
        <v>36</v>
      </c>
      <c r="AC4569">
        <v>-97.180599999999998</v>
      </c>
      <c r="AD4569">
        <v>-1.1101277228899999</v>
      </c>
      <c r="AE4569">
        <v>4.79849999999999</v>
      </c>
      <c r="AF4569">
        <v>5.7821642795830304</v>
      </c>
      <c r="AG4569">
        <v>-1.1101277228899999</v>
      </c>
      <c r="AH4569">
        <v>97.114349655066405</v>
      </c>
      <c r="AI4569">
        <v>90.653769873661503</v>
      </c>
      <c r="AJ4569">
        <v>86.592646042758304</v>
      </c>
      <c r="AK4569">
        <v>97.2926652746429</v>
      </c>
      <c r="AL4569">
        <v>90.352716434168897</v>
      </c>
      <c r="AM4569">
        <v>86.004427759455993</v>
      </c>
      <c r="AN4569">
        <v>0.99999996436354999</v>
      </c>
    </row>
    <row r="4570" spans="1:40" x14ac:dyDescent="0.25">
      <c r="A4570" t="str">
        <f>"20190312161404960"</f>
        <v>20190312161404960</v>
      </c>
      <c r="B4570" t="str">
        <f>"1552378444950945"</f>
        <v>1552378444950945</v>
      </c>
      <c r="C4570" t="s">
        <v>40</v>
      </c>
      <c r="D4570">
        <v>5.0815250000000001</v>
      </c>
      <c r="E4570">
        <v>0.49828420000000001</v>
      </c>
      <c r="F4570" t="s">
        <v>42</v>
      </c>
      <c r="G4570">
        <v>-456.15539999999999</v>
      </c>
      <c r="H4570" s="1">
        <v>-2.5085030000000001E-6</v>
      </c>
      <c r="I4570">
        <v>147.17320000000001</v>
      </c>
      <c r="J4570">
        <v>-339.80160000000001</v>
      </c>
      <c r="K4570">
        <v>1.11012</v>
      </c>
      <c r="L4570">
        <v>140.93119999999999</v>
      </c>
      <c r="M4570">
        <v>-0.99983840000000002</v>
      </c>
      <c r="N4570">
        <v>0</v>
      </c>
      <c r="O4570">
        <v>-1.027053E-2</v>
      </c>
      <c r="P4570">
        <v>-0.99799819999999995</v>
      </c>
      <c r="Q4570">
        <v>-2.1175920000000001E-2</v>
      </c>
      <c r="R4570">
        <v>5.9592470000000002E-2</v>
      </c>
      <c r="S4570">
        <v>-2.995819</v>
      </c>
      <c r="T4570">
        <v>-2.8517250000000001E-2</v>
      </c>
      <c r="U4570">
        <v>0.16027829999999901</v>
      </c>
      <c r="V4570">
        <v>6.984303E-2</v>
      </c>
      <c r="W4570">
        <v>-6.4285319999999998E-3</v>
      </c>
      <c r="X4570">
        <v>0.99753729999999996</v>
      </c>
      <c r="Y4570">
        <v>6.3675079999999995E-2</v>
      </c>
      <c r="Z4570">
        <v>4.0054789999999999E-4</v>
      </c>
      <c r="AA4570">
        <v>0.99797060000000004</v>
      </c>
      <c r="AB4570">
        <v>36</v>
      </c>
      <c r="AC4570">
        <v>-116.353799999999</v>
      </c>
      <c r="AD4570">
        <v>-1.110122508503</v>
      </c>
      <c r="AE4570">
        <v>6.2420000000000098</v>
      </c>
      <c r="AF4570">
        <v>7.4361410276136501</v>
      </c>
      <c r="AG4570">
        <v>-1.110122508503</v>
      </c>
      <c r="AH4570">
        <v>116.272992292401</v>
      </c>
      <c r="AI4570">
        <v>90.545902646560805</v>
      </c>
      <c r="AJ4570">
        <v>86.340680414361799</v>
      </c>
      <c r="AK4570">
        <v>116.515824255743</v>
      </c>
      <c r="AL4570">
        <v>90.368330281710698</v>
      </c>
      <c r="AM4570">
        <v>85.994945753988006</v>
      </c>
      <c r="AN4570">
        <v>1.0000000198772701</v>
      </c>
    </row>
    <row r="4571" spans="1:40" x14ac:dyDescent="0.25">
      <c r="A4571" t="str">
        <f>"20190312161404975"</f>
        <v>20190312161404975</v>
      </c>
      <c r="B4571" t="str">
        <f>"1552378444970466"</f>
        <v>1552378444970466</v>
      </c>
      <c r="C4571" t="s">
        <v>40</v>
      </c>
      <c r="D4571">
        <v>5.0751549999999996</v>
      </c>
      <c r="E4571">
        <v>0.49940709999999999</v>
      </c>
      <c r="F4571" t="s">
        <v>42</v>
      </c>
      <c r="G4571">
        <v>-440.6814</v>
      </c>
      <c r="H4571" s="1">
        <v>-4.2540089999999999E-6</v>
      </c>
      <c r="I4571">
        <v>146.51179999999999</v>
      </c>
      <c r="J4571">
        <v>-340.03829999999999</v>
      </c>
      <c r="K4571">
        <v>1.1101209999999999</v>
      </c>
      <c r="L4571">
        <v>140.92859999999999</v>
      </c>
      <c r="M4571">
        <v>-0.99983719999999998</v>
      </c>
      <c r="N4571">
        <v>0</v>
      </c>
      <c r="O4571">
        <v>-1.039412E-2</v>
      </c>
      <c r="P4571">
        <v>-0.99798770000000003</v>
      </c>
      <c r="Q4571">
        <v>-2.1207090000000001E-2</v>
      </c>
      <c r="R4571">
        <v>5.975896E-2</v>
      </c>
      <c r="S4571">
        <v>-2.995422</v>
      </c>
      <c r="T4571">
        <v>-3.296292E-2</v>
      </c>
      <c r="U4571">
        <v>0.16571040000000001</v>
      </c>
      <c r="V4571">
        <v>7.0132700000000006E-2</v>
      </c>
      <c r="W4571">
        <v>-6.4623789999999999E-3</v>
      </c>
      <c r="X4571">
        <v>0.99751679999999998</v>
      </c>
      <c r="Y4571">
        <v>6.560858E-2</v>
      </c>
      <c r="Z4571">
        <v>4.7501539999999999E-4</v>
      </c>
      <c r="AA4571">
        <v>0.99784539999999999</v>
      </c>
      <c r="AB4571">
        <v>36</v>
      </c>
      <c r="AC4571">
        <v>-100.6431</v>
      </c>
      <c r="AD4571">
        <v>-1.1101252540090001</v>
      </c>
      <c r="AE4571">
        <v>5.5831999999999997</v>
      </c>
      <c r="AF4571">
        <v>6.6283046093828402</v>
      </c>
      <c r="AG4571">
        <v>-1.1101252540090001</v>
      </c>
      <c r="AH4571">
        <v>100.567424994706</v>
      </c>
      <c r="AI4571">
        <v>90.631071367882498</v>
      </c>
      <c r="AJ4571">
        <v>86.229142834344401</v>
      </c>
      <c r="AK4571">
        <v>100.791734632063</v>
      </c>
      <c r="AL4571">
        <v>90.370269596565194</v>
      </c>
      <c r="AM4571">
        <v>85.978307033460396</v>
      </c>
      <c r="AN4571">
        <v>1.00000006211693</v>
      </c>
    </row>
    <row r="4572" spans="1:40" x14ac:dyDescent="0.25">
      <c r="A4572" t="str">
        <f>"20190312161404991"</f>
        <v>20190312161404991</v>
      </c>
      <c r="B4572" t="str">
        <f>"1552378444981202"</f>
        <v>1552378444981202</v>
      </c>
      <c r="C4572" t="s">
        <v>40</v>
      </c>
      <c r="D4572">
        <v>5.0698230000000004</v>
      </c>
      <c r="E4572">
        <v>0.49989499999999998</v>
      </c>
      <c r="F4572" t="s">
        <v>84</v>
      </c>
      <c r="G4572">
        <v>-438.63279999999997</v>
      </c>
      <c r="H4572" s="1">
        <v>-1.0210800000000001E-5</v>
      </c>
      <c r="I4572">
        <v>146.696</v>
      </c>
      <c r="J4572">
        <v>-340.28910000000002</v>
      </c>
      <c r="K4572">
        <v>1.11012</v>
      </c>
      <c r="L4572">
        <v>140.92590000000001</v>
      </c>
      <c r="M4572">
        <v>-0.9998359</v>
      </c>
      <c r="N4572">
        <v>0</v>
      </c>
      <c r="O4572">
        <v>-1.0524850000000001E-2</v>
      </c>
      <c r="P4572">
        <v>-0.99800409999999995</v>
      </c>
      <c r="Q4572">
        <v>-2.10195E-2</v>
      </c>
      <c r="R4572">
        <v>5.9550159999999998E-2</v>
      </c>
      <c r="S4572">
        <v>-2.9948429999999999</v>
      </c>
      <c r="T4572">
        <v>-3.3720609999999998E-2</v>
      </c>
      <c r="U4572">
        <v>0.17518619999999999</v>
      </c>
      <c r="V4572">
        <v>7.0054489999999997E-2</v>
      </c>
      <c r="W4572">
        <v>-6.2773560000000004E-3</v>
      </c>
      <c r="X4572">
        <v>0.99752339999999995</v>
      </c>
      <c r="Y4572">
        <v>6.8895910000000005E-2</v>
      </c>
      <c r="Z4572">
        <v>5.0594609999999999E-4</v>
      </c>
      <c r="AA4572">
        <v>0.9976237</v>
      </c>
      <c r="AB4572">
        <v>36</v>
      </c>
      <c r="AC4572">
        <v>-98.343699999999899</v>
      </c>
      <c r="AD4572">
        <v>-1.1101302108</v>
      </c>
      <c r="AE4572">
        <v>5.7700999999999798</v>
      </c>
      <c r="AF4572">
        <v>6.8040815215050801</v>
      </c>
      <c r="AG4572">
        <v>-1.1101302108</v>
      </c>
      <c r="AH4572">
        <v>98.265037269594401</v>
      </c>
      <c r="AI4572">
        <v>90.645714478983294</v>
      </c>
      <c r="AJ4572">
        <v>86.039039749420795</v>
      </c>
      <c r="AK4572">
        <v>98.506575740054004</v>
      </c>
      <c r="AL4572">
        <v>90.359668372799803</v>
      </c>
      <c r="AM4572">
        <v>85.982803712016505</v>
      </c>
      <c r="AN4572">
        <v>0.99999998515753497</v>
      </c>
    </row>
    <row r="4573" spans="1:40" x14ac:dyDescent="0.25">
      <c r="A4573" t="str">
        <f>"20190312161405005"</f>
        <v>20190312161405005</v>
      </c>
      <c r="B4573" t="str">
        <f>"1552378445000722"</f>
        <v>1552378445000722</v>
      </c>
      <c r="C4573" t="s">
        <v>40</v>
      </c>
      <c r="D4573">
        <v>5.0846600000000004</v>
      </c>
      <c r="E4573">
        <v>0.50081779999999998</v>
      </c>
      <c r="F4573" t="s">
        <v>42</v>
      </c>
      <c r="G4573">
        <v>-444.41180000000003</v>
      </c>
      <c r="H4573" s="1">
        <v>-3.0942240000000002E-6</v>
      </c>
      <c r="I4573">
        <v>147.13030000000001</v>
      </c>
      <c r="J4573">
        <v>-340.53120000000001</v>
      </c>
      <c r="K4573">
        <v>1.1101179999999999</v>
      </c>
      <c r="L4573">
        <v>140.92320000000001</v>
      </c>
      <c r="M4573">
        <v>-0.99983449999999996</v>
      </c>
      <c r="N4573">
        <v>0</v>
      </c>
      <c r="O4573">
        <v>-1.0650949999999999E-2</v>
      </c>
      <c r="P4573">
        <v>-0.99801419999999996</v>
      </c>
      <c r="Q4573">
        <v>-2.0812230000000001E-2</v>
      </c>
      <c r="R4573">
        <v>5.9452900000000003E-2</v>
      </c>
      <c r="S4573">
        <v>-2.99472</v>
      </c>
      <c r="T4573">
        <v>-3.1928779999999997E-2</v>
      </c>
      <c r="U4573">
        <v>0.17845150000000001</v>
      </c>
      <c r="V4573">
        <v>7.0082850000000002E-2</v>
      </c>
      <c r="W4573">
        <v>-6.0725960000000004E-3</v>
      </c>
      <c r="X4573">
        <v>0.99752269999999998</v>
      </c>
      <c r="Y4573">
        <v>7.0108500000000004E-2</v>
      </c>
      <c r="Z4573">
        <v>4.8686870000000002E-4</v>
      </c>
      <c r="AA4573">
        <v>0.99753930000000002</v>
      </c>
      <c r="AB4573">
        <v>36</v>
      </c>
      <c r="AC4573">
        <v>-103.8806</v>
      </c>
      <c r="AD4573">
        <v>-1.1101210942239901</v>
      </c>
      <c r="AE4573">
        <v>6.2070999999999898</v>
      </c>
      <c r="AF4573">
        <v>7.3124631515712002</v>
      </c>
      <c r="AG4573">
        <v>-1.1101210942239901</v>
      </c>
      <c r="AH4573">
        <v>103.79677602116701</v>
      </c>
      <c r="AI4573">
        <v>90.611248170770693</v>
      </c>
      <c r="AJ4573">
        <v>85.9701813168153</v>
      </c>
      <c r="AK4573">
        <v>104.059959631816</v>
      </c>
      <c r="AL4573">
        <v>90.347936256593201</v>
      </c>
      <c r="AM4573">
        <v>85.981179956338806</v>
      </c>
      <c r="AN4573">
        <v>1.0000000096507899</v>
      </c>
    </row>
    <row r="4574" spans="1:40" x14ac:dyDescent="0.25">
      <c r="A4574" t="str">
        <f>"20190312161405021"</f>
        <v>20190312161405021</v>
      </c>
      <c r="B4574" t="str">
        <f>"1552378445010481"</f>
        <v>1552378445010481</v>
      </c>
      <c r="C4574" t="s">
        <v>40</v>
      </c>
      <c r="D4574">
        <v>5.086328</v>
      </c>
      <c r="E4574">
        <v>0.50121899999999997</v>
      </c>
      <c r="F4574" t="s">
        <v>84</v>
      </c>
      <c r="G4574">
        <v>-433.71449999999999</v>
      </c>
      <c r="H4574" s="1">
        <v>-1.2306659999999999E-5</v>
      </c>
      <c r="I4574">
        <v>146.69059999999999</v>
      </c>
      <c r="J4574">
        <v>-340.774</v>
      </c>
      <c r="K4574">
        <v>1.1101179999999999</v>
      </c>
      <c r="L4574">
        <v>140.9205</v>
      </c>
      <c r="M4574">
        <v>-0.99983330000000004</v>
      </c>
      <c r="N4574">
        <v>0</v>
      </c>
      <c r="O4574">
        <v>-1.077764E-2</v>
      </c>
      <c r="P4574">
        <v>-0.99802630000000003</v>
      </c>
      <c r="Q4574">
        <v>-2.0904889999999999E-2</v>
      </c>
      <c r="R4574">
        <v>5.9219819999999999E-2</v>
      </c>
      <c r="S4574">
        <v>-2.9941710000000001</v>
      </c>
      <c r="T4574">
        <v>-3.5670760000000003E-2</v>
      </c>
      <c r="U4574">
        <v>0.18531800000000001</v>
      </c>
      <c r="V4574">
        <v>6.9976499999999997E-2</v>
      </c>
      <c r="W4574">
        <v>-6.1677779999999996E-3</v>
      </c>
      <c r="X4574">
        <v>0.99752960000000002</v>
      </c>
      <c r="Y4574">
        <v>7.2523470000000007E-2</v>
      </c>
      <c r="Z4574">
        <v>5.5986610000000004E-4</v>
      </c>
      <c r="AA4574">
        <v>0.99736650000000004</v>
      </c>
      <c r="AB4574">
        <v>36</v>
      </c>
      <c r="AC4574">
        <v>-92.9405</v>
      </c>
      <c r="AD4574">
        <v>-1.1101303066599999</v>
      </c>
      <c r="AE4574">
        <v>5.7700999999999798</v>
      </c>
      <c r="AF4574">
        <v>6.7705905921718799</v>
      </c>
      <c r="AG4574">
        <v>-1.1101303066599999</v>
      </c>
      <c r="AH4574">
        <v>92.859708399574998</v>
      </c>
      <c r="AI4574">
        <v>90.683120571430905</v>
      </c>
      <c r="AJ4574">
        <v>85.829827272857997</v>
      </c>
      <c r="AK4574">
        <v>93.112827957906404</v>
      </c>
      <c r="AL4574">
        <v>90.353389879274005</v>
      </c>
      <c r="AM4574">
        <v>85.987286202429004</v>
      </c>
      <c r="AN4574">
        <v>1.0000000274569301</v>
      </c>
    </row>
    <row r="4575" spans="1:40" x14ac:dyDescent="0.25">
      <c r="A4575" t="str">
        <f>"20190312161405039"</f>
        <v>20190312161405039</v>
      </c>
      <c r="B4575" t="str">
        <f>"1552378445030977"</f>
        <v>1552378445030977</v>
      </c>
      <c r="C4575" t="s">
        <v>40</v>
      </c>
      <c r="D4575">
        <v>5.089251</v>
      </c>
      <c r="E4575">
        <v>0.50200319999999998</v>
      </c>
      <c r="F4575" t="s">
        <v>84</v>
      </c>
      <c r="G4575">
        <v>-430.50889999999998</v>
      </c>
      <c r="H4575" s="1">
        <v>-1.366E-5</v>
      </c>
      <c r="I4575">
        <v>146.55160000000001</v>
      </c>
      <c r="J4575">
        <v>-341.06079999999997</v>
      </c>
      <c r="K4575">
        <v>1.1101240000000001</v>
      </c>
      <c r="L4575">
        <v>140.91730000000001</v>
      </c>
      <c r="M4575">
        <v>-0.99983160000000004</v>
      </c>
      <c r="N4575">
        <v>0</v>
      </c>
      <c r="O4575">
        <v>-1.0927330000000001E-2</v>
      </c>
      <c r="P4575">
        <v>-0.99804649999999995</v>
      </c>
      <c r="Q4575">
        <v>-2.1062770000000001E-2</v>
      </c>
      <c r="R4575">
        <v>5.8820980000000002E-2</v>
      </c>
      <c r="S4575">
        <v>-2.9940190000000002</v>
      </c>
      <c r="T4575">
        <v>-3.7039759999999998E-2</v>
      </c>
      <c r="U4575">
        <v>0.18788150000000001</v>
      </c>
      <c r="V4575">
        <v>6.9727259999999999E-2</v>
      </c>
      <c r="W4575">
        <v>-6.3285930000000004E-3</v>
      </c>
      <c r="X4575">
        <v>0.99754600000000004</v>
      </c>
      <c r="Y4575">
        <v>7.3525980000000005E-2</v>
      </c>
      <c r="Z4575">
        <v>5.8941099999999997E-4</v>
      </c>
      <c r="AA4575">
        <v>0.99729310000000004</v>
      </c>
      <c r="AB4575">
        <v>36</v>
      </c>
      <c r="AC4575">
        <v>-89.448099999999997</v>
      </c>
      <c r="AD4575">
        <v>-1.1101376599999999</v>
      </c>
      <c r="AE4575">
        <v>5.6342999999999899</v>
      </c>
      <c r="AF4575">
        <v>6.6104844808218397</v>
      </c>
      <c r="AG4575">
        <v>-1.1101376599999999</v>
      </c>
      <c r="AH4575">
        <v>89.367472723045097</v>
      </c>
      <c r="AI4575">
        <v>90.709762239157499</v>
      </c>
      <c r="AJ4575">
        <v>85.769553231345796</v>
      </c>
      <c r="AK4575">
        <v>89.618503064933705</v>
      </c>
      <c r="AL4575">
        <v>90.362604096159899</v>
      </c>
      <c r="AM4575">
        <v>86.001597636509501</v>
      </c>
      <c r="AN4575">
        <v>0.99999998199623297</v>
      </c>
    </row>
    <row r="4576" spans="1:40" x14ac:dyDescent="0.25">
      <c r="A4576" t="str">
        <f>"20190312161405062"</f>
        <v>20190312161405062</v>
      </c>
      <c r="B4576" t="str">
        <f>"1552378445050498"</f>
        <v>1552378445050498</v>
      </c>
      <c r="C4576" t="s">
        <v>40</v>
      </c>
      <c r="D4576">
        <v>5.0410300000000001</v>
      </c>
      <c r="E4576">
        <v>0.50298069999999995</v>
      </c>
      <c r="F4576" t="s">
        <v>84</v>
      </c>
      <c r="G4576">
        <v>-434.60680000000002</v>
      </c>
      <c r="H4576" s="1">
        <v>-1.206027E-5</v>
      </c>
      <c r="I4576">
        <v>146.9453</v>
      </c>
      <c r="J4576">
        <v>-341.4203</v>
      </c>
      <c r="K4576">
        <v>1.110128</v>
      </c>
      <c r="L4576">
        <v>140.91309999999999</v>
      </c>
      <c r="M4576">
        <v>-0.99982979999999999</v>
      </c>
      <c r="N4576">
        <v>0</v>
      </c>
      <c r="O4576">
        <v>-1.111527E-2</v>
      </c>
      <c r="P4576">
        <v>-0.99807179999999995</v>
      </c>
      <c r="Q4576">
        <v>-2.107879E-2</v>
      </c>
      <c r="R4576">
        <v>5.8381879999999997E-2</v>
      </c>
      <c r="S4576">
        <v>-2.993744</v>
      </c>
      <c r="T4576">
        <v>-3.5527589999999998E-2</v>
      </c>
      <c r="U4576">
        <v>0.1929169</v>
      </c>
      <c r="V4576">
        <v>6.9475809999999999E-2</v>
      </c>
      <c r="W4576">
        <v>-6.3484400000000003E-3</v>
      </c>
      <c r="X4576">
        <v>0.99756339999999999</v>
      </c>
      <c r="Y4576">
        <v>7.539005E-2</v>
      </c>
      <c r="Z4576">
        <v>5.7864889999999995E-4</v>
      </c>
      <c r="AA4576">
        <v>0.99715390000000004</v>
      </c>
      <c r="AB4576">
        <v>36</v>
      </c>
      <c r="AC4576">
        <v>-93.186499999999995</v>
      </c>
      <c r="AD4576">
        <v>-1.11014006027</v>
      </c>
      <c r="AE4576">
        <v>6.0322000000000102</v>
      </c>
      <c r="AF4576">
        <v>7.0667339486391496</v>
      </c>
      <c r="AG4576">
        <v>-1.11014006027</v>
      </c>
      <c r="AH4576">
        <v>93.100527339606302</v>
      </c>
      <c r="AI4576">
        <v>90.681208887519304</v>
      </c>
      <c r="AJ4576">
        <v>85.659325204298597</v>
      </c>
      <c r="AK4576">
        <v>93.374939521089104</v>
      </c>
      <c r="AL4576">
        <v>90.363741274927605</v>
      </c>
      <c r="AM4576">
        <v>86.016039400942802</v>
      </c>
      <c r="AN4576">
        <v>0.99999996394257396</v>
      </c>
    </row>
    <row r="4577" spans="1:40" x14ac:dyDescent="0.25">
      <c r="A4577" t="str">
        <f>"20190312161405083"</f>
        <v>20190312161405083</v>
      </c>
      <c r="B4577" t="str">
        <f>"1552378445070994"</f>
        <v>1552378445070994</v>
      </c>
      <c r="C4577" t="s">
        <v>40</v>
      </c>
      <c r="D4577">
        <v>5.2040129999999998</v>
      </c>
      <c r="E4577">
        <v>0.50375939999999997</v>
      </c>
      <c r="F4577" t="s">
        <v>84</v>
      </c>
      <c r="G4577">
        <v>-431.41849999999999</v>
      </c>
      <c r="H4577" s="1">
        <v>-1.339302E-5</v>
      </c>
      <c r="I4577">
        <v>146.90600000000001</v>
      </c>
      <c r="J4577">
        <v>-341.75349999999997</v>
      </c>
      <c r="K4577">
        <v>1.1101270000000001</v>
      </c>
      <c r="L4577">
        <v>140.9093</v>
      </c>
      <c r="M4577">
        <v>-0.99982769999999999</v>
      </c>
      <c r="N4577">
        <v>0</v>
      </c>
      <c r="O4577">
        <v>-1.1288919999999999E-2</v>
      </c>
      <c r="P4577">
        <v>-0.99808680000000005</v>
      </c>
      <c r="Q4577">
        <v>-2.1212870000000002E-2</v>
      </c>
      <c r="R4577">
        <v>5.8078560000000001E-2</v>
      </c>
      <c r="S4577">
        <v>-2.9933779999999999</v>
      </c>
      <c r="T4577">
        <v>-3.6923770000000002E-2</v>
      </c>
      <c r="U4577">
        <v>0.19932559999999999</v>
      </c>
      <c r="V4577">
        <v>6.9346279999999996E-2</v>
      </c>
      <c r="W4577">
        <v>-6.4861780000000004E-3</v>
      </c>
      <c r="X4577">
        <v>0.9975716</v>
      </c>
      <c r="Y4577">
        <v>7.7695920000000002E-2</v>
      </c>
      <c r="Z4577">
        <v>6.1776449999999998E-4</v>
      </c>
      <c r="AA4577">
        <v>0.99697690000000005</v>
      </c>
      <c r="AB4577">
        <v>36</v>
      </c>
      <c r="AC4577">
        <v>-89.665000000000006</v>
      </c>
      <c r="AD4577">
        <v>-1.11014039302</v>
      </c>
      <c r="AE4577">
        <v>5.9966999999999997</v>
      </c>
      <c r="AF4577">
        <v>7.0075793188025903</v>
      </c>
      <c r="AG4577">
        <v>-1.11014039302</v>
      </c>
      <c r="AH4577">
        <v>89.577911388365607</v>
      </c>
      <c r="AI4577">
        <v>90.707868634591193</v>
      </c>
      <c r="AJ4577">
        <v>85.526925437858793</v>
      </c>
      <c r="AK4577">
        <v>89.858448619500507</v>
      </c>
      <c r="AL4577">
        <v>90.3716332166169</v>
      </c>
      <c r="AM4577">
        <v>86.023475787774203</v>
      </c>
      <c r="AN4577">
        <v>1.0000000370907201</v>
      </c>
    </row>
    <row r="4578" spans="1:40" x14ac:dyDescent="0.25">
      <c r="A4578" t="str">
        <f>"20190312161405099"</f>
        <v>20190312161405099</v>
      </c>
      <c r="B4578" t="str">
        <f>"1552378445090514"</f>
        <v>1552378445090514</v>
      </c>
      <c r="C4578" t="s">
        <v>40</v>
      </c>
      <c r="D4578">
        <v>5.2053450000000003</v>
      </c>
      <c r="E4578">
        <v>0.50463549999999902</v>
      </c>
      <c r="F4578" t="s">
        <v>84</v>
      </c>
      <c r="G4578">
        <v>-419.8288</v>
      </c>
      <c r="H4578" s="1">
        <v>-1.213793E-5</v>
      </c>
      <c r="I4578">
        <v>146.24549999999999</v>
      </c>
      <c r="J4578">
        <v>-342.00729999999999</v>
      </c>
      <c r="K4578">
        <v>1.110125</v>
      </c>
      <c r="L4578">
        <v>140.90629999999999</v>
      </c>
      <c r="M4578">
        <v>-0.99982629999999995</v>
      </c>
      <c r="N4578">
        <v>0</v>
      </c>
      <c r="O4578">
        <v>-1.142144E-2</v>
      </c>
      <c r="P4578">
        <v>-0.99810920000000003</v>
      </c>
      <c r="Q4578">
        <v>-2.1193900000000002E-2</v>
      </c>
      <c r="R4578">
        <v>5.769614E-2</v>
      </c>
      <c r="S4578">
        <v>-2.9929199999999998</v>
      </c>
      <c r="T4578">
        <v>-4.2555809999999999E-2</v>
      </c>
      <c r="U4578">
        <v>0.2045593</v>
      </c>
      <c r="V4578">
        <v>6.9095920000000005E-2</v>
      </c>
      <c r="W4578">
        <v>-6.4698639999999996E-3</v>
      </c>
      <c r="X4578">
        <v>0.99758910000000001</v>
      </c>
      <c r="Y4578">
        <v>7.9571169999999997E-2</v>
      </c>
      <c r="Z4578">
        <v>7.272496E-4</v>
      </c>
      <c r="AA4578">
        <v>0.99682890000000002</v>
      </c>
      <c r="AB4578">
        <v>36</v>
      </c>
      <c r="AC4578">
        <v>-77.8215</v>
      </c>
      <c r="AD4578">
        <v>-1.11013713793</v>
      </c>
      <c r="AE4578">
        <v>5.3391999999999999</v>
      </c>
      <c r="AF4578">
        <v>6.2265205469427602</v>
      </c>
      <c r="AG4578">
        <v>-1.11013713793</v>
      </c>
      <c r="AH4578">
        <v>77.739689351555995</v>
      </c>
      <c r="AI4578">
        <v>90.815527396212602</v>
      </c>
      <c r="AJ4578">
        <v>85.420699495146593</v>
      </c>
      <c r="AK4578">
        <v>77.996546481642</v>
      </c>
      <c r="AL4578">
        <v>90.370698465617707</v>
      </c>
      <c r="AM4578">
        <v>86.037855658856301</v>
      </c>
      <c r="AN4578">
        <v>1.0000000588698099</v>
      </c>
    </row>
    <row r="4579" spans="1:40" x14ac:dyDescent="0.25">
      <c r="A4579" t="str">
        <f>"20190312161405117"</f>
        <v>20190312161405117</v>
      </c>
      <c r="B4579" t="str">
        <f>"1552378445111009"</f>
        <v>1552378445111009</v>
      </c>
      <c r="C4579" t="s">
        <v>40</v>
      </c>
      <c r="D4579">
        <v>5.1917929999999997</v>
      </c>
      <c r="E4579">
        <v>0.50516779999999994</v>
      </c>
      <c r="F4579" t="s">
        <v>84</v>
      </c>
      <c r="G4579">
        <v>-409.28609999999998</v>
      </c>
      <c r="H4579" s="1">
        <v>-1.249946E-5</v>
      </c>
      <c r="I4579">
        <v>145.6335</v>
      </c>
      <c r="J4579">
        <v>-342.30270000000002</v>
      </c>
      <c r="K4579">
        <v>1.1101259999999999</v>
      </c>
      <c r="L4579">
        <v>140.90270000000001</v>
      </c>
      <c r="M4579">
        <v>-0.9998245</v>
      </c>
      <c r="N4579">
        <v>0</v>
      </c>
      <c r="O4579">
        <v>-1.1575780000000001E-2</v>
      </c>
      <c r="P4579">
        <v>-0.99811550000000004</v>
      </c>
      <c r="Q4579">
        <v>-2.1261639999999998E-2</v>
      </c>
      <c r="R4579">
        <v>5.756033E-2</v>
      </c>
      <c r="S4579">
        <v>-2.9925229999999998</v>
      </c>
      <c r="T4579">
        <v>-4.9378279999999997E-2</v>
      </c>
      <c r="U4579">
        <v>0.21026610000000001</v>
      </c>
      <c r="V4579">
        <v>6.9114239999999993E-2</v>
      </c>
      <c r="W4579">
        <v>-6.540901E-3</v>
      </c>
      <c r="X4579">
        <v>0.99758729999999995</v>
      </c>
      <c r="Y4579">
        <v>8.1622239999999999E-2</v>
      </c>
      <c r="Z4579">
        <v>8.6332679999999895E-4</v>
      </c>
      <c r="AA4579">
        <v>0.99666299999999997</v>
      </c>
      <c r="AB4579">
        <v>36</v>
      </c>
      <c r="AC4579">
        <v>-66.983399999999904</v>
      </c>
      <c r="AD4579">
        <v>-1.1101384994600001</v>
      </c>
      <c r="AE4579">
        <v>4.7307999999999799</v>
      </c>
      <c r="AF4579">
        <v>5.5044477609176399</v>
      </c>
      <c r="AG4579">
        <v>-1.1101384994600001</v>
      </c>
      <c r="AH4579">
        <v>66.905856202572295</v>
      </c>
      <c r="AI4579">
        <v>90.947395349545999</v>
      </c>
      <c r="AJ4579">
        <v>85.296780366841205</v>
      </c>
      <c r="AK4579">
        <v>67.141082407419802</v>
      </c>
      <c r="AL4579">
        <v>90.374768697103406</v>
      </c>
      <c r="AM4579">
        <v>86.036801360203</v>
      </c>
      <c r="AN4579">
        <v>0.99999999133897899</v>
      </c>
    </row>
    <row r="4580" spans="1:40" x14ac:dyDescent="0.25">
      <c r="A4580" t="str">
        <f>"20190312161405140"</f>
        <v>20190312161405140</v>
      </c>
      <c r="B4580" t="str">
        <f>"1552378445130529"</f>
        <v>1552378445130529</v>
      </c>
      <c r="C4580" t="s">
        <v>40</v>
      </c>
      <c r="D4580">
        <v>5.1625730000000001</v>
      </c>
      <c r="E4580">
        <v>0.5054765</v>
      </c>
      <c r="F4580" t="s">
        <v>84</v>
      </c>
      <c r="G4580">
        <v>-404.60090000000002</v>
      </c>
      <c r="H4580" s="1">
        <v>-9.7667730000000006E-6</v>
      </c>
      <c r="I4580">
        <v>145.35939999999999</v>
      </c>
      <c r="J4580">
        <v>-342.65789999999998</v>
      </c>
      <c r="K4580">
        <v>1.110128</v>
      </c>
      <c r="L4580">
        <v>140.89840000000001</v>
      </c>
      <c r="M4580">
        <v>-0.9998224</v>
      </c>
      <c r="N4580">
        <v>0</v>
      </c>
      <c r="O4580">
        <v>-1.176134E-2</v>
      </c>
      <c r="P4580">
        <v>-0.99812670000000003</v>
      </c>
      <c r="Q4580">
        <v>-2.1216550000000001E-2</v>
      </c>
      <c r="R4580">
        <v>5.7384730000000002E-2</v>
      </c>
      <c r="S4580">
        <v>-2.9921570000000002</v>
      </c>
      <c r="T4580">
        <v>-5.3319329999999998E-2</v>
      </c>
      <c r="U4580">
        <v>0.2140503</v>
      </c>
      <c r="V4580">
        <v>6.9123899999999905E-2</v>
      </c>
      <c r="W4580">
        <v>-6.4997369999999898E-3</v>
      </c>
      <c r="X4580">
        <v>0.99758690000000005</v>
      </c>
      <c r="Y4580">
        <v>8.3067479999999999E-2</v>
      </c>
      <c r="Z4580">
        <v>9.4845650000000004E-4</v>
      </c>
      <c r="AA4580">
        <v>0.99654350000000003</v>
      </c>
      <c r="AB4580">
        <v>36</v>
      </c>
      <c r="AC4580">
        <v>-61.942999999999998</v>
      </c>
      <c r="AD4580">
        <v>-1.1101377667729999</v>
      </c>
      <c r="AE4580">
        <v>4.4609999999999799</v>
      </c>
      <c r="AF4580">
        <v>5.1876454128406104</v>
      </c>
      <c r="AG4580">
        <v>-1.1101377667729999</v>
      </c>
      <c r="AH4580">
        <v>61.866472941706</v>
      </c>
      <c r="AI4580">
        <v>91.024416128039604</v>
      </c>
      <c r="AJ4580">
        <v>85.206830631685506</v>
      </c>
      <c r="AK4580">
        <v>62.0935145167144</v>
      </c>
      <c r="AL4580">
        <v>90.372410123383403</v>
      </c>
      <c r="AM4580">
        <v>86.036247610813604</v>
      </c>
      <c r="AN4580">
        <v>0.99999999159194397</v>
      </c>
    </row>
    <row r="4581" spans="1:40" x14ac:dyDescent="0.25">
      <c r="A4581" t="str">
        <f>"20190312161405161"</f>
        <v>20190312161405161</v>
      </c>
      <c r="B4581" t="str">
        <f>"1552378445151027"</f>
        <v>1552378445151027</v>
      </c>
      <c r="C4581" t="s">
        <v>40</v>
      </c>
      <c r="D4581">
        <v>5.1393409999999999</v>
      </c>
      <c r="E4581">
        <v>0.50595020000000002</v>
      </c>
      <c r="F4581" t="s">
        <v>84</v>
      </c>
      <c r="G4581">
        <v>-402.59730000000002</v>
      </c>
      <c r="H4581" s="1">
        <v>-8.8227749999999996E-6</v>
      </c>
      <c r="I4581">
        <v>145.2244</v>
      </c>
      <c r="J4581">
        <v>-343.00880000000001</v>
      </c>
      <c r="K4581">
        <v>1.1101190000000001</v>
      </c>
      <c r="L4581">
        <v>140.89410000000001</v>
      </c>
      <c r="M4581">
        <v>-0.99982040000000005</v>
      </c>
      <c r="N4581">
        <v>0</v>
      </c>
      <c r="O4581">
        <v>-1.1945000000000001E-2</v>
      </c>
      <c r="P4581">
        <v>-0.99813540000000001</v>
      </c>
      <c r="Q4581">
        <v>-2.1203840000000002E-2</v>
      </c>
      <c r="R4581">
        <v>5.7237040000000003E-2</v>
      </c>
      <c r="S4581">
        <v>-2.992035</v>
      </c>
      <c r="T4581">
        <v>-5.5415390000000002E-2</v>
      </c>
      <c r="U4581">
        <v>0.21594240000000001</v>
      </c>
      <c r="V4581">
        <v>6.915955E-2</v>
      </c>
      <c r="W4581">
        <v>-6.4908509999999997E-3</v>
      </c>
      <c r="X4581">
        <v>0.99758449999999999</v>
      </c>
      <c r="Y4581">
        <v>8.3878999999999995E-2</v>
      </c>
      <c r="Z4581">
        <v>9.9665579999999999E-4</v>
      </c>
      <c r="AA4581">
        <v>0.99647549999999996</v>
      </c>
      <c r="AB4581">
        <v>36</v>
      </c>
      <c r="AC4581">
        <v>-59.588500000000003</v>
      </c>
      <c r="AD4581">
        <v>-1.110127822775</v>
      </c>
      <c r="AE4581">
        <v>4.3302999999999896</v>
      </c>
      <c r="AF4581">
        <v>5.0401125835866196</v>
      </c>
      <c r="AG4581">
        <v>-1.110127822775</v>
      </c>
      <c r="AH4581">
        <v>59.5119702561841</v>
      </c>
      <c r="AI4581">
        <v>91.064852242840004</v>
      </c>
      <c r="AJ4581">
        <v>85.159129935491507</v>
      </c>
      <c r="AK4581">
        <v>59.735330604350601</v>
      </c>
      <c r="AL4581">
        <v>90.371900977514997</v>
      </c>
      <c r="AM4581">
        <v>86.034200353660594</v>
      </c>
      <c r="AN4581">
        <v>1.00000000457157</v>
      </c>
    </row>
    <row r="4582" spans="1:40" x14ac:dyDescent="0.25">
      <c r="A4582" t="str">
        <f>"20190312161405183"</f>
        <v>20190312161405183</v>
      </c>
      <c r="B4582" t="str">
        <f>"1552378445181282"</f>
        <v>1552378445181282</v>
      </c>
      <c r="C4582" t="s">
        <v>40</v>
      </c>
      <c r="D4582">
        <v>4.7531660000000002</v>
      </c>
      <c r="E4582">
        <v>0.50629399999999902</v>
      </c>
      <c r="F4582" t="s">
        <v>42</v>
      </c>
      <c r="G4582">
        <v>-399.93970000000002</v>
      </c>
      <c r="H4582" s="1">
        <v>-1.457629E-6</v>
      </c>
      <c r="I4582">
        <v>145.06360000000001</v>
      </c>
      <c r="J4582">
        <v>-343.35320000000002</v>
      </c>
      <c r="K4582">
        <v>1.1101190000000001</v>
      </c>
      <c r="L4582">
        <v>140.88980000000001</v>
      </c>
      <c r="M4582">
        <v>-0.99981819999999999</v>
      </c>
      <c r="N4582">
        <v>0</v>
      </c>
      <c r="O4582">
        <v>-1.212508E-2</v>
      </c>
      <c r="P4582">
        <v>-0.99815200000000004</v>
      </c>
      <c r="Q4582">
        <v>-2.0883559999999999E-2</v>
      </c>
      <c r="R4582">
        <v>5.7065890000000001E-2</v>
      </c>
      <c r="S4582">
        <v>-2.9917910000000001</v>
      </c>
      <c r="T4582">
        <v>-5.8338279999999999E-2</v>
      </c>
      <c r="U4582">
        <v>0.21911620000000001</v>
      </c>
      <c r="V4582">
        <v>6.9168160000000006E-2</v>
      </c>
      <c r="W4582">
        <v>-6.1743179999999998E-3</v>
      </c>
      <c r="X4582">
        <v>0.99758590000000003</v>
      </c>
      <c r="Y4582">
        <v>8.5113759999999997E-2</v>
      </c>
      <c r="Z4582">
        <v>1.064789E-3</v>
      </c>
      <c r="AA4582">
        <v>0.99637070000000005</v>
      </c>
      <c r="AB4582">
        <v>36</v>
      </c>
      <c r="AC4582">
        <v>-56.586500000000001</v>
      </c>
      <c r="AD4582">
        <v>-1.110120457629</v>
      </c>
      <c r="AE4582">
        <v>4.1738</v>
      </c>
      <c r="AF4582">
        <v>4.8578237357277096</v>
      </c>
      <c r="AG4582">
        <v>-1.110120457629</v>
      </c>
      <c r="AH4582">
        <v>56.510094822657102</v>
      </c>
      <c r="AI4582">
        <v>91.121275892596898</v>
      </c>
      <c r="AJ4582">
        <v>85.086714744476595</v>
      </c>
      <c r="AK4582">
        <v>56.729371896254399</v>
      </c>
      <c r="AL4582">
        <v>90.353764613262697</v>
      </c>
      <c r="AM4582">
        <v>86.033713756648794</v>
      </c>
      <c r="AN4582">
        <v>0.99999999221967995</v>
      </c>
    </row>
    <row r="4583" spans="1:40" x14ac:dyDescent="0.25">
      <c r="A4583" t="str">
        <f>"20190312161405198"</f>
        <v>20190312161405198</v>
      </c>
      <c r="B4583" t="str">
        <f>"1552378445191042"</f>
        <v>1552378445191042</v>
      </c>
      <c r="C4583" t="s">
        <v>40</v>
      </c>
      <c r="D4583">
        <v>4.9734129999999999</v>
      </c>
      <c r="E4583">
        <v>0.44014619999999999</v>
      </c>
      <c r="F4583" t="s">
        <v>84</v>
      </c>
      <c r="G4583">
        <v>-400.80360000000002</v>
      </c>
      <c r="H4583" s="1">
        <v>-7.9926909999999993E-6</v>
      </c>
      <c r="I4583">
        <v>145.14009999999999</v>
      </c>
      <c r="J4583">
        <v>-343.58969999999999</v>
      </c>
      <c r="K4583">
        <v>1.1101190000000001</v>
      </c>
      <c r="L4583">
        <v>140.88679999999999</v>
      </c>
      <c r="M4583">
        <v>-0.9998167</v>
      </c>
      <c r="N4583">
        <v>0</v>
      </c>
      <c r="O4583">
        <v>-1.224867E-2</v>
      </c>
      <c r="P4583">
        <v>-0.99814970000000003</v>
      </c>
      <c r="Q4583">
        <v>-2.0954110000000001E-2</v>
      </c>
      <c r="R4583">
        <v>5.7081519999999997E-2</v>
      </c>
      <c r="S4583">
        <v>-2.9916990000000001</v>
      </c>
      <c r="T4583">
        <v>-5.7809230000000003E-2</v>
      </c>
      <c r="U4583">
        <v>0.22132869999999999</v>
      </c>
      <c r="V4583">
        <v>6.9307079999999993E-2</v>
      </c>
      <c r="W4583">
        <v>-6.2476010000000002E-3</v>
      </c>
      <c r="X4583">
        <v>0.99757580000000001</v>
      </c>
      <c r="Y4583">
        <v>8.5972149999999997E-2</v>
      </c>
      <c r="Z4583">
        <v>1.065805E-3</v>
      </c>
      <c r="AA4583">
        <v>0.99629690000000004</v>
      </c>
      <c r="AB4583">
        <v>35</v>
      </c>
      <c r="AC4583">
        <v>-57.213900000000002</v>
      </c>
      <c r="AD4583">
        <v>-1.110126992691</v>
      </c>
      <c r="AE4583">
        <v>4.2532999999999896</v>
      </c>
      <c r="AF4583">
        <v>4.95199684184694</v>
      </c>
      <c r="AG4583">
        <v>-1.110126992691</v>
      </c>
      <c r="AH4583">
        <v>57.136111707572603</v>
      </c>
      <c r="AI4583">
        <v>91.108933048335103</v>
      </c>
      <c r="AJ4583">
        <v>85.046542966959194</v>
      </c>
      <c r="AK4583">
        <v>57.361048767624403</v>
      </c>
      <c r="AL4583">
        <v>90.357963501582105</v>
      </c>
      <c r="AM4583">
        <v>86.0257331072809</v>
      </c>
      <c r="AN4583">
        <v>0.99999999030100994</v>
      </c>
    </row>
    <row r="4584" spans="1:40" x14ac:dyDescent="0.25">
      <c r="A4584" t="str">
        <f>"20190312161405218"</f>
        <v>20190312161405218</v>
      </c>
      <c r="B4584" t="str">
        <f>"1552378445210565"</f>
        <v>1552378445210565</v>
      </c>
      <c r="C4584" t="s">
        <v>40</v>
      </c>
      <c r="D4584">
        <v>4.9522370000000002</v>
      </c>
      <c r="E4584">
        <v>0.43254039999999999</v>
      </c>
      <c r="F4584" t="s">
        <v>44</v>
      </c>
      <c r="G4584">
        <v>0</v>
      </c>
      <c r="H4584">
        <v>0</v>
      </c>
      <c r="I4584">
        <v>0</v>
      </c>
      <c r="J4584">
        <v>-343.89800000000002</v>
      </c>
      <c r="K4584">
        <v>1.1101190000000001</v>
      </c>
      <c r="L4584">
        <v>140.88290000000001</v>
      </c>
      <c r="M4584">
        <v>-0.9998148</v>
      </c>
      <c r="N4584">
        <v>0</v>
      </c>
      <c r="O4584">
        <v>-1.240981E-2</v>
      </c>
      <c r="P4584">
        <v>-0.99814290000000006</v>
      </c>
      <c r="Q4584">
        <v>-2.1163769999999998E-2</v>
      </c>
      <c r="R4584">
        <v>5.7123960000000001E-2</v>
      </c>
      <c r="S4584">
        <v>-3.023682</v>
      </c>
      <c r="T4584">
        <v>3.6594509999999997E-2</v>
      </c>
      <c r="U4584">
        <v>-0.303421</v>
      </c>
      <c r="V4584">
        <v>6.9510260000000004E-2</v>
      </c>
      <c r="W4584">
        <v>-6.4608720000000003E-3</v>
      </c>
      <c r="X4584">
        <v>0.99756029999999996</v>
      </c>
      <c r="Y4584">
        <v>-8.7484489999999998E-2</v>
      </c>
      <c r="Z4584">
        <v>3.782514E-4</v>
      </c>
      <c r="AA4584">
        <v>0.99616579999999999</v>
      </c>
      <c r="AB4584">
        <v>35</v>
      </c>
      <c r="AC4584">
        <v>-3.023682</v>
      </c>
      <c r="AD4584">
        <v>3.6594509999999997E-2</v>
      </c>
      <c r="AE4584">
        <v>-0.303421</v>
      </c>
      <c r="AF4584">
        <v>-0.26583170184670202</v>
      </c>
      <c r="AG4584">
        <v>3.6594509999999997E-2</v>
      </c>
      <c r="AH4584">
        <v>3.0267759931665199</v>
      </c>
      <c r="AI4584">
        <v>89.309968770793404</v>
      </c>
      <c r="AJ4584">
        <v>95.019219525822805</v>
      </c>
      <c r="AK4584">
        <v>3.03864748937385</v>
      </c>
      <c r="AL4584">
        <v>90.370183278344996</v>
      </c>
      <c r="AM4584">
        <v>86.014057949332098</v>
      </c>
      <c r="AN4584">
        <v>0.99999998562417802</v>
      </c>
    </row>
    <row r="4585" spans="1:40" x14ac:dyDescent="0.25">
      <c r="A4585" t="str">
        <f>"20190312161405233"</f>
        <v>20190312161405233</v>
      </c>
      <c r="B4585" t="str">
        <f>"1552378445221297"</f>
        <v>1552378445221297</v>
      </c>
      <c r="C4585" t="s">
        <v>40</v>
      </c>
      <c r="D4585">
        <v>4.7952719999999998</v>
      </c>
      <c r="E4585">
        <v>0.43184210000000001</v>
      </c>
      <c r="F4585" t="s">
        <v>44</v>
      </c>
      <c r="G4585">
        <v>0</v>
      </c>
      <c r="H4585">
        <v>0</v>
      </c>
      <c r="I4585">
        <v>0</v>
      </c>
      <c r="J4585">
        <v>-344.13400000000001</v>
      </c>
      <c r="K4585">
        <v>1.110125</v>
      </c>
      <c r="L4585">
        <v>140.87979999999999</v>
      </c>
      <c r="M4585">
        <v>-0.99981330000000002</v>
      </c>
      <c r="N4585">
        <v>0</v>
      </c>
      <c r="O4585">
        <v>-1.253316E-2</v>
      </c>
      <c r="P4585">
        <v>-0.99815410000000004</v>
      </c>
      <c r="Q4585">
        <v>-2.1080439999999999E-2</v>
      </c>
      <c r="R4585">
        <v>5.6955859999999997E-2</v>
      </c>
      <c r="S4585">
        <v>-3.0271300000000001</v>
      </c>
      <c r="T4585">
        <v>3.4786699999999997E-2</v>
      </c>
      <c r="U4585">
        <v>-0.3638458</v>
      </c>
      <c r="V4585">
        <v>6.9465269999999996E-2</v>
      </c>
      <c r="W4585">
        <v>-6.380167E-3</v>
      </c>
      <c r="X4585">
        <v>0.99756400000000001</v>
      </c>
      <c r="Y4585">
        <v>-0.1068756</v>
      </c>
      <c r="Z4585">
        <v>4.6837490000000001E-4</v>
      </c>
      <c r="AA4585">
        <v>0.9942723</v>
      </c>
      <c r="AB4585">
        <v>35</v>
      </c>
      <c r="AC4585">
        <v>-3.0271300000000001</v>
      </c>
      <c r="AD4585">
        <v>3.4786699999999997E-2</v>
      </c>
      <c r="AE4585">
        <v>-0.3638458</v>
      </c>
      <c r="AF4585">
        <v>-0.32583119225539903</v>
      </c>
      <c r="AG4585">
        <v>3.4786699999999997E-2</v>
      </c>
      <c r="AH4585">
        <v>3.0310582443666898</v>
      </c>
      <c r="AI4585">
        <v>89.346225721754607</v>
      </c>
      <c r="AJ4585">
        <v>96.135591898398701</v>
      </c>
      <c r="AK4585">
        <v>3.0487194297092599</v>
      </c>
      <c r="AL4585">
        <v>90.365559110060104</v>
      </c>
      <c r="AM4585">
        <v>86.016644239905702</v>
      </c>
      <c r="AN4585">
        <v>1.0000000321815501</v>
      </c>
    </row>
    <row r="4586" spans="1:40" x14ac:dyDescent="0.25">
      <c r="A4586" t="str">
        <f>"20190312161405252"</f>
        <v>20190312161405252</v>
      </c>
      <c r="B4586" t="str">
        <f>"1552378445240818"</f>
        <v>1552378445240818</v>
      </c>
      <c r="C4586" t="s">
        <v>40</v>
      </c>
      <c r="D4586">
        <v>4.8953160000000002</v>
      </c>
      <c r="E4586">
        <v>0.43159439999999999</v>
      </c>
      <c r="F4586" t="s">
        <v>44</v>
      </c>
      <c r="G4586">
        <v>0</v>
      </c>
      <c r="H4586">
        <v>0</v>
      </c>
      <c r="I4586">
        <v>0</v>
      </c>
      <c r="J4586">
        <v>-344.43900000000002</v>
      </c>
      <c r="K4586">
        <v>1.1101259999999999</v>
      </c>
      <c r="L4586">
        <v>140.8758</v>
      </c>
      <c r="M4586">
        <v>-0.99981149999999996</v>
      </c>
      <c r="N4586">
        <v>0</v>
      </c>
      <c r="O4586">
        <v>-1.2693100000000001E-2</v>
      </c>
      <c r="P4586">
        <v>-0.9981873</v>
      </c>
      <c r="Q4586">
        <v>-2.101395E-2</v>
      </c>
      <c r="R4586">
        <v>5.6399020000000001E-2</v>
      </c>
      <c r="S4586">
        <v>-3.0272830000000002</v>
      </c>
      <c r="T4586">
        <v>2.9123309999999999E-2</v>
      </c>
      <c r="U4586">
        <v>-0.37011719999999998</v>
      </c>
      <c r="V4586">
        <v>6.9068420000000005E-2</v>
      </c>
      <c r="W4586">
        <v>-6.3169169999999896E-3</v>
      </c>
      <c r="X4586">
        <v>0.99759189999999998</v>
      </c>
      <c r="Y4586">
        <v>-0.10874209999999999</v>
      </c>
      <c r="Z4586">
        <v>3.9947000000000002E-4</v>
      </c>
      <c r="AA4586">
        <v>0.99406989999999995</v>
      </c>
      <c r="AB4586">
        <v>35</v>
      </c>
      <c r="AC4586">
        <v>-3.0272830000000002</v>
      </c>
      <c r="AD4586">
        <v>2.9123309999999999E-2</v>
      </c>
      <c r="AE4586">
        <v>-0.37011719999999998</v>
      </c>
      <c r="AF4586">
        <v>-0.33162738306151401</v>
      </c>
      <c r="AG4586">
        <v>2.9123309999999999E-2</v>
      </c>
      <c r="AH4586">
        <v>3.0314610801154198</v>
      </c>
      <c r="AI4586">
        <v>89.452839266679703</v>
      </c>
      <c r="AJ4586">
        <v>96.243059754384007</v>
      </c>
      <c r="AK4586">
        <v>3.0496854212584101</v>
      </c>
      <c r="AL4586">
        <v>90.361935099961997</v>
      </c>
      <c r="AM4586">
        <v>86.039438643691696</v>
      </c>
      <c r="AN4586">
        <v>0.99999997451364497</v>
      </c>
    </row>
    <row r="4587" spans="1:40" x14ac:dyDescent="0.25">
      <c r="A4587" t="str">
        <f>"20190312161405274"</f>
        <v>20190312161405274</v>
      </c>
      <c r="B4587" t="str">
        <f>"1552378445261314"</f>
        <v>1552378445261314</v>
      </c>
      <c r="C4587" t="s">
        <v>40</v>
      </c>
      <c r="D4587">
        <v>4.8688940000000001</v>
      </c>
      <c r="E4587">
        <v>0.43155130000000003</v>
      </c>
      <c r="F4587" t="s">
        <v>44</v>
      </c>
      <c r="G4587">
        <v>0</v>
      </c>
      <c r="H4587">
        <v>0</v>
      </c>
      <c r="I4587">
        <v>0</v>
      </c>
      <c r="J4587">
        <v>-344.7715</v>
      </c>
      <c r="K4587">
        <v>1.1101289999999999</v>
      </c>
      <c r="L4587">
        <v>140.87139999999999</v>
      </c>
      <c r="M4587">
        <v>-0.99980919999999895</v>
      </c>
      <c r="N4587">
        <v>0</v>
      </c>
      <c r="O4587">
        <v>-1.286722E-2</v>
      </c>
      <c r="P4587">
        <v>-0.99819449999999998</v>
      </c>
      <c r="Q4587">
        <v>-2.1332179999999999E-2</v>
      </c>
      <c r="R4587">
        <v>5.6151859999999998E-2</v>
      </c>
      <c r="S4587">
        <v>-3.027161</v>
      </c>
      <c r="T4587">
        <v>2.6442050000000002E-2</v>
      </c>
      <c r="U4587">
        <v>-0.37399290000000002</v>
      </c>
      <c r="V4587">
        <v>6.8995269999999997E-2</v>
      </c>
      <c r="W4587">
        <v>-6.6390199999999998E-3</v>
      </c>
      <c r="X4587">
        <v>0.99759489999999995</v>
      </c>
      <c r="Y4587">
        <v>-0.1098283</v>
      </c>
      <c r="Z4587">
        <v>3.6589160000000001E-4</v>
      </c>
      <c r="AA4587">
        <v>0.99395049999999996</v>
      </c>
      <c r="AB4587">
        <v>35</v>
      </c>
      <c r="AC4587">
        <v>-3.027161</v>
      </c>
      <c r="AD4587">
        <v>2.6442050000000002E-2</v>
      </c>
      <c r="AE4587">
        <v>-0.37399290000000002</v>
      </c>
      <c r="AF4587">
        <v>-0.33498140344795901</v>
      </c>
      <c r="AG4587">
        <v>2.6442050000000002E-2</v>
      </c>
      <c r="AH4587">
        <v>3.0314952848582699</v>
      </c>
      <c r="AI4587">
        <v>89.503276630313906</v>
      </c>
      <c r="AJ4587">
        <v>96.3056242736115</v>
      </c>
      <c r="AK4587">
        <v>3.05006153786807</v>
      </c>
      <c r="AL4587">
        <v>90.3803906189316</v>
      </c>
      <c r="AM4587">
        <v>86.043631785317402</v>
      </c>
      <c r="AN4587">
        <v>1.0000000041874699</v>
      </c>
    </row>
    <row r="4588" spans="1:40" x14ac:dyDescent="0.25">
      <c r="A4588" t="str">
        <f>"20190312161405295"</f>
        <v>20190312161405295</v>
      </c>
      <c r="B4588" t="str">
        <f>"1552378445290594"</f>
        <v>1552378445290594</v>
      </c>
      <c r="C4588" t="s">
        <v>40</v>
      </c>
      <c r="D4588">
        <v>4.8030299999999997</v>
      </c>
      <c r="E4588">
        <v>0.4314365</v>
      </c>
      <c r="F4588" t="s">
        <v>44</v>
      </c>
      <c r="G4588">
        <v>0</v>
      </c>
      <c r="H4588">
        <v>0</v>
      </c>
      <c r="I4588">
        <v>0</v>
      </c>
      <c r="J4588">
        <v>-345.11689999999999</v>
      </c>
      <c r="K4588">
        <v>1.1101319999999999</v>
      </c>
      <c r="L4588">
        <v>140.86680000000001</v>
      </c>
      <c r="M4588">
        <v>-0.999807</v>
      </c>
      <c r="N4588">
        <v>0</v>
      </c>
      <c r="O4588">
        <v>-1.304837E-2</v>
      </c>
      <c r="P4588">
        <v>-0.99820509999999996</v>
      </c>
      <c r="Q4588">
        <v>-2.1332239999999999E-2</v>
      </c>
      <c r="R4588">
        <v>5.5964659999999999E-2</v>
      </c>
      <c r="S4588">
        <v>-3.027069</v>
      </c>
      <c r="T4588">
        <v>2.4346469999999999E-2</v>
      </c>
      <c r="U4588">
        <v>-0.3748474</v>
      </c>
      <c r="V4588">
        <v>6.8988899999999895E-2</v>
      </c>
      <c r="W4588">
        <v>-6.6431719999999897E-3</v>
      </c>
      <c r="X4588">
        <v>0.99759529999999996</v>
      </c>
      <c r="Y4588">
        <v>-0.1099287</v>
      </c>
      <c r="Z4588">
        <v>3.3585100000000002E-4</v>
      </c>
      <c r="AA4588">
        <v>0.99393940000000003</v>
      </c>
      <c r="AB4588">
        <v>35</v>
      </c>
      <c r="AC4588">
        <v>-3.027069</v>
      </c>
      <c r="AD4588">
        <v>2.4346469999999999E-2</v>
      </c>
      <c r="AE4588">
        <v>-0.3748474</v>
      </c>
      <c r="AF4588">
        <v>-0.33529154208921702</v>
      </c>
      <c r="AG4588">
        <v>2.4346469999999999E-2</v>
      </c>
      <c r="AH4588">
        <v>3.0315097720333699</v>
      </c>
      <c r="AI4588">
        <v>89.542648375347099</v>
      </c>
      <c r="AJ4588">
        <v>96.311385254679394</v>
      </c>
      <c r="AK4588">
        <v>3.0500925669119998</v>
      </c>
      <c r="AL4588">
        <v>90.380628521151195</v>
      </c>
      <c r="AM4588">
        <v>86.043997479019097</v>
      </c>
      <c r="AN4588">
        <v>0.99999999131976003</v>
      </c>
    </row>
    <row r="4589" spans="1:40" x14ac:dyDescent="0.25">
      <c r="A4589" t="str">
        <f>"20190312161405310"</f>
        <v>20190312161405310</v>
      </c>
      <c r="B4589" t="str">
        <f>"1552378445301330"</f>
        <v>1552378445301330</v>
      </c>
      <c r="C4589" t="s">
        <v>40</v>
      </c>
      <c r="D4589">
        <v>4.8754660000000003</v>
      </c>
      <c r="E4589">
        <v>0.43141230000000003</v>
      </c>
      <c r="F4589" t="s">
        <v>44</v>
      </c>
      <c r="G4589">
        <v>0</v>
      </c>
      <c r="H4589">
        <v>0</v>
      </c>
      <c r="I4589">
        <v>0</v>
      </c>
      <c r="J4589">
        <v>-345.35599999999999</v>
      </c>
      <c r="K4589">
        <v>1.110134</v>
      </c>
      <c r="L4589">
        <v>140.86359999999999</v>
      </c>
      <c r="M4589">
        <v>-0.99980530000000001</v>
      </c>
      <c r="N4589">
        <v>0</v>
      </c>
      <c r="O4589">
        <v>-1.317374E-2</v>
      </c>
      <c r="P4589">
        <v>-0.99821669999999996</v>
      </c>
      <c r="Q4589">
        <v>-2.1346090000000002E-2</v>
      </c>
      <c r="R4589">
        <v>5.574904E-2</v>
      </c>
      <c r="S4589">
        <v>-3.0269469999999998</v>
      </c>
      <c r="T4589">
        <v>2.2663119999999998E-2</v>
      </c>
      <c r="U4589">
        <v>-0.37638850000000001</v>
      </c>
      <c r="V4589">
        <v>6.889845E-2</v>
      </c>
      <c r="W4589">
        <v>-6.6596989999999998E-3</v>
      </c>
      <c r="X4589">
        <v>0.99760139999999997</v>
      </c>
      <c r="Y4589">
        <v>-0.1103078</v>
      </c>
      <c r="Z4589">
        <v>3.1311199999999999E-4</v>
      </c>
      <c r="AA4589">
        <v>0.99389740000000004</v>
      </c>
      <c r="AB4589">
        <v>35</v>
      </c>
      <c r="AC4589">
        <v>-3.0269469999999998</v>
      </c>
      <c r="AD4589">
        <v>2.2663119999999998E-2</v>
      </c>
      <c r="AE4589">
        <v>-0.37638850000000001</v>
      </c>
      <c r="AF4589">
        <v>-0.33645674093142702</v>
      </c>
      <c r="AG4589">
        <v>2.2663119999999998E-2</v>
      </c>
      <c r="AH4589">
        <v>3.03147590395516</v>
      </c>
      <c r="AI4589">
        <v>89.574282329099603</v>
      </c>
      <c r="AJ4589">
        <v>96.333210731777598</v>
      </c>
      <c r="AK4589">
        <v>3.0501742428568099</v>
      </c>
      <c r="AL4589">
        <v>90.381575484976594</v>
      </c>
      <c r="AM4589">
        <v>86.049191762177301</v>
      </c>
      <c r="AN4589">
        <v>0.99999995064256497</v>
      </c>
    </row>
    <row r="4590" spans="1:40" x14ac:dyDescent="0.25">
      <c r="A4590" t="str">
        <f>"20190312161405322"</f>
        <v>20190312161405322</v>
      </c>
      <c r="B4590" t="str">
        <f>"1552378445311090"</f>
        <v>1552378445311090</v>
      </c>
      <c r="C4590" t="s">
        <v>40</v>
      </c>
      <c r="D4590">
        <v>4.9342620000000004</v>
      </c>
      <c r="E4590">
        <v>0.43136980000000003</v>
      </c>
      <c r="F4590" t="s">
        <v>44</v>
      </c>
      <c r="G4590">
        <v>0</v>
      </c>
      <c r="H4590">
        <v>0</v>
      </c>
      <c r="I4590">
        <v>0</v>
      </c>
      <c r="J4590">
        <v>-345.55759999999998</v>
      </c>
      <c r="K4590">
        <v>1.110134</v>
      </c>
      <c r="L4590">
        <v>140.86080000000001</v>
      </c>
      <c r="M4590">
        <v>-0.99980409999999997</v>
      </c>
      <c r="N4590">
        <v>0</v>
      </c>
      <c r="O4590">
        <v>-1.3279330000000001E-2</v>
      </c>
      <c r="P4590">
        <v>-0.99823039999999996</v>
      </c>
      <c r="Q4590">
        <v>-2.1321900000000001E-2</v>
      </c>
      <c r="R4590">
        <v>5.5512859999999997E-2</v>
      </c>
      <c r="S4590">
        <v>-3.0269780000000002</v>
      </c>
      <c r="T4590">
        <v>2.283311E-2</v>
      </c>
      <c r="U4590">
        <v>-0.37724299999999999</v>
      </c>
      <c r="V4590">
        <v>6.8767809999999999E-2</v>
      </c>
      <c r="W4590">
        <v>-6.6377220000000004E-3</v>
      </c>
      <c r="X4590">
        <v>0.99761060000000001</v>
      </c>
      <c r="Y4590">
        <v>-0.1104778</v>
      </c>
      <c r="Z4590">
        <v>3.1529760000000002E-4</v>
      </c>
      <c r="AA4590">
        <v>0.9938785</v>
      </c>
      <c r="AB4590">
        <v>35</v>
      </c>
      <c r="AC4590">
        <v>-3.0269780000000002</v>
      </c>
      <c r="AD4590">
        <v>2.283311E-2</v>
      </c>
      <c r="AE4590">
        <v>-0.37724299999999999</v>
      </c>
      <c r="AF4590">
        <v>-0.33699027826135802</v>
      </c>
      <c r="AG4590">
        <v>2.283311E-2</v>
      </c>
      <c r="AH4590">
        <v>3.0315512582987201</v>
      </c>
      <c r="AI4590">
        <v>89.571108066468796</v>
      </c>
      <c r="AJ4590">
        <v>96.343015459401101</v>
      </c>
      <c r="AK4590">
        <v>3.0503093007509099</v>
      </c>
      <c r="AL4590">
        <v>90.380316252714294</v>
      </c>
      <c r="AM4590">
        <v>86.056695579009798</v>
      </c>
      <c r="AN4590">
        <v>0.99999999013895202</v>
      </c>
    </row>
    <row r="4591" spans="1:40" x14ac:dyDescent="0.25">
      <c r="A4591" t="str">
        <f>"20190312161405335"</f>
        <v>20190312161405335</v>
      </c>
      <c r="B4591" t="str">
        <f>"1552378445330610"</f>
        <v>1552378445330610</v>
      </c>
      <c r="C4591" t="s">
        <v>40</v>
      </c>
      <c r="D4591">
        <v>4.9311179999999997</v>
      </c>
      <c r="E4591">
        <v>0.43139119999999997</v>
      </c>
      <c r="F4591" t="s">
        <v>44</v>
      </c>
      <c r="G4591">
        <v>0</v>
      </c>
      <c r="H4591">
        <v>0</v>
      </c>
      <c r="I4591">
        <v>0</v>
      </c>
      <c r="J4591">
        <v>-345.74770000000001</v>
      </c>
      <c r="K4591">
        <v>1.1101289999999999</v>
      </c>
      <c r="L4591">
        <v>140.85820000000001</v>
      </c>
      <c r="M4591">
        <v>-0.99980259999999999</v>
      </c>
      <c r="N4591">
        <v>0</v>
      </c>
      <c r="O4591">
        <v>-1.3378849999999999E-2</v>
      </c>
      <c r="P4591">
        <v>-0.9982356</v>
      </c>
      <c r="Q4591">
        <v>-2.1429730000000001E-2</v>
      </c>
      <c r="R4591">
        <v>5.5376960000000003E-2</v>
      </c>
      <c r="S4591">
        <v>-3.0268860000000002</v>
      </c>
      <c r="T4591">
        <v>2.3508669999999999E-2</v>
      </c>
      <c r="U4591">
        <v>-0.37837219999999999</v>
      </c>
      <c r="V4591">
        <v>6.8731249999999994E-2</v>
      </c>
      <c r="W4591">
        <v>-6.7477129999999998E-3</v>
      </c>
      <c r="X4591">
        <v>0.99761239999999995</v>
      </c>
      <c r="Y4591">
        <v>-0.110747499999999</v>
      </c>
      <c r="Z4591">
        <v>3.249018E-4</v>
      </c>
      <c r="AA4591">
        <v>0.99384850000000002</v>
      </c>
      <c r="AB4591">
        <v>35</v>
      </c>
      <c r="AC4591">
        <v>-3.0268860000000002</v>
      </c>
      <c r="AD4591">
        <v>2.3508669999999999E-2</v>
      </c>
      <c r="AE4591">
        <v>-0.37837219999999999</v>
      </c>
      <c r="AF4591">
        <v>-0.33781764094604</v>
      </c>
      <c r="AG4591">
        <v>2.3508669999999999E-2</v>
      </c>
      <c r="AH4591">
        <v>3.03149771623321</v>
      </c>
      <c r="AI4591">
        <v>89.558424541901005</v>
      </c>
      <c r="AJ4591">
        <v>96.358572522118095</v>
      </c>
      <c r="AK4591">
        <v>3.0503527369185801</v>
      </c>
      <c r="AL4591">
        <v>90.3866184069132</v>
      </c>
      <c r="AM4591">
        <v>86.058792493677302</v>
      </c>
      <c r="AN4591">
        <v>1.0000000084955201</v>
      </c>
    </row>
    <row r="4592" spans="1:40" x14ac:dyDescent="0.25">
      <c r="A4592" t="str">
        <f>"20190312161405351"</f>
        <v>20190312161405351</v>
      </c>
      <c r="B4592" t="str">
        <f>"1552378445340370"</f>
        <v>1552378445340370</v>
      </c>
      <c r="C4592" t="s">
        <v>40</v>
      </c>
      <c r="D4592">
        <v>4.9185610000000004</v>
      </c>
      <c r="E4592">
        <v>0.43136760000000002</v>
      </c>
      <c r="F4592" t="s">
        <v>44</v>
      </c>
      <c r="G4592">
        <v>0</v>
      </c>
      <c r="H4592">
        <v>0</v>
      </c>
      <c r="I4592">
        <v>0</v>
      </c>
      <c r="J4592">
        <v>-345.99810000000002</v>
      </c>
      <c r="K4592">
        <v>1.1101259999999999</v>
      </c>
      <c r="L4592">
        <v>140.85470000000001</v>
      </c>
      <c r="M4592">
        <v>-0.99980089999999999</v>
      </c>
      <c r="N4592">
        <v>0</v>
      </c>
      <c r="O4592">
        <v>-1.350995E-2</v>
      </c>
      <c r="P4592">
        <v>-0.99822569999999999</v>
      </c>
      <c r="Q4592">
        <v>-2.1976740000000002E-2</v>
      </c>
      <c r="R4592">
        <v>5.5337770000000001E-2</v>
      </c>
      <c r="S4592">
        <v>-3.0268549999999999</v>
      </c>
      <c r="T4592">
        <v>2.4385690000000002E-2</v>
      </c>
      <c r="U4592">
        <v>-0.37864690000000001</v>
      </c>
      <c r="V4592">
        <v>6.8823049999999997E-2</v>
      </c>
      <c r="W4592">
        <v>-7.297741E-3</v>
      </c>
      <c r="X4592">
        <v>0.99760219999999999</v>
      </c>
      <c r="Y4592">
        <v>-0.110707</v>
      </c>
      <c r="Z4592">
        <v>3.3580980000000001E-4</v>
      </c>
      <c r="AA4592">
        <v>0.99385299999999999</v>
      </c>
      <c r="AB4592">
        <v>35</v>
      </c>
      <c r="AC4592">
        <v>-3.0268549999999999</v>
      </c>
      <c r="AD4592">
        <v>2.4385690000000002E-2</v>
      </c>
      <c r="AE4592">
        <v>-0.37864690000000001</v>
      </c>
      <c r="AF4592">
        <v>-0.33769368565798502</v>
      </c>
      <c r="AG4592">
        <v>2.4385690000000002E-2</v>
      </c>
      <c r="AH4592">
        <v>3.03150101943177</v>
      </c>
      <c r="AI4592">
        <v>89.541950144659396</v>
      </c>
      <c r="AJ4592">
        <v>96.356251603815295</v>
      </c>
      <c r="AK4592">
        <v>3.0503491796884301</v>
      </c>
      <c r="AL4592">
        <v>90.418133466854201</v>
      </c>
      <c r="AM4592">
        <v>86.053504870503801</v>
      </c>
      <c r="AN4592">
        <v>1.0000000093399199</v>
      </c>
    </row>
    <row r="4593" spans="1:40" x14ac:dyDescent="0.25">
      <c r="A4593" t="str">
        <f>"20190312161405373"</f>
        <v>20190312161405373</v>
      </c>
      <c r="B4593" t="str">
        <f>"1552378445360866"</f>
        <v>1552378445360866</v>
      </c>
      <c r="C4593" t="s">
        <v>40</v>
      </c>
      <c r="D4593">
        <v>4.9419870000000001</v>
      </c>
      <c r="E4593">
        <v>0.4315155</v>
      </c>
      <c r="F4593" t="s">
        <v>44</v>
      </c>
      <c r="G4593">
        <v>0</v>
      </c>
      <c r="H4593">
        <v>0</v>
      </c>
      <c r="I4593">
        <v>0</v>
      </c>
      <c r="J4593">
        <v>-346.33679999999998</v>
      </c>
      <c r="K4593">
        <v>1.1101190000000001</v>
      </c>
      <c r="L4593">
        <v>140.84989999999999</v>
      </c>
      <c r="M4593">
        <v>-0.99979850000000003</v>
      </c>
      <c r="N4593">
        <v>0</v>
      </c>
      <c r="O4593">
        <v>-1.3687410000000001E-2</v>
      </c>
      <c r="P4593">
        <v>-0.99822949999999999</v>
      </c>
      <c r="Q4593">
        <v>-2.199723E-2</v>
      </c>
      <c r="R4593">
        <v>5.5262279999999997E-2</v>
      </c>
      <c r="S4593">
        <v>-3.0268250000000001</v>
      </c>
      <c r="T4593">
        <v>2.3004529999999999E-2</v>
      </c>
      <c r="U4593">
        <v>-0.3788147</v>
      </c>
      <c r="V4593">
        <v>6.8924589999999994E-2</v>
      </c>
      <c r="W4593">
        <v>-7.3221450000000004E-3</v>
      </c>
      <c r="X4593">
        <v>0.99759500000000001</v>
      </c>
      <c r="Y4593">
        <v>-0.1105864</v>
      </c>
      <c r="Z4593">
        <v>3.1499339999999999E-4</v>
      </c>
      <c r="AA4593">
        <v>0.99386640000000004</v>
      </c>
      <c r="AB4593">
        <v>35</v>
      </c>
      <c r="AC4593">
        <v>-3.0268250000000001</v>
      </c>
      <c r="AD4593">
        <v>2.3004529999999999E-2</v>
      </c>
      <c r="AE4593">
        <v>-0.3788147</v>
      </c>
      <c r="AF4593">
        <v>-0.33732615966340401</v>
      </c>
      <c r="AG4593">
        <v>2.3004529999999999E-2</v>
      </c>
      <c r="AH4593">
        <v>3.0315545340719399</v>
      </c>
      <c r="AI4593">
        <v>89.567893994391198</v>
      </c>
      <c r="AJ4593">
        <v>96.349279192563998</v>
      </c>
      <c r="AK4593">
        <v>3.0503509698796898</v>
      </c>
      <c r="AL4593">
        <v>90.419531754964297</v>
      </c>
      <c r="AM4593">
        <v>86.047672303828804</v>
      </c>
      <c r="AN4593">
        <v>0.99999999846953402</v>
      </c>
    </row>
    <row r="4594" spans="1:40" x14ac:dyDescent="0.25">
      <c r="A4594" t="str">
        <f>"20190312161405388"</f>
        <v>20190312161405388</v>
      </c>
      <c r="B4594" t="str">
        <f>"1552378445380386"</f>
        <v>1552378445380386</v>
      </c>
      <c r="C4594" t="s">
        <v>40</v>
      </c>
      <c r="D4594">
        <v>4.9374570000000002</v>
      </c>
      <c r="E4594">
        <v>0.43162119999999998</v>
      </c>
      <c r="F4594" t="s">
        <v>44</v>
      </c>
      <c r="G4594">
        <v>0</v>
      </c>
      <c r="H4594">
        <v>0</v>
      </c>
      <c r="I4594">
        <v>0</v>
      </c>
      <c r="J4594">
        <v>-346.57690000000002</v>
      </c>
      <c r="K4594">
        <v>1.1101179999999999</v>
      </c>
      <c r="L4594">
        <v>140.84649999999999</v>
      </c>
      <c r="M4594">
        <v>-0.99979680000000004</v>
      </c>
      <c r="N4594">
        <v>0</v>
      </c>
      <c r="O4594">
        <v>-1.381314E-2</v>
      </c>
      <c r="P4594">
        <v>-0.998251</v>
      </c>
      <c r="Q4594">
        <v>-2.20874E-2</v>
      </c>
      <c r="R4594">
        <v>5.4836360000000001E-2</v>
      </c>
      <c r="S4594">
        <v>-3.0267029999999999</v>
      </c>
      <c r="T4594">
        <v>2.249193E-2</v>
      </c>
      <c r="U4594">
        <v>-0.37796020000000002</v>
      </c>
      <c r="V4594">
        <v>6.8624470000000007E-2</v>
      </c>
      <c r="W4594">
        <v>-7.4149000000000003E-3</v>
      </c>
      <c r="X4594">
        <v>0.99761500000000003</v>
      </c>
      <c r="Y4594">
        <v>-0.1101902</v>
      </c>
      <c r="Z4594">
        <v>3.055957E-4</v>
      </c>
      <c r="AA4594">
        <v>0.99391050000000003</v>
      </c>
      <c r="AB4594">
        <v>35</v>
      </c>
      <c r="AC4594">
        <v>-3.0267029999999999</v>
      </c>
      <c r="AD4594">
        <v>2.249193E-2</v>
      </c>
      <c r="AE4594">
        <v>-0.37796020000000002</v>
      </c>
      <c r="AF4594">
        <v>-0.336093078720195</v>
      </c>
      <c r="AG4594">
        <v>2.249193E-2</v>
      </c>
      <c r="AH4594">
        <v>3.0314707180038698</v>
      </c>
      <c r="AI4594">
        <v>89.577491680193702</v>
      </c>
      <c r="AJ4594">
        <v>96.326431692711694</v>
      </c>
      <c r="AK4594">
        <v>3.0501277282424901</v>
      </c>
      <c r="AL4594">
        <v>90.424846371427094</v>
      </c>
      <c r="AM4594">
        <v>86.064906475666206</v>
      </c>
      <c r="AN4594">
        <v>0.99999999342489498</v>
      </c>
    </row>
    <row r="4595" spans="1:40" x14ac:dyDescent="0.25">
      <c r="A4595" t="str">
        <f>"20190312161405407"</f>
        <v>20190312161405407</v>
      </c>
      <c r="B4595" t="str">
        <f>"1552378445400882"</f>
        <v>1552378445400882</v>
      </c>
      <c r="C4595" t="s">
        <v>40</v>
      </c>
      <c r="D4595">
        <v>4.9603719999999996</v>
      </c>
      <c r="E4595">
        <v>0.43177860000000001</v>
      </c>
      <c r="F4595" t="s">
        <v>44</v>
      </c>
      <c r="G4595">
        <v>0</v>
      </c>
      <c r="H4595">
        <v>0</v>
      </c>
      <c r="I4595">
        <v>0</v>
      </c>
      <c r="J4595">
        <v>-346.87729999999999</v>
      </c>
      <c r="K4595">
        <v>1.110117</v>
      </c>
      <c r="L4595">
        <v>140.84229999999999</v>
      </c>
      <c r="M4595">
        <v>-0.99979459999999998</v>
      </c>
      <c r="N4595">
        <v>0</v>
      </c>
      <c r="O4595">
        <v>-1.3970460000000001E-2</v>
      </c>
      <c r="P4595">
        <v>-0.99828289999999997</v>
      </c>
      <c r="Q4595">
        <v>-2.1645500000000002E-2</v>
      </c>
      <c r="R4595">
        <v>5.4429980000000003E-2</v>
      </c>
      <c r="S4595">
        <v>-3.026459</v>
      </c>
      <c r="T4595">
        <v>1.9737480000000002E-2</v>
      </c>
      <c r="U4595">
        <v>-0.37846370000000001</v>
      </c>
      <c r="V4595">
        <v>6.8375430000000001E-2</v>
      </c>
      <c r="W4595">
        <v>-6.9761509999999999E-3</v>
      </c>
      <c r="X4595">
        <v>0.99763520000000006</v>
      </c>
      <c r="Y4595">
        <v>-0.1102071</v>
      </c>
      <c r="Z4595">
        <v>2.6722410000000002E-4</v>
      </c>
      <c r="AA4595">
        <v>0.99390860000000003</v>
      </c>
      <c r="AB4595">
        <v>35</v>
      </c>
      <c r="AC4595">
        <v>-3.026459</v>
      </c>
      <c r="AD4595">
        <v>1.9737480000000002E-2</v>
      </c>
      <c r="AE4595">
        <v>-0.37846370000000001</v>
      </c>
      <c r="AF4595">
        <v>-0.33612709847379302</v>
      </c>
      <c r="AG4595">
        <v>1.9737480000000002E-2</v>
      </c>
      <c r="AH4595">
        <v>3.0313245186346802</v>
      </c>
      <c r="AI4595">
        <v>89.629214953048503</v>
      </c>
      <c r="AJ4595">
        <v>96.327369545490797</v>
      </c>
      <c r="AK4595">
        <v>3.0499671033834002</v>
      </c>
      <c r="AL4595">
        <v>90.399707279963494</v>
      </c>
      <c r="AM4595">
        <v>86.079221552517694</v>
      </c>
      <c r="AN4595">
        <v>0.99999992919474701</v>
      </c>
    </row>
    <row r="4596" spans="1:40" x14ac:dyDescent="0.25">
      <c r="A4596" t="str">
        <f>"20190312161405423"</f>
        <v>20190312161405423</v>
      </c>
      <c r="B4596" t="str">
        <f>"1552378445420402"</f>
        <v>1552378445420402</v>
      </c>
      <c r="C4596" t="s">
        <v>40</v>
      </c>
      <c r="D4596">
        <v>4.9738800000000003</v>
      </c>
      <c r="E4596">
        <v>0.43175750000000002</v>
      </c>
      <c r="F4596" t="s">
        <v>44</v>
      </c>
      <c r="G4596">
        <v>0</v>
      </c>
      <c r="H4596">
        <v>0</v>
      </c>
      <c r="I4596">
        <v>0</v>
      </c>
      <c r="J4596">
        <v>-347.12360000000001</v>
      </c>
      <c r="K4596">
        <v>1.1101209999999999</v>
      </c>
      <c r="L4596">
        <v>140.83869999999999</v>
      </c>
      <c r="M4596">
        <v>-0.99979289999999998</v>
      </c>
      <c r="N4596">
        <v>0</v>
      </c>
      <c r="O4596">
        <v>-1.409965E-2</v>
      </c>
      <c r="P4596">
        <v>-0.99830419999999997</v>
      </c>
      <c r="Q4596">
        <v>-2.143664E-2</v>
      </c>
      <c r="R4596">
        <v>5.4120050000000003E-2</v>
      </c>
      <c r="S4596">
        <v>-3.0262449999999999</v>
      </c>
      <c r="T4596">
        <v>1.8966199999999999E-2</v>
      </c>
      <c r="U4596">
        <v>-0.37847900000000001</v>
      </c>
      <c r="V4596">
        <v>6.8194439999999995E-2</v>
      </c>
      <c r="W4596">
        <v>-6.7699650000000002E-3</v>
      </c>
      <c r="X4596">
        <v>0.99764909999999996</v>
      </c>
      <c r="Y4596">
        <v>-0.11009240000000001</v>
      </c>
      <c r="Z4596">
        <v>2.5563570000000001E-4</v>
      </c>
      <c r="AA4596">
        <v>0.99392130000000001</v>
      </c>
      <c r="AB4596">
        <v>35</v>
      </c>
      <c r="AC4596">
        <v>-3.0262449999999999</v>
      </c>
      <c r="AD4596">
        <v>1.8966199999999999E-2</v>
      </c>
      <c r="AE4596">
        <v>-0.37847900000000001</v>
      </c>
      <c r="AF4596">
        <v>-0.33575479382739998</v>
      </c>
      <c r="AG4596">
        <v>1.8966199999999999E-2</v>
      </c>
      <c r="AH4596">
        <v>3.0311638820979701</v>
      </c>
      <c r="AI4596">
        <v>89.643680267386799</v>
      </c>
      <c r="AJ4596">
        <v>96.320750145700899</v>
      </c>
      <c r="AK4596">
        <v>3.0497615445237298</v>
      </c>
      <c r="AL4596">
        <v>90.3878933770917</v>
      </c>
      <c r="AM4596">
        <v>86.089621939725404</v>
      </c>
      <c r="AN4596">
        <v>1.0000000204019099</v>
      </c>
    </row>
    <row r="4597" spans="1:40" x14ac:dyDescent="0.25">
      <c r="A4597" t="str">
        <f>"20190312161405437"</f>
        <v>20190312161405437</v>
      </c>
      <c r="B4597" t="str">
        <f>"1552378445431138"</f>
        <v>1552378445431138</v>
      </c>
      <c r="C4597" t="s">
        <v>40</v>
      </c>
      <c r="D4597">
        <v>4.9958099999999996</v>
      </c>
      <c r="E4597">
        <v>0.43175560000000002</v>
      </c>
      <c r="F4597" t="s">
        <v>44</v>
      </c>
      <c r="G4597">
        <v>0</v>
      </c>
      <c r="H4597">
        <v>0</v>
      </c>
      <c r="I4597">
        <v>0</v>
      </c>
      <c r="J4597">
        <v>-347.35120000000001</v>
      </c>
      <c r="K4597">
        <v>1.1101219999999901</v>
      </c>
      <c r="L4597">
        <v>140.83539999999999</v>
      </c>
      <c r="M4597">
        <v>-0.9997914</v>
      </c>
      <c r="N4597">
        <v>0</v>
      </c>
      <c r="O4597">
        <v>-1.421919E-2</v>
      </c>
      <c r="P4597">
        <v>-0.99832679999999996</v>
      </c>
      <c r="Q4597">
        <v>-2.1466200000000001E-2</v>
      </c>
      <c r="R4597">
        <v>5.3695359999999998E-2</v>
      </c>
      <c r="S4597">
        <v>-3.026154</v>
      </c>
      <c r="T4597">
        <v>2.0120619999999999E-2</v>
      </c>
      <c r="U4597">
        <v>-0.3796234</v>
      </c>
      <c r="V4597">
        <v>6.7889320000000003E-2</v>
      </c>
      <c r="W4597">
        <v>-6.8019439999999999E-3</v>
      </c>
      <c r="X4597">
        <v>0.99766969999999999</v>
      </c>
      <c r="Y4597">
        <v>-0.1103471</v>
      </c>
      <c r="Z4597">
        <v>2.712492E-4</v>
      </c>
      <c r="AA4597">
        <v>0.99389309999999997</v>
      </c>
      <c r="AB4597">
        <v>35</v>
      </c>
      <c r="AC4597">
        <v>-3.026154</v>
      </c>
      <c r="AD4597">
        <v>2.0120619999999999E-2</v>
      </c>
      <c r="AE4597">
        <v>-0.3796234</v>
      </c>
      <c r="AF4597">
        <v>-0.33653628108629102</v>
      </c>
      <c r="AG4597">
        <v>2.0120619999999999E-2</v>
      </c>
      <c r="AH4597">
        <v>3.0311145909078099</v>
      </c>
      <c r="AI4597">
        <v>89.621997288653702</v>
      </c>
      <c r="AJ4597">
        <v>96.335444731447794</v>
      </c>
      <c r="AK4597">
        <v>3.0498060874506101</v>
      </c>
      <c r="AL4597">
        <v>90.389725677915294</v>
      </c>
      <c r="AM4597">
        <v>86.107144225065198</v>
      </c>
      <c r="AN4597">
        <v>1.00000002825516</v>
      </c>
    </row>
    <row r="4598" spans="1:40" x14ac:dyDescent="0.25">
      <c r="A4598" t="str">
        <f>"20190312161405452"</f>
        <v>20190312161405452</v>
      </c>
      <c r="B4598" t="str">
        <f>"1552378445440897"</f>
        <v>1552378445440897</v>
      </c>
      <c r="C4598" t="s">
        <v>40</v>
      </c>
      <c r="D4598">
        <v>4.9822129999999998</v>
      </c>
      <c r="E4598">
        <v>0.43178179999999999</v>
      </c>
      <c r="F4598" t="s">
        <v>44</v>
      </c>
      <c r="G4598">
        <v>0</v>
      </c>
      <c r="H4598">
        <v>0</v>
      </c>
      <c r="I4598">
        <v>0</v>
      </c>
      <c r="J4598">
        <v>-347.57600000000002</v>
      </c>
      <c r="K4598">
        <v>1.1101270000000001</v>
      </c>
      <c r="L4598">
        <v>140.83199999999999</v>
      </c>
      <c r="M4598">
        <v>-0.9997897</v>
      </c>
      <c r="N4598">
        <v>0</v>
      </c>
      <c r="O4598">
        <v>-1.4336939999999999E-2</v>
      </c>
      <c r="P4598">
        <v>-0.99834369999999995</v>
      </c>
      <c r="Q4598">
        <v>-2.1814719999999999E-2</v>
      </c>
      <c r="R4598">
        <v>5.324015E-2</v>
      </c>
      <c r="S4598">
        <v>-3.02597</v>
      </c>
      <c r="T4598">
        <v>2.0293240000000001E-2</v>
      </c>
      <c r="U4598">
        <v>-0.38092039999999999</v>
      </c>
      <c r="V4598">
        <v>6.7552249999999994E-2</v>
      </c>
      <c r="W4598">
        <v>-7.1528939999999999E-3</v>
      </c>
      <c r="X4598">
        <v>0.99769010000000002</v>
      </c>
      <c r="Y4598">
        <v>-0.1106568</v>
      </c>
      <c r="Z4598">
        <v>2.7383350000000003E-4</v>
      </c>
      <c r="AA4598">
        <v>0.99385860000000004</v>
      </c>
      <c r="AB4598">
        <v>35</v>
      </c>
      <c r="AC4598">
        <v>-3.02597</v>
      </c>
      <c r="AD4598">
        <v>2.0293240000000001E-2</v>
      </c>
      <c r="AE4598">
        <v>-0.38092039999999999</v>
      </c>
      <c r="AF4598">
        <v>-0.33747848453351198</v>
      </c>
      <c r="AG4598">
        <v>2.0293240000000001E-2</v>
      </c>
      <c r="AH4598">
        <v>3.0309865535874998</v>
      </c>
      <c r="AI4598">
        <v>89.6187515088656</v>
      </c>
      <c r="AJ4598">
        <v>96.353303477781793</v>
      </c>
      <c r="AK4598">
        <v>3.0497840958239899</v>
      </c>
      <c r="AL4598">
        <v>90.409834131108298</v>
      </c>
      <c r="AM4598">
        <v>86.126492202749603</v>
      </c>
      <c r="AN4598">
        <v>1.00000000300532</v>
      </c>
    </row>
    <row r="4599" spans="1:40" x14ac:dyDescent="0.25">
      <c r="A4599" t="str">
        <f>"20190312161405475"</f>
        <v>20190312161405475</v>
      </c>
      <c r="B4599" t="str">
        <f>"1552378445471153"</f>
        <v>1552378445471153</v>
      </c>
      <c r="C4599" t="s">
        <v>40</v>
      </c>
      <c r="D4599">
        <v>5.0435189999999999</v>
      </c>
      <c r="E4599">
        <v>0.43201070000000003</v>
      </c>
      <c r="F4599" t="s">
        <v>44</v>
      </c>
      <c r="G4599">
        <v>0</v>
      </c>
      <c r="H4599">
        <v>0</v>
      </c>
      <c r="I4599">
        <v>0</v>
      </c>
      <c r="J4599">
        <v>-347.9237</v>
      </c>
      <c r="K4599">
        <v>1.110128</v>
      </c>
      <c r="L4599">
        <v>140.82689999999999</v>
      </c>
      <c r="M4599">
        <v>-0.99978719999999999</v>
      </c>
      <c r="N4599">
        <v>0</v>
      </c>
      <c r="O4599">
        <v>-1.4519399999999899E-2</v>
      </c>
      <c r="P4599">
        <v>-0.9983727</v>
      </c>
      <c r="Q4599">
        <v>-2.1451939999999999E-2</v>
      </c>
      <c r="R4599">
        <v>5.28379E-2</v>
      </c>
      <c r="S4599">
        <v>-3.0257869999999998</v>
      </c>
      <c r="T4599">
        <v>1.957047E-2</v>
      </c>
      <c r="U4599">
        <v>-0.382019</v>
      </c>
      <c r="V4599">
        <v>6.7332329999999996E-2</v>
      </c>
      <c r="W4599">
        <v>-6.7938529999999999E-3</v>
      </c>
      <c r="X4599">
        <v>0.99770749999999997</v>
      </c>
      <c r="Y4599">
        <v>-0.1108383</v>
      </c>
      <c r="Z4599">
        <v>2.635003E-4</v>
      </c>
      <c r="AA4599">
        <v>0.99383840000000001</v>
      </c>
      <c r="AB4599">
        <v>35</v>
      </c>
      <c r="AC4599">
        <v>-3.0257869999999998</v>
      </c>
      <c r="AD4599">
        <v>1.957047E-2</v>
      </c>
      <c r="AE4599">
        <v>-0.382019</v>
      </c>
      <c r="AF4599">
        <v>-0.33802747328376598</v>
      </c>
      <c r="AG4599">
        <v>1.957047E-2</v>
      </c>
      <c r="AH4599">
        <v>3.0308904555846001</v>
      </c>
      <c r="AI4599">
        <v>89.632325603413705</v>
      </c>
      <c r="AJ4599">
        <v>96.363754025745806</v>
      </c>
      <c r="AK4599">
        <v>3.04974466631954</v>
      </c>
      <c r="AL4599">
        <v>90.389262087425095</v>
      </c>
      <c r="AM4599">
        <v>86.139131545448393</v>
      </c>
      <c r="AN4599">
        <v>1.0000000273290299</v>
      </c>
    </row>
    <row r="4600" spans="1:40" x14ac:dyDescent="0.25">
      <c r="A4600" t="str">
        <f>"20190312161405497"</f>
        <v>20190312161405497</v>
      </c>
      <c r="B4600" t="str">
        <f>"1552378445490677"</f>
        <v>1552378445490677</v>
      </c>
      <c r="C4600" t="s">
        <v>40</v>
      </c>
      <c r="D4600">
        <v>5.0200110000000002</v>
      </c>
      <c r="E4600">
        <v>0.43210470000000001</v>
      </c>
      <c r="F4600" t="s">
        <v>44</v>
      </c>
      <c r="G4600">
        <v>0</v>
      </c>
      <c r="H4600">
        <v>0</v>
      </c>
      <c r="I4600">
        <v>0</v>
      </c>
      <c r="J4600">
        <v>-348.28149999999999</v>
      </c>
      <c r="K4600">
        <v>1.1101350000000001</v>
      </c>
      <c r="L4600">
        <v>140.82149999999999</v>
      </c>
      <c r="M4600">
        <v>-0.99978440000000002</v>
      </c>
      <c r="N4600">
        <v>0</v>
      </c>
      <c r="O4600">
        <v>-1.470758E-2</v>
      </c>
      <c r="P4600">
        <v>-0.99838839999999995</v>
      </c>
      <c r="Q4600">
        <v>-2.145992E-2</v>
      </c>
      <c r="R4600">
        <v>5.2540580000000003E-2</v>
      </c>
      <c r="S4600">
        <v>-3.0254210000000001</v>
      </c>
      <c r="T4600">
        <v>1.7431499999999999E-2</v>
      </c>
      <c r="U4600">
        <v>-0.38148500000000002</v>
      </c>
      <c r="V4600">
        <v>6.7223030000000003E-2</v>
      </c>
      <c r="W4600">
        <v>-6.8058049999999998E-3</v>
      </c>
      <c r="X4600">
        <v>0.99771480000000001</v>
      </c>
      <c r="Y4600">
        <v>-0.11049389999999901</v>
      </c>
      <c r="Z4600">
        <v>2.3266429999999999E-4</v>
      </c>
      <c r="AA4600">
        <v>0.9938768</v>
      </c>
      <c r="AB4600">
        <v>35</v>
      </c>
      <c r="AC4600">
        <v>-3.0254210000000001</v>
      </c>
      <c r="AD4600">
        <v>1.7431499999999999E-2</v>
      </c>
      <c r="AE4600">
        <v>-0.38148500000000002</v>
      </c>
      <c r="AF4600">
        <v>-0.33693131680358901</v>
      </c>
      <c r="AG4600">
        <v>1.7431499999999999E-2</v>
      </c>
      <c r="AH4600">
        <v>3.0306059848856801</v>
      </c>
      <c r="AI4600">
        <v>89.6724665466689</v>
      </c>
      <c r="AJ4600">
        <v>96.343876673736006</v>
      </c>
      <c r="AK4600">
        <v>3.04932766443034</v>
      </c>
      <c r="AL4600">
        <v>90.389946898062107</v>
      </c>
      <c r="AM4600">
        <v>86.145408069709106</v>
      </c>
      <c r="AN4600">
        <v>1.0000000384415499</v>
      </c>
    </row>
    <row r="4601" spans="1:40" x14ac:dyDescent="0.25">
      <c r="A4601" t="str">
        <f>"20190312161405511"</f>
        <v>20190312161405511</v>
      </c>
      <c r="B4601" t="str">
        <f>"1552378445500433"</f>
        <v>1552378445500433</v>
      </c>
      <c r="C4601" t="s">
        <v>40</v>
      </c>
      <c r="D4601">
        <v>5.0576420000000004</v>
      </c>
      <c r="E4601">
        <v>0.43209239999999999</v>
      </c>
      <c r="F4601" t="s">
        <v>44</v>
      </c>
      <c r="G4601">
        <v>0</v>
      </c>
      <c r="H4601">
        <v>0</v>
      </c>
      <c r="I4601">
        <v>0</v>
      </c>
      <c r="J4601">
        <v>-348.49579999999997</v>
      </c>
      <c r="K4601">
        <v>1.110136</v>
      </c>
      <c r="L4601">
        <v>140.81819999999999</v>
      </c>
      <c r="M4601">
        <v>-0.99978270000000002</v>
      </c>
      <c r="N4601">
        <v>0</v>
      </c>
      <c r="O4601">
        <v>-1.481973E-2</v>
      </c>
      <c r="P4601">
        <v>-0.99840260000000003</v>
      </c>
      <c r="Q4601">
        <v>-2.1191939999999999E-2</v>
      </c>
      <c r="R4601">
        <v>5.2375619999999998E-2</v>
      </c>
      <c r="S4601">
        <v>-3.0253299999999999</v>
      </c>
      <c r="T4601">
        <v>1.524317E-2</v>
      </c>
      <c r="U4601">
        <v>-0.38179020000000002</v>
      </c>
      <c r="V4601">
        <v>6.7170110000000005E-2</v>
      </c>
      <c r="W4601">
        <v>-6.5401449999999998E-3</v>
      </c>
      <c r="X4601">
        <v>0.9977201</v>
      </c>
      <c r="Y4601">
        <v>-0.11048520000000001</v>
      </c>
      <c r="Z4601">
        <v>2.028768E-4</v>
      </c>
      <c r="AA4601">
        <v>0.99387780000000003</v>
      </c>
      <c r="AB4601">
        <v>35</v>
      </c>
      <c r="AC4601">
        <v>-3.0253299999999999</v>
      </c>
      <c r="AD4601">
        <v>1.524317E-2</v>
      </c>
      <c r="AE4601">
        <v>-0.38179020000000002</v>
      </c>
      <c r="AF4601">
        <v>-0.33690045212139402</v>
      </c>
      <c r="AG4601">
        <v>1.524317E-2</v>
      </c>
      <c r="AH4601">
        <v>3.03058059784445</v>
      </c>
      <c r="AI4601">
        <v>89.713581286569607</v>
      </c>
      <c r="AJ4601">
        <v>96.343352982866605</v>
      </c>
      <c r="AK4601">
        <v>3.0492872985178798</v>
      </c>
      <c r="AL4601">
        <v>90.374725378236406</v>
      </c>
      <c r="AM4601">
        <v>86.148453782447902</v>
      </c>
      <c r="AN4601">
        <v>0.99999999755902103</v>
      </c>
    </row>
    <row r="4602" spans="1:40" x14ac:dyDescent="0.25">
      <c r="A4602" t="str">
        <f>"20190312161405530"</f>
        <v>20190312161405530</v>
      </c>
      <c r="B4602" t="str">
        <f>"1552378445520948"</f>
        <v>1552378445520948</v>
      </c>
      <c r="C4602" t="s">
        <v>40</v>
      </c>
      <c r="D4602">
        <v>5.1308009999999999</v>
      </c>
      <c r="E4602">
        <v>0.41091250000000001</v>
      </c>
      <c r="F4602" t="s">
        <v>44</v>
      </c>
      <c r="G4602">
        <v>0</v>
      </c>
      <c r="H4602">
        <v>0</v>
      </c>
      <c r="I4602">
        <v>0</v>
      </c>
      <c r="J4602">
        <v>-348.79349999999999</v>
      </c>
      <c r="K4602">
        <v>1.1101369999999999</v>
      </c>
      <c r="L4602">
        <v>140.81370000000001</v>
      </c>
      <c r="M4602">
        <v>-0.99978049999999996</v>
      </c>
      <c r="N4602">
        <v>0</v>
      </c>
      <c r="O4602">
        <v>-1.4976450000000001E-2</v>
      </c>
      <c r="P4602">
        <v>-0.99841299999999999</v>
      </c>
      <c r="Q4602">
        <v>-2.109103E-2</v>
      </c>
      <c r="R4602">
        <v>5.2216060000000002E-2</v>
      </c>
      <c r="S4602">
        <v>-3.0251769999999998</v>
      </c>
      <c r="T4602">
        <v>1.554406E-2</v>
      </c>
      <c r="U4602">
        <v>-0.38238529999999998</v>
      </c>
      <c r="V4602">
        <v>6.7167009999999999E-2</v>
      </c>
      <c r="W4602">
        <v>-6.4425649999999999E-3</v>
      </c>
      <c r="X4602">
        <v>0.99772099999999997</v>
      </c>
      <c r="Y4602">
        <v>-0.110528</v>
      </c>
      <c r="Z4602">
        <v>2.06197E-4</v>
      </c>
      <c r="AA4602">
        <v>0.99387300000000001</v>
      </c>
      <c r="AB4602">
        <v>35</v>
      </c>
      <c r="AC4602">
        <v>-3.0251769999999998</v>
      </c>
      <c r="AD4602">
        <v>1.554406E-2</v>
      </c>
      <c r="AE4602">
        <v>-0.38238529999999998</v>
      </c>
      <c r="AF4602">
        <v>-0.33702237151793202</v>
      </c>
      <c r="AG4602">
        <v>1.554406E-2</v>
      </c>
      <c r="AH4602">
        <v>3.03048628165753</v>
      </c>
      <c r="AI4602">
        <v>89.707919981067107</v>
      </c>
      <c r="AJ4602">
        <v>96.345825708678802</v>
      </c>
      <c r="AK4602">
        <v>3.0492085530542701</v>
      </c>
      <c r="AL4602">
        <v>90.3691343174753</v>
      </c>
      <c r="AM4602">
        <v>86.148634465727795</v>
      </c>
      <c r="AN4602">
        <v>1.0000000538585501</v>
      </c>
    </row>
    <row r="4603" spans="1:40" x14ac:dyDescent="0.25">
      <c r="A4603" t="str">
        <f>"20190312161405552"</f>
        <v>20190312161405552</v>
      </c>
      <c r="B4603" t="str">
        <f>"1552378445540450"</f>
        <v>1552378445540450</v>
      </c>
      <c r="C4603" t="s">
        <v>40</v>
      </c>
      <c r="D4603">
        <v>5.182353</v>
      </c>
      <c r="E4603">
        <v>0.4001769</v>
      </c>
      <c r="F4603" t="s">
        <v>42</v>
      </c>
      <c r="G4603">
        <v>-389.41039999999998</v>
      </c>
      <c r="H4603" s="1">
        <v>-1.8403829999999999E-6</v>
      </c>
      <c r="I4603">
        <v>133.40100000000001</v>
      </c>
      <c r="J4603">
        <v>-349.12759999999997</v>
      </c>
      <c r="K4603">
        <v>1.110139</v>
      </c>
      <c r="L4603">
        <v>140.80850000000001</v>
      </c>
      <c r="M4603">
        <v>-0.99977800000000006</v>
      </c>
      <c r="N4603">
        <v>0</v>
      </c>
      <c r="O4603">
        <v>-1.5151889999999999E-2</v>
      </c>
      <c r="P4603">
        <v>-0.99841049999999998</v>
      </c>
      <c r="Q4603">
        <v>-2.1014640000000001E-2</v>
      </c>
      <c r="R4603">
        <v>5.2298539999999998E-2</v>
      </c>
      <c r="S4603">
        <v>-3.031952</v>
      </c>
      <c r="T4603">
        <v>-8.2869289999999998E-2</v>
      </c>
      <c r="U4603">
        <v>-0.55332950000000003</v>
      </c>
      <c r="V4603">
        <v>6.7424410000000004E-2</v>
      </c>
      <c r="W4603">
        <v>-6.370176E-3</v>
      </c>
      <c r="X4603">
        <v>0.99770400000000004</v>
      </c>
      <c r="Y4603">
        <v>-0.16455229999999901</v>
      </c>
      <c r="Z4603">
        <v>-1.8193899999999999E-3</v>
      </c>
      <c r="AA4603">
        <v>0.98636670000000004</v>
      </c>
      <c r="AB4603">
        <v>35</v>
      </c>
      <c r="AC4603">
        <v>-40.282800000000002</v>
      </c>
      <c r="AD4603">
        <v>-1.110140840383</v>
      </c>
      <c r="AE4603">
        <v>-7.40749999999999</v>
      </c>
      <c r="AF4603">
        <v>-6.7912343677565099</v>
      </c>
      <c r="AG4603">
        <v>-1.110140840383</v>
      </c>
      <c r="AH4603">
        <v>40.360773728458703</v>
      </c>
      <c r="AI4603">
        <v>91.553717995585998</v>
      </c>
      <c r="AJ4603">
        <v>99.551303402996496</v>
      </c>
      <c r="AK4603">
        <v>40.943196417513903</v>
      </c>
      <c r="AL4603">
        <v>90.364986685975296</v>
      </c>
      <c r="AM4603">
        <v>86.133854113334706</v>
      </c>
      <c r="AN4603">
        <v>0.99999995091105798</v>
      </c>
    </row>
    <row r="4604" spans="1:40" x14ac:dyDescent="0.25">
      <c r="A4604" t="str">
        <f>"20190312161405568"</f>
        <v>20190312161405568</v>
      </c>
      <c r="B4604" t="str">
        <f>"1552378445560947"</f>
        <v>1552378445560947</v>
      </c>
      <c r="C4604" t="s">
        <v>40</v>
      </c>
      <c r="D4604">
        <v>5.1922800000000002</v>
      </c>
      <c r="E4604">
        <v>0.39701979999999998</v>
      </c>
      <c r="F4604" t="s">
        <v>84</v>
      </c>
      <c r="G4604">
        <v>-406.59730000000002</v>
      </c>
      <c r="H4604">
        <v>7.9987000000000003E-2</v>
      </c>
      <c r="I4604">
        <v>128.73429999999999</v>
      </c>
      <c r="J4604">
        <v>-349.38830000000002</v>
      </c>
      <c r="K4604">
        <v>1.1101399999999999</v>
      </c>
      <c r="L4604">
        <v>140.80439999999999</v>
      </c>
      <c r="M4604">
        <v>-0.99977590000000005</v>
      </c>
      <c r="N4604">
        <v>0</v>
      </c>
      <c r="O4604">
        <v>-1.528882E-2</v>
      </c>
      <c r="P4604">
        <v>-0.99841089999999999</v>
      </c>
      <c r="Q4604">
        <v>-2.096056E-2</v>
      </c>
      <c r="R4604">
        <v>5.2312949999999997E-2</v>
      </c>
      <c r="S4604">
        <v>-3.037048</v>
      </c>
      <c r="T4604">
        <v>-5.4439540000000002E-2</v>
      </c>
      <c r="U4604">
        <v>-0.6380768</v>
      </c>
      <c r="V4604">
        <v>6.7575380000000004E-2</v>
      </c>
      <c r="W4604">
        <v>-6.3192780000000002E-3</v>
      </c>
      <c r="X4604">
        <v>0.99769410000000003</v>
      </c>
      <c r="Y4604">
        <v>-0.19059400000000001</v>
      </c>
      <c r="Z4604">
        <v>-1.4186489999999999E-3</v>
      </c>
      <c r="AA4604">
        <v>0.98166790000000004</v>
      </c>
      <c r="AB4604">
        <v>35</v>
      </c>
      <c r="AC4604">
        <v>-57.208999999999897</v>
      </c>
      <c r="AD4604">
        <v>-1.0301530000000001</v>
      </c>
      <c r="AE4604">
        <v>-12.070099999999901</v>
      </c>
      <c r="AF4604">
        <v>-11.1904632203241</v>
      </c>
      <c r="AG4604">
        <v>-1.0301530000000001</v>
      </c>
      <c r="AH4604">
        <v>57.369060349643398</v>
      </c>
      <c r="AI4604">
        <v>91.009701001051198</v>
      </c>
      <c r="AJ4604">
        <v>101.037573031995</v>
      </c>
      <c r="AK4604">
        <v>58.459359966474601</v>
      </c>
      <c r="AL4604">
        <v>90.362070390057298</v>
      </c>
      <c r="AM4604">
        <v>86.125185434808401</v>
      </c>
      <c r="AN4604">
        <v>0.99999994121569602</v>
      </c>
    </row>
    <row r="4605" spans="1:40" x14ac:dyDescent="0.25">
      <c r="A4605" t="str">
        <f>"20190312161405585"</f>
        <v>20190312161405585</v>
      </c>
      <c r="B4605" t="str">
        <f>"1552378445580467"</f>
        <v>1552378445580467</v>
      </c>
      <c r="C4605" t="s">
        <v>40</v>
      </c>
      <c r="D4605">
        <v>5.2109110000000003</v>
      </c>
      <c r="E4605">
        <v>0.39594370000000001</v>
      </c>
      <c r="F4605" t="s">
        <v>84</v>
      </c>
      <c r="G4605">
        <v>-414.85140000000001</v>
      </c>
      <c r="H4605" s="1">
        <v>-4.5495750000000004E-6</v>
      </c>
      <c r="I4605">
        <v>126.5188</v>
      </c>
      <c r="J4605">
        <v>-349.64100000000002</v>
      </c>
      <c r="K4605">
        <v>1.1101460000000001</v>
      </c>
      <c r="L4605">
        <v>140.8004</v>
      </c>
      <c r="M4605">
        <v>-0.99977389999999999</v>
      </c>
      <c r="N4605">
        <v>0</v>
      </c>
      <c r="O4605">
        <v>-1.542195E-2</v>
      </c>
      <c r="P4605">
        <v>-0.99841139999999995</v>
      </c>
      <c r="Q4605">
        <v>-2.1165449999999999E-2</v>
      </c>
      <c r="R4605">
        <v>5.222152E-2</v>
      </c>
      <c r="S4605">
        <v>-3.0384220000000002</v>
      </c>
      <c r="T4605">
        <v>-5.1526549999999997E-2</v>
      </c>
      <c r="U4605">
        <v>-0.66305539999999996</v>
      </c>
      <c r="V4605">
        <v>6.7616910000000002E-2</v>
      </c>
      <c r="W4605">
        <v>-6.5270090000000003E-3</v>
      </c>
      <c r="X4605">
        <v>0.99768999999999997</v>
      </c>
      <c r="Y4605">
        <v>-0.1980867</v>
      </c>
      <c r="Z4605">
        <v>-1.401577E-3</v>
      </c>
      <c r="AA4605">
        <v>0.98018349999999999</v>
      </c>
      <c r="AB4605">
        <v>35</v>
      </c>
      <c r="AC4605">
        <v>-65.210400000000007</v>
      </c>
      <c r="AD4605">
        <v>-1.1101505495749999</v>
      </c>
      <c r="AE4605">
        <v>-14.2815999999999</v>
      </c>
      <c r="AF4605">
        <v>-13.270451856023</v>
      </c>
      <c r="AG4605">
        <v>-1.1101505495749999</v>
      </c>
      <c r="AH4605">
        <v>65.404828781266104</v>
      </c>
      <c r="AI4605">
        <v>90.953003282236295</v>
      </c>
      <c r="AJ4605">
        <v>101.46945198853101</v>
      </c>
      <c r="AK4605">
        <v>66.746752390003806</v>
      </c>
      <c r="AL4605">
        <v>90.373972726802293</v>
      </c>
      <c r="AM4605">
        <v>86.122795454856799</v>
      </c>
      <c r="AN4605">
        <v>0.99999999223221703</v>
      </c>
    </row>
    <row r="4606" spans="1:40" x14ac:dyDescent="0.25">
      <c r="A4606" t="str">
        <f>"20190312161405600"</f>
        <v>20190312161405600</v>
      </c>
      <c r="B4606" t="str">
        <f>"1552378445591202"</f>
        <v>1552378445591202</v>
      </c>
      <c r="C4606" t="s">
        <v>40</v>
      </c>
      <c r="D4606">
        <v>5.2642139999999999</v>
      </c>
      <c r="E4606">
        <v>0.39569880000000002</v>
      </c>
      <c r="F4606" t="s">
        <v>84</v>
      </c>
      <c r="G4606">
        <v>-408.9083</v>
      </c>
      <c r="H4606">
        <v>7.9987290000000003E-2</v>
      </c>
      <c r="I4606">
        <v>127.69580000000001</v>
      </c>
      <c r="J4606">
        <v>-349.89319999999998</v>
      </c>
      <c r="K4606">
        <v>1.1101460000000001</v>
      </c>
      <c r="L4606">
        <v>140.79640000000001</v>
      </c>
      <c r="M4606">
        <v>-0.99977169999999904</v>
      </c>
      <c r="N4606">
        <v>0</v>
      </c>
      <c r="O4606">
        <v>-1.555436E-2</v>
      </c>
      <c r="P4606">
        <v>-0.99841820000000003</v>
      </c>
      <c r="Q4606">
        <v>-2.1261349999999998E-2</v>
      </c>
      <c r="R4606">
        <v>5.2048219999999999E-2</v>
      </c>
      <c r="S4606">
        <v>-3.0387879999999998</v>
      </c>
      <c r="T4606">
        <v>-5.281889E-2</v>
      </c>
      <c r="U4606">
        <v>-0.67190550000000004</v>
      </c>
      <c r="V4606">
        <v>6.7575899999999994E-2</v>
      </c>
      <c r="W4606">
        <v>-6.6255799999999998E-3</v>
      </c>
      <c r="X4606">
        <v>0.99769209999999997</v>
      </c>
      <c r="Y4606">
        <v>-0.20065330000000001</v>
      </c>
      <c r="Z4606">
        <v>-1.4558800000000001E-3</v>
      </c>
      <c r="AA4606">
        <v>0.97966120000000001</v>
      </c>
      <c r="AB4606">
        <v>35</v>
      </c>
      <c r="AC4606">
        <v>-59.015099999999997</v>
      </c>
      <c r="AD4606">
        <v>-1.03015870999999</v>
      </c>
      <c r="AE4606">
        <v>-13.1006</v>
      </c>
      <c r="AF4606">
        <v>-12.177437885814401</v>
      </c>
      <c r="AG4606">
        <v>-1.03015870999999</v>
      </c>
      <c r="AH4606">
        <v>59.194562462639098</v>
      </c>
      <c r="AI4606">
        <v>90.976567598337894</v>
      </c>
      <c r="AJ4606">
        <v>101.62464714996899</v>
      </c>
      <c r="AK4606">
        <v>60.442927175757603</v>
      </c>
      <c r="AL4606">
        <v>90.379620562172306</v>
      </c>
      <c r="AM4606">
        <v>86.125147964562302</v>
      </c>
      <c r="AN4606">
        <v>0.999999963486777</v>
      </c>
    </row>
    <row r="4607" spans="1:40" x14ac:dyDescent="0.25">
      <c r="A4607" t="str">
        <f>"20190312161405619"</f>
        <v>20190312161405619</v>
      </c>
      <c r="B4607" t="str">
        <f>"1552378445610725"</f>
        <v>1552378445610725</v>
      </c>
      <c r="C4607" t="s">
        <v>40</v>
      </c>
      <c r="D4607">
        <v>5.2240609999999998</v>
      </c>
      <c r="E4607">
        <v>0.39507300000000001</v>
      </c>
      <c r="F4607" t="s">
        <v>84</v>
      </c>
      <c r="G4607">
        <v>-414.4314</v>
      </c>
      <c r="H4607" s="1">
        <v>-4.5922209999999998E-6</v>
      </c>
      <c r="I4607">
        <v>126.47320000000001</v>
      </c>
      <c r="J4607">
        <v>-350.17329999999998</v>
      </c>
      <c r="K4607">
        <v>1.1101430000000001</v>
      </c>
      <c r="L4607">
        <v>140.7919</v>
      </c>
      <c r="M4607">
        <v>-0.99976960000000004</v>
      </c>
      <c r="N4607">
        <v>0</v>
      </c>
      <c r="O4607">
        <v>-1.5701779999999999E-2</v>
      </c>
      <c r="P4607">
        <v>-0.99842319999999996</v>
      </c>
      <c r="Q4607">
        <v>-2.1046459999999999E-2</v>
      </c>
      <c r="R4607">
        <v>5.203969E-2</v>
      </c>
      <c r="S4607">
        <v>-3.0387879999999998</v>
      </c>
      <c r="T4607">
        <v>-5.2271600000000001E-2</v>
      </c>
      <c r="U4607">
        <v>-0.67440800000000001</v>
      </c>
      <c r="V4607">
        <v>6.7714380000000005E-2</v>
      </c>
      <c r="W4607">
        <v>-6.4137279999999996E-3</v>
      </c>
      <c r="X4607">
        <v>0.99768409999999996</v>
      </c>
      <c r="Y4607">
        <v>-0.20127829999999999</v>
      </c>
      <c r="Z4607">
        <v>-1.443478E-3</v>
      </c>
      <c r="AA4607">
        <v>0.97953299999999999</v>
      </c>
      <c r="AB4607">
        <v>35</v>
      </c>
      <c r="AC4607">
        <v>-64.258099999999999</v>
      </c>
      <c r="AD4607">
        <v>-1.110147592221</v>
      </c>
      <c r="AE4607">
        <v>-14.3186999999999</v>
      </c>
      <c r="AF4607">
        <v>-13.3040767068885</v>
      </c>
      <c r="AG4607">
        <v>-1.110147592221</v>
      </c>
      <c r="AH4607">
        <v>64.456701155610702</v>
      </c>
      <c r="AI4607">
        <v>90.966350667318395</v>
      </c>
      <c r="AJ4607">
        <v>101.66226613091</v>
      </c>
      <c r="AK4607">
        <v>65.8247461716564</v>
      </c>
      <c r="AL4607">
        <v>90.367482076482503</v>
      </c>
      <c r="AM4607">
        <v>86.117200643655593</v>
      </c>
      <c r="AN4607">
        <v>0.99999996827922499</v>
      </c>
    </row>
    <row r="4608" spans="1:40" x14ac:dyDescent="0.25">
      <c r="A4608" t="str">
        <f>"20190312161406178"</f>
        <v>20190312161406178</v>
      </c>
      <c r="B4608" t="str">
        <f>"1552378446170572"</f>
        <v>1552378446170572</v>
      </c>
      <c r="C4608" t="s">
        <v>40</v>
      </c>
      <c r="D4608">
        <v>5.2126869999999998</v>
      </c>
      <c r="E4608">
        <v>0.39374579999999998</v>
      </c>
      <c r="F4608" t="s">
        <v>84</v>
      </c>
      <c r="G4608">
        <v>-414.78649999999999</v>
      </c>
      <c r="H4608" s="1">
        <v>-4.4979949999999996E-6</v>
      </c>
      <c r="I4608">
        <v>126.3442</v>
      </c>
      <c r="J4608">
        <v>-358.65989999999999</v>
      </c>
      <c r="K4608">
        <v>1.1101620000000001</v>
      </c>
      <c r="L4608">
        <v>140.63560000000001</v>
      </c>
      <c r="M4608">
        <v>-0.99969039999999998</v>
      </c>
      <c r="N4608">
        <v>0</v>
      </c>
      <c r="O4608">
        <v>-2.0184379999999998E-2</v>
      </c>
      <c r="P4608">
        <v>-0.99885760000000001</v>
      </c>
      <c r="Q4608">
        <v>-2.1407559999999999E-2</v>
      </c>
      <c r="R4608">
        <v>4.2724430000000001E-2</v>
      </c>
      <c r="S4608">
        <v>-3.0390929999999998</v>
      </c>
      <c r="T4608">
        <v>-5.221605E-2</v>
      </c>
      <c r="U4608">
        <v>-0.67955019999999999</v>
      </c>
      <c r="V4608">
        <v>6.2881629999999994E-2</v>
      </c>
      <c r="W4608">
        <v>-6.8671449999999998E-3</v>
      </c>
      <c r="X4608">
        <v>0.99799729999999998</v>
      </c>
      <c r="Y4608">
        <v>-0.1984448</v>
      </c>
      <c r="Z4608">
        <v>-1.3415020000000001E-3</v>
      </c>
      <c r="AA4608">
        <v>0.98011119999999996</v>
      </c>
      <c r="AB4608">
        <v>34</v>
      </c>
      <c r="AC4608">
        <v>-56.126600000000003</v>
      </c>
      <c r="AD4608">
        <v>-1.1101664979949999</v>
      </c>
      <c r="AE4608">
        <v>-14.291399999999999</v>
      </c>
      <c r="AF4608">
        <v>-13.150655567341699</v>
      </c>
      <c r="AG4608">
        <v>-1.1101664979949999</v>
      </c>
      <c r="AH4608">
        <v>56.382940843654701</v>
      </c>
      <c r="AI4608">
        <v>91.098517793029998</v>
      </c>
      <c r="AJ4608">
        <v>103.12885283534401</v>
      </c>
      <c r="AK4608">
        <v>57.906892764878997</v>
      </c>
      <c r="AL4608">
        <v>90.3934615442937</v>
      </c>
      <c r="AM4608">
        <v>86.394684057169798</v>
      </c>
      <c r="AN4608">
        <v>0.99999993393959596</v>
      </c>
    </row>
    <row r="4609" spans="1:40" x14ac:dyDescent="0.25">
      <c r="A4609" t="str">
        <f>"20190312161406200"</f>
        <v>20190312161406200</v>
      </c>
      <c r="B4609" t="str">
        <f>"1552378446190703"</f>
        <v>1552378446190703</v>
      </c>
      <c r="C4609" t="s">
        <v>40</v>
      </c>
      <c r="D4609">
        <v>5.5024319999999998</v>
      </c>
      <c r="E4609">
        <v>0.39540520000000001</v>
      </c>
      <c r="F4609" t="s">
        <v>42</v>
      </c>
      <c r="G4609">
        <v>-392.07589999999999</v>
      </c>
      <c r="H4609" s="1">
        <v>-4.6066839999999999E-6</v>
      </c>
      <c r="I4609">
        <v>132.71039999999999</v>
      </c>
      <c r="J4609">
        <v>-358.9907</v>
      </c>
      <c r="K4609">
        <v>1.1101620000000001</v>
      </c>
      <c r="L4609">
        <v>140.62870000000001</v>
      </c>
      <c r="M4609">
        <v>-0.99968699999999999</v>
      </c>
      <c r="N4609">
        <v>0</v>
      </c>
      <c r="O4609">
        <v>-2.0359929999999998E-2</v>
      </c>
      <c r="P4609">
        <v>-0.99885930000000001</v>
      </c>
      <c r="Q4609">
        <v>-2.168103E-2</v>
      </c>
      <c r="R4609">
        <v>4.2547099999999997E-2</v>
      </c>
      <c r="S4609">
        <v>-3.0320130000000001</v>
      </c>
      <c r="T4609">
        <v>-0.1007314</v>
      </c>
      <c r="U4609">
        <v>-0.71908570000000005</v>
      </c>
      <c r="V4609">
        <v>6.2879909999999997E-2</v>
      </c>
      <c r="W4609">
        <v>-7.144521E-3</v>
      </c>
      <c r="X4609">
        <v>0.99799559999999998</v>
      </c>
      <c r="Y4609">
        <v>-0.21080370000000001</v>
      </c>
      <c r="Z4609">
        <v>-2.786288E-3</v>
      </c>
      <c r="AA4609">
        <v>0.97752450000000002</v>
      </c>
      <c r="AB4609">
        <v>33</v>
      </c>
      <c r="AC4609">
        <v>-33.085199999999901</v>
      </c>
      <c r="AD4609">
        <v>-1.1101666066839999</v>
      </c>
      <c r="AE4609">
        <v>-7.9183000000000101</v>
      </c>
      <c r="AF4609">
        <v>-7.2352697278503797</v>
      </c>
      <c r="AG4609">
        <v>-1.1101666066839999</v>
      </c>
      <c r="AH4609">
        <v>33.204213557735301</v>
      </c>
      <c r="AI4609">
        <v>91.871069947723498</v>
      </c>
      <c r="AJ4609">
        <v>102.292719582331</v>
      </c>
      <c r="AK4609">
        <v>34.001491083730997</v>
      </c>
      <c r="AL4609">
        <v>90.409354352864995</v>
      </c>
      <c r="AM4609">
        <v>86.394776288226595</v>
      </c>
      <c r="AN4609">
        <v>1.0000000724406399</v>
      </c>
    </row>
    <row r="4610" spans="1:40" x14ac:dyDescent="0.25">
      <c r="A4610" t="str">
        <f>"20190312161406221"</f>
        <v>20190312161406221</v>
      </c>
      <c r="B4610" t="str">
        <f>"1552378446211199"</f>
        <v>1552378446211199</v>
      </c>
      <c r="C4610" t="s">
        <v>40</v>
      </c>
      <c r="D4610">
        <v>5.5835819999999998</v>
      </c>
      <c r="E4610">
        <v>0.39782840000000003</v>
      </c>
      <c r="F4610" t="s">
        <v>42</v>
      </c>
      <c r="G4610">
        <v>-391.4631</v>
      </c>
      <c r="H4610" s="1">
        <v>-4.8072520000000001E-6</v>
      </c>
      <c r="I4610">
        <v>133.0616</v>
      </c>
      <c r="J4610">
        <v>-359.31439999999998</v>
      </c>
      <c r="K4610">
        <v>1.110168</v>
      </c>
      <c r="L4610">
        <v>140.62190000000001</v>
      </c>
      <c r="M4610">
        <v>-0.99968369999999995</v>
      </c>
      <c r="N4610">
        <v>0</v>
      </c>
      <c r="O4610">
        <v>-2.0532020000000002E-2</v>
      </c>
      <c r="P4610">
        <v>-0.99885650000000004</v>
      </c>
      <c r="Q4610">
        <v>-2.161973E-2</v>
      </c>
      <c r="R4610">
        <v>4.2644269999999998E-2</v>
      </c>
      <c r="S4610">
        <v>-3.0312809999999999</v>
      </c>
      <c r="T4610">
        <v>-0.1036333</v>
      </c>
      <c r="U4610">
        <v>-0.70637510000000003</v>
      </c>
      <c r="V4610">
        <v>6.3148430000000005E-2</v>
      </c>
      <c r="W4610">
        <v>-7.0871509999999999E-3</v>
      </c>
      <c r="X4610">
        <v>0.99797899999999995</v>
      </c>
      <c r="Y4610">
        <v>-0.2067988</v>
      </c>
      <c r="Z4610">
        <v>-2.7952039999999999E-3</v>
      </c>
      <c r="AA4610">
        <v>0.97837949999999996</v>
      </c>
      <c r="AB4610">
        <v>33</v>
      </c>
      <c r="AC4610">
        <v>-32.148699999999998</v>
      </c>
      <c r="AD4610">
        <v>-1.1101728072520001</v>
      </c>
      <c r="AE4610">
        <v>-7.5603000000000096</v>
      </c>
      <c r="AF4610">
        <v>-6.89077199458651</v>
      </c>
      <c r="AG4610">
        <v>-1.1101728072520001</v>
      </c>
      <c r="AH4610">
        <v>32.2607116101711</v>
      </c>
      <c r="AI4610">
        <v>91.927470544598805</v>
      </c>
      <c r="AJ4610">
        <v>102.056991093894</v>
      </c>
      <c r="AK4610">
        <v>33.007101295599597</v>
      </c>
      <c r="AL4610">
        <v>90.406067233041995</v>
      </c>
      <c r="AM4610">
        <v>86.3793614782915</v>
      </c>
      <c r="AN4610">
        <v>1.0000000181808799</v>
      </c>
    </row>
    <row r="4611" spans="1:40" x14ac:dyDescent="0.25">
      <c r="A4611" t="str">
        <f>"20190312161406244"</f>
        <v>20190312161406244</v>
      </c>
      <c r="B4611" t="str">
        <f>"1552378446240480"</f>
        <v>1552378446240480</v>
      </c>
      <c r="C4611" t="s">
        <v>40</v>
      </c>
      <c r="D4611">
        <v>5.6358730000000001</v>
      </c>
      <c r="E4611">
        <v>0.4006284</v>
      </c>
      <c r="F4611" t="s">
        <v>42</v>
      </c>
      <c r="G4611">
        <v>-390.17579999999998</v>
      </c>
      <c r="H4611" s="1">
        <v>-5.2594110000000001E-6</v>
      </c>
      <c r="I4611">
        <v>133.6259</v>
      </c>
      <c r="J4611">
        <v>-359.64690000000002</v>
      </c>
      <c r="K4611">
        <v>1.110169</v>
      </c>
      <c r="L4611">
        <v>140.61490000000001</v>
      </c>
      <c r="M4611">
        <v>-0.99968000000000001</v>
      </c>
      <c r="N4611">
        <v>0</v>
      </c>
      <c r="O4611">
        <v>-2.070841E-2</v>
      </c>
      <c r="P4611">
        <v>-0.99885400000000002</v>
      </c>
      <c r="Q4611">
        <v>-2.1760390000000001E-2</v>
      </c>
      <c r="R4611">
        <v>4.2630960000000002E-2</v>
      </c>
      <c r="S4611">
        <v>-3.0303339999999999</v>
      </c>
      <c r="T4611">
        <v>-0.10900990000000001</v>
      </c>
      <c r="U4611">
        <v>-0.68695069999999903</v>
      </c>
      <c r="V4611">
        <v>6.3311210000000007E-2</v>
      </c>
      <c r="W4611">
        <v>-7.2315649999999997E-3</v>
      </c>
      <c r="X4611">
        <v>0.99796770000000001</v>
      </c>
      <c r="Y4611">
        <v>-0.20072580000000001</v>
      </c>
      <c r="Z4611">
        <v>-2.8290120000000001E-3</v>
      </c>
      <c r="AA4611">
        <v>0.97964340000000005</v>
      </c>
      <c r="AB4611">
        <v>33</v>
      </c>
      <c r="AC4611">
        <v>-30.528899999999901</v>
      </c>
      <c r="AD4611">
        <v>-1.110174259411</v>
      </c>
      <c r="AE4611">
        <v>-6.9889999999999999</v>
      </c>
      <c r="AF4611">
        <v>-6.3472536823374099</v>
      </c>
      <c r="AG4611">
        <v>-1.110174259411</v>
      </c>
      <c r="AH4611">
        <v>30.628612298874</v>
      </c>
      <c r="AI4611">
        <v>92.032700574737405</v>
      </c>
      <c r="AJ4611">
        <v>101.707843783111</v>
      </c>
      <c r="AK4611">
        <v>31.299073589308399</v>
      </c>
      <c r="AL4611">
        <v>90.414341737211899</v>
      </c>
      <c r="AM4611">
        <v>86.370012356918593</v>
      </c>
      <c r="AN4611">
        <v>1.00000006754364</v>
      </c>
    </row>
    <row r="4612" spans="1:40" x14ac:dyDescent="0.25">
      <c r="A4612" t="str">
        <f>"20190312161406267"</f>
        <v>20190312161406267</v>
      </c>
      <c r="B4612" t="str">
        <f>"1552378446260976"</f>
        <v>1552378446260976</v>
      </c>
      <c r="C4612" t="s">
        <v>40</v>
      </c>
      <c r="D4612">
        <v>5.6596440000000001</v>
      </c>
      <c r="E4612">
        <v>0.40240169999999997</v>
      </c>
      <c r="F4612" t="s">
        <v>42</v>
      </c>
      <c r="G4612">
        <v>-390.32260000000002</v>
      </c>
      <c r="H4612" s="1">
        <v>-5.150705E-6</v>
      </c>
      <c r="I4612">
        <v>133.88390000000001</v>
      </c>
      <c r="J4612">
        <v>-359.99590000000001</v>
      </c>
      <c r="K4612">
        <v>1.110171</v>
      </c>
      <c r="L4612">
        <v>140.60749999999999</v>
      </c>
      <c r="M4612">
        <v>-0.99967609999999996</v>
      </c>
      <c r="N4612">
        <v>0</v>
      </c>
      <c r="O4612">
        <v>-2.0893620000000002E-2</v>
      </c>
      <c r="P4612">
        <v>-0.99885060000000003</v>
      </c>
      <c r="Q4612">
        <v>-2.182036E-2</v>
      </c>
      <c r="R4612">
        <v>4.2679250000000002E-2</v>
      </c>
      <c r="S4612">
        <v>-3.0294490000000001</v>
      </c>
      <c r="T4612">
        <v>-0.1096381</v>
      </c>
      <c r="U4612">
        <v>-0.66473389999999999</v>
      </c>
      <c r="V4612">
        <v>6.3544320000000001E-2</v>
      </c>
      <c r="W4612">
        <v>-7.2953549999999999E-3</v>
      </c>
      <c r="X4612">
        <v>0.99795230000000001</v>
      </c>
      <c r="Y4612">
        <v>-0.19376019999999999</v>
      </c>
      <c r="Z4612">
        <v>-2.717208E-3</v>
      </c>
      <c r="AA4612">
        <v>0.9810451</v>
      </c>
      <c r="AB4612">
        <v>33</v>
      </c>
      <c r="AC4612">
        <v>-30.326699999999999</v>
      </c>
      <c r="AD4612">
        <v>-1.1101761507050001</v>
      </c>
      <c r="AE4612">
        <v>-6.72359999999997</v>
      </c>
      <c r="AF4612">
        <v>-6.0806636456624696</v>
      </c>
      <c r="AG4612">
        <v>-1.1101761507050001</v>
      </c>
      <c r="AH4612">
        <v>30.4217157977066</v>
      </c>
      <c r="AI4612">
        <v>92.049457758169197</v>
      </c>
      <c r="AJ4612">
        <v>101.303268916768</v>
      </c>
      <c r="AK4612">
        <v>31.043320594512899</v>
      </c>
      <c r="AL4612">
        <v>90.417996781150805</v>
      </c>
      <c r="AM4612">
        <v>86.356626712511698</v>
      </c>
      <c r="AN4612">
        <v>0.99999994794206204</v>
      </c>
    </row>
    <row r="4613" spans="1:40" x14ac:dyDescent="0.25">
      <c r="A4613" t="str">
        <f>"20190312161406291"</f>
        <v>20190312161406291</v>
      </c>
      <c r="B4613" t="str">
        <f>"1552378446280496"</f>
        <v>1552378446280496</v>
      </c>
      <c r="C4613" t="s">
        <v>40</v>
      </c>
      <c r="D4613">
        <v>5.6300330000000001</v>
      </c>
      <c r="E4613">
        <v>0.4043561</v>
      </c>
      <c r="F4613" t="s">
        <v>42</v>
      </c>
      <c r="G4613">
        <v>-389.19110000000001</v>
      </c>
      <c r="H4613" s="1">
        <v>-1.665763E-6</v>
      </c>
      <c r="I4613">
        <v>134.33789999999999</v>
      </c>
      <c r="J4613">
        <v>-360.33339999999998</v>
      </c>
      <c r="K4613">
        <v>1.110168</v>
      </c>
      <c r="L4613">
        <v>140.6003</v>
      </c>
      <c r="M4613">
        <v>-0.99967240000000002</v>
      </c>
      <c r="N4613">
        <v>0</v>
      </c>
      <c r="O4613">
        <v>-2.107287E-2</v>
      </c>
      <c r="P4613">
        <v>-0.99887490000000001</v>
      </c>
      <c r="Q4613">
        <v>-2.1775369999999999E-2</v>
      </c>
      <c r="R4613">
        <v>4.2126009999999998E-2</v>
      </c>
      <c r="S4613">
        <v>-3.0287169999999999</v>
      </c>
      <c r="T4613">
        <v>-0.1151701</v>
      </c>
      <c r="U4613">
        <v>-0.65040589999999998</v>
      </c>
      <c r="V4613">
        <v>6.3170690000000002E-2</v>
      </c>
      <c r="W4613">
        <v>-7.2537180000000001E-3</v>
      </c>
      <c r="X4613">
        <v>0.99797639999999999</v>
      </c>
      <c r="Y4613">
        <v>-0.18919169999999999</v>
      </c>
      <c r="Z4613">
        <v>-2.7637149999999999E-3</v>
      </c>
      <c r="AA4613">
        <v>0.98193629999999998</v>
      </c>
      <c r="AB4613">
        <v>33</v>
      </c>
      <c r="AC4613">
        <v>-28.857700000000001</v>
      </c>
      <c r="AD4613">
        <v>-1.110169665763</v>
      </c>
      <c r="AE4613">
        <v>-6.2624000000000102</v>
      </c>
      <c r="AF4613">
        <v>-5.6448518352059596</v>
      </c>
      <c r="AG4613">
        <v>-1.110169665763</v>
      </c>
      <c r="AH4613">
        <v>28.942363649325699</v>
      </c>
      <c r="AI4613">
        <v>92.156085332115097</v>
      </c>
      <c r="AJ4613">
        <v>101.036289524135</v>
      </c>
      <c r="AK4613">
        <v>29.508596078736399</v>
      </c>
      <c r="AL4613">
        <v>90.4156110620319</v>
      </c>
      <c r="AM4613">
        <v>86.378079178786095</v>
      </c>
      <c r="AN4613">
        <v>1.0000000237284199</v>
      </c>
    </row>
    <row r="4614" spans="1:40" x14ac:dyDescent="0.25">
      <c r="A4614" t="str">
        <f>"20190312161406311"</f>
        <v>20190312161406311</v>
      </c>
      <c r="B4614" t="str">
        <f>"1552378446300992"</f>
        <v>1552378446300992</v>
      </c>
      <c r="C4614" t="s">
        <v>40</v>
      </c>
      <c r="D4614">
        <v>5.649972</v>
      </c>
      <c r="E4614">
        <v>0.40587230000000002</v>
      </c>
      <c r="F4614" t="s">
        <v>42</v>
      </c>
      <c r="G4614">
        <v>-388.24759999999998</v>
      </c>
      <c r="H4614" s="1">
        <v>-1.882303E-6</v>
      </c>
      <c r="I4614">
        <v>134.73070000000001</v>
      </c>
      <c r="J4614">
        <v>-360.64510000000001</v>
      </c>
      <c r="K4614">
        <v>1.1101669999999999</v>
      </c>
      <c r="L4614">
        <v>140.59350000000001</v>
      </c>
      <c r="M4614">
        <v>-0.99966889999999997</v>
      </c>
      <c r="N4614">
        <v>0</v>
      </c>
      <c r="O4614">
        <v>-2.123829E-2</v>
      </c>
      <c r="P4614">
        <v>-0.99890279999999998</v>
      </c>
      <c r="Q4614">
        <v>-2.1499890000000001E-2</v>
      </c>
      <c r="R4614">
        <v>4.1606480000000001E-2</v>
      </c>
      <c r="S4614">
        <v>-3.0276179999999999</v>
      </c>
      <c r="T4614">
        <v>-0.1204112</v>
      </c>
      <c r="U4614">
        <v>-0.63661190000000001</v>
      </c>
      <c r="V4614">
        <v>6.2816780000000003E-2</v>
      </c>
      <c r="W4614">
        <v>-6.9812880000000004E-3</v>
      </c>
      <c r="X4614">
        <v>0.99800069999999996</v>
      </c>
      <c r="Y4614">
        <v>-0.18481249999999999</v>
      </c>
      <c r="Z4614">
        <v>-2.7991510000000002E-3</v>
      </c>
      <c r="AA4614">
        <v>0.98276980000000003</v>
      </c>
      <c r="AB4614">
        <v>33</v>
      </c>
      <c r="AC4614">
        <v>-27.6024999999999</v>
      </c>
      <c r="AD4614">
        <v>-1.11016888230299</v>
      </c>
      <c r="AE4614">
        <v>-5.8627999999999902</v>
      </c>
      <c r="AF4614">
        <v>-5.2670331915780197</v>
      </c>
      <c r="AG4614">
        <v>-1.11016888230299</v>
      </c>
      <c r="AH4614">
        <v>27.677961497839199</v>
      </c>
      <c r="AI4614">
        <v>92.256464276226097</v>
      </c>
      <c r="AJ4614">
        <v>100.774390440183</v>
      </c>
      <c r="AK4614">
        <v>28.1965186905101</v>
      </c>
      <c r="AL4614">
        <v>90.400001570561798</v>
      </c>
      <c r="AM4614">
        <v>86.398404675362698</v>
      </c>
      <c r="AN4614">
        <v>1.0000000417160899</v>
      </c>
    </row>
    <row r="4615" spans="1:40" x14ac:dyDescent="0.25">
      <c r="A4615" t="str">
        <f>"20190312161406334"</f>
        <v>20190312161406334</v>
      </c>
      <c r="B4615" t="str">
        <f>"1552378446330272"</f>
        <v>1552378446330272</v>
      </c>
      <c r="C4615" t="s">
        <v>40</v>
      </c>
      <c r="D4615">
        <v>5.6722390000000003</v>
      </c>
      <c r="E4615">
        <v>0.4075607</v>
      </c>
      <c r="F4615" t="s">
        <v>42</v>
      </c>
      <c r="G4615">
        <v>-388.33539999999999</v>
      </c>
      <c r="H4615" s="1">
        <v>-1.8167999999999999E-6</v>
      </c>
      <c r="I4615">
        <v>134.8646</v>
      </c>
      <c r="J4615">
        <v>-360.97309999999999</v>
      </c>
      <c r="K4615">
        <v>1.110171</v>
      </c>
      <c r="L4615">
        <v>140.58629999999999</v>
      </c>
      <c r="M4615">
        <v>-0.99966529999999998</v>
      </c>
      <c r="N4615">
        <v>0</v>
      </c>
      <c r="O4615">
        <v>-2.1412299999999999E-2</v>
      </c>
      <c r="P4615">
        <v>-0.99892789999999998</v>
      </c>
      <c r="Q4615">
        <v>-2.1310369999999999E-2</v>
      </c>
      <c r="R4615">
        <v>4.1096380000000002E-2</v>
      </c>
      <c r="S4615">
        <v>-3.026764</v>
      </c>
      <c r="T4615">
        <v>-0.12135029999999999</v>
      </c>
      <c r="U4615">
        <v>-0.62620540000000002</v>
      </c>
      <c r="V4615">
        <v>6.2480870000000001E-2</v>
      </c>
      <c r="W4615">
        <v>-6.7950340000000001E-3</v>
      </c>
      <c r="X4615">
        <v>0.99802299999999999</v>
      </c>
      <c r="Y4615">
        <v>-0.1814588</v>
      </c>
      <c r="Z4615">
        <v>-2.7493259999999999E-3</v>
      </c>
      <c r="AA4615">
        <v>0.98339469999999995</v>
      </c>
      <c r="AB4615">
        <v>33</v>
      </c>
      <c r="AC4615">
        <v>-27.362300000000001</v>
      </c>
      <c r="AD4615">
        <v>-1.1101728168</v>
      </c>
      <c r="AE4615">
        <v>-5.7216999999999896</v>
      </c>
      <c r="AF4615">
        <v>-5.1263510451869401</v>
      </c>
      <c r="AG4615">
        <v>-1.1101728168</v>
      </c>
      <c r="AH4615">
        <v>27.435281831774301</v>
      </c>
      <c r="AI4615">
        <v>92.277837855950395</v>
      </c>
      <c r="AJ4615">
        <v>100.58381212068301</v>
      </c>
      <c r="AK4615">
        <v>27.932179433594801</v>
      </c>
      <c r="AL4615">
        <v>90.389329777595407</v>
      </c>
      <c r="AM4615">
        <v>86.417693597923204</v>
      </c>
      <c r="AN4615">
        <v>0.99999997006600805</v>
      </c>
    </row>
    <row r="4616" spans="1:40" x14ac:dyDescent="0.25">
      <c r="A4616" t="str">
        <f>"20190312161406356"</f>
        <v>20190312161406356</v>
      </c>
      <c r="B4616" t="str">
        <f>"1552378446350768"</f>
        <v>1552378446350768</v>
      </c>
      <c r="C4616" t="s">
        <v>40</v>
      </c>
      <c r="D4616">
        <v>5.5825760000000004</v>
      </c>
      <c r="E4616">
        <v>0.40817219999999999</v>
      </c>
      <c r="F4616" t="s">
        <v>42</v>
      </c>
      <c r="G4616">
        <v>-388.33150000000001</v>
      </c>
      <c r="H4616" s="1">
        <v>-1.773505E-6</v>
      </c>
      <c r="I4616">
        <v>135.03229999999999</v>
      </c>
      <c r="J4616">
        <v>-361.30799999999999</v>
      </c>
      <c r="K4616">
        <v>1.1101700000000001</v>
      </c>
      <c r="L4616">
        <v>140.57900000000001</v>
      </c>
      <c r="M4616">
        <v>-0.99966160000000004</v>
      </c>
      <c r="N4616">
        <v>0</v>
      </c>
      <c r="O4616">
        <v>-2.1590359999999999E-2</v>
      </c>
      <c r="P4616">
        <v>-0.99893529999999997</v>
      </c>
      <c r="Q4616">
        <v>-2.1538249999999998E-2</v>
      </c>
      <c r="R4616">
        <v>4.0800999999999997E-2</v>
      </c>
      <c r="S4616">
        <v>-3.0258790000000002</v>
      </c>
      <c r="T4616">
        <v>-0.1227874</v>
      </c>
      <c r="U4616">
        <v>-0.61427310000000002</v>
      </c>
      <c r="V4616">
        <v>6.2363700000000001E-2</v>
      </c>
      <c r="W4616">
        <v>-7.0265269999999899E-3</v>
      </c>
      <c r="X4616">
        <v>0.99802880000000005</v>
      </c>
      <c r="Y4616">
        <v>-0.17761779999999999</v>
      </c>
      <c r="Z4616">
        <v>-2.6994789999999999E-3</v>
      </c>
      <c r="AA4616">
        <v>0.98409590000000002</v>
      </c>
      <c r="AB4616">
        <v>33</v>
      </c>
      <c r="AC4616">
        <v>-27.023499999999899</v>
      </c>
      <c r="AD4616">
        <v>-1.1101717735050001</v>
      </c>
      <c r="AE4616">
        <v>-5.5467000000000102</v>
      </c>
      <c r="AF4616">
        <v>-4.9538755738704001</v>
      </c>
      <c r="AG4616">
        <v>-1.1101717735050001</v>
      </c>
      <c r="AH4616">
        <v>27.093090673396802</v>
      </c>
      <c r="AI4616">
        <v>92.308224777313498</v>
      </c>
      <c r="AJ4616">
        <v>100.361866519335</v>
      </c>
      <c r="AK4616">
        <v>27.564631809711798</v>
      </c>
      <c r="AL4616">
        <v>90.402593636722301</v>
      </c>
      <c r="AM4616">
        <v>86.424414756489</v>
      </c>
      <c r="AN4616">
        <v>1.0000000443943999</v>
      </c>
    </row>
    <row r="4617" spans="1:40" x14ac:dyDescent="0.25">
      <c r="A4617" t="str">
        <f>"20190312161406379"</f>
        <v>20190312161406379</v>
      </c>
      <c r="B4617" t="str">
        <f>"1552378446370479"</f>
        <v>1552378446370479</v>
      </c>
      <c r="C4617" t="s">
        <v>40</v>
      </c>
      <c r="D4617">
        <v>5.6490960000000001</v>
      </c>
      <c r="E4617">
        <v>0.40891529999999998</v>
      </c>
      <c r="F4617" t="s">
        <v>42</v>
      </c>
      <c r="G4617">
        <v>-388.90210000000002</v>
      </c>
      <c r="H4617" s="1">
        <v>-1.5844320000000001E-6</v>
      </c>
      <c r="I4617">
        <v>135.01320000000001</v>
      </c>
      <c r="J4617">
        <v>-361.64569999999998</v>
      </c>
      <c r="K4617">
        <v>1.1101719999999999</v>
      </c>
      <c r="L4617">
        <v>140.57149999999999</v>
      </c>
      <c r="M4617">
        <v>-0.99965760000000004</v>
      </c>
      <c r="N4617">
        <v>0</v>
      </c>
      <c r="O4617">
        <v>-2.1769719999999999E-2</v>
      </c>
      <c r="P4617">
        <v>-0.99895210000000001</v>
      </c>
      <c r="Q4617">
        <v>-2.1501960000000001E-2</v>
      </c>
      <c r="R4617">
        <v>4.0404570000000001E-2</v>
      </c>
      <c r="S4617">
        <v>-3.0255740000000002</v>
      </c>
      <c r="T4617">
        <v>-0.12172620000000001</v>
      </c>
      <c r="U4617">
        <v>-0.61026000000000002</v>
      </c>
      <c r="V4617">
        <v>6.2146710000000001E-2</v>
      </c>
      <c r="W4617">
        <v>-6.9938860000000004E-3</v>
      </c>
      <c r="X4617">
        <v>0.99804250000000005</v>
      </c>
      <c r="Y4617">
        <v>-0.1762098</v>
      </c>
      <c r="Z4617">
        <v>-2.6416130000000001E-3</v>
      </c>
      <c r="AA4617">
        <v>0.98434909999999998</v>
      </c>
      <c r="AB4617">
        <v>33</v>
      </c>
      <c r="AC4617">
        <v>-27.256399999999999</v>
      </c>
      <c r="AD4617">
        <v>-1.110173584432</v>
      </c>
      <c r="AE4617">
        <v>-5.5582999999999698</v>
      </c>
      <c r="AF4617">
        <v>-4.9556625652264099</v>
      </c>
      <c r="AG4617">
        <v>-1.110173584432</v>
      </c>
      <c r="AH4617">
        <v>27.327428607239501</v>
      </c>
      <c r="AI4617">
        <v>92.289061649946902</v>
      </c>
      <c r="AJ4617">
        <v>100.278539679048</v>
      </c>
      <c r="AK4617">
        <v>27.795313114475402</v>
      </c>
      <c r="AL4617">
        <v>90.4007234251536</v>
      </c>
      <c r="AM4617">
        <v>86.436872425050396</v>
      </c>
      <c r="AN4617">
        <v>0.99999997990572698</v>
      </c>
    </row>
    <row r="4618" spans="1:40" x14ac:dyDescent="0.25">
      <c r="A4618" t="str">
        <f>"20190312161406400"</f>
        <v>20190312161406400</v>
      </c>
      <c r="B4618" t="str">
        <f>"1552378446390958"</f>
        <v>1552378446390958</v>
      </c>
      <c r="C4618" t="s">
        <v>40</v>
      </c>
      <c r="D4618">
        <v>5.6367529999999997</v>
      </c>
      <c r="E4618">
        <v>0.40964040000000002</v>
      </c>
      <c r="F4618" t="s">
        <v>42</v>
      </c>
      <c r="G4618">
        <v>-388.74130000000002</v>
      </c>
      <c r="H4618" s="1">
        <v>-1.6034139999999999E-6</v>
      </c>
      <c r="I4618">
        <v>135.1474</v>
      </c>
      <c r="J4618">
        <v>-361.97320000000002</v>
      </c>
      <c r="K4618">
        <v>1.1101730000000001</v>
      </c>
      <c r="L4618">
        <v>140.5642</v>
      </c>
      <c r="M4618">
        <v>-0.99965389999999998</v>
      </c>
      <c r="N4618">
        <v>0</v>
      </c>
      <c r="O4618">
        <v>-2.1944080000000001E-2</v>
      </c>
      <c r="P4618">
        <v>-0.99895489999999998</v>
      </c>
      <c r="Q4618">
        <v>-2.1043329999999999E-2</v>
      </c>
      <c r="R4618">
        <v>4.0575600000000003E-2</v>
      </c>
      <c r="S4618">
        <v>-3.024994</v>
      </c>
      <c r="T4618">
        <v>-0.12394139999999999</v>
      </c>
      <c r="U4618">
        <v>-0.605545</v>
      </c>
      <c r="V4618">
        <v>6.2491489999999997E-2</v>
      </c>
      <c r="W4618">
        <v>-6.5389699999999999E-3</v>
      </c>
      <c r="X4618">
        <v>0.99802400000000002</v>
      </c>
      <c r="Y4618">
        <v>-0.17459669999999999</v>
      </c>
      <c r="Z4618">
        <v>-2.650786E-3</v>
      </c>
      <c r="AA4618">
        <v>0.98463650000000003</v>
      </c>
      <c r="AB4618">
        <v>33</v>
      </c>
      <c r="AC4618">
        <v>-26.7681</v>
      </c>
      <c r="AD4618">
        <v>-1.1101746034140001</v>
      </c>
      <c r="AE4618">
        <v>-5.4167999999999896</v>
      </c>
      <c r="AF4618">
        <v>-4.8200674590497599</v>
      </c>
      <c r="AG4618">
        <v>-1.1101746034140001</v>
      </c>
      <c r="AH4618">
        <v>26.836187704862699</v>
      </c>
      <c r="AI4618">
        <v>92.331625073401796</v>
      </c>
      <c r="AJ4618">
        <v>100.182369087322</v>
      </c>
      <c r="AK4618">
        <v>27.288211896173699</v>
      </c>
      <c r="AL4618">
        <v>90.374658081623195</v>
      </c>
      <c r="AM4618">
        <v>86.417089872693793</v>
      </c>
      <c r="AN4618">
        <v>0.99999992451353703</v>
      </c>
    </row>
    <row r="4619" spans="1:40" x14ac:dyDescent="0.25">
      <c r="A4619" t="str">
        <f>"20190312161406422"</f>
        <v>20190312161406422</v>
      </c>
      <c r="B4619" t="str">
        <f>"1552378446410479"</f>
        <v>1552378446410479</v>
      </c>
      <c r="C4619" t="s">
        <v>40</v>
      </c>
      <c r="D4619">
        <v>5.5933460000000004</v>
      </c>
      <c r="E4619">
        <v>0.41032839999999998</v>
      </c>
      <c r="F4619" t="s">
        <v>42</v>
      </c>
      <c r="G4619">
        <v>-388.69560000000001</v>
      </c>
      <c r="H4619" s="1">
        <v>-1.5866E-6</v>
      </c>
      <c r="I4619">
        <v>135.26910000000001</v>
      </c>
      <c r="J4619">
        <v>-362.28960000000001</v>
      </c>
      <c r="K4619">
        <v>1.1101829999999999</v>
      </c>
      <c r="L4619">
        <v>140.55709999999999</v>
      </c>
      <c r="M4619">
        <v>-0.99965040000000005</v>
      </c>
      <c r="N4619">
        <v>0</v>
      </c>
      <c r="O4619">
        <v>-2.211225E-2</v>
      </c>
      <c r="P4619">
        <v>-0.99895270000000003</v>
      </c>
      <c r="Q4619">
        <v>-2.0943469999999999E-2</v>
      </c>
      <c r="R4619">
        <v>4.0686340000000001E-2</v>
      </c>
      <c r="S4619">
        <v>-3.0248409999999999</v>
      </c>
      <c r="T4619">
        <v>-0.1256669</v>
      </c>
      <c r="U4619">
        <v>-0.59936519999999904</v>
      </c>
      <c r="V4619">
        <v>6.2769980000000003E-2</v>
      </c>
      <c r="W4619">
        <v>-6.4427119999999997E-3</v>
      </c>
      <c r="X4619">
        <v>0.99800719999999998</v>
      </c>
      <c r="Y4619">
        <v>-0.17250370000000001</v>
      </c>
      <c r="Z4619">
        <v>-2.6383689999999998E-3</v>
      </c>
      <c r="AA4619">
        <v>0.98500529999999997</v>
      </c>
      <c r="AB4619">
        <v>33</v>
      </c>
      <c r="AC4619">
        <v>-26.405999999999999</v>
      </c>
      <c r="AD4619">
        <v>-1.1101845866</v>
      </c>
      <c r="AE4619">
        <v>-5.2879999999999798</v>
      </c>
      <c r="AF4619">
        <v>-4.6947708178286103</v>
      </c>
      <c r="AG4619">
        <v>-1.1101845866</v>
      </c>
      <c r="AH4619">
        <v>26.471497065690599</v>
      </c>
      <c r="AI4619">
        <v>92.364654950303105</v>
      </c>
      <c r="AJ4619">
        <v>100.056943904543</v>
      </c>
      <c r="AK4619">
        <v>26.9074996933407</v>
      </c>
      <c r="AL4619">
        <v>90.369142769206604</v>
      </c>
      <c r="AM4619">
        <v>86.401104272993294</v>
      </c>
      <c r="AN4619">
        <v>0.99999997508947702</v>
      </c>
    </row>
    <row r="4620" spans="1:40" x14ac:dyDescent="0.25">
      <c r="A4620" t="str">
        <f>"20190312161406445"</f>
        <v>20190312161406445</v>
      </c>
      <c r="B4620" t="str">
        <f>"1552378446440734"</f>
        <v>1552378446440734</v>
      </c>
      <c r="C4620" t="s">
        <v>40</v>
      </c>
      <c r="D4620">
        <v>5.6776689999999999</v>
      </c>
      <c r="E4620">
        <v>0.41120839999999997</v>
      </c>
      <c r="F4620" t="s">
        <v>42</v>
      </c>
      <c r="G4620">
        <v>-388.71510000000001</v>
      </c>
      <c r="H4620" s="1">
        <v>-1.552592E-6</v>
      </c>
      <c r="I4620">
        <v>135.37190000000001</v>
      </c>
      <c r="J4620">
        <v>-362.62580000000003</v>
      </c>
      <c r="K4620">
        <v>1.1101829999999999</v>
      </c>
      <c r="L4620">
        <v>140.54949999999999</v>
      </c>
      <c r="M4620">
        <v>-0.99964640000000005</v>
      </c>
      <c r="N4620">
        <v>0</v>
      </c>
      <c r="O4620">
        <v>-2.2291020000000002E-2</v>
      </c>
      <c r="P4620">
        <v>-0.99894579999999999</v>
      </c>
      <c r="Q4620">
        <v>-2.0990849999999998E-2</v>
      </c>
      <c r="R4620">
        <v>4.0828080000000003E-2</v>
      </c>
      <c r="S4620">
        <v>-3.024689</v>
      </c>
      <c r="T4620">
        <v>-0.12707280000000001</v>
      </c>
      <c r="U4620">
        <v>-0.59349059999999998</v>
      </c>
      <c r="V4620">
        <v>6.3089969999999995E-2</v>
      </c>
      <c r="W4620">
        <v>-6.4939749999999999E-3</v>
      </c>
      <c r="X4620">
        <v>0.9979867</v>
      </c>
      <c r="Y4620">
        <v>-0.17049410000000001</v>
      </c>
      <c r="Z4620">
        <v>-2.61926E-3</v>
      </c>
      <c r="AA4620">
        <v>0.98535519999999999</v>
      </c>
      <c r="AB4620">
        <v>33</v>
      </c>
      <c r="AC4620">
        <v>-26.089299999999898</v>
      </c>
      <c r="AD4620">
        <v>-1.110184552592</v>
      </c>
      <c r="AE4620">
        <v>-5.1775999999999804</v>
      </c>
      <c r="AF4620">
        <v>-4.5867041962975597</v>
      </c>
      <c r="AG4620">
        <v>-1.110184552592</v>
      </c>
      <c r="AH4620">
        <v>26.152679942124301</v>
      </c>
      <c r="AI4620">
        <v>92.394253884722502</v>
      </c>
      <c r="AJ4620">
        <v>99.947469868130099</v>
      </c>
      <c r="AK4620">
        <v>26.5750453109743</v>
      </c>
      <c r="AL4620">
        <v>90.372079980695304</v>
      </c>
      <c r="AM4620">
        <v>86.382732235586502</v>
      </c>
      <c r="AN4620">
        <v>0.99999998470139495</v>
      </c>
    </row>
    <row r="4621" spans="1:40" x14ac:dyDescent="0.25">
      <c r="A4621" t="str">
        <f>"20190312161406469"</f>
        <v>20190312161406469</v>
      </c>
      <c r="B4621" t="str">
        <f>"1552378446461230"</f>
        <v>1552378446461230</v>
      </c>
      <c r="C4621" t="s">
        <v>40</v>
      </c>
      <c r="D4621">
        <v>5.7186879999999896</v>
      </c>
      <c r="E4621">
        <v>0.41122320000000001</v>
      </c>
      <c r="F4621" t="s">
        <v>42</v>
      </c>
      <c r="G4621">
        <v>-388.41800000000001</v>
      </c>
      <c r="H4621" s="1">
        <v>-1.6058449999999999E-6</v>
      </c>
      <c r="I4621">
        <v>135.55179999999999</v>
      </c>
      <c r="J4621">
        <v>-362.96620000000001</v>
      </c>
      <c r="K4621">
        <v>1.1101859999999999</v>
      </c>
      <c r="L4621">
        <v>140.54169999999999</v>
      </c>
      <c r="M4621">
        <v>-0.99964240000000004</v>
      </c>
      <c r="N4621">
        <v>0</v>
      </c>
      <c r="O4621">
        <v>-2.2472289999999999E-2</v>
      </c>
      <c r="P4621">
        <v>-0.99894050000000001</v>
      </c>
      <c r="Q4621">
        <v>-2.0904329999999999E-2</v>
      </c>
      <c r="R4621">
        <v>4.1005359999999998E-2</v>
      </c>
      <c r="S4621">
        <v>-3.024384</v>
      </c>
      <c r="T4621">
        <v>-0.13017980000000001</v>
      </c>
      <c r="U4621">
        <v>-0.58601380000000003</v>
      </c>
      <c r="V4621">
        <v>6.3448099999999993E-2</v>
      </c>
      <c r="W4621">
        <v>-6.4114519999999998E-3</v>
      </c>
      <c r="X4621">
        <v>0.99796459999999998</v>
      </c>
      <c r="Y4621">
        <v>-0.16798299999999999</v>
      </c>
      <c r="Z4621">
        <v>-2.6228940000000002E-3</v>
      </c>
      <c r="AA4621">
        <v>0.98578639999999995</v>
      </c>
      <c r="AB4621">
        <v>33</v>
      </c>
      <c r="AC4621">
        <v>-25.451799999999899</v>
      </c>
      <c r="AD4621">
        <v>-1.110187605845</v>
      </c>
      <c r="AE4621">
        <v>-4.9898999999999996</v>
      </c>
      <c r="AF4621">
        <v>-4.40854191848205</v>
      </c>
      <c r="AG4621">
        <v>-1.110187605845</v>
      </c>
      <c r="AH4621">
        <v>25.510776321869699</v>
      </c>
      <c r="AI4621">
        <v>92.455497355085697</v>
      </c>
      <c r="AJ4621">
        <v>99.804504995123494</v>
      </c>
      <c r="AK4621">
        <v>25.912689302958299</v>
      </c>
      <c r="AL4621">
        <v>90.3673516365685</v>
      </c>
      <c r="AM4621">
        <v>86.362173467148594</v>
      </c>
      <c r="AN4621">
        <v>1.0000000554817501</v>
      </c>
    </row>
    <row r="4622" spans="1:40" x14ac:dyDescent="0.25">
      <c r="A4622" t="str">
        <f>"20190312161406491"</f>
        <v>20190312161406491</v>
      </c>
      <c r="B4622" t="str">
        <f>"1552378446480751"</f>
        <v>1552378446480751</v>
      </c>
      <c r="C4622" t="s">
        <v>40</v>
      </c>
      <c r="D4622">
        <v>5.6591870000000002</v>
      </c>
      <c r="E4622">
        <v>0.41024129999999998</v>
      </c>
      <c r="F4622" t="s">
        <v>42</v>
      </c>
      <c r="G4622">
        <v>-388.74529999999999</v>
      </c>
      <c r="H4622" s="1">
        <v>-1.4944909999999901E-6</v>
      </c>
      <c r="I4622">
        <v>135.55170000000001</v>
      </c>
      <c r="J4622">
        <v>-363.29160000000002</v>
      </c>
      <c r="K4622">
        <v>1.110187</v>
      </c>
      <c r="L4622">
        <v>140.5342</v>
      </c>
      <c r="M4622">
        <v>-0.99963840000000004</v>
      </c>
      <c r="N4622">
        <v>0</v>
      </c>
      <c r="O4622">
        <v>-2.2645459999999999E-2</v>
      </c>
      <c r="P4622">
        <v>-0.9989498</v>
      </c>
      <c r="Q4622">
        <v>-2.0986109999999999E-2</v>
      </c>
      <c r="R4622">
        <v>4.0731219999999999E-2</v>
      </c>
      <c r="S4622">
        <v>-3.0244450000000001</v>
      </c>
      <c r="T4622">
        <v>-0.13024959999999999</v>
      </c>
      <c r="U4622">
        <v>-0.58541869999999996</v>
      </c>
      <c r="V4622">
        <v>6.3347230000000004E-2</v>
      </c>
      <c r="W4622">
        <v>-6.4966520000000003E-3</v>
      </c>
      <c r="X4622">
        <v>0.99797040000000004</v>
      </c>
      <c r="Y4622">
        <v>-0.16762189999999999</v>
      </c>
      <c r="Z4622">
        <v>-2.609218E-3</v>
      </c>
      <c r="AA4622">
        <v>0.9858479</v>
      </c>
      <c r="AB4622">
        <v>33</v>
      </c>
      <c r="AC4622">
        <v>-25.453699999999898</v>
      </c>
      <c r="AD4622">
        <v>-1.1101884944910001</v>
      </c>
      <c r="AE4622">
        <v>-4.9824999999999804</v>
      </c>
      <c r="AF4622">
        <v>-4.39669524616302</v>
      </c>
      <c r="AG4622">
        <v>-1.1101884944910001</v>
      </c>
      <c r="AH4622">
        <v>25.513269916642599</v>
      </c>
      <c r="AI4622">
        <v>92.455457384349202</v>
      </c>
      <c r="AJ4622">
        <v>99.777730268012306</v>
      </c>
      <c r="AK4622">
        <v>25.9131316019579</v>
      </c>
      <c r="AL4622">
        <v>90.372233359540502</v>
      </c>
      <c r="AM4622">
        <v>86.367962454620198</v>
      </c>
      <c r="AN4622">
        <v>0.99999999865602096</v>
      </c>
    </row>
    <row r="4623" spans="1:40" x14ac:dyDescent="0.25">
      <c r="A4623" t="str">
        <f>"20190312161406511"</f>
        <v>20190312161406511</v>
      </c>
      <c r="B4623" t="str">
        <f>"1552378446501246"</f>
        <v>1552378446501246</v>
      </c>
      <c r="C4623" t="s">
        <v>40</v>
      </c>
      <c r="D4623">
        <v>5.6352419999999999</v>
      </c>
      <c r="E4623">
        <v>0.40930549999999999</v>
      </c>
      <c r="F4623" t="s">
        <v>42</v>
      </c>
      <c r="G4623">
        <v>-389.4144</v>
      </c>
      <c r="H4623" s="1">
        <v>-1.306374E-6</v>
      </c>
      <c r="I4623">
        <v>135.40299999999999</v>
      </c>
      <c r="J4623">
        <v>-363.60489999999999</v>
      </c>
      <c r="K4623">
        <v>1.1101840000000001</v>
      </c>
      <c r="L4623">
        <v>140.52690000000001</v>
      </c>
      <c r="M4623">
        <v>-0.99963469999999999</v>
      </c>
      <c r="N4623">
        <v>0</v>
      </c>
      <c r="O4623">
        <v>-2.281267E-2</v>
      </c>
      <c r="P4623">
        <v>-0.99895129999999999</v>
      </c>
      <c r="Q4623">
        <v>-2.126314E-2</v>
      </c>
      <c r="R4623">
        <v>4.0549969999999998E-2</v>
      </c>
      <c r="S4623">
        <v>-3.024689</v>
      </c>
      <c r="T4623">
        <v>-0.12854589999999999</v>
      </c>
      <c r="U4623">
        <v>-0.59411619999999998</v>
      </c>
      <c r="V4623">
        <v>6.3332940000000004E-2</v>
      </c>
      <c r="W4623">
        <v>-6.7772550000000003E-3</v>
      </c>
      <c r="X4623">
        <v>0.99796940000000001</v>
      </c>
      <c r="Y4623">
        <v>-0.17017399999999999</v>
      </c>
      <c r="Z4623">
        <v>-2.6208859999999998E-3</v>
      </c>
      <c r="AA4623">
        <v>0.98541060000000003</v>
      </c>
      <c r="AB4623">
        <v>33</v>
      </c>
      <c r="AC4623">
        <v>-25.8095</v>
      </c>
      <c r="AD4623">
        <v>-1.1101853063739999</v>
      </c>
      <c r="AE4623">
        <v>-5.1239000000000097</v>
      </c>
      <c r="AF4623">
        <v>-4.5256646894582202</v>
      </c>
      <c r="AG4623">
        <v>-1.1101853063739999</v>
      </c>
      <c r="AH4623">
        <v>25.873626420153801</v>
      </c>
      <c r="AI4623">
        <v>92.420239695338694</v>
      </c>
      <c r="AJ4623">
        <v>99.921475587054204</v>
      </c>
      <c r="AK4623">
        <v>26.289897231171899</v>
      </c>
      <c r="AL4623">
        <v>90.388311097166707</v>
      </c>
      <c r="AM4623">
        <v>86.3687759559174</v>
      </c>
      <c r="AN4623">
        <v>0.999999957905368</v>
      </c>
    </row>
    <row r="4624" spans="1:40" x14ac:dyDescent="0.25">
      <c r="A4624" t="str">
        <f>"20190312161406534"</f>
        <v>20190312161406534</v>
      </c>
      <c r="B4624" t="str">
        <f>"1552378446530526"</f>
        <v>1552378446530526</v>
      </c>
      <c r="C4624" t="s">
        <v>40</v>
      </c>
      <c r="D4624">
        <v>5.5707149999999999</v>
      </c>
      <c r="E4624">
        <v>0.40812340000000003</v>
      </c>
      <c r="F4624" t="s">
        <v>42</v>
      </c>
      <c r="G4624">
        <v>-389.84829999999999</v>
      </c>
      <c r="H4624" s="1">
        <v>-1.185433E-6</v>
      </c>
      <c r="I4624">
        <v>135.30250000000001</v>
      </c>
      <c r="J4624">
        <v>-363.93419999999998</v>
      </c>
      <c r="K4624">
        <v>1.110177</v>
      </c>
      <c r="L4624">
        <v>140.51920000000001</v>
      </c>
      <c r="M4624">
        <v>-0.99963069999999998</v>
      </c>
      <c r="N4624">
        <v>0</v>
      </c>
      <c r="O4624">
        <v>-2.2988100000000001E-2</v>
      </c>
      <c r="P4624">
        <v>-0.99895500000000004</v>
      </c>
      <c r="Q4624">
        <v>-2.1403510000000001E-2</v>
      </c>
      <c r="R4624">
        <v>4.0385110000000002E-2</v>
      </c>
      <c r="S4624">
        <v>-3.024902</v>
      </c>
      <c r="T4624">
        <v>-0.12796370000000001</v>
      </c>
      <c r="U4624">
        <v>-0.60217290000000001</v>
      </c>
      <c r="V4624">
        <v>6.3343289999999997E-2</v>
      </c>
      <c r="W4624">
        <v>-6.9213139999999996E-3</v>
      </c>
      <c r="X4624">
        <v>0.99796779999999996</v>
      </c>
      <c r="Y4624">
        <v>-0.17251259999999999</v>
      </c>
      <c r="Z4624">
        <v>-2.6498120000000001E-3</v>
      </c>
      <c r="AA4624">
        <v>0.98500379999999998</v>
      </c>
      <c r="AB4624">
        <v>33</v>
      </c>
      <c r="AC4624">
        <v>-25.914100000000001</v>
      </c>
      <c r="AD4624">
        <v>-1.110178185433</v>
      </c>
      <c r="AE4624">
        <v>-5.2167000000000003</v>
      </c>
      <c r="AF4624">
        <v>-4.6114088366522603</v>
      </c>
      <c r="AG4624">
        <v>-1.110178185433</v>
      </c>
      <c r="AH4624">
        <v>25.981357961597201</v>
      </c>
      <c r="AI4624">
        <v>92.409141489437602</v>
      </c>
      <c r="AJ4624">
        <v>100.064566030846</v>
      </c>
      <c r="AK4624">
        <v>26.410765770625002</v>
      </c>
      <c r="AL4624">
        <v>90.396565245792701</v>
      </c>
      <c r="AM4624">
        <v>86.368178314768798</v>
      </c>
      <c r="AN4624">
        <v>1.00000000340617</v>
      </c>
    </row>
    <row r="4625" spans="1:40" x14ac:dyDescent="0.25">
      <c r="A4625" t="str">
        <f>"20190312161406557"</f>
        <v>20190312161406557</v>
      </c>
      <c r="B4625" t="str">
        <f>"1552378446551023"</f>
        <v>1552378446551023</v>
      </c>
      <c r="C4625" t="s">
        <v>40</v>
      </c>
      <c r="D4625">
        <v>5.5203749999999996</v>
      </c>
      <c r="E4625">
        <v>0.40735640000000001</v>
      </c>
      <c r="F4625" t="s">
        <v>42</v>
      </c>
      <c r="G4625">
        <v>-390.46100000000001</v>
      </c>
      <c r="H4625" s="1">
        <v>-4.8663859999999997E-6</v>
      </c>
      <c r="I4625">
        <v>135.15190000000001</v>
      </c>
      <c r="J4625">
        <v>-364.27050000000003</v>
      </c>
      <c r="K4625">
        <v>1.110182</v>
      </c>
      <c r="L4625">
        <v>140.51130000000001</v>
      </c>
      <c r="M4625">
        <v>-0.99962660000000003</v>
      </c>
      <c r="N4625">
        <v>0</v>
      </c>
      <c r="O4625">
        <v>-2.3167110000000001E-2</v>
      </c>
      <c r="P4625">
        <v>-0.99894859999999996</v>
      </c>
      <c r="Q4625">
        <v>-2.1704970000000001E-2</v>
      </c>
      <c r="R4625">
        <v>4.0380819999999998E-2</v>
      </c>
      <c r="S4625">
        <v>-3.0251769999999998</v>
      </c>
      <c r="T4625">
        <v>-0.1266079</v>
      </c>
      <c r="U4625">
        <v>-0.6120911</v>
      </c>
      <c r="V4625">
        <v>6.3517569999999995E-2</v>
      </c>
      <c r="W4625">
        <v>-7.2265999999999997E-3</v>
      </c>
      <c r="X4625">
        <v>0.99795449999999997</v>
      </c>
      <c r="Y4625">
        <v>-0.1754232</v>
      </c>
      <c r="Z4625">
        <v>-2.673567E-3</v>
      </c>
      <c r="AA4625">
        <v>0.98448950000000002</v>
      </c>
      <c r="AB4625">
        <v>33</v>
      </c>
      <c r="AC4625">
        <v>-26.190499999999901</v>
      </c>
      <c r="AD4625">
        <v>-1.1101868663859999</v>
      </c>
      <c r="AE4625">
        <v>-5.3593999999999902</v>
      </c>
      <c r="AF4625">
        <v>-4.74295964516139</v>
      </c>
      <c r="AG4625">
        <v>-1.1101868663859999</v>
      </c>
      <c r="AH4625">
        <v>26.262351852531399</v>
      </c>
      <c r="AI4625">
        <v>92.382129274447493</v>
      </c>
      <c r="AJ4625">
        <v>100.23722425027501</v>
      </c>
      <c r="AK4625">
        <v>26.710284646556701</v>
      </c>
      <c r="AL4625">
        <v>90.414057307093401</v>
      </c>
      <c r="AM4625">
        <v>86.358164327221203</v>
      </c>
      <c r="AN4625">
        <v>0.99999994475825504</v>
      </c>
    </row>
    <row r="4626" spans="1:40" x14ac:dyDescent="0.25">
      <c r="A4626" t="str">
        <f>"20190312161406579"</f>
        <v>20190312161406579</v>
      </c>
      <c r="B4626" t="str">
        <f>"1552378446570546"</f>
        <v>1552378446570546</v>
      </c>
      <c r="C4626" t="s">
        <v>40</v>
      </c>
      <c r="D4626">
        <v>5.574891</v>
      </c>
      <c r="E4626">
        <v>0.40666679999999999</v>
      </c>
      <c r="F4626" t="s">
        <v>42</v>
      </c>
      <c r="G4626">
        <v>-390.7971</v>
      </c>
      <c r="H4626" s="1">
        <v>-4.7329500000000001E-6</v>
      </c>
      <c r="I4626">
        <v>135.09129999999999</v>
      </c>
      <c r="J4626">
        <v>-364.59359999999998</v>
      </c>
      <c r="K4626">
        <v>1.1101799999999999</v>
      </c>
      <c r="L4626">
        <v>140.50360000000001</v>
      </c>
      <c r="M4626">
        <v>-0.99962269999999998</v>
      </c>
      <c r="N4626">
        <v>0</v>
      </c>
      <c r="O4626">
        <v>-2.3339209999999999E-2</v>
      </c>
      <c r="P4626">
        <v>-0.99893679999999996</v>
      </c>
      <c r="Q4626">
        <v>-2.1923620000000001E-2</v>
      </c>
      <c r="R4626">
        <v>4.0552900000000003E-2</v>
      </c>
      <c r="S4626">
        <v>-3.0254210000000001</v>
      </c>
      <c r="T4626">
        <v>-0.1266196</v>
      </c>
      <c r="U4626">
        <v>-0.61814880000000005</v>
      </c>
      <c r="V4626">
        <v>6.3861269999999998E-2</v>
      </c>
      <c r="W4626">
        <v>-7.4489719999999999E-3</v>
      </c>
      <c r="X4626">
        <v>0.99793100000000001</v>
      </c>
      <c r="Y4626">
        <v>-0.177129799999999</v>
      </c>
      <c r="Z4626">
        <v>-2.7012949999999998E-3</v>
      </c>
      <c r="AA4626">
        <v>0.98418380000000005</v>
      </c>
      <c r="AB4626">
        <v>33</v>
      </c>
      <c r="AC4626">
        <v>-26.203499999999998</v>
      </c>
      <c r="AD4626">
        <v>-1.1101847329500001</v>
      </c>
      <c r="AE4626">
        <v>-5.4123000000000099</v>
      </c>
      <c r="AF4626">
        <v>-4.7909442526664501</v>
      </c>
      <c r="AG4626">
        <v>-1.1101847329500001</v>
      </c>
      <c r="AH4626">
        <v>26.277453975861999</v>
      </c>
      <c r="AI4626">
        <v>92.380037836662098</v>
      </c>
      <c r="AJ4626">
        <v>100.332757977361</v>
      </c>
      <c r="AK4626">
        <v>26.7336911859731</v>
      </c>
      <c r="AL4626">
        <v>90.426798597999607</v>
      </c>
      <c r="AM4626">
        <v>86.338425461415696</v>
      </c>
      <c r="AN4626">
        <v>1.00000001487543</v>
      </c>
    </row>
    <row r="4627" spans="1:40" x14ac:dyDescent="0.25">
      <c r="A4627" t="str">
        <f>"20190312161406601"</f>
        <v>20190312161406601</v>
      </c>
      <c r="B4627" t="str">
        <f>"1552378446591038"</f>
        <v>1552378446591038</v>
      </c>
      <c r="C4627" t="s">
        <v>40</v>
      </c>
      <c r="D4627">
        <v>5.5224019999999996</v>
      </c>
      <c r="E4627">
        <v>0.40600380000000003</v>
      </c>
      <c r="F4627" t="s">
        <v>42</v>
      </c>
      <c r="G4627">
        <v>-391.12240000000003</v>
      </c>
      <c r="H4627" s="1">
        <v>-4.6025899999999999E-6</v>
      </c>
      <c r="I4627">
        <v>135.0395</v>
      </c>
      <c r="J4627">
        <v>-364.91379999999998</v>
      </c>
      <c r="K4627">
        <v>1.1101760000000001</v>
      </c>
      <c r="L4627">
        <v>140.49590000000001</v>
      </c>
      <c r="M4627">
        <v>-0.99961880000000003</v>
      </c>
      <c r="N4627">
        <v>0</v>
      </c>
      <c r="O4627">
        <v>-2.3510119999999999E-2</v>
      </c>
      <c r="P4627">
        <v>-0.99892970000000003</v>
      </c>
      <c r="Q4627">
        <v>-2.2314239999999999E-2</v>
      </c>
      <c r="R4627">
        <v>4.0518449999999998E-2</v>
      </c>
      <c r="S4627">
        <v>-3.025757</v>
      </c>
      <c r="T4627">
        <v>-0.12662269999999901</v>
      </c>
      <c r="U4627">
        <v>-0.62319950000000002</v>
      </c>
      <c r="V4627">
        <v>6.3997369999999998E-2</v>
      </c>
      <c r="W4627">
        <v>-7.8431649999999992E-3</v>
      </c>
      <c r="X4627">
        <v>0.99791929999999995</v>
      </c>
      <c r="Y4627">
        <v>-0.17851539999999999</v>
      </c>
      <c r="Z4627">
        <v>-2.7222399999999999E-3</v>
      </c>
      <c r="AA4627">
        <v>0.98393330000000001</v>
      </c>
      <c r="AB4627">
        <v>33</v>
      </c>
      <c r="AC4627">
        <v>-26.208600000000001</v>
      </c>
      <c r="AD4627">
        <v>-1.1101806025900001</v>
      </c>
      <c r="AE4627">
        <v>-5.4564000000000004</v>
      </c>
      <c r="AF4627">
        <v>-4.8303525036292001</v>
      </c>
      <c r="AG4627">
        <v>-1.1101806025900001</v>
      </c>
      <c r="AH4627">
        <v>26.284445057916098</v>
      </c>
      <c r="AI4627">
        <v>92.378786065810701</v>
      </c>
      <c r="AJ4627">
        <v>100.41318811193599</v>
      </c>
      <c r="AK4627">
        <v>26.7476514535817</v>
      </c>
      <c r="AL4627">
        <v>90.449384835692499</v>
      </c>
      <c r="AM4627">
        <v>86.330600372450604</v>
      </c>
      <c r="AN4627">
        <v>1.00000005395831</v>
      </c>
    </row>
    <row r="4628" spans="1:40" x14ac:dyDescent="0.25">
      <c r="A4628" t="str">
        <f>"20190312161406624"</f>
        <v>20190312161406624</v>
      </c>
      <c r="B4628" t="str">
        <f>"1552378446621294"</f>
        <v>1552378446621294</v>
      </c>
      <c r="C4628" t="s">
        <v>40</v>
      </c>
      <c r="D4628">
        <v>5.5164249999999999</v>
      </c>
      <c r="E4628">
        <v>0.40513539999999998</v>
      </c>
      <c r="F4628" t="s">
        <v>42</v>
      </c>
      <c r="G4628">
        <v>-391.31810000000002</v>
      </c>
      <c r="H4628" s="1">
        <v>-4.5237859999999998E-6</v>
      </c>
      <c r="I4628">
        <v>135.0103</v>
      </c>
      <c r="J4628">
        <v>-365.2373</v>
      </c>
      <c r="K4628">
        <v>1.1101749999999999</v>
      </c>
      <c r="L4628">
        <v>140.4881</v>
      </c>
      <c r="M4628">
        <v>-0.99961469999999997</v>
      </c>
      <c r="N4628">
        <v>0</v>
      </c>
      <c r="O4628">
        <v>-2.3682689999999999E-2</v>
      </c>
      <c r="P4628">
        <v>-0.99892409999999998</v>
      </c>
      <c r="Q4628">
        <v>-2.213737E-2</v>
      </c>
      <c r="R4628">
        <v>4.0751740000000002E-2</v>
      </c>
      <c r="S4628">
        <v>-3.0258790000000002</v>
      </c>
      <c r="T4628">
        <v>-0.12722429999999901</v>
      </c>
      <c r="U4628">
        <v>-0.62863159999999996</v>
      </c>
      <c r="V4628">
        <v>6.4402730000000005E-2</v>
      </c>
      <c r="W4628">
        <v>-7.6699539999999997E-3</v>
      </c>
      <c r="X4628">
        <v>0.99789450000000002</v>
      </c>
      <c r="Y4628">
        <v>-0.1800291</v>
      </c>
      <c r="Z4628">
        <v>-2.7588740000000001E-3</v>
      </c>
      <c r="AA4628">
        <v>0.98365740000000002</v>
      </c>
      <c r="AB4628">
        <v>33</v>
      </c>
      <c r="AC4628">
        <v>-26.0808</v>
      </c>
      <c r="AD4628">
        <v>-1.1101795237859999</v>
      </c>
      <c r="AE4628">
        <v>-5.4778000000000002</v>
      </c>
      <c r="AF4628">
        <v>-4.8501182153842102</v>
      </c>
      <c r="AG4628">
        <v>-1.1101795237859999</v>
      </c>
      <c r="AH4628">
        <v>26.157832085375201</v>
      </c>
      <c r="AI4628">
        <v>92.389583510780696</v>
      </c>
      <c r="AJ4628">
        <v>100.50434237987101</v>
      </c>
      <c r="AK4628">
        <v>26.626834672655299</v>
      </c>
      <c r="AL4628">
        <v>90.439460308049803</v>
      </c>
      <c r="AM4628">
        <v>86.307330944408406</v>
      </c>
      <c r="AN4628">
        <v>0.99999998647803201</v>
      </c>
    </row>
    <row r="4629" spans="1:40" x14ac:dyDescent="0.25">
      <c r="A4629" t="str">
        <f>"20190312161406647"</f>
        <v>20190312161406647</v>
      </c>
      <c r="B4629" t="str">
        <f>"1552378446640814"</f>
        <v>1552378446640814</v>
      </c>
      <c r="C4629" t="s">
        <v>40</v>
      </c>
      <c r="D4629">
        <v>5.5368279999999999</v>
      </c>
      <c r="E4629">
        <v>0.40465820000000002</v>
      </c>
      <c r="F4629" t="s">
        <v>42</v>
      </c>
      <c r="G4629">
        <v>-391.75009999999997</v>
      </c>
      <c r="H4629" s="1">
        <v>-4.3532579999999996E-6</v>
      </c>
      <c r="I4629">
        <v>134.92689999999999</v>
      </c>
      <c r="J4629">
        <v>-365.57510000000002</v>
      </c>
      <c r="K4629">
        <v>1.1101749999999999</v>
      </c>
      <c r="L4629">
        <v>140.47999999999999</v>
      </c>
      <c r="M4629">
        <v>-0.99961060000000002</v>
      </c>
      <c r="N4629">
        <v>0</v>
      </c>
      <c r="O4629">
        <v>-2.3862890000000001E-2</v>
      </c>
      <c r="P4629">
        <v>-0.99894079999999996</v>
      </c>
      <c r="Q4629">
        <v>-2.2060199999999999E-2</v>
      </c>
      <c r="R4629">
        <v>4.0384530000000002E-2</v>
      </c>
      <c r="S4629">
        <v>-3.0262760000000002</v>
      </c>
      <c r="T4629">
        <v>-0.12672030000000001</v>
      </c>
      <c r="U4629">
        <v>-0.63476560000000004</v>
      </c>
      <c r="V4629">
        <v>6.4215709999999995E-2</v>
      </c>
      <c r="W4629">
        <v>-7.5962379999999999E-3</v>
      </c>
      <c r="X4629">
        <v>0.99790710000000005</v>
      </c>
      <c r="Y4629">
        <v>-0.18173629999999999</v>
      </c>
      <c r="Z4629">
        <v>-2.7749369999999999E-3</v>
      </c>
      <c r="AA4629">
        <v>0.98334339999999998</v>
      </c>
      <c r="AB4629">
        <v>33</v>
      </c>
      <c r="AC4629">
        <v>-26.174999999999901</v>
      </c>
      <c r="AD4629">
        <v>-1.110179353258</v>
      </c>
      <c r="AE4629">
        <v>-5.5530999999999997</v>
      </c>
      <c r="AF4629">
        <v>-4.9183751699106297</v>
      </c>
      <c r="AG4629">
        <v>-1.110179353258</v>
      </c>
      <c r="AH4629">
        <v>26.254875439771101</v>
      </c>
      <c r="AI4629">
        <v>92.379941079810706</v>
      </c>
      <c r="AJ4629">
        <v>100.610349558816</v>
      </c>
      <c r="AK4629">
        <v>26.734647872494701</v>
      </c>
      <c r="AL4629">
        <v>90.435236576330098</v>
      </c>
      <c r="AM4629">
        <v>86.318070960057398</v>
      </c>
      <c r="AN4629">
        <v>0.99999997023648302</v>
      </c>
    </row>
    <row r="4630" spans="1:40" x14ac:dyDescent="0.25">
      <c r="A4630" t="str">
        <f>"20190312161406670"</f>
        <v>20190312161406670</v>
      </c>
      <c r="B4630" t="str">
        <f>"1552378446661310"</f>
        <v>1552378446661310</v>
      </c>
      <c r="C4630" t="s">
        <v>40</v>
      </c>
      <c r="D4630">
        <v>5.4777760000000004</v>
      </c>
      <c r="E4630">
        <v>0.4041708</v>
      </c>
      <c r="F4630" t="s">
        <v>42</v>
      </c>
      <c r="G4630">
        <v>-391.93889999999999</v>
      </c>
      <c r="H4630" s="1">
        <v>-4.2757609999999998E-6</v>
      </c>
      <c r="I4630">
        <v>134.90719999999999</v>
      </c>
      <c r="J4630">
        <v>-365.90230000000003</v>
      </c>
      <c r="K4630">
        <v>1.1101760000000001</v>
      </c>
      <c r="L4630">
        <v>140.47190000000001</v>
      </c>
      <c r="M4630">
        <v>-0.99960629999999995</v>
      </c>
      <c r="N4630">
        <v>0</v>
      </c>
      <c r="O4630">
        <v>-2.4037610000000001E-2</v>
      </c>
      <c r="P4630">
        <v>-0.99895389999999995</v>
      </c>
      <c r="Q4630">
        <v>-2.2351659999999999E-2</v>
      </c>
      <c r="R4630">
        <v>3.9897740000000001E-2</v>
      </c>
      <c r="S4630">
        <v>-3.0262150000000001</v>
      </c>
      <c r="T4630">
        <v>-0.12743380000000001</v>
      </c>
      <c r="U4630">
        <v>-0.63966369999999995</v>
      </c>
      <c r="V4630">
        <v>6.3903940000000006E-2</v>
      </c>
      <c r="W4630">
        <v>-7.8910819999999902E-3</v>
      </c>
      <c r="X4630">
        <v>0.9979249</v>
      </c>
      <c r="Y4630">
        <v>-0.1830898</v>
      </c>
      <c r="Z4630">
        <v>-2.8110570000000001E-3</v>
      </c>
      <c r="AA4630">
        <v>0.98309219999999997</v>
      </c>
      <c r="AB4630">
        <v>33</v>
      </c>
      <c r="AC4630">
        <v>-26.0365999999999</v>
      </c>
      <c r="AD4630">
        <v>-1.110180275761</v>
      </c>
      <c r="AE4630">
        <v>-5.56470000000001</v>
      </c>
      <c r="AF4630">
        <v>-4.9285993173839397</v>
      </c>
      <c r="AG4630">
        <v>-1.110180275761</v>
      </c>
      <c r="AH4630">
        <v>26.117441448888201</v>
      </c>
      <c r="AI4630">
        <v>92.391854567765407</v>
      </c>
      <c r="AJ4630">
        <v>100.686565085781</v>
      </c>
      <c r="AK4630">
        <v>26.601585278176699</v>
      </c>
      <c r="AL4630">
        <v>90.452130366705504</v>
      </c>
      <c r="AM4630">
        <v>86.335963244206297</v>
      </c>
      <c r="AN4630">
        <v>1.0000000443813299</v>
      </c>
    </row>
    <row r="4631" spans="1:40" x14ac:dyDescent="0.25">
      <c r="A4631" t="str">
        <f>"20190312161406692"</f>
        <v>20190312161406692</v>
      </c>
      <c r="B4631" t="str">
        <f>"1552378446680831"</f>
        <v>1552378446680831</v>
      </c>
      <c r="C4631" t="s">
        <v>40</v>
      </c>
      <c r="D4631">
        <v>5.470688</v>
      </c>
      <c r="E4631">
        <v>0.40366659999999999</v>
      </c>
      <c r="F4631" t="s">
        <v>42</v>
      </c>
      <c r="G4631">
        <v>-391.9864</v>
      </c>
      <c r="H4631" s="1">
        <v>-4.2546680000000001E-6</v>
      </c>
      <c r="I4631">
        <v>134.91130000000001</v>
      </c>
      <c r="J4631">
        <v>-366.22809999999998</v>
      </c>
      <c r="K4631">
        <v>1.1101829999999999</v>
      </c>
      <c r="L4631">
        <v>140.4639</v>
      </c>
      <c r="M4631">
        <v>-0.99960230000000005</v>
      </c>
      <c r="N4631">
        <v>0</v>
      </c>
      <c r="O4631">
        <v>-2.4211259999999998E-2</v>
      </c>
      <c r="P4631">
        <v>-0.99897829999999999</v>
      </c>
      <c r="Q4631">
        <v>-2.213907E-2</v>
      </c>
      <c r="R4631">
        <v>3.9397010000000003E-2</v>
      </c>
      <c r="S4631">
        <v>-3.0260310000000001</v>
      </c>
      <c r="T4631">
        <v>-0.12879299999999999</v>
      </c>
      <c r="U4631">
        <v>-0.6450806</v>
      </c>
      <c r="V4631">
        <v>6.3576930000000004E-2</v>
      </c>
      <c r="W4631">
        <v>-7.6817129999999997E-3</v>
      </c>
      <c r="X4631">
        <v>0.99794740000000004</v>
      </c>
      <c r="Y4631">
        <v>-0.18461079999999999</v>
      </c>
      <c r="Z4631">
        <v>-2.865364E-3</v>
      </c>
      <c r="AA4631">
        <v>0.98280749999999995</v>
      </c>
      <c r="AB4631">
        <v>33</v>
      </c>
      <c r="AC4631">
        <v>-25.758299999999998</v>
      </c>
      <c r="AD4631">
        <v>-1.1101872546679901</v>
      </c>
      <c r="AE4631">
        <v>-5.5525999999999804</v>
      </c>
      <c r="AF4631">
        <v>-4.9185348241985603</v>
      </c>
      <c r="AG4631">
        <v>-1.1101872546679901</v>
      </c>
      <c r="AH4631">
        <v>25.839328890380202</v>
      </c>
      <c r="AI4631">
        <v>92.416858117131994</v>
      </c>
      <c r="AJ4631">
        <v>100.777360396408</v>
      </c>
      <c r="AK4631">
        <v>26.3267054160318</v>
      </c>
      <c r="AL4631">
        <v>90.440134052483799</v>
      </c>
      <c r="AM4631">
        <v>86.354744177378706</v>
      </c>
      <c r="AN4631">
        <v>1.0000000239547899</v>
      </c>
    </row>
    <row r="4632" spans="1:40" x14ac:dyDescent="0.25">
      <c r="A4632" t="str">
        <f>"20190312161406713"</f>
        <v>20190312161406713</v>
      </c>
      <c r="B4632" t="str">
        <f>"1552378446701326"</f>
        <v>1552378446701326</v>
      </c>
      <c r="C4632" t="s">
        <v>40</v>
      </c>
      <c r="D4632">
        <v>5.4245369999999999</v>
      </c>
      <c r="E4632">
        <v>0.40316849999999999</v>
      </c>
      <c r="F4632" t="s">
        <v>42</v>
      </c>
      <c r="G4632">
        <v>-392.42430000000002</v>
      </c>
      <c r="H4632" s="1">
        <v>-4.0808190000000003E-6</v>
      </c>
      <c r="I4632">
        <v>134.83250000000001</v>
      </c>
      <c r="J4632">
        <v>-366.53210000000001</v>
      </c>
      <c r="K4632">
        <v>1.1101829999999999</v>
      </c>
      <c r="L4632">
        <v>140.4564</v>
      </c>
      <c r="M4632">
        <v>-0.99959830000000005</v>
      </c>
      <c r="N4632">
        <v>0</v>
      </c>
      <c r="O4632">
        <v>-2.437311E-2</v>
      </c>
      <c r="P4632">
        <v>-0.99901039999999997</v>
      </c>
      <c r="Q4632">
        <v>-2.1644879999999998E-2</v>
      </c>
      <c r="R4632">
        <v>3.8857179999999998E-2</v>
      </c>
      <c r="S4632">
        <v>-3.0258479999999999</v>
      </c>
      <c r="T4632">
        <v>-0.12823509999999999</v>
      </c>
      <c r="U4632">
        <v>-0.65046689999999996</v>
      </c>
      <c r="V4632">
        <v>6.3199560000000002E-2</v>
      </c>
      <c r="W4632">
        <v>-7.1904619999999999E-3</v>
      </c>
      <c r="X4632">
        <v>0.99797499999999995</v>
      </c>
      <c r="Y4632">
        <v>-0.18613650000000001</v>
      </c>
      <c r="Z4632">
        <v>-2.877793E-3</v>
      </c>
      <c r="AA4632">
        <v>0.9825197</v>
      </c>
      <c r="AB4632">
        <v>32</v>
      </c>
      <c r="AC4632">
        <v>-25.892199999999999</v>
      </c>
      <c r="AD4632">
        <v>-1.110187080819</v>
      </c>
      <c r="AE4632">
        <v>-5.6238999999999901</v>
      </c>
      <c r="AF4632">
        <v>-4.98234234085899</v>
      </c>
      <c r="AG4632">
        <v>-1.110187080819</v>
      </c>
      <c r="AH4632">
        <v>25.9759885762879</v>
      </c>
      <c r="AI4632">
        <v>92.403513608804602</v>
      </c>
      <c r="AJ4632">
        <v>100.857787479668</v>
      </c>
      <c r="AK4632">
        <v>26.4727828735736</v>
      </c>
      <c r="AL4632">
        <v>90.411986678064295</v>
      </c>
      <c r="AM4632">
        <v>86.376423243403906</v>
      </c>
      <c r="AN4632">
        <v>0.99999999387648297</v>
      </c>
    </row>
    <row r="4633" spans="1:40" x14ac:dyDescent="0.25">
      <c r="A4633" t="str">
        <f>"20190312161406735"</f>
        <v>20190312161406735</v>
      </c>
      <c r="B4633" t="str">
        <f>"1552378446730606"</f>
        <v>1552378446730606</v>
      </c>
      <c r="C4633" t="s">
        <v>40</v>
      </c>
      <c r="D4633">
        <v>5.4201839999999999</v>
      </c>
      <c r="E4633">
        <v>0.40251930000000002</v>
      </c>
      <c r="F4633" t="s">
        <v>42</v>
      </c>
      <c r="G4633">
        <v>-392.93259999999998</v>
      </c>
      <c r="H4633" s="1">
        <v>-3.8805829999999999E-6</v>
      </c>
      <c r="I4633">
        <v>134.7319</v>
      </c>
      <c r="J4633">
        <v>-366.86290000000002</v>
      </c>
      <c r="K4633">
        <v>1.11019</v>
      </c>
      <c r="L4633">
        <v>140.44810000000001</v>
      </c>
      <c r="M4633">
        <v>-0.99959410000000004</v>
      </c>
      <c r="N4633">
        <v>0</v>
      </c>
      <c r="O4633">
        <v>-2.4549620000000001E-2</v>
      </c>
      <c r="P4633">
        <v>-0.99901099999999998</v>
      </c>
      <c r="Q4633">
        <v>-2.185925E-2</v>
      </c>
      <c r="R4633">
        <v>3.8720699999999997E-2</v>
      </c>
      <c r="S4633">
        <v>-3.0257260000000001</v>
      </c>
      <c r="T4633">
        <v>-0.12723709999999999</v>
      </c>
      <c r="U4633">
        <v>-0.65606690000000001</v>
      </c>
      <c r="V4633">
        <v>6.3239390000000006E-2</v>
      </c>
      <c r="W4633">
        <v>-7.4084169999999996E-3</v>
      </c>
      <c r="X4633">
        <v>0.99797089999999999</v>
      </c>
      <c r="Y4633">
        <v>-0.1877093</v>
      </c>
      <c r="Z4633">
        <v>-2.8803359999999998E-3</v>
      </c>
      <c r="AA4633">
        <v>0.98222039999999999</v>
      </c>
      <c r="AB4633">
        <v>32</v>
      </c>
      <c r="AC4633">
        <v>-26.069699999999902</v>
      </c>
      <c r="AD4633">
        <v>-1.1101938805830001</v>
      </c>
      <c r="AE4633">
        <v>-5.7162000000000104</v>
      </c>
      <c r="AF4633">
        <v>-5.06564344629715</v>
      </c>
      <c r="AG4633">
        <v>-1.1101938805830001</v>
      </c>
      <c r="AH4633">
        <v>26.156926032530802</v>
      </c>
      <c r="AI4633">
        <v>92.386098492212994</v>
      </c>
      <c r="AJ4633">
        <v>100.960423219923</v>
      </c>
      <c r="AK4633">
        <v>26.666046828294299</v>
      </c>
      <c r="AL4633">
        <v>90.424474905151499</v>
      </c>
      <c r="AM4633">
        <v>86.3741308051994</v>
      </c>
      <c r="AN4633">
        <v>1.00000001116841</v>
      </c>
    </row>
    <row r="4634" spans="1:40" x14ac:dyDescent="0.25">
      <c r="A4634" t="str">
        <f>"20190312161406758"</f>
        <v>20190312161406758</v>
      </c>
      <c r="B4634" t="str">
        <f>"1552378446751102"</f>
        <v>1552378446751102</v>
      </c>
      <c r="C4634" t="s">
        <v>40</v>
      </c>
      <c r="D4634">
        <v>5.4095779999999998</v>
      </c>
      <c r="E4634">
        <v>0.4020669</v>
      </c>
      <c r="F4634" t="s">
        <v>42</v>
      </c>
      <c r="G4634">
        <v>-392.93029999999999</v>
      </c>
      <c r="H4634" s="1">
        <v>-3.8788659999999997E-6</v>
      </c>
      <c r="I4634">
        <v>134.74719999999999</v>
      </c>
      <c r="J4634">
        <v>-367.19709999999998</v>
      </c>
      <c r="K4634">
        <v>1.110187</v>
      </c>
      <c r="L4634">
        <v>140.43969999999999</v>
      </c>
      <c r="M4634">
        <v>-0.99958970000000003</v>
      </c>
      <c r="N4634">
        <v>0</v>
      </c>
      <c r="O4634">
        <v>-2.4727909999999999E-2</v>
      </c>
      <c r="P4634">
        <v>-0.99901719999999905</v>
      </c>
      <c r="Q4634">
        <v>-2.1595960000000001E-2</v>
      </c>
      <c r="R4634">
        <v>3.8706560000000001E-2</v>
      </c>
      <c r="S4634">
        <v>-3.0257260000000001</v>
      </c>
      <c r="T4634">
        <v>-0.12886420000000001</v>
      </c>
      <c r="U4634">
        <v>-0.66171259999999998</v>
      </c>
      <c r="V4634">
        <v>6.3403269999999998E-2</v>
      </c>
      <c r="W4634">
        <v>-7.1487749999999996E-3</v>
      </c>
      <c r="X4634">
        <v>0.99796240000000003</v>
      </c>
      <c r="Y4634">
        <v>-0.189279</v>
      </c>
      <c r="Z4634">
        <v>-2.9421030000000002E-3</v>
      </c>
      <c r="AA4634">
        <v>0.98191890000000004</v>
      </c>
      <c r="AB4634">
        <v>32</v>
      </c>
      <c r="AC4634">
        <v>-25.7332</v>
      </c>
      <c r="AD4634">
        <v>-1.110190878866</v>
      </c>
      <c r="AE4634">
        <v>-5.6924999999999901</v>
      </c>
      <c r="AF4634">
        <v>-5.0454114904060896</v>
      </c>
      <c r="AG4634">
        <v>-1.110190878866</v>
      </c>
      <c r="AH4634">
        <v>25.820291621228701</v>
      </c>
      <c r="AI4634">
        <v>92.416376387274894</v>
      </c>
      <c r="AJ4634">
        <v>101.05655650864099</v>
      </c>
      <c r="AK4634">
        <v>26.3320367670321</v>
      </c>
      <c r="AL4634">
        <v>90.409598118550093</v>
      </c>
      <c r="AM4634">
        <v>86.364728928839497</v>
      </c>
      <c r="AN4634">
        <v>1.00000001572222</v>
      </c>
    </row>
    <row r="4635" spans="1:40" x14ac:dyDescent="0.25">
      <c r="A4635" t="str">
        <f>"20190312161406781"</f>
        <v>20190312161406781</v>
      </c>
      <c r="B4635" t="str">
        <f>"1552378446770622"</f>
        <v>1552378446770622</v>
      </c>
      <c r="C4635" t="s">
        <v>40</v>
      </c>
      <c r="D4635">
        <v>5.6364900000000002</v>
      </c>
      <c r="E4635">
        <v>0.40221980000000002</v>
      </c>
      <c r="F4635" t="s">
        <v>42</v>
      </c>
      <c r="G4635">
        <v>-393.37720000000002</v>
      </c>
      <c r="H4635" s="1">
        <v>-3.6985919999999998E-6</v>
      </c>
      <c r="I4635">
        <v>134.68260000000001</v>
      </c>
      <c r="J4635">
        <v>-367.51350000000002</v>
      </c>
      <c r="K4635">
        <v>1.1101859999999999</v>
      </c>
      <c r="L4635">
        <v>140.43170000000001</v>
      </c>
      <c r="M4635">
        <v>-0.99958559999999996</v>
      </c>
      <c r="N4635">
        <v>0</v>
      </c>
      <c r="O4635">
        <v>-2.4897030000000001E-2</v>
      </c>
      <c r="P4635">
        <v>-0.99903260000000005</v>
      </c>
      <c r="Q4635">
        <v>-2.128205E-2</v>
      </c>
      <c r="R4635">
        <v>3.8483570000000002E-2</v>
      </c>
      <c r="S4635">
        <v>-3.02597</v>
      </c>
      <c r="T4635">
        <v>-0.12831909999999999</v>
      </c>
      <c r="U4635">
        <v>-0.66542049999999997</v>
      </c>
      <c r="V4635">
        <v>6.3349520000000006E-2</v>
      </c>
      <c r="W4635">
        <v>-6.8383589999999996E-3</v>
      </c>
      <c r="X4635">
        <v>0.99796799999999997</v>
      </c>
      <c r="Y4635">
        <v>-0.19024489999999999</v>
      </c>
      <c r="Z4635">
        <v>-2.9422179999999999E-3</v>
      </c>
      <c r="AA4635">
        <v>0.98173220000000005</v>
      </c>
      <c r="AB4635">
        <v>32</v>
      </c>
      <c r="AC4635">
        <v>-25.863699999999898</v>
      </c>
      <c r="AD4635">
        <v>-1.1101896985919999</v>
      </c>
      <c r="AE4635">
        <v>-5.7490999999999897</v>
      </c>
      <c r="AF4635">
        <v>-5.09437643122609</v>
      </c>
      <c r="AG4635">
        <v>-1.1101896985919999</v>
      </c>
      <c r="AH4635">
        <v>25.953263606929902</v>
      </c>
      <c r="AI4635">
        <v>92.403607046818706</v>
      </c>
      <c r="AJ4635">
        <v>101.105417671255</v>
      </c>
      <c r="AK4635">
        <v>26.471816791461201</v>
      </c>
      <c r="AL4635">
        <v>90.391812152712404</v>
      </c>
      <c r="AM4635">
        <v>86.367822796505095</v>
      </c>
      <c r="AN4635">
        <v>1.0000000269310201</v>
      </c>
    </row>
    <row r="4636" spans="1:40" x14ac:dyDescent="0.25">
      <c r="A4636" t="str">
        <f>"20190312161406802"</f>
        <v>20190312161406802</v>
      </c>
      <c r="B4636" t="str">
        <f>"1552378446791118"</f>
        <v>1552378446791118</v>
      </c>
      <c r="C4636" t="s">
        <v>40</v>
      </c>
      <c r="D4636">
        <v>5.2254019999999999</v>
      </c>
      <c r="E4636">
        <v>0.45943830000000002</v>
      </c>
      <c r="F4636" t="s">
        <v>42</v>
      </c>
      <c r="G4636">
        <v>-393.88619999999997</v>
      </c>
      <c r="H4636" s="1">
        <v>-3.4883160000000001E-6</v>
      </c>
      <c r="I4636">
        <v>134.637</v>
      </c>
      <c r="J4636">
        <v>-367.82600000000002</v>
      </c>
      <c r="K4636">
        <v>1.110185</v>
      </c>
      <c r="L4636">
        <v>140.4238</v>
      </c>
      <c r="M4636">
        <v>-0.99958150000000001</v>
      </c>
      <c r="N4636">
        <v>0</v>
      </c>
      <c r="O4636">
        <v>-2.5064119999999999E-2</v>
      </c>
      <c r="P4636">
        <v>-0.99903989999999998</v>
      </c>
      <c r="Q4636">
        <v>-2.133502E-2</v>
      </c>
      <c r="R4636">
        <v>3.8265170000000001E-2</v>
      </c>
      <c r="S4636">
        <v>-3.025757</v>
      </c>
      <c r="T4636">
        <v>-0.1273725</v>
      </c>
      <c r="U4636">
        <v>-0.66482540000000001</v>
      </c>
      <c r="V4636">
        <v>6.3298199999999999E-2</v>
      </c>
      <c r="W4636">
        <v>-6.8947710000000001E-3</v>
      </c>
      <c r="X4636">
        <v>0.99797080000000005</v>
      </c>
      <c r="Y4636">
        <v>-0.18991359999999999</v>
      </c>
      <c r="Z4636">
        <v>-2.9069669999999999E-3</v>
      </c>
      <c r="AA4636">
        <v>0.98179649999999996</v>
      </c>
      <c r="AB4636">
        <v>32</v>
      </c>
      <c r="AC4636">
        <v>-26.060199999999998</v>
      </c>
      <c r="AD4636">
        <v>-1.110188488316</v>
      </c>
      <c r="AE4636">
        <v>-5.7868000000000004</v>
      </c>
      <c r="AF4636">
        <v>-5.1228772440802501</v>
      </c>
      <c r="AG4636">
        <v>-1.110188488316</v>
      </c>
      <c r="AH4636">
        <v>26.151836464738601</v>
      </c>
      <c r="AI4636">
        <v>92.385555095232903</v>
      </c>
      <c r="AJ4636">
        <v>101.08331337347001</v>
      </c>
      <c r="AK4636">
        <v>26.6719879314597</v>
      </c>
      <c r="AL4636">
        <v>90.395044425246994</v>
      </c>
      <c r="AM4636">
        <v>86.370767542915303</v>
      </c>
      <c r="AN4636">
        <v>0.99999995882151005</v>
      </c>
    </row>
    <row r="4637" spans="1:40" x14ac:dyDescent="0.25">
      <c r="A4637" t="str">
        <f>"20190312161406825"</f>
        <v>20190312161406825</v>
      </c>
      <c r="B4637" t="str">
        <f>"1552378446821374"</f>
        <v>1552378446821374</v>
      </c>
      <c r="C4637" t="s">
        <v>40</v>
      </c>
      <c r="D4637">
        <v>5.3228929999999997</v>
      </c>
      <c r="E4637">
        <v>0.4631711</v>
      </c>
      <c r="F4637" t="s">
        <v>42</v>
      </c>
      <c r="G4637">
        <v>-388.00720000000001</v>
      </c>
      <c r="H4637" s="1">
        <v>-9.4403489999999995E-7</v>
      </c>
      <c r="I4637">
        <v>139.01400000000001</v>
      </c>
      <c r="J4637">
        <v>-368.149</v>
      </c>
      <c r="K4637">
        <v>1.110193</v>
      </c>
      <c r="L4637">
        <v>140.41550000000001</v>
      </c>
      <c r="M4637">
        <v>-0.9995771</v>
      </c>
      <c r="N4637">
        <v>0</v>
      </c>
      <c r="O4637">
        <v>-2.5236809999999998E-2</v>
      </c>
      <c r="P4637">
        <v>-0.99904280000000001</v>
      </c>
      <c r="Q4637">
        <v>-2.128325E-2</v>
      </c>
      <c r="R4637">
        <v>3.8218219999999997E-2</v>
      </c>
      <c r="S4637">
        <v>-3.007355</v>
      </c>
      <c r="T4637">
        <v>-0.16543769999999999</v>
      </c>
      <c r="U4637">
        <v>-0.2100677</v>
      </c>
      <c r="V4637">
        <v>6.3423720000000003E-2</v>
      </c>
      <c r="W4637">
        <v>-6.846581E-3</v>
      </c>
      <c r="X4637">
        <v>0.99796320000000005</v>
      </c>
      <c r="Y4637">
        <v>-4.4452350000000002E-2</v>
      </c>
      <c r="Z4637">
        <v>1.65021699999999E-4</v>
      </c>
      <c r="AA4637">
        <v>0.99901150000000005</v>
      </c>
      <c r="AB4637">
        <v>32</v>
      </c>
      <c r="AC4637">
        <v>-19.8582</v>
      </c>
      <c r="AD4637">
        <v>-1.1101939440349</v>
      </c>
      <c r="AE4637">
        <v>-1.40149999999999</v>
      </c>
      <c r="AF4637">
        <v>-0.89705376429894002</v>
      </c>
      <c r="AG4637">
        <v>-1.1101939440349</v>
      </c>
      <c r="AH4637">
        <v>19.825589394802901</v>
      </c>
      <c r="AI4637">
        <v>93.201834314833405</v>
      </c>
      <c r="AJ4637">
        <v>92.590710476945105</v>
      </c>
      <c r="AK4637">
        <v>19.876901944235001</v>
      </c>
      <c r="AL4637">
        <v>90.392283261666194</v>
      </c>
      <c r="AM4637">
        <v>86.363562466662003</v>
      </c>
      <c r="AN4637">
        <v>0.99999999624213398</v>
      </c>
    </row>
    <row r="4638" spans="1:40" x14ac:dyDescent="0.25">
      <c r="A4638" t="str">
        <f>"20190312161406847"</f>
        <v>20190312161406847</v>
      </c>
      <c r="B4638" t="str">
        <f>"1552378446840894"</f>
        <v>1552378446840894</v>
      </c>
      <c r="C4638" t="s">
        <v>40</v>
      </c>
      <c r="D4638">
        <v>5.2075639999999996</v>
      </c>
      <c r="E4638">
        <v>0.46319719999999998</v>
      </c>
      <c r="F4638" t="s">
        <v>42</v>
      </c>
      <c r="G4638">
        <v>-383.64339999999999</v>
      </c>
      <c r="H4638" s="1">
        <v>-2.7331370000000001E-6</v>
      </c>
      <c r="I4638">
        <v>139.48159999999999</v>
      </c>
      <c r="J4638">
        <v>-368.4785</v>
      </c>
      <c r="K4638">
        <v>1.110195</v>
      </c>
      <c r="L4638">
        <v>140.40700000000001</v>
      </c>
      <c r="M4638">
        <v>-0.99957280000000004</v>
      </c>
      <c r="N4638">
        <v>0</v>
      </c>
      <c r="O4638">
        <v>-2.54132E-2</v>
      </c>
      <c r="P4638">
        <v>-0.99903240000000004</v>
      </c>
      <c r="Q4638">
        <v>-2.1379809999999999E-2</v>
      </c>
      <c r="R4638">
        <v>3.8436049999999999E-2</v>
      </c>
      <c r="S4638">
        <v>-3.0052189999999999</v>
      </c>
      <c r="T4638">
        <v>-0.2153283</v>
      </c>
      <c r="U4638">
        <v>-0.1811218</v>
      </c>
      <c r="V4638">
        <v>6.3817289999999999E-2</v>
      </c>
      <c r="W4638">
        <v>-6.9469519999999898E-3</v>
      </c>
      <c r="X4638">
        <v>0.99793739999999997</v>
      </c>
      <c r="Y4638">
        <v>-3.4746859999999997E-2</v>
      </c>
      <c r="Z4638">
        <v>5.7450019999999999E-4</v>
      </c>
      <c r="AA4638">
        <v>0.99939599999999995</v>
      </c>
      <c r="AB4638">
        <v>32</v>
      </c>
      <c r="AC4638">
        <v>-15.1648999999999</v>
      </c>
      <c r="AD4638">
        <v>-1.1101977331370001</v>
      </c>
      <c r="AE4638">
        <v>-0.92540000000002398</v>
      </c>
      <c r="AF4638">
        <v>-0.536805945543675</v>
      </c>
      <c r="AG4638">
        <v>-1.1101977331370001</v>
      </c>
      <c r="AH4638">
        <v>15.1028779587099</v>
      </c>
      <c r="AI4638">
        <v>94.201551211923402</v>
      </c>
      <c r="AJ4638">
        <v>92.035623480326905</v>
      </c>
      <c r="AK4638">
        <v>15.1531390235</v>
      </c>
      <c r="AL4638">
        <v>90.398034239424106</v>
      </c>
      <c r="AM4638">
        <v>86.340963665349506</v>
      </c>
      <c r="AN4638">
        <v>0.99999998048189698</v>
      </c>
    </row>
    <row r="4639" spans="1:40" x14ac:dyDescent="0.25">
      <c r="A4639" t="str">
        <f>"20190312161406870"</f>
        <v>20190312161406870</v>
      </c>
      <c r="B4639" t="str">
        <f>"1552378446861390"</f>
        <v>1552378446861390</v>
      </c>
      <c r="C4639" t="s">
        <v>40</v>
      </c>
      <c r="D4639">
        <v>5.2100809999999997</v>
      </c>
      <c r="E4639">
        <v>0.46297319999999997</v>
      </c>
      <c r="F4639" t="s">
        <v>42</v>
      </c>
      <c r="G4639">
        <v>-384.60849999999999</v>
      </c>
      <c r="H4639" s="1">
        <v>-2.3265819999999998E-6</v>
      </c>
      <c r="I4639">
        <v>139.43950000000001</v>
      </c>
      <c r="J4639">
        <v>-368.80009999999999</v>
      </c>
      <c r="K4639">
        <v>1.1101920000000001</v>
      </c>
      <c r="L4639">
        <v>140.39859999999999</v>
      </c>
      <c r="M4639">
        <v>-0.99956849999999997</v>
      </c>
      <c r="N4639">
        <v>0</v>
      </c>
      <c r="O4639">
        <v>-2.5585299999999998E-2</v>
      </c>
      <c r="P4639">
        <v>-0.99904809999999999</v>
      </c>
      <c r="Q4639">
        <v>-2.1470489999999998E-2</v>
      </c>
      <c r="R4639">
        <v>3.7977049999999998E-2</v>
      </c>
      <c r="S4639">
        <v>-3.0053709999999998</v>
      </c>
      <c r="T4639">
        <v>-0.20685490000000001</v>
      </c>
      <c r="U4639">
        <v>-0.1802368</v>
      </c>
      <c r="V4639">
        <v>6.3530530000000002E-2</v>
      </c>
      <c r="W4639">
        <v>-7.0409519999999996E-3</v>
      </c>
      <c r="X4639">
        <v>0.99795509999999998</v>
      </c>
      <c r="Y4639">
        <v>-3.4281850000000003E-2</v>
      </c>
      <c r="Z4639">
        <v>5.7970999999999999E-4</v>
      </c>
      <c r="AA4639">
        <v>0.99941210000000003</v>
      </c>
      <c r="AB4639">
        <v>32</v>
      </c>
      <c r="AC4639">
        <v>-15.808400000000001</v>
      </c>
      <c r="AD4639">
        <v>-1.110194326582</v>
      </c>
      <c r="AE4639">
        <v>-0.95909999999997797</v>
      </c>
      <c r="AF4639">
        <v>-0.55157083202142299</v>
      </c>
      <c r="AG4639">
        <v>-1.110194326582</v>
      </c>
      <c r="AH4639">
        <v>15.7503695639551</v>
      </c>
      <c r="AI4639">
        <v>94.029469934589798</v>
      </c>
      <c r="AJ4639">
        <v>92.005652711809006</v>
      </c>
      <c r="AK4639">
        <v>15.799079189202001</v>
      </c>
      <c r="AL4639">
        <v>90.403420149542399</v>
      </c>
      <c r="AM4639">
        <v>86.357425438766299</v>
      </c>
      <c r="AN4639">
        <v>1.00000004243157</v>
      </c>
    </row>
    <row r="4640" spans="1:40" x14ac:dyDescent="0.25">
      <c r="A4640" t="str">
        <f>"20190312161406892"</f>
        <v>20190312161406892</v>
      </c>
      <c r="B4640" t="str">
        <f>"1552378446880911"</f>
        <v>1552378446880911</v>
      </c>
      <c r="C4640" t="s">
        <v>40</v>
      </c>
      <c r="D4640">
        <v>5.1849369999999997</v>
      </c>
      <c r="E4640">
        <v>0.46313330000000003</v>
      </c>
      <c r="F4640" t="s">
        <v>42</v>
      </c>
      <c r="G4640">
        <v>-385.97519999999997</v>
      </c>
      <c r="H4640" s="1">
        <v>-1.7558800000000001E-6</v>
      </c>
      <c r="I4640">
        <v>139.35169999999999</v>
      </c>
      <c r="J4640">
        <v>-369.11930000000001</v>
      </c>
      <c r="K4640">
        <v>1.11019</v>
      </c>
      <c r="L4640">
        <v>140.39019999999999</v>
      </c>
      <c r="M4640">
        <v>-0.99956409999999996</v>
      </c>
      <c r="N4640">
        <v>0</v>
      </c>
      <c r="O4640">
        <v>-2.575585E-2</v>
      </c>
      <c r="P4640">
        <v>-0.99904559999999998</v>
      </c>
      <c r="Q4640">
        <v>-2.1454049999999999E-2</v>
      </c>
      <c r="R4640">
        <v>3.8050550000000002E-2</v>
      </c>
      <c r="S4640">
        <v>-3.005646</v>
      </c>
      <c r="T4640">
        <v>-0.19428519999999999</v>
      </c>
      <c r="U4640">
        <v>-0.183197</v>
      </c>
      <c r="V4640">
        <v>6.3774090000000005E-2</v>
      </c>
      <c r="W4640">
        <v>-7.0283250000000002E-3</v>
      </c>
      <c r="X4640">
        <v>0.99793960000000004</v>
      </c>
      <c r="Y4640">
        <v>-3.508766E-2</v>
      </c>
      <c r="Z4640">
        <v>5.2949180000000005E-4</v>
      </c>
      <c r="AA4640">
        <v>0.9993841</v>
      </c>
      <c r="AB4640">
        <v>32</v>
      </c>
      <c r="AC4640">
        <v>-16.855899999999899</v>
      </c>
      <c r="AD4640">
        <v>-1.1101917558800001</v>
      </c>
      <c r="AE4640">
        <v>-1.03849999999999</v>
      </c>
      <c r="AF4640">
        <v>-0.60137326902843102</v>
      </c>
      <c r="AG4640">
        <v>-1.1101917558800001</v>
      </c>
      <c r="AH4640">
        <v>16.8044349422488</v>
      </c>
      <c r="AI4640">
        <v>93.777364980016799</v>
      </c>
      <c r="AJ4640">
        <v>92.049545405387605</v>
      </c>
      <c r="AK4640">
        <v>16.851801365782801</v>
      </c>
      <c r="AL4640">
        <v>90.402696679550601</v>
      </c>
      <c r="AM4640">
        <v>86.343441903024697</v>
      </c>
      <c r="AN4640">
        <v>0.99999998857789596</v>
      </c>
    </row>
    <row r="4641" spans="1:40" x14ac:dyDescent="0.25">
      <c r="A4641" t="str">
        <f>"20190312161406916"</f>
        <v>20190312161406916</v>
      </c>
      <c r="B4641" t="str">
        <f>"1552378446911166"</f>
        <v>1552378446911166</v>
      </c>
      <c r="C4641" t="s">
        <v>40</v>
      </c>
      <c r="D4641">
        <v>5.1320459999999999</v>
      </c>
      <c r="E4641">
        <v>0.46322459999999999</v>
      </c>
      <c r="F4641" t="s">
        <v>42</v>
      </c>
      <c r="G4641">
        <v>-386.66250000000002</v>
      </c>
      <c r="H4641" s="1">
        <v>-1.46482499999999E-6</v>
      </c>
      <c r="I4641">
        <v>139.33009999999999</v>
      </c>
      <c r="J4641">
        <v>-369.45249999999999</v>
      </c>
      <c r="K4641">
        <v>1.1101890000000001</v>
      </c>
      <c r="L4641">
        <v>140.38149999999999</v>
      </c>
      <c r="M4641">
        <v>-0.99955950000000005</v>
      </c>
      <c r="N4641">
        <v>0</v>
      </c>
      <c r="O4641">
        <v>-2.5933910000000001E-2</v>
      </c>
      <c r="P4641">
        <v>-0.99904749999999998</v>
      </c>
      <c r="Q4641">
        <v>-2.1040110000000001E-2</v>
      </c>
      <c r="R4641">
        <v>3.8233299999999998E-2</v>
      </c>
      <c r="S4641">
        <v>-3.0057070000000001</v>
      </c>
      <c r="T4641">
        <v>-0.1902112</v>
      </c>
      <c r="U4641">
        <v>-0.18162539999999999</v>
      </c>
      <c r="V4641">
        <v>6.4134609999999995E-2</v>
      </c>
      <c r="W4641">
        <v>-6.6181310000000002E-3</v>
      </c>
      <c r="X4641">
        <v>0.99791929999999995</v>
      </c>
      <c r="Y4641">
        <v>-3.4390299999999999E-2</v>
      </c>
      <c r="Z4641">
        <v>5.5167599999999997E-4</v>
      </c>
      <c r="AA4641">
        <v>0.99940830000000003</v>
      </c>
      <c r="AB4641">
        <v>32</v>
      </c>
      <c r="AC4641">
        <v>-17.21</v>
      </c>
      <c r="AD4641">
        <v>-1.1101904648249901</v>
      </c>
      <c r="AE4641">
        <v>-1.0513999999999999</v>
      </c>
      <c r="AF4641">
        <v>-0.60218066805618298</v>
      </c>
      <c r="AG4641">
        <v>-1.1101904648249901</v>
      </c>
      <c r="AH4641">
        <v>17.1603356608023</v>
      </c>
      <c r="AI4641">
        <v>93.699329752396906</v>
      </c>
      <c r="AJ4641">
        <v>92.009765993839096</v>
      </c>
      <c r="AK4641">
        <v>17.206750547868399</v>
      </c>
      <c r="AL4641">
        <v>90.379193747020196</v>
      </c>
      <c r="AM4641">
        <v>86.322753047870805</v>
      </c>
      <c r="AN4641">
        <v>0.99999998858513695</v>
      </c>
    </row>
    <row r="4642" spans="1:40" x14ac:dyDescent="0.25">
      <c r="A4642" t="str">
        <f>"20190312161406937"</f>
        <v>20190312161406937</v>
      </c>
      <c r="B4642" t="str">
        <f>"1552378446930687"</f>
        <v>1552378446930687</v>
      </c>
      <c r="C4642" t="s">
        <v>40</v>
      </c>
      <c r="D4642">
        <v>5.1717389999999996</v>
      </c>
      <c r="E4642">
        <v>0.463281</v>
      </c>
      <c r="F4642" t="s">
        <v>42</v>
      </c>
      <c r="G4642">
        <v>-387.59710000000001</v>
      </c>
      <c r="H4642" s="1">
        <v>-1.0704740000000001E-6</v>
      </c>
      <c r="I4642">
        <v>139.29300000000001</v>
      </c>
      <c r="J4642">
        <v>-369.76150000000001</v>
      </c>
      <c r="K4642">
        <v>1.1101909999999999</v>
      </c>
      <c r="L4642">
        <v>140.3733</v>
      </c>
      <c r="M4642">
        <v>-0.99955519999999998</v>
      </c>
      <c r="N4642">
        <v>0</v>
      </c>
      <c r="O4642">
        <v>-2.609933E-2</v>
      </c>
      <c r="P4642">
        <v>-0.99902219999999997</v>
      </c>
      <c r="Q4642">
        <v>-2.134082E-2</v>
      </c>
      <c r="R4642">
        <v>3.8721140000000001E-2</v>
      </c>
      <c r="S4642">
        <v>-3.00589</v>
      </c>
      <c r="T4642">
        <v>-0.18391779999999999</v>
      </c>
      <c r="U4642">
        <v>-0.1803131</v>
      </c>
      <c r="V4642">
        <v>6.4786850000000007E-2</v>
      </c>
      <c r="W4642">
        <v>-6.9225069999999996E-3</v>
      </c>
      <c r="X4642">
        <v>0.99787510000000001</v>
      </c>
      <c r="Y4642">
        <v>-3.3789029999999998E-2</v>
      </c>
      <c r="Z4642">
        <v>5.6189309999999998E-4</v>
      </c>
      <c r="AA4642">
        <v>0.99942880000000001</v>
      </c>
      <c r="AB4642">
        <v>32</v>
      </c>
      <c r="AC4642">
        <v>-17.835599999999999</v>
      </c>
      <c r="AD4642">
        <v>-1.110192070474</v>
      </c>
      <c r="AE4642">
        <v>-1.08029999999999</v>
      </c>
      <c r="AF4642">
        <v>-0.61202359611357304</v>
      </c>
      <c r="AG4642">
        <v>-1.110192070474</v>
      </c>
      <c r="AH4642">
        <v>17.7890486158085</v>
      </c>
      <c r="AI4642">
        <v>93.569019567396197</v>
      </c>
      <c r="AJ4642">
        <v>91.970456313713697</v>
      </c>
      <c r="AK4642">
        <v>17.834162440976598</v>
      </c>
      <c r="AL4642">
        <v>90.3966336081522</v>
      </c>
      <c r="AM4642">
        <v>86.285296065042601</v>
      </c>
      <c r="AN4642">
        <v>0.99999998611804797</v>
      </c>
    </row>
    <row r="4643" spans="1:40" x14ac:dyDescent="0.25">
      <c r="A4643" t="str">
        <f>"20190312161406959"</f>
        <v>20190312161406959</v>
      </c>
      <c r="B4643" t="str">
        <f>"1552378446951182"</f>
        <v>1552378446951182</v>
      </c>
      <c r="C4643" t="s">
        <v>40</v>
      </c>
      <c r="D4643">
        <v>5.2233029999999996</v>
      </c>
      <c r="E4643">
        <v>0.46335169999999998</v>
      </c>
      <c r="F4643" t="s">
        <v>42</v>
      </c>
      <c r="G4643">
        <v>-388.02159999999998</v>
      </c>
      <c r="H4643" s="1">
        <v>-8.8904149999999996E-7</v>
      </c>
      <c r="I4643">
        <v>139.28919999999999</v>
      </c>
      <c r="J4643">
        <v>-370.08170000000001</v>
      </c>
      <c r="K4643">
        <v>1.110195</v>
      </c>
      <c r="L4643">
        <v>140.3647</v>
      </c>
      <c r="M4643">
        <v>-0.99955079999999996</v>
      </c>
      <c r="N4643">
        <v>0</v>
      </c>
      <c r="O4643">
        <v>-2.6270720000000001E-2</v>
      </c>
      <c r="P4643">
        <v>-0.99902679999999999</v>
      </c>
      <c r="Q4643">
        <v>-2.1383220000000001E-2</v>
      </c>
      <c r="R4643">
        <v>3.8578590000000003E-2</v>
      </c>
      <c r="S4643">
        <v>-3.0059200000000001</v>
      </c>
      <c r="T4643">
        <v>-0.1827568</v>
      </c>
      <c r="U4643">
        <v>-0.17843629999999999</v>
      </c>
      <c r="V4643">
        <v>6.4815460000000005E-2</v>
      </c>
      <c r="W4643">
        <v>-6.9682440000000002E-3</v>
      </c>
      <c r="X4643">
        <v>0.99787289999999995</v>
      </c>
      <c r="Y4643">
        <v>-3.2997190000000003E-2</v>
      </c>
      <c r="Z4643">
        <v>5.9278409999999999E-4</v>
      </c>
      <c r="AA4643">
        <v>0.99945530000000005</v>
      </c>
      <c r="AB4643">
        <v>32</v>
      </c>
      <c r="AC4643">
        <v>-17.939899999999898</v>
      </c>
      <c r="AD4643">
        <v>-1.1101958890415</v>
      </c>
      <c r="AE4643">
        <v>-1.0754999999999999</v>
      </c>
      <c r="AF4643">
        <v>-0.60149035802648199</v>
      </c>
      <c r="AG4643">
        <v>-1.1101958890415</v>
      </c>
      <c r="AH4643">
        <v>17.893682968044899</v>
      </c>
      <c r="AI4643">
        <v>93.548310125136794</v>
      </c>
      <c r="AJ4643">
        <v>91.925254146526598</v>
      </c>
      <c r="AK4643">
        <v>17.938177603194401</v>
      </c>
      <c r="AL4643">
        <v>90.399254217926597</v>
      </c>
      <c r="AM4643">
        <v>86.283652070177496</v>
      </c>
      <c r="AN4643">
        <v>0.99999996241693101</v>
      </c>
    </row>
    <row r="4644" spans="1:40" x14ac:dyDescent="0.25">
      <c r="A4644" t="str">
        <f>"20190312161406981"</f>
        <v>20190312161406981</v>
      </c>
      <c r="B4644" t="str">
        <f>"1552378446970702"</f>
        <v>1552378446970702</v>
      </c>
      <c r="C4644" t="s">
        <v>40</v>
      </c>
      <c r="D4644">
        <v>5.1523250000000003</v>
      </c>
      <c r="E4644">
        <v>0.46347050000000001</v>
      </c>
      <c r="F4644" t="s">
        <v>42</v>
      </c>
      <c r="G4644">
        <v>-387.94170000000003</v>
      </c>
      <c r="H4644" s="1">
        <v>-9.2033189999999999E-7</v>
      </c>
      <c r="I4644">
        <v>139.30609999999999</v>
      </c>
      <c r="J4644">
        <v>-370.39080000000001</v>
      </c>
      <c r="K4644">
        <v>1.1101939999999999</v>
      </c>
      <c r="L4644">
        <v>140.35640000000001</v>
      </c>
      <c r="M4644">
        <v>-0.99954659999999995</v>
      </c>
      <c r="N4644">
        <v>0</v>
      </c>
      <c r="O4644">
        <v>-2.643614E-2</v>
      </c>
      <c r="P4644">
        <v>-0.99905219999999995</v>
      </c>
      <c r="Q4644">
        <v>-2.130839E-2</v>
      </c>
      <c r="R4644">
        <v>3.796161E-2</v>
      </c>
      <c r="S4644">
        <v>-3.005798</v>
      </c>
      <c r="T4644">
        <v>-0.18684480000000001</v>
      </c>
      <c r="U4644">
        <v>-0.17814639999999901</v>
      </c>
      <c r="V4644">
        <v>6.4364519999999995E-2</v>
      </c>
      <c r="W4644">
        <v>-6.8963369999999998E-3</v>
      </c>
      <c r="X4644">
        <v>0.99790259999999997</v>
      </c>
      <c r="Y4644">
        <v>-3.2738379999999997E-2</v>
      </c>
      <c r="Z4644">
        <v>6.2433319999999999E-4</v>
      </c>
      <c r="AA4644">
        <v>0.99946369999999896</v>
      </c>
      <c r="AB4644">
        <v>32</v>
      </c>
      <c r="AC4644">
        <v>-17.550899999999999</v>
      </c>
      <c r="AD4644">
        <v>-1.1101949203318999</v>
      </c>
      <c r="AE4644">
        <v>-1.05030000000002</v>
      </c>
      <c r="AF4644">
        <v>-0.58357986337912104</v>
      </c>
      <c r="AG4644">
        <v>-1.1101949203318999</v>
      </c>
      <c r="AH4644">
        <v>17.502749906662402</v>
      </c>
      <c r="AI4644">
        <v>93.627383997737695</v>
      </c>
      <c r="AJ4644">
        <v>91.909658830308601</v>
      </c>
      <c r="AK4644">
        <v>17.547630965838199</v>
      </c>
      <c r="AL4644">
        <v>90.395134146184702</v>
      </c>
      <c r="AM4644">
        <v>86.309545613561994</v>
      </c>
      <c r="AN4644">
        <v>0.99999997499280302</v>
      </c>
    </row>
    <row r="4645" spans="1:40" x14ac:dyDescent="0.25">
      <c r="A4645" t="str">
        <f>"20190312161407003"</f>
        <v>20190312161407003</v>
      </c>
      <c r="B4645" t="str">
        <f>"1552378447000959"</f>
        <v>1552378447000959</v>
      </c>
      <c r="C4645" t="s">
        <v>40</v>
      </c>
      <c r="D4645">
        <v>5.190245</v>
      </c>
      <c r="E4645">
        <v>0.46354230000000002</v>
      </c>
      <c r="F4645" t="s">
        <v>42</v>
      </c>
      <c r="G4645">
        <v>-387.87939999999998</v>
      </c>
      <c r="H4645" s="1">
        <v>-9.4555970000000003E-7</v>
      </c>
      <c r="I4645">
        <v>139.31450000000001</v>
      </c>
      <c r="J4645">
        <v>-370.70710000000003</v>
      </c>
      <c r="K4645">
        <v>1.1101920000000001</v>
      </c>
      <c r="L4645">
        <v>140.34790000000001</v>
      </c>
      <c r="M4645">
        <v>-0.99954209999999999</v>
      </c>
      <c r="N4645">
        <v>0</v>
      </c>
      <c r="O4645">
        <v>-2.6605380000000001E-2</v>
      </c>
      <c r="P4645">
        <v>-0.99905710000000003</v>
      </c>
      <c r="Q4645">
        <v>-2.196387E-2</v>
      </c>
      <c r="R4645">
        <v>3.7454630000000003E-2</v>
      </c>
      <c r="S4645">
        <v>-3.005585</v>
      </c>
      <c r="T4645">
        <v>-0.19079879999999999</v>
      </c>
      <c r="U4645">
        <v>-0.1790619</v>
      </c>
      <c r="V4645">
        <v>6.4027020000000004E-2</v>
      </c>
      <c r="W4645">
        <v>-7.5549340000000001E-3</v>
      </c>
      <c r="X4645">
        <v>0.99791960000000002</v>
      </c>
      <c r="Y4645">
        <v>-3.2876250000000003E-2</v>
      </c>
      <c r="Z4645">
        <v>6.4390580000000001E-4</v>
      </c>
      <c r="AA4645">
        <v>0.99945919999999999</v>
      </c>
      <c r="AB4645">
        <v>32</v>
      </c>
      <c r="AC4645">
        <v>-17.1722999999999</v>
      </c>
      <c r="AD4645">
        <v>-1.1101929455596999</v>
      </c>
      <c r="AE4645">
        <v>-1.0334000000000001</v>
      </c>
      <c r="AF4645">
        <v>-0.57372178014039399</v>
      </c>
      <c r="AG4645">
        <v>-1.1101929455596999</v>
      </c>
      <c r="AH4645">
        <v>17.122409386580099</v>
      </c>
      <c r="AI4645">
        <v>93.707709911676105</v>
      </c>
      <c r="AJ4645">
        <v>91.919095739258694</v>
      </c>
      <c r="AK4645">
        <v>17.167952360693</v>
      </c>
      <c r="AL4645">
        <v>90.432869936653404</v>
      </c>
      <c r="AM4645">
        <v>86.328906087037396</v>
      </c>
      <c r="AN4645">
        <v>1.0000000321909901</v>
      </c>
    </row>
    <row r="4646" spans="1:40" x14ac:dyDescent="0.25">
      <c r="A4646" t="str">
        <f>"20190312161407028"</f>
        <v>20190312161407028</v>
      </c>
      <c r="B4646" t="str">
        <f>"1552378447020483"</f>
        <v>1552378447020483</v>
      </c>
      <c r="C4646" t="s">
        <v>40</v>
      </c>
      <c r="D4646">
        <v>5.1848269999999896</v>
      </c>
      <c r="E4646">
        <v>0.46351369999999997</v>
      </c>
      <c r="F4646" t="s">
        <v>42</v>
      </c>
      <c r="G4646">
        <v>-387.59280000000001</v>
      </c>
      <c r="H4646" s="1">
        <v>-1.064839E-6</v>
      </c>
      <c r="I4646">
        <v>139.33510000000001</v>
      </c>
      <c r="J4646">
        <v>-371.05880000000002</v>
      </c>
      <c r="K4646">
        <v>1.1101939999999999</v>
      </c>
      <c r="L4646">
        <v>140.3383</v>
      </c>
      <c r="M4646">
        <v>-0.99953709999999996</v>
      </c>
      <c r="N4646">
        <v>0</v>
      </c>
      <c r="O4646">
        <v>-2.6793810000000001E-2</v>
      </c>
      <c r="P4646">
        <v>-0.99907369999999995</v>
      </c>
      <c r="Q4646">
        <v>-2.224487E-2</v>
      </c>
      <c r="R4646">
        <v>3.6839759999999999E-2</v>
      </c>
      <c r="S4646">
        <v>-3.0052490000000001</v>
      </c>
      <c r="T4646">
        <v>-0.19758829999999999</v>
      </c>
      <c r="U4646">
        <v>-0.1802368</v>
      </c>
      <c r="V4646">
        <v>6.3600980000000001E-2</v>
      </c>
      <c r="W4646">
        <v>-7.8393850000000008E-3</v>
      </c>
      <c r="X4646">
        <v>0.99794459999999996</v>
      </c>
      <c r="Y4646">
        <v>-3.308287E-2</v>
      </c>
      <c r="Z4646">
        <v>6.7241339999999999E-4</v>
      </c>
      <c r="AA4646">
        <v>0.99945240000000002</v>
      </c>
      <c r="AB4646">
        <v>32</v>
      </c>
      <c r="AC4646">
        <v>-16.533999999999899</v>
      </c>
      <c r="AD4646">
        <v>-1.110195064839</v>
      </c>
      <c r="AE4646">
        <v>-1.0031999999999901</v>
      </c>
      <c r="AF4646">
        <v>-0.557281545088536</v>
      </c>
      <c r="AG4646">
        <v>-1.110195064839</v>
      </c>
      <c r="AH4646">
        <v>16.4809116347868</v>
      </c>
      <c r="AI4646">
        <v>93.851569080716601</v>
      </c>
      <c r="AJ4646">
        <v>91.936647702416806</v>
      </c>
      <c r="AK4646">
        <v>16.527659970974199</v>
      </c>
      <c r="AL4646">
        <v>90.449168283032904</v>
      </c>
      <c r="AM4646">
        <v>86.353358759320002</v>
      </c>
      <c r="AN4646">
        <v>0.99999998264164902</v>
      </c>
    </row>
    <row r="4647" spans="1:40" x14ac:dyDescent="0.25">
      <c r="A4647" t="str">
        <f>"20190312161407049"</f>
        <v>20190312161407049</v>
      </c>
      <c r="B4647" t="str">
        <f>"1552378447040975"</f>
        <v>1552378447040975</v>
      </c>
      <c r="C4647" t="s">
        <v>40</v>
      </c>
      <c r="D4647">
        <v>5.1020390000000004</v>
      </c>
      <c r="E4647">
        <v>0.46329799999999899</v>
      </c>
      <c r="F4647" t="s">
        <v>42</v>
      </c>
      <c r="G4647">
        <v>-387.93450000000001</v>
      </c>
      <c r="H4647" s="1">
        <v>-9.2212799999999996E-7</v>
      </c>
      <c r="I4647">
        <v>139.3134</v>
      </c>
      <c r="J4647">
        <v>-371.35520000000002</v>
      </c>
      <c r="K4647">
        <v>1.110195</v>
      </c>
      <c r="L4647">
        <v>140.33019999999999</v>
      </c>
      <c r="M4647">
        <v>-0.9995328</v>
      </c>
      <c r="N4647">
        <v>0</v>
      </c>
      <c r="O4647">
        <v>-2.695256E-2</v>
      </c>
      <c r="P4647">
        <v>-0.99908240000000004</v>
      </c>
      <c r="Q4647">
        <v>-2.199386E-2</v>
      </c>
      <c r="R4647">
        <v>3.6749440000000001E-2</v>
      </c>
      <c r="S4647">
        <v>-3.0050659999999998</v>
      </c>
      <c r="T4647">
        <v>-0.19769419999999999</v>
      </c>
      <c r="U4647">
        <v>-0.18249509999999999</v>
      </c>
      <c r="V4647">
        <v>6.3669180000000006E-2</v>
      </c>
      <c r="W4647">
        <v>-7.5914969999999896E-3</v>
      </c>
      <c r="X4647">
        <v>0.9979422</v>
      </c>
      <c r="Y4647">
        <v>-3.3675190000000001E-2</v>
      </c>
      <c r="Z4647">
        <v>6.6376640000000002E-4</v>
      </c>
      <c r="AA4647">
        <v>0.9994326</v>
      </c>
      <c r="AB4647">
        <v>32</v>
      </c>
      <c r="AC4647">
        <v>-16.5792999999999</v>
      </c>
      <c r="AD4647">
        <v>-1.110195922128</v>
      </c>
      <c r="AE4647">
        <v>-1.0167999999999799</v>
      </c>
      <c r="AF4647">
        <v>-0.56699664009902295</v>
      </c>
      <c r="AG4647">
        <v>-1.110195922128</v>
      </c>
      <c r="AH4647">
        <v>16.5268549854414</v>
      </c>
      <c r="AI4647">
        <v>93.840832736110997</v>
      </c>
      <c r="AJ4647">
        <v>91.964909708216197</v>
      </c>
      <c r="AK4647">
        <v>16.573803301753099</v>
      </c>
      <c r="AL4647">
        <v>90.434964909760495</v>
      </c>
      <c r="AM4647">
        <v>86.349450240279495</v>
      </c>
      <c r="AN4647">
        <v>1.0000000149246999</v>
      </c>
    </row>
    <row r="4648" spans="1:40" x14ac:dyDescent="0.25">
      <c r="A4648" t="str">
        <f>"20190312161407071"</f>
        <v>20190312161407071</v>
      </c>
      <c r="B4648" t="str">
        <f>"1552378447060495"</f>
        <v>1552378447060495</v>
      </c>
      <c r="C4648" t="s">
        <v>40</v>
      </c>
      <c r="D4648">
        <v>5.1734049999999998</v>
      </c>
      <c r="E4648">
        <v>0.46317439999999999</v>
      </c>
      <c r="F4648" t="s">
        <v>42</v>
      </c>
      <c r="G4648">
        <v>-388.25630000000001</v>
      </c>
      <c r="H4648" s="1">
        <v>-7.8772179999999998E-7</v>
      </c>
      <c r="I4648">
        <v>139.2927</v>
      </c>
      <c r="J4648">
        <v>-371.66640000000001</v>
      </c>
      <c r="K4648">
        <v>1.110193</v>
      </c>
      <c r="L4648">
        <v>140.32159999999999</v>
      </c>
      <c r="M4648">
        <v>-0.99952839999999998</v>
      </c>
      <c r="N4648">
        <v>0</v>
      </c>
      <c r="O4648">
        <v>-2.7119290000000001E-2</v>
      </c>
      <c r="P4648">
        <v>-0.99907140000000005</v>
      </c>
      <c r="Q4648">
        <v>-2.2589970000000001E-2</v>
      </c>
      <c r="R4648">
        <v>3.6691090000000003E-2</v>
      </c>
      <c r="S4648">
        <v>-3.0052189999999999</v>
      </c>
      <c r="T4648">
        <v>-0.19740679999999999</v>
      </c>
      <c r="U4648">
        <v>-0.1844635</v>
      </c>
      <c r="V4648">
        <v>6.3777189999999997E-2</v>
      </c>
      <c r="W4648">
        <v>-8.1913000000000003E-3</v>
      </c>
      <c r="X4648">
        <v>0.99793050000000005</v>
      </c>
      <c r="Y4648">
        <v>-3.415696E-2</v>
      </c>
      <c r="Z4648">
        <v>6.5788550000000004E-4</v>
      </c>
      <c r="AA4648">
        <v>0.99941630000000004</v>
      </c>
      <c r="AB4648">
        <v>32</v>
      </c>
      <c r="AC4648">
        <v>-16.5899</v>
      </c>
      <c r="AD4648">
        <v>-1.1101937877218</v>
      </c>
      <c r="AE4648">
        <v>-1.0288999999999899</v>
      </c>
      <c r="AF4648">
        <v>-0.57599890397137199</v>
      </c>
      <c r="AG4648">
        <v>-1.1101937877218</v>
      </c>
      <c r="AH4648">
        <v>16.537925497784101</v>
      </c>
      <c r="AI4648">
        <v>93.838193120023703</v>
      </c>
      <c r="AJ4648">
        <v>91.994746641560695</v>
      </c>
      <c r="AK4648">
        <v>16.585152539362699</v>
      </c>
      <c r="AL4648">
        <v>90.469332188395398</v>
      </c>
      <c r="AM4648">
        <v>86.3432313885219</v>
      </c>
      <c r="AN4648">
        <v>0.99999995509511697</v>
      </c>
    </row>
    <row r="4649" spans="1:40" x14ac:dyDescent="0.25">
      <c r="A4649" t="str">
        <f>"20190312161407084"</f>
        <v>20190312161407084</v>
      </c>
      <c r="B4649" t="str">
        <f>"1552378447080990"</f>
        <v>1552378447080990</v>
      </c>
      <c r="C4649" t="s">
        <v>40</v>
      </c>
      <c r="D4649">
        <v>5.0562230000000001</v>
      </c>
      <c r="E4649">
        <v>0.46299459999999998</v>
      </c>
      <c r="F4649" t="s">
        <v>42</v>
      </c>
      <c r="G4649">
        <v>-388.35550000000001</v>
      </c>
      <c r="H4649" s="1">
        <v>-7.4546359999999904E-7</v>
      </c>
      <c r="I4649">
        <v>139.291</v>
      </c>
      <c r="J4649">
        <v>-371.8707</v>
      </c>
      <c r="K4649">
        <v>1.1101920000000001</v>
      </c>
      <c r="L4649">
        <v>140.316</v>
      </c>
      <c r="M4649">
        <v>-0.99952549999999996</v>
      </c>
      <c r="N4649">
        <v>0</v>
      </c>
      <c r="O4649">
        <v>-2.722894E-2</v>
      </c>
      <c r="P4649">
        <v>-0.99906589999999995</v>
      </c>
      <c r="Q4649">
        <v>-2.274518E-2</v>
      </c>
      <c r="R4649">
        <v>3.6748160000000002E-2</v>
      </c>
      <c r="S4649">
        <v>-3.0050659999999998</v>
      </c>
      <c r="T4649">
        <v>-0.19990279999999999</v>
      </c>
      <c r="U4649">
        <v>-0.18556210000000001</v>
      </c>
      <c r="V4649">
        <v>6.3943669999999994E-2</v>
      </c>
      <c r="W4649">
        <v>-8.3488940000000008E-3</v>
      </c>
      <c r="X4649">
        <v>0.99791859999999999</v>
      </c>
      <c r="Y4649">
        <v>-3.441371E-2</v>
      </c>
      <c r="Z4649">
        <v>6.6496179999999902E-4</v>
      </c>
      <c r="AA4649">
        <v>0.9994075</v>
      </c>
      <c r="AB4649">
        <v>32</v>
      </c>
      <c r="AC4649">
        <v>-16.4848</v>
      </c>
      <c r="AD4649">
        <v>-1.1101927454636</v>
      </c>
      <c r="AE4649">
        <v>-1.0249999999999999</v>
      </c>
      <c r="AF4649">
        <v>-0.57312029856775304</v>
      </c>
      <c r="AG4649">
        <v>-1.1101927454636</v>
      </c>
      <c r="AH4649">
        <v>16.432356471085999</v>
      </c>
      <c r="AI4649">
        <v>93.862766899520693</v>
      </c>
      <c r="AJ4649">
        <v>91.997526592948205</v>
      </c>
      <c r="AK4649">
        <v>16.4797856175847</v>
      </c>
      <c r="AL4649">
        <v>90.478361940222598</v>
      </c>
      <c r="AM4649">
        <v>86.333668388284394</v>
      </c>
      <c r="AN4649">
        <v>1.0000000145950201</v>
      </c>
    </row>
    <row r="4650" spans="1:40" x14ac:dyDescent="0.25">
      <c r="A4650" t="str">
        <f>"20190312161407105"</f>
        <v>20190312161407105</v>
      </c>
      <c r="B4650" t="str">
        <f>"1552378447101487"</f>
        <v>1552378447101487</v>
      </c>
      <c r="C4650" t="s">
        <v>40</v>
      </c>
      <c r="D4650">
        <v>5.0436959999999997</v>
      </c>
      <c r="E4650">
        <v>0.46286270000000002</v>
      </c>
      <c r="F4650" t="s">
        <v>42</v>
      </c>
      <c r="G4650">
        <v>-388.6585</v>
      </c>
      <c r="H4650" s="1">
        <v>-6.1867549999999996E-7</v>
      </c>
      <c r="I4650">
        <v>139.273</v>
      </c>
      <c r="J4650">
        <v>-372.14640000000003</v>
      </c>
      <c r="K4650">
        <v>1.110193</v>
      </c>
      <c r="L4650">
        <v>140.3083</v>
      </c>
      <c r="M4650">
        <v>-0.9995214</v>
      </c>
      <c r="N4650">
        <v>0</v>
      </c>
      <c r="O4650">
        <v>-2.7376959999999999E-2</v>
      </c>
      <c r="P4650">
        <v>-0.99906470000000003</v>
      </c>
      <c r="Q4650">
        <v>-2.252386E-2</v>
      </c>
      <c r="R4650">
        <v>3.6912590000000002E-2</v>
      </c>
      <c r="S4650">
        <v>-3.0051269999999999</v>
      </c>
      <c r="T4650">
        <v>-0.19873150000000001</v>
      </c>
      <c r="U4650">
        <v>-0.1866913</v>
      </c>
      <c r="V4650">
        <v>6.425554E-2</v>
      </c>
      <c r="W4650">
        <v>-8.1307369999999903E-3</v>
      </c>
      <c r="X4650">
        <v>0.99790040000000002</v>
      </c>
      <c r="Y4650">
        <v>-3.4638559999999999E-2</v>
      </c>
      <c r="Z4650">
        <v>6.6339429999999998E-4</v>
      </c>
      <c r="AA4650">
        <v>0.9993997</v>
      </c>
      <c r="AB4650">
        <v>32</v>
      </c>
      <c r="AC4650">
        <v>-16.512099999999901</v>
      </c>
      <c r="AD4650">
        <v>-1.1101936186754999</v>
      </c>
      <c r="AE4650">
        <v>-1.0353000000000001</v>
      </c>
      <c r="AF4650">
        <v>-0.58020129862367298</v>
      </c>
      <c r="AG4650">
        <v>-1.1101936186754999</v>
      </c>
      <c r="AH4650">
        <v>16.4601381997076</v>
      </c>
      <c r="AI4650">
        <v>93.856219966409498</v>
      </c>
      <c r="AJ4650">
        <v>92.018775756418194</v>
      </c>
      <c r="AK4650">
        <v>16.5077349436967</v>
      </c>
      <c r="AL4650">
        <v>90.465862026120902</v>
      </c>
      <c r="AM4650">
        <v>86.315768851632299</v>
      </c>
      <c r="AN4650">
        <v>1.0000000458125</v>
      </c>
    </row>
    <row r="4651" spans="1:40" x14ac:dyDescent="0.25">
      <c r="A4651" t="str">
        <f>"20190312161407127"</f>
        <v>20190312161407127</v>
      </c>
      <c r="B4651" t="str">
        <f>"1552378447121007"</f>
        <v>1552378447121007</v>
      </c>
      <c r="C4651" t="s">
        <v>40</v>
      </c>
      <c r="D4651">
        <v>5.0580319999999999</v>
      </c>
      <c r="E4651">
        <v>0.462783</v>
      </c>
      <c r="F4651" t="s">
        <v>42</v>
      </c>
      <c r="G4651">
        <v>-389.12169999999998</v>
      </c>
      <c r="H4651" s="1">
        <v>-4.23947E-7</v>
      </c>
      <c r="I4651">
        <v>139.25049999999999</v>
      </c>
      <c r="J4651">
        <v>-372.46859999999998</v>
      </c>
      <c r="K4651">
        <v>1.1101939999999999</v>
      </c>
      <c r="L4651">
        <v>140.29929999999999</v>
      </c>
      <c r="M4651">
        <v>-0.99951670000000004</v>
      </c>
      <c r="N4651">
        <v>0</v>
      </c>
      <c r="O4651">
        <v>-2.754966E-2</v>
      </c>
      <c r="P4651">
        <v>-0.99909029999999999</v>
      </c>
      <c r="Q4651">
        <v>-2.2345540000000001E-2</v>
      </c>
      <c r="R4651">
        <v>3.6322569999999998E-2</v>
      </c>
      <c r="S4651">
        <v>-3.0053100000000001</v>
      </c>
      <c r="T4651">
        <v>-0.19654930000000001</v>
      </c>
      <c r="U4651">
        <v>-0.1872559</v>
      </c>
      <c r="V4651">
        <v>6.3838839999999994E-2</v>
      </c>
      <c r="W4651">
        <v>-7.9557710000000004E-3</v>
      </c>
      <c r="X4651">
        <v>0.9979285</v>
      </c>
      <c r="Y4651">
        <v>-3.464983E-2</v>
      </c>
      <c r="Z4651">
        <v>6.6697729999999904E-4</v>
      </c>
      <c r="AA4651">
        <v>0.99939929999999999</v>
      </c>
      <c r="AB4651">
        <v>32</v>
      </c>
      <c r="AC4651">
        <v>-16.653099999999899</v>
      </c>
      <c r="AD4651">
        <v>-1.1101944239470001</v>
      </c>
      <c r="AE4651">
        <v>-1.0488</v>
      </c>
      <c r="AF4651">
        <v>-0.58696862247696102</v>
      </c>
      <c r="AG4651">
        <v>-1.1101944239470001</v>
      </c>
      <c r="AH4651">
        <v>16.602180518124801</v>
      </c>
      <c r="AI4651">
        <v>93.823314313689295</v>
      </c>
      <c r="AJ4651">
        <v>92.024843828970006</v>
      </c>
      <c r="AK4651">
        <v>16.649608457232201</v>
      </c>
      <c r="AL4651">
        <v>90.455836913702697</v>
      </c>
      <c r="AM4651">
        <v>86.339698874954394</v>
      </c>
      <c r="AN4651">
        <v>0.99999999144850005</v>
      </c>
    </row>
    <row r="4652" spans="1:40" x14ac:dyDescent="0.25">
      <c r="A4652" t="str">
        <f>"20190312161407150"</f>
        <v>20190312161407150</v>
      </c>
      <c r="B4652" t="str">
        <f>"1552378447140527"</f>
        <v>1552378447140527</v>
      </c>
      <c r="C4652" t="s">
        <v>40</v>
      </c>
      <c r="D4652">
        <v>5.0349539999999999</v>
      </c>
      <c r="E4652">
        <v>0.44754149999999998</v>
      </c>
      <c r="F4652" t="s">
        <v>42</v>
      </c>
      <c r="G4652">
        <v>-389.6576</v>
      </c>
      <c r="H4652" s="1">
        <v>-2.094718E-7</v>
      </c>
      <c r="I4652">
        <v>139.21440000000001</v>
      </c>
      <c r="J4652">
        <v>-372.78640000000001</v>
      </c>
      <c r="K4652">
        <v>1.110196</v>
      </c>
      <c r="L4652">
        <v>140.2903</v>
      </c>
      <c r="M4652">
        <v>-0.99951199999999996</v>
      </c>
      <c r="N4652">
        <v>0</v>
      </c>
      <c r="O4652">
        <v>-2.771997E-2</v>
      </c>
      <c r="P4652">
        <v>-0.9991255</v>
      </c>
      <c r="Q4652">
        <v>-2.2170990000000002E-2</v>
      </c>
      <c r="R4652">
        <v>3.5453789999999999E-2</v>
      </c>
      <c r="S4652">
        <v>-3.00528</v>
      </c>
      <c r="T4652">
        <v>-0.19410369999999999</v>
      </c>
      <c r="U4652">
        <v>-0.1896515</v>
      </c>
      <c r="V4652">
        <v>6.3141379999999997E-2</v>
      </c>
      <c r="W4652">
        <v>-7.7842500000000004E-3</v>
      </c>
      <c r="X4652">
        <v>0.99797420000000003</v>
      </c>
      <c r="Y4652">
        <v>-3.527313E-2</v>
      </c>
      <c r="Z4652">
        <v>6.4956400000000004E-4</v>
      </c>
      <c r="AA4652">
        <v>0.99937750000000003</v>
      </c>
      <c r="AB4652">
        <v>32</v>
      </c>
      <c r="AC4652">
        <v>-16.871199999999899</v>
      </c>
      <c r="AD4652">
        <v>-1.1101962094718001</v>
      </c>
      <c r="AE4652">
        <v>-1.0758999999999901</v>
      </c>
      <c r="AF4652">
        <v>-0.60515897806214203</v>
      </c>
      <c r="AG4652">
        <v>-1.1101962094718001</v>
      </c>
      <c r="AH4652">
        <v>16.821995033906202</v>
      </c>
      <c r="AI4652">
        <v>93.773423061922401</v>
      </c>
      <c r="AJ4652">
        <v>92.060285332116194</v>
      </c>
      <c r="AK4652">
        <v>16.869447825374099</v>
      </c>
      <c r="AL4652">
        <v>90.446009191141101</v>
      </c>
      <c r="AM4652">
        <v>86.3797472515012</v>
      </c>
      <c r="AN4652">
        <v>0.99999996614100195</v>
      </c>
    </row>
    <row r="4653" spans="1:40" x14ac:dyDescent="0.25">
      <c r="A4653" t="str">
        <f>"20190312161407171"</f>
        <v>20190312161407171</v>
      </c>
      <c r="B4653" t="str">
        <f>"1552378447161022"</f>
        <v>1552378447161022</v>
      </c>
      <c r="C4653" t="s">
        <v>40</v>
      </c>
      <c r="D4653">
        <v>4.9306530000000004</v>
      </c>
      <c r="E4653">
        <v>0.445714</v>
      </c>
      <c r="F4653" t="s">
        <v>84</v>
      </c>
      <c r="G4653">
        <v>-418.67259999999999</v>
      </c>
      <c r="H4653" s="1">
        <v>-8.2127119999999996E-6</v>
      </c>
      <c r="I4653">
        <v>135.53899999999999</v>
      </c>
      <c r="J4653">
        <v>-373.09500000000003</v>
      </c>
      <c r="K4653">
        <v>1.110196</v>
      </c>
      <c r="L4653">
        <v>140.2816</v>
      </c>
      <c r="M4653">
        <v>-0.99950760000000005</v>
      </c>
      <c r="N4653">
        <v>0</v>
      </c>
      <c r="O4653">
        <v>-2.7885750000000001E-2</v>
      </c>
      <c r="P4653">
        <v>-0.99915520000000002</v>
      </c>
      <c r="Q4653">
        <v>-2.1941200000000001E-2</v>
      </c>
      <c r="R4653">
        <v>3.4755370000000001E-2</v>
      </c>
      <c r="S4653">
        <v>-3.0120849999999999</v>
      </c>
      <c r="T4653">
        <v>-7.2876570000000002E-2</v>
      </c>
      <c r="U4653">
        <v>-0.31188959999999999</v>
      </c>
      <c r="V4653">
        <v>6.2609410000000004E-2</v>
      </c>
      <c r="W4653">
        <v>-7.5574850000000001E-3</v>
      </c>
      <c r="X4653">
        <v>0.99800949999999999</v>
      </c>
      <c r="Y4653">
        <v>-7.5201370000000003E-2</v>
      </c>
      <c r="Z4653">
        <v>-2.3462719999999999E-4</v>
      </c>
      <c r="AA4653">
        <v>0.99716839999999995</v>
      </c>
      <c r="AB4653">
        <v>32</v>
      </c>
      <c r="AC4653">
        <v>-45.577599999999897</v>
      </c>
      <c r="AD4653">
        <v>-1.110204212712</v>
      </c>
      <c r="AE4653">
        <v>-4.7426000000000004</v>
      </c>
      <c r="AF4653">
        <v>-3.4676227762243599</v>
      </c>
      <c r="AG4653">
        <v>-1.110204212712</v>
      </c>
      <c r="AH4653">
        <v>45.665331826029501</v>
      </c>
      <c r="AI4653">
        <v>91.388690013808599</v>
      </c>
      <c r="AJ4653">
        <v>94.342453688737606</v>
      </c>
      <c r="AK4653">
        <v>45.810255313559402</v>
      </c>
      <c r="AL4653">
        <v>90.433016112854006</v>
      </c>
      <c r="AM4653">
        <v>86.410294647821203</v>
      </c>
      <c r="AN4653">
        <v>1.0000000079451601</v>
      </c>
    </row>
    <row r="4654" spans="1:40" x14ac:dyDescent="0.25">
      <c r="A4654" t="str">
        <f>"20190312161407193"</f>
        <v>20190312161407193</v>
      </c>
      <c r="B4654" t="str">
        <f>"1552378447191279"</f>
        <v>1552378447191279</v>
      </c>
      <c r="C4654" t="s">
        <v>40</v>
      </c>
      <c r="D4654">
        <v>4.9593109999999996</v>
      </c>
      <c r="E4654">
        <v>0.44626100000000002</v>
      </c>
      <c r="F4654" t="s">
        <v>84</v>
      </c>
      <c r="G4654">
        <v>-429.22519999999997</v>
      </c>
      <c r="H4654" s="1">
        <v>-8.9682539999999993E-6</v>
      </c>
      <c r="I4654">
        <v>134.16380000000001</v>
      </c>
      <c r="J4654">
        <v>-373.39690000000002</v>
      </c>
      <c r="K4654">
        <v>1.110204</v>
      </c>
      <c r="L4654">
        <v>140.273</v>
      </c>
      <c r="M4654">
        <v>-0.99950300000000003</v>
      </c>
      <c r="N4654">
        <v>0</v>
      </c>
      <c r="O4654">
        <v>-2.8047599999999999E-2</v>
      </c>
      <c r="P4654">
        <v>-0.99917350000000005</v>
      </c>
      <c r="Q4654">
        <v>-2.1551580000000001E-2</v>
      </c>
      <c r="R4654">
        <v>3.446246E-2</v>
      </c>
      <c r="S4654">
        <v>-3.0126040000000001</v>
      </c>
      <c r="T4654">
        <v>-5.9586640000000003E-2</v>
      </c>
      <c r="U4654">
        <v>-0.32835389999999998</v>
      </c>
      <c r="V4654">
        <v>6.2478350000000002E-2</v>
      </c>
      <c r="W4654">
        <v>-7.1710659999999898E-3</v>
      </c>
      <c r="X4654">
        <v>0.99802049999999998</v>
      </c>
      <c r="Y4654">
        <v>-8.0413579999999998E-2</v>
      </c>
      <c r="Z4654">
        <v>-2.399724E-4</v>
      </c>
      <c r="AA4654">
        <v>0.99676160000000003</v>
      </c>
      <c r="AB4654">
        <v>32</v>
      </c>
      <c r="AC4654">
        <v>-55.828299999999899</v>
      </c>
      <c r="AD4654">
        <v>-1.1102129682540001</v>
      </c>
      <c r="AE4654">
        <v>-6.10919999999998</v>
      </c>
      <c r="AF4654">
        <v>-4.53901032724192</v>
      </c>
      <c r="AG4654">
        <v>-1.1102129682540001</v>
      </c>
      <c r="AH4654">
        <v>55.955831593833899</v>
      </c>
      <c r="AI4654">
        <v>91.132929278734906</v>
      </c>
      <c r="AJ4654">
        <v>94.6375498277703</v>
      </c>
      <c r="AK4654">
        <v>56.150603531424203</v>
      </c>
      <c r="AL4654">
        <v>90.410875361199899</v>
      </c>
      <c r="AM4654">
        <v>86.417828754719494</v>
      </c>
      <c r="AN4654">
        <v>0.99999994341327203</v>
      </c>
    </row>
    <row r="4655" spans="1:40" x14ac:dyDescent="0.25">
      <c r="A4655" t="str">
        <f>"20190312161407216"</f>
        <v>20190312161407216</v>
      </c>
      <c r="B4655" t="str">
        <f>"1552378447210802"</f>
        <v>1552378447210802</v>
      </c>
      <c r="C4655" t="s">
        <v>40</v>
      </c>
      <c r="D4655">
        <v>4.9460459999999999</v>
      </c>
      <c r="E4655">
        <v>0.44615250000000001</v>
      </c>
      <c r="F4655" t="s">
        <v>84</v>
      </c>
      <c r="G4655">
        <v>-423.1001</v>
      </c>
      <c r="H4655" s="1">
        <v>-8.3328699999999906E-6</v>
      </c>
      <c r="I4655">
        <v>134.9092</v>
      </c>
      <c r="J4655">
        <v>-373.72449999999998</v>
      </c>
      <c r="K4655">
        <v>1.1102099999999999</v>
      </c>
      <c r="L4655">
        <v>140.2636</v>
      </c>
      <c r="M4655">
        <v>-0.9994982</v>
      </c>
      <c r="N4655">
        <v>0</v>
      </c>
      <c r="O4655">
        <v>-2.822363E-2</v>
      </c>
      <c r="P4655">
        <v>-0.9991968</v>
      </c>
      <c r="Q4655">
        <v>-2.1175039999999999E-2</v>
      </c>
      <c r="R4655">
        <v>3.4023490000000003E-2</v>
      </c>
      <c r="S4655">
        <v>-3.0122680000000002</v>
      </c>
      <c r="T4655">
        <v>-6.7284579999999997E-2</v>
      </c>
      <c r="U4655">
        <v>-0.32507320000000001</v>
      </c>
      <c r="V4655">
        <v>6.2215909999999999E-2</v>
      </c>
      <c r="W4655">
        <v>-6.7979659999999999E-3</v>
      </c>
      <c r="X4655">
        <v>0.99803949999999997</v>
      </c>
      <c r="Y4655">
        <v>-7.917457E-2</v>
      </c>
      <c r="Z4655">
        <v>-2.5329809999999998E-4</v>
      </c>
      <c r="AA4655">
        <v>0.99686070000000004</v>
      </c>
      <c r="AB4655">
        <v>32</v>
      </c>
      <c r="AC4655">
        <v>-49.375599999999999</v>
      </c>
      <c r="AD4655">
        <v>-1.1102183328699999</v>
      </c>
      <c r="AE4655">
        <v>-5.3543999999999903</v>
      </c>
      <c r="AF4655">
        <v>-3.9565866532349601</v>
      </c>
      <c r="AG4655">
        <v>-1.1102183328699999</v>
      </c>
      <c r="AH4655">
        <v>49.482335978024203</v>
      </c>
      <c r="AI4655">
        <v>91.281222384688803</v>
      </c>
      <c r="AJ4655">
        <v>94.571619913158798</v>
      </c>
      <c r="AK4655">
        <v>49.652681060877903</v>
      </c>
      <c r="AL4655">
        <v>90.3894977853207</v>
      </c>
      <c r="AM4655">
        <v>86.432904447043896</v>
      </c>
      <c r="AN4655">
        <v>0.99999993767955497</v>
      </c>
    </row>
    <row r="4656" spans="1:40" x14ac:dyDescent="0.25">
      <c r="A4656" t="str">
        <f>"20190312161407239"</f>
        <v>20190312161407239</v>
      </c>
      <c r="B4656" t="str">
        <f>"1552378447231295"</f>
        <v>1552378447231295</v>
      </c>
      <c r="C4656" t="s">
        <v>40</v>
      </c>
      <c r="D4656">
        <v>5.0805309999999997</v>
      </c>
      <c r="E4656">
        <v>0.44707089999999999</v>
      </c>
      <c r="F4656" t="s">
        <v>84</v>
      </c>
      <c r="G4656">
        <v>-425.46850000000001</v>
      </c>
      <c r="H4656" s="1">
        <v>-8.5712420000000001E-6</v>
      </c>
      <c r="I4656">
        <v>134.64449999999999</v>
      </c>
      <c r="J4656">
        <v>-374.0446</v>
      </c>
      <c r="K4656">
        <v>1.110214</v>
      </c>
      <c r="L4656">
        <v>140.2544</v>
      </c>
      <c r="M4656">
        <v>-0.99949339999999998</v>
      </c>
      <c r="N4656">
        <v>0</v>
      </c>
      <c r="O4656">
        <v>-2.8395380000000001E-2</v>
      </c>
      <c r="P4656">
        <v>-0.99923740000000005</v>
      </c>
      <c r="Q4656">
        <v>-2.0278350000000001E-2</v>
      </c>
      <c r="R4656">
        <v>3.337217E-2</v>
      </c>
      <c r="S4656">
        <v>-3.012146</v>
      </c>
      <c r="T4656">
        <v>-6.4628599999999994E-2</v>
      </c>
      <c r="U4656">
        <v>-0.32710270000000002</v>
      </c>
      <c r="V4656">
        <v>6.1737229999999997E-2</v>
      </c>
      <c r="W4656">
        <v>-5.9043289999999998E-3</v>
      </c>
      <c r="X4656">
        <v>0.99807489999999999</v>
      </c>
      <c r="Y4656">
        <v>-7.967233E-2</v>
      </c>
      <c r="Z4656">
        <v>-2.4495799999999998E-4</v>
      </c>
      <c r="AA4656">
        <v>0.99682110000000002</v>
      </c>
      <c r="AB4656">
        <v>32</v>
      </c>
      <c r="AC4656">
        <v>-51.423900000000003</v>
      </c>
      <c r="AD4656">
        <v>-1.110222571242</v>
      </c>
      <c r="AE4656">
        <v>-5.6098999999999997</v>
      </c>
      <c r="AF4656">
        <v>-4.1453758907107199</v>
      </c>
      <c r="AG4656">
        <v>-1.110222571242</v>
      </c>
      <c r="AH4656">
        <v>51.538731473454597</v>
      </c>
      <c r="AI4656">
        <v>91.230076021441704</v>
      </c>
      <c r="AJ4656">
        <v>94.598528749140499</v>
      </c>
      <c r="AK4656">
        <v>51.717091733060897</v>
      </c>
      <c r="AL4656">
        <v>90.338295123051907</v>
      </c>
      <c r="AM4656">
        <v>86.460404331685893</v>
      </c>
      <c r="AN4656">
        <v>0.99999992633950796</v>
      </c>
    </row>
    <row r="4657" spans="1:40" x14ac:dyDescent="0.25">
      <c r="A4657" t="str">
        <f>"20190312161407260"</f>
        <v>20190312161407260</v>
      </c>
      <c r="B4657" t="str">
        <f>"1552378447250815"</f>
        <v>1552378447250815</v>
      </c>
      <c r="C4657" t="s">
        <v>40</v>
      </c>
      <c r="D4657">
        <v>4.9171050000000003</v>
      </c>
      <c r="E4657">
        <v>0.44811980000000001</v>
      </c>
      <c r="F4657" t="s">
        <v>84</v>
      </c>
      <c r="G4657">
        <v>-426.97269999999997</v>
      </c>
      <c r="H4657" s="1">
        <v>-8.7881179999999905E-6</v>
      </c>
      <c r="I4657">
        <v>134.59870000000001</v>
      </c>
      <c r="J4657">
        <v>-374.34519999999998</v>
      </c>
      <c r="K4657">
        <v>1.110212</v>
      </c>
      <c r="L4657">
        <v>140.2457</v>
      </c>
      <c r="M4657">
        <v>-0.99948879999999996</v>
      </c>
      <c r="N4657">
        <v>0</v>
      </c>
      <c r="O4657">
        <v>-2.8556749999999999E-2</v>
      </c>
      <c r="P4657">
        <v>-0.99925730000000001</v>
      </c>
      <c r="Q4657">
        <v>-1.9945330000000001E-2</v>
      </c>
      <c r="R4657">
        <v>3.2973969999999998E-2</v>
      </c>
      <c r="S4657">
        <v>-3.011749</v>
      </c>
      <c r="T4657">
        <v>-6.3174610000000006E-2</v>
      </c>
      <c r="U4657">
        <v>-0.32182309999999997</v>
      </c>
      <c r="V4657">
        <v>6.1500880000000001E-2</v>
      </c>
      <c r="W4657">
        <v>-5.5744100000000001E-3</v>
      </c>
      <c r="X4657">
        <v>0.99809150000000002</v>
      </c>
      <c r="Y4657">
        <v>-7.7798950000000006E-2</v>
      </c>
      <c r="Z4657">
        <v>-2.165363E-4</v>
      </c>
      <c r="AA4657">
        <v>0.99696899999999999</v>
      </c>
      <c r="AB4657">
        <v>31</v>
      </c>
      <c r="AC4657">
        <v>-52.627499999999998</v>
      </c>
      <c r="AD4657">
        <v>-1.110220788118</v>
      </c>
      <c r="AE4657">
        <v>-5.6469999999999896</v>
      </c>
      <c r="AF4657">
        <v>-4.1398494516175601</v>
      </c>
      <c r="AG4657">
        <v>-1.110220788118</v>
      </c>
      <c r="AH4657">
        <v>52.744103531292197</v>
      </c>
      <c r="AI4657">
        <v>91.202155612005598</v>
      </c>
      <c r="AJ4657">
        <v>94.487906521804405</v>
      </c>
      <c r="AK4657">
        <v>52.917968602357497</v>
      </c>
      <c r="AL4657">
        <v>90.319391808499802</v>
      </c>
      <c r="AM4657">
        <v>86.473979286790694</v>
      </c>
      <c r="AN4657">
        <v>1.00000003732993</v>
      </c>
    </row>
    <row r="4658" spans="1:40" x14ac:dyDescent="0.25">
      <c r="A4658" t="str">
        <f>"20190312161407274"</f>
        <v>20190312161407274</v>
      </c>
      <c r="B4658" t="str">
        <f>"1552378447271310"</f>
        <v>1552378447271310</v>
      </c>
      <c r="C4658" t="s">
        <v>40</v>
      </c>
      <c r="D4658">
        <v>5.1088589999999998</v>
      </c>
      <c r="E4658">
        <v>0.44867479999999998</v>
      </c>
      <c r="F4658" t="s">
        <v>84</v>
      </c>
      <c r="G4658">
        <v>-428.11779999999999</v>
      </c>
      <c r="H4658" s="1">
        <v>-8.9778799999999995E-6</v>
      </c>
      <c r="I4658">
        <v>134.62629999999999</v>
      </c>
      <c r="J4658">
        <v>-374.53160000000003</v>
      </c>
      <c r="K4658">
        <v>1.1102160000000001</v>
      </c>
      <c r="L4658">
        <v>140.24019999999999</v>
      </c>
      <c r="M4658">
        <v>-0.99948599999999999</v>
      </c>
      <c r="N4658">
        <v>0</v>
      </c>
      <c r="O4658">
        <v>-2.8656859999999999E-2</v>
      </c>
      <c r="P4658">
        <v>-0.99925050000000004</v>
      </c>
      <c r="Q4658">
        <v>-2.0058449999999999E-2</v>
      </c>
      <c r="R4658">
        <v>3.3112059999999999E-2</v>
      </c>
      <c r="S4658">
        <v>-3.0114139999999998</v>
      </c>
      <c r="T4658">
        <v>-6.2175389999999997E-2</v>
      </c>
      <c r="U4658">
        <v>-0.31469730000000001</v>
      </c>
      <c r="V4658">
        <v>6.1738689999999999E-2</v>
      </c>
      <c r="W4658">
        <v>-5.6897980000000003E-3</v>
      </c>
      <c r="X4658">
        <v>0.99807610000000002</v>
      </c>
      <c r="Y4658">
        <v>-7.5378399999999998E-2</v>
      </c>
      <c r="Z4658">
        <v>-1.861806E-4</v>
      </c>
      <c r="AA4658">
        <v>0.99715500000000001</v>
      </c>
      <c r="AB4658">
        <v>31</v>
      </c>
      <c r="AC4658">
        <v>-53.586199999999899</v>
      </c>
      <c r="AD4658">
        <v>-1.11022497788</v>
      </c>
      <c r="AE4658">
        <v>-5.6139000000000001</v>
      </c>
      <c r="AF4658">
        <v>-4.0740932737577102</v>
      </c>
      <c r="AG4658">
        <v>-1.11022497788</v>
      </c>
      <c r="AH4658">
        <v>53.702279633402199</v>
      </c>
      <c r="AI4658">
        <v>91.180954615725099</v>
      </c>
      <c r="AJ4658">
        <v>94.338401761047294</v>
      </c>
      <c r="AK4658">
        <v>53.868039442037499</v>
      </c>
      <c r="AL4658">
        <v>90.326003180303104</v>
      </c>
      <c r="AM4658">
        <v>86.460325082952906</v>
      </c>
      <c r="AN4658">
        <v>0.99999997051770295</v>
      </c>
    </row>
    <row r="4659" spans="1:40" x14ac:dyDescent="0.25">
      <c r="A4659" t="str">
        <f>"20190312161407529"</f>
        <v>20190312161407529</v>
      </c>
      <c r="B4659" t="str">
        <f>"1552378447521167"</f>
        <v>1552378447521167</v>
      </c>
      <c r="C4659" t="s">
        <v>40</v>
      </c>
      <c r="D4659">
        <v>8.8202049999999996</v>
      </c>
      <c r="E4659">
        <v>0.44431929999999997</v>
      </c>
      <c r="F4659" t="s">
        <v>84</v>
      </c>
      <c r="G4659">
        <v>-430.62299999999999</v>
      </c>
      <c r="H4659" s="1">
        <v>-8.9530250000000006E-6</v>
      </c>
      <c r="I4659">
        <v>134.46969999999999</v>
      </c>
      <c r="J4659">
        <v>-378.08960000000002</v>
      </c>
      <c r="K4659">
        <v>1.110228</v>
      </c>
      <c r="L4659">
        <v>140.13299999999899</v>
      </c>
      <c r="M4659">
        <v>-0.99942980000000003</v>
      </c>
      <c r="N4659">
        <v>0</v>
      </c>
      <c r="O4659">
        <v>-3.0570819999999999E-2</v>
      </c>
      <c r="P4659">
        <v>-0.99937739999999997</v>
      </c>
      <c r="Q4659">
        <v>-1.8169769999999998E-2</v>
      </c>
      <c r="R4659">
        <v>3.024423E-2</v>
      </c>
      <c r="S4659">
        <v>-3.0113219999999998</v>
      </c>
      <c r="T4659">
        <v>-5.9603570000000002E-2</v>
      </c>
      <c r="U4659">
        <v>-0.3097992</v>
      </c>
      <c r="V4659">
        <v>6.078625E-2</v>
      </c>
      <c r="W4659">
        <v>-3.8397269999999998E-3</v>
      </c>
      <c r="X4659">
        <v>0.99814340000000001</v>
      </c>
      <c r="Y4659">
        <v>-7.1868719999999997E-2</v>
      </c>
      <c r="Z4659">
        <v>-1.0611650000000001E-4</v>
      </c>
      <c r="AA4659">
        <v>0.99741409999999997</v>
      </c>
      <c r="AB4659">
        <v>31</v>
      </c>
      <c r="AC4659">
        <v>-52.5334</v>
      </c>
      <c r="AD4659">
        <v>-1.110236953025</v>
      </c>
      <c r="AE4659">
        <v>-5.6632999999999898</v>
      </c>
      <c r="AF4659">
        <v>-4.0527089732899704</v>
      </c>
      <c r="AG4659">
        <v>-1.110236953025</v>
      </c>
      <c r="AH4659">
        <v>52.658741078191703</v>
      </c>
      <c r="AI4659">
        <v>91.204263395443903</v>
      </c>
      <c r="AJ4659">
        <v>94.400908234288394</v>
      </c>
      <c r="AK4659">
        <v>52.826130731429501</v>
      </c>
      <c r="AL4659">
        <v>90.220000696729301</v>
      </c>
      <c r="AM4659">
        <v>86.515030251039207</v>
      </c>
      <c r="AN4659">
        <v>0.99999997932802798</v>
      </c>
    </row>
    <row r="4660" spans="1:40" x14ac:dyDescent="0.25">
      <c r="A4660" t="str">
        <f>"20190312161407551"</f>
        <v>20190312161407551</v>
      </c>
      <c r="B4660" t="str">
        <f>"1552378447540687"</f>
        <v>1552378447540687</v>
      </c>
      <c r="C4660" t="s">
        <v>40</v>
      </c>
      <c r="D4660">
        <v>5.3144609999999997</v>
      </c>
      <c r="E4660">
        <v>0.4427297</v>
      </c>
      <c r="F4660" t="s">
        <v>42</v>
      </c>
      <c r="G4660">
        <v>-453.79809999999998</v>
      </c>
      <c r="H4660" s="1">
        <v>-3.3071710000000001E-6</v>
      </c>
      <c r="I4660">
        <v>131.25829999999999</v>
      </c>
      <c r="J4660">
        <v>-378.38819999999998</v>
      </c>
      <c r="K4660">
        <v>1.1102299999999901</v>
      </c>
      <c r="L4660">
        <v>140.12370000000001</v>
      </c>
      <c r="M4660">
        <v>-0.99942500000000001</v>
      </c>
      <c r="N4660">
        <v>0</v>
      </c>
      <c r="O4660">
        <v>-3.073184E-2</v>
      </c>
      <c r="P4660">
        <v>-0.99939120000000004</v>
      </c>
      <c r="Q4660">
        <v>-1.8692139999999999E-2</v>
      </c>
      <c r="R4660">
        <v>2.9462809999999999E-2</v>
      </c>
      <c r="S4660">
        <v>-3.0117799999999999</v>
      </c>
      <c r="T4660">
        <v>-4.4166450000000003E-2</v>
      </c>
      <c r="U4660">
        <v>-0.35304259999999998</v>
      </c>
      <c r="V4660">
        <v>6.0166520000000001E-2</v>
      </c>
      <c r="W4660">
        <v>-4.3652630000000003E-3</v>
      </c>
      <c r="X4660">
        <v>0.99817880000000003</v>
      </c>
      <c r="Y4660">
        <v>-8.5836629999999997E-2</v>
      </c>
      <c r="Z4660">
        <v>-1.7829869999999999E-4</v>
      </c>
      <c r="AA4660">
        <v>0.99630920000000001</v>
      </c>
      <c r="AB4660">
        <v>31</v>
      </c>
      <c r="AC4660">
        <v>-75.409899999999993</v>
      </c>
      <c r="AD4660">
        <v>-1.11023330717099</v>
      </c>
      <c r="AE4660">
        <v>-8.8654000000000206</v>
      </c>
      <c r="AF4660">
        <v>-6.5420901788591603</v>
      </c>
      <c r="AG4660">
        <v>-1.11023330717099</v>
      </c>
      <c r="AH4660">
        <v>75.630582079274603</v>
      </c>
      <c r="AI4660">
        <v>90.837895304206796</v>
      </c>
      <c r="AJ4660">
        <v>94.943812945633994</v>
      </c>
      <c r="AK4660">
        <v>75.921120299654206</v>
      </c>
      <c r="AL4660">
        <v>90.250111942903004</v>
      </c>
      <c r="AM4660">
        <v>86.550596135826197</v>
      </c>
      <c r="AN4660">
        <v>0.99999999120970395</v>
      </c>
    </row>
    <row r="4661" spans="1:40" x14ac:dyDescent="0.25">
      <c r="A4661" t="str">
        <f>"20190312161407572"</f>
        <v>20190312161407572</v>
      </c>
      <c r="B4661" t="str">
        <f>"1552378447561183"</f>
        <v>1552378447561183</v>
      </c>
      <c r="C4661" t="s">
        <v>40</v>
      </c>
      <c r="D4661">
        <v>4.9133589999999998</v>
      </c>
      <c r="E4661">
        <v>0.44157020000000002</v>
      </c>
      <c r="F4661" t="s">
        <v>84</v>
      </c>
      <c r="G4661">
        <v>-437.47129999999999</v>
      </c>
      <c r="H4661" s="1">
        <v>-5.3922209999999997E-6</v>
      </c>
      <c r="I4661">
        <v>132.90020000000001</v>
      </c>
      <c r="J4661">
        <v>-378.68400000000003</v>
      </c>
      <c r="K4661">
        <v>1.1102320000000001</v>
      </c>
      <c r="L4661">
        <v>140.11439999999999</v>
      </c>
      <c r="M4661">
        <v>-0.99942010000000003</v>
      </c>
      <c r="N4661">
        <v>0</v>
      </c>
      <c r="O4661">
        <v>-3.0891180000000001E-2</v>
      </c>
      <c r="P4661">
        <v>-0.9994189</v>
      </c>
      <c r="Q4661">
        <v>-1.8482700000000001E-2</v>
      </c>
      <c r="R4661">
        <v>2.8645460000000001E-2</v>
      </c>
      <c r="S4661">
        <v>-3.0115970000000001</v>
      </c>
      <c r="T4661">
        <v>-5.659115E-2</v>
      </c>
      <c r="U4661">
        <v>-0.36819459999999998</v>
      </c>
      <c r="V4661">
        <v>5.9509409999999999E-2</v>
      </c>
      <c r="W4661">
        <v>-4.1587539999999997E-3</v>
      </c>
      <c r="X4661">
        <v>0.99821910000000003</v>
      </c>
      <c r="Y4661">
        <v>-9.0621019999999997E-2</v>
      </c>
      <c r="Z4661">
        <v>-2.7020750000000002E-4</v>
      </c>
      <c r="AA4661">
        <v>0.99588540000000003</v>
      </c>
      <c r="AB4661">
        <v>31</v>
      </c>
      <c r="AC4661">
        <v>-58.787299999999902</v>
      </c>
      <c r="AD4661">
        <v>-1.11023739222099</v>
      </c>
      <c r="AE4661">
        <v>-7.2141999999999697</v>
      </c>
      <c r="AF4661">
        <v>-5.3926660680749103</v>
      </c>
      <c r="AG4661">
        <v>-1.11023739222099</v>
      </c>
      <c r="AH4661">
        <v>58.961398560545902</v>
      </c>
      <c r="AI4661">
        <v>91.074263713716803</v>
      </c>
      <c r="AJ4661">
        <v>95.225787890030603</v>
      </c>
      <c r="AK4661">
        <v>59.217902652866698</v>
      </c>
      <c r="AL4661">
        <v>90.238279734712506</v>
      </c>
      <c r="AM4661">
        <v>86.588316811640794</v>
      </c>
      <c r="AN4661">
        <v>1.00000001835909</v>
      </c>
    </row>
    <row r="4662" spans="1:40" x14ac:dyDescent="0.25">
      <c r="A4662" t="str">
        <f>"20190312161407595"</f>
        <v>20190312161407595</v>
      </c>
      <c r="B4662" t="str">
        <f>"1552378447591439"</f>
        <v>1552378447591439</v>
      </c>
      <c r="C4662" t="s">
        <v>40</v>
      </c>
      <c r="D4662">
        <v>5.2945699999999896</v>
      </c>
      <c r="E4662">
        <v>0.40148679999999998</v>
      </c>
      <c r="F4662" t="s">
        <v>84</v>
      </c>
      <c r="G4662">
        <v>-432.0992</v>
      </c>
      <c r="H4662" s="1">
        <v>-7.9576789999999993E-6</v>
      </c>
      <c r="I4662">
        <v>133.37270000000001</v>
      </c>
      <c r="J4662">
        <v>-378.99349999999998</v>
      </c>
      <c r="K4662">
        <v>1.1102350000000001</v>
      </c>
      <c r="L4662">
        <v>140.1046</v>
      </c>
      <c r="M4662">
        <v>-0.99941489999999999</v>
      </c>
      <c r="N4662">
        <v>0</v>
      </c>
      <c r="O4662">
        <v>-3.105815E-2</v>
      </c>
      <c r="P4662">
        <v>-0.99944149999999998</v>
      </c>
      <c r="Q4662">
        <v>-1.8691530000000001E-2</v>
      </c>
      <c r="R4662">
        <v>2.7703599999999998E-2</v>
      </c>
      <c r="S4662">
        <v>-3.011444</v>
      </c>
      <c r="T4662">
        <v>-6.2593099999999999E-2</v>
      </c>
      <c r="U4662">
        <v>-0.38008120000000001</v>
      </c>
      <c r="V4662">
        <v>5.8735620000000002E-2</v>
      </c>
      <c r="W4662">
        <v>-4.3708690000000003E-3</v>
      </c>
      <c r="X4662">
        <v>0.99826400000000004</v>
      </c>
      <c r="Y4662">
        <v>-9.4328149999999999E-2</v>
      </c>
      <c r="Z4662">
        <v>-3.3372970000000002E-4</v>
      </c>
      <c r="AA4662">
        <v>0.99554109999999996</v>
      </c>
      <c r="AB4662">
        <v>31</v>
      </c>
      <c r="AC4662">
        <v>-53.105699999999999</v>
      </c>
      <c r="AD4662">
        <v>-1.1102429576790001</v>
      </c>
      <c r="AE4662">
        <v>-6.7318999999999898</v>
      </c>
      <c r="AF4662">
        <v>-5.0769337411819198</v>
      </c>
      <c r="AG4662">
        <v>-1.1102429576790001</v>
      </c>
      <c r="AH4662">
        <v>53.2662642281581</v>
      </c>
      <c r="AI4662">
        <v>91.188672868581406</v>
      </c>
      <c r="AJ4662">
        <v>95.444549226044799</v>
      </c>
      <c r="AK4662">
        <v>53.519181612403102</v>
      </c>
      <c r="AL4662">
        <v>90.250433145004493</v>
      </c>
      <c r="AM4662">
        <v>86.632726661671299</v>
      </c>
      <c r="AN4662">
        <v>0.99999999562429898</v>
      </c>
    </row>
    <row r="4663" spans="1:40" x14ac:dyDescent="0.25">
      <c r="A4663" t="str">
        <f>"20190312161407618"</f>
        <v>20190312161407618</v>
      </c>
      <c r="B4663" t="str">
        <f>"1552378447610960"</f>
        <v>1552378447610960</v>
      </c>
      <c r="C4663" t="s">
        <v>40</v>
      </c>
      <c r="D4663">
        <v>5.2436550000000004</v>
      </c>
      <c r="E4663">
        <v>0.43567420000000001</v>
      </c>
      <c r="F4663" t="s">
        <v>78</v>
      </c>
      <c r="G4663">
        <v>-468.93990000000002</v>
      </c>
      <c r="H4663">
        <v>10.929539999999999</v>
      </c>
      <c r="I4663">
        <v>119.395</v>
      </c>
      <c r="J4663">
        <v>-379.30919999999998</v>
      </c>
      <c r="K4663">
        <v>1.110236</v>
      </c>
      <c r="L4663">
        <v>140.09460000000001</v>
      </c>
      <c r="M4663">
        <v>-0.99940969999999996</v>
      </c>
      <c r="N4663">
        <v>0</v>
      </c>
      <c r="O4663">
        <v>-3.1228229999999999E-2</v>
      </c>
      <c r="P4663">
        <v>-0.99946740000000001</v>
      </c>
      <c r="Q4663">
        <v>-1.8780660000000001E-2</v>
      </c>
      <c r="R4663">
        <v>2.6688690000000001E-2</v>
      </c>
      <c r="S4663">
        <v>-3.0271910000000002</v>
      </c>
      <c r="T4663">
        <v>0.33047399999999999</v>
      </c>
      <c r="U4663">
        <v>-0.69699100000000003</v>
      </c>
      <c r="V4663">
        <v>5.7891959999999999E-2</v>
      </c>
      <c r="W4663">
        <v>-4.4630820000000002E-3</v>
      </c>
      <c r="X4663">
        <v>0.99831289999999995</v>
      </c>
      <c r="Y4663">
        <v>-0.19291759999999999</v>
      </c>
      <c r="Z4663">
        <v>7.012173E-3</v>
      </c>
      <c r="AA4663">
        <v>0.98118989999999995</v>
      </c>
      <c r="AB4663">
        <v>31</v>
      </c>
      <c r="AC4663">
        <v>-89.630700000000004</v>
      </c>
      <c r="AD4663">
        <v>9.8193040000000007</v>
      </c>
      <c r="AE4663">
        <v>-20.6996</v>
      </c>
      <c r="AF4663">
        <v>-17.688660182347402</v>
      </c>
      <c r="AG4663">
        <v>9.8193040000000007</v>
      </c>
      <c r="AH4663">
        <v>89.216904893793199</v>
      </c>
      <c r="AI4663">
        <v>83.838237393990994</v>
      </c>
      <c r="AJ4663">
        <v>101.214359457848</v>
      </c>
      <c r="AK4663">
        <v>91.482039488192001</v>
      </c>
      <c r="AL4663">
        <v>90.255716605484295</v>
      </c>
      <c r="AM4663">
        <v>86.681146416953098</v>
      </c>
      <c r="AN4663">
        <v>1.0000000222199901</v>
      </c>
    </row>
    <row r="4664" spans="1:40" x14ac:dyDescent="0.25">
      <c r="A4664" t="str">
        <f>"20190312161407640"</f>
        <v>20190312161407640</v>
      </c>
      <c r="B4664" t="str">
        <f>"1552378447631470"</f>
        <v>1552378447631470</v>
      </c>
      <c r="C4664" t="s">
        <v>40</v>
      </c>
      <c r="D4664">
        <v>5.3111189999999997</v>
      </c>
      <c r="E4664">
        <v>0.43578289999999997</v>
      </c>
      <c r="F4664" t="s">
        <v>84</v>
      </c>
      <c r="G4664">
        <v>-411.0874</v>
      </c>
      <c r="H4664" s="1">
        <v>-8.7877220000000008E-6</v>
      </c>
      <c r="I4664">
        <v>135.5205</v>
      </c>
      <c r="J4664">
        <v>-379.61040000000003</v>
      </c>
      <c r="K4664">
        <v>1.1102339999999999</v>
      </c>
      <c r="L4664">
        <v>140.08500000000001</v>
      </c>
      <c r="M4664">
        <v>-0.99940450000000003</v>
      </c>
      <c r="N4664">
        <v>0</v>
      </c>
      <c r="O4664">
        <v>-3.1390670000000002E-2</v>
      </c>
      <c r="P4664">
        <v>-0.99948329999999996</v>
      </c>
      <c r="Q4664">
        <v>-1.8935279999999999E-2</v>
      </c>
      <c r="R4664">
        <v>2.596905E-2</v>
      </c>
      <c r="S4664">
        <v>-3.0111690000000002</v>
      </c>
      <c r="T4664">
        <v>-0.10520210000000001</v>
      </c>
      <c r="U4664">
        <v>-0.43342589999999998</v>
      </c>
      <c r="V4664">
        <v>5.7335400000000002E-2</v>
      </c>
      <c r="W4664">
        <v>-4.6205639999999997E-3</v>
      </c>
      <c r="X4664">
        <v>0.99834429999999996</v>
      </c>
      <c r="Y4664">
        <v>-0.1112795</v>
      </c>
      <c r="Z4664">
        <v>-8.4323509999999896E-4</v>
      </c>
      <c r="AA4664">
        <v>0.99378880000000003</v>
      </c>
      <c r="AB4664">
        <v>31</v>
      </c>
      <c r="AC4664">
        <v>-31.476999999999901</v>
      </c>
      <c r="AD4664">
        <v>-1.110242787722</v>
      </c>
      <c r="AE4664">
        <v>-4.5644999999999998</v>
      </c>
      <c r="AF4664">
        <v>-3.56971500794779</v>
      </c>
      <c r="AG4664">
        <v>-1.110242787722</v>
      </c>
      <c r="AH4664">
        <v>31.566319778757201</v>
      </c>
      <c r="AI4664">
        <v>92.001614951274505</v>
      </c>
      <c r="AJ4664">
        <v>96.451951324891496</v>
      </c>
      <c r="AK4664">
        <v>31.786916312539802</v>
      </c>
      <c r="AL4664">
        <v>90.264739753022198</v>
      </c>
      <c r="AM4664">
        <v>86.713085968917895</v>
      </c>
      <c r="AN4664">
        <v>1.00000001952366</v>
      </c>
    </row>
    <row r="4665" spans="1:40" x14ac:dyDescent="0.25">
      <c r="A4665" t="str">
        <f>"20190312161407662"</f>
        <v>20190312161407662</v>
      </c>
      <c r="B4665" t="str">
        <f>"1552378447650975"</f>
        <v>1552378447650975</v>
      </c>
      <c r="C4665" t="s">
        <v>40</v>
      </c>
      <c r="D4665">
        <v>5.3054819999999996</v>
      </c>
      <c r="E4665">
        <v>0.43637920000000002</v>
      </c>
      <c r="F4665" t="s">
        <v>84</v>
      </c>
      <c r="G4665">
        <v>-410.93389999999999</v>
      </c>
      <c r="H4665" s="1">
        <v>-8.8192750000000004E-6</v>
      </c>
      <c r="I4665">
        <v>135.56180000000001</v>
      </c>
      <c r="J4665">
        <v>-379.91419999999999</v>
      </c>
      <c r="K4665">
        <v>1.1102379999999901</v>
      </c>
      <c r="L4665">
        <v>140.0753</v>
      </c>
      <c r="M4665">
        <v>-0.9993995</v>
      </c>
      <c r="N4665">
        <v>0</v>
      </c>
      <c r="O4665">
        <v>-3.1554909999999999E-2</v>
      </c>
      <c r="P4665">
        <v>-0.99950430000000001</v>
      </c>
      <c r="Q4665">
        <v>-1.8963420000000002E-2</v>
      </c>
      <c r="R4665">
        <v>2.5133659999999999E-2</v>
      </c>
      <c r="S4665">
        <v>-3.0108030000000001</v>
      </c>
      <c r="T4665">
        <v>-0.1067159</v>
      </c>
      <c r="U4665">
        <v>-0.43476870000000001</v>
      </c>
      <c r="V4665">
        <v>5.6665010000000002E-2</v>
      </c>
      <c r="W4665">
        <v>-4.651512E-3</v>
      </c>
      <c r="X4665">
        <v>0.9983824</v>
      </c>
      <c r="Y4665">
        <v>-0.111566</v>
      </c>
      <c r="Z4665">
        <v>-8.5470789999999902E-4</v>
      </c>
      <c r="AA4665">
        <v>0.99375670000000005</v>
      </c>
      <c r="AB4665">
        <v>31</v>
      </c>
      <c r="AC4665">
        <v>-31.0197</v>
      </c>
      <c r="AD4665">
        <v>-1.1102468192749999</v>
      </c>
      <c r="AE4665">
        <v>-4.5134999999999899</v>
      </c>
      <c r="AF4665">
        <v>-3.5279020573807598</v>
      </c>
      <c r="AG4665">
        <v>-1.1102468192749999</v>
      </c>
      <c r="AH4665">
        <v>31.107663246846599</v>
      </c>
      <c r="AI4665">
        <v>92.031036579895101</v>
      </c>
      <c r="AJ4665">
        <v>96.470236242620103</v>
      </c>
      <c r="AK4665">
        <v>31.326753001314898</v>
      </c>
      <c r="AL4665">
        <v>90.266512970155702</v>
      </c>
      <c r="AM4665">
        <v>86.751558881156498</v>
      </c>
      <c r="AN4665">
        <v>0.99999998827597303</v>
      </c>
    </row>
    <row r="4666" spans="1:40" x14ac:dyDescent="0.25">
      <c r="A4666" t="str">
        <f>"20190312161407685"</f>
        <v>20190312161407685</v>
      </c>
      <c r="B4666" t="str">
        <f>"1552378447681232"</f>
        <v>1552378447681232</v>
      </c>
      <c r="C4666" t="s">
        <v>40</v>
      </c>
      <c r="D4666">
        <v>5.4869029999999999</v>
      </c>
      <c r="E4666">
        <v>0.4371237</v>
      </c>
      <c r="F4666" t="s">
        <v>84</v>
      </c>
      <c r="G4666">
        <v>-406.61840000000001</v>
      </c>
      <c r="H4666" s="1">
        <v>-7.1192959999999996E-6</v>
      </c>
      <c r="I4666">
        <v>136.2364</v>
      </c>
      <c r="J4666">
        <v>-380.22230000000002</v>
      </c>
      <c r="K4666">
        <v>1.1102350000000001</v>
      </c>
      <c r="L4666">
        <v>140.06540000000001</v>
      </c>
      <c r="M4666">
        <v>-0.99939440000000002</v>
      </c>
      <c r="N4666">
        <v>0</v>
      </c>
      <c r="O4666">
        <v>-3.1721289999999999E-2</v>
      </c>
      <c r="P4666">
        <v>-0.9995174</v>
      </c>
      <c r="Q4666">
        <v>-1.8858260000000002E-2</v>
      </c>
      <c r="R4666">
        <v>2.468737E-2</v>
      </c>
      <c r="S4666">
        <v>-3.0100099999999999</v>
      </c>
      <c r="T4666">
        <v>-0.12514310000000001</v>
      </c>
      <c r="U4666">
        <v>-0.4327087</v>
      </c>
      <c r="V4666">
        <v>5.6385520000000001E-2</v>
      </c>
      <c r="W4666">
        <v>-4.5494130000000004E-3</v>
      </c>
      <c r="X4666">
        <v>0.99839869999999997</v>
      </c>
      <c r="Y4666">
        <v>-0.11075359999999999</v>
      </c>
      <c r="Z4666">
        <v>-9.788214999999999E-4</v>
      </c>
      <c r="AA4666">
        <v>0.99384740000000005</v>
      </c>
      <c r="AB4666">
        <v>31</v>
      </c>
      <c r="AC4666">
        <v>-26.396099999999901</v>
      </c>
      <c r="AD4666">
        <v>-1.1102421192959999</v>
      </c>
      <c r="AE4666">
        <v>-3.8290000000000002</v>
      </c>
      <c r="AF4666">
        <v>-2.9844975573744001</v>
      </c>
      <c r="AG4666">
        <v>-1.1102421192959999</v>
      </c>
      <c r="AH4666">
        <v>26.458443413232001</v>
      </c>
      <c r="AI4666">
        <v>92.387696063450903</v>
      </c>
      <c r="AJ4666">
        <v>96.435728297615199</v>
      </c>
      <c r="AK4666">
        <v>26.649373183709798</v>
      </c>
      <c r="AL4666">
        <v>90.260663064871096</v>
      </c>
      <c r="AM4666">
        <v>86.767599835661002</v>
      </c>
      <c r="AN4666">
        <v>0.999999994093002</v>
      </c>
    </row>
    <row r="4667" spans="1:40" x14ac:dyDescent="0.25">
      <c r="A4667" t="str">
        <f>"20190312161407709"</f>
        <v>20190312161407709</v>
      </c>
      <c r="B4667" t="str">
        <f>"1552378447700751"</f>
        <v>1552378447700751</v>
      </c>
      <c r="C4667" t="s">
        <v>40</v>
      </c>
      <c r="D4667">
        <v>5.4680410000000004</v>
      </c>
      <c r="E4667">
        <v>0.43723060000000002</v>
      </c>
      <c r="F4667" t="s">
        <v>84</v>
      </c>
      <c r="G4667">
        <v>-405.03820000000002</v>
      </c>
      <c r="H4667" s="1">
        <v>-6.1800229999999997E-6</v>
      </c>
      <c r="I4667">
        <v>136.5334</v>
      </c>
      <c r="J4667">
        <v>-380.54899999999998</v>
      </c>
      <c r="K4667">
        <v>1.110239</v>
      </c>
      <c r="L4667">
        <v>140.0548</v>
      </c>
      <c r="M4667">
        <v>-0.99938879999999997</v>
      </c>
      <c r="N4667">
        <v>0</v>
      </c>
      <c r="O4667">
        <v>-3.1897799999999997E-2</v>
      </c>
      <c r="P4667">
        <v>-0.99953910000000001</v>
      </c>
      <c r="Q4667">
        <v>-1.8650900000000002E-2</v>
      </c>
      <c r="R4667">
        <v>2.3962819999999999E-2</v>
      </c>
      <c r="S4667">
        <v>-3.0094910000000001</v>
      </c>
      <c r="T4667">
        <v>-0.13464209999999999</v>
      </c>
      <c r="U4667">
        <v>-0.42832949999999997</v>
      </c>
      <c r="V4667">
        <v>5.583838E-2</v>
      </c>
      <c r="W4667">
        <v>-4.3449860000000003E-3</v>
      </c>
      <c r="X4667">
        <v>0.99843040000000005</v>
      </c>
      <c r="Y4667">
        <v>-0.109176</v>
      </c>
      <c r="Z4667">
        <v>-1.010391E-3</v>
      </c>
      <c r="AA4667">
        <v>0.99402190000000001</v>
      </c>
      <c r="AB4667">
        <v>31</v>
      </c>
      <c r="AC4667">
        <v>-24.489199999999901</v>
      </c>
      <c r="AD4667">
        <v>-1.110245180023</v>
      </c>
      <c r="AE4667">
        <v>-3.5213999999999999</v>
      </c>
      <c r="AF4667">
        <v>-2.7328729501353202</v>
      </c>
      <c r="AG4667">
        <v>-1.110245180023</v>
      </c>
      <c r="AH4667">
        <v>24.539656028545799</v>
      </c>
      <c r="AI4667">
        <v>92.574566193539397</v>
      </c>
      <c r="AJ4667">
        <v>96.354593355535997</v>
      </c>
      <c r="AK4667">
        <v>24.716309532790099</v>
      </c>
      <c r="AL4667">
        <v>90.2489501347969</v>
      </c>
      <c r="AM4667">
        <v>86.799001483367206</v>
      </c>
      <c r="AN4667">
        <v>1.00000003361426</v>
      </c>
    </row>
    <row r="4668" spans="1:40" x14ac:dyDescent="0.25">
      <c r="A4668" t="str">
        <f>"20190312161407731"</f>
        <v>20190312161407731</v>
      </c>
      <c r="B4668" t="str">
        <f>"1552378447721247"</f>
        <v>1552378447721247</v>
      </c>
      <c r="C4668" t="s">
        <v>40</v>
      </c>
      <c r="D4668">
        <v>5.4263379999999897</v>
      </c>
      <c r="E4668">
        <v>0.4372317</v>
      </c>
      <c r="F4668" t="s">
        <v>84</v>
      </c>
      <c r="G4668">
        <v>-405.6413</v>
      </c>
      <c r="H4668" s="1">
        <v>-6.5626109999999997E-6</v>
      </c>
      <c r="I4668">
        <v>136.4717</v>
      </c>
      <c r="J4668">
        <v>-380.84539999999998</v>
      </c>
      <c r="K4668">
        <v>1.1102399999999999</v>
      </c>
      <c r="L4668">
        <v>140.04519999999999</v>
      </c>
      <c r="M4668">
        <v>-0.99938360000000004</v>
      </c>
      <c r="N4668">
        <v>0</v>
      </c>
      <c r="O4668">
        <v>-3.2057740000000001E-2</v>
      </c>
      <c r="P4668">
        <v>-0.99954889999999996</v>
      </c>
      <c r="Q4668">
        <v>-1.8683999999999999E-2</v>
      </c>
      <c r="R4668">
        <v>2.351522E-2</v>
      </c>
      <c r="S4668">
        <v>-3.0091860000000001</v>
      </c>
      <c r="T4668">
        <v>-0.13314599999999999</v>
      </c>
      <c r="U4668">
        <v>-0.4297028</v>
      </c>
      <c r="V4668">
        <v>5.5550950000000002E-2</v>
      </c>
      <c r="W4668">
        <v>-4.3811800000000001E-3</v>
      </c>
      <c r="X4668">
        <v>0.99844619999999995</v>
      </c>
      <c r="Y4668">
        <v>-0.1094772</v>
      </c>
      <c r="Z4668">
        <v>-9.9884239999999992E-4</v>
      </c>
      <c r="AA4668">
        <v>0.99398880000000001</v>
      </c>
      <c r="AB4668">
        <v>31</v>
      </c>
      <c r="AC4668">
        <v>-24.7959</v>
      </c>
      <c r="AD4668">
        <v>-1.1102465626110001</v>
      </c>
      <c r="AE4668">
        <v>-3.5734999999999899</v>
      </c>
      <c r="AF4668">
        <v>-2.7712381807596902</v>
      </c>
      <c r="AG4668">
        <v>-1.1102465626110001</v>
      </c>
      <c r="AH4668">
        <v>24.848918429126801</v>
      </c>
      <c r="AI4668">
        <v>92.542525229535599</v>
      </c>
      <c r="AJ4668">
        <v>96.363530287489993</v>
      </c>
      <c r="AK4668">
        <v>25.0276078677465</v>
      </c>
      <c r="AL4668">
        <v>90.251023936755601</v>
      </c>
      <c r="AM4668">
        <v>86.815495023611604</v>
      </c>
      <c r="AN4668">
        <v>0.99999995853926604</v>
      </c>
    </row>
    <row r="4669" spans="1:40" x14ac:dyDescent="0.25">
      <c r="A4669" t="str">
        <f>"20190312161407751"</f>
        <v>20190312161407751</v>
      </c>
      <c r="B4669" t="str">
        <f>"1552378447740768"</f>
        <v>1552378447740768</v>
      </c>
      <c r="C4669" t="s">
        <v>40</v>
      </c>
      <c r="D4669">
        <v>5.4111949999999904</v>
      </c>
      <c r="E4669">
        <v>0.4418513</v>
      </c>
      <c r="F4669" t="s">
        <v>84</v>
      </c>
      <c r="G4669">
        <v>-405.75110000000001</v>
      </c>
      <c r="H4669" s="1">
        <v>-6.6409509999999997E-6</v>
      </c>
      <c r="I4669">
        <v>136.47899999999899</v>
      </c>
      <c r="J4669">
        <v>-381.13299999999998</v>
      </c>
      <c r="K4669">
        <v>1.110242</v>
      </c>
      <c r="L4669">
        <v>140.03579999999999</v>
      </c>
      <c r="M4669">
        <v>-0.99937869999999995</v>
      </c>
      <c r="N4669">
        <v>0</v>
      </c>
      <c r="O4669">
        <v>-3.2213159999999998E-2</v>
      </c>
      <c r="P4669">
        <v>-0.99954100000000001</v>
      </c>
      <c r="Q4669">
        <v>-1.8969219999999998E-2</v>
      </c>
      <c r="R4669">
        <v>2.3621989999999999E-2</v>
      </c>
      <c r="S4669">
        <v>-3.0090029999999999</v>
      </c>
      <c r="T4669">
        <v>-0.13413510000000001</v>
      </c>
      <c r="U4669">
        <v>-0.43084719999999999</v>
      </c>
      <c r="V4669">
        <v>5.5812849999999997E-2</v>
      </c>
      <c r="W4669">
        <v>-4.6696150000000002E-3</v>
      </c>
      <c r="X4669">
        <v>0.99843029999999999</v>
      </c>
      <c r="Y4669">
        <v>-0.1097003</v>
      </c>
      <c r="Z4669">
        <v>-1.004357E-3</v>
      </c>
      <c r="AA4669">
        <v>0.99396419999999996</v>
      </c>
      <c r="AB4669">
        <v>31</v>
      </c>
      <c r="AC4669">
        <v>-24.618099999999899</v>
      </c>
      <c r="AD4669">
        <v>-1.110248640951</v>
      </c>
      <c r="AE4669">
        <v>-3.5568</v>
      </c>
      <c r="AF4669">
        <v>-2.7563542742727698</v>
      </c>
      <c r="AG4669">
        <v>-1.110248640951</v>
      </c>
      <c r="AH4669">
        <v>24.670756552373899</v>
      </c>
      <c r="AI4669">
        <v>92.560809737432294</v>
      </c>
      <c r="AJ4669">
        <v>96.374965810697503</v>
      </c>
      <c r="AK4669">
        <v>24.849071809557302</v>
      </c>
      <c r="AL4669">
        <v>90.267550211352599</v>
      </c>
      <c r="AM4669">
        <v>86.800461658433093</v>
      </c>
      <c r="AN4669">
        <v>0.99999997174373001</v>
      </c>
    </row>
    <row r="4670" spans="1:40" x14ac:dyDescent="0.25">
      <c r="A4670" t="str">
        <f>"20190312161407773"</f>
        <v>20190312161407773</v>
      </c>
      <c r="B4670" t="str">
        <f>"1552378447771024"</f>
        <v>1552378447771024</v>
      </c>
      <c r="C4670" t="s">
        <v>40</v>
      </c>
      <c r="D4670">
        <v>5.6553050000000002</v>
      </c>
      <c r="E4670">
        <v>0.44094729999999999</v>
      </c>
      <c r="F4670" t="s">
        <v>42</v>
      </c>
      <c r="G4670">
        <v>-397.1617</v>
      </c>
      <c r="H4670" s="1">
        <v>-1.498771E-6</v>
      </c>
      <c r="I4670">
        <v>137.9316</v>
      </c>
      <c r="J4670">
        <v>-381.44009999999997</v>
      </c>
      <c r="K4670">
        <v>1.110241</v>
      </c>
      <c r="L4670">
        <v>140.0257</v>
      </c>
      <c r="M4670">
        <v>-0.99937339999999997</v>
      </c>
      <c r="N4670">
        <v>0</v>
      </c>
      <c r="O4670">
        <v>-3.2379409999999997E-2</v>
      </c>
      <c r="P4670">
        <v>-0.99953599999999998</v>
      </c>
      <c r="Q4670">
        <v>-1.9221370000000002E-2</v>
      </c>
      <c r="R4670">
        <v>2.364142E-2</v>
      </c>
      <c r="S4670">
        <v>-3.0067439999999999</v>
      </c>
      <c r="T4670">
        <v>-0.20826610000000001</v>
      </c>
      <c r="U4670">
        <v>-0.39469910000000002</v>
      </c>
      <c r="V4670">
        <v>5.5998319999999997E-2</v>
      </c>
      <c r="W4670">
        <v>-4.9252769999999996E-3</v>
      </c>
      <c r="X4670">
        <v>0.99841869999999999</v>
      </c>
      <c r="Y4670">
        <v>-9.782507E-2</v>
      </c>
      <c r="Z4670">
        <v>-1.1401930000000001E-3</v>
      </c>
      <c r="AA4670">
        <v>0.99520299999999995</v>
      </c>
      <c r="AB4670">
        <v>31</v>
      </c>
      <c r="AC4670">
        <v>-15.7216</v>
      </c>
      <c r="AD4670">
        <v>-1.110242498771</v>
      </c>
      <c r="AE4670">
        <v>-2.0940999999999899</v>
      </c>
      <c r="AF4670">
        <v>-1.5761701877057499</v>
      </c>
      <c r="AG4670">
        <v>-1.110242498771</v>
      </c>
      <c r="AH4670">
        <v>15.704215184727801</v>
      </c>
      <c r="AI4670">
        <v>94.023768514530204</v>
      </c>
      <c r="AJ4670">
        <v>95.731358359714704</v>
      </c>
      <c r="AK4670">
        <v>15.822115074632899</v>
      </c>
      <c r="AL4670">
        <v>90.282198730120101</v>
      </c>
      <c r="AM4670">
        <v>86.789814350158807</v>
      </c>
      <c r="AN4670">
        <v>0.99999998535301904</v>
      </c>
    </row>
    <row r="4671" spans="1:40" x14ac:dyDescent="0.25">
      <c r="A4671" t="str">
        <f>"20190312161407796"</f>
        <v>20190312161407796</v>
      </c>
      <c r="B4671" t="str">
        <f>"1552378447790543"</f>
        <v>1552378447790543</v>
      </c>
      <c r="C4671" t="s">
        <v>40</v>
      </c>
      <c r="D4671">
        <v>4.2819539999999998</v>
      </c>
      <c r="E4671">
        <v>0.43252429999999997</v>
      </c>
      <c r="F4671" t="s">
        <v>42</v>
      </c>
      <c r="G4671">
        <v>-397.85550000000001</v>
      </c>
      <c r="H4671" s="1">
        <v>-1.218881E-6</v>
      </c>
      <c r="I4671">
        <v>137.8314</v>
      </c>
      <c r="J4671">
        <v>-381.75310000000002</v>
      </c>
      <c r="K4671">
        <v>1.1102350000000001</v>
      </c>
      <c r="L4671">
        <v>140.0154</v>
      </c>
      <c r="M4671">
        <v>-0.99936789999999998</v>
      </c>
      <c r="N4671">
        <v>0</v>
      </c>
      <c r="O4671">
        <v>-3.2548529999999999E-2</v>
      </c>
      <c r="P4671">
        <v>-0.99954620000000005</v>
      </c>
      <c r="Q4671">
        <v>-1.912434E-2</v>
      </c>
      <c r="R4671">
        <v>2.3273559999999999E-2</v>
      </c>
      <c r="S4671">
        <v>-3.006958</v>
      </c>
      <c r="T4671">
        <v>-0.20337359999999999</v>
      </c>
      <c r="U4671">
        <v>-0.40193180000000001</v>
      </c>
      <c r="V4671">
        <v>5.5799649999999999E-2</v>
      </c>
      <c r="W4671">
        <v>-4.8315889999999998E-3</v>
      </c>
      <c r="X4671">
        <v>0.99843029999999999</v>
      </c>
      <c r="Y4671">
        <v>-0.10000249999999999</v>
      </c>
      <c r="Z4671">
        <v>-1.1751050000000001E-3</v>
      </c>
      <c r="AA4671">
        <v>0.9949865</v>
      </c>
      <c r="AB4671">
        <v>31</v>
      </c>
      <c r="AC4671">
        <v>-16.1023999999999</v>
      </c>
      <c r="AD4671">
        <v>-1.110236218881</v>
      </c>
      <c r="AE4671">
        <v>-2.1839999999999899</v>
      </c>
      <c r="AF4671">
        <v>-1.6509727878095199</v>
      </c>
      <c r="AG4671">
        <v>-1.110236218881</v>
      </c>
      <c r="AH4671">
        <v>16.089851976614298</v>
      </c>
      <c r="AI4671">
        <v>93.926729119645501</v>
      </c>
      <c r="AJ4671">
        <v>95.858591529813907</v>
      </c>
      <c r="AK4671">
        <v>16.212392551291199</v>
      </c>
      <c r="AL4671">
        <v>90.276830733850105</v>
      </c>
      <c r="AM4671">
        <v>86.8012167926167</v>
      </c>
      <c r="AN4671">
        <v>1.00000000457523</v>
      </c>
    </row>
    <row r="4672" spans="1:40" x14ac:dyDescent="0.25">
      <c r="A4672" t="str">
        <f>"20190312161407819"</f>
        <v>20190312161407819</v>
      </c>
      <c r="B4672" t="str">
        <f>"1552378447810470"</f>
        <v>1552378447810470</v>
      </c>
      <c r="C4672" t="s">
        <v>40</v>
      </c>
      <c r="D4672">
        <v>5.5467409999999999</v>
      </c>
      <c r="E4672">
        <v>0.36158990000000002</v>
      </c>
      <c r="F4672" t="s">
        <v>42</v>
      </c>
      <c r="G4672">
        <v>-399.57690000000002</v>
      </c>
      <c r="H4672" s="1">
        <v>-7.6442930000000002E-7</v>
      </c>
      <c r="I4672">
        <v>137.2319</v>
      </c>
      <c r="J4672">
        <v>-382.05540000000002</v>
      </c>
      <c r="K4672">
        <v>1.1102320000000001</v>
      </c>
      <c r="L4672">
        <v>140.00530000000001</v>
      </c>
      <c r="M4672">
        <v>-0.99936259999999999</v>
      </c>
      <c r="N4672">
        <v>0</v>
      </c>
      <c r="O4672">
        <v>-3.271193E-2</v>
      </c>
      <c r="P4672">
        <v>-0.99956270000000003</v>
      </c>
      <c r="Q4672">
        <v>-1.8622909999999999E-2</v>
      </c>
      <c r="R4672">
        <v>2.297134E-2</v>
      </c>
      <c r="S4672">
        <v>-3.0087280000000001</v>
      </c>
      <c r="T4672">
        <v>-0.18741260000000001</v>
      </c>
      <c r="U4672">
        <v>-0.46984860000000001</v>
      </c>
      <c r="V4672">
        <v>5.5661259999999997E-2</v>
      </c>
      <c r="W4672">
        <v>-4.3332830000000003E-3</v>
      </c>
      <c r="X4672">
        <v>0.99844029999999995</v>
      </c>
      <c r="Y4672">
        <v>-0.1217176</v>
      </c>
      <c r="Z4672">
        <v>-1.742387E-3</v>
      </c>
      <c r="AA4672">
        <v>0.99256319999999998</v>
      </c>
      <c r="AB4672">
        <v>30</v>
      </c>
      <c r="AC4672">
        <v>-17.5215</v>
      </c>
      <c r="AD4672">
        <v>-1.1102327644293</v>
      </c>
      <c r="AE4672">
        <v>-2.7734000000000001</v>
      </c>
      <c r="AF4672">
        <v>-2.1901163962388002</v>
      </c>
      <c r="AG4672">
        <v>-1.1102327644293</v>
      </c>
      <c r="AH4672">
        <v>17.5341744917333</v>
      </c>
      <c r="AI4672">
        <v>93.595168099906402</v>
      </c>
      <c r="AJ4672">
        <v>97.1196901679549</v>
      </c>
      <c r="AK4672">
        <v>17.705267626523899</v>
      </c>
      <c r="AL4672">
        <v>90.248279606099103</v>
      </c>
      <c r="AM4672">
        <v>86.809165647435407</v>
      </c>
      <c r="AN4672">
        <v>0.99999999293521702</v>
      </c>
    </row>
    <row r="4673" spans="1:40" x14ac:dyDescent="0.25">
      <c r="A4673" t="str">
        <f>"20190312161407840"</f>
        <v>20190312161407840</v>
      </c>
      <c r="B4673" t="str">
        <f>"1552378447830952"</f>
        <v>1552378447830952</v>
      </c>
      <c r="C4673" t="s">
        <v>40</v>
      </c>
      <c r="D4673">
        <v>5.5190279999999996</v>
      </c>
      <c r="E4673">
        <v>0.36096440000000002</v>
      </c>
      <c r="F4673" t="s">
        <v>78</v>
      </c>
      <c r="G4673">
        <v>-441.08789999999999</v>
      </c>
      <c r="H4673">
        <v>0.66537639999999998</v>
      </c>
      <c r="I4673">
        <v>119.8177</v>
      </c>
      <c r="J4673">
        <v>-382.34870000000001</v>
      </c>
      <c r="K4673">
        <v>1.110231</v>
      </c>
      <c r="L4673">
        <v>139.9956</v>
      </c>
      <c r="M4673">
        <v>-0.99935739999999995</v>
      </c>
      <c r="N4673">
        <v>0</v>
      </c>
      <c r="O4673">
        <v>-3.2870330000000003E-2</v>
      </c>
      <c r="P4673">
        <v>-0.99957119999999999</v>
      </c>
      <c r="Q4673">
        <v>-1.8669580000000002E-2</v>
      </c>
      <c r="R4673">
        <v>2.255339E-2</v>
      </c>
      <c r="S4673">
        <v>-3.024689</v>
      </c>
      <c r="T4673">
        <v>-2.2791860000000001E-2</v>
      </c>
      <c r="U4673">
        <v>-1.0343629999999999</v>
      </c>
      <c r="V4673">
        <v>5.5402079999999999E-2</v>
      </c>
      <c r="W4673">
        <v>-4.3830040000000002E-3</v>
      </c>
      <c r="X4673">
        <v>0.99845450000000002</v>
      </c>
      <c r="Y4673">
        <v>-0.29228929999999997</v>
      </c>
      <c r="Z4673">
        <v>-8.3028429999999905E-4</v>
      </c>
      <c r="AA4673">
        <v>0.9563296</v>
      </c>
      <c r="AB4673">
        <v>30</v>
      </c>
      <c r="AC4673">
        <v>-58.739199999999897</v>
      </c>
      <c r="AD4673">
        <v>-0.44485459999999899</v>
      </c>
      <c r="AE4673">
        <v>-20.177899999999902</v>
      </c>
      <c r="AF4673">
        <v>-18.235084455937798</v>
      </c>
      <c r="AG4673">
        <v>-0.44485459999999899</v>
      </c>
      <c r="AH4673">
        <v>59.367728600308901</v>
      </c>
      <c r="AI4673">
        <v>90.410398636757705</v>
      </c>
      <c r="AJ4673">
        <v>107.074592771797</v>
      </c>
      <c r="AK4673">
        <v>62.106709781554699</v>
      </c>
      <c r="AL4673">
        <v>90.2511284361386</v>
      </c>
      <c r="AM4673">
        <v>86.824037974987903</v>
      </c>
      <c r="AN4673">
        <v>0.99999999488131996</v>
      </c>
    </row>
    <row r="4674" spans="1:40" x14ac:dyDescent="0.25">
      <c r="A4674" t="str">
        <f>"20190312161407863"</f>
        <v>20190312161407863</v>
      </c>
      <c r="B4674" t="str">
        <f>"1552378447861208"</f>
        <v>1552378447861208</v>
      </c>
      <c r="C4674" t="s">
        <v>40</v>
      </c>
      <c r="D4674">
        <v>5.5506539999999998</v>
      </c>
      <c r="E4674">
        <v>0.3376477</v>
      </c>
      <c r="F4674" t="s">
        <v>78</v>
      </c>
      <c r="G4674">
        <v>-440.99459999999999</v>
      </c>
      <c r="H4674">
        <v>0.68190079999999997</v>
      </c>
      <c r="I4674">
        <v>119.8177</v>
      </c>
      <c r="J4674">
        <v>-382.65309999999999</v>
      </c>
      <c r="K4674">
        <v>1.1102379999999901</v>
      </c>
      <c r="L4674">
        <v>139.9854</v>
      </c>
      <c r="M4674">
        <v>-0.99935220000000002</v>
      </c>
      <c r="N4674">
        <v>0</v>
      </c>
      <c r="O4674">
        <v>-3.3034920000000002E-2</v>
      </c>
      <c r="P4674">
        <v>-0.99955490000000002</v>
      </c>
      <c r="Q4674">
        <v>-1.9480399999999998E-2</v>
      </c>
      <c r="R4674">
        <v>2.2596580000000002E-2</v>
      </c>
      <c r="S4674">
        <v>-3.024384</v>
      </c>
      <c r="T4674">
        <v>-2.2087570000000001E-2</v>
      </c>
      <c r="U4674">
        <v>-1.040573</v>
      </c>
      <c r="V4674">
        <v>5.5609369999999998E-2</v>
      </c>
      <c r="W4674">
        <v>-5.1973519999999997E-3</v>
      </c>
      <c r="X4674">
        <v>0.99843910000000002</v>
      </c>
      <c r="Y4674">
        <v>-0.29391830000000002</v>
      </c>
      <c r="Z4674">
        <v>-8.0906369999999997E-4</v>
      </c>
      <c r="AA4674">
        <v>0.95583019999999996</v>
      </c>
      <c r="AB4674">
        <v>30</v>
      </c>
      <c r="AC4674">
        <v>-58.341500000000003</v>
      </c>
      <c r="AD4674">
        <v>-0.42833719999999897</v>
      </c>
      <c r="AE4674">
        <v>-20.1677</v>
      </c>
      <c r="AF4674">
        <v>-18.228309218628599</v>
      </c>
      <c r="AG4674">
        <v>-0.42833719999999897</v>
      </c>
      <c r="AH4674">
        <v>58.973117346440198</v>
      </c>
      <c r="AI4674">
        <v>90.397588008775202</v>
      </c>
      <c r="AJ4674">
        <v>107.17612955022901</v>
      </c>
      <c r="AK4674">
        <v>61.727492248461303</v>
      </c>
      <c r="AL4674">
        <v>90.297787667337403</v>
      </c>
      <c r="AM4674">
        <v>86.812130329161207</v>
      </c>
      <c r="AN4674">
        <v>1.0000000254542001</v>
      </c>
    </row>
    <row r="4675" spans="1:40" x14ac:dyDescent="0.25">
      <c r="A4675" t="str">
        <f>"20190312161407886"</f>
        <v>20190312161407886</v>
      </c>
      <c r="B4675" t="str">
        <f>"1552378447880731"</f>
        <v>1552378447880731</v>
      </c>
      <c r="C4675" t="s">
        <v>40</v>
      </c>
      <c r="D4675">
        <v>5.5850660000000003</v>
      </c>
      <c r="E4675">
        <v>0.33871780000000001</v>
      </c>
      <c r="F4675" t="s">
        <v>41</v>
      </c>
      <c r="G4675">
        <v>-444.4889</v>
      </c>
      <c r="H4675">
        <v>-0.05</v>
      </c>
      <c r="I4675">
        <v>114.9308</v>
      </c>
      <c r="J4675">
        <v>-382.96089999999998</v>
      </c>
      <c r="K4675">
        <v>1.1102479999999999</v>
      </c>
      <c r="L4675">
        <v>139.97499999999999</v>
      </c>
      <c r="M4675">
        <v>-0.99934670000000003</v>
      </c>
      <c r="N4675">
        <v>0</v>
      </c>
      <c r="O4675">
        <v>-3.3201300000000003E-2</v>
      </c>
      <c r="P4675">
        <v>-0.99956250000000002</v>
      </c>
      <c r="Q4675">
        <v>-1.8947700000000001E-2</v>
      </c>
      <c r="R4675">
        <v>2.2718639999999998E-2</v>
      </c>
      <c r="S4675">
        <v>-3.0279240000000001</v>
      </c>
      <c r="T4675">
        <v>-5.6813599999999999E-2</v>
      </c>
      <c r="U4675">
        <v>-1.2268520000000001</v>
      </c>
      <c r="V4675">
        <v>5.5897679999999998E-2</v>
      </c>
      <c r="W4675">
        <v>-4.6680630000000001E-3</v>
      </c>
      <c r="X4675">
        <v>0.99842560000000002</v>
      </c>
      <c r="Y4675">
        <v>-0.34449679999999999</v>
      </c>
      <c r="Z4675">
        <v>-2.5106640000000001E-3</v>
      </c>
      <c r="AA4675">
        <v>0.93878410000000001</v>
      </c>
      <c r="AB4675">
        <v>30</v>
      </c>
      <c r="AC4675">
        <v>-61.527999999999999</v>
      </c>
      <c r="AD4675">
        <v>-1.1602479999999999</v>
      </c>
      <c r="AE4675">
        <v>-25.044199999999901</v>
      </c>
      <c r="AF4675">
        <v>-22.980361854893999</v>
      </c>
      <c r="AG4675">
        <v>-1.1602479999999999</v>
      </c>
      <c r="AH4675">
        <v>62.306649623321398</v>
      </c>
      <c r="AI4675">
        <v>91.000919999912199</v>
      </c>
      <c r="AJ4675">
        <v>110.24532569634999</v>
      </c>
      <c r="AK4675">
        <v>66.419588930425505</v>
      </c>
      <c r="AL4675">
        <v>90.267461277075299</v>
      </c>
      <c r="AM4675">
        <v>86.795593750771701</v>
      </c>
      <c r="AN4675">
        <v>1.0000000100884501</v>
      </c>
    </row>
    <row r="4676" spans="1:40" x14ac:dyDescent="0.25">
      <c r="A4676" t="str">
        <f>"20190312161407910"</f>
        <v>20190312161407910</v>
      </c>
      <c r="B4676" t="str">
        <f>"1552378447901223"</f>
        <v>1552378447901223</v>
      </c>
      <c r="C4676" t="s">
        <v>40</v>
      </c>
      <c r="D4676">
        <v>5.6797959999999996</v>
      </c>
      <c r="E4676">
        <v>0.33903280000000002</v>
      </c>
      <c r="F4676" t="s">
        <v>84</v>
      </c>
      <c r="G4676">
        <v>-429.97390000000001</v>
      </c>
      <c r="H4676">
        <v>6.6154770000000002E-2</v>
      </c>
      <c r="I4676">
        <v>121.0642</v>
      </c>
      <c r="J4676">
        <v>-383.26960000000003</v>
      </c>
      <c r="K4676">
        <v>1.110249</v>
      </c>
      <c r="L4676">
        <v>139.96459999999999</v>
      </c>
      <c r="M4676">
        <v>-0.99934109999999998</v>
      </c>
      <c r="N4676">
        <v>0</v>
      </c>
      <c r="O4676">
        <v>-3.336803E-2</v>
      </c>
      <c r="P4676">
        <v>-0.99957759999999996</v>
      </c>
      <c r="Q4676">
        <v>-1.82737E-2</v>
      </c>
      <c r="R4676">
        <v>2.2608449999999999E-2</v>
      </c>
      <c r="S4676">
        <v>-3.0277400000000001</v>
      </c>
      <c r="T4676">
        <v>-6.7241910000000002E-2</v>
      </c>
      <c r="U4676">
        <v>-1.2178960000000001</v>
      </c>
      <c r="V4676">
        <v>5.5954480000000001E-2</v>
      </c>
      <c r="W4676">
        <v>-3.9973589999999998E-3</v>
      </c>
      <c r="X4676">
        <v>0.99842529999999996</v>
      </c>
      <c r="Y4676">
        <v>-0.34195239999999999</v>
      </c>
      <c r="Z4676">
        <v>-2.9424080000000001E-3</v>
      </c>
      <c r="AA4676">
        <v>0.93971269999999996</v>
      </c>
      <c r="AB4676">
        <v>30</v>
      </c>
      <c r="AC4676">
        <v>-46.704299999999897</v>
      </c>
      <c r="AD4676">
        <v>-1.04409423</v>
      </c>
      <c r="AE4676">
        <v>-18.900399999999902</v>
      </c>
      <c r="AF4676">
        <v>-17.323843909892599</v>
      </c>
      <c r="AG4676">
        <v>-1.04409423</v>
      </c>
      <c r="AH4676">
        <v>47.288712489762297</v>
      </c>
      <c r="AI4676">
        <v>91.187672124962205</v>
      </c>
      <c r="AJ4676">
        <v>110.119906790822</v>
      </c>
      <c r="AK4676">
        <v>50.372889826918303</v>
      </c>
      <c r="AL4676">
        <v>90.2290324141551</v>
      </c>
      <c r="AM4676">
        <v>86.792343452001305</v>
      </c>
      <c r="AN4676">
        <v>0.99999998119556699</v>
      </c>
    </row>
    <row r="4677" spans="1:40" x14ac:dyDescent="0.25">
      <c r="A4677" t="str">
        <f>"20190312161407931"</f>
        <v>20190312161407931</v>
      </c>
      <c r="B4677" t="str">
        <f>"1552378447920745"</f>
        <v>1552378447920745</v>
      </c>
      <c r="C4677" t="s">
        <v>40</v>
      </c>
      <c r="D4677">
        <v>5.5968059999999999</v>
      </c>
      <c r="E4677">
        <v>0.33900989999999998</v>
      </c>
      <c r="F4677" t="s">
        <v>84</v>
      </c>
      <c r="G4677">
        <v>-426.27800000000002</v>
      </c>
      <c r="H4677" s="1">
        <v>-3.525672E-6</v>
      </c>
      <c r="I4677">
        <v>122.6895</v>
      </c>
      <c r="J4677">
        <v>-383.57100000000003</v>
      </c>
      <c r="K4677">
        <v>1.110249</v>
      </c>
      <c r="L4677">
        <v>139.95429999999999</v>
      </c>
      <c r="M4677">
        <v>-0.9993358</v>
      </c>
      <c r="N4677">
        <v>0</v>
      </c>
      <c r="O4677">
        <v>-3.3531070000000003E-2</v>
      </c>
      <c r="P4677">
        <v>-0.99957739999999995</v>
      </c>
      <c r="Q4677">
        <v>-1.8171369999999999E-2</v>
      </c>
      <c r="R4677">
        <v>2.2695779999999999E-2</v>
      </c>
      <c r="S4677">
        <v>-3.0273439999999998</v>
      </c>
      <c r="T4677">
        <v>-7.8150269999999994E-2</v>
      </c>
      <c r="U4677">
        <v>-1.2159879999999901</v>
      </c>
      <c r="V4677">
        <v>5.6204419999999998E-2</v>
      </c>
      <c r="W4677">
        <v>-3.898318E-3</v>
      </c>
      <c r="X4677">
        <v>0.99841170000000001</v>
      </c>
      <c r="Y4677">
        <v>-0.34130919999999998</v>
      </c>
      <c r="Z4677">
        <v>-3.4083849999999999E-3</v>
      </c>
      <c r="AA4677">
        <v>0.93994489999999997</v>
      </c>
      <c r="AB4677">
        <v>30</v>
      </c>
      <c r="AC4677">
        <v>-42.707000000000001</v>
      </c>
      <c r="AD4677">
        <v>-1.1102525256719999</v>
      </c>
      <c r="AE4677">
        <v>-17.264799999999902</v>
      </c>
      <c r="AF4677">
        <v>-15.813746071863701</v>
      </c>
      <c r="AG4677">
        <v>-1.1102525256719999</v>
      </c>
      <c r="AH4677">
        <v>43.236829536768703</v>
      </c>
      <c r="AI4677">
        <v>91.381477213852605</v>
      </c>
      <c r="AJ4677">
        <v>110.089847612667</v>
      </c>
      <c r="AK4677">
        <v>46.0513914435573</v>
      </c>
      <c r="AL4677">
        <v>90.223357728026301</v>
      </c>
      <c r="AM4677">
        <v>86.778001670804002</v>
      </c>
      <c r="AN4677">
        <v>1.0000000282038199</v>
      </c>
    </row>
    <row r="4678" spans="1:40" x14ac:dyDescent="0.25">
      <c r="A4678" t="str">
        <f>"20190312161407952"</f>
        <v>20190312161407952</v>
      </c>
      <c r="B4678" t="str">
        <f>"1552378447941240"</f>
        <v>1552378447941240</v>
      </c>
      <c r="C4678" t="s">
        <v>40</v>
      </c>
      <c r="D4678">
        <v>5.5873299999999997</v>
      </c>
      <c r="E4678">
        <v>0.33872980000000003</v>
      </c>
      <c r="F4678" t="s">
        <v>84</v>
      </c>
      <c r="G4678">
        <v>-426.3331</v>
      </c>
      <c r="H4678" s="1">
        <v>-3.5879859999999998E-6</v>
      </c>
      <c r="I4678">
        <v>122.7811</v>
      </c>
      <c r="J4678">
        <v>-383.85879999999997</v>
      </c>
      <c r="K4678">
        <v>1.1102449999999999</v>
      </c>
      <c r="L4678">
        <v>139.94450000000001</v>
      </c>
      <c r="M4678">
        <v>-0.99933059999999996</v>
      </c>
      <c r="N4678">
        <v>0</v>
      </c>
      <c r="O4678">
        <v>-3.3687080000000001E-2</v>
      </c>
      <c r="P4678">
        <v>-0.99959010000000004</v>
      </c>
      <c r="Q4678">
        <v>-1.8019380000000002E-2</v>
      </c>
      <c r="R4678">
        <v>2.2256209999999998E-2</v>
      </c>
      <c r="S4678">
        <v>-3.0274049999999999</v>
      </c>
      <c r="T4678">
        <v>-7.8601840000000006E-2</v>
      </c>
      <c r="U4678">
        <v>-1.215805</v>
      </c>
      <c r="V4678">
        <v>5.5921360000000003E-2</v>
      </c>
      <c r="W4678">
        <v>-3.749362E-3</v>
      </c>
      <c r="X4678">
        <v>0.99842819999999999</v>
      </c>
      <c r="Y4678">
        <v>-0.34110600000000002</v>
      </c>
      <c r="Z4678">
        <v>-3.421622E-3</v>
      </c>
      <c r="AA4678">
        <v>0.94001860000000004</v>
      </c>
      <c r="AB4678">
        <v>30</v>
      </c>
      <c r="AC4678">
        <v>-42.474299999999999</v>
      </c>
      <c r="AD4678">
        <v>-1.110248587986</v>
      </c>
      <c r="AE4678">
        <v>-17.163399999999999</v>
      </c>
      <c r="AF4678">
        <v>-15.713446424248801</v>
      </c>
      <c r="AG4678">
        <v>-1.110248587986</v>
      </c>
      <c r="AH4678">
        <v>43.003173464077598</v>
      </c>
      <c r="AI4678">
        <v>91.389130084769107</v>
      </c>
      <c r="AJ4678">
        <v>110.072405587212</v>
      </c>
      <c r="AK4678">
        <v>45.797576119663901</v>
      </c>
      <c r="AL4678">
        <v>90.214823108171899</v>
      </c>
      <c r="AM4678">
        <v>86.794247425791994</v>
      </c>
      <c r="AN4678">
        <v>1.00000006338744</v>
      </c>
    </row>
    <row r="4679" spans="1:40" x14ac:dyDescent="0.25">
      <c r="A4679" t="str">
        <f>"20190312161407975"</f>
        <v>20190312161407975</v>
      </c>
      <c r="B4679" t="str">
        <f>"1552378447970523"</f>
        <v>1552378447970523</v>
      </c>
      <c r="C4679" t="s">
        <v>40</v>
      </c>
      <c r="D4679">
        <v>5.6035870000000001</v>
      </c>
      <c r="E4679">
        <v>0.33798840000000002</v>
      </c>
      <c r="F4679" t="s">
        <v>84</v>
      </c>
      <c r="G4679">
        <v>-426.30340000000001</v>
      </c>
      <c r="H4679" s="1">
        <v>-3.6172950000000002E-6</v>
      </c>
      <c r="I4679">
        <v>122.8467</v>
      </c>
      <c r="J4679">
        <v>-384.16609999999997</v>
      </c>
      <c r="K4679">
        <v>1.1102430000000001</v>
      </c>
      <c r="L4679">
        <v>139.934</v>
      </c>
      <c r="M4679">
        <v>-0.99932500000000002</v>
      </c>
      <c r="N4679">
        <v>0</v>
      </c>
      <c r="O4679">
        <v>-3.3853580000000001E-2</v>
      </c>
      <c r="P4679">
        <v>-0.99959940000000003</v>
      </c>
      <c r="Q4679">
        <v>-1.83339E-2</v>
      </c>
      <c r="R4679">
        <v>2.156477E-2</v>
      </c>
      <c r="S4679">
        <v>-3.0269780000000002</v>
      </c>
      <c r="T4679">
        <v>-7.9178330000000005E-2</v>
      </c>
      <c r="U4679">
        <v>-1.2193449999999999</v>
      </c>
      <c r="V4679">
        <v>5.5397059999999998E-2</v>
      </c>
      <c r="W4679">
        <v>-4.067088E-3</v>
      </c>
      <c r="X4679">
        <v>0.99845609999999996</v>
      </c>
      <c r="Y4679">
        <v>-0.34193990000000002</v>
      </c>
      <c r="Z4679">
        <v>-3.4527609999999999E-3</v>
      </c>
      <c r="AA4679">
        <v>0.93971539999999998</v>
      </c>
      <c r="AB4679">
        <v>30</v>
      </c>
      <c r="AC4679">
        <v>-42.137300000000003</v>
      </c>
      <c r="AD4679">
        <v>-1.1102466172949901</v>
      </c>
      <c r="AE4679">
        <v>-17.087299999999999</v>
      </c>
      <c r="AF4679">
        <v>-15.641534623656501</v>
      </c>
      <c r="AG4679">
        <v>-1.1102466172949901</v>
      </c>
      <c r="AH4679">
        <v>42.666229913529897</v>
      </c>
      <c r="AI4679">
        <v>91.399551430859503</v>
      </c>
      <c r="AJ4679">
        <v>110.133048465588</v>
      </c>
      <c r="AK4679">
        <v>45.456544390972603</v>
      </c>
      <c r="AL4679">
        <v>90.233027624504302</v>
      </c>
      <c r="AM4679">
        <v>86.824330239397398</v>
      </c>
      <c r="AN4679">
        <v>0.99999997954432596</v>
      </c>
    </row>
    <row r="4680" spans="1:40" x14ac:dyDescent="0.25">
      <c r="A4680" t="str">
        <f>"20190312161407997"</f>
        <v>20190312161407997</v>
      </c>
      <c r="B4680" t="str">
        <f>"1552378447991015"</f>
        <v>1552378447991015</v>
      </c>
      <c r="C4680" t="s">
        <v>40</v>
      </c>
      <c r="D4680">
        <v>5.5866540000000002</v>
      </c>
      <c r="E4680">
        <v>0.33743959999999901</v>
      </c>
      <c r="F4680" t="s">
        <v>84</v>
      </c>
      <c r="G4680">
        <v>-425.80540000000002</v>
      </c>
      <c r="H4680" s="1">
        <v>-3.6152530000000001E-6</v>
      </c>
      <c r="I4680">
        <v>123.0449</v>
      </c>
      <c r="J4680">
        <v>-384.46890000000002</v>
      </c>
      <c r="K4680">
        <v>1.1102350000000001</v>
      </c>
      <c r="L4680">
        <v>139.92349999999999</v>
      </c>
      <c r="M4680">
        <v>-0.99931959999999997</v>
      </c>
      <c r="N4680">
        <v>0</v>
      </c>
      <c r="O4680">
        <v>-3.4017569999999997E-2</v>
      </c>
      <c r="P4680">
        <v>-0.99960640000000001</v>
      </c>
      <c r="Q4680">
        <v>-1.867367E-2</v>
      </c>
      <c r="R4680">
        <v>2.0948430000000001E-2</v>
      </c>
      <c r="S4680">
        <v>-3.0262150000000001</v>
      </c>
      <c r="T4680">
        <v>-8.068931E-2</v>
      </c>
      <c r="U4680">
        <v>-1.2274480000000001</v>
      </c>
      <c r="V4680">
        <v>5.4945319999999999E-2</v>
      </c>
      <c r="W4680">
        <v>-4.4100809999999997E-3</v>
      </c>
      <c r="X4680">
        <v>0.99847960000000002</v>
      </c>
      <c r="Y4680">
        <v>-0.34402559999999999</v>
      </c>
      <c r="Z4680">
        <v>-3.5403159999999999E-3</v>
      </c>
      <c r="AA4680">
        <v>0.93895360000000005</v>
      </c>
      <c r="AB4680">
        <v>30</v>
      </c>
      <c r="AC4680">
        <v>-41.336500000000001</v>
      </c>
      <c r="AD4680">
        <v>-1.1102386152529999</v>
      </c>
      <c r="AE4680">
        <v>-16.878599999999899</v>
      </c>
      <c r="AF4680">
        <v>-15.4529646431636</v>
      </c>
      <c r="AG4680">
        <v>-1.1102386152529999</v>
      </c>
      <c r="AH4680">
        <v>41.860915886855601</v>
      </c>
      <c r="AI4680">
        <v>91.425277783846397</v>
      </c>
      <c r="AJ4680">
        <v>110.261633927391</v>
      </c>
      <c r="AK4680">
        <v>44.635893907617202</v>
      </c>
      <c r="AL4680">
        <v>90.252679854160505</v>
      </c>
      <c r="AM4680">
        <v>86.850248132276207</v>
      </c>
      <c r="AN4680">
        <v>0.99999997431024401</v>
      </c>
    </row>
    <row r="4681" spans="1:40" x14ac:dyDescent="0.25">
      <c r="A4681" t="str">
        <f>"20190312161408020"</f>
        <v>20190312161408020</v>
      </c>
      <c r="B4681" t="str">
        <f>"1552378448010536"</f>
        <v>1552378448010536</v>
      </c>
      <c r="C4681" t="s">
        <v>40</v>
      </c>
      <c r="D4681">
        <v>5.6604570000000001</v>
      </c>
      <c r="E4681">
        <v>0.33693889999999999</v>
      </c>
      <c r="F4681" t="s">
        <v>84</v>
      </c>
      <c r="G4681">
        <v>-425.59219999999999</v>
      </c>
      <c r="H4681" s="1">
        <v>-3.6289009999999999E-6</v>
      </c>
      <c r="I4681">
        <v>123.1563</v>
      </c>
      <c r="J4681">
        <v>-384.77019999999999</v>
      </c>
      <c r="K4681">
        <v>1.1102369999999999</v>
      </c>
      <c r="L4681">
        <v>139.91309999999999</v>
      </c>
      <c r="M4681">
        <v>-0.99931400000000004</v>
      </c>
      <c r="N4681">
        <v>0</v>
      </c>
      <c r="O4681">
        <v>-3.418061E-2</v>
      </c>
      <c r="P4681">
        <v>-0.99960990000000005</v>
      </c>
      <c r="Q4681">
        <v>-1.8844110000000001E-2</v>
      </c>
      <c r="R4681">
        <v>2.0619200000000001E-2</v>
      </c>
      <c r="S4681">
        <v>-3.0255130000000001</v>
      </c>
      <c r="T4681">
        <v>-8.1682320000000003E-2</v>
      </c>
      <c r="U4681">
        <v>-1.2335969999999901</v>
      </c>
      <c r="V4681">
        <v>5.477916E-2</v>
      </c>
      <c r="W4681">
        <v>-4.5838199999999997E-3</v>
      </c>
      <c r="X4681">
        <v>0.99848789999999998</v>
      </c>
      <c r="Y4681">
        <v>-0.34558260000000002</v>
      </c>
      <c r="Z4681">
        <v>-3.5993209999999999E-3</v>
      </c>
      <c r="AA4681">
        <v>0.93838140000000003</v>
      </c>
      <c r="AB4681">
        <v>30</v>
      </c>
      <c r="AC4681">
        <v>-40.821999999999903</v>
      </c>
      <c r="AD4681">
        <v>-1.1102406289010001</v>
      </c>
      <c r="AE4681">
        <v>-16.756799999999899</v>
      </c>
      <c r="AF4681">
        <v>-15.3418321910393</v>
      </c>
      <c r="AG4681">
        <v>-1.1102406289010001</v>
      </c>
      <c r="AH4681">
        <v>41.344785470823602</v>
      </c>
      <c r="AI4681">
        <v>91.4421640512099</v>
      </c>
      <c r="AJ4681">
        <v>110.35840676158099</v>
      </c>
      <c r="AK4681">
        <v>44.113441657396201</v>
      </c>
      <c r="AL4681">
        <v>90.262634478916198</v>
      </c>
      <c r="AM4681">
        <v>86.859780247725993</v>
      </c>
      <c r="AN4681">
        <v>0.99999992711125096</v>
      </c>
    </row>
    <row r="4682" spans="1:40" x14ac:dyDescent="0.25">
      <c r="A4682" t="str">
        <f>"20190312161408042"</f>
        <v>20190312161408042</v>
      </c>
      <c r="B4682" t="str">
        <f>"1552378448031031"</f>
        <v>1552378448031031</v>
      </c>
      <c r="C4682" t="s">
        <v>40</v>
      </c>
      <c r="D4682">
        <v>5.6336469999999998</v>
      </c>
      <c r="E4682">
        <v>0.33636129999999997</v>
      </c>
      <c r="F4682" t="s">
        <v>84</v>
      </c>
      <c r="G4682">
        <v>-425.4667</v>
      </c>
      <c r="H4682" s="1">
        <v>-3.6533759999999998E-6</v>
      </c>
      <c r="I4682">
        <v>123.25190000000001</v>
      </c>
      <c r="J4682">
        <v>-385.06400000000002</v>
      </c>
      <c r="K4682">
        <v>1.1102369999999999</v>
      </c>
      <c r="L4682">
        <v>139.90289999999999</v>
      </c>
      <c r="M4682">
        <v>-0.99930850000000004</v>
      </c>
      <c r="N4682">
        <v>0</v>
      </c>
      <c r="O4682">
        <v>-3.4339719999999997E-2</v>
      </c>
      <c r="P4682">
        <v>-0.99960990000000005</v>
      </c>
      <c r="Q4682">
        <v>-1.8864369999999998E-2</v>
      </c>
      <c r="R4682">
        <v>2.0602269999999999E-2</v>
      </c>
      <c r="S4682">
        <v>-3.0252080000000001</v>
      </c>
      <c r="T4682">
        <v>-8.2530499999999896E-2</v>
      </c>
      <c r="U4682">
        <v>-1.2385250000000001</v>
      </c>
      <c r="V4682">
        <v>5.4921299999999999E-2</v>
      </c>
      <c r="W4682">
        <v>-4.6074159999999996E-3</v>
      </c>
      <c r="X4682">
        <v>0.99848009999999998</v>
      </c>
      <c r="Y4682">
        <v>-0.34677390000000002</v>
      </c>
      <c r="Z4682">
        <v>-3.647413E-3</v>
      </c>
      <c r="AA4682">
        <v>0.93794169999999999</v>
      </c>
      <c r="AB4682">
        <v>30</v>
      </c>
      <c r="AC4682">
        <v>-40.402699999999903</v>
      </c>
      <c r="AD4682">
        <v>-1.1102406533759901</v>
      </c>
      <c r="AE4682">
        <v>-16.6509999999999</v>
      </c>
      <c r="AF4682">
        <v>-15.2437794941624</v>
      </c>
      <c r="AG4682">
        <v>-1.1102406533759901</v>
      </c>
      <c r="AH4682">
        <v>40.924299276634898</v>
      </c>
      <c r="AI4682">
        <v>91.456301825077503</v>
      </c>
      <c r="AJ4682">
        <v>110.429720570838</v>
      </c>
      <c r="AK4682">
        <v>43.685280345427998</v>
      </c>
      <c r="AL4682">
        <v>90.263986413704004</v>
      </c>
      <c r="AM4682">
        <v>86.851623886481306</v>
      </c>
      <c r="AN4682">
        <v>1.00000004378594</v>
      </c>
    </row>
    <row r="4683" spans="1:40" x14ac:dyDescent="0.25">
      <c r="A4683" t="str">
        <f>"20190312161408065"</f>
        <v>20190312161408065</v>
      </c>
      <c r="B4683" t="str">
        <f>"1552378448061287"</f>
        <v>1552378448061287</v>
      </c>
      <c r="C4683" t="s">
        <v>40</v>
      </c>
      <c r="D4683">
        <v>5.4266160000000001</v>
      </c>
      <c r="E4683">
        <v>0.33613539999999997</v>
      </c>
      <c r="F4683" t="s">
        <v>84</v>
      </c>
      <c r="G4683">
        <v>-426.32049999999998</v>
      </c>
      <c r="H4683" s="1">
        <v>-3.675715E-6</v>
      </c>
      <c r="I4683">
        <v>122.9466</v>
      </c>
      <c r="J4683">
        <v>-385.36130000000003</v>
      </c>
      <c r="K4683">
        <v>1.110242</v>
      </c>
      <c r="L4683">
        <v>139.89250000000001</v>
      </c>
      <c r="M4683">
        <v>-0.99930289999999999</v>
      </c>
      <c r="N4683">
        <v>0</v>
      </c>
      <c r="O4683">
        <v>-3.4501339999999998E-2</v>
      </c>
      <c r="P4683">
        <v>-0.99961230000000001</v>
      </c>
      <c r="Q4683">
        <v>-1.8585649999999999E-2</v>
      </c>
      <c r="R4683">
        <v>2.073291E-2</v>
      </c>
      <c r="S4683">
        <v>-3.0252379999999999</v>
      </c>
      <c r="T4683">
        <v>-8.1411120000000003E-2</v>
      </c>
      <c r="U4683">
        <v>-1.2433620000000001</v>
      </c>
      <c r="V4683">
        <v>5.5213270000000002E-2</v>
      </c>
      <c r="W4683">
        <v>-4.3320829999999996E-3</v>
      </c>
      <c r="X4683">
        <v>0.99846520000000005</v>
      </c>
      <c r="Y4683">
        <v>-0.34790470000000001</v>
      </c>
      <c r="Z4683">
        <v>-3.6073379999999999E-3</v>
      </c>
      <c r="AA4683">
        <v>0.93752290000000005</v>
      </c>
      <c r="AB4683">
        <v>30</v>
      </c>
      <c r="AC4683">
        <v>-40.959199999999903</v>
      </c>
      <c r="AD4683">
        <v>-1.1102456757150001</v>
      </c>
      <c r="AE4683">
        <v>-16.945900000000002</v>
      </c>
      <c r="AF4683">
        <v>-15.512786155797601</v>
      </c>
      <c r="AG4683">
        <v>-1.1102456757150001</v>
      </c>
      <c r="AH4683">
        <v>41.493494480518798</v>
      </c>
      <c r="AI4683">
        <v>91.435693872671095</v>
      </c>
      <c r="AJ4683">
        <v>110.498793680521</v>
      </c>
      <c r="AK4683">
        <v>44.312405305746999</v>
      </c>
      <c r="AL4683">
        <v>90.248210845321793</v>
      </c>
      <c r="AM4683">
        <v>86.834873442663806</v>
      </c>
      <c r="AN4683">
        <v>1.0000000138691201</v>
      </c>
    </row>
    <row r="4684" spans="1:40" x14ac:dyDescent="0.25">
      <c r="A4684" t="str">
        <f>"20190312161408078"</f>
        <v>20190312161408078</v>
      </c>
      <c r="B4684" t="str">
        <f>"1552378448071047"</f>
        <v>1552378448071047</v>
      </c>
      <c r="C4684" t="s">
        <v>40</v>
      </c>
      <c r="D4684">
        <v>5.7134159999999996</v>
      </c>
      <c r="E4684">
        <v>0.33613539999999997</v>
      </c>
      <c r="F4684" t="s">
        <v>84</v>
      </c>
      <c r="G4684">
        <v>-426.56079999999997</v>
      </c>
      <c r="H4684" s="1">
        <v>-3.725517E-6</v>
      </c>
      <c r="I4684">
        <v>122.94029999999999</v>
      </c>
      <c r="J4684">
        <v>-385.54660000000001</v>
      </c>
      <c r="K4684">
        <v>1.1102459999999901</v>
      </c>
      <c r="L4684">
        <v>139.886</v>
      </c>
      <c r="M4684">
        <v>-0.99929950000000001</v>
      </c>
      <c r="N4684">
        <v>0</v>
      </c>
      <c r="O4684">
        <v>-3.4604330000000003E-2</v>
      </c>
      <c r="P4684">
        <v>-0.99961299999999997</v>
      </c>
      <c r="Q4684">
        <v>-1.8475729999999999E-2</v>
      </c>
      <c r="R4684">
        <v>2.0800949999999999E-2</v>
      </c>
      <c r="S4684">
        <v>-3.0254819999999998</v>
      </c>
      <c r="T4684">
        <v>-8.1530930000000001E-2</v>
      </c>
      <c r="U4684">
        <v>-1.244888</v>
      </c>
      <c r="V4684">
        <v>5.5384200000000001E-2</v>
      </c>
      <c r="W4684">
        <v>-4.2241750000000002E-3</v>
      </c>
      <c r="X4684">
        <v>0.99845620000000002</v>
      </c>
      <c r="Y4684">
        <v>-0.34818559999999998</v>
      </c>
      <c r="Z4684">
        <v>-3.6130239999999998E-3</v>
      </c>
      <c r="AA4684">
        <v>0.93741870000000005</v>
      </c>
      <c r="AB4684">
        <v>30</v>
      </c>
      <c r="AC4684">
        <v>-41.014199999999903</v>
      </c>
      <c r="AD4684">
        <v>-1.1102497255170001</v>
      </c>
      <c r="AE4684">
        <v>-16.945699999999999</v>
      </c>
      <c r="AF4684">
        <v>-15.5064300613366</v>
      </c>
      <c r="AG4684">
        <v>-1.1102497255170001</v>
      </c>
      <c r="AH4684">
        <v>41.5500779867793</v>
      </c>
      <c r="AI4684">
        <v>91.434055842656505</v>
      </c>
      <c r="AJ4684">
        <v>110.465502841689</v>
      </c>
      <c r="AK4684">
        <v>44.363171757749498</v>
      </c>
      <c r="AL4684">
        <v>90.242028114778904</v>
      </c>
      <c r="AM4684">
        <v>86.825066255597093</v>
      </c>
      <c r="AN4684">
        <v>1.0000000182912501</v>
      </c>
    </row>
    <row r="4685" spans="1:40" x14ac:dyDescent="0.25">
      <c r="A4685" t="str">
        <f>"20190312161408098"</f>
        <v>20190312161408098</v>
      </c>
      <c r="B4685" t="str">
        <f>"1552378448090571"</f>
        <v>1552378448090571</v>
      </c>
      <c r="C4685" t="s">
        <v>40</v>
      </c>
      <c r="D4685">
        <v>5.7510529999999997</v>
      </c>
      <c r="E4685">
        <v>0.41278999999999999</v>
      </c>
      <c r="F4685" t="s">
        <v>84</v>
      </c>
      <c r="G4685">
        <v>-426.61160000000001</v>
      </c>
      <c r="H4685" s="1">
        <v>-3.7666449999999998E-6</v>
      </c>
      <c r="I4685">
        <v>122.9948</v>
      </c>
      <c r="J4685">
        <v>-385.8159</v>
      </c>
      <c r="K4685">
        <v>1.1102529999999999</v>
      </c>
      <c r="L4685">
        <v>139.87649999999999</v>
      </c>
      <c r="M4685">
        <v>-0.99929409999999996</v>
      </c>
      <c r="N4685">
        <v>0</v>
      </c>
      <c r="O4685">
        <v>-3.4761010000000002E-2</v>
      </c>
      <c r="P4685">
        <v>-0.99962499999999999</v>
      </c>
      <c r="Q4685">
        <v>-1.8027789999999998E-2</v>
      </c>
      <c r="R4685">
        <v>2.0624549999999998E-2</v>
      </c>
      <c r="S4685">
        <v>-3.0255130000000001</v>
      </c>
      <c r="T4685">
        <v>-8.1798910000000002E-2</v>
      </c>
      <c r="U4685">
        <v>-1.2444759999999999</v>
      </c>
      <c r="V4685">
        <v>5.536481E-2</v>
      </c>
      <c r="W4685">
        <v>-3.7786970000000001E-3</v>
      </c>
      <c r="X4685">
        <v>0.99845899999999999</v>
      </c>
      <c r="Y4685">
        <v>-0.3479256</v>
      </c>
      <c r="Z4685">
        <v>-3.6175209999999998E-3</v>
      </c>
      <c r="AA4685">
        <v>0.93751519999999999</v>
      </c>
      <c r="AB4685">
        <v>30</v>
      </c>
      <c r="AC4685">
        <v>-40.795699999999997</v>
      </c>
      <c r="AD4685">
        <v>-1.1102567666450001</v>
      </c>
      <c r="AE4685">
        <v>-16.881699999999899</v>
      </c>
      <c r="AF4685">
        <v>-15.443485831903001</v>
      </c>
      <c r="AG4685">
        <v>-1.1102567666450001</v>
      </c>
      <c r="AH4685">
        <v>41.331787707657597</v>
      </c>
      <c r="AI4685">
        <v>91.441424025688406</v>
      </c>
      <c r="AJ4685">
        <v>110.48803583626</v>
      </c>
      <c r="AK4685">
        <v>44.136726202097798</v>
      </c>
      <c r="AL4685">
        <v>90.216503914544006</v>
      </c>
      <c r="AM4685">
        <v>86.826184408826094</v>
      </c>
      <c r="AN4685">
        <v>0.99999995770917505</v>
      </c>
    </row>
    <row r="4686" spans="1:40" x14ac:dyDescent="0.25">
      <c r="A4686" t="str">
        <f>"20190312161408121"</f>
        <v>20190312161408121</v>
      </c>
      <c r="B4686" t="str">
        <f>"1552378448111065"</f>
        <v>1552378448111065</v>
      </c>
      <c r="C4686" t="s">
        <v>40</v>
      </c>
      <c r="D4686">
        <v>5.6173909999999996</v>
      </c>
      <c r="E4686">
        <v>0.42345650000000001</v>
      </c>
      <c r="F4686" t="s">
        <v>84</v>
      </c>
      <c r="G4686">
        <v>-407.54899999999998</v>
      </c>
      <c r="H4686" s="1">
        <v>-7.2894710000000001E-6</v>
      </c>
      <c r="I4686">
        <v>135.29640000000001</v>
      </c>
      <c r="J4686">
        <v>-386.12270000000001</v>
      </c>
      <c r="K4686">
        <v>1.110269</v>
      </c>
      <c r="L4686">
        <v>139.8656</v>
      </c>
      <c r="M4686">
        <v>-0.99928729999999999</v>
      </c>
      <c r="N4686">
        <v>0</v>
      </c>
      <c r="O4686">
        <v>-3.4956059999999997E-2</v>
      </c>
      <c r="P4686">
        <v>-0.99963460000000004</v>
      </c>
      <c r="Q4686">
        <v>-1.7470690000000001E-2</v>
      </c>
      <c r="R4686">
        <v>2.063042E-2</v>
      </c>
      <c r="S4686">
        <v>-3.011444</v>
      </c>
      <c r="T4686">
        <v>-0.15384329999999999</v>
      </c>
      <c r="U4686">
        <v>-0.63464359999999997</v>
      </c>
      <c r="V4686">
        <v>5.5565820000000002E-2</v>
      </c>
      <c r="W4686">
        <v>-3.2235369999999998E-3</v>
      </c>
      <c r="X4686">
        <v>0.99844980000000005</v>
      </c>
      <c r="Y4686">
        <v>-0.17170969999999999</v>
      </c>
      <c r="Z4686">
        <v>-2.5720510000000001E-3</v>
      </c>
      <c r="AA4686">
        <v>0.98514429999999997</v>
      </c>
      <c r="AB4686">
        <v>30</v>
      </c>
      <c r="AC4686">
        <v>-21.426300000000001</v>
      </c>
      <c r="AD4686">
        <v>-1.1102762894710001</v>
      </c>
      <c r="AE4686">
        <v>-4.5691999999999897</v>
      </c>
      <c r="AF4686">
        <v>-3.8075727541847399</v>
      </c>
      <c r="AG4686">
        <v>-1.1102762894710001</v>
      </c>
      <c r="AH4686">
        <v>21.517675266067901</v>
      </c>
      <c r="AI4686">
        <v>92.908640783285605</v>
      </c>
      <c r="AJ4686">
        <v>100.034668243083</v>
      </c>
      <c r="AK4686">
        <v>21.880143339871498</v>
      </c>
      <c r="AL4686">
        <v>90.184695389259403</v>
      </c>
      <c r="AM4686">
        <v>86.814655804927099</v>
      </c>
      <c r="AN4686">
        <v>0.99999997733155099</v>
      </c>
    </row>
    <row r="4687" spans="1:40" x14ac:dyDescent="0.25">
      <c r="A4687" t="str">
        <f>"20190312161408144"</f>
        <v>20190312161408144</v>
      </c>
      <c r="B4687" t="str">
        <f>"1552378448141320"</f>
        <v>1552378448141320</v>
      </c>
      <c r="C4687" t="s">
        <v>40</v>
      </c>
      <c r="D4687">
        <v>5.6443640000000004</v>
      </c>
      <c r="E4687">
        <v>0.42719380000000001</v>
      </c>
      <c r="F4687" t="s">
        <v>84</v>
      </c>
      <c r="G4687">
        <v>-408.33600000000001</v>
      </c>
      <c r="H4687" s="1">
        <v>-8.0033410000000006E-6</v>
      </c>
      <c r="I4687">
        <v>135.80869999999999</v>
      </c>
      <c r="J4687">
        <v>-386.42</v>
      </c>
      <c r="K4687">
        <v>1.1102890000000001</v>
      </c>
      <c r="L4687">
        <v>139.85499999999999</v>
      </c>
      <c r="M4687">
        <v>-0.99927969999999999</v>
      </c>
      <c r="N4687">
        <v>0</v>
      </c>
      <c r="O4687">
        <v>-3.5173080000000002E-2</v>
      </c>
      <c r="P4687">
        <v>-0.99963959999999996</v>
      </c>
      <c r="Q4687">
        <v>-1.7061969999999999E-2</v>
      </c>
      <c r="R4687">
        <v>2.0731200000000002E-2</v>
      </c>
      <c r="S4687">
        <v>-3.009827</v>
      </c>
      <c r="T4687">
        <v>-0.15043879999999901</v>
      </c>
      <c r="U4687">
        <v>-0.54969789999999996</v>
      </c>
      <c r="V4687">
        <v>5.5883410000000001E-2</v>
      </c>
      <c r="W4687">
        <v>-2.8156740000000002E-3</v>
      </c>
      <c r="X4687">
        <v>0.99843340000000003</v>
      </c>
      <c r="Y4687">
        <v>-0.1448149</v>
      </c>
      <c r="Z4687">
        <v>-1.846157E-3</v>
      </c>
      <c r="AA4687">
        <v>0.98945709999999998</v>
      </c>
      <c r="AB4687">
        <v>30</v>
      </c>
      <c r="AC4687">
        <v>-21.916</v>
      </c>
      <c r="AD4687">
        <v>-1.11029700334099</v>
      </c>
      <c r="AE4687">
        <v>-4.0462999999999996</v>
      </c>
      <c r="AF4687">
        <v>-3.26476125945545</v>
      </c>
      <c r="AG4687">
        <v>-1.11029700334099</v>
      </c>
      <c r="AH4687">
        <v>21.990192439197699</v>
      </c>
      <c r="AI4687">
        <v>92.859155433469496</v>
      </c>
      <c r="AJ4687">
        <v>98.444700311314705</v>
      </c>
      <c r="AK4687">
        <v>22.2589305455095</v>
      </c>
      <c r="AL4687">
        <v>90.161326438738797</v>
      </c>
      <c r="AM4687">
        <v>86.796435067802904</v>
      </c>
      <c r="AN4687">
        <v>1.0000000688844199</v>
      </c>
    </row>
    <row r="4688" spans="1:40" x14ac:dyDescent="0.25">
      <c r="A4688" t="str">
        <f>"20190312161408166"</f>
        <v>20190312161408166</v>
      </c>
      <c r="B4688" t="str">
        <f>"1552378448160840"</f>
        <v>1552378448160840</v>
      </c>
      <c r="C4688" t="s">
        <v>40</v>
      </c>
      <c r="D4688">
        <v>5.5643019999999996</v>
      </c>
      <c r="E4688">
        <v>0.42896380000000001</v>
      </c>
      <c r="F4688" t="s">
        <v>84</v>
      </c>
      <c r="G4688">
        <v>-411.4794</v>
      </c>
      <c r="H4688" s="1">
        <v>-8.7574179999999994E-6</v>
      </c>
      <c r="I4688">
        <v>135.5299</v>
      </c>
      <c r="J4688">
        <v>-386.71780000000001</v>
      </c>
      <c r="K4688">
        <v>1.1103240000000001</v>
      </c>
      <c r="L4688">
        <v>139.8443</v>
      </c>
      <c r="M4688">
        <v>-0.99927049999999995</v>
      </c>
      <c r="N4688">
        <v>0</v>
      </c>
      <c r="O4688">
        <v>-3.5434779999999999E-2</v>
      </c>
      <c r="P4688">
        <v>-0.99963139999999995</v>
      </c>
      <c r="Q4688">
        <v>-1.7156000000000001E-2</v>
      </c>
      <c r="R4688">
        <v>2.1045339999999999E-2</v>
      </c>
      <c r="S4688">
        <v>-3.0096129999999999</v>
      </c>
      <c r="T4688">
        <v>-0.13334570000000001</v>
      </c>
      <c r="U4688">
        <v>-0.51943969999999995</v>
      </c>
      <c r="V4688">
        <v>5.645878E-2</v>
      </c>
      <c r="W4688">
        <v>-2.9090119999999999E-3</v>
      </c>
      <c r="X4688">
        <v>0.99840070000000003</v>
      </c>
      <c r="Y4688">
        <v>-0.134955399999999</v>
      </c>
      <c r="Z4688">
        <v>-1.409885E-3</v>
      </c>
      <c r="AA4688">
        <v>0.99085069999999997</v>
      </c>
      <c r="AB4688">
        <v>30</v>
      </c>
      <c r="AC4688">
        <v>-24.761599999999898</v>
      </c>
      <c r="AD4688">
        <v>-1.110332757418</v>
      </c>
      <c r="AE4688">
        <v>-4.3144</v>
      </c>
      <c r="AF4688">
        <v>-3.4274904932290999</v>
      </c>
      <c r="AG4688">
        <v>-1.110332757418</v>
      </c>
      <c r="AH4688">
        <v>24.8504469167198</v>
      </c>
      <c r="AI4688">
        <v>92.534347562902099</v>
      </c>
      <c r="AJ4688">
        <v>97.852957268353094</v>
      </c>
      <c r="AK4688">
        <v>25.110261684699299</v>
      </c>
      <c r="AL4688">
        <v>90.166674344067005</v>
      </c>
      <c r="AM4688">
        <v>86.763415468590907</v>
      </c>
      <c r="AN4688">
        <v>1.00000000697519</v>
      </c>
    </row>
    <row r="4689" spans="1:40" x14ac:dyDescent="0.25">
      <c r="A4689" t="str">
        <f>"20190312161408189"</f>
        <v>20190312161408189</v>
      </c>
      <c r="B4689" t="str">
        <f>"1552378448181335"</f>
        <v>1552378448181335</v>
      </c>
      <c r="C4689" t="s">
        <v>40</v>
      </c>
      <c r="D4689">
        <v>5.529166</v>
      </c>
      <c r="E4689">
        <v>0.43025469999999999</v>
      </c>
      <c r="F4689" t="s">
        <v>84</v>
      </c>
      <c r="G4689">
        <v>-412.10989999999998</v>
      </c>
      <c r="H4689" s="1">
        <v>-8.7275829999999994E-6</v>
      </c>
      <c r="I4689">
        <v>135.58840000000001</v>
      </c>
      <c r="J4689">
        <v>-387.01369999999997</v>
      </c>
      <c r="K4689">
        <v>1.1103689999999999</v>
      </c>
      <c r="L4689">
        <v>139.83349999999999</v>
      </c>
      <c r="M4689">
        <v>-0.99925909999999996</v>
      </c>
      <c r="N4689">
        <v>0</v>
      </c>
      <c r="O4689">
        <v>-3.5760029999999998E-2</v>
      </c>
      <c r="P4689">
        <v>-0.99963279999999999</v>
      </c>
      <c r="Q4689">
        <v>-1.6894139999999998E-2</v>
      </c>
      <c r="R4689">
        <v>2.11865E-2</v>
      </c>
      <c r="S4689">
        <v>-3.0094599999999998</v>
      </c>
      <c r="T4689">
        <v>-0.13159660000000001</v>
      </c>
      <c r="U4689">
        <v>-0.50440980000000002</v>
      </c>
      <c r="V4689">
        <v>5.6924849999999999E-2</v>
      </c>
      <c r="W4689">
        <v>-2.644137E-3</v>
      </c>
      <c r="X4689">
        <v>0.99837489999999995</v>
      </c>
      <c r="Y4689">
        <v>-0.12983749999999999</v>
      </c>
      <c r="Z4689">
        <v>-1.2668639999999999E-3</v>
      </c>
      <c r="AA4689">
        <v>0.99153449999999999</v>
      </c>
      <c r="AB4689">
        <v>30</v>
      </c>
      <c r="AC4689">
        <v>-25.0962</v>
      </c>
      <c r="AD4689">
        <v>-1.110377727583</v>
      </c>
      <c r="AE4689">
        <v>-4.2450999999999697</v>
      </c>
      <c r="AF4689">
        <v>-3.3384989027831602</v>
      </c>
      <c r="AG4689">
        <v>-1.110377727583</v>
      </c>
      <c r="AH4689">
        <v>25.1840365652888</v>
      </c>
      <c r="AI4689">
        <v>92.502700406927801</v>
      </c>
      <c r="AJ4689">
        <v>97.5513345034705</v>
      </c>
      <c r="AK4689">
        <v>25.428610094608</v>
      </c>
      <c r="AL4689">
        <v>90.1514980768616</v>
      </c>
      <c r="AM4689">
        <v>86.736670663800993</v>
      </c>
      <c r="AN4689">
        <v>0.99999993547900101</v>
      </c>
    </row>
    <row r="4690" spans="1:40" x14ac:dyDescent="0.25">
      <c r="A4690" t="str">
        <f>"20190312161408210"</f>
        <v>20190312161408210</v>
      </c>
      <c r="B4690" t="str">
        <f>"1552378448200856"</f>
        <v>1552378448200856</v>
      </c>
      <c r="C4690" t="s">
        <v>40</v>
      </c>
      <c r="D4690">
        <v>5.6450889999999996</v>
      </c>
      <c r="E4690">
        <v>0.43113249999999997</v>
      </c>
      <c r="F4690" t="s">
        <v>84</v>
      </c>
      <c r="G4690">
        <v>-412.97680000000003</v>
      </c>
      <c r="H4690" s="1">
        <v>-8.644985E-6</v>
      </c>
      <c r="I4690">
        <v>135.5736</v>
      </c>
      <c r="J4690">
        <v>-387.30439999999999</v>
      </c>
      <c r="K4690">
        <v>1.110433</v>
      </c>
      <c r="L4690">
        <v>139.8227</v>
      </c>
      <c r="M4690">
        <v>-0.99924440000000003</v>
      </c>
      <c r="N4690">
        <v>0</v>
      </c>
      <c r="O4690">
        <v>-3.6167449999999997E-2</v>
      </c>
      <c r="P4690">
        <v>-0.99965009999999999</v>
      </c>
      <c r="Q4690">
        <v>-1.608826E-2</v>
      </c>
      <c r="R4690">
        <v>2.1006150000000001E-2</v>
      </c>
      <c r="S4690">
        <v>-3.0093990000000002</v>
      </c>
      <c r="T4690">
        <v>-0.12870429999999999</v>
      </c>
      <c r="U4690">
        <v>-0.49375920000000001</v>
      </c>
      <c r="V4690">
        <v>5.7152300000000003E-2</v>
      </c>
      <c r="W4690">
        <v>-1.8326810000000001E-3</v>
      </c>
      <c r="X4690">
        <v>0.99836380000000002</v>
      </c>
      <c r="Y4690">
        <v>-0.1260279</v>
      </c>
      <c r="Z4690">
        <v>-1.1412449999999999E-3</v>
      </c>
      <c r="AA4690">
        <v>0.99202599999999996</v>
      </c>
      <c r="AB4690">
        <v>30</v>
      </c>
      <c r="AC4690">
        <v>-25.6724</v>
      </c>
      <c r="AD4690">
        <v>-1.1104416449850001</v>
      </c>
      <c r="AE4690">
        <v>-4.2490999999999897</v>
      </c>
      <c r="AF4690">
        <v>-3.3116894018648502</v>
      </c>
      <c r="AG4690">
        <v>-1.1104416449850001</v>
      </c>
      <c r="AH4690">
        <v>25.762380417170199</v>
      </c>
      <c r="AI4690">
        <v>92.447986918801305</v>
      </c>
      <c r="AJ4690">
        <v>97.325057518736799</v>
      </c>
      <c r="AK4690">
        <v>25.998088623980301</v>
      </c>
      <c r="AL4690">
        <v>90.105004944157699</v>
      </c>
      <c r="AM4690">
        <v>86.723623645351196</v>
      </c>
      <c r="AN4690">
        <v>1.0000000106326801</v>
      </c>
    </row>
    <row r="4691" spans="1:40" x14ac:dyDescent="0.25">
      <c r="A4691" t="str">
        <f>"20190312161408233"</f>
        <v>20190312161408233</v>
      </c>
      <c r="B4691" t="str">
        <f>"1552378448221351"</f>
        <v>1552378448221351</v>
      </c>
      <c r="C4691" t="s">
        <v>40</v>
      </c>
      <c r="D4691">
        <v>5.6118639999999997</v>
      </c>
      <c r="E4691">
        <v>0.43205919999999998</v>
      </c>
      <c r="F4691" t="s">
        <v>84</v>
      </c>
      <c r="G4691">
        <v>-414.15069999999997</v>
      </c>
      <c r="H4691" s="1">
        <v>-8.4987200000000002E-6</v>
      </c>
      <c r="I4691">
        <v>135.47489999999999</v>
      </c>
      <c r="J4691">
        <v>-387.60019999999997</v>
      </c>
      <c r="K4691">
        <v>1.110501</v>
      </c>
      <c r="L4691">
        <v>139.81139999999999</v>
      </c>
      <c r="M4691">
        <v>-0.99922659999999996</v>
      </c>
      <c r="N4691">
        <v>0</v>
      </c>
      <c r="O4691">
        <v>-3.6660320000000003E-2</v>
      </c>
      <c r="P4691">
        <v>-0.99967519999999999</v>
      </c>
      <c r="Q4691">
        <v>-1.553993E-2</v>
      </c>
      <c r="R4691">
        <v>2.021684E-2</v>
      </c>
      <c r="S4691">
        <v>-3.009277</v>
      </c>
      <c r="T4691">
        <v>-0.1244726</v>
      </c>
      <c r="U4691">
        <v>-0.48735050000000002</v>
      </c>
      <c r="V4691">
        <v>5.6856539999999997E-2</v>
      </c>
      <c r="W4691">
        <v>-1.278115E-3</v>
      </c>
      <c r="X4691">
        <v>0.99838159999999998</v>
      </c>
      <c r="Y4691">
        <v>-0.1234942</v>
      </c>
      <c r="Z4691">
        <v>-1.031725E-3</v>
      </c>
      <c r="AA4691">
        <v>0.99234469999999997</v>
      </c>
      <c r="AB4691">
        <v>30</v>
      </c>
      <c r="AC4691">
        <v>-26.5505</v>
      </c>
      <c r="AD4691">
        <v>-1.1105094987199999</v>
      </c>
      <c r="AE4691">
        <v>-4.3365</v>
      </c>
      <c r="AF4691">
        <v>-3.3544202129413598</v>
      </c>
      <c r="AG4691">
        <v>-1.1105094987199999</v>
      </c>
      <c r="AH4691">
        <v>26.6462375349106</v>
      </c>
      <c r="AI4691">
        <v>92.367813014335894</v>
      </c>
      <c r="AJ4691">
        <v>97.175061599640998</v>
      </c>
      <c r="AK4691">
        <v>26.879496667136699</v>
      </c>
      <c r="AL4691">
        <v>90.073230610815401</v>
      </c>
      <c r="AM4691">
        <v>86.740600047439699</v>
      </c>
      <c r="AN4691">
        <v>1.00000005946864</v>
      </c>
    </row>
    <row r="4692" spans="1:40" x14ac:dyDescent="0.25">
      <c r="A4692" t="str">
        <f>"20190312161408255"</f>
        <v>20190312161408255</v>
      </c>
      <c r="B4692" t="str">
        <f>"1552378448250631"</f>
        <v>1552378448250631</v>
      </c>
      <c r="C4692" t="s">
        <v>40</v>
      </c>
      <c r="D4692">
        <v>5.5913510000000004</v>
      </c>
      <c r="E4692">
        <v>0.43298920000000002</v>
      </c>
      <c r="F4692" t="s">
        <v>84</v>
      </c>
      <c r="G4692">
        <v>-413.78809999999999</v>
      </c>
      <c r="H4692" s="1">
        <v>-8.5912289999999993E-6</v>
      </c>
      <c r="I4692">
        <v>135.61369999999999</v>
      </c>
      <c r="J4692">
        <v>-387.89179999999999</v>
      </c>
      <c r="K4692">
        <v>1.1105689999999999</v>
      </c>
      <c r="L4692">
        <v>139.80019999999999</v>
      </c>
      <c r="M4692">
        <v>-0.99920509999999996</v>
      </c>
      <c r="N4692">
        <v>0</v>
      </c>
      <c r="O4692">
        <v>-3.7238739999999999E-2</v>
      </c>
      <c r="P4692">
        <v>-0.9996855</v>
      </c>
      <c r="Q4692">
        <v>-1.5719730000000001E-2</v>
      </c>
      <c r="R4692">
        <v>1.9545750000000001E-2</v>
      </c>
      <c r="S4692">
        <v>-3.008759</v>
      </c>
      <c r="T4692">
        <v>-0.1275878</v>
      </c>
      <c r="U4692">
        <v>-0.4822845</v>
      </c>
      <c r="V4692">
        <v>5.6764559999999999E-2</v>
      </c>
      <c r="W4692">
        <v>-1.4510219999999999E-3</v>
      </c>
      <c r="X4692">
        <v>0.99838660000000001</v>
      </c>
      <c r="Y4692">
        <v>-0.1213167</v>
      </c>
      <c r="Z4692">
        <v>-9.8765900000000011E-4</v>
      </c>
      <c r="AA4692">
        <v>0.99261339999999998</v>
      </c>
      <c r="AB4692">
        <v>30</v>
      </c>
      <c r="AC4692">
        <v>-25.8963</v>
      </c>
      <c r="AD4692">
        <v>-1.1105775912289999</v>
      </c>
      <c r="AE4692">
        <v>-4.1864999999999899</v>
      </c>
      <c r="AF4692">
        <v>-3.21339297673557</v>
      </c>
      <c r="AG4692">
        <v>-1.1105775912289999</v>
      </c>
      <c r="AH4692">
        <v>25.987671931402598</v>
      </c>
      <c r="AI4692">
        <v>92.428561041665105</v>
      </c>
      <c r="AJ4692">
        <v>97.048882083979507</v>
      </c>
      <c r="AK4692">
        <v>26.2091275975238</v>
      </c>
      <c r="AL4692">
        <v>90.083137460608398</v>
      </c>
      <c r="AM4692">
        <v>86.745877881597593</v>
      </c>
      <c r="AN4692">
        <v>1.0000000618981899</v>
      </c>
    </row>
    <row r="4693" spans="1:40" x14ac:dyDescent="0.25">
      <c r="A4693" t="str">
        <f>"20190312161408277"</f>
        <v>20190312161408277</v>
      </c>
      <c r="B4693" t="str">
        <f>"1552378448271128"</f>
        <v>1552378448271128</v>
      </c>
      <c r="C4693" t="s">
        <v>40</v>
      </c>
      <c r="D4693">
        <v>5.6888779999999999</v>
      </c>
      <c r="E4693">
        <v>0.433672</v>
      </c>
      <c r="F4693" t="s">
        <v>84</v>
      </c>
      <c r="G4693">
        <v>-412.9092</v>
      </c>
      <c r="H4693" s="1">
        <v>-8.7641389999999997E-6</v>
      </c>
      <c r="I4693">
        <v>135.83269999999999</v>
      </c>
      <c r="J4693">
        <v>-388.19139999999999</v>
      </c>
      <c r="K4693">
        <v>1.110644</v>
      </c>
      <c r="L4693">
        <v>139.78819999999999</v>
      </c>
      <c r="M4693">
        <v>-0.99917829999999996</v>
      </c>
      <c r="N4693">
        <v>0</v>
      </c>
      <c r="O4693">
        <v>-3.7948599999999999E-2</v>
      </c>
      <c r="P4693">
        <v>-0.99970840000000005</v>
      </c>
      <c r="Q4693">
        <v>-1.5534330000000001E-2</v>
      </c>
      <c r="R4693">
        <v>1.8479949999999998E-2</v>
      </c>
      <c r="S4693">
        <v>-3.0081790000000002</v>
      </c>
      <c r="T4693">
        <v>-0.13353970000000001</v>
      </c>
      <c r="U4693">
        <v>-0.47706599999999999</v>
      </c>
      <c r="V4693">
        <v>5.6409519999999998E-2</v>
      </c>
      <c r="W4693">
        <v>-1.257492E-3</v>
      </c>
      <c r="X4693">
        <v>0.99840689999999999</v>
      </c>
      <c r="Y4693">
        <v>-0.1189576</v>
      </c>
      <c r="Z4693">
        <v>-9.5075970000000004E-4</v>
      </c>
      <c r="AA4693">
        <v>0.99289890000000003</v>
      </c>
      <c r="AB4693">
        <v>30</v>
      </c>
      <c r="AC4693">
        <v>-24.7178</v>
      </c>
      <c r="AD4693">
        <v>-1.110652764139</v>
      </c>
      <c r="AE4693">
        <v>-3.9554999999999998</v>
      </c>
      <c r="AF4693">
        <v>-3.0086265392664</v>
      </c>
      <c r="AG4693">
        <v>-1.110652764139</v>
      </c>
      <c r="AH4693">
        <v>24.801289287038301</v>
      </c>
      <c r="AI4693">
        <v>92.545473460829996</v>
      </c>
      <c r="AJ4693">
        <v>96.916713222311799</v>
      </c>
      <c r="AK4693">
        <v>25.007785458025499</v>
      </c>
      <c r="AL4693">
        <v>90.072049005045699</v>
      </c>
      <c r="AM4693">
        <v>86.766253415209505</v>
      </c>
      <c r="AN4693">
        <v>0.99999997660018403</v>
      </c>
    </row>
    <row r="4694" spans="1:40" x14ac:dyDescent="0.25">
      <c r="A4694" t="str">
        <f>"20190312161408300"</f>
        <v>20190312161408300</v>
      </c>
      <c r="B4694" t="str">
        <f>"1552378448290648"</f>
        <v>1552378448290648</v>
      </c>
      <c r="C4694" t="s">
        <v>40</v>
      </c>
      <c r="D4694">
        <v>5.7682989999999998</v>
      </c>
      <c r="E4694">
        <v>0.47799940000000002</v>
      </c>
      <c r="F4694" t="s">
        <v>84</v>
      </c>
      <c r="G4694">
        <v>-412.28489999999999</v>
      </c>
      <c r="H4694" s="1">
        <v>-8.8852499999999993E-6</v>
      </c>
      <c r="I4694">
        <v>135.98429999999999</v>
      </c>
      <c r="J4694">
        <v>-388.49400000000003</v>
      </c>
      <c r="K4694">
        <v>1.110738</v>
      </c>
      <c r="L4694">
        <v>139.77590000000001</v>
      </c>
      <c r="M4694">
        <v>-0.99914599999999998</v>
      </c>
      <c r="N4694">
        <v>0</v>
      </c>
      <c r="O4694">
        <v>-3.8793189999999998E-2</v>
      </c>
      <c r="P4694">
        <v>-0.99973829999999997</v>
      </c>
      <c r="Q4694">
        <v>-1.5252770000000001E-2</v>
      </c>
      <c r="R4694">
        <v>1.704992E-2</v>
      </c>
      <c r="S4694">
        <v>-3.0075069999999999</v>
      </c>
      <c r="T4694">
        <v>-0.13863900000000001</v>
      </c>
      <c r="U4694">
        <v>-0.47483829999999999</v>
      </c>
      <c r="V4694">
        <v>5.58255E-2</v>
      </c>
      <c r="W4694">
        <v>-9.6606019999999999E-4</v>
      </c>
      <c r="X4694">
        <v>0.99844010000000005</v>
      </c>
      <c r="Y4694">
        <v>-0.11743140000000001</v>
      </c>
      <c r="Z4694">
        <v>-9.1375539999999996E-4</v>
      </c>
      <c r="AA4694">
        <v>0.99308059999999998</v>
      </c>
      <c r="AB4694">
        <v>30</v>
      </c>
      <c r="AC4694">
        <v>-23.790899999999901</v>
      </c>
      <c r="AD4694">
        <v>-1.11074688525</v>
      </c>
      <c r="AE4694">
        <v>-3.7916000000000101</v>
      </c>
      <c r="AF4694">
        <v>-2.8596480952163001</v>
      </c>
      <c r="AG4694">
        <v>-1.11074688525</v>
      </c>
      <c r="AH4694">
        <v>23.869350528644599</v>
      </c>
      <c r="AI4694">
        <v>92.645414963254495</v>
      </c>
      <c r="AJ4694">
        <v>96.831713069522294</v>
      </c>
      <c r="AK4694">
        <v>24.065685955959601</v>
      </c>
      <c r="AL4694">
        <v>90.055351179357999</v>
      </c>
      <c r="AM4694">
        <v>86.799769335494503</v>
      </c>
      <c r="AN4694">
        <v>1.00000002650528</v>
      </c>
    </row>
    <row r="4695" spans="1:40" x14ac:dyDescent="0.25">
      <c r="A4695" t="str">
        <f>"20190312161408322"</f>
        <v>20190312161408322</v>
      </c>
      <c r="B4695" t="str">
        <f>"1552378448311145"</f>
        <v>1552378448311145</v>
      </c>
      <c r="C4695" t="s">
        <v>40</v>
      </c>
      <c r="D4695">
        <v>5.6767349999999999</v>
      </c>
      <c r="E4695">
        <v>0.49880289999999999</v>
      </c>
      <c r="F4695" t="s">
        <v>43</v>
      </c>
      <c r="G4695">
        <v>-389.31700000000001</v>
      </c>
      <c r="H4695">
        <v>1.0208539999999999</v>
      </c>
      <c r="I4695">
        <v>139.7407</v>
      </c>
      <c r="J4695">
        <v>-388.77980000000002</v>
      </c>
      <c r="K4695">
        <v>1.1108389999999999</v>
      </c>
      <c r="L4695">
        <v>139.76390000000001</v>
      </c>
      <c r="M4695">
        <v>-0.99910980000000005</v>
      </c>
      <c r="N4695">
        <v>0</v>
      </c>
      <c r="O4695">
        <v>-3.9714779999999998E-2</v>
      </c>
      <c r="P4695">
        <v>-0.9997684</v>
      </c>
      <c r="Q4695">
        <v>-1.528966E-2</v>
      </c>
      <c r="R4695">
        <v>1.5146949999999999E-2</v>
      </c>
      <c r="S4695">
        <v>-2.997986</v>
      </c>
      <c r="T4695">
        <v>-0.32750279999999998</v>
      </c>
      <c r="U4695">
        <v>-0.12887570000000001</v>
      </c>
      <c r="V4695">
        <v>5.4846350000000002E-2</v>
      </c>
      <c r="W4695">
        <v>-9.9270720000000008E-4</v>
      </c>
      <c r="X4695">
        <v>0.99849429999999995</v>
      </c>
      <c r="Y4695">
        <v>-3.4469370000000002E-3</v>
      </c>
      <c r="Z4695">
        <v>4.1346689999999997E-3</v>
      </c>
      <c r="AA4695">
        <v>0.99998549999999997</v>
      </c>
      <c r="AB4695">
        <v>30</v>
      </c>
      <c r="AC4695">
        <v>-0.53719999999992696</v>
      </c>
      <c r="AD4695">
        <v>-8.9984999999999704E-2</v>
      </c>
      <c r="AE4695">
        <v>-2.3200000000002701E-2</v>
      </c>
      <c r="AF4695">
        <v>-1.7944966048591201E-3</v>
      </c>
      <c r="AG4695">
        <v>-8.9984999999999704E-2</v>
      </c>
      <c r="AH4695">
        <v>0.52304879903189305</v>
      </c>
      <c r="AI4695">
        <v>99.761517331534804</v>
      </c>
      <c r="AJ4695">
        <v>90.1965718659402</v>
      </c>
      <c r="AK4695">
        <v>0.530735872738758</v>
      </c>
      <c r="AL4695">
        <v>90.056877942913403</v>
      </c>
      <c r="AM4695">
        <v>86.855956410184604</v>
      </c>
      <c r="AN4695">
        <v>0.99999998735419804</v>
      </c>
    </row>
    <row r="4696" spans="1:40" x14ac:dyDescent="0.25">
      <c r="A4696" t="str">
        <f>"20190312161408345"</f>
        <v>20190312161408345</v>
      </c>
      <c r="B4696" t="str">
        <f>"1552378448330664"</f>
        <v>1552378448330664</v>
      </c>
      <c r="C4696" t="s">
        <v>40</v>
      </c>
      <c r="D4696">
        <v>5.4885570000000001</v>
      </c>
      <c r="E4696">
        <v>0.50913739999999996</v>
      </c>
      <c r="F4696" t="s">
        <v>43</v>
      </c>
      <c r="G4696">
        <v>-389.5763</v>
      </c>
      <c r="H4696">
        <v>1.0108839999999999</v>
      </c>
      <c r="I4696">
        <v>139.77199999999999</v>
      </c>
      <c r="J4696">
        <v>-389.0761</v>
      </c>
      <c r="K4696">
        <v>1.110941</v>
      </c>
      <c r="L4696">
        <v>139.7509</v>
      </c>
      <c r="M4696">
        <v>-0.99906609999999996</v>
      </c>
      <c r="N4696">
        <v>0</v>
      </c>
      <c r="O4696">
        <v>-4.0800379999999997E-2</v>
      </c>
      <c r="P4696">
        <v>-0.99979720000000005</v>
      </c>
      <c r="Q4696">
        <v>-1.5664870000000001E-2</v>
      </c>
      <c r="R4696">
        <v>1.2667070000000001E-2</v>
      </c>
      <c r="S4696">
        <v>-2.9944760000000001</v>
      </c>
      <c r="T4696">
        <v>-0.37581880000000001</v>
      </c>
      <c r="U4696">
        <v>3.065491E-2</v>
      </c>
      <c r="V4696">
        <v>5.345548E-2</v>
      </c>
      <c r="W4696">
        <v>-1.3571760000000001E-3</v>
      </c>
      <c r="X4696">
        <v>0.99856929999999999</v>
      </c>
      <c r="Y4696">
        <v>5.0315760000000001E-2</v>
      </c>
      <c r="Z4696">
        <v>8.2451839999999992E-3</v>
      </c>
      <c r="AA4696">
        <v>0.99869929999999996</v>
      </c>
      <c r="AB4696">
        <v>30</v>
      </c>
      <c r="AC4696">
        <v>-0.50020000000000597</v>
      </c>
      <c r="AD4696">
        <v>-0.10005699999999899</v>
      </c>
      <c r="AE4696">
        <v>2.1100000000018299E-2</v>
      </c>
      <c r="AF4696">
        <v>3.9899167743919897E-2</v>
      </c>
      <c r="AG4696">
        <v>-0.10005699999999899</v>
      </c>
      <c r="AH4696">
        <v>0.479759623964223</v>
      </c>
      <c r="AI4696">
        <v>101.74114199722599</v>
      </c>
      <c r="AJ4696">
        <v>85.245941624649902</v>
      </c>
      <c r="AK4696">
        <v>0.49170381696906701</v>
      </c>
      <c r="AL4696">
        <v>90.077760481615499</v>
      </c>
      <c r="AM4696">
        <v>86.935763225703298</v>
      </c>
      <c r="AN4696">
        <v>0.99999998858560701</v>
      </c>
    </row>
    <row r="4697" spans="1:40" x14ac:dyDescent="0.25">
      <c r="A4697" t="str">
        <f>"20190312161408367"</f>
        <v>20190312161408367</v>
      </c>
      <c r="B4697" t="str">
        <f>"1552378448360919"</f>
        <v>1552378448360919</v>
      </c>
      <c r="C4697" t="s">
        <v>40</v>
      </c>
      <c r="D4697">
        <v>5.0635899999999996</v>
      </c>
      <c r="E4697">
        <v>0.54715559999999996</v>
      </c>
      <c r="F4697" t="s">
        <v>43</v>
      </c>
      <c r="G4697">
        <v>-389.83260000000001</v>
      </c>
      <c r="H4697">
        <v>0.9967973</v>
      </c>
      <c r="I4697">
        <v>139.7773</v>
      </c>
      <c r="J4697">
        <v>-389.3725</v>
      </c>
      <c r="K4697">
        <v>1.1110359999999999</v>
      </c>
      <c r="L4697">
        <v>139.73759999999999</v>
      </c>
      <c r="M4697">
        <v>-0.9990154</v>
      </c>
      <c r="N4697">
        <v>0</v>
      </c>
      <c r="O4697">
        <v>-4.2021929999999999E-2</v>
      </c>
      <c r="P4697">
        <v>-0.99980999999999998</v>
      </c>
      <c r="Q4697">
        <v>-1.6690460000000001E-2</v>
      </c>
      <c r="R4697">
        <v>1.007138E-2</v>
      </c>
      <c r="S4697">
        <v>-2.9922179999999998</v>
      </c>
      <c r="T4697">
        <v>-0.45139420000000002</v>
      </c>
      <c r="U4697">
        <v>0.10449219999999999</v>
      </c>
      <c r="V4697">
        <v>5.208608E-2</v>
      </c>
      <c r="W4697">
        <v>-2.372416E-3</v>
      </c>
      <c r="X4697">
        <v>0.99863979999999997</v>
      </c>
      <c r="Y4697">
        <v>7.5540880000000005E-2</v>
      </c>
      <c r="Z4697">
        <v>1.1966249999999999E-2</v>
      </c>
      <c r="AA4697">
        <v>0.99707089999999998</v>
      </c>
      <c r="AB4697">
        <v>30</v>
      </c>
      <c r="AC4697">
        <v>-0.460100000000011</v>
      </c>
      <c r="AD4697">
        <v>-0.1142387</v>
      </c>
      <c r="AE4697">
        <v>3.9700000000010498E-2</v>
      </c>
      <c r="AF4697">
        <v>5.5598916664232001E-2</v>
      </c>
      <c r="AG4697">
        <v>-0.1142387</v>
      </c>
      <c r="AH4697">
        <v>0.43161341621291499</v>
      </c>
      <c r="AI4697">
        <v>104.708799785097</v>
      </c>
      <c r="AJ4697">
        <v>82.659782243688298</v>
      </c>
      <c r="AK4697">
        <v>0.44992428381552102</v>
      </c>
      <c r="AL4697">
        <v>90.135929548961101</v>
      </c>
      <c r="AM4697">
        <v>87.014328055234301</v>
      </c>
      <c r="AN4697">
        <v>1.0000000191157401</v>
      </c>
    </row>
    <row r="4698" spans="1:40" x14ac:dyDescent="0.25">
      <c r="A4698" t="str">
        <f>"20190312161408390"</f>
        <v>20190312161408390</v>
      </c>
      <c r="B4698" t="str">
        <f>"1552378448380454"</f>
        <v>1552378448380454</v>
      </c>
      <c r="C4698" t="s">
        <v>40</v>
      </c>
      <c r="D4698">
        <v>5.5892730000000004</v>
      </c>
      <c r="E4698">
        <v>0.54323779999999999</v>
      </c>
      <c r="F4698" t="s">
        <v>43</v>
      </c>
      <c r="G4698">
        <v>-390.07740000000001</v>
      </c>
      <c r="H4698">
        <v>0.95320919999999998</v>
      </c>
      <c r="I4698">
        <v>139.83150000000001</v>
      </c>
      <c r="J4698">
        <v>-389.6678</v>
      </c>
      <c r="K4698">
        <v>1.111129</v>
      </c>
      <c r="L4698">
        <v>139.72370000000001</v>
      </c>
      <c r="M4698">
        <v>-0.99895750000000005</v>
      </c>
      <c r="N4698">
        <v>0</v>
      </c>
      <c r="O4698">
        <v>-4.3380149999999999E-2</v>
      </c>
      <c r="P4698">
        <v>-0.9998262</v>
      </c>
      <c r="Q4698">
        <v>-1.7278160000000001E-2</v>
      </c>
      <c r="R4698">
        <v>7.0200499999999999E-3</v>
      </c>
      <c r="S4698">
        <v>-2.9854129999999999</v>
      </c>
      <c r="T4698">
        <v>-0.66854809999999998</v>
      </c>
      <c r="U4698">
        <v>0.39675899999999997</v>
      </c>
      <c r="V4698">
        <v>5.039768E-2</v>
      </c>
      <c r="W4698">
        <v>-2.9511339999999998E-3</v>
      </c>
      <c r="X4698">
        <v>0.99872490000000003</v>
      </c>
      <c r="Y4698">
        <v>0.16943559999999999</v>
      </c>
      <c r="Z4698">
        <v>2.8221030000000001E-2</v>
      </c>
      <c r="AA4698">
        <v>0.98513709999999999</v>
      </c>
      <c r="AB4698">
        <v>29</v>
      </c>
      <c r="AC4698">
        <v>-0.40960000000001101</v>
      </c>
      <c r="AD4698">
        <v>-0.1579198</v>
      </c>
      <c r="AE4698">
        <v>0.107799999999997</v>
      </c>
      <c r="AF4698">
        <v>0.110155347937855</v>
      </c>
      <c r="AG4698">
        <v>-0.1579198</v>
      </c>
      <c r="AH4698">
        <v>0.35516371936115398</v>
      </c>
      <c r="AI4698">
        <v>113.010065401003</v>
      </c>
      <c r="AJ4698">
        <v>72.768528966953298</v>
      </c>
      <c r="AK4698">
        <v>0.40399768744610198</v>
      </c>
      <c r="AL4698">
        <v>90.169087763238494</v>
      </c>
      <c r="AM4698">
        <v>87.111189366768699</v>
      </c>
      <c r="AN4698">
        <v>1.00000003061063</v>
      </c>
    </row>
    <row r="4699" spans="1:40" x14ac:dyDescent="0.25">
      <c r="A4699" t="str">
        <f>"20190312161408410"</f>
        <v>20190312161408410</v>
      </c>
      <c r="B4699" t="str">
        <f>"1552378448400937"</f>
        <v>1552378448400937</v>
      </c>
      <c r="C4699" t="s">
        <v>40</v>
      </c>
      <c r="D4699">
        <v>5.6958679999999999</v>
      </c>
      <c r="E4699">
        <v>0.54427159999999997</v>
      </c>
      <c r="F4699" t="s">
        <v>43</v>
      </c>
      <c r="G4699">
        <v>-390.59100000000001</v>
      </c>
      <c r="H4699">
        <v>0.92491809999999997</v>
      </c>
      <c r="I4699">
        <v>139.83439999999999</v>
      </c>
      <c r="J4699">
        <v>-389.94279999999998</v>
      </c>
      <c r="K4699">
        <v>1.1112120000000001</v>
      </c>
      <c r="L4699">
        <v>139.71029999999999</v>
      </c>
      <c r="M4699">
        <v>-0.99889649999999996</v>
      </c>
      <c r="N4699">
        <v>0</v>
      </c>
      <c r="O4699">
        <v>-4.4763310000000001E-2</v>
      </c>
      <c r="P4699">
        <v>-0.99982409999999999</v>
      </c>
      <c r="Q4699">
        <v>-1.8462550000000001E-2</v>
      </c>
      <c r="R4699">
        <v>3.347324E-3</v>
      </c>
      <c r="S4699">
        <v>-2.9876100000000001</v>
      </c>
      <c r="T4699">
        <v>-0.60263169999999899</v>
      </c>
      <c r="U4699">
        <v>0.35758970000000001</v>
      </c>
      <c r="V4699">
        <v>4.8115039999999998E-2</v>
      </c>
      <c r="W4699">
        <v>-4.1299129999999998E-3</v>
      </c>
      <c r="X4699">
        <v>0.99883319999999998</v>
      </c>
      <c r="Y4699">
        <v>0.15912009999999999</v>
      </c>
      <c r="Z4699">
        <v>2.474612E-2</v>
      </c>
      <c r="AA4699">
        <v>0.98694899999999997</v>
      </c>
      <c r="AB4699">
        <v>29</v>
      </c>
      <c r="AC4699">
        <v>-0.64820000000003097</v>
      </c>
      <c r="AD4699">
        <v>-0.18629389999999901</v>
      </c>
      <c r="AE4699">
        <v>0.124099999999998</v>
      </c>
      <c r="AF4699">
        <v>0.14170327755472401</v>
      </c>
      <c r="AG4699">
        <v>-0.18629389999999901</v>
      </c>
      <c r="AH4699">
        <v>0.59461588974285096</v>
      </c>
      <c r="AI4699">
        <v>106.949470612295</v>
      </c>
      <c r="AJ4699">
        <v>76.595824727346397</v>
      </c>
      <c r="AK4699">
        <v>0.63902526740469601</v>
      </c>
      <c r="AL4699">
        <v>90.236627272146393</v>
      </c>
      <c r="AM4699">
        <v>87.2421227693833</v>
      </c>
      <c r="AN4699">
        <v>0.99999993733891201</v>
      </c>
    </row>
    <row r="4700" spans="1:40" x14ac:dyDescent="0.25">
      <c r="A4700" t="str">
        <f>"20190312161408444"</f>
        <v>20190312161408444</v>
      </c>
      <c r="B4700" t="str">
        <f>"1552378448440952"</f>
        <v>1552378448440952</v>
      </c>
      <c r="C4700" t="s">
        <v>40</v>
      </c>
      <c r="D4700">
        <v>5.5608959999999996</v>
      </c>
      <c r="E4700">
        <v>0.54136640000000003</v>
      </c>
      <c r="F4700" t="s">
        <v>43</v>
      </c>
      <c r="G4700">
        <v>-390.85239999999999</v>
      </c>
      <c r="H4700">
        <v>0.92491259999999997</v>
      </c>
      <c r="I4700">
        <v>139.81870000000001</v>
      </c>
      <c r="J4700">
        <v>-390.38</v>
      </c>
      <c r="K4700">
        <v>1.111324</v>
      </c>
      <c r="L4700">
        <v>139.68799999999999</v>
      </c>
      <c r="M4700">
        <v>-0.99878690000000003</v>
      </c>
      <c r="N4700">
        <v>0</v>
      </c>
      <c r="O4700">
        <v>-4.7142089999999998E-2</v>
      </c>
      <c r="P4700">
        <v>-0.99981059999999999</v>
      </c>
      <c r="Q4700">
        <v>-1.9402329999999999E-2</v>
      </c>
      <c r="R4700">
        <v>-1.5703030000000001E-3</v>
      </c>
      <c r="S4700">
        <v>-2.9880369999999998</v>
      </c>
      <c r="T4700">
        <v>-0.61216809999999999</v>
      </c>
      <c r="U4700">
        <v>0.3552399</v>
      </c>
      <c r="V4700">
        <v>4.5584439999999997E-2</v>
      </c>
      <c r="W4700">
        <v>-5.0630199999999997E-3</v>
      </c>
      <c r="X4700">
        <v>0.99894769999999999</v>
      </c>
      <c r="Y4700">
        <v>0.16048319999999999</v>
      </c>
      <c r="Z4700">
        <v>2.574622E-2</v>
      </c>
      <c r="AA4700">
        <v>0.98670270000000004</v>
      </c>
      <c r="AB4700">
        <v>29</v>
      </c>
      <c r="AC4700">
        <v>-0.47239999999999299</v>
      </c>
      <c r="AD4700">
        <v>-0.1864114</v>
      </c>
      <c r="AE4700">
        <v>0.130700000000018</v>
      </c>
      <c r="AF4700">
        <v>0.13351505953445</v>
      </c>
      <c r="AG4700">
        <v>-0.1864114</v>
      </c>
      <c r="AH4700">
        <v>0.40686338458826099</v>
      </c>
      <c r="AI4700">
        <v>113.524779699506</v>
      </c>
      <c r="AJ4700">
        <v>71.832389273409504</v>
      </c>
      <c r="AK4700">
        <v>0.46702601093628898</v>
      </c>
      <c r="AL4700">
        <v>90.290090904980701</v>
      </c>
      <c r="AM4700">
        <v>87.3872652002634</v>
      </c>
      <c r="AN4700">
        <v>1.00000004133846</v>
      </c>
    </row>
    <row r="4701" spans="1:40" x14ac:dyDescent="0.25">
      <c r="A4701" t="str">
        <f>"20190312161408467"</f>
        <v>20190312161408467</v>
      </c>
      <c r="B4701" t="str">
        <f>"1552378448460472"</f>
        <v>1552378448460472</v>
      </c>
      <c r="C4701" t="s">
        <v>40</v>
      </c>
      <c r="D4701">
        <v>5.55288</v>
      </c>
      <c r="E4701">
        <v>0.5407826</v>
      </c>
      <c r="F4701" t="s">
        <v>43</v>
      </c>
      <c r="G4701">
        <v>-391.13029999999998</v>
      </c>
      <c r="H4701">
        <v>0.96771410000000002</v>
      </c>
      <c r="I4701">
        <v>139.768</v>
      </c>
      <c r="J4701">
        <v>-390.67880000000002</v>
      </c>
      <c r="K4701">
        <v>1.1113919999999999</v>
      </c>
      <c r="L4701">
        <v>139.6721</v>
      </c>
      <c r="M4701">
        <v>-0.99870320000000001</v>
      </c>
      <c r="N4701">
        <v>0</v>
      </c>
      <c r="O4701">
        <v>-4.8884669999999998E-2</v>
      </c>
      <c r="P4701">
        <v>-0.9997994</v>
      </c>
      <c r="Q4701">
        <v>-1.931567E-2</v>
      </c>
      <c r="R4701">
        <v>-5.3147919999999996E-3</v>
      </c>
      <c r="S4701">
        <v>-2.990021</v>
      </c>
      <c r="T4701">
        <v>-0.57233140000000005</v>
      </c>
      <c r="U4701">
        <v>0.31799319999999998</v>
      </c>
      <c r="V4701">
        <v>4.3587109999999998E-2</v>
      </c>
      <c r="W4701">
        <v>-4.9744890000000003E-3</v>
      </c>
      <c r="X4701">
        <v>0.99903730000000002</v>
      </c>
      <c r="Y4701">
        <v>0.15065729999999999</v>
      </c>
      <c r="Z4701">
        <v>2.3501870000000001E-2</v>
      </c>
      <c r="AA4701">
        <v>0.98830660000000004</v>
      </c>
      <c r="AB4701">
        <v>29</v>
      </c>
      <c r="AC4701">
        <v>-0.45149999999995299</v>
      </c>
      <c r="AD4701">
        <v>-0.1436779</v>
      </c>
      <c r="AE4701">
        <v>9.5900000000000304E-2</v>
      </c>
      <c r="AF4701">
        <v>0.10744784782425799</v>
      </c>
      <c r="AG4701">
        <v>-0.1436779</v>
      </c>
      <c r="AH4701">
        <v>0.40684994632375598</v>
      </c>
      <c r="AI4701">
        <v>108.85198662184899</v>
      </c>
      <c r="AJ4701">
        <v>75.206127253255204</v>
      </c>
      <c r="AK4701">
        <v>0.44465183882912002</v>
      </c>
      <c r="AL4701">
        <v>90.285018384970599</v>
      </c>
      <c r="AM4701">
        <v>87.501820323762104</v>
      </c>
      <c r="AN4701">
        <v>1.00000005424512</v>
      </c>
    </row>
    <row r="4702" spans="1:40" x14ac:dyDescent="0.25">
      <c r="A4702" t="str">
        <f>"20190312161408489"</f>
        <v>20190312161408489</v>
      </c>
      <c r="B4702" t="str">
        <f>"1552378448480968"</f>
        <v>1552378448480968</v>
      </c>
      <c r="C4702" t="s">
        <v>40</v>
      </c>
      <c r="D4702">
        <v>5.2802439999999997</v>
      </c>
      <c r="E4702">
        <v>0.54175980000000001</v>
      </c>
      <c r="F4702" t="s">
        <v>43</v>
      </c>
      <c r="G4702">
        <v>-391.39550000000003</v>
      </c>
      <c r="H4702">
        <v>0.97790310000000003</v>
      </c>
      <c r="I4702">
        <v>139.7448</v>
      </c>
      <c r="J4702">
        <v>-390.9674</v>
      </c>
      <c r="K4702">
        <v>1.1114740000000001</v>
      </c>
      <c r="L4702">
        <v>139.65600000000001</v>
      </c>
      <c r="M4702">
        <v>-0.99861339999999998</v>
      </c>
      <c r="N4702">
        <v>0</v>
      </c>
      <c r="O4702">
        <v>-5.0686780000000001E-2</v>
      </c>
      <c r="P4702">
        <v>-0.99975899999999995</v>
      </c>
      <c r="Q4702">
        <v>-2.0117079999999999E-2</v>
      </c>
      <c r="R4702">
        <v>-8.7802750000000006E-3</v>
      </c>
      <c r="S4702">
        <v>-2.9914550000000002</v>
      </c>
      <c r="T4702">
        <v>-0.55736609999999998</v>
      </c>
      <c r="U4702">
        <v>0.30279539999999999</v>
      </c>
      <c r="V4702">
        <v>4.1929920000000002E-2</v>
      </c>
      <c r="W4702">
        <v>-5.7730979999999999E-3</v>
      </c>
      <c r="X4702">
        <v>0.99910390000000004</v>
      </c>
      <c r="Y4702">
        <v>0.147627799999999</v>
      </c>
      <c r="Z4702">
        <v>2.2945710000000001E-2</v>
      </c>
      <c r="AA4702">
        <v>0.98877680000000001</v>
      </c>
      <c r="AB4702">
        <v>29</v>
      </c>
      <c r="AC4702">
        <v>-0.42810000000002801</v>
      </c>
      <c r="AD4702">
        <v>-0.13357089999999999</v>
      </c>
      <c r="AE4702">
        <v>8.8799999999991996E-2</v>
      </c>
      <c r="AF4702">
        <v>0.100963730618014</v>
      </c>
      <c r="AG4702">
        <v>-0.13357089999999999</v>
      </c>
      <c r="AH4702">
        <v>0.38693421192918198</v>
      </c>
      <c r="AI4702">
        <v>108.47031780880199</v>
      </c>
      <c r="AJ4702">
        <v>75.375747237595704</v>
      </c>
      <c r="AK4702">
        <v>0.42160757178728903</v>
      </c>
      <c r="AL4702">
        <v>90.330775979275302</v>
      </c>
      <c r="AM4702">
        <v>87.596848027633101</v>
      </c>
      <c r="AN4702">
        <v>1.00000002492346</v>
      </c>
    </row>
    <row r="4703" spans="1:40" x14ac:dyDescent="0.25">
      <c r="A4703" t="str">
        <f>"20190312161408511"</f>
        <v>20190312161408511</v>
      </c>
      <c r="B4703" t="str">
        <f>"1552378448500488"</f>
        <v>1552378448500488</v>
      </c>
      <c r="C4703" t="s">
        <v>40</v>
      </c>
      <c r="D4703">
        <v>6.4787999999999997</v>
      </c>
      <c r="E4703">
        <v>0.54166199999999998</v>
      </c>
      <c r="F4703" t="s">
        <v>43</v>
      </c>
      <c r="G4703">
        <v>-391.89909999999998</v>
      </c>
      <c r="H4703">
        <v>0.93671009999999999</v>
      </c>
      <c r="I4703">
        <v>139.74930000000001</v>
      </c>
      <c r="J4703">
        <v>-391.25380000000001</v>
      </c>
      <c r="K4703">
        <v>1.111569</v>
      </c>
      <c r="L4703">
        <v>139.63939999999999</v>
      </c>
      <c r="M4703">
        <v>-0.99851409999999996</v>
      </c>
      <c r="N4703">
        <v>0</v>
      </c>
      <c r="O4703">
        <v>-5.2606819999999999E-2</v>
      </c>
      <c r="P4703">
        <v>-0.99972749999999999</v>
      </c>
      <c r="Q4703">
        <v>-2.01549E-2</v>
      </c>
      <c r="R4703">
        <v>-1.1789300000000001E-2</v>
      </c>
      <c r="S4703">
        <v>-2.9920960000000001</v>
      </c>
      <c r="T4703">
        <v>-0.56121089999999996</v>
      </c>
      <c r="U4703">
        <v>0.29995729999999998</v>
      </c>
      <c r="V4703">
        <v>4.0845480000000003E-2</v>
      </c>
      <c r="W4703">
        <v>-5.804516E-3</v>
      </c>
      <c r="X4703">
        <v>0.99914860000000005</v>
      </c>
      <c r="Y4703">
        <v>0.14848529999999999</v>
      </c>
      <c r="Z4703">
        <v>2.353328E-2</v>
      </c>
      <c r="AA4703">
        <v>0.98863460000000003</v>
      </c>
      <c r="AB4703">
        <v>29</v>
      </c>
      <c r="AC4703">
        <v>-0.64529999999996301</v>
      </c>
      <c r="AD4703">
        <v>-0.17485889999999901</v>
      </c>
      <c r="AE4703">
        <v>0.10990000000001</v>
      </c>
      <c r="AF4703">
        <v>0.134127508125606</v>
      </c>
      <c r="AG4703">
        <v>-0.17485889999999901</v>
      </c>
      <c r="AH4703">
        <v>0.59608924508530803</v>
      </c>
      <c r="AI4703">
        <v>105.970486561152</v>
      </c>
      <c r="AJ4703">
        <v>77.318936939641205</v>
      </c>
      <c r="AK4703">
        <v>0.635521999187728</v>
      </c>
      <c r="AL4703">
        <v>90.332576141383797</v>
      </c>
      <c r="AM4703">
        <v>87.659035667768805</v>
      </c>
      <c r="AN4703">
        <v>0.99999998526219203</v>
      </c>
    </row>
    <row r="4704" spans="1:40" x14ac:dyDescent="0.25">
      <c r="A4704" t="str">
        <f>"20190312161408534"</f>
        <v>20190312161408534</v>
      </c>
      <c r="B4704" t="str">
        <f>"1552378448530744"</f>
        <v>1552378448530744</v>
      </c>
      <c r="C4704" t="s">
        <v>40</v>
      </c>
      <c r="D4704">
        <v>5.4911240000000001</v>
      </c>
      <c r="E4704">
        <v>0.42156539999999998</v>
      </c>
      <c r="F4704" t="s">
        <v>43</v>
      </c>
      <c r="G4704">
        <v>-392.16039999999998</v>
      </c>
      <c r="H4704">
        <v>0.94143310000000002</v>
      </c>
      <c r="I4704">
        <v>139.7277</v>
      </c>
      <c r="J4704">
        <v>-391.548</v>
      </c>
      <c r="K4704">
        <v>1.1116740000000001</v>
      </c>
      <c r="L4704">
        <v>139.6217</v>
      </c>
      <c r="M4704">
        <v>-0.99840189999999995</v>
      </c>
      <c r="N4704">
        <v>0</v>
      </c>
      <c r="O4704">
        <v>-5.4693930000000002E-2</v>
      </c>
      <c r="P4704">
        <v>-0.99968520000000005</v>
      </c>
      <c r="Q4704">
        <v>-2.0157640000000001E-2</v>
      </c>
      <c r="R4704">
        <v>-1.4940200000000001E-2</v>
      </c>
      <c r="S4704">
        <v>-2.9928889999999999</v>
      </c>
      <c r="T4704">
        <v>-0.56191420000000003</v>
      </c>
      <c r="U4704">
        <v>0.29035949999999999</v>
      </c>
      <c r="V4704">
        <v>3.9786589999999997E-2</v>
      </c>
      <c r="W4704">
        <v>-5.8001459999999999E-3</v>
      </c>
      <c r="X4704">
        <v>0.9991913</v>
      </c>
      <c r="Y4704">
        <v>0.14736050000000001</v>
      </c>
      <c r="Z4704">
        <v>2.3842820000000001E-2</v>
      </c>
      <c r="AA4704">
        <v>0.98879539999999999</v>
      </c>
      <c r="AB4704">
        <v>29</v>
      </c>
      <c r="AC4704">
        <v>-0.61239999999997896</v>
      </c>
      <c r="AD4704">
        <v>-0.1702409</v>
      </c>
      <c r="AE4704">
        <v>0.105999999999994</v>
      </c>
      <c r="AF4704">
        <v>0.12961424810788699</v>
      </c>
      <c r="AG4704">
        <v>-0.1702409</v>
      </c>
      <c r="AH4704">
        <v>0.56341199870405301</v>
      </c>
      <c r="AI4704">
        <v>106.408056263958</v>
      </c>
      <c r="AJ4704">
        <v>77.044387383265303</v>
      </c>
      <c r="AK4704">
        <v>0.60267312668566697</v>
      </c>
      <c r="AL4704">
        <v>90.332325771572698</v>
      </c>
      <c r="AM4704">
        <v>87.7197559315712</v>
      </c>
      <c r="AN4704">
        <v>0.99999993421656697</v>
      </c>
    </row>
    <row r="4705" spans="1:40" x14ac:dyDescent="0.25">
      <c r="A4705" t="str">
        <f>"20190312161408560"</f>
        <v>20190312161408560</v>
      </c>
      <c r="B4705" t="str">
        <f>"1552378448551240"</f>
        <v>1552378448551240</v>
      </c>
      <c r="C4705" t="s">
        <v>40</v>
      </c>
      <c r="D4705">
        <v>5.5270199999999896</v>
      </c>
      <c r="E4705">
        <v>0.41689789999999999</v>
      </c>
      <c r="F4705" t="s">
        <v>84</v>
      </c>
      <c r="G4705">
        <v>-414.43029999999999</v>
      </c>
      <c r="H4705" s="1">
        <v>-8.0396479999999997E-6</v>
      </c>
      <c r="I4705">
        <v>134.48089999999999</v>
      </c>
      <c r="J4705">
        <v>-391.87520000000001</v>
      </c>
      <c r="K4705">
        <v>1.111804</v>
      </c>
      <c r="L4705">
        <v>139.6011</v>
      </c>
      <c r="M4705">
        <v>-0.99826289999999995</v>
      </c>
      <c r="N4705">
        <v>0</v>
      </c>
      <c r="O4705">
        <v>-5.7175520000000001E-2</v>
      </c>
      <c r="P4705">
        <v>-0.99962289999999998</v>
      </c>
      <c r="Q4705">
        <v>-2.0401599999999999E-2</v>
      </c>
      <c r="R4705">
        <v>-1.8396180000000002E-2</v>
      </c>
      <c r="S4705">
        <v>-2.987946</v>
      </c>
      <c r="T4705">
        <v>-0.14516200000000001</v>
      </c>
      <c r="U4705">
        <v>-0.67127990000000004</v>
      </c>
      <c r="V4705">
        <v>3.8818650000000003E-2</v>
      </c>
      <c r="W4705">
        <v>-6.03537E-3</v>
      </c>
      <c r="X4705">
        <v>0.99922809999999995</v>
      </c>
      <c r="Y4705">
        <v>-0.1629312</v>
      </c>
      <c r="Z4705">
        <v>-1.170064E-3</v>
      </c>
      <c r="AA4705">
        <v>0.98663679999999998</v>
      </c>
      <c r="AB4705">
        <v>29</v>
      </c>
      <c r="AC4705">
        <v>-22.5550999999999</v>
      </c>
      <c r="AD4705">
        <v>-1.111812039648</v>
      </c>
      <c r="AE4705">
        <v>-5.1202000000000103</v>
      </c>
      <c r="AF4705">
        <v>-3.81328096584109</v>
      </c>
      <c r="AG4705">
        <v>-1.111812039648</v>
      </c>
      <c r="AH4705">
        <v>22.758386653296899</v>
      </c>
      <c r="AI4705">
        <v>92.758445960853805</v>
      </c>
      <c r="AJ4705">
        <v>99.511835950241405</v>
      </c>
      <c r="AK4705">
        <v>23.102411146824402</v>
      </c>
      <c r="AL4705">
        <v>90.345803309310398</v>
      </c>
      <c r="AM4705">
        <v>87.775255801882594</v>
      </c>
      <c r="AN4705">
        <v>1.00000005455423</v>
      </c>
    </row>
    <row r="4706" spans="1:40" x14ac:dyDescent="0.25">
      <c r="A4706" t="str">
        <f>"20190312161408579"</f>
        <v>20190312161408579</v>
      </c>
      <c r="B4706" t="str">
        <f>"1552378448570761"</f>
        <v>1552378448570761</v>
      </c>
      <c r="C4706" t="s">
        <v>40</v>
      </c>
      <c r="D4706">
        <v>5.7212699999999996</v>
      </c>
      <c r="E4706">
        <v>0.41593229999999998</v>
      </c>
      <c r="F4706" t="s">
        <v>84</v>
      </c>
      <c r="G4706">
        <v>-409.2944</v>
      </c>
      <c r="H4706" s="1">
        <v>-8.4220470000000002E-6</v>
      </c>
      <c r="I4706">
        <v>135.4016</v>
      </c>
      <c r="J4706">
        <v>-392.13869999999997</v>
      </c>
      <c r="K4706">
        <v>1.111912</v>
      </c>
      <c r="L4706">
        <v>139.58369999999999</v>
      </c>
      <c r="M4706">
        <v>-0.99813750000000001</v>
      </c>
      <c r="N4706">
        <v>0</v>
      </c>
      <c r="O4706">
        <v>-5.9323050000000002E-2</v>
      </c>
      <c r="P4706">
        <v>-0.99956990000000001</v>
      </c>
      <c r="Q4706">
        <v>-1.9890399999999999E-2</v>
      </c>
      <c r="R4706">
        <v>-2.1549849999999999E-2</v>
      </c>
      <c r="S4706">
        <v>-2.9840089999999999</v>
      </c>
      <c r="T4706">
        <v>-0.1904595</v>
      </c>
      <c r="U4706">
        <v>-0.71939090000000006</v>
      </c>
      <c r="V4706">
        <v>3.7815769999999999E-2</v>
      </c>
      <c r="W4706">
        <v>-5.5172199999999998E-3</v>
      </c>
      <c r="X4706">
        <v>0.99926950000000003</v>
      </c>
      <c r="Y4706">
        <v>-0.17605419999999999</v>
      </c>
      <c r="Z4706">
        <v>-1.8122640000000001E-3</v>
      </c>
      <c r="AA4706">
        <v>0.9843788</v>
      </c>
      <c r="AB4706">
        <v>29</v>
      </c>
      <c r="AC4706">
        <v>-17.1557</v>
      </c>
      <c r="AD4706">
        <v>-1.111920422047</v>
      </c>
      <c r="AE4706">
        <v>-4.1820999999999904</v>
      </c>
      <c r="AF4706">
        <v>-3.1444335712862599</v>
      </c>
      <c r="AG4706">
        <v>-1.111920422047</v>
      </c>
      <c r="AH4706">
        <v>17.304982986259901</v>
      </c>
      <c r="AI4706">
        <v>93.617377005742995</v>
      </c>
      <c r="AJ4706">
        <v>100.298670420908</v>
      </c>
      <c r="AK4706">
        <v>17.623457823705898</v>
      </c>
      <c r="AL4706">
        <v>90.316115023482993</v>
      </c>
      <c r="AM4706">
        <v>87.832766247933293</v>
      </c>
      <c r="AN4706">
        <v>1.0000000029037299</v>
      </c>
    </row>
    <row r="4707" spans="1:40" x14ac:dyDescent="0.25">
      <c r="A4707" t="str">
        <f>"20190312161408601"</f>
        <v>20190312161408601</v>
      </c>
      <c r="B4707" t="str">
        <f>"1552378448591256"</f>
        <v>1552378448591256</v>
      </c>
      <c r="C4707" t="s">
        <v>40</v>
      </c>
      <c r="D4707">
        <v>5.4526190000000003</v>
      </c>
      <c r="E4707">
        <v>0.41569450000000002</v>
      </c>
      <c r="F4707" t="s">
        <v>84</v>
      </c>
      <c r="G4707">
        <v>-409.59750000000003</v>
      </c>
      <c r="H4707" s="1">
        <v>-8.5535989999999995E-6</v>
      </c>
      <c r="I4707">
        <v>135.27090000000001</v>
      </c>
      <c r="J4707">
        <v>-392.41849999999999</v>
      </c>
      <c r="K4707">
        <v>1.112044</v>
      </c>
      <c r="L4707">
        <v>139.56450000000001</v>
      </c>
      <c r="M4707">
        <v>-0.99798889999999996</v>
      </c>
      <c r="N4707">
        <v>0</v>
      </c>
      <c r="O4707">
        <v>-6.1772309999999997E-2</v>
      </c>
      <c r="P4707">
        <v>-0.9995269</v>
      </c>
      <c r="Q4707">
        <v>-1.8835669999999999E-2</v>
      </c>
      <c r="R4707">
        <v>-2.431935E-2</v>
      </c>
      <c r="S4707">
        <v>-2.9816280000000002</v>
      </c>
      <c r="T4707">
        <v>-0.18989410000000001</v>
      </c>
      <c r="U4707">
        <v>-0.73654169999999997</v>
      </c>
      <c r="V4707">
        <v>3.7497419999999997E-2</v>
      </c>
      <c r="W4707">
        <v>-4.4504280000000002E-3</v>
      </c>
      <c r="X4707">
        <v>0.99928680000000003</v>
      </c>
      <c r="Y4707">
        <v>-0.17916070000000001</v>
      </c>
      <c r="Z4707">
        <v>-1.7518309999999999E-3</v>
      </c>
      <c r="AA4707">
        <v>0.98381830000000003</v>
      </c>
      <c r="AB4707">
        <v>29</v>
      </c>
      <c r="AC4707">
        <v>-17.178999999999998</v>
      </c>
      <c r="AD4707">
        <v>-1.112052553599</v>
      </c>
      <c r="AE4707">
        <v>-4.2935999999999899</v>
      </c>
      <c r="AF4707">
        <v>-3.21143882876693</v>
      </c>
      <c r="AG4707">
        <v>-1.112052553599</v>
      </c>
      <c r="AH4707">
        <v>17.343037119793301</v>
      </c>
      <c r="AI4707">
        <v>93.607675393441298</v>
      </c>
      <c r="AJ4707">
        <v>100.49072730822699</v>
      </c>
      <c r="AK4707">
        <v>17.672887052527798</v>
      </c>
      <c r="AL4707">
        <v>90.254991586809396</v>
      </c>
      <c r="AM4707">
        <v>87.851030977955602</v>
      </c>
      <c r="AN4707">
        <v>0.99999998573513904</v>
      </c>
    </row>
    <row r="4708" spans="1:40" x14ac:dyDescent="0.25">
      <c r="A4708" t="str">
        <f>"20190312161408623"</f>
        <v>20190312161408623</v>
      </c>
      <c r="B4708" t="str">
        <f>"1552378448610777"</f>
        <v>1552378448610777</v>
      </c>
      <c r="C4708" t="s">
        <v>40</v>
      </c>
      <c r="D4708">
        <v>5.4059540000000004</v>
      </c>
      <c r="E4708">
        <v>0.41587039999999997</v>
      </c>
      <c r="F4708" t="s">
        <v>84</v>
      </c>
      <c r="G4708">
        <v>-410.36829999999998</v>
      </c>
      <c r="H4708" s="1">
        <v>-8.6527219999999995E-6</v>
      </c>
      <c r="I4708">
        <v>135.06710000000001</v>
      </c>
      <c r="J4708">
        <v>-392.69569999999999</v>
      </c>
      <c r="K4708">
        <v>1.1121859999999999</v>
      </c>
      <c r="L4708">
        <v>139.5446</v>
      </c>
      <c r="M4708">
        <v>-0.99782400000000004</v>
      </c>
      <c r="N4708">
        <v>0</v>
      </c>
      <c r="O4708">
        <v>-6.4380709999999994E-2</v>
      </c>
      <c r="P4708">
        <v>-0.99945059999999997</v>
      </c>
      <c r="Q4708">
        <v>-1.8065629999999999E-2</v>
      </c>
      <c r="R4708">
        <v>-2.778806E-2</v>
      </c>
      <c r="S4708">
        <v>-2.9797669999999998</v>
      </c>
      <c r="T4708">
        <v>-0.18460579999999999</v>
      </c>
      <c r="U4708">
        <v>-0.74658199999999997</v>
      </c>
      <c r="V4708">
        <v>3.6639959999999999E-2</v>
      </c>
      <c r="W4708">
        <v>-3.668531E-3</v>
      </c>
      <c r="X4708">
        <v>0.99932180000000004</v>
      </c>
      <c r="Y4708">
        <v>-0.17986949999999999</v>
      </c>
      <c r="Z4708">
        <v>-1.567031E-3</v>
      </c>
      <c r="AA4708">
        <v>0.98368920000000004</v>
      </c>
      <c r="AB4708">
        <v>29</v>
      </c>
      <c r="AC4708">
        <v>-17.6725999999999</v>
      </c>
      <c r="AD4708">
        <v>-1.1121946527219999</v>
      </c>
      <c r="AE4708">
        <v>-4.4774999999999903</v>
      </c>
      <c r="AF4708">
        <v>-3.3179709594019902</v>
      </c>
      <c r="AG4708">
        <v>-1.1121946527219999</v>
      </c>
      <c r="AH4708">
        <v>17.857761746265599</v>
      </c>
      <c r="AI4708">
        <v>93.504004997489801</v>
      </c>
      <c r="AJ4708">
        <v>100.52552793501199</v>
      </c>
      <c r="AK4708">
        <v>18.197405387015099</v>
      </c>
      <c r="AL4708">
        <v>90.210191814280506</v>
      </c>
      <c r="AM4708">
        <v>87.900200798328896</v>
      </c>
      <c r="AN4708">
        <v>1.00000000237186</v>
      </c>
    </row>
    <row r="4709" spans="1:40" x14ac:dyDescent="0.25">
      <c r="A4709" t="str">
        <f>"20190312161408645"</f>
        <v>20190312161408645</v>
      </c>
      <c r="B4709" t="str">
        <f>"1552378448641032"</f>
        <v>1552378448641032</v>
      </c>
      <c r="C4709" t="s">
        <v>40</v>
      </c>
      <c r="D4709">
        <v>5.3290449999999998</v>
      </c>
      <c r="E4709">
        <v>0.41666389999999998</v>
      </c>
      <c r="F4709" t="s">
        <v>84</v>
      </c>
      <c r="G4709">
        <v>-410.80509999999998</v>
      </c>
      <c r="H4709" s="1">
        <v>-8.5633470000000001E-6</v>
      </c>
      <c r="I4709">
        <v>134.9504</v>
      </c>
      <c r="J4709">
        <v>-392.98520000000002</v>
      </c>
      <c r="K4709">
        <v>1.112339</v>
      </c>
      <c r="L4709">
        <v>139.52279999999999</v>
      </c>
      <c r="M4709">
        <v>-0.9976315</v>
      </c>
      <c r="N4709">
        <v>0</v>
      </c>
      <c r="O4709">
        <v>-6.7298640000000007E-2</v>
      </c>
      <c r="P4709">
        <v>-0.99934020000000001</v>
      </c>
      <c r="Q4709">
        <v>-1.7621930000000001E-2</v>
      </c>
      <c r="R4709">
        <v>-3.1763909999999999E-2</v>
      </c>
      <c r="S4709">
        <v>-2.9773860000000001</v>
      </c>
      <c r="T4709">
        <v>-0.1828572</v>
      </c>
      <c r="U4709">
        <v>-0.75532529999999998</v>
      </c>
      <c r="V4709">
        <v>3.5586689999999997E-2</v>
      </c>
      <c r="W4709">
        <v>-3.2122850000000001E-3</v>
      </c>
      <c r="X4709">
        <v>0.99936150000000001</v>
      </c>
      <c r="Y4709">
        <v>-0.17990300000000001</v>
      </c>
      <c r="Z4709">
        <v>-1.3787070000000001E-3</v>
      </c>
      <c r="AA4709">
        <v>0.98368339999999999</v>
      </c>
      <c r="AB4709">
        <v>29</v>
      </c>
      <c r="AC4709">
        <v>-17.819899999999901</v>
      </c>
      <c r="AD4709">
        <v>-1.1123475633469999</v>
      </c>
      <c r="AE4709">
        <v>-4.5723999999999796</v>
      </c>
      <c r="AF4709">
        <v>-3.3504070300182298</v>
      </c>
      <c r="AG4709">
        <v>-1.1123475633469999</v>
      </c>
      <c r="AH4709">
        <v>18.021357343620799</v>
      </c>
      <c r="AI4709">
        <v>93.472680033841399</v>
      </c>
      <c r="AJ4709">
        <v>100.531797263496</v>
      </c>
      <c r="AK4709">
        <v>18.363873907075099</v>
      </c>
      <c r="AL4709">
        <v>90.184050676835597</v>
      </c>
      <c r="AM4709">
        <v>87.960591863660397</v>
      </c>
      <c r="AN4709">
        <v>1.0000000694811599</v>
      </c>
    </row>
    <row r="4710" spans="1:40" x14ac:dyDescent="0.25">
      <c r="A4710" t="str">
        <f>"20190312161408668"</f>
        <v>20190312161408668</v>
      </c>
      <c r="B4710" t="str">
        <f>"1552378448661527"</f>
        <v>1552378448661527</v>
      </c>
      <c r="C4710" t="s">
        <v>40</v>
      </c>
      <c r="D4710">
        <v>5.4202320000000004</v>
      </c>
      <c r="E4710">
        <v>0.41716300000000001</v>
      </c>
      <c r="F4710" t="s">
        <v>84</v>
      </c>
      <c r="G4710">
        <v>-409.9932</v>
      </c>
      <c r="H4710" s="1">
        <v>-8.7323730000000008E-6</v>
      </c>
      <c r="I4710">
        <v>135.17400000000001</v>
      </c>
      <c r="J4710">
        <v>-393.27910000000003</v>
      </c>
      <c r="K4710">
        <v>1.112492</v>
      </c>
      <c r="L4710">
        <v>139.49959999999999</v>
      </c>
      <c r="M4710">
        <v>-0.99741270000000004</v>
      </c>
      <c r="N4710">
        <v>0</v>
      </c>
      <c r="O4710">
        <v>-7.0465299999999995E-2</v>
      </c>
      <c r="P4710">
        <v>-0.99916780000000005</v>
      </c>
      <c r="Q4710">
        <v>-1.803041E-2</v>
      </c>
      <c r="R4710">
        <v>-3.6588059999999999E-2</v>
      </c>
      <c r="S4710">
        <v>-2.9743650000000001</v>
      </c>
      <c r="T4710">
        <v>-0.1945279</v>
      </c>
      <c r="U4710">
        <v>-0.7605286</v>
      </c>
      <c r="V4710">
        <v>3.3937920000000003E-2</v>
      </c>
      <c r="W4710">
        <v>-3.6114279999999999E-3</v>
      </c>
      <c r="X4710">
        <v>0.99941740000000001</v>
      </c>
      <c r="Y4710">
        <v>-0.17861669999999999</v>
      </c>
      <c r="Z4710">
        <v>-1.2239740000000001E-3</v>
      </c>
      <c r="AA4710">
        <v>0.98391799999999996</v>
      </c>
      <c r="AB4710">
        <v>29</v>
      </c>
      <c r="AC4710">
        <v>-16.714099999999899</v>
      </c>
      <c r="AD4710">
        <v>-1.1125007323729901</v>
      </c>
      <c r="AE4710">
        <v>-4.3255999999999801</v>
      </c>
      <c r="AF4710">
        <v>-3.1239905418584799</v>
      </c>
      <c r="AG4710">
        <v>-1.1125007323729901</v>
      </c>
      <c r="AH4710">
        <v>16.907177577758201</v>
      </c>
      <c r="AI4710">
        <v>93.702174884275195</v>
      </c>
      <c r="AJ4710">
        <v>100.468643925701</v>
      </c>
      <c r="AK4710">
        <v>17.229324665551999</v>
      </c>
      <c r="AL4710">
        <v>90.206920035905199</v>
      </c>
      <c r="AM4710">
        <v>88.055114228847302</v>
      </c>
      <c r="AN4710">
        <v>0.99999998212444197</v>
      </c>
    </row>
    <row r="4711" spans="1:40" x14ac:dyDescent="0.25">
      <c r="A4711" t="str">
        <f>"20190312161408690"</f>
        <v>20190312161408690</v>
      </c>
      <c r="B4711" t="str">
        <f>"1552378448681052"</f>
        <v>1552378448681052</v>
      </c>
      <c r="C4711" t="s">
        <v>40</v>
      </c>
      <c r="D4711">
        <v>5.3590970000000002</v>
      </c>
      <c r="E4711">
        <v>0.41752929999999999</v>
      </c>
      <c r="F4711" t="s">
        <v>84</v>
      </c>
      <c r="G4711">
        <v>-409.93290000000002</v>
      </c>
      <c r="H4711" s="1">
        <v>-8.7221010000000001E-6</v>
      </c>
      <c r="I4711">
        <v>135.17869999999999</v>
      </c>
      <c r="J4711">
        <v>-393.55829999999997</v>
      </c>
      <c r="K4711">
        <v>1.1126339999999999</v>
      </c>
      <c r="L4711">
        <v>139.47649999999999</v>
      </c>
      <c r="M4711">
        <v>-0.99718030000000002</v>
      </c>
      <c r="N4711">
        <v>0</v>
      </c>
      <c r="O4711">
        <v>-7.3680800000000005E-2</v>
      </c>
      <c r="P4711">
        <v>-0.99896870000000004</v>
      </c>
      <c r="Q4711">
        <v>-1.935692E-2</v>
      </c>
      <c r="R4711">
        <v>-4.107893E-2</v>
      </c>
      <c r="S4711">
        <v>-2.9707029999999999</v>
      </c>
      <c r="T4711">
        <v>-0.19844680000000001</v>
      </c>
      <c r="U4711">
        <v>-0.77076719999999999</v>
      </c>
      <c r="V4711">
        <v>3.2675530000000001E-2</v>
      </c>
      <c r="W4711">
        <v>-4.9286540000000002E-3</v>
      </c>
      <c r="X4711">
        <v>0.99945379999999995</v>
      </c>
      <c r="Y4711">
        <v>-0.1789125</v>
      </c>
      <c r="Z4711">
        <v>-1.0496699999999999E-3</v>
      </c>
      <c r="AA4711">
        <v>0.98386439999999997</v>
      </c>
      <c r="AB4711">
        <v>29</v>
      </c>
      <c r="AC4711">
        <v>-16.374600000000001</v>
      </c>
      <c r="AD4711">
        <v>-1.112642722101</v>
      </c>
      <c r="AE4711">
        <v>-4.2977999999999899</v>
      </c>
      <c r="AF4711">
        <v>-3.0662550102531601</v>
      </c>
      <c r="AG4711">
        <v>-1.112642722101</v>
      </c>
      <c r="AH4711">
        <v>16.5751830483972</v>
      </c>
      <c r="AI4711">
        <v>93.7764495950655</v>
      </c>
      <c r="AJ4711">
        <v>100.480703913509</v>
      </c>
      <c r="AK4711">
        <v>16.893092869655899</v>
      </c>
      <c r="AL4711">
        <v>90.282392233094498</v>
      </c>
      <c r="AM4711">
        <v>88.127473864096999</v>
      </c>
      <c r="AN4711">
        <v>0.99999994011273396</v>
      </c>
    </row>
    <row r="4712" spans="1:40" x14ac:dyDescent="0.25">
      <c r="A4712" t="str">
        <f>"20190312161408712"</f>
        <v>20190312161408712</v>
      </c>
      <c r="B4712" t="str">
        <f>"1552378448700569"</f>
        <v>1552378448700569</v>
      </c>
      <c r="C4712" t="s">
        <v>40</v>
      </c>
      <c r="D4712">
        <v>5.3464289999999997</v>
      </c>
      <c r="E4712">
        <v>0.41787580000000002</v>
      </c>
      <c r="F4712" t="s">
        <v>84</v>
      </c>
      <c r="G4712">
        <v>-409.75670000000002</v>
      </c>
      <c r="H4712" s="1">
        <v>-8.6261250000000004E-6</v>
      </c>
      <c r="I4712">
        <v>135.21010000000001</v>
      </c>
      <c r="J4712">
        <v>-393.8408</v>
      </c>
      <c r="K4712">
        <v>1.1127560000000001</v>
      </c>
      <c r="L4712">
        <v>139.45189999999999</v>
      </c>
      <c r="M4712">
        <v>-0.99692289999999995</v>
      </c>
      <c r="N4712">
        <v>0</v>
      </c>
      <c r="O4712">
        <v>-7.7085790000000001E-2</v>
      </c>
      <c r="P4712">
        <v>-0.9988226</v>
      </c>
      <c r="Q4712">
        <v>-1.9267670000000001E-2</v>
      </c>
      <c r="R4712">
        <v>-4.452975E-2</v>
      </c>
      <c r="S4712">
        <v>-2.967041</v>
      </c>
      <c r="T4712">
        <v>-0.20380190000000001</v>
      </c>
      <c r="U4712">
        <v>-0.78146359999999904</v>
      </c>
      <c r="V4712">
        <v>3.263684E-2</v>
      </c>
      <c r="W4712">
        <v>-4.8253310000000004E-3</v>
      </c>
      <c r="X4712">
        <v>0.9994556</v>
      </c>
      <c r="Y4712">
        <v>-0.179162299999999</v>
      </c>
      <c r="Z4712">
        <v>-8.5920889999999996E-4</v>
      </c>
      <c r="AA4712">
        <v>0.98381909999999895</v>
      </c>
      <c r="AB4712">
        <v>29</v>
      </c>
      <c r="AC4712">
        <v>-15.915900000000001</v>
      </c>
      <c r="AD4712">
        <v>-1.1127646261249999</v>
      </c>
      <c r="AE4712">
        <v>-4.24179999999998</v>
      </c>
      <c r="AF4712">
        <v>-2.9885223071558098</v>
      </c>
      <c r="AG4712">
        <v>-1.1127646261249999</v>
      </c>
      <c r="AH4712">
        <v>16.121967485448</v>
      </c>
      <c r="AI4712">
        <v>93.882453199020105</v>
      </c>
      <c r="AJ4712">
        <v>100.501691301582</v>
      </c>
      <c r="AK4712">
        <v>16.434334373358901</v>
      </c>
      <c r="AL4712">
        <v>90.276472181756901</v>
      </c>
      <c r="AM4712">
        <v>88.1296928498912</v>
      </c>
      <c r="AN4712">
        <v>0.99999997175790201</v>
      </c>
    </row>
    <row r="4713" spans="1:40" x14ac:dyDescent="0.25">
      <c r="A4713" t="str">
        <f>"20190312161408735"</f>
        <v>20190312161408735</v>
      </c>
      <c r="B4713" t="str">
        <f>"1552378448730824"</f>
        <v>1552378448730824</v>
      </c>
      <c r="C4713" t="s">
        <v>40</v>
      </c>
      <c r="D4713">
        <v>5.3608909999999996</v>
      </c>
      <c r="E4713">
        <v>0.41841440000000002</v>
      </c>
      <c r="F4713" t="s">
        <v>84</v>
      </c>
      <c r="G4713">
        <v>-409.94139999999999</v>
      </c>
      <c r="H4713" s="1">
        <v>-8.7220620000000001E-6</v>
      </c>
      <c r="I4713">
        <v>135.16659999999999</v>
      </c>
      <c r="J4713">
        <v>-394.13639999999998</v>
      </c>
      <c r="K4713">
        <v>1.1128499999999999</v>
      </c>
      <c r="L4713">
        <v>139.42500000000001</v>
      </c>
      <c r="M4713">
        <v>-0.99662830000000002</v>
      </c>
      <c r="N4713">
        <v>0</v>
      </c>
      <c r="O4713">
        <v>-8.0802799999999994E-2</v>
      </c>
      <c r="P4713">
        <v>-0.99863500000000005</v>
      </c>
      <c r="Q4713">
        <v>-1.917046E-2</v>
      </c>
      <c r="R4713">
        <v>-4.8589590000000002E-2</v>
      </c>
      <c r="S4713">
        <v>-2.9644469999999998</v>
      </c>
      <c r="T4713">
        <v>-0.20488239999999999</v>
      </c>
      <c r="U4713">
        <v>-0.78901669999999902</v>
      </c>
      <c r="V4713">
        <v>3.2301900000000001E-2</v>
      </c>
      <c r="W4713">
        <v>-4.7175380000000003E-3</v>
      </c>
      <c r="X4713">
        <v>0.99946699999999999</v>
      </c>
      <c r="Y4713">
        <v>-0.17805609999999999</v>
      </c>
      <c r="Z4713">
        <v>-5.764524E-4</v>
      </c>
      <c r="AA4713">
        <v>0.98402020000000001</v>
      </c>
      <c r="AB4713">
        <v>29</v>
      </c>
      <c r="AC4713">
        <v>-15.805</v>
      </c>
      <c r="AD4713">
        <v>-1.1128587220620001</v>
      </c>
      <c r="AE4713">
        <v>-4.2584000000000204</v>
      </c>
      <c r="AF4713">
        <v>-2.9536024464784201</v>
      </c>
      <c r="AG4713">
        <v>-1.1128587220620001</v>
      </c>
      <c r="AH4713">
        <v>16.023370034617699</v>
      </c>
      <c r="AI4713">
        <v>93.9073219557295</v>
      </c>
      <c r="AJ4713">
        <v>100.444146541812</v>
      </c>
      <c r="AK4713">
        <v>16.331277023349902</v>
      </c>
      <c r="AL4713">
        <v>90.270296026166804</v>
      </c>
      <c r="AM4713">
        <v>88.148894806940106</v>
      </c>
      <c r="AN4713">
        <v>0.99999997599869495</v>
      </c>
    </row>
    <row r="4714" spans="1:40" x14ac:dyDescent="0.25">
      <c r="A4714" t="str">
        <f>"20190312161408758"</f>
        <v>20190312161408758</v>
      </c>
      <c r="B4714" t="str">
        <f>"1552378448751321"</f>
        <v>1552378448751321</v>
      </c>
      <c r="C4714" t="s">
        <v>40</v>
      </c>
      <c r="D4714">
        <v>5.2964960000000003</v>
      </c>
      <c r="E4714">
        <v>0.41894409999999999</v>
      </c>
      <c r="F4714" t="s">
        <v>84</v>
      </c>
      <c r="G4714">
        <v>-410.04700000000003</v>
      </c>
      <c r="H4714" s="1">
        <v>-8.7155279999999997E-6</v>
      </c>
      <c r="I4714">
        <v>135.14619999999999</v>
      </c>
      <c r="J4714">
        <v>-394.41989999999998</v>
      </c>
      <c r="K4714">
        <v>1.1129389999999999</v>
      </c>
      <c r="L4714">
        <v>139.3981</v>
      </c>
      <c r="M4714">
        <v>-0.99632120000000002</v>
      </c>
      <c r="N4714">
        <v>0</v>
      </c>
      <c r="O4714">
        <v>-8.4504709999999997E-2</v>
      </c>
      <c r="P4714">
        <v>-0.99842439999999999</v>
      </c>
      <c r="Q4714">
        <v>-2.002628E-2</v>
      </c>
      <c r="R4714">
        <v>-5.242281E-2</v>
      </c>
      <c r="S4714">
        <v>-2.9613649999999998</v>
      </c>
      <c r="T4714">
        <v>-0.20713010000000001</v>
      </c>
      <c r="U4714">
        <v>-0.796386699999999</v>
      </c>
      <c r="V4714">
        <v>3.2183639999999999E-2</v>
      </c>
      <c r="W4714">
        <v>-5.5632059999999898E-3</v>
      </c>
      <c r="X4714">
        <v>0.99946650000000004</v>
      </c>
      <c r="Y4714">
        <v>-0.1769461</v>
      </c>
      <c r="Z4714">
        <v>-2.9310350000000002E-4</v>
      </c>
      <c r="AA4714">
        <v>0.98422050000000005</v>
      </c>
      <c r="AB4714">
        <v>29</v>
      </c>
      <c r="AC4714">
        <v>-15.627099999999899</v>
      </c>
      <c r="AD4714">
        <v>-1.1129477155280001</v>
      </c>
      <c r="AE4714">
        <v>-4.2519</v>
      </c>
      <c r="AF4714">
        <v>-2.9022844020617602</v>
      </c>
      <c r="AG4714">
        <v>-1.1129477155280001</v>
      </c>
      <c r="AH4714">
        <v>15.8556547315524</v>
      </c>
      <c r="AI4714">
        <v>93.949737036828694</v>
      </c>
      <c r="AJ4714">
        <v>100.372825259847</v>
      </c>
      <c r="AK4714">
        <v>16.1574655913033</v>
      </c>
      <c r="AL4714">
        <v>90.318749865277198</v>
      </c>
      <c r="AM4714">
        <v>88.155666249187306</v>
      </c>
      <c r="AN4714">
        <v>1.0000000102834401</v>
      </c>
    </row>
    <row r="4715" spans="1:40" x14ac:dyDescent="0.25">
      <c r="A4715" t="str">
        <f>"20190312161408780"</f>
        <v>20190312161408780</v>
      </c>
      <c r="B4715" t="str">
        <f>"1552378448770840"</f>
        <v>1552378448770840</v>
      </c>
      <c r="C4715" t="s">
        <v>40</v>
      </c>
      <c r="D4715">
        <v>5.3883780000000003</v>
      </c>
      <c r="E4715">
        <v>0.41905569999999998</v>
      </c>
      <c r="F4715" t="s">
        <v>84</v>
      </c>
      <c r="G4715">
        <v>-409.73860000000002</v>
      </c>
      <c r="H4715" s="1">
        <v>-8.6272930000000004E-6</v>
      </c>
      <c r="I4715">
        <v>135.23849999999999</v>
      </c>
      <c r="J4715">
        <v>-394.70139999999998</v>
      </c>
      <c r="K4715">
        <v>1.113022</v>
      </c>
      <c r="L4715">
        <v>139.37010000000001</v>
      </c>
      <c r="M4715">
        <v>-0.99599119999999997</v>
      </c>
      <c r="N4715">
        <v>0</v>
      </c>
      <c r="O4715">
        <v>-8.8308150000000002E-2</v>
      </c>
      <c r="P4715">
        <v>-0.99815679999999996</v>
      </c>
      <c r="Q4715">
        <v>-2.1376269999999999E-2</v>
      </c>
      <c r="R4715">
        <v>-5.6797159999999999E-2</v>
      </c>
      <c r="S4715">
        <v>-2.958221</v>
      </c>
      <c r="T4715">
        <v>-0.21492230000000001</v>
      </c>
      <c r="U4715">
        <v>-0.803253199999999</v>
      </c>
      <c r="V4715">
        <v>3.1628650000000001E-2</v>
      </c>
      <c r="W4715">
        <v>-6.9059739999999996E-3</v>
      </c>
      <c r="X4715">
        <v>0.99947580000000003</v>
      </c>
      <c r="Y4715">
        <v>-0.1755757</v>
      </c>
      <c r="Z4715" s="1">
        <v>1.3151669999999999E-5</v>
      </c>
      <c r="AA4715">
        <v>0.98446599999999995</v>
      </c>
      <c r="AB4715">
        <v>29</v>
      </c>
      <c r="AC4715">
        <v>-15.0372</v>
      </c>
      <c r="AD4715">
        <v>-1.113030627293</v>
      </c>
      <c r="AE4715">
        <v>-4.1316000000000201</v>
      </c>
      <c r="AF4715">
        <v>-2.7732855712224902</v>
      </c>
      <c r="AG4715">
        <v>-1.113030627293</v>
      </c>
      <c r="AH4715">
        <v>15.265566479091</v>
      </c>
      <c r="AI4715">
        <v>94.103198624146501</v>
      </c>
      <c r="AJ4715">
        <v>100.296591810233</v>
      </c>
      <c r="AK4715">
        <v>15.555303596021201</v>
      </c>
      <c r="AL4715">
        <v>90.395686320994997</v>
      </c>
      <c r="AM4715">
        <v>88.187466271075905</v>
      </c>
      <c r="AN4715">
        <v>0.99999996938167501</v>
      </c>
    </row>
    <row r="4716" spans="1:40" x14ac:dyDescent="0.25">
      <c r="A4716" t="str">
        <f>"20190312161408802"</f>
        <v>20190312161408802</v>
      </c>
      <c r="B4716" t="str">
        <f>"1552378448791336"</f>
        <v>1552378448791336</v>
      </c>
      <c r="C4716" t="s">
        <v>40</v>
      </c>
      <c r="D4716">
        <v>5.3729069999999997</v>
      </c>
      <c r="E4716">
        <v>0.39167469999999999</v>
      </c>
      <c r="F4716" t="s">
        <v>84</v>
      </c>
      <c r="G4716">
        <v>-409.51510000000002</v>
      </c>
      <c r="H4716" s="1">
        <v>-8.5069639999999999E-6</v>
      </c>
      <c r="I4716">
        <v>135.2816</v>
      </c>
      <c r="J4716">
        <v>-394.97539999999998</v>
      </c>
      <c r="K4716">
        <v>1.1131070000000001</v>
      </c>
      <c r="L4716">
        <v>139.34180000000001</v>
      </c>
      <c r="M4716">
        <v>-0.99564529999999996</v>
      </c>
      <c r="N4716">
        <v>0</v>
      </c>
      <c r="O4716">
        <v>-9.2125059999999995E-2</v>
      </c>
      <c r="P4716">
        <v>-0.99783549999999999</v>
      </c>
      <c r="Q4716">
        <v>-2.283688E-2</v>
      </c>
      <c r="R4716">
        <v>-6.1668399999999998E-2</v>
      </c>
      <c r="S4716">
        <v>-2.9544069999999998</v>
      </c>
      <c r="T4716">
        <v>-0.2219797</v>
      </c>
      <c r="U4716">
        <v>-0.81541439999999998</v>
      </c>
      <c r="V4716">
        <v>3.059044E-2</v>
      </c>
      <c r="W4716">
        <v>-8.3628809999999904E-3</v>
      </c>
      <c r="X4716">
        <v>0.99949699999999997</v>
      </c>
      <c r="Y4716">
        <v>-0.17588809999999999</v>
      </c>
      <c r="Z4716">
        <v>2.8039889999999999E-4</v>
      </c>
      <c r="AA4716">
        <v>0.98441009999999995</v>
      </c>
      <c r="AB4716">
        <v>29</v>
      </c>
      <c r="AC4716">
        <v>-14.5397</v>
      </c>
      <c r="AD4716">
        <v>-1.113115506964</v>
      </c>
      <c r="AE4716">
        <v>-4.0602</v>
      </c>
      <c r="AF4716">
        <v>-2.6887047968753399</v>
      </c>
      <c r="AG4716">
        <v>-1.113115506964</v>
      </c>
      <c r="AH4716">
        <v>14.771627486339799</v>
      </c>
      <c r="AI4716">
        <v>94.239973313879602</v>
      </c>
      <c r="AJ4716">
        <v>100.315938613621</v>
      </c>
      <c r="AK4716">
        <v>15.0555351353505</v>
      </c>
      <c r="AL4716">
        <v>90.479163379443307</v>
      </c>
      <c r="AM4716">
        <v>88.2469620714363</v>
      </c>
      <c r="AN4716">
        <v>0.999999982903506</v>
      </c>
    </row>
    <row r="4717" spans="1:40" x14ac:dyDescent="0.25">
      <c r="A4717" t="str">
        <f>"20190312161408823"</f>
        <v>20190312161408823</v>
      </c>
      <c r="B4717" t="str">
        <f>"1552378448820616"</f>
        <v>1552378448820616</v>
      </c>
      <c r="C4717" t="s">
        <v>40</v>
      </c>
      <c r="D4717">
        <v>5.417262</v>
      </c>
      <c r="E4717">
        <v>0.38689970000000001</v>
      </c>
      <c r="F4717" t="s">
        <v>84</v>
      </c>
      <c r="G4717">
        <v>-411.81610000000001</v>
      </c>
      <c r="H4717" s="1">
        <v>-7.7681129999999999E-6</v>
      </c>
      <c r="I4717">
        <v>133.33430000000001</v>
      </c>
      <c r="J4717">
        <v>-395.25970000000001</v>
      </c>
      <c r="K4717">
        <v>1.113202</v>
      </c>
      <c r="L4717">
        <v>139.31110000000001</v>
      </c>
      <c r="M4717">
        <v>-0.99525960000000002</v>
      </c>
      <c r="N4717">
        <v>0</v>
      </c>
      <c r="O4717">
        <v>-9.6203070000000002E-2</v>
      </c>
      <c r="P4717">
        <v>-0.99743939999999998</v>
      </c>
      <c r="Q4717">
        <v>-2.3771339999999998E-2</v>
      </c>
      <c r="R4717">
        <v>-6.7451220000000006E-2</v>
      </c>
      <c r="S4717">
        <v>-2.9372859999999998</v>
      </c>
      <c r="T4717">
        <v>-0.1941454</v>
      </c>
      <c r="U4717">
        <v>-1.047806</v>
      </c>
      <c r="V4717">
        <v>2.8898690000000001E-2</v>
      </c>
      <c r="W4717">
        <v>-9.2979929999999992E-3</v>
      </c>
      <c r="X4717">
        <v>0.99953910000000001</v>
      </c>
      <c r="Y4717">
        <v>-0.2435264</v>
      </c>
      <c r="Z4717">
        <v>-1.6691919999999999E-3</v>
      </c>
      <c r="AA4717">
        <v>0.96989289999999995</v>
      </c>
      <c r="AB4717">
        <v>29</v>
      </c>
      <c r="AC4717">
        <v>-16.556399999999901</v>
      </c>
      <c r="AD4717">
        <v>-1.113209768113</v>
      </c>
      <c r="AE4717">
        <v>-5.9767999999999901</v>
      </c>
      <c r="AF4717">
        <v>-4.3387803085326198</v>
      </c>
      <c r="AG4717">
        <v>-1.113209768113</v>
      </c>
      <c r="AH4717">
        <v>16.986695478140799</v>
      </c>
      <c r="AI4717">
        <v>93.633157839989494</v>
      </c>
      <c r="AJ4717">
        <v>104.328266625084</v>
      </c>
      <c r="AK4717">
        <v>17.567358191276799</v>
      </c>
      <c r="AL4717">
        <v>90.532743433375998</v>
      </c>
      <c r="AM4717">
        <v>88.343924869368195</v>
      </c>
      <c r="AN4717">
        <v>0.99999999969317699</v>
      </c>
    </row>
    <row r="4718" spans="1:40" x14ac:dyDescent="0.25">
      <c r="A4718" t="str">
        <f>"20190312161408846"</f>
        <v>20190312161408846</v>
      </c>
      <c r="B4718" t="str">
        <f>"1552378448841113"</f>
        <v>1552378448841113</v>
      </c>
      <c r="C4718" t="s">
        <v>40</v>
      </c>
      <c r="D4718">
        <v>5.3878050000000002</v>
      </c>
      <c r="E4718">
        <v>0.3870729</v>
      </c>
      <c r="F4718" t="s">
        <v>84</v>
      </c>
      <c r="G4718">
        <v>-413.80399999999997</v>
      </c>
      <c r="H4718" s="1">
        <v>-7.1873380000000004E-6</v>
      </c>
      <c r="I4718">
        <v>132.32769999999999</v>
      </c>
      <c r="J4718">
        <v>-395.54239999999999</v>
      </c>
      <c r="K4718">
        <v>1.1132959999999901</v>
      </c>
      <c r="L4718">
        <v>139.27930000000001</v>
      </c>
      <c r="M4718">
        <v>-0.99484649999999997</v>
      </c>
      <c r="N4718">
        <v>0</v>
      </c>
      <c r="O4718">
        <v>-0.100384</v>
      </c>
      <c r="P4718">
        <v>-0.99703419999999998</v>
      </c>
      <c r="Q4718">
        <v>-2.3373149999999999E-2</v>
      </c>
      <c r="R4718">
        <v>-7.3325119999999994E-2</v>
      </c>
      <c r="S4718">
        <v>-2.928925</v>
      </c>
      <c r="T4718">
        <v>-0.1758219</v>
      </c>
      <c r="U4718">
        <v>-1.1029659999999999</v>
      </c>
      <c r="V4718">
        <v>2.721146E-2</v>
      </c>
      <c r="W4718">
        <v>-8.9006199999999997E-3</v>
      </c>
      <c r="X4718">
        <v>0.99959010000000004</v>
      </c>
      <c r="Y4718">
        <v>-0.25643929999999998</v>
      </c>
      <c r="Z4718">
        <v>-1.6473929999999901E-3</v>
      </c>
      <c r="AA4718">
        <v>0.9665589</v>
      </c>
      <c r="AB4718">
        <v>29</v>
      </c>
      <c r="AC4718">
        <v>-18.261600000000001</v>
      </c>
      <c r="AD4718">
        <v>-1.1133031873379999</v>
      </c>
      <c r="AE4718">
        <v>-6.9516000000000098</v>
      </c>
      <c r="AF4718">
        <v>-5.0666721317652099</v>
      </c>
      <c r="AG4718">
        <v>-1.1133031873379999</v>
      </c>
      <c r="AH4718">
        <v>18.806188905958699</v>
      </c>
      <c r="AI4718">
        <v>93.271502082388494</v>
      </c>
      <c r="AJ4718">
        <v>105.078337738386</v>
      </c>
      <c r="AK4718">
        <v>19.508545605563398</v>
      </c>
      <c r="AL4718">
        <v>90.509974681239598</v>
      </c>
      <c r="AM4718">
        <v>88.440643971444004</v>
      </c>
      <c r="AN4718">
        <v>1.0000000263048601</v>
      </c>
    </row>
    <row r="4719" spans="1:40" x14ac:dyDescent="0.25">
      <c r="A4719" t="str">
        <f>"20190312161408869"</f>
        <v>20190312161408869</v>
      </c>
      <c r="B4719" t="str">
        <f>"1552378448861608"</f>
        <v>1552378448861608</v>
      </c>
      <c r="C4719" t="s">
        <v>40</v>
      </c>
      <c r="D4719">
        <v>5.4004960000000004</v>
      </c>
      <c r="E4719">
        <v>0.3866078</v>
      </c>
      <c r="F4719" t="s">
        <v>84</v>
      </c>
      <c r="G4719">
        <v>-414.03559999999999</v>
      </c>
      <c r="H4719" s="1">
        <v>-7.1216749999999999E-6</v>
      </c>
      <c r="I4719">
        <v>132.1995</v>
      </c>
      <c r="J4719">
        <v>-395.82679999999999</v>
      </c>
      <c r="K4719">
        <v>1.1133919999999999</v>
      </c>
      <c r="L4719">
        <v>139.24600000000001</v>
      </c>
      <c r="M4719">
        <v>-0.99439889999999997</v>
      </c>
      <c r="N4719">
        <v>0</v>
      </c>
      <c r="O4719">
        <v>-0.1047242</v>
      </c>
      <c r="P4719">
        <v>-0.99656920000000004</v>
      </c>
      <c r="Q4719">
        <v>-2.3316920000000001E-2</v>
      </c>
      <c r="R4719">
        <v>-7.9411809999999999E-2</v>
      </c>
      <c r="S4719">
        <v>-2.9225159999999999</v>
      </c>
      <c r="T4719">
        <v>-0.1759375</v>
      </c>
      <c r="U4719">
        <v>-1.118835</v>
      </c>
      <c r="V4719">
        <v>2.5471830000000001E-2</v>
      </c>
      <c r="W4719">
        <v>-8.8462149999999993E-3</v>
      </c>
      <c r="X4719">
        <v>0.99963639999999998</v>
      </c>
      <c r="Y4719">
        <v>-0.25751079999999998</v>
      </c>
      <c r="Z4719">
        <v>-1.433031E-3</v>
      </c>
      <c r="AA4719">
        <v>0.96627439999999998</v>
      </c>
      <c r="AB4719">
        <v>29</v>
      </c>
      <c r="AC4719">
        <v>-18.2088</v>
      </c>
      <c r="AD4719">
        <v>-1.1133991216750001</v>
      </c>
      <c r="AE4719">
        <v>-7.0465</v>
      </c>
      <c r="AF4719">
        <v>-5.08411639152422</v>
      </c>
      <c r="AG4719">
        <v>-1.1133991216750001</v>
      </c>
      <c r="AH4719">
        <v>18.785580810775802</v>
      </c>
      <c r="AI4719">
        <v>93.274358013664497</v>
      </c>
      <c r="AJ4719">
        <v>105.143709846408</v>
      </c>
      <c r="AK4719">
        <v>19.493228144278799</v>
      </c>
      <c r="AL4719">
        <v>90.506857394574894</v>
      </c>
      <c r="AM4719">
        <v>88.540356657441606</v>
      </c>
      <c r="AN4719">
        <v>1.0000000009241601</v>
      </c>
    </row>
    <row r="4720" spans="1:40" x14ac:dyDescent="0.25">
      <c r="A4720" t="str">
        <f>"20190312161408890"</f>
        <v>20190312161408890</v>
      </c>
      <c r="B4720" t="str">
        <f>"1552378448881128"</f>
        <v>1552378448881128</v>
      </c>
      <c r="C4720" t="s">
        <v>40</v>
      </c>
      <c r="D4720">
        <v>5.5701720000000003</v>
      </c>
      <c r="E4720">
        <v>0.38681490000000002</v>
      </c>
      <c r="F4720" t="s">
        <v>84</v>
      </c>
      <c r="G4720">
        <v>-415.6447</v>
      </c>
      <c r="H4720" s="1">
        <v>-6.7416769999999998E-6</v>
      </c>
      <c r="I4720">
        <v>131.4958</v>
      </c>
      <c r="J4720">
        <v>-396.10050000000001</v>
      </c>
      <c r="K4720">
        <v>1.1134919999999999</v>
      </c>
      <c r="L4720">
        <v>139.2124</v>
      </c>
      <c r="M4720">
        <v>-0.99393500000000001</v>
      </c>
      <c r="N4720">
        <v>0</v>
      </c>
      <c r="O4720">
        <v>-0.10903789999999999</v>
      </c>
      <c r="P4720">
        <v>-0.9960561</v>
      </c>
      <c r="Q4720">
        <v>-2.4179559999999999E-2</v>
      </c>
      <c r="R4720">
        <v>-8.5367449999999998E-2</v>
      </c>
      <c r="S4720">
        <v>-2.9156490000000002</v>
      </c>
      <c r="T4720">
        <v>-0.16380549999999999</v>
      </c>
      <c r="U4720">
        <v>-1.1402129999999999</v>
      </c>
      <c r="V4720">
        <v>2.3841060000000001E-2</v>
      </c>
      <c r="W4720">
        <v>-9.7107389999999995E-3</v>
      </c>
      <c r="X4720">
        <v>0.99966860000000002</v>
      </c>
      <c r="Y4720">
        <v>-0.26027090000000003</v>
      </c>
      <c r="Z4720">
        <v>-1.1805870000000001E-3</v>
      </c>
      <c r="AA4720">
        <v>0.96553489999999997</v>
      </c>
      <c r="AB4720">
        <v>29</v>
      </c>
      <c r="AC4720">
        <v>-19.544199999999901</v>
      </c>
      <c r="AD4720">
        <v>-1.1134987416769999</v>
      </c>
      <c r="AE4720">
        <v>-7.7165999999999997</v>
      </c>
      <c r="AF4720">
        <v>-5.5237933061486499</v>
      </c>
      <c r="AG4720">
        <v>-1.1134987416769999</v>
      </c>
      <c r="AH4720">
        <v>20.2123730500848</v>
      </c>
      <c r="AI4720">
        <v>93.041906853567895</v>
      </c>
      <c r="AJ4720">
        <v>105.28500251792001</v>
      </c>
      <c r="AK4720">
        <v>20.983140762349301</v>
      </c>
      <c r="AL4720">
        <v>90.556393104158502</v>
      </c>
      <c r="AM4720">
        <v>88.633814020343394</v>
      </c>
      <c r="AN4720">
        <v>1.0000000022099</v>
      </c>
    </row>
    <row r="4721" spans="1:40" x14ac:dyDescent="0.25">
      <c r="A4721" t="str">
        <f>"20190312161408913"</f>
        <v>20190312161408913</v>
      </c>
      <c r="B4721" t="str">
        <f>"1552378448900648"</f>
        <v>1552378448900648</v>
      </c>
      <c r="C4721" t="s">
        <v>40</v>
      </c>
      <c r="D4721">
        <v>5.4149699999999896</v>
      </c>
      <c r="E4721">
        <v>0.38701809999999998</v>
      </c>
      <c r="F4721" t="s">
        <v>84</v>
      </c>
      <c r="G4721">
        <v>-416.36709999999999</v>
      </c>
      <c r="H4721" s="1">
        <v>-6.5624169999999999E-6</v>
      </c>
      <c r="I4721">
        <v>131.15870000000001</v>
      </c>
      <c r="J4721">
        <v>-396.3784</v>
      </c>
      <c r="K4721">
        <v>1.1135740000000001</v>
      </c>
      <c r="L4721">
        <v>139.17699999999999</v>
      </c>
      <c r="M4721">
        <v>-0.99343269999999995</v>
      </c>
      <c r="N4721">
        <v>0</v>
      </c>
      <c r="O4721">
        <v>-0.1135226</v>
      </c>
      <c r="P4721">
        <v>-0.99553970000000003</v>
      </c>
      <c r="Q4721">
        <v>-2.4215859999999999E-2</v>
      </c>
      <c r="R4721">
        <v>-9.1183539999999993E-2</v>
      </c>
      <c r="S4721">
        <v>-2.9089049999999999</v>
      </c>
      <c r="T4721">
        <v>-0.1598231</v>
      </c>
      <c r="U4721">
        <v>-1.155975</v>
      </c>
      <c r="V4721">
        <v>2.2516499999999998E-2</v>
      </c>
      <c r="W4721">
        <v>-9.7477280000000006E-3</v>
      </c>
      <c r="X4721">
        <v>0.99969889999999995</v>
      </c>
      <c r="Y4721">
        <v>-0.26121319999999998</v>
      </c>
      <c r="Z4721">
        <v>-9.4502140000000002E-4</v>
      </c>
      <c r="AA4721">
        <v>0.96528069999999999</v>
      </c>
      <c r="AB4721">
        <v>29</v>
      </c>
      <c r="AC4721">
        <v>-19.988699999999898</v>
      </c>
      <c r="AD4721">
        <v>-1.1135805624169901</v>
      </c>
      <c r="AE4721">
        <v>-8.0183</v>
      </c>
      <c r="AF4721">
        <v>-5.6818633670174501</v>
      </c>
      <c r="AG4721">
        <v>-1.1135805624169901</v>
      </c>
      <c r="AH4721">
        <v>20.714426816991299</v>
      </c>
      <c r="AI4721">
        <v>92.967771509988495</v>
      </c>
      <c r="AJ4721">
        <v>105.338690079689</v>
      </c>
      <c r="AK4721">
        <v>21.5083962988164</v>
      </c>
      <c r="AL4721">
        <v>90.558512546758806</v>
      </c>
      <c r="AM4721">
        <v>88.709729168884607</v>
      </c>
      <c r="AN4721">
        <v>0.99999995081730897</v>
      </c>
    </row>
    <row r="4722" spans="1:40" x14ac:dyDescent="0.25">
      <c r="A4722" t="str">
        <f>"20190312161408936"</f>
        <v>20190312161408936</v>
      </c>
      <c r="B4722" t="str">
        <f>"1552378448930904"</f>
        <v>1552378448930904</v>
      </c>
      <c r="C4722" t="s">
        <v>40</v>
      </c>
      <c r="D4722">
        <v>5.42591</v>
      </c>
      <c r="E4722">
        <v>0.38753149999999997</v>
      </c>
      <c r="F4722" t="s">
        <v>84</v>
      </c>
      <c r="G4722">
        <v>-417.2799</v>
      </c>
      <c r="H4722" s="1">
        <v>-6.3396679999999996E-6</v>
      </c>
      <c r="I4722">
        <v>130.74189999999999</v>
      </c>
      <c r="J4722">
        <v>-396.67320000000001</v>
      </c>
      <c r="K4722">
        <v>1.1136520000000001</v>
      </c>
      <c r="L4722">
        <v>139.13800000000001</v>
      </c>
      <c r="M4722">
        <v>-0.99286300000000005</v>
      </c>
      <c r="N4722">
        <v>0</v>
      </c>
      <c r="O4722">
        <v>-0.1184013</v>
      </c>
      <c r="P4722">
        <v>-0.99503339999999996</v>
      </c>
      <c r="Q4722">
        <v>-2.402547E-2</v>
      </c>
      <c r="R4722">
        <v>-9.6599649999999995E-2</v>
      </c>
      <c r="S4722">
        <v>-2.9024350000000001</v>
      </c>
      <c r="T4722">
        <v>-0.15463389999999999</v>
      </c>
      <c r="U4722">
        <v>-1.1713260000000001</v>
      </c>
      <c r="V4722">
        <v>2.1988279999999999E-2</v>
      </c>
      <c r="W4722">
        <v>-9.5522160000000005E-3</v>
      </c>
      <c r="X4722">
        <v>0.99971259999999995</v>
      </c>
      <c r="Y4722">
        <v>-0.26162550000000001</v>
      </c>
      <c r="Z4722">
        <v>-6.8046529999999999E-4</v>
      </c>
      <c r="AA4722">
        <v>0.96516930000000001</v>
      </c>
      <c r="AB4722">
        <v>28</v>
      </c>
      <c r="AC4722">
        <v>-20.606699999999901</v>
      </c>
      <c r="AD4722">
        <v>-1.113658339668</v>
      </c>
      <c r="AE4722">
        <v>-8.3961000000000094</v>
      </c>
      <c r="AF4722">
        <v>-5.8821849831937802</v>
      </c>
      <c r="AG4722">
        <v>-1.113658339668</v>
      </c>
      <c r="AH4722">
        <v>21.402319943389699</v>
      </c>
      <c r="AI4722">
        <v>92.8723488309884</v>
      </c>
      <c r="AJ4722">
        <v>105.367656849317</v>
      </c>
      <c r="AK4722">
        <v>22.223852817035102</v>
      </c>
      <c r="AL4722">
        <v>90.547309981960694</v>
      </c>
      <c r="AM4722">
        <v>88.740005329573293</v>
      </c>
      <c r="AN4722">
        <v>1.0000000059433101</v>
      </c>
    </row>
    <row r="4723" spans="1:40" x14ac:dyDescent="0.25">
      <c r="A4723" t="str">
        <f>"20190312161408959"</f>
        <v>20190312161408959</v>
      </c>
      <c r="B4723" t="str">
        <f>"1552378448951401"</f>
        <v>1552378448951401</v>
      </c>
      <c r="C4723" t="s">
        <v>40</v>
      </c>
      <c r="D4723">
        <v>5.43424</v>
      </c>
      <c r="E4723">
        <v>0.38786130000000002</v>
      </c>
      <c r="F4723" t="s">
        <v>84</v>
      </c>
      <c r="G4723">
        <v>-418.38549999999998</v>
      </c>
      <c r="H4723" s="1">
        <v>-6.0828630000000003E-6</v>
      </c>
      <c r="I4723">
        <v>130.2689</v>
      </c>
      <c r="J4723">
        <v>-396.95190000000002</v>
      </c>
      <c r="K4723">
        <v>1.1137330000000001</v>
      </c>
      <c r="L4723">
        <v>139.09960000000001</v>
      </c>
      <c r="M4723">
        <v>-0.99228700000000003</v>
      </c>
      <c r="N4723">
        <v>0</v>
      </c>
      <c r="O4723">
        <v>-0.12313490000000001</v>
      </c>
      <c r="P4723">
        <v>-0.99452870000000004</v>
      </c>
      <c r="Q4723">
        <v>-2.3973310000000001E-2</v>
      </c>
      <c r="R4723">
        <v>-0.10167569999999999</v>
      </c>
      <c r="S4723">
        <v>-2.896515</v>
      </c>
      <c r="T4723">
        <v>-0.14856620000000001</v>
      </c>
      <c r="U4723">
        <v>-1.1831670000000001</v>
      </c>
      <c r="V4723">
        <v>2.165605E-2</v>
      </c>
      <c r="W4723">
        <v>-9.4940279999999998E-3</v>
      </c>
      <c r="X4723">
        <v>0.99972039999999995</v>
      </c>
      <c r="Y4723">
        <v>-0.26111220000000002</v>
      </c>
      <c r="Z4723">
        <v>-4.1296380000000003E-4</v>
      </c>
      <c r="AA4723">
        <v>0.96530839999999996</v>
      </c>
      <c r="AB4723">
        <v>28</v>
      </c>
      <c r="AC4723">
        <v>-21.433599999999899</v>
      </c>
      <c r="AD4723">
        <v>-1.1137390828630001</v>
      </c>
      <c r="AE4723">
        <v>-8.8307000000000002</v>
      </c>
      <c r="AF4723">
        <v>-6.1098870162808803</v>
      </c>
      <c r="AG4723">
        <v>-1.1137390828630001</v>
      </c>
      <c r="AH4723">
        <v>22.306444939844301</v>
      </c>
      <c r="AI4723">
        <v>92.756964029613997</v>
      </c>
      <c r="AJ4723">
        <v>105.318003185862</v>
      </c>
      <c r="AK4723">
        <v>23.154883285188902</v>
      </c>
      <c r="AL4723">
        <v>90.543975907413099</v>
      </c>
      <c r="AM4723">
        <v>88.759046789479399</v>
      </c>
      <c r="AN4723">
        <v>0.99999999962271302</v>
      </c>
    </row>
    <row r="4724" spans="1:40" x14ac:dyDescent="0.25">
      <c r="A4724" t="str">
        <f>"20190312161408981"</f>
        <v>20190312161408981</v>
      </c>
      <c r="B4724" t="str">
        <f>"1552378448970920"</f>
        <v>1552378448970920</v>
      </c>
      <c r="C4724" t="s">
        <v>40</v>
      </c>
      <c r="D4724">
        <v>5.4324440000000003</v>
      </c>
      <c r="E4724">
        <v>0.38824140000000001</v>
      </c>
      <c r="F4724" t="s">
        <v>84</v>
      </c>
      <c r="G4724">
        <v>-419.10669999999999</v>
      </c>
      <c r="H4724" s="1">
        <v>-5.9067170000000004E-6</v>
      </c>
      <c r="I4724">
        <v>129.9392</v>
      </c>
      <c r="J4724">
        <v>-397.23219999999998</v>
      </c>
      <c r="K4724">
        <v>1.1138170000000001</v>
      </c>
      <c r="L4724">
        <v>139.05950000000001</v>
      </c>
      <c r="M4724">
        <v>-0.99166860000000001</v>
      </c>
      <c r="N4724">
        <v>0</v>
      </c>
      <c r="O4724">
        <v>-0.12801870000000001</v>
      </c>
      <c r="P4724">
        <v>-0.99402710000000005</v>
      </c>
      <c r="Q4724">
        <v>-2.3746130000000001E-2</v>
      </c>
      <c r="R4724">
        <v>-0.10651919999999999</v>
      </c>
      <c r="S4724">
        <v>-2.8908079999999998</v>
      </c>
      <c r="T4724">
        <v>-0.14532329999999999</v>
      </c>
      <c r="U4724">
        <v>-1.1952670000000001</v>
      </c>
      <c r="V4724">
        <v>2.170853E-2</v>
      </c>
      <c r="W4724">
        <v>-9.2565440000000002E-3</v>
      </c>
      <c r="X4724">
        <v>0.99972150000000004</v>
      </c>
      <c r="Y4724">
        <v>-0.26049489999999997</v>
      </c>
      <c r="Z4724">
        <v>-1.58461299999999E-4</v>
      </c>
      <c r="AA4724">
        <v>0.96547519999999998</v>
      </c>
      <c r="AB4724">
        <v>28</v>
      </c>
      <c r="AC4724">
        <v>-21.874500000000001</v>
      </c>
      <c r="AD4724">
        <v>-1.113822906717</v>
      </c>
      <c r="AE4724">
        <v>-9.1203000000000092</v>
      </c>
      <c r="AF4724">
        <v>-6.2308465002472904</v>
      </c>
      <c r="AG4724">
        <v>-1.113822906717</v>
      </c>
      <c r="AH4724">
        <v>22.811776952266101</v>
      </c>
      <c r="AI4724">
        <v>92.696709101394106</v>
      </c>
      <c r="AJ4724">
        <v>105.27721500813399</v>
      </c>
      <c r="AK4724">
        <v>23.6736397137641</v>
      </c>
      <c r="AL4724">
        <v>90.530368472554898</v>
      </c>
      <c r="AM4724">
        <v>88.756041848440304</v>
      </c>
      <c r="AN4724">
        <v>1.00000001072191</v>
      </c>
    </row>
    <row r="4725" spans="1:40" x14ac:dyDescent="0.25">
      <c r="A4725" t="str">
        <f>"20190312161409003"</f>
        <v>20190312161409003</v>
      </c>
      <c r="B4725" t="str">
        <f>"1552378448991417"</f>
        <v>1552378448991417</v>
      </c>
      <c r="C4725" t="s">
        <v>40</v>
      </c>
      <c r="D4725">
        <v>5.4330499999999997</v>
      </c>
      <c r="E4725">
        <v>0.38857390000000003</v>
      </c>
      <c r="F4725" t="s">
        <v>84</v>
      </c>
      <c r="G4725">
        <v>-419.84010000000001</v>
      </c>
      <c r="H4725" s="1">
        <v>-5.7278549999999899E-6</v>
      </c>
      <c r="I4725">
        <v>129.6069</v>
      </c>
      <c r="J4725">
        <v>-397.50040000000001</v>
      </c>
      <c r="K4725">
        <v>1.1139049999999999</v>
      </c>
      <c r="L4725">
        <v>139.0197</v>
      </c>
      <c r="M4725">
        <v>-0.99103799999999997</v>
      </c>
      <c r="N4725">
        <v>0</v>
      </c>
      <c r="O4725">
        <v>-0.1328124</v>
      </c>
      <c r="P4725">
        <v>-0.99358679999999999</v>
      </c>
      <c r="Q4725">
        <v>-2.3997460000000002E-2</v>
      </c>
      <c r="R4725">
        <v>-0.1104982</v>
      </c>
      <c r="S4725">
        <v>-2.885345</v>
      </c>
      <c r="T4725">
        <v>-0.14215239999999901</v>
      </c>
      <c r="U4725">
        <v>-1.2063900000000001</v>
      </c>
      <c r="V4725">
        <v>2.2543339999999999E-2</v>
      </c>
      <c r="W4725">
        <v>-9.4899130000000009E-3</v>
      </c>
      <c r="X4725">
        <v>0.99970079999999995</v>
      </c>
      <c r="Y4725">
        <v>-0.2596559</v>
      </c>
      <c r="Z4725" s="1">
        <v>8.6461659999999895E-5</v>
      </c>
      <c r="AA4725">
        <v>0.96570120000000004</v>
      </c>
      <c r="AB4725">
        <v>28</v>
      </c>
      <c r="AC4725">
        <v>-22.339700000000001</v>
      </c>
      <c r="AD4725">
        <v>-1.113910727855</v>
      </c>
      <c r="AE4725">
        <v>-9.4128000000000007</v>
      </c>
      <c r="AF4725">
        <v>-6.3486993256345796</v>
      </c>
      <c r="AG4725">
        <v>-1.113910727855</v>
      </c>
      <c r="AH4725">
        <v>23.342734630011101</v>
      </c>
      <c r="AI4725">
        <v>92.6364417691466</v>
      </c>
      <c r="AJ4725">
        <v>105.21512799724501</v>
      </c>
      <c r="AK4725">
        <v>24.216317644184901</v>
      </c>
      <c r="AL4725">
        <v>90.543740138006996</v>
      </c>
      <c r="AM4725">
        <v>88.708194122225905</v>
      </c>
      <c r="AN4725">
        <v>0.99999997507387095</v>
      </c>
    </row>
    <row r="4726" spans="1:40" x14ac:dyDescent="0.25">
      <c r="A4726" t="str">
        <f>"20190312161409024"</f>
        <v>20190312161409024</v>
      </c>
      <c r="B4726" t="str">
        <f>"1552378449020697"</f>
        <v>1552378449020697</v>
      </c>
      <c r="C4726" t="s">
        <v>40</v>
      </c>
      <c r="D4726">
        <v>5.4716019999999999</v>
      </c>
      <c r="E4726">
        <v>0.38913140000000002</v>
      </c>
      <c r="F4726" t="s">
        <v>84</v>
      </c>
      <c r="G4726">
        <v>-420.2296</v>
      </c>
      <c r="H4726" s="1">
        <v>-5.691038E-6</v>
      </c>
      <c r="I4726">
        <v>129.4298</v>
      </c>
      <c r="J4726">
        <v>-397.77339999999998</v>
      </c>
      <c r="K4726">
        <v>1.113998</v>
      </c>
      <c r="L4726">
        <v>138.9777</v>
      </c>
      <c r="M4726">
        <v>-0.99035439999999997</v>
      </c>
      <c r="N4726">
        <v>0</v>
      </c>
      <c r="O4726">
        <v>-0.13781679999999999</v>
      </c>
      <c r="P4726">
        <v>-0.99312630000000002</v>
      </c>
      <c r="Q4726">
        <v>-2.3986339999999998E-2</v>
      </c>
      <c r="R4726">
        <v>-0.1145641</v>
      </c>
      <c r="S4726">
        <v>-2.880798</v>
      </c>
      <c r="T4726">
        <v>-0.1411818</v>
      </c>
      <c r="U4726">
        <v>-1.2154689999999999</v>
      </c>
      <c r="V4726">
        <v>2.3502950000000002E-2</v>
      </c>
      <c r="W4726">
        <v>-9.4580849999999998E-3</v>
      </c>
      <c r="X4726">
        <v>0.99967899999999998</v>
      </c>
      <c r="Y4726">
        <v>-0.25791459999999999</v>
      </c>
      <c r="Z4726">
        <v>3.5683299999999998E-4</v>
      </c>
      <c r="AA4726">
        <v>0.96616769999999996</v>
      </c>
      <c r="AB4726">
        <v>28</v>
      </c>
      <c r="AC4726">
        <v>-22.456199999999999</v>
      </c>
      <c r="AD4726">
        <v>-1.114003691038</v>
      </c>
      <c r="AE4726">
        <v>-9.5478999999999896</v>
      </c>
      <c r="AF4726">
        <v>-6.3483831702954099</v>
      </c>
      <c r="AG4726">
        <v>-1.114003691038</v>
      </c>
      <c r="AH4726">
        <v>23.508872227422302</v>
      </c>
      <c r="AI4726">
        <v>92.619332027245505</v>
      </c>
      <c r="AJ4726">
        <v>105.111818685885</v>
      </c>
      <c r="AK4726">
        <v>24.3764239892935</v>
      </c>
      <c r="AL4726">
        <v>90.541916446878602</v>
      </c>
      <c r="AM4726">
        <v>88.653195864284001</v>
      </c>
      <c r="AN4726">
        <v>0.99999997353578396</v>
      </c>
    </row>
    <row r="4727" spans="1:40" x14ac:dyDescent="0.25">
      <c r="A4727" t="str">
        <f>"20190312161409049"</f>
        <v>20190312161409049</v>
      </c>
      <c r="B4727" t="str">
        <f>"1552378449041193"</f>
        <v>1552378449041193</v>
      </c>
      <c r="C4727" t="s">
        <v>40</v>
      </c>
      <c r="D4727">
        <v>5.4412529999999997</v>
      </c>
      <c r="E4727">
        <v>0.38950709999999999</v>
      </c>
      <c r="F4727" t="s">
        <v>84</v>
      </c>
      <c r="G4727">
        <v>-420.62490000000003</v>
      </c>
      <c r="H4727" s="1">
        <v>-5.6941509999999998E-6</v>
      </c>
      <c r="I4727">
        <v>129.26390000000001</v>
      </c>
      <c r="J4727">
        <v>-398.06819999999999</v>
      </c>
      <c r="K4727">
        <v>1.114104</v>
      </c>
      <c r="L4727">
        <v>138.9306</v>
      </c>
      <c r="M4727">
        <v>-0.98956520000000003</v>
      </c>
      <c r="N4727">
        <v>0</v>
      </c>
      <c r="O4727">
        <v>-0.14337169999999999</v>
      </c>
      <c r="P4727">
        <v>-0.99256869999999997</v>
      </c>
      <c r="Q4727">
        <v>-2.4330540000000001E-2</v>
      </c>
      <c r="R4727">
        <v>-0.1192275</v>
      </c>
      <c r="S4727">
        <v>-2.8763730000000001</v>
      </c>
      <c r="T4727">
        <v>-0.1402225</v>
      </c>
      <c r="U4727">
        <v>-1.222702</v>
      </c>
      <c r="V4727">
        <v>2.4421000000000002E-2</v>
      </c>
      <c r="W4727">
        <v>-9.7801850000000003E-3</v>
      </c>
      <c r="X4727">
        <v>0.99965389999999998</v>
      </c>
      <c r="Y4727">
        <v>-0.25509369999999998</v>
      </c>
      <c r="Z4727">
        <v>6.7417649999999905E-4</v>
      </c>
      <c r="AA4727">
        <v>0.96691609999999995</v>
      </c>
      <c r="AB4727">
        <v>28</v>
      </c>
      <c r="AC4727">
        <v>-22.556699999999999</v>
      </c>
      <c r="AD4727">
        <v>-1.114109694151</v>
      </c>
      <c r="AE4727">
        <v>-9.6666999999999899</v>
      </c>
      <c r="AF4727">
        <v>-6.31946301284197</v>
      </c>
      <c r="AG4727">
        <v>-1.114109694151</v>
      </c>
      <c r="AH4727">
        <v>23.660924829007101</v>
      </c>
      <c r="AI4727">
        <v>92.604696283721694</v>
      </c>
      <c r="AJ4727">
        <v>104.95375817632799</v>
      </c>
      <c r="AK4727">
        <v>24.515632093527699</v>
      </c>
      <c r="AL4727">
        <v>90.560372269091303</v>
      </c>
      <c r="AM4727">
        <v>88.600573678171301</v>
      </c>
      <c r="AN4727">
        <v>0.99999997852242195</v>
      </c>
    </row>
    <row r="4728" spans="1:40" x14ac:dyDescent="0.25">
      <c r="A4728" t="str">
        <f>"20190312161409069"</f>
        <v>20190312161409069</v>
      </c>
      <c r="B4728" t="str">
        <f>"1552378449060713"</f>
        <v>1552378449060713</v>
      </c>
      <c r="C4728" t="s">
        <v>40</v>
      </c>
      <c r="D4728">
        <v>5.4423349999999999</v>
      </c>
      <c r="E4728">
        <v>0.38981579999999999</v>
      </c>
      <c r="F4728" t="s">
        <v>84</v>
      </c>
      <c r="G4728">
        <v>-420.8433</v>
      </c>
      <c r="H4728" s="1">
        <v>-5.6828860000000003E-6</v>
      </c>
      <c r="I4728">
        <v>129.14670000000001</v>
      </c>
      <c r="J4728">
        <v>-398.33159999999998</v>
      </c>
      <c r="K4728">
        <v>1.1141909999999999</v>
      </c>
      <c r="L4728">
        <v>138.88679999999999</v>
      </c>
      <c r="M4728">
        <v>-0.988811</v>
      </c>
      <c r="N4728">
        <v>0</v>
      </c>
      <c r="O4728">
        <v>-0.1484849</v>
      </c>
      <c r="P4728">
        <v>-0.99206099999999997</v>
      </c>
      <c r="Q4728">
        <v>-2.5187060000000001E-2</v>
      </c>
      <c r="R4728">
        <v>-0.123211</v>
      </c>
      <c r="S4728">
        <v>-2.8708800000000001</v>
      </c>
      <c r="T4728">
        <v>-0.14043749999999999</v>
      </c>
      <c r="U4728">
        <v>-1.2332920000000001</v>
      </c>
      <c r="V4728">
        <v>2.5582779999999999E-2</v>
      </c>
      <c r="W4728">
        <v>-1.061283E-2</v>
      </c>
      <c r="X4728">
        <v>0.99961639999999996</v>
      </c>
      <c r="Y4728">
        <v>-0.25378230000000002</v>
      </c>
      <c r="Z4728">
        <v>9.4014550000000004E-4</v>
      </c>
      <c r="AA4728">
        <v>0.96726089999999998</v>
      </c>
      <c r="AB4728">
        <v>28</v>
      </c>
      <c r="AC4728">
        <v>-22.511700000000001</v>
      </c>
      <c r="AD4728">
        <v>-1.1141966828859999</v>
      </c>
      <c r="AE4728">
        <v>-9.7400999999999804</v>
      </c>
      <c r="AF4728">
        <v>-6.2761650802312703</v>
      </c>
      <c r="AG4728">
        <v>-1.1141966828859999</v>
      </c>
      <c r="AH4728">
        <v>23.659685794881302</v>
      </c>
      <c r="AI4728">
        <v>92.606210175174894</v>
      </c>
      <c r="AJ4728">
        <v>104.856590885974</v>
      </c>
      <c r="AK4728">
        <v>24.503314352857998</v>
      </c>
      <c r="AL4728">
        <v>90.608081765364204</v>
      </c>
      <c r="AM4728">
        <v>88.533972204350604</v>
      </c>
      <c r="AN4728">
        <v>1.00000002897104</v>
      </c>
    </row>
    <row r="4729" spans="1:40" x14ac:dyDescent="0.25">
      <c r="A4729" t="str">
        <f>"20190312161409091"</f>
        <v>20190312161409091</v>
      </c>
      <c r="B4729" t="str">
        <f>"1552378449081209"</f>
        <v>1552378449081209</v>
      </c>
      <c r="C4729" t="s">
        <v>40</v>
      </c>
      <c r="D4729">
        <v>5.5168599999999897</v>
      </c>
      <c r="E4729">
        <v>0.38992870000000002</v>
      </c>
      <c r="F4729" t="s">
        <v>84</v>
      </c>
      <c r="G4729">
        <v>-420.87990000000002</v>
      </c>
      <c r="H4729" s="1">
        <v>-5.673868E-6</v>
      </c>
      <c r="I4729">
        <v>129.1131</v>
      </c>
      <c r="J4729">
        <v>-398.59750000000003</v>
      </c>
      <c r="K4729">
        <v>1.114276</v>
      </c>
      <c r="L4729">
        <v>138.84110000000001</v>
      </c>
      <c r="M4729">
        <v>-0.98800399999999999</v>
      </c>
      <c r="N4729">
        <v>0</v>
      </c>
      <c r="O4729">
        <v>-0.1537618</v>
      </c>
      <c r="P4729">
        <v>-0.99155680000000002</v>
      </c>
      <c r="Q4729">
        <v>-2.6309530000000001E-2</v>
      </c>
      <c r="R4729">
        <v>-0.12697820000000001</v>
      </c>
      <c r="S4729">
        <v>-2.8661500000000002</v>
      </c>
      <c r="T4729">
        <v>-0.14162759999999999</v>
      </c>
      <c r="U4729">
        <v>-1.2423550000000001</v>
      </c>
      <c r="V4729">
        <v>2.7131280000000001E-2</v>
      </c>
      <c r="W4729">
        <v>-1.170768E-2</v>
      </c>
      <c r="X4729">
        <v>0.99956330000000004</v>
      </c>
      <c r="Y4729">
        <v>-0.25178010000000001</v>
      </c>
      <c r="Z4729">
        <v>1.2392900000000001E-3</v>
      </c>
      <c r="AA4729">
        <v>0.96778370000000002</v>
      </c>
      <c r="AB4729">
        <v>28</v>
      </c>
      <c r="AC4729">
        <v>-22.282399999999999</v>
      </c>
      <c r="AD4729">
        <v>-1.1142816738679999</v>
      </c>
      <c r="AE4729">
        <v>-9.7279999999999998</v>
      </c>
      <c r="AF4729">
        <v>-6.1727910306527702</v>
      </c>
      <c r="AG4729">
        <v>-1.1142816738679999</v>
      </c>
      <c r="AH4729">
        <v>23.464026491339901</v>
      </c>
      <c r="AI4729">
        <v>92.629534421868499</v>
      </c>
      <c r="AJ4729">
        <v>104.73910316529501</v>
      </c>
      <c r="AK4729">
        <v>24.2879705192329</v>
      </c>
      <c r="AL4729">
        <v>90.670815988375494</v>
      </c>
      <c r="AM4729">
        <v>88.445194772156796</v>
      </c>
      <c r="AN4729">
        <v>0.99999998341615504</v>
      </c>
    </row>
    <row r="4730" spans="1:40" x14ac:dyDescent="0.25">
      <c r="A4730" t="str">
        <f>"20190312161409114"</f>
        <v>20190312161409114</v>
      </c>
      <c r="B4730" t="str">
        <f>"1552378449111466"</f>
        <v>1552378449111466</v>
      </c>
      <c r="C4730" t="s">
        <v>40</v>
      </c>
      <c r="D4730">
        <v>5.6089330000000004</v>
      </c>
      <c r="E4730">
        <v>0.354051</v>
      </c>
      <c r="F4730" t="s">
        <v>84</v>
      </c>
      <c r="G4730">
        <v>-420.88350000000003</v>
      </c>
      <c r="H4730" s="1">
        <v>-5.6602940000000001E-6</v>
      </c>
      <c r="I4730">
        <v>129.0849</v>
      </c>
      <c r="J4730">
        <v>-398.87740000000002</v>
      </c>
      <c r="K4730">
        <v>1.11436</v>
      </c>
      <c r="L4730">
        <v>138.7912</v>
      </c>
      <c r="M4730">
        <v>-0.98710200000000003</v>
      </c>
      <c r="N4730">
        <v>0</v>
      </c>
      <c r="O4730">
        <v>-0.15944910000000001</v>
      </c>
      <c r="P4730">
        <v>-0.99098799999999998</v>
      </c>
      <c r="Q4730">
        <v>-2.6515839999999999E-2</v>
      </c>
      <c r="R4730">
        <v>-0.13130159999999999</v>
      </c>
      <c r="S4730">
        <v>-2.8613590000000002</v>
      </c>
      <c r="T4730">
        <v>-0.14306569999999999</v>
      </c>
      <c r="U4730">
        <v>-1.2526250000000001</v>
      </c>
      <c r="V4730">
        <v>2.8531170000000002E-2</v>
      </c>
      <c r="W4730">
        <v>-1.1887190000000001E-2</v>
      </c>
      <c r="X4730">
        <v>0.99952220000000003</v>
      </c>
      <c r="Y4730">
        <v>-0.24972179999999999</v>
      </c>
      <c r="Z4730">
        <v>1.566469E-3</v>
      </c>
      <c r="AA4730">
        <v>0.96831639999999997</v>
      </c>
      <c r="AB4730">
        <v>28</v>
      </c>
      <c r="AC4730">
        <v>-22.0061</v>
      </c>
      <c r="AD4730">
        <v>-1.114365660294</v>
      </c>
      <c r="AE4730">
        <v>-9.7063000000000006</v>
      </c>
      <c r="AF4730">
        <v>-6.0598711245278096</v>
      </c>
      <c r="AG4730">
        <v>-1.114365660294</v>
      </c>
      <c r="AH4730">
        <v>23.222467820481398</v>
      </c>
      <c r="AI4730">
        <v>92.658431044864102</v>
      </c>
      <c r="AJ4730">
        <v>104.6251152541</v>
      </c>
      <c r="AK4730">
        <v>24.025962218900201</v>
      </c>
      <c r="AL4730">
        <v>90.681101871661397</v>
      </c>
      <c r="AM4730">
        <v>88.3649469212246</v>
      </c>
      <c r="AN4730">
        <v>0.99999998062025197</v>
      </c>
    </row>
    <row r="4731" spans="1:40" x14ac:dyDescent="0.25">
      <c r="A4731" t="str">
        <f>"20190312161409137"</f>
        <v>20190312161409137</v>
      </c>
      <c r="B4731" t="str">
        <f>"1552378449130985"</f>
        <v>1552378449130985</v>
      </c>
      <c r="C4731" t="s">
        <v>40</v>
      </c>
      <c r="D4731">
        <v>5.6056809999999997</v>
      </c>
      <c r="E4731">
        <v>0.34705429999999998</v>
      </c>
      <c r="F4731" t="s">
        <v>84</v>
      </c>
      <c r="G4731">
        <v>-421.60559999999998</v>
      </c>
      <c r="H4731" s="1">
        <v>-4.4023210000000001E-6</v>
      </c>
      <c r="I4731">
        <v>126.3018</v>
      </c>
      <c r="J4731">
        <v>-399.16430000000003</v>
      </c>
      <c r="K4731">
        <v>1.114455</v>
      </c>
      <c r="L4731">
        <v>138.73820000000001</v>
      </c>
      <c r="M4731">
        <v>-0.98611749999999998</v>
      </c>
      <c r="N4731">
        <v>0</v>
      </c>
      <c r="O4731">
        <v>-0.1654282</v>
      </c>
      <c r="P4731">
        <v>-0.99037580000000003</v>
      </c>
      <c r="Q4731">
        <v>-2.605246E-2</v>
      </c>
      <c r="R4731">
        <v>-0.13593239999999901</v>
      </c>
      <c r="S4731">
        <v>-2.81839</v>
      </c>
      <c r="T4731">
        <v>-0.138186</v>
      </c>
      <c r="U4731">
        <v>-1.548737</v>
      </c>
      <c r="V4731">
        <v>2.9915589999999999E-2</v>
      </c>
      <c r="W4731">
        <v>-1.139542E-2</v>
      </c>
      <c r="X4731">
        <v>0.99948749999999997</v>
      </c>
      <c r="Y4731">
        <v>-0.32980789999999999</v>
      </c>
      <c r="Z4731" s="1">
        <v>-8.0185940000000004E-5</v>
      </c>
      <c r="AA4731">
        <v>0.944048</v>
      </c>
      <c r="AB4731">
        <v>28</v>
      </c>
      <c r="AC4731">
        <v>-22.441299999999899</v>
      </c>
      <c r="AD4731">
        <v>-1.1144594023209999</v>
      </c>
      <c r="AE4731">
        <v>-12.436400000000001</v>
      </c>
      <c r="AF4731">
        <v>-8.5361021055030797</v>
      </c>
      <c r="AG4731">
        <v>-1.1144594023209999</v>
      </c>
      <c r="AH4731">
        <v>24.1440246142352</v>
      </c>
      <c r="AI4731">
        <v>92.491882591683193</v>
      </c>
      <c r="AJ4731">
        <v>109.471010411894</v>
      </c>
      <c r="AK4731">
        <v>25.632810682556599</v>
      </c>
      <c r="AL4731">
        <v>90.652923583420304</v>
      </c>
      <c r="AM4731">
        <v>88.285595890356205</v>
      </c>
      <c r="AN4731">
        <v>1.0000000303891301</v>
      </c>
    </row>
    <row r="4732" spans="1:40" x14ac:dyDescent="0.25">
      <c r="A4732" t="str">
        <f>"20190312161409160"</f>
        <v>20190312161409160</v>
      </c>
      <c r="B4732" t="str">
        <f>"1552378449151481"</f>
        <v>1552378449151481</v>
      </c>
      <c r="C4732" t="s">
        <v>40</v>
      </c>
      <c r="D4732">
        <v>5.5090190000000003</v>
      </c>
      <c r="E4732">
        <v>0.3418156</v>
      </c>
      <c r="F4732" t="s">
        <v>84</v>
      </c>
      <c r="G4732">
        <v>-424.10109999999997</v>
      </c>
      <c r="H4732" s="1">
        <v>-3.9543399999999998E-6</v>
      </c>
      <c r="I4732">
        <v>124.3558</v>
      </c>
      <c r="J4732">
        <v>-399.43130000000002</v>
      </c>
      <c r="K4732">
        <v>1.114554</v>
      </c>
      <c r="L4732">
        <v>138.68709999999999</v>
      </c>
      <c r="M4732">
        <v>-0.98514279999999999</v>
      </c>
      <c r="N4732">
        <v>0</v>
      </c>
      <c r="O4732">
        <v>-0.1711366</v>
      </c>
      <c r="P4732">
        <v>-0.98965429999999999</v>
      </c>
      <c r="Q4732">
        <v>-2.5173959999999999E-2</v>
      </c>
      <c r="R4732">
        <v>-0.14124809999999999</v>
      </c>
      <c r="S4732">
        <v>-2.8038940000000001</v>
      </c>
      <c r="T4732">
        <v>-0.1253097</v>
      </c>
      <c r="U4732">
        <v>-1.617157</v>
      </c>
      <c r="V4732">
        <v>3.0334409999999999E-2</v>
      </c>
      <c r="W4732">
        <v>-1.04969E-2</v>
      </c>
      <c r="X4732">
        <v>0.9994847</v>
      </c>
      <c r="Y4732">
        <v>-0.34385090000000001</v>
      </c>
      <c r="Z4732">
        <v>-1.3780920000000001E-4</v>
      </c>
      <c r="AA4732">
        <v>0.93902430000000003</v>
      </c>
      <c r="AB4732">
        <v>28</v>
      </c>
      <c r="AC4732">
        <v>-24.669799999999899</v>
      </c>
      <c r="AD4732">
        <v>-1.1145579543399999</v>
      </c>
      <c r="AE4732">
        <v>-14.331299999999899</v>
      </c>
      <c r="AF4732">
        <v>-9.8824087055358198</v>
      </c>
      <c r="AG4732">
        <v>-1.1145579543399999</v>
      </c>
      <c r="AH4732">
        <v>26.717866436331398</v>
      </c>
      <c r="AI4732">
        <v>92.240566611561405</v>
      </c>
      <c r="AJ4732">
        <v>110.298433945189</v>
      </c>
      <c r="AK4732">
        <v>28.508746520436102</v>
      </c>
      <c r="AL4732">
        <v>90.601439105153005</v>
      </c>
      <c r="AM4732">
        <v>88.261603891767194</v>
      </c>
      <c r="AN4732">
        <v>1.0000000134368701</v>
      </c>
    </row>
    <row r="4733" spans="1:40" x14ac:dyDescent="0.25">
      <c r="A4733" t="str">
        <f>"20190312161409183"</f>
        <v>20190312161409183</v>
      </c>
      <c r="B4733" t="str">
        <f>"1552378449171001"</f>
        <v>1552378449171001</v>
      </c>
      <c r="C4733" t="s">
        <v>40</v>
      </c>
      <c r="D4733">
        <v>5.4903250000000003</v>
      </c>
      <c r="E4733">
        <v>0.34015440000000002</v>
      </c>
      <c r="F4733" t="s">
        <v>84</v>
      </c>
      <c r="G4733">
        <v>-429.98079999999999</v>
      </c>
      <c r="H4733">
        <v>7.3040540000000001E-2</v>
      </c>
      <c r="I4733">
        <v>120.3682</v>
      </c>
      <c r="J4733">
        <v>-399.70760000000001</v>
      </c>
      <c r="K4733">
        <v>1.114665</v>
      </c>
      <c r="L4733">
        <v>138.63239999999999</v>
      </c>
      <c r="M4733">
        <v>-0.98407040000000001</v>
      </c>
      <c r="N4733">
        <v>0</v>
      </c>
      <c r="O4733">
        <v>-0.1771981</v>
      </c>
      <c r="P4733">
        <v>-0.98877269999999995</v>
      </c>
      <c r="Q4733">
        <v>-2.404268E-2</v>
      </c>
      <c r="R4733">
        <v>-0.14748020000000001</v>
      </c>
      <c r="S4733">
        <v>-2.7901609999999999</v>
      </c>
      <c r="T4733">
        <v>-9.5123890000000003E-2</v>
      </c>
      <c r="U4733">
        <v>-1.673111</v>
      </c>
      <c r="V4733">
        <v>3.0185719999999999E-2</v>
      </c>
      <c r="W4733">
        <v>-9.3487799999999992E-3</v>
      </c>
      <c r="X4733">
        <v>0.99950059999999996</v>
      </c>
      <c r="Y4733">
        <v>-0.35407329999999998</v>
      </c>
      <c r="Z4733" s="1">
        <v>-8.3331949999999896E-5</v>
      </c>
      <c r="AA4733">
        <v>0.93521770000000004</v>
      </c>
      <c r="AB4733">
        <v>28</v>
      </c>
      <c r="AC4733">
        <v>-30.2731999999999</v>
      </c>
      <c r="AD4733">
        <v>-1.04162446</v>
      </c>
      <c r="AE4733">
        <v>-18.264199999999899</v>
      </c>
      <c r="AF4733">
        <v>-12.599270206578201</v>
      </c>
      <c r="AG4733">
        <v>-1.04162446</v>
      </c>
      <c r="AH4733">
        <v>33.002104311398803</v>
      </c>
      <c r="AI4733">
        <v>91.688968241644901</v>
      </c>
      <c r="AJ4733">
        <v>110.895442228652</v>
      </c>
      <c r="AK4733">
        <v>35.340705712174</v>
      </c>
      <c r="AL4733">
        <v>90.535653433274206</v>
      </c>
      <c r="AM4733">
        <v>88.270147289783097</v>
      </c>
      <c r="AN4733">
        <v>1.0000000133898801</v>
      </c>
    </row>
    <row r="4734" spans="1:40" x14ac:dyDescent="0.25">
      <c r="A4734" t="str">
        <f>"20190312161409203"</f>
        <v>20190312161409203</v>
      </c>
      <c r="B4734" t="str">
        <f>"1552378449201257"</f>
        <v>1552378449201257</v>
      </c>
      <c r="C4734" t="s">
        <v>40</v>
      </c>
      <c r="D4734">
        <v>5.4474269999999896</v>
      </c>
      <c r="E4734">
        <v>0.33793879999999998</v>
      </c>
      <c r="F4734" t="s">
        <v>42</v>
      </c>
      <c r="G4734">
        <v>-434.49700000000001</v>
      </c>
      <c r="H4734">
        <v>7.9986230000000005E-2</v>
      </c>
      <c r="I4734">
        <v>117.2972</v>
      </c>
      <c r="J4734">
        <v>-399.96370000000002</v>
      </c>
      <c r="K4734">
        <v>1.114778</v>
      </c>
      <c r="L4734">
        <v>138.58000000000001</v>
      </c>
      <c r="M4734">
        <v>-0.98301400000000005</v>
      </c>
      <c r="N4734">
        <v>0</v>
      </c>
      <c r="O4734">
        <v>-0.1829664</v>
      </c>
      <c r="P4734">
        <v>-0.98777190000000004</v>
      </c>
      <c r="Q4734">
        <v>-2.376576E-2</v>
      </c>
      <c r="R4734">
        <v>-0.15408429999999901</v>
      </c>
      <c r="S4734">
        <v>-2.7779539999999998</v>
      </c>
      <c r="T4734">
        <v>-8.2619670000000006E-2</v>
      </c>
      <c r="U4734">
        <v>-1.7036290000000001</v>
      </c>
      <c r="V4734">
        <v>2.9369320000000001E-2</v>
      </c>
      <c r="W4734">
        <v>-9.0623700000000001E-3</v>
      </c>
      <c r="X4734">
        <v>0.99952759999999996</v>
      </c>
      <c r="Y4734">
        <v>-0.35791729999999999</v>
      </c>
      <c r="Z4734" s="1">
        <v>2.5882849999999999E-5</v>
      </c>
      <c r="AA4734">
        <v>0.93375330000000001</v>
      </c>
      <c r="AB4734">
        <v>28</v>
      </c>
      <c r="AC4734">
        <v>-34.533299999999898</v>
      </c>
      <c r="AD4734">
        <v>-1.03479177</v>
      </c>
      <c r="AE4734">
        <v>-21.282800000000002</v>
      </c>
      <c r="AF4734">
        <v>-14.5948693049463</v>
      </c>
      <c r="AG4734">
        <v>-1.03479177</v>
      </c>
      <c r="AH4734">
        <v>37.820056521569398</v>
      </c>
      <c r="AI4734">
        <v>91.462224420081398</v>
      </c>
      <c r="AJ4734">
        <v>111.101745902397</v>
      </c>
      <c r="AK4734">
        <v>40.551666788560397</v>
      </c>
      <c r="AL4734">
        <v>90.519242633125103</v>
      </c>
      <c r="AM4734">
        <v>88.316950870293297</v>
      </c>
      <c r="AN4734">
        <v>1.0000000533345099</v>
      </c>
    </row>
    <row r="4735" spans="1:40" x14ac:dyDescent="0.25">
      <c r="A4735" t="str">
        <f>"20190312161409226"</f>
        <v>20190312161409226</v>
      </c>
      <c r="B4735" t="str">
        <f>"1552378449221322"</f>
        <v>1552378449221322</v>
      </c>
      <c r="C4735" t="s">
        <v>40</v>
      </c>
      <c r="D4735">
        <v>5.5674149999999996</v>
      </c>
      <c r="E4735">
        <v>0.33773439999999999</v>
      </c>
      <c r="F4735" t="s">
        <v>41</v>
      </c>
      <c r="G4735">
        <v>-444.49880000000002</v>
      </c>
      <c r="H4735">
        <v>-0.05</v>
      </c>
      <c r="I4735">
        <v>110.5527</v>
      </c>
      <c r="J4735">
        <v>-400.23869999999999</v>
      </c>
      <c r="K4735">
        <v>1.114897</v>
      </c>
      <c r="L4735">
        <v>138.52180000000001</v>
      </c>
      <c r="M4735">
        <v>-0.98180900000000004</v>
      </c>
      <c r="N4735">
        <v>0</v>
      </c>
      <c r="O4735">
        <v>-0.18932589999999999</v>
      </c>
      <c r="P4735">
        <v>-0.98662660000000002</v>
      </c>
      <c r="Q4735">
        <v>-2.3112710000000002E-2</v>
      </c>
      <c r="R4735">
        <v>-0.16135089999999999</v>
      </c>
      <c r="S4735">
        <v>-2.7640380000000002</v>
      </c>
      <c r="T4735">
        <v>-7.2290900000000005E-2</v>
      </c>
      <c r="U4735">
        <v>-1.739487</v>
      </c>
      <c r="V4735">
        <v>2.848026E-2</v>
      </c>
      <c r="W4735">
        <v>-8.3983549999999997E-3</v>
      </c>
      <c r="X4735">
        <v>0.99955899999999998</v>
      </c>
      <c r="Y4735">
        <v>-0.36270160000000001</v>
      </c>
      <c r="Z4735">
        <v>1.106365E-4</v>
      </c>
      <c r="AA4735">
        <v>0.93190530000000005</v>
      </c>
      <c r="AB4735">
        <v>28</v>
      </c>
      <c r="AC4735">
        <v>-44.260100000000001</v>
      </c>
      <c r="AD4735">
        <v>-1.1648969999999901</v>
      </c>
      <c r="AE4735">
        <v>-27.969100000000001</v>
      </c>
      <c r="AF4735">
        <v>-19.073262198990601</v>
      </c>
      <c r="AG4735">
        <v>-1.1648969999999901</v>
      </c>
      <c r="AH4735">
        <v>48.731157587072602</v>
      </c>
      <c r="AI4735">
        <v>91.275207548694496</v>
      </c>
      <c r="AJ4735">
        <v>111.375259758117</v>
      </c>
      <c r="AK4735">
        <v>52.343786982870803</v>
      </c>
      <c r="AL4735">
        <v>90.481195988709402</v>
      </c>
      <c r="AM4735">
        <v>88.367922928682603</v>
      </c>
      <c r="AN4735">
        <v>0.99999992602868404</v>
      </c>
    </row>
    <row r="4736" spans="1:40" x14ac:dyDescent="0.25">
      <c r="A4736" t="str">
        <f>"20190312161409249"</f>
        <v>20190312161409249</v>
      </c>
      <c r="B4736" t="str">
        <f>"1552378449240846"</f>
        <v>1552378449240846</v>
      </c>
      <c r="C4736" t="s">
        <v>40</v>
      </c>
      <c r="D4736">
        <v>5.4569039999999998</v>
      </c>
      <c r="E4736">
        <v>0.33789809999999998</v>
      </c>
      <c r="F4736" t="s">
        <v>41</v>
      </c>
      <c r="G4736">
        <v>-441.23079999999999</v>
      </c>
      <c r="H4736">
        <v>-0.05</v>
      </c>
      <c r="I4736">
        <v>112.2758</v>
      </c>
      <c r="J4736">
        <v>-400.51369999999997</v>
      </c>
      <c r="K4736">
        <v>1.1150230000000001</v>
      </c>
      <c r="L4736">
        <v>138.4614</v>
      </c>
      <c r="M4736">
        <v>-0.9805237</v>
      </c>
      <c r="N4736">
        <v>0</v>
      </c>
      <c r="O4736">
        <v>-0.1958722</v>
      </c>
      <c r="P4736">
        <v>-0.9854311</v>
      </c>
      <c r="Q4736">
        <v>-2.2661319999999999E-2</v>
      </c>
      <c r="R4736">
        <v>-0.16855919999999999</v>
      </c>
      <c r="S4736">
        <v>-2.7507929999999998</v>
      </c>
      <c r="T4736">
        <v>-7.8171009999999999E-2</v>
      </c>
      <c r="U4736">
        <v>-1.7612460000000001</v>
      </c>
      <c r="V4736">
        <v>2.784128E-2</v>
      </c>
      <c r="W4736">
        <v>-7.9329469999999992E-3</v>
      </c>
      <c r="X4736">
        <v>0.99958089999999999</v>
      </c>
      <c r="Y4736">
        <v>-0.36374519999999999</v>
      </c>
      <c r="Z4736">
        <v>2.6844720000000001E-4</v>
      </c>
      <c r="AA4736">
        <v>0.93149850000000001</v>
      </c>
      <c r="AB4736">
        <v>28</v>
      </c>
      <c r="AC4736">
        <v>-40.717100000000002</v>
      </c>
      <c r="AD4736">
        <v>-1.1650229999999999</v>
      </c>
      <c r="AE4736">
        <v>-26.185599999999901</v>
      </c>
      <c r="AF4736">
        <v>-17.691842607509901</v>
      </c>
      <c r="AG4736">
        <v>-1.1650229999999999</v>
      </c>
      <c r="AH4736">
        <v>45.031704210769199</v>
      </c>
      <c r="AI4736">
        <v>91.379386259707999</v>
      </c>
      <c r="AJ4736">
        <v>111.448635688718</v>
      </c>
      <c r="AK4736">
        <v>48.396414718092899</v>
      </c>
      <c r="AL4736">
        <v>90.4545291396267</v>
      </c>
      <c r="AM4736">
        <v>88.404555825862801</v>
      </c>
      <c r="AN4736">
        <v>1.0000000220824701</v>
      </c>
    </row>
    <row r="4737" spans="1:40" x14ac:dyDescent="0.25">
      <c r="A4737" t="str">
        <f>"20190312161409271"</f>
        <v>20190312161409271</v>
      </c>
      <c r="B4737" t="str">
        <f>"1552378449261337"</f>
        <v>1552378449261337</v>
      </c>
      <c r="C4737" t="s">
        <v>40</v>
      </c>
      <c r="D4737">
        <v>5.435371</v>
      </c>
      <c r="E4737">
        <v>0.338095599999999</v>
      </c>
      <c r="F4737" t="s">
        <v>41</v>
      </c>
      <c r="G4737">
        <v>-440.45069999999998</v>
      </c>
      <c r="H4737">
        <v>-0.05</v>
      </c>
      <c r="I4737">
        <v>112.492</v>
      </c>
      <c r="J4737">
        <v>-400.77800000000002</v>
      </c>
      <c r="K4737">
        <v>1.11513</v>
      </c>
      <c r="L4737">
        <v>138.4014</v>
      </c>
      <c r="M4737">
        <v>-0.97920859999999998</v>
      </c>
      <c r="N4737">
        <v>0</v>
      </c>
      <c r="O4737">
        <v>-0.2023431</v>
      </c>
      <c r="P4737">
        <v>-0.98420370000000001</v>
      </c>
      <c r="Q4737">
        <v>-2.1737329999999999E-2</v>
      </c>
      <c r="R4737">
        <v>-0.175701</v>
      </c>
      <c r="S4737">
        <v>-2.7379760000000002</v>
      </c>
      <c r="T4737">
        <v>-7.9870940000000001E-2</v>
      </c>
      <c r="U4737">
        <v>-1.7803960000000001</v>
      </c>
      <c r="V4737">
        <v>2.7188839999999999E-2</v>
      </c>
      <c r="W4737">
        <v>-6.9954980000000002E-3</v>
      </c>
      <c r="X4737">
        <v>0.99960579999999999</v>
      </c>
      <c r="Y4737">
        <v>-0.3641643</v>
      </c>
      <c r="Z4737">
        <v>4.3303660000000002E-4</v>
      </c>
      <c r="AA4737">
        <v>0.93133460000000001</v>
      </c>
      <c r="AB4737">
        <v>28</v>
      </c>
      <c r="AC4737">
        <v>-39.672699999999899</v>
      </c>
      <c r="AD4737">
        <v>-1.16513</v>
      </c>
      <c r="AE4737">
        <v>-25.909399999999899</v>
      </c>
      <c r="AF4737">
        <v>-17.334531348759501</v>
      </c>
      <c r="AG4737">
        <v>-1.16513</v>
      </c>
      <c r="AH4737">
        <v>44.068373706759303</v>
      </c>
      <c r="AI4737">
        <v>91.4094265531959</v>
      </c>
      <c r="AJ4737">
        <v>111.472461648246</v>
      </c>
      <c r="AK4737">
        <v>47.369452880064202</v>
      </c>
      <c r="AL4737">
        <v>90.400815795106695</v>
      </c>
      <c r="AM4737">
        <v>88.441964033235095</v>
      </c>
      <c r="AN4737">
        <v>0.999999962703226</v>
      </c>
    </row>
    <row r="4738" spans="1:40" x14ac:dyDescent="0.25">
      <c r="A4738" t="str">
        <f>"20190312161409293"</f>
        <v>20190312161409293</v>
      </c>
      <c r="B4738" t="str">
        <f>"1552378449280858"</f>
        <v>1552378449280858</v>
      </c>
      <c r="C4738" t="s">
        <v>40</v>
      </c>
      <c r="D4738">
        <v>5.4426550000000002</v>
      </c>
      <c r="E4738">
        <v>0.33818900000000002</v>
      </c>
      <c r="F4738" t="s">
        <v>41</v>
      </c>
      <c r="G4738">
        <v>-439.49419999999998</v>
      </c>
      <c r="H4738">
        <v>-0.05</v>
      </c>
      <c r="I4738">
        <v>112.84869999999999</v>
      </c>
      <c r="J4738">
        <v>-401.04129999999998</v>
      </c>
      <c r="K4738">
        <v>1.115237</v>
      </c>
      <c r="L4738">
        <v>138.33949999999999</v>
      </c>
      <c r="M4738">
        <v>-0.97782420000000003</v>
      </c>
      <c r="N4738">
        <v>0</v>
      </c>
      <c r="O4738">
        <v>-0.2089299</v>
      </c>
      <c r="P4738">
        <v>-0.98288949999999997</v>
      </c>
      <c r="Q4738">
        <v>-2.1344080000000001E-2</v>
      </c>
      <c r="R4738">
        <v>-0.18295639999999999</v>
      </c>
      <c r="S4738">
        <v>-2.72525</v>
      </c>
      <c r="T4738">
        <v>-8.2013959999999997E-2</v>
      </c>
      <c r="U4738">
        <v>-1.7986599999999999</v>
      </c>
      <c r="V4738">
        <v>2.6542429999999999E-2</v>
      </c>
      <c r="W4738">
        <v>-6.5903480000000002E-3</v>
      </c>
      <c r="X4738">
        <v>0.99962600000000001</v>
      </c>
      <c r="Y4738">
        <v>-0.36424060000000003</v>
      </c>
      <c r="Z4738">
        <v>6.1568569999999995E-4</v>
      </c>
      <c r="AA4738">
        <v>0.93130469999999999</v>
      </c>
      <c r="AB4738">
        <v>28</v>
      </c>
      <c r="AC4738">
        <v>-38.4529</v>
      </c>
      <c r="AD4738">
        <v>-1.1652370000000001</v>
      </c>
      <c r="AE4738">
        <v>-25.4908</v>
      </c>
      <c r="AF4738">
        <v>-16.882548759048099</v>
      </c>
      <c r="AG4738">
        <v>-1.1652370000000001</v>
      </c>
      <c r="AH4738">
        <v>42.903065067822297</v>
      </c>
      <c r="AI4738">
        <v>91.4477518877124</v>
      </c>
      <c r="AJ4738">
        <v>111.479860499664</v>
      </c>
      <c r="AK4738">
        <v>46.1199655472725</v>
      </c>
      <c r="AL4738">
        <v>90.377601845521696</v>
      </c>
      <c r="AM4738">
        <v>88.479019179928997</v>
      </c>
      <c r="AN4738">
        <v>1.00000003657653</v>
      </c>
    </row>
    <row r="4739" spans="1:40" x14ac:dyDescent="0.25">
      <c r="A4739" t="str">
        <f>"20190312161410019"</f>
        <v>20190312161410019</v>
      </c>
      <c r="B4739" t="str">
        <f>"1552378450010903"</f>
        <v>1552378450010903</v>
      </c>
      <c r="C4739" t="s">
        <v>40</v>
      </c>
      <c r="D4739">
        <v>5.4314049999999998</v>
      </c>
      <c r="E4739">
        <v>0.33902910000000003</v>
      </c>
      <c r="F4739" t="s">
        <v>41</v>
      </c>
      <c r="G4739">
        <v>-439.56970000000001</v>
      </c>
      <c r="H4739">
        <v>-0.05</v>
      </c>
      <c r="I4739">
        <v>112.511</v>
      </c>
      <c r="J4739">
        <v>-409.10390000000001</v>
      </c>
      <c r="K4739">
        <v>1.117359</v>
      </c>
      <c r="L4739">
        <v>135.17330000000001</v>
      </c>
      <c r="M4739">
        <v>-0.88034009999999996</v>
      </c>
      <c r="N4739">
        <v>0</v>
      </c>
      <c r="O4739">
        <v>-0.47411180000000003</v>
      </c>
      <c r="P4739">
        <v>-0.88711770000000001</v>
      </c>
      <c r="Q4739">
        <v>-2.199657E-2</v>
      </c>
      <c r="R4739">
        <v>-0.46101890000000001</v>
      </c>
      <c r="S4739">
        <v>-2.7120359999999999</v>
      </c>
      <c r="T4739">
        <v>-8.2021709999999998E-2</v>
      </c>
      <c r="U4739">
        <v>-1.818085</v>
      </c>
      <c r="V4739">
        <v>1.486465E-2</v>
      </c>
      <c r="W4739">
        <v>-6.9342939999999997E-3</v>
      </c>
      <c r="X4739">
        <v>0.99986549999999996</v>
      </c>
      <c r="Y4739">
        <v>-9.6504010000000001E-2</v>
      </c>
      <c r="Z4739">
        <v>1.0839680000000001E-2</v>
      </c>
      <c r="AA4739">
        <v>0.99527359999999998</v>
      </c>
      <c r="AB4739">
        <v>27</v>
      </c>
      <c r="AC4739">
        <v>-30.465800000000002</v>
      </c>
      <c r="AD4739">
        <v>-1.167359</v>
      </c>
      <c r="AE4739">
        <v>-22.662299999999998</v>
      </c>
      <c r="AF4739">
        <v>-5.5017398611086001</v>
      </c>
      <c r="AG4739">
        <v>-1.167359</v>
      </c>
      <c r="AH4739">
        <v>37.533372811630599</v>
      </c>
      <c r="AI4739">
        <v>91.762609614800198</v>
      </c>
      <c r="AJ4739">
        <v>98.339177020575505</v>
      </c>
      <c r="AK4739">
        <v>37.952416828853501</v>
      </c>
      <c r="AL4739">
        <v>90.397308952221294</v>
      </c>
      <c r="AM4739">
        <v>89.148266470036901</v>
      </c>
      <c r="AN4739">
        <v>1.0000000301715699</v>
      </c>
    </row>
    <row r="4740" spans="1:40" x14ac:dyDescent="0.25">
      <c r="A4740" t="str">
        <f>"20190312161410220"</f>
        <v>20190312161410220</v>
      </c>
      <c r="B4740" t="str">
        <f>"1552378450210982"</f>
        <v>1552378450210982</v>
      </c>
      <c r="C4740" t="s">
        <v>40</v>
      </c>
      <c r="D4740">
        <v>5.5579700000000001</v>
      </c>
      <c r="E4740">
        <v>0.36927399999999999</v>
      </c>
      <c r="F4740" t="s">
        <v>42</v>
      </c>
      <c r="G4740">
        <v>-431.71300000000002</v>
      </c>
      <c r="H4740">
        <v>7.9985669999999995E-2</v>
      </c>
      <c r="I4740">
        <v>107.6026</v>
      </c>
      <c r="J4740">
        <v>-411.04199999999997</v>
      </c>
      <c r="K4740">
        <v>1.117801</v>
      </c>
      <c r="L4740">
        <v>133.9057</v>
      </c>
      <c r="M4740">
        <v>-0.83205209999999996</v>
      </c>
      <c r="N4740">
        <v>0</v>
      </c>
      <c r="O4740">
        <v>-0.55449689999999996</v>
      </c>
      <c r="P4740">
        <v>-0.83819349999999904</v>
      </c>
      <c r="Q4740">
        <v>-2.1994710000000001E-2</v>
      </c>
      <c r="R4740">
        <v>-0.54492890000000005</v>
      </c>
      <c r="S4740">
        <v>-2.0684809999999998</v>
      </c>
      <c r="T4740">
        <v>-9.4908240000000005E-2</v>
      </c>
      <c r="U4740">
        <v>-2.5224150000000001</v>
      </c>
      <c r="V4740">
        <v>1.1497220000000001E-2</v>
      </c>
      <c r="W4740">
        <v>-6.871556E-3</v>
      </c>
      <c r="X4740">
        <v>0.99991030000000003</v>
      </c>
      <c r="Y4740">
        <v>-0.29188960000000003</v>
      </c>
      <c r="Z4740">
        <v>1.2518919999999999E-2</v>
      </c>
      <c r="AA4740">
        <v>0.9563701</v>
      </c>
      <c r="AB4740">
        <v>26</v>
      </c>
      <c r="AC4740">
        <v>-20.670999999999999</v>
      </c>
      <c r="AD4740">
        <v>-1.0378153299999999</v>
      </c>
      <c r="AE4740">
        <v>-26.303100000000001</v>
      </c>
      <c r="AF4740">
        <v>-10.414680874126001</v>
      </c>
      <c r="AG4740">
        <v>-1.0378153299999999</v>
      </c>
      <c r="AH4740">
        <v>31.7573096668701</v>
      </c>
      <c r="AI4740">
        <v>91.778599205483005</v>
      </c>
      <c r="AJ4740">
        <v>108.156694044491</v>
      </c>
      <c r="AK4740">
        <v>33.437544103096897</v>
      </c>
      <c r="AL4740">
        <v>90.393714253507497</v>
      </c>
      <c r="AM4740">
        <v>89.341227754414206</v>
      </c>
      <c r="AN4740">
        <v>1.00000000619783</v>
      </c>
    </row>
    <row r="4741" spans="1:40" x14ac:dyDescent="0.25">
      <c r="A4741" t="str">
        <f>"20190312161410264"</f>
        <v>20190312161410264</v>
      </c>
      <c r="B4741" t="str">
        <f>"1552378450260758"</f>
        <v>1552378450260758</v>
      </c>
      <c r="C4741" t="s">
        <v>40</v>
      </c>
      <c r="D4741">
        <v>5.5443689999999997</v>
      </c>
      <c r="E4741">
        <v>0.37661899999999998</v>
      </c>
      <c r="F4741" t="s">
        <v>42</v>
      </c>
      <c r="G4741">
        <v>-428.08139999999997</v>
      </c>
      <c r="H4741" s="1">
        <v>-3.110227E-6</v>
      </c>
      <c r="I4741">
        <v>111.9139</v>
      </c>
      <c r="J4741">
        <v>-411.45089999999999</v>
      </c>
      <c r="K4741">
        <v>1.117902</v>
      </c>
      <c r="L4741">
        <v>133.60149999999999</v>
      </c>
      <c r="M4741">
        <v>-0.81980299999999995</v>
      </c>
      <c r="N4741">
        <v>0</v>
      </c>
      <c r="O4741">
        <v>-0.57245089999999998</v>
      </c>
      <c r="P4741">
        <v>-0.82522649999999997</v>
      </c>
      <c r="Q4741">
        <v>-2.32646E-2</v>
      </c>
      <c r="R4741">
        <v>-0.56432299999999902</v>
      </c>
      <c r="S4741">
        <v>-1.9443360000000001</v>
      </c>
      <c r="T4741">
        <v>-0.12755069999999999</v>
      </c>
      <c r="U4741">
        <v>-2.5094449999999999</v>
      </c>
      <c r="V4741">
        <v>9.9238899999999994E-3</v>
      </c>
      <c r="W4741">
        <v>-8.1428030000000005E-3</v>
      </c>
      <c r="X4741">
        <v>0.99991759999999996</v>
      </c>
      <c r="Y4741">
        <v>-0.29761310000000002</v>
      </c>
      <c r="Z4741">
        <v>1.79776E-2</v>
      </c>
      <c r="AA4741">
        <v>0.95451730000000001</v>
      </c>
      <c r="AB4741">
        <v>26</v>
      </c>
      <c r="AC4741">
        <v>-16.630499999999898</v>
      </c>
      <c r="AD4741">
        <v>-1.1179051102269999</v>
      </c>
      <c r="AE4741">
        <v>-21.6875999999999</v>
      </c>
      <c r="AF4741">
        <v>-8.2465383406643493</v>
      </c>
      <c r="AG4741">
        <v>-1.1179051102269999</v>
      </c>
      <c r="AH4741">
        <v>26.0082095616625</v>
      </c>
      <c r="AI4741">
        <v>92.346238223682803</v>
      </c>
      <c r="AJ4741">
        <v>107.59249035921199</v>
      </c>
      <c r="AK4741">
        <v>27.307179844188799</v>
      </c>
      <c r="AL4741">
        <v>90.466553402246902</v>
      </c>
      <c r="AM4741">
        <v>89.431374799730193</v>
      </c>
      <c r="AN4741">
        <v>0.99999999781159399</v>
      </c>
    </row>
    <row r="4742" spans="1:40" x14ac:dyDescent="0.25">
      <c r="A4742" t="str">
        <f>"20190312161410287"</f>
        <v>20190312161410287</v>
      </c>
      <c r="B4742" t="str">
        <f>"1552378450281255"</f>
        <v>1552378450281255</v>
      </c>
      <c r="C4742" t="s">
        <v>40</v>
      </c>
      <c r="D4742">
        <v>5.667357</v>
      </c>
      <c r="E4742">
        <v>0.37741809999999998</v>
      </c>
      <c r="F4742" t="s">
        <v>84</v>
      </c>
      <c r="G4742">
        <v>-421.84460000000001</v>
      </c>
      <c r="H4742" s="1">
        <v>-7.5140030000000005E-7</v>
      </c>
      <c r="I4742">
        <v>120.0086</v>
      </c>
      <c r="J4742">
        <v>-411.65320000000003</v>
      </c>
      <c r="K4742">
        <v>1.1179589999999999</v>
      </c>
      <c r="L4742">
        <v>133.44560000000001</v>
      </c>
      <c r="M4742">
        <v>-0.81342859999999995</v>
      </c>
      <c r="N4742">
        <v>0</v>
      </c>
      <c r="O4742">
        <v>-0.58147269999999995</v>
      </c>
      <c r="P4742">
        <v>-0.81879619999999997</v>
      </c>
      <c r="Q4742">
        <v>-2.3674440000000001E-2</v>
      </c>
      <c r="R4742">
        <v>-0.5735962</v>
      </c>
      <c r="S4742">
        <v>-1.9160159999999999</v>
      </c>
      <c r="T4742">
        <v>-0.2060777</v>
      </c>
      <c r="U4742">
        <v>-2.5057529999999999</v>
      </c>
      <c r="V4742">
        <v>9.6924200000000002E-3</v>
      </c>
      <c r="W4742">
        <v>-8.5422859999999996E-3</v>
      </c>
      <c r="X4742">
        <v>0.99991660000000004</v>
      </c>
      <c r="Y4742">
        <v>-0.2934118</v>
      </c>
      <c r="Z4742">
        <v>2.9976289999999999E-2</v>
      </c>
      <c r="AA4742">
        <v>0.95551600000000003</v>
      </c>
      <c r="AB4742">
        <v>26</v>
      </c>
      <c r="AC4742">
        <v>-10.1913999999999</v>
      </c>
      <c r="AD4742">
        <v>-1.1179597514002999</v>
      </c>
      <c r="AE4742">
        <v>-13.436999999999999</v>
      </c>
      <c r="AF4742">
        <v>-4.9826825829741797</v>
      </c>
      <c r="AG4742">
        <v>-1.1179597514002999</v>
      </c>
      <c r="AH4742">
        <v>16.034562354006901</v>
      </c>
      <c r="AI4742">
        <v>93.8092046725003</v>
      </c>
      <c r="AJ4742">
        <v>107.262444253398</v>
      </c>
      <c r="AK4742">
        <v>16.8280762303052</v>
      </c>
      <c r="AL4742">
        <v>90.489442858294197</v>
      </c>
      <c r="AM4742">
        <v>89.4446363152598</v>
      </c>
      <c r="AN4742">
        <v>1.0000000603055501</v>
      </c>
    </row>
    <row r="4743" spans="1:40" x14ac:dyDescent="0.25">
      <c r="A4743" t="str">
        <f>"20190312161410309"</f>
        <v>20190312161410309</v>
      </c>
      <c r="B4743" t="str">
        <f>"1552378450300774"</f>
        <v>1552378450300774</v>
      </c>
      <c r="C4743" t="s">
        <v>40</v>
      </c>
      <c r="D4743">
        <v>5.5999210000000001</v>
      </c>
      <c r="E4743">
        <v>0.37752449999999999</v>
      </c>
      <c r="F4743" t="s">
        <v>84</v>
      </c>
      <c r="G4743">
        <v>-421.59230000000002</v>
      </c>
      <c r="H4743" s="1">
        <v>-7.971508E-7</v>
      </c>
      <c r="I4743">
        <v>120.1862</v>
      </c>
      <c r="J4743">
        <v>-411.85610000000003</v>
      </c>
      <c r="K4743">
        <v>1.1180129999999999</v>
      </c>
      <c r="L4743">
        <v>133.28530000000001</v>
      </c>
      <c r="M4743">
        <v>-0.80680359999999995</v>
      </c>
      <c r="N4743">
        <v>0</v>
      </c>
      <c r="O4743">
        <v>-0.59063030000000005</v>
      </c>
      <c r="P4743">
        <v>-0.81203479999999995</v>
      </c>
      <c r="Q4743">
        <v>-2.3610599999999999E-2</v>
      </c>
      <c r="R4743">
        <v>-0.58313130000000002</v>
      </c>
      <c r="S4743">
        <v>-1.890747</v>
      </c>
      <c r="T4743">
        <v>-0.2126721</v>
      </c>
      <c r="U4743">
        <v>-2.5223689999999999</v>
      </c>
      <c r="V4743">
        <v>9.3039809999999994E-3</v>
      </c>
      <c r="W4743">
        <v>-8.4705049999999997E-3</v>
      </c>
      <c r="X4743">
        <v>0.99992080000000005</v>
      </c>
      <c r="Y4743">
        <v>-0.29179149999999998</v>
      </c>
      <c r="Z4743">
        <v>3.1682729999999999E-2</v>
      </c>
      <c r="AA4743">
        <v>0.9559571</v>
      </c>
      <c r="AB4743">
        <v>26</v>
      </c>
      <c r="AC4743">
        <v>-9.7361999999999895</v>
      </c>
      <c r="AD4743">
        <v>-1.1180137971508</v>
      </c>
      <c r="AE4743">
        <v>-13.0991</v>
      </c>
      <c r="AF4743">
        <v>-4.7959411700563397</v>
      </c>
      <c r="AG4743">
        <v>-1.1180137971508</v>
      </c>
      <c r="AH4743">
        <v>15.5208419928236</v>
      </c>
      <c r="AI4743">
        <v>93.937021692768099</v>
      </c>
      <c r="AJ4743">
        <v>107.171152366518</v>
      </c>
      <c r="AK4743">
        <v>16.283351704224099</v>
      </c>
      <c r="AL4743">
        <v>90.485330010120705</v>
      </c>
      <c r="AM4743">
        <v>89.466894317521096</v>
      </c>
      <c r="AN4743">
        <v>0.99999995989502</v>
      </c>
    </row>
    <row r="4744" spans="1:40" x14ac:dyDescent="0.25">
      <c r="A4744" t="str">
        <f>"20190312161410331"</f>
        <v>20190312161410331</v>
      </c>
      <c r="B4744" t="str">
        <f>"1552378450321271"</f>
        <v>1552378450321271</v>
      </c>
      <c r="C4744" t="s">
        <v>40</v>
      </c>
      <c r="D4744">
        <v>5.615831</v>
      </c>
      <c r="E4744">
        <v>0.37923839999999998</v>
      </c>
      <c r="F4744" t="s">
        <v>84</v>
      </c>
      <c r="G4744">
        <v>-421.7919</v>
      </c>
      <c r="H4744" s="1">
        <v>-5.4783749999999899E-7</v>
      </c>
      <c r="I4744">
        <v>119.71040000000001</v>
      </c>
      <c r="J4744">
        <v>-412.04570000000001</v>
      </c>
      <c r="K4744">
        <v>1.118058</v>
      </c>
      <c r="L4744">
        <v>133.1319</v>
      </c>
      <c r="M4744">
        <v>-0.80039890000000002</v>
      </c>
      <c r="N4744">
        <v>0</v>
      </c>
      <c r="O4744">
        <v>-0.59928079999999995</v>
      </c>
      <c r="P4744">
        <v>-0.8055871</v>
      </c>
      <c r="Q4744">
        <v>-2.412713E-2</v>
      </c>
      <c r="R4744">
        <v>-0.59198609999999996</v>
      </c>
      <c r="S4744">
        <v>-1.8617250000000001</v>
      </c>
      <c r="T4744">
        <v>-0.20948910000000001</v>
      </c>
      <c r="U4744">
        <v>-2.5436100000000001</v>
      </c>
      <c r="V4744">
        <v>9.1225790000000005E-3</v>
      </c>
      <c r="W4744">
        <v>-8.9762809999999991E-3</v>
      </c>
      <c r="X4744">
        <v>0.99991810000000003</v>
      </c>
      <c r="Y4744">
        <v>-0.29240060000000001</v>
      </c>
      <c r="Z4744">
        <v>3.1831829999999998E-2</v>
      </c>
      <c r="AA4744">
        <v>0.955766</v>
      </c>
      <c r="AB4744">
        <v>26</v>
      </c>
      <c r="AC4744">
        <v>-9.7461999999999804</v>
      </c>
      <c r="AD4744">
        <v>-1.1180585478375</v>
      </c>
      <c r="AE4744">
        <v>-13.421499999999901</v>
      </c>
      <c r="AF4744">
        <v>-4.8802190021334004</v>
      </c>
      <c r="AG4744">
        <v>-1.1180585478375</v>
      </c>
      <c r="AH4744">
        <v>15.7741993745638</v>
      </c>
      <c r="AI4744">
        <v>93.873721988363698</v>
      </c>
      <c r="AJ4744">
        <v>107.191012338577</v>
      </c>
      <c r="AK4744">
        <v>16.549681517590201</v>
      </c>
      <c r="AL4744">
        <v>90.514309923359903</v>
      </c>
      <c r="AM4744">
        <v>89.477286415975598</v>
      </c>
      <c r="AN4744">
        <v>1.0000000008879</v>
      </c>
    </row>
    <row r="4745" spans="1:40" x14ac:dyDescent="0.25">
      <c r="A4745" t="str">
        <f>"20190312161410354"</f>
        <v>20190312161410354</v>
      </c>
      <c r="B4745" t="str">
        <f>"1552378450350554"</f>
        <v>1552378450350554</v>
      </c>
      <c r="C4745" t="s">
        <v>40</v>
      </c>
      <c r="D4745">
        <v>5.6036979999999996</v>
      </c>
      <c r="E4745">
        <v>0.3809477</v>
      </c>
      <c r="F4745" t="s">
        <v>84</v>
      </c>
      <c r="G4745">
        <v>-421.37990000000002</v>
      </c>
      <c r="H4745" s="1">
        <v>-7.4489369999999997E-7</v>
      </c>
      <c r="I4745">
        <v>120.19289999999999</v>
      </c>
      <c r="J4745">
        <v>-412.24630000000002</v>
      </c>
      <c r="K4745">
        <v>1.1181019999999999</v>
      </c>
      <c r="L4745">
        <v>132.9657</v>
      </c>
      <c r="M4745">
        <v>-0.79339609999999905</v>
      </c>
      <c r="N4745">
        <v>0</v>
      </c>
      <c r="O4745">
        <v>-0.60852130000000004</v>
      </c>
      <c r="P4745">
        <v>-0.79883740000000003</v>
      </c>
      <c r="Q4745">
        <v>-2.421771E-2</v>
      </c>
      <c r="R4745">
        <v>-0.60105959999999903</v>
      </c>
      <c r="S4745">
        <v>-1.8415220000000001</v>
      </c>
      <c r="T4745">
        <v>-0.22058069999999999</v>
      </c>
      <c r="U4745">
        <v>-2.5527190000000002</v>
      </c>
      <c r="V4745">
        <v>9.4084900000000003E-3</v>
      </c>
      <c r="W4745">
        <v>-9.0468400000000004E-3</v>
      </c>
      <c r="X4745">
        <v>0.99991479999999999</v>
      </c>
      <c r="Y4745">
        <v>-0.287962099999999</v>
      </c>
      <c r="Z4745">
        <v>3.4410250000000003E-2</v>
      </c>
      <c r="AA4745">
        <v>0.95702339999999997</v>
      </c>
      <c r="AB4745">
        <v>26</v>
      </c>
      <c r="AC4745">
        <v>-9.1335999999999995</v>
      </c>
      <c r="AD4745">
        <v>-1.1181027448937</v>
      </c>
      <c r="AE4745">
        <v>-12.7728</v>
      </c>
      <c r="AF4745">
        <v>-4.5533267400604904</v>
      </c>
      <c r="AG4745">
        <v>-1.1181027448937</v>
      </c>
      <c r="AH4745">
        <v>14.944994643388799</v>
      </c>
      <c r="AI4745">
        <v>94.093486941450806</v>
      </c>
      <c r="AJ4745">
        <v>106.944529436211</v>
      </c>
      <c r="AK4745">
        <v>15.663199004060701</v>
      </c>
      <c r="AL4745">
        <v>90.518352828076104</v>
      </c>
      <c r="AM4745">
        <v>89.460903208234598</v>
      </c>
      <c r="AN4745">
        <v>0.99999998612855201</v>
      </c>
    </row>
    <row r="4746" spans="1:40" x14ac:dyDescent="0.25">
      <c r="A4746" t="str">
        <f>"20190312161410376"</f>
        <v>20190312161410376</v>
      </c>
      <c r="B4746" t="str">
        <f>"1552378450371047"</f>
        <v>1552378450371047</v>
      </c>
      <c r="C4746" t="s">
        <v>40</v>
      </c>
      <c r="D4746">
        <v>5.5755299999999997</v>
      </c>
      <c r="E4746">
        <v>0.3819825</v>
      </c>
      <c r="F4746" t="s">
        <v>84</v>
      </c>
      <c r="G4746">
        <v>-421.45490000000001</v>
      </c>
      <c r="H4746" s="1">
        <v>-6.4326409999999995E-7</v>
      </c>
      <c r="I4746">
        <v>120.0016</v>
      </c>
      <c r="J4746">
        <v>-412.44319999999999</v>
      </c>
      <c r="K4746">
        <v>1.1181410000000001</v>
      </c>
      <c r="L4746">
        <v>132.79849999999999</v>
      </c>
      <c r="M4746">
        <v>-0.78628969999999998</v>
      </c>
      <c r="N4746">
        <v>0</v>
      </c>
      <c r="O4746">
        <v>-0.6176758</v>
      </c>
      <c r="P4746">
        <v>-0.79208449999999997</v>
      </c>
      <c r="Q4746">
        <v>-2.3692080000000001E-2</v>
      </c>
      <c r="R4746">
        <v>-0.60995140000000003</v>
      </c>
      <c r="S4746">
        <v>-1.8204039999999999</v>
      </c>
      <c r="T4746">
        <v>-0.22103139999999999</v>
      </c>
      <c r="U4746">
        <v>-2.5627900000000001</v>
      </c>
      <c r="V4746">
        <v>9.8205299999999992E-3</v>
      </c>
      <c r="W4746">
        <v>-8.4997359999999904E-3</v>
      </c>
      <c r="X4746">
        <v>0.99991569999999996</v>
      </c>
      <c r="Y4746">
        <v>-0.28389189999999997</v>
      </c>
      <c r="Z4746">
        <v>3.5360389999999998E-2</v>
      </c>
      <c r="AA4746">
        <v>0.9582041</v>
      </c>
      <c r="AB4746">
        <v>26</v>
      </c>
      <c r="AC4746">
        <v>-9.01170000000001</v>
      </c>
      <c r="AD4746">
        <v>-1.1181416432641</v>
      </c>
      <c r="AE4746">
        <v>-12.7968999999999</v>
      </c>
      <c r="AF4746">
        <v>-4.4734370490846098</v>
      </c>
      <c r="AG4746">
        <v>-1.1181416432641</v>
      </c>
      <c r="AH4746">
        <v>14.915705776934701</v>
      </c>
      <c r="AI4746">
        <v>94.107030127436104</v>
      </c>
      <c r="AJ4746">
        <v>106.694751972031</v>
      </c>
      <c r="AK4746">
        <v>15.612179815471199</v>
      </c>
      <c r="AL4746">
        <v>90.487004840643806</v>
      </c>
      <c r="AM4746">
        <v>89.437295733101905</v>
      </c>
      <c r="AN4746">
        <v>1.0000000477140101</v>
      </c>
    </row>
    <row r="4747" spans="1:40" x14ac:dyDescent="0.25">
      <c r="A4747" t="str">
        <f>"20190312161410401"</f>
        <v>20190312161410401</v>
      </c>
      <c r="B4747" t="str">
        <f>"1552378450390567"</f>
        <v>1552378450390567</v>
      </c>
      <c r="C4747" t="s">
        <v>40</v>
      </c>
      <c r="D4747">
        <v>5.5002440000000004</v>
      </c>
      <c r="E4747">
        <v>0.38319769999999997</v>
      </c>
      <c r="F4747" t="s">
        <v>42</v>
      </c>
      <c r="G4747">
        <v>-421.63810000000001</v>
      </c>
      <c r="H4747" s="1">
        <v>-4.5875340000000002E-6</v>
      </c>
      <c r="I4747">
        <v>119.61360000000001</v>
      </c>
      <c r="J4747">
        <v>-412.65030000000002</v>
      </c>
      <c r="K4747">
        <v>1.1181779999999999</v>
      </c>
      <c r="L4747">
        <v>132.61840000000001</v>
      </c>
      <c r="M4747">
        <v>-0.77855240000000003</v>
      </c>
      <c r="N4747">
        <v>0</v>
      </c>
      <c r="O4747">
        <v>-0.62739990000000001</v>
      </c>
      <c r="P4747">
        <v>-0.78444950000000002</v>
      </c>
      <c r="Q4747">
        <v>-2.354846E-2</v>
      </c>
      <c r="R4747">
        <v>-0.61974549999999995</v>
      </c>
      <c r="S4747">
        <v>-1.7968440000000001</v>
      </c>
      <c r="T4747">
        <v>-0.21850710000000001</v>
      </c>
      <c r="U4747">
        <v>-2.576584</v>
      </c>
      <c r="V4747">
        <v>9.8244950000000008E-3</v>
      </c>
      <c r="W4747">
        <v>-8.3419519999999997E-3</v>
      </c>
      <c r="X4747">
        <v>0.99991699999999994</v>
      </c>
      <c r="Y4747">
        <v>-0.28027760000000002</v>
      </c>
      <c r="Z4747">
        <v>3.5839820000000001E-2</v>
      </c>
      <c r="AA4747">
        <v>0.95924969999999998</v>
      </c>
      <c r="AB4747">
        <v>26</v>
      </c>
      <c r="AC4747">
        <v>-8.9877999999999894</v>
      </c>
      <c r="AD4747">
        <v>-1.1181825875339999</v>
      </c>
      <c r="AE4747">
        <v>-13.004799999999999</v>
      </c>
      <c r="AF4747">
        <v>-4.4641442584190099</v>
      </c>
      <c r="AG4747">
        <v>-1.1181825875339999</v>
      </c>
      <c r="AH4747">
        <v>15.0829296219132</v>
      </c>
      <c r="AI4747">
        <v>94.066165552301996</v>
      </c>
      <c r="AJ4747">
        <v>106.48734645288501</v>
      </c>
      <c r="AK4747">
        <v>15.7693906742976</v>
      </c>
      <c r="AL4747">
        <v>90.477964158387806</v>
      </c>
      <c r="AM4747">
        <v>89.437069289929894</v>
      </c>
      <c r="AN4747">
        <v>1.00000005787708</v>
      </c>
    </row>
    <row r="4748" spans="1:40" x14ac:dyDescent="0.25">
      <c r="A4748" t="str">
        <f>"20190312161410421"</f>
        <v>20190312161410421</v>
      </c>
      <c r="B4748" t="str">
        <f>"1552378450411063"</f>
        <v>1552378450411063</v>
      </c>
      <c r="C4748" t="s">
        <v>40</v>
      </c>
      <c r="D4748">
        <v>5.6066969999999996</v>
      </c>
      <c r="E4748">
        <v>0.38366119999999998</v>
      </c>
      <c r="F4748" t="s">
        <v>42</v>
      </c>
      <c r="G4748">
        <v>-421.73390000000001</v>
      </c>
      <c r="H4748" s="1">
        <v>-4.5082640000000004E-6</v>
      </c>
      <c r="I4748">
        <v>119.33069999999999</v>
      </c>
      <c r="J4748">
        <v>-412.82260000000002</v>
      </c>
      <c r="K4748">
        <v>1.1182129999999999</v>
      </c>
      <c r="L4748">
        <v>132.4648</v>
      </c>
      <c r="M4748">
        <v>-0.77189479999999999</v>
      </c>
      <c r="N4748">
        <v>0</v>
      </c>
      <c r="O4748">
        <v>-0.63557269999999999</v>
      </c>
      <c r="P4748">
        <v>-0.77746740000000003</v>
      </c>
      <c r="Q4748">
        <v>-2.374395E-2</v>
      </c>
      <c r="R4748">
        <v>-0.62847509999999995</v>
      </c>
      <c r="S4748">
        <v>-1.7710570000000001</v>
      </c>
      <c r="T4748">
        <v>-0.21801519999999999</v>
      </c>
      <c r="U4748">
        <v>-2.5907290000000001</v>
      </c>
      <c r="V4748">
        <v>9.1902159999999993E-3</v>
      </c>
      <c r="W4748">
        <v>-8.5371700000000002E-3</v>
      </c>
      <c r="X4748">
        <v>0.99992130000000001</v>
      </c>
      <c r="Y4748">
        <v>-0.27910859999999998</v>
      </c>
      <c r="Z4748">
        <v>3.6459279999999997E-2</v>
      </c>
      <c r="AA4748">
        <v>0.95956710000000001</v>
      </c>
      <c r="AB4748">
        <v>26</v>
      </c>
      <c r="AC4748">
        <v>-8.9112999999999793</v>
      </c>
      <c r="AD4748">
        <v>-1.11821750826399</v>
      </c>
      <c r="AE4748">
        <v>-13.1341</v>
      </c>
      <c r="AF4748">
        <v>-4.4527678704801099</v>
      </c>
      <c r="AG4748">
        <v>-1.11821750826399</v>
      </c>
      <c r="AH4748">
        <v>15.152768234123601</v>
      </c>
      <c r="AI4748">
        <v>94.049928649478701</v>
      </c>
      <c r="AJ4748">
        <v>106.375866989516</v>
      </c>
      <c r="AK4748">
        <v>15.833001524070999</v>
      </c>
      <c r="AL4748">
        <v>90.489149764256794</v>
      </c>
      <c r="AM4748">
        <v>89.473412794003593</v>
      </c>
      <c r="AN4748">
        <v>0.99999997476771196</v>
      </c>
    </row>
    <row r="4749" spans="1:40" x14ac:dyDescent="0.25">
      <c r="A4749" t="str">
        <f>"20190312161410443"</f>
        <v>20190312161410443</v>
      </c>
      <c r="B4749" t="str">
        <f>"1552378450441319"</f>
        <v>1552378450441319</v>
      </c>
      <c r="C4749" t="s">
        <v>40</v>
      </c>
      <c r="D4749">
        <v>5.4513290000000003</v>
      </c>
      <c r="E4749">
        <v>0.31734449999999997</v>
      </c>
      <c r="F4749" t="s">
        <v>42</v>
      </c>
      <c r="G4749">
        <v>-421.72550000000001</v>
      </c>
      <c r="H4749" s="1">
        <v>-4.4480779999999996E-6</v>
      </c>
      <c r="I4749">
        <v>119.1583</v>
      </c>
      <c r="J4749">
        <v>-413.00380000000001</v>
      </c>
      <c r="K4749">
        <v>1.1182540000000001</v>
      </c>
      <c r="L4749">
        <v>132.2997</v>
      </c>
      <c r="M4749">
        <v>-0.7646676</v>
      </c>
      <c r="N4749">
        <v>0</v>
      </c>
      <c r="O4749">
        <v>-0.64424939999999997</v>
      </c>
      <c r="P4749">
        <v>-0.76964370000000004</v>
      </c>
      <c r="Q4749">
        <v>-2.41263E-2</v>
      </c>
      <c r="R4749">
        <v>-0.63801790000000003</v>
      </c>
      <c r="S4749">
        <v>-1.7443850000000001</v>
      </c>
      <c r="T4749">
        <v>-0.21909809999999999</v>
      </c>
      <c r="U4749">
        <v>-2.607224</v>
      </c>
      <c r="V4749">
        <v>8.1489739999999998E-3</v>
      </c>
      <c r="W4749">
        <v>-8.9258180000000003E-3</v>
      </c>
      <c r="X4749">
        <v>0.99992700000000001</v>
      </c>
      <c r="Y4749">
        <v>-0.27786690000000003</v>
      </c>
      <c r="Z4749">
        <v>3.7366030000000001E-2</v>
      </c>
      <c r="AA4749">
        <v>0.95989259999999998</v>
      </c>
      <c r="AB4749">
        <v>26</v>
      </c>
      <c r="AC4749">
        <v>-8.7216999999999896</v>
      </c>
      <c r="AD4749">
        <v>-1.118258448078</v>
      </c>
      <c r="AE4749">
        <v>-13.141400000000001</v>
      </c>
      <c r="AF4749">
        <v>-4.4081945064615304</v>
      </c>
      <c r="AG4749">
        <v>-1.118258448078</v>
      </c>
      <c r="AH4749">
        <v>15.0615402527685</v>
      </c>
      <c r="AI4749">
        <v>94.075819076698494</v>
      </c>
      <c r="AJ4749">
        <v>106.313638063817</v>
      </c>
      <c r="AK4749">
        <v>15.7331711854051</v>
      </c>
      <c r="AL4749">
        <v>90.511418470261503</v>
      </c>
      <c r="AM4749">
        <v>89.533074432961598</v>
      </c>
      <c r="AN4749">
        <v>1.0000000406666101</v>
      </c>
    </row>
    <row r="4750" spans="1:40" x14ac:dyDescent="0.25">
      <c r="A4750" t="str">
        <f>"20190312161410466"</f>
        <v>20190312161410466</v>
      </c>
      <c r="B4750" t="str">
        <f>"1552378450460843"</f>
        <v>1552378450460843</v>
      </c>
      <c r="C4750" t="s">
        <v>40</v>
      </c>
      <c r="D4750">
        <v>5.545293</v>
      </c>
      <c r="E4750">
        <v>0.31236219999999998</v>
      </c>
      <c r="F4750" t="s">
        <v>42</v>
      </c>
      <c r="G4750">
        <v>-430.48390000000001</v>
      </c>
      <c r="H4750">
        <v>7.9985609999999999E-2</v>
      </c>
      <c r="I4750">
        <v>93.811999999999998</v>
      </c>
      <c r="J4750">
        <v>-413.19229999999999</v>
      </c>
      <c r="K4750">
        <v>1.118304</v>
      </c>
      <c r="L4750">
        <v>132.12379999999999</v>
      </c>
      <c r="M4750">
        <v>-0.75689980000000001</v>
      </c>
      <c r="N4750">
        <v>0</v>
      </c>
      <c r="O4750">
        <v>-0.65335759999999998</v>
      </c>
      <c r="P4750">
        <v>-0.76128649999999998</v>
      </c>
      <c r="Q4750">
        <v>-2.4057640000000002E-2</v>
      </c>
      <c r="R4750">
        <v>-0.64796940000000003</v>
      </c>
      <c r="S4750">
        <v>-1.378754</v>
      </c>
      <c r="T4750">
        <v>-8.1894399999999895E-2</v>
      </c>
      <c r="U4750">
        <v>-3.0357509999999999</v>
      </c>
      <c r="V4750">
        <v>7.1219730000000002E-3</v>
      </c>
      <c r="W4750">
        <v>-8.8620629999999999E-3</v>
      </c>
      <c r="X4750">
        <v>0.99993540000000003</v>
      </c>
      <c r="Y4750">
        <v>-0.41905340000000002</v>
      </c>
      <c r="Z4750">
        <v>1.196332E-2</v>
      </c>
      <c r="AA4750">
        <v>0.90788279999999999</v>
      </c>
      <c r="AB4750">
        <v>26</v>
      </c>
      <c r="AC4750">
        <v>-17.291599999999999</v>
      </c>
      <c r="AD4750">
        <v>-1.0383183899999999</v>
      </c>
      <c r="AE4750">
        <v>-38.311799999999899</v>
      </c>
      <c r="AF4750">
        <v>-17.691805145526502</v>
      </c>
      <c r="AG4750">
        <v>-1.0383183899999999</v>
      </c>
      <c r="AH4750">
        <v>38.100383755593199</v>
      </c>
      <c r="AI4750">
        <v>91.415913736813906</v>
      </c>
      <c r="AJ4750">
        <v>114.907665189235</v>
      </c>
      <c r="AK4750">
        <v>42.020439273165202</v>
      </c>
      <c r="AL4750">
        <v>90.507765438199101</v>
      </c>
      <c r="AM4750">
        <v>89.591921543364407</v>
      </c>
      <c r="AN4750">
        <v>1.00000003141659</v>
      </c>
    </row>
    <row r="4751" spans="1:40" x14ac:dyDescent="0.25">
      <c r="A4751" t="str">
        <f>"20190312161410488"</f>
        <v>20190312161410488</v>
      </c>
      <c r="B4751" t="str">
        <f>"1552378450481335"</f>
        <v>1552378450481335</v>
      </c>
      <c r="C4751" t="s">
        <v>40</v>
      </c>
      <c r="D4751">
        <v>5.4081049999999999</v>
      </c>
      <c r="E4751">
        <v>0.31153309999999901</v>
      </c>
      <c r="F4751" t="s">
        <v>42</v>
      </c>
      <c r="G4751">
        <v>-433.54180000000002</v>
      </c>
      <c r="H4751">
        <v>7.9985580000000001E-2</v>
      </c>
      <c r="I4751">
        <v>84.357129999999998</v>
      </c>
      <c r="J4751">
        <v>-413.37090000000001</v>
      </c>
      <c r="K4751">
        <v>1.11836</v>
      </c>
      <c r="L4751">
        <v>131.953</v>
      </c>
      <c r="M4751">
        <v>-0.74928479999999997</v>
      </c>
      <c r="N4751">
        <v>0</v>
      </c>
      <c r="O4751">
        <v>-0.66207629999999995</v>
      </c>
      <c r="P4751">
        <v>-0.75270179999999998</v>
      </c>
      <c r="Q4751">
        <v>-2.3159180000000001E-2</v>
      </c>
      <c r="R4751">
        <v>-0.6579545</v>
      </c>
      <c r="S4751">
        <v>-1.313782</v>
      </c>
      <c r="T4751">
        <v>-6.7034839999999998E-2</v>
      </c>
      <c r="U4751">
        <v>-3.0838619999999999</v>
      </c>
      <c r="V4751">
        <v>5.5113159999999996E-3</v>
      </c>
      <c r="W4751">
        <v>-7.9807630000000001E-3</v>
      </c>
      <c r="X4751">
        <v>0.99995299999999998</v>
      </c>
      <c r="Y4751">
        <v>-0.42991400000000002</v>
      </c>
      <c r="Z4751">
        <v>9.8545839999999996E-3</v>
      </c>
      <c r="AA4751">
        <v>0.90281610000000001</v>
      </c>
      <c r="AB4751">
        <v>26</v>
      </c>
      <c r="AC4751">
        <v>-20.1709</v>
      </c>
      <c r="AD4751">
        <v>-1.03837442</v>
      </c>
      <c r="AE4751">
        <v>-47.595869999999998</v>
      </c>
      <c r="AF4751">
        <v>-22.301723878258201</v>
      </c>
      <c r="AG4751">
        <v>-1.03837442</v>
      </c>
      <c r="AH4751">
        <v>46.612337653335501</v>
      </c>
      <c r="AI4751">
        <v>91.151214575505705</v>
      </c>
      <c r="AJ4751">
        <v>115.568834604994</v>
      </c>
      <c r="AK4751">
        <v>51.683219045322097</v>
      </c>
      <c r="AL4751">
        <v>90.457268875522004</v>
      </c>
      <c r="AM4751">
        <v>89.684213209081804</v>
      </c>
      <c r="AN4751">
        <v>1.00000003469555</v>
      </c>
    </row>
    <row r="4752" spans="1:40" x14ac:dyDescent="0.25">
      <c r="A4752" t="str">
        <f>"20190312161410521"</f>
        <v>20190312161410521</v>
      </c>
      <c r="B4752" t="str">
        <f>"1552378450510615"</f>
        <v>1552378450510615</v>
      </c>
      <c r="C4752" t="s">
        <v>40</v>
      </c>
      <c r="D4752">
        <v>5.3462420000000002</v>
      </c>
      <c r="E4752">
        <v>0.31185180000000001</v>
      </c>
      <c r="F4752" t="s">
        <v>42</v>
      </c>
      <c r="G4752">
        <v>-434.23570000000001</v>
      </c>
      <c r="H4752">
        <v>7.9986630000000003E-2</v>
      </c>
      <c r="I4752">
        <v>80.877840000000006</v>
      </c>
      <c r="J4752">
        <v>-413.63409999999999</v>
      </c>
      <c r="K4752">
        <v>1.1184229999999999</v>
      </c>
      <c r="L4752">
        <v>131.69299999999899</v>
      </c>
      <c r="M4752">
        <v>-0.73758939999999995</v>
      </c>
      <c r="N4752">
        <v>0</v>
      </c>
      <c r="O4752">
        <v>-0.67508109999999999</v>
      </c>
      <c r="P4752">
        <v>-0.7391065</v>
      </c>
      <c r="Q4752">
        <v>-2.227583E-2</v>
      </c>
      <c r="R4752">
        <v>-0.6732205</v>
      </c>
      <c r="S4752">
        <v>-1.268799</v>
      </c>
      <c r="T4752">
        <v>-6.3143850000000001E-2</v>
      </c>
      <c r="U4752">
        <v>-3.105896</v>
      </c>
      <c r="V4752">
        <v>2.5403999999999999E-3</v>
      </c>
      <c r="W4752">
        <v>-7.1371610000000004E-3</v>
      </c>
      <c r="X4752">
        <v>0.99997130000000001</v>
      </c>
      <c r="Y4752">
        <v>-0.42757889999999998</v>
      </c>
      <c r="Z4752">
        <v>9.5877170000000008E-3</v>
      </c>
      <c r="AA4752">
        <v>0.90392720000000004</v>
      </c>
      <c r="AB4752">
        <v>26</v>
      </c>
      <c r="AC4752">
        <v>-20.601600000000001</v>
      </c>
      <c r="AD4752">
        <v>-1.0384363700000001</v>
      </c>
      <c r="AE4752">
        <v>-50.815159999999899</v>
      </c>
      <c r="AF4752">
        <v>-23.567200500797998</v>
      </c>
      <c r="AG4752">
        <v>-1.0384363700000001</v>
      </c>
      <c r="AH4752">
        <v>49.487755338880703</v>
      </c>
      <c r="AI4752">
        <v>91.085345522760306</v>
      </c>
      <c r="AJ4752">
        <v>115.464857642383</v>
      </c>
      <c r="AK4752">
        <v>54.822707138741897</v>
      </c>
      <c r="AL4752">
        <v>90.408932676154606</v>
      </c>
      <c r="AM4752">
        <v>89.854441937342997</v>
      </c>
      <c r="AN4752">
        <v>0.99999999676149398</v>
      </c>
    </row>
    <row r="4753" spans="1:40" x14ac:dyDescent="0.25">
      <c r="A4753" t="str">
        <f>"20190312161410543"</f>
        <v>20190312161410543</v>
      </c>
      <c r="B4753" t="str">
        <f>"1552378450540871"</f>
        <v>1552378450540871</v>
      </c>
      <c r="C4753" t="s">
        <v>40</v>
      </c>
      <c r="D4753">
        <v>5.2386809999999997</v>
      </c>
      <c r="E4753">
        <v>0.31275429999999999</v>
      </c>
      <c r="F4753" t="s">
        <v>42</v>
      </c>
      <c r="G4753">
        <v>-434.26319999999998</v>
      </c>
      <c r="H4753">
        <v>7.998595E-2</v>
      </c>
      <c r="I4753">
        <v>78.190519999999907</v>
      </c>
      <c r="J4753">
        <v>-413.80900000000003</v>
      </c>
      <c r="K4753">
        <v>1.1184419999999999</v>
      </c>
      <c r="L4753">
        <v>131.51519999999999</v>
      </c>
      <c r="M4753">
        <v>-0.72952519999999998</v>
      </c>
      <c r="N4753">
        <v>0</v>
      </c>
      <c r="O4753">
        <v>-0.68378739999999905</v>
      </c>
      <c r="P4753">
        <v>-0.72931469999999998</v>
      </c>
      <c r="Q4753">
        <v>-2.180122E-2</v>
      </c>
      <c r="R4753">
        <v>-0.68383130000000003</v>
      </c>
      <c r="S4753">
        <v>-1.2066349999999999</v>
      </c>
      <c r="T4753">
        <v>-6.0739990000000001E-2</v>
      </c>
      <c r="U4753">
        <v>-3.1294559999999998</v>
      </c>
      <c r="V4753" s="1">
        <v>-4.1411010000000001E-5</v>
      </c>
      <c r="W4753">
        <v>-6.703835E-3</v>
      </c>
      <c r="X4753">
        <v>0.99997749999999996</v>
      </c>
      <c r="Y4753">
        <v>-0.4347471</v>
      </c>
      <c r="Z4753">
        <v>9.3609450000000007E-3</v>
      </c>
      <c r="AA4753">
        <v>0.90050390000000002</v>
      </c>
      <c r="AB4753">
        <v>26</v>
      </c>
      <c r="AC4753">
        <v>-20.454199999999901</v>
      </c>
      <c r="AD4753">
        <v>-1.03845605</v>
      </c>
      <c r="AE4753">
        <v>-53.324680000000001</v>
      </c>
      <c r="AF4753">
        <v>-24.909976327978399</v>
      </c>
      <c r="AG4753">
        <v>-1.03845605</v>
      </c>
      <c r="AH4753">
        <v>51.3734674830445</v>
      </c>
      <c r="AI4753">
        <v>91.042008790068493</v>
      </c>
      <c r="AJ4753">
        <v>115.867827278248</v>
      </c>
      <c r="AK4753">
        <v>57.103576708115703</v>
      </c>
      <c r="AL4753">
        <v>90.3841043399471</v>
      </c>
      <c r="AM4753">
        <v>90.002372729483398</v>
      </c>
      <c r="AN4753">
        <v>0.99999997181241396</v>
      </c>
    </row>
    <row r="4754" spans="1:40" x14ac:dyDescent="0.25">
      <c r="A4754" t="str">
        <f>"20190312161410699"</f>
        <v>20190312161410699</v>
      </c>
      <c r="B4754" t="str">
        <f>"1552378450691175"</f>
        <v>1552378450691175</v>
      </c>
      <c r="C4754" t="s">
        <v>40</v>
      </c>
      <c r="D4754">
        <v>4.9219629999999999</v>
      </c>
      <c r="E4754">
        <v>0.31381029999999999</v>
      </c>
      <c r="F4754" t="s">
        <v>54</v>
      </c>
      <c r="G4754">
        <v>-434.12139999999999</v>
      </c>
      <c r="H4754">
        <v>0.1132703</v>
      </c>
      <c r="I4754">
        <v>76.810599999999994</v>
      </c>
      <c r="J4754">
        <v>-414.97089999999997</v>
      </c>
      <c r="K4754">
        <v>1.1183339999999999</v>
      </c>
      <c r="L4754">
        <v>130.214</v>
      </c>
      <c r="M4754">
        <v>-0.66984160000000004</v>
      </c>
      <c r="N4754">
        <v>0</v>
      </c>
      <c r="O4754">
        <v>-0.74235010000000001</v>
      </c>
      <c r="P4754">
        <v>-0.66795439999999995</v>
      </c>
      <c r="Q4754">
        <v>-2.2151460000000001E-2</v>
      </c>
      <c r="R4754">
        <v>-0.74387250000000005</v>
      </c>
      <c r="S4754">
        <v>-1.166382</v>
      </c>
      <c r="T4754">
        <v>-5.7718989999999998E-2</v>
      </c>
      <c r="U4754">
        <v>-3.141251</v>
      </c>
      <c r="V4754">
        <v>-2.2814319999999999E-3</v>
      </c>
      <c r="W4754">
        <v>-7.0824640000000001E-3</v>
      </c>
      <c r="X4754">
        <v>0.99997230000000004</v>
      </c>
      <c r="Y4754">
        <v>-0.36960969999999999</v>
      </c>
      <c r="Z4754">
        <v>1.057663E-2</v>
      </c>
      <c r="AA4754">
        <v>0.92912689999999998</v>
      </c>
      <c r="AB4754">
        <v>25</v>
      </c>
      <c r="AC4754">
        <v>-19.150500000000001</v>
      </c>
      <c r="AD4754">
        <v>-1.00506369999999</v>
      </c>
      <c r="AE4754">
        <v>-53.403399999999998</v>
      </c>
      <c r="AF4754">
        <v>-21.551143429509299</v>
      </c>
      <c r="AG4754">
        <v>-1.00506369999999</v>
      </c>
      <c r="AH4754">
        <v>52.461353807320997</v>
      </c>
      <c r="AI4754">
        <v>91.015241048879602</v>
      </c>
      <c r="AJ4754">
        <v>112.33287648445901</v>
      </c>
      <c r="AK4754">
        <v>56.724382583305903</v>
      </c>
      <c r="AL4754">
        <v>90.405798695062899</v>
      </c>
      <c r="AM4754">
        <v>90.130719818983096</v>
      </c>
      <c r="AN4754">
        <v>0.99999998349778596</v>
      </c>
    </row>
    <row r="4755" spans="1:40" x14ac:dyDescent="0.25">
      <c r="A4755" t="str">
        <f>"20190312161410722"</f>
        <v>20190312161410722</v>
      </c>
      <c r="B4755" t="str">
        <f>"1552378450710695"</f>
        <v>1552378450710695</v>
      </c>
      <c r="C4755" t="s">
        <v>40</v>
      </c>
      <c r="D4755">
        <v>4.8503299999999996</v>
      </c>
      <c r="E4755">
        <v>0.31460070000000001</v>
      </c>
      <c r="F4755" t="s">
        <v>42</v>
      </c>
      <c r="G4755">
        <v>-431.84589999999997</v>
      </c>
      <c r="H4755">
        <v>7.9986879999999996E-2</v>
      </c>
      <c r="I4755">
        <v>69.70017</v>
      </c>
      <c r="J4755">
        <v>-415.12400000000002</v>
      </c>
      <c r="K4755">
        <v>1.1183080000000001</v>
      </c>
      <c r="L4755">
        <v>130.02510000000001</v>
      </c>
      <c r="M4755">
        <v>-0.66114309999999998</v>
      </c>
      <c r="N4755">
        <v>0</v>
      </c>
      <c r="O4755">
        <v>-0.75010769999999904</v>
      </c>
      <c r="P4755">
        <v>-0.6593523</v>
      </c>
      <c r="Q4755">
        <v>-2.1566419999999999E-2</v>
      </c>
      <c r="R4755">
        <v>-0.75152459999999999</v>
      </c>
      <c r="S4755">
        <v>-0.89904789999999901</v>
      </c>
      <c r="T4755">
        <v>-5.5320139999999997E-2</v>
      </c>
      <c r="U4755">
        <v>-3.2239990000000001</v>
      </c>
      <c r="V4755">
        <v>-2.1526980000000002E-3</v>
      </c>
      <c r="W4755">
        <v>-6.4969809999999998E-3</v>
      </c>
      <c r="X4755">
        <v>0.99997659999999999</v>
      </c>
      <c r="Y4755">
        <v>-0.43541829999999998</v>
      </c>
      <c r="Z4755">
        <v>9.8940609999999991E-3</v>
      </c>
      <c r="AA4755">
        <v>0.90017389999999997</v>
      </c>
      <c r="AB4755">
        <v>25</v>
      </c>
      <c r="AC4755">
        <v>-16.721899999999899</v>
      </c>
      <c r="AD4755">
        <v>-1.03832112</v>
      </c>
      <c r="AE4755">
        <v>-60.324930000000002</v>
      </c>
      <c r="AF4755">
        <v>-27.335785300566702</v>
      </c>
      <c r="AG4755">
        <v>-1.03832112</v>
      </c>
      <c r="AH4755">
        <v>56.2967017605555</v>
      </c>
      <c r="AI4755">
        <v>90.950521344538004</v>
      </c>
      <c r="AJ4755">
        <v>115.899650546776</v>
      </c>
      <c r="AK4755">
        <v>62.591068834649697</v>
      </c>
      <c r="AL4755">
        <v>90.372252201295893</v>
      </c>
      <c r="AM4755">
        <v>90.123343205664398</v>
      </c>
      <c r="AN4755">
        <v>1.0000000227091701</v>
      </c>
    </row>
    <row r="4756" spans="1:40" x14ac:dyDescent="0.25">
      <c r="A4756" t="str">
        <f>"20190312161410744"</f>
        <v>20190312161410744</v>
      </c>
      <c r="B4756" t="str">
        <f>"1552378450740951"</f>
        <v>1552378450740951</v>
      </c>
      <c r="C4756" t="s">
        <v>40</v>
      </c>
      <c r="D4756">
        <v>4.8406710000000004</v>
      </c>
      <c r="E4756">
        <v>0.31435109999999999</v>
      </c>
      <c r="F4756" t="s">
        <v>42</v>
      </c>
      <c r="G4756">
        <v>-432.15269999999998</v>
      </c>
      <c r="H4756">
        <v>7.9986349999999998E-2</v>
      </c>
      <c r="I4756">
        <v>66.552059999999997</v>
      </c>
      <c r="J4756">
        <v>-415.27839999999998</v>
      </c>
      <c r="K4756">
        <v>1.1182810000000001</v>
      </c>
      <c r="L4756">
        <v>129.83000000000001</v>
      </c>
      <c r="M4756">
        <v>-0.65215429999999996</v>
      </c>
      <c r="N4756">
        <v>0</v>
      </c>
      <c r="O4756">
        <v>-0.75793580000000005</v>
      </c>
      <c r="P4756">
        <v>-0.65026719999999905</v>
      </c>
      <c r="Q4756">
        <v>-2.1934680000000002E-2</v>
      </c>
      <c r="R4756">
        <v>-0.75938930000000004</v>
      </c>
      <c r="S4756">
        <v>-0.86657709999999999</v>
      </c>
      <c r="T4756">
        <v>-5.2839280000000002E-2</v>
      </c>
      <c r="U4756">
        <v>-3.2300870000000002</v>
      </c>
      <c r="V4756">
        <v>-2.2432889999999999E-3</v>
      </c>
      <c r="W4756">
        <v>-6.8701780000000002E-3</v>
      </c>
      <c r="X4756">
        <v>0.99997389999999997</v>
      </c>
      <c r="Y4756">
        <v>-0.43354409999999999</v>
      </c>
      <c r="Z4756">
        <v>9.6255620000000007E-3</v>
      </c>
      <c r="AA4756">
        <v>0.90108089999999996</v>
      </c>
      <c r="AB4756">
        <v>25</v>
      </c>
      <c r="AC4756">
        <v>-16.874300000000002</v>
      </c>
      <c r="AD4756">
        <v>-1.0382946500000001</v>
      </c>
      <c r="AE4756">
        <v>-63.277940000000001</v>
      </c>
      <c r="AF4756">
        <v>-28.4734357107879</v>
      </c>
      <c r="AG4756">
        <v>-1.0382946500000001</v>
      </c>
      <c r="AH4756">
        <v>58.957169632492899</v>
      </c>
      <c r="AI4756">
        <v>90.9085442641898</v>
      </c>
      <c r="AJ4756">
        <v>115.77827534618</v>
      </c>
      <c r="AK4756">
        <v>65.481008300354802</v>
      </c>
      <c r="AL4756">
        <v>90.393635294128202</v>
      </c>
      <c r="AM4756">
        <v>90.128534131054195</v>
      </c>
      <c r="AN4756">
        <v>1.0000000161862399</v>
      </c>
    </row>
    <row r="4757" spans="1:40" x14ac:dyDescent="0.25">
      <c r="A4757" t="str">
        <f>"20190312161410768"</f>
        <v>20190312161410768</v>
      </c>
      <c r="B4757" t="str">
        <f>"1552378450761446"</f>
        <v>1552378450761446</v>
      </c>
      <c r="C4757" t="s">
        <v>40</v>
      </c>
      <c r="D4757">
        <v>4.8348550000000001</v>
      </c>
      <c r="E4757">
        <v>0.3157855</v>
      </c>
      <c r="F4757" t="s">
        <v>41</v>
      </c>
      <c r="G4757">
        <v>-438.75299999999999</v>
      </c>
      <c r="H4757">
        <v>-0.05</v>
      </c>
      <c r="I4757">
        <v>37.843690000000002</v>
      </c>
      <c r="J4757">
        <v>-415.43119999999999</v>
      </c>
      <c r="K4757">
        <v>1.1182559999999999</v>
      </c>
      <c r="L4757">
        <v>129.63220000000001</v>
      </c>
      <c r="M4757">
        <v>-0.64302609999999905</v>
      </c>
      <c r="N4757">
        <v>0</v>
      </c>
      <c r="O4757">
        <v>-0.76569529999999997</v>
      </c>
      <c r="P4757">
        <v>-0.64160479999999998</v>
      </c>
      <c r="Q4757">
        <v>-2.280712E-2</v>
      </c>
      <c r="R4757">
        <v>-0.76669619999999905</v>
      </c>
      <c r="S4757">
        <v>-0.82711789999999996</v>
      </c>
      <c r="T4757">
        <v>-4.116392E-2</v>
      </c>
      <c r="U4757">
        <v>-3.241104</v>
      </c>
      <c r="V4757">
        <v>-1.580969E-3</v>
      </c>
      <c r="W4757">
        <v>-7.7334730000000003E-3</v>
      </c>
      <c r="X4757">
        <v>0.99996879999999999</v>
      </c>
      <c r="Y4757">
        <v>-0.43377900000000003</v>
      </c>
      <c r="Z4757">
        <v>7.6175319999999998E-3</v>
      </c>
      <c r="AA4757">
        <v>0.90098710000000004</v>
      </c>
      <c r="AB4757">
        <v>25</v>
      </c>
      <c r="AC4757">
        <v>-23.3218</v>
      </c>
      <c r="AD4757">
        <v>-1.168256</v>
      </c>
      <c r="AE4757">
        <v>-91.788510000000002</v>
      </c>
      <c r="AF4757">
        <v>-41.163447647352498</v>
      </c>
      <c r="AG4757">
        <v>-1.168256</v>
      </c>
      <c r="AH4757">
        <v>85.275309907445802</v>
      </c>
      <c r="AI4757">
        <v>90.706857376032701</v>
      </c>
      <c r="AJ4757">
        <v>115.767178859336</v>
      </c>
      <c r="AK4757">
        <v>94.6977968281671</v>
      </c>
      <c r="AL4757">
        <v>90.443099801264196</v>
      </c>
      <c r="AM4757">
        <v>90.090585602037706</v>
      </c>
      <c r="AN4757">
        <v>0.99999995352052895</v>
      </c>
    </row>
    <row r="4758" spans="1:40" x14ac:dyDescent="0.25">
      <c r="A4758" t="str">
        <f>"20190312161410790"</f>
        <v>20190312161410790</v>
      </c>
      <c r="B4758" t="str">
        <f>"1552378450780967"</f>
        <v>1552378450780967</v>
      </c>
      <c r="C4758" t="s">
        <v>40</v>
      </c>
      <c r="D4758">
        <v>4.821364</v>
      </c>
      <c r="E4758">
        <v>0.31715900000000002</v>
      </c>
      <c r="F4758" t="s">
        <v>41</v>
      </c>
      <c r="G4758">
        <v>-438.29489999999998</v>
      </c>
      <c r="H4758">
        <v>-0.05</v>
      </c>
      <c r="I4758">
        <v>36.777479999999997</v>
      </c>
      <c r="J4758">
        <v>-415.57929999999999</v>
      </c>
      <c r="K4758">
        <v>1.1182289999999999</v>
      </c>
      <c r="L4758">
        <v>129.43549999999999</v>
      </c>
      <c r="M4758">
        <v>-0.63395610000000002</v>
      </c>
      <c r="N4758">
        <v>0</v>
      </c>
      <c r="O4758">
        <v>-0.77322159999999995</v>
      </c>
      <c r="P4758">
        <v>-0.63261259999999997</v>
      </c>
      <c r="Q4758">
        <v>-2.251044E-2</v>
      </c>
      <c r="R4758">
        <v>-0.77414150000000004</v>
      </c>
      <c r="S4758">
        <v>-0.7986145</v>
      </c>
      <c r="T4758">
        <v>-4.0806530000000001E-2</v>
      </c>
      <c r="U4758">
        <v>-3.2433619999999999</v>
      </c>
      <c r="V4758">
        <v>-1.477026E-3</v>
      </c>
      <c r="W4758">
        <v>-7.4387910000000002E-3</v>
      </c>
      <c r="X4758">
        <v>0.99997130000000001</v>
      </c>
      <c r="Y4758">
        <v>-0.43075639999999998</v>
      </c>
      <c r="Z4758">
        <v>7.6930030000000003E-3</v>
      </c>
      <c r="AA4758">
        <v>0.9024354</v>
      </c>
      <c r="AB4758">
        <v>25</v>
      </c>
      <c r="AC4758">
        <v>-22.715599999999899</v>
      </c>
      <c r="AD4758">
        <v>-1.168229</v>
      </c>
      <c r="AE4758">
        <v>-92.658019999999993</v>
      </c>
      <c r="AF4758">
        <v>-41.175445607997801</v>
      </c>
      <c r="AG4758">
        <v>-1.168229</v>
      </c>
      <c r="AH4758">
        <v>86.0427854528143</v>
      </c>
      <c r="AI4758">
        <v>90.701677196077995</v>
      </c>
      <c r="AJ4758">
        <v>115.573267333332</v>
      </c>
      <c r="AK4758">
        <v>95.394669706921505</v>
      </c>
      <c r="AL4758">
        <v>90.426215234699299</v>
      </c>
      <c r="AM4758">
        <v>90.084629723359498</v>
      </c>
      <c r="AN4758">
        <v>1.00000005902051</v>
      </c>
    </row>
    <row r="4759" spans="1:40" x14ac:dyDescent="0.25">
      <c r="A4759" t="str">
        <f>"20190312161410812"</f>
        <v>20190312161410812</v>
      </c>
      <c r="B4759" t="str">
        <f>"1552378450801463"</f>
        <v>1552378450801463</v>
      </c>
      <c r="C4759" t="s">
        <v>40</v>
      </c>
      <c r="D4759">
        <v>4.5895769999999896</v>
      </c>
      <c r="E4759">
        <v>0.31680409999999998</v>
      </c>
      <c r="F4759" t="s">
        <v>41</v>
      </c>
      <c r="G4759">
        <v>-439.26589999999999</v>
      </c>
      <c r="H4759">
        <v>-0.05</v>
      </c>
      <c r="I4759">
        <v>29.52347</v>
      </c>
      <c r="J4759">
        <v>-415.72269999999997</v>
      </c>
      <c r="K4759">
        <v>1.1182030000000001</v>
      </c>
      <c r="L4759">
        <v>129.24010000000001</v>
      </c>
      <c r="M4759">
        <v>-0.62495109999999998</v>
      </c>
      <c r="N4759">
        <v>0</v>
      </c>
      <c r="O4759">
        <v>-0.78051789999999999</v>
      </c>
      <c r="P4759">
        <v>-0.62366909999999998</v>
      </c>
      <c r="Q4759">
        <v>-2.229913E-2</v>
      </c>
      <c r="R4759">
        <v>-0.78137040000000002</v>
      </c>
      <c r="S4759">
        <v>-0.76940920000000002</v>
      </c>
      <c r="T4759">
        <v>-3.7947540000000002E-2</v>
      </c>
      <c r="U4759">
        <v>-3.245438</v>
      </c>
      <c r="V4759">
        <v>-1.39263E-3</v>
      </c>
      <c r="W4759">
        <v>-7.2309499999999999E-3</v>
      </c>
      <c r="X4759">
        <v>0.99997290000000005</v>
      </c>
      <c r="Y4759">
        <v>-0.42810019999999999</v>
      </c>
      <c r="Z4759">
        <v>7.2816599999999997E-3</v>
      </c>
      <c r="AA4759">
        <v>0.90370200000000001</v>
      </c>
      <c r="AB4759">
        <v>25</v>
      </c>
      <c r="AC4759">
        <v>-23.543199999999999</v>
      </c>
      <c r="AD4759">
        <v>-1.1682030000000001</v>
      </c>
      <c r="AE4759">
        <v>-99.716629999999995</v>
      </c>
      <c r="AF4759">
        <v>-43.941424933028102</v>
      </c>
      <c r="AG4759">
        <v>-1.1682030000000001</v>
      </c>
      <c r="AH4759">
        <v>92.5424814628024</v>
      </c>
      <c r="AI4759">
        <v>90.653328703071594</v>
      </c>
      <c r="AJ4759">
        <v>115.39950689568801</v>
      </c>
      <c r="AK4759">
        <v>102.451570991797</v>
      </c>
      <c r="AL4759">
        <v>90.414306521822994</v>
      </c>
      <c r="AM4759">
        <v>90.079793932252898</v>
      </c>
      <c r="AN4759">
        <v>1.00000001339531</v>
      </c>
    </row>
    <row r="4760" spans="1:40" x14ac:dyDescent="0.25">
      <c r="A4760" t="str">
        <f>"20190312161410833"</f>
        <v>20190312161410833</v>
      </c>
      <c r="B4760" t="str">
        <f>"1552378450831720"</f>
        <v>1552378450831720</v>
      </c>
      <c r="C4760" t="s">
        <v>40</v>
      </c>
      <c r="D4760">
        <v>4.7039689999999998</v>
      </c>
      <c r="E4760">
        <v>0.31779380000000002</v>
      </c>
      <c r="F4760" t="s">
        <v>76</v>
      </c>
      <c r="G4760">
        <v>-442.32510000000002</v>
      </c>
      <c r="H4760">
        <v>-3.280744E-2</v>
      </c>
      <c r="I4760">
        <v>10.600519999999999</v>
      </c>
      <c r="J4760">
        <v>-415.86419999999998</v>
      </c>
      <c r="K4760">
        <v>1.1181669999999999</v>
      </c>
      <c r="L4760">
        <v>129.0427</v>
      </c>
      <c r="M4760">
        <v>-0.61585089999999998</v>
      </c>
      <c r="N4760">
        <v>0</v>
      </c>
      <c r="O4760">
        <v>-0.78771819999999904</v>
      </c>
      <c r="P4760">
        <v>-0.61432619999999905</v>
      </c>
      <c r="Q4760">
        <v>-2.15832E-2</v>
      </c>
      <c r="R4760">
        <v>-0.78875699999999904</v>
      </c>
      <c r="S4760">
        <v>-0.73004150000000001</v>
      </c>
      <c r="T4760">
        <v>-3.1586530000000002E-2</v>
      </c>
      <c r="U4760">
        <v>-3.2557680000000002</v>
      </c>
      <c r="V4760">
        <v>-1.714971E-3</v>
      </c>
      <c r="W4760">
        <v>-6.5271249999999999E-3</v>
      </c>
      <c r="X4760">
        <v>0.99997720000000001</v>
      </c>
      <c r="Y4760">
        <v>-0.42863089999999998</v>
      </c>
      <c r="Z4760">
        <v>6.1446900000000004E-3</v>
      </c>
      <c r="AA4760">
        <v>0.90345880000000001</v>
      </c>
      <c r="AB4760">
        <v>25</v>
      </c>
      <c r="AC4760">
        <v>-26.460899999999999</v>
      </c>
      <c r="AD4760">
        <v>-1.1509744399999999</v>
      </c>
      <c r="AE4760">
        <v>-118.44217999999999</v>
      </c>
      <c r="AF4760">
        <v>-52.100237243751998</v>
      </c>
      <c r="AG4760">
        <v>-1.1509744399999999</v>
      </c>
      <c r="AH4760">
        <v>109.59765227501001</v>
      </c>
      <c r="AI4760">
        <v>90.543415109883796</v>
      </c>
      <c r="AJ4760">
        <v>115.425354150459</v>
      </c>
      <c r="AK4760">
        <v>121.356519590876</v>
      </c>
      <c r="AL4760">
        <v>90.373979380632804</v>
      </c>
      <c r="AM4760">
        <v>90.098262744341397</v>
      </c>
      <c r="AN4760">
        <v>0.99999997250306705</v>
      </c>
    </row>
    <row r="4761" spans="1:40" x14ac:dyDescent="0.25">
      <c r="A4761" t="str">
        <f>"20190312161410857"</f>
        <v>20190312161410857</v>
      </c>
      <c r="B4761" t="str">
        <f>"1552378450851239"</f>
        <v>1552378450851239</v>
      </c>
      <c r="C4761" t="s">
        <v>40</v>
      </c>
      <c r="D4761">
        <v>4.7086319999999997</v>
      </c>
      <c r="E4761">
        <v>0.31828279999999998</v>
      </c>
      <c r="F4761" t="s">
        <v>76</v>
      </c>
      <c r="G4761">
        <v>-441.5915</v>
      </c>
      <c r="H4761">
        <v>0.24903410000000001</v>
      </c>
      <c r="I4761">
        <v>8.8459950000000003</v>
      </c>
      <c r="J4761">
        <v>-416.00799999999998</v>
      </c>
      <c r="K4761">
        <v>1.1181239999999999</v>
      </c>
      <c r="L4761">
        <v>128.83690000000001</v>
      </c>
      <c r="M4761">
        <v>-0.60637890000000005</v>
      </c>
      <c r="N4761">
        <v>0</v>
      </c>
      <c r="O4761">
        <v>-0.79503290000000004</v>
      </c>
      <c r="P4761">
        <v>-0.60521009999999997</v>
      </c>
      <c r="Q4761">
        <v>-2.1570849999999999E-2</v>
      </c>
      <c r="R4761">
        <v>-0.79577359999999997</v>
      </c>
      <c r="S4761">
        <v>-0.69766240000000002</v>
      </c>
      <c r="T4761">
        <v>-2.356863E-2</v>
      </c>
      <c r="U4761">
        <v>-3.25943</v>
      </c>
      <c r="V4761">
        <v>-1.2534029999999999E-3</v>
      </c>
      <c r="W4761">
        <v>-6.5132360000000004E-3</v>
      </c>
      <c r="X4761">
        <v>0.99997800000000003</v>
      </c>
      <c r="Y4761">
        <v>-0.42659550000000002</v>
      </c>
      <c r="Z4761">
        <v>4.6614949999999999E-3</v>
      </c>
      <c r="AA4761">
        <v>0.90443050000000003</v>
      </c>
      <c r="AB4761">
        <v>25</v>
      </c>
      <c r="AC4761">
        <v>-25.583499999999901</v>
      </c>
      <c r="AD4761">
        <v>-0.86908989999999897</v>
      </c>
      <c r="AE4761">
        <v>-119.990905</v>
      </c>
      <c r="AF4761">
        <v>-52.423557238327902</v>
      </c>
      <c r="AG4761">
        <v>-0.86908989999999897</v>
      </c>
      <c r="AH4761">
        <v>110.917054056789</v>
      </c>
      <c r="AI4761">
        <v>90.405882154786099</v>
      </c>
      <c r="AJ4761">
        <v>115.29717357501799</v>
      </c>
      <c r="AK4761">
        <v>122.684870914922</v>
      </c>
      <c r="AL4761">
        <v>90.373183573518602</v>
      </c>
      <c r="AM4761">
        <v>90.071816244277301</v>
      </c>
      <c r="AN4761">
        <v>0.99999999687313601</v>
      </c>
    </row>
    <row r="4762" spans="1:40" x14ac:dyDescent="0.25">
      <c r="A4762" t="str">
        <f>"20190312161410879"</f>
        <v>20190312161410879</v>
      </c>
      <c r="B4762" t="str">
        <f>"1552378450871749"</f>
        <v>1552378450871749</v>
      </c>
      <c r="C4762" t="s">
        <v>40</v>
      </c>
      <c r="D4762">
        <v>4.749244</v>
      </c>
      <c r="E4762">
        <v>0.31891209999999998</v>
      </c>
      <c r="F4762" t="s">
        <v>93</v>
      </c>
      <c r="G4762">
        <v>-445.10789999999997</v>
      </c>
      <c r="H4762">
        <v>0.25409670000000001</v>
      </c>
      <c r="I4762">
        <v>-14.443630000000001</v>
      </c>
      <c r="J4762">
        <v>-416.14530000000002</v>
      </c>
      <c r="K4762">
        <v>1.1180760000000001</v>
      </c>
      <c r="L4762">
        <v>128.63560000000001</v>
      </c>
      <c r="M4762">
        <v>-0.597132</v>
      </c>
      <c r="N4762">
        <v>0</v>
      </c>
      <c r="O4762">
        <v>-0.80200150000000003</v>
      </c>
      <c r="P4762">
        <v>-0.59679340000000003</v>
      </c>
      <c r="Q4762">
        <v>-2.2316229999999999E-2</v>
      </c>
      <c r="R4762">
        <v>-0.80208469999999998</v>
      </c>
      <c r="S4762">
        <v>-0.6631165</v>
      </c>
      <c r="T4762">
        <v>-1.9689680000000001E-2</v>
      </c>
      <c r="U4762">
        <v>-3.265015</v>
      </c>
      <c r="V4762">
        <v>-1.8292579999999999E-4</v>
      </c>
      <c r="W4762">
        <v>-7.2470019999999998E-3</v>
      </c>
      <c r="X4762">
        <v>0.99997369999999997</v>
      </c>
      <c r="Y4762">
        <v>-0.42560890000000001</v>
      </c>
      <c r="Z4762">
        <v>3.9516289999999999E-3</v>
      </c>
      <c r="AA4762">
        <v>0.9048986</v>
      </c>
      <c r="AB4762">
        <v>25</v>
      </c>
      <c r="AC4762">
        <v>-28.962599999999899</v>
      </c>
      <c r="AD4762">
        <v>-0.86397930000000001</v>
      </c>
      <c r="AE4762">
        <v>-143.07923</v>
      </c>
      <c r="AF4762">
        <v>-62.214019864826099</v>
      </c>
      <c r="AG4762">
        <v>-0.86397930000000001</v>
      </c>
      <c r="AH4762">
        <v>132.054614256326</v>
      </c>
      <c r="AI4762">
        <v>90.339108994286093</v>
      </c>
      <c r="AJ4762">
        <v>115.226222267656</v>
      </c>
      <c r="AK4762">
        <v>145.97860074120101</v>
      </c>
      <c r="AL4762">
        <v>90.415226273042407</v>
      </c>
      <c r="AM4762">
        <v>90.010481151841404</v>
      </c>
      <c r="AN4762">
        <v>0.99999997659576201</v>
      </c>
    </row>
    <row r="4763" spans="1:40" x14ac:dyDescent="0.25">
      <c r="A4763" t="str">
        <f>"20190312161410901"</f>
        <v>20190312161410901</v>
      </c>
      <c r="B4763" t="str">
        <f>"1552378450891255"</f>
        <v>1552378450891255</v>
      </c>
      <c r="C4763" t="s">
        <v>40</v>
      </c>
      <c r="D4763">
        <v>4.7478949999999998</v>
      </c>
      <c r="E4763">
        <v>0.31970140000000002</v>
      </c>
      <c r="F4763" t="s">
        <v>93</v>
      </c>
      <c r="G4763">
        <v>-443.60680000000002</v>
      </c>
      <c r="H4763">
        <v>0.4207361</v>
      </c>
      <c r="I4763">
        <v>-13.21489</v>
      </c>
      <c r="J4763">
        <v>-416.27640000000002</v>
      </c>
      <c r="K4763">
        <v>1.1180239999999999</v>
      </c>
      <c r="L4763">
        <v>128.43870000000001</v>
      </c>
      <c r="M4763">
        <v>-0.58811269999999904</v>
      </c>
      <c r="N4763">
        <v>0</v>
      </c>
      <c r="O4763">
        <v>-0.80863869999999904</v>
      </c>
      <c r="P4763">
        <v>-0.58833290000000005</v>
      </c>
      <c r="Q4763">
        <v>-2.2012299999999999E-2</v>
      </c>
      <c r="R4763">
        <v>-0.80831909999999996</v>
      </c>
      <c r="S4763">
        <v>-0.63284300000000004</v>
      </c>
      <c r="T4763">
        <v>-1.6070600000000001E-2</v>
      </c>
      <c r="U4763">
        <v>-3.2689059999999999</v>
      </c>
      <c r="V4763">
        <v>4.9816580000000001E-4</v>
      </c>
      <c r="W4763">
        <v>-6.9402369999999897E-3</v>
      </c>
      <c r="X4763">
        <v>0.99997579999999997</v>
      </c>
      <c r="Y4763">
        <v>-0.42374659999999897</v>
      </c>
      <c r="Z4763">
        <v>3.272152E-3</v>
      </c>
      <c r="AA4763">
        <v>0.90577490000000005</v>
      </c>
      <c r="AB4763">
        <v>25</v>
      </c>
      <c r="AC4763">
        <v>-27.330400000000001</v>
      </c>
      <c r="AD4763">
        <v>-0.69728789999999896</v>
      </c>
      <c r="AE4763">
        <v>-141.65358999999901</v>
      </c>
      <c r="AF4763">
        <v>-61.213371497457302</v>
      </c>
      <c r="AG4763">
        <v>-0.69728789999999896</v>
      </c>
      <c r="AH4763">
        <v>130.631700161965</v>
      </c>
      <c r="AI4763">
        <v>90.276934723834202</v>
      </c>
      <c r="AJ4763">
        <v>115.107557020732</v>
      </c>
      <c r="AK4763">
        <v>144.26435508366899</v>
      </c>
      <c r="AL4763">
        <v>90.397649478109997</v>
      </c>
      <c r="AM4763">
        <v>89.971456513771102</v>
      </c>
      <c r="AN4763">
        <v>1.00000000782221</v>
      </c>
    </row>
    <row r="4764" spans="1:40" x14ac:dyDescent="0.25">
      <c r="A4764" t="str">
        <f>"20190312161410923"</f>
        <v>20190312161410923</v>
      </c>
      <c r="B4764" t="str">
        <f>"1552378450910776"</f>
        <v>1552378450910776</v>
      </c>
      <c r="C4764" t="s">
        <v>40</v>
      </c>
      <c r="D4764">
        <v>4.7623439999999997</v>
      </c>
      <c r="E4764">
        <v>0.32055109999999998</v>
      </c>
      <c r="F4764" t="s">
        <v>93</v>
      </c>
      <c r="G4764">
        <v>-442.22179999999997</v>
      </c>
      <c r="H4764">
        <v>0.64878630000000004</v>
      </c>
      <c r="I4764">
        <v>-12.08126</v>
      </c>
      <c r="J4764">
        <v>-416.40879999999999</v>
      </c>
      <c r="K4764">
        <v>1.11796299999999</v>
      </c>
      <c r="L4764">
        <v>128.23500000000001</v>
      </c>
      <c r="M4764">
        <v>-0.57882389999999995</v>
      </c>
      <c r="N4764">
        <v>0</v>
      </c>
      <c r="O4764">
        <v>-0.81531359999999997</v>
      </c>
      <c r="P4764">
        <v>-0.57916899999999905</v>
      </c>
      <c r="Q4764">
        <v>-2.1870690000000002E-2</v>
      </c>
      <c r="R4764">
        <v>-0.81491400000000003</v>
      </c>
      <c r="S4764">
        <v>-0.60403439999999997</v>
      </c>
      <c r="T4764">
        <v>-1.0924939999999999E-2</v>
      </c>
      <c r="U4764">
        <v>-3.271439</v>
      </c>
      <c r="V4764">
        <v>6.4124389999999998E-4</v>
      </c>
      <c r="W4764">
        <v>-6.8084919999999898E-3</v>
      </c>
      <c r="X4764">
        <v>0.99997659999999999</v>
      </c>
      <c r="Y4764">
        <v>-0.4212147</v>
      </c>
      <c r="Z4764">
        <v>2.2578559999999999E-3</v>
      </c>
      <c r="AA4764">
        <v>0.90695820000000005</v>
      </c>
      <c r="AB4764">
        <v>25</v>
      </c>
      <c r="AC4764">
        <v>-25.812999999999899</v>
      </c>
      <c r="AD4764">
        <v>-0.469176699999999</v>
      </c>
      <c r="AE4764">
        <v>-140.31626</v>
      </c>
      <c r="AF4764">
        <v>-60.178883614461803</v>
      </c>
      <c r="AG4764">
        <v>-0.469176699999999</v>
      </c>
      <c r="AH4764">
        <v>129.35619625628499</v>
      </c>
      <c r="AI4764">
        <v>90.188420014407299</v>
      </c>
      <c r="AJ4764">
        <v>114.948715866402</v>
      </c>
      <c r="AK4764">
        <v>142.67005176193501</v>
      </c>
      <c r="AL4764">
        <v>90.390100876756406</v>
      </c>
      <c r="AM4764">
        <v>89.963258576178205</v>
      </c>
      <c r="AN4764">
        <v>0.99999998365230602</v>
      </c>
    </row>
    <row r="4765" spans="1:40" x14ac:dyDescent="0.25">
      <c r="A4765" t="str">
        <f>"20190312161410945"</f>
        <v>20190312161410945</v>
      </c>
      <c r="B4765" t="str">
        <f>"1552378450941035"</f>
        <v>1552378450941035</v>
      </c>
      <c r="C4765" t="s">
        <v>40</v>
      </c>
      <c r="D4765">
        <v>4.905913</v>
      </c>
      <c r="E4765">
        <v>0.32005129999999998</v>
      </c>
      <c r="F4765" t="s">
        <v>93</v>
      </c>
      <c r="G4765">
        <v>-440.58030000000002</v>
      </c>
      <c r="H4765">
        <v>0.765517</v>
      </c>
      <c r="I4765">
        <v>-9.9826130000000006</v>
      </c>
      <c r="J4765">
        <v>-416.54169999999999</v>
      </c>
      <c r="K4765">
        <v>1.1178900000000001</v>
      </c>
      <c r="L4765">
        <v>128.02529999999999</v>
      </c>
      <c r="M4765">
        <v>-0.56931529999999997</v>
      </c>
      <c r="N4765">
        <v>0</v>
      </c>
      <c r="O4765">
        <v>-0.82198199999999999</v>
      </c>
      <c r="P4765">
        <v>-0.57002909999999996</v>
      </c>
      <c r="Q4765">
        <v>-2.2246599999999998E-2</v>
      </c>
      <c r="R4765">
        <v>-0.82132380000000005</v>
      </c>
      <c r="S4765">
        <v>-0.57260129999999998</v>
      </c>
      <c r="T4765">
        <v>-8.3497759999999997E-3</v>
      </c>
      <c r="U4765">
        <v>-3.2742460000000002</v>
      </c>
      <c r="V4765">
        <v>1.0961969999999999E-3</v>
      </c>
      <c r="W4765">
        <v>-7.1907079999999996E-3</v>
      </c>
      <c r="X4765">
        <v>0.99997349999999996</v>
      </c>
      <c r="Y4765">
        <v>-0.41925230000000002</v>
      </c>
      <c r="Z4765">
        <v>1.750754E-3</v>
      </c>
      <c r="AA4765">
        <v>0.90786809999999996</v>
      </c>
      <c r="AB4765">
        <v>25</v>
      </c>
      <c r="AC4765">
        <v>-24.038599999999999</v>
      </c>
      <c r="AD4765">
        <v>-0.35237299999999999</v>
      </c>
      <c r="AE4765">
        <v>-138.00791299999901</v>
      </c>
      <c r="AF4765">
        <v>-58.816985085837999</v>
      </c>
      <c r="AG4765">
        <v>-0.35237299999999999</v>
      </c>
      <c r="AH4765">
        <v>127.13910600158501</v>
      </c>
      <c r="AI4765">
        <v>90.1441228681756</v>
      </c>
      <c r="AJ4765">
        <v>114.826164877835</v>
      </c>
      <c r="AK4765">
        <v>140.08538173628699</v>
      </c>
      <c r="AL4765">
        <v>90.412000789489795</v>
      </c>
      <c r="AM4765">
        <v>89.937190899102703</v>
      </c>
      <c r="AN4765">
        <v>0.999999954315826</v>
      </c>
    </row>
    <row r="4766" spans="1:40" x14ac:dyDescent="0.25">
      <c r="A4766" t="str">
        <f>"20190312161410969"</f>
        <v>20190312161410969</v>
      </c>
      <c r="B4766" t="str">
        <f>"1552378450961527"</f>
        <v>1552378450961527</v>
      </c>
      <c r="C4766" t="s">
        <v>40</v>
      </c>
      <c r="D4766">
        <v>4.9417299999999997</v>
      </c>
      <c r="E4766">
        <v>0.31953350000000003</v>
      </c>
      <c r="F4766" t="s">
        <v>93</v>
      </c>
      <c r="G4766">
        <v>-438.83670000000001</v>
      </c>
      <c r="H4766">
        <v>0.84809899999999905</v>
      </c>
      <c r="I4766">
        <v>-9.3105279999999997</v>
      </c>
      <c r="J4766">
        <v>-416.67129999999997</v>
      </c>
      <c r="K4766">
        <v>1.11781</v>
      </c>
      <c r="L4766">
        <v>127.816</v>
      </c>
      <c r="M4766">
        <v>-0.55987849999999995</v>
      </c>
      <c r="N4766">
        <v>0</v>
      </c>
      <c r="O4766">
        <v>-0.82843880000000003</v>
      </c>
      <c r="P4766">
        <v>-0.56132009999999999</v>
      </c>
      <c r="Q4766">
        <v>-2.3008190000000001E-2</v>
      </c>
      <c r="R4766">
        <v>-0.82727909999999905</v>
      </c>
      <c r="S4766">
        <v>-0.53289790000000004</v>
      </c>
      <c r="T4766">
        <v>-6.4492229999999996E-3</v>
      </c>
      <c r="U4766">
        <v>-3.2826230000000001</v>
      </c>
      <c r="V4766">
        <v>1.9911460000000001E-3</v>
      </c>
      <c r="W4766">
        <v>-7.9522389999999998E-3</v>
      </c>
      <c r="X4766">
        <v>0.99996640000000003</v>
      </c>
      <c r="Y4766">
        <v>-0.41994100000000001</v>
      </c>
      <c r="Z4766">
        <v>1.3676910000000001E-3</v>
      </c>
      <c r="AA4766">
        <v>0.90755030000000003</v>
      </c>
      <c r="AB4766">
        <v>25</v>
      </c>
      <c r="AC4766">
        <v>-22.165400000000002</v>
      </c>
      <c r="AD4766">
        <v>-0.26971099999999998</v>
      </c>
      <c r="AE4766">
        <v>-137.12652800000001</v>
      </c>
      <c r="AF4766">
        <v>-58.417876017260497</v>
      </c>
      <c r="AG4766">
        <v>-0.26971099999999998</v>
      </c>
      <c r="AH4766">
        <v>126.024584557547</v>
      </c>
      <c r="AI4766">
        <v>90.111250022724803</v>
      </c>
      <c r="AJ4766">
        <v>114.86977406542</v>
      </c>
      <c r="AK4766">
        <v>138.906144195618</v>
      </c>
      <c r="AL4766">
        <v>90.455634533821694</v>
      </c>
      <c r="AM4766">
        <v>89.885912055228999</v>
      </c>
      <c r="AN4766">
        <v>1.00000000194823</v>
      </c>
    </row>
    <row r="4767" spans="1:40" x14ac:dyDescent="0.25">
      <c r="A4767" t="str">
        <f>"20190312161410991"</f>
        <v>20190312161410991</v>
      </c>
      <c r="B4767" t="str">
        <f>"1552378450981048"</f>
        <v>1552378450981048</v>
      </c>
      <c r="C4767" t="s">
        <v>40</v>
      </c>
      <c r="D4767">
        <v>4.9043429999999999</v>
      </c>
      <c r="E4767">
        <v>0.31893840000000001</v>
      </c>
      <c r="F4767" t="s">
        <v>93</v>
      </c>
      <c r="G4767">
        <v>-437.07209999999998</v>
      </c>
      <c r="H4767">
        <v>0.88852099999999901</v>
      </c>
      <c r="I4767">
        <v>-7.8661949999999896</v>
      </c>
      <c r="J4767">
        <v>-416.79770000000002</v>
      </c>
      <c r="K4767">
        <v>1.1177280000000001</v>
      </c>
      <c r="L4767">
        <v>127.6061</v>
      </c>
      <c r="M4767">
        <v>-0.55049720000000002</v>
      </c>
      <c r="N4767">
        <v>0</v>
      </c>
      <c r="O4767">
        <v>-0.83470239999999996</v>
      </c>
      <c r="P4767">
        <v>-0.55251149999999905</v>
      </c>
      <c r="Q4767">
        <v>-2.3398680000000002E-2</v>
      </c>
      <c r="R4767">
        <v>-0.83317730000000001</v>
      </c>
      <c r="S4767">
        <v>-0.494751</v>
      </c>
      <c r="T4767">
        <v>-5.5612329999999996E-3</v>
      </c>
      <c r="U4767">
        <v>-3.2904969999999998</v>
      </c>
      <c r="V4767">
        <v>2.674329E-3</v>
      </c>
      <c r="W4767">
        <v>-8.3486489999999997E-3</v>
      </c>
      <c r="X4767">
        <v>0.99996160000000001</v>
      </c>
      <c r="Y4767">
        <v>-0.42031679999999999</v>
      </c>
      <c r="Z4767">
        <v>1.1924279999999999E-3</v>
      </c>
      <c r="AA4767">
        <v>0.90737670000000004</v>
      </c>
      <c r="AB4767">
        <v>25</v>
      </c>
      <c r="AC4767">
        <v>-20.274399999999901</v>
      </c>
      <c r="AD4767">
        <v>-0.22920699999999999</v>
      </c>
      <c r="AE4767">
        <v>-135.472295</v>
      </c>
      <c r="AF4767">
        <v>-57.660346862661299</v>
      </c>
      <c r="AG4767">
        <v>-0.22920699999999999</v>
      </c>
      <c r="AH4767">
        <v>124.25366528335501</v>
      </c>
      <c r="AI4767">
        <v>90.095871824349402</v>
      </c>
      <c r="AJ4767">
        <v>114.893821828295</v>
      </c>
      <c r="AK4767">
        <v>136.980806949438</v>
      </c>
      <c r="AL4767">
        <v>90.478347896464996</v>
      </c>
      <c r="AM4767">
        <v>89.846766716435695</v>
      </c>
      <c r="AN4767">
        <v>1.0000000267251401</v>
      </c>
    </row>
    <row r="4768" spans="1:40" x14ac:dyDescent="0.25">
      <c r="A4768" t="str">
        <f>"20190312161411014"</f>
        <v>20190312161411014</v>
      </c>
      <c r="B4768" t="str">
        <f>"1552378451001544"</f>
        <v>1552378451001544</v>
      </c>
      <c r="C4768" t="s">
        <v>40</v>
      </c>
      <c r="D4768">
        <v>5.0009259999999998</v>
      </c>
      <c r="E4768">
        <v>0.31882650000000001</v>
      </c>
      <c r="F4768" t="s">
        <v>93</v>
      </c>
      <c r="G4768">
        <v>-435.33229999999998</v>
      </c>
      <c r="H4768">
        <v>0.88764880000000002</v>
      </c>
      <c r="I4768">
        <v>-6.4422499999999996</v>
      </c>
      <c r="J4768">
        <v>-416.92009999999999</v>
      </c>
      <c r="K4768">
        <v>1.117648</v>
      </c>
      <c r="L4768">
        <v>127.398</v>
      </c>
      <c r="M4768">
        <v>-0.54125909999999999</v>
      </c>
      <c r="N4768">
        <v>0</v>
      </c>
      <c r="O4768">
        <v>-0.84072230000000003</v>
      </c>
      <c r="P4768">
        <v>-0.54330140000000005</v>
      </c>
      <c r="Q4768">
        <v>-2.3016519999999999E-2</v>
      </c>
      <c r="R4768">
        <v>-0.83922229999999998</v>
      </c>
      <c r="S4768">
        <v>-0.45602419999999999</v>
      </c>
      <c r="T4768">
        <v>-5.6614880000000001E-3</v>
      </c>
      <c r="U4768">
        <v>-3.298111</v>
      </c>
      <c r="V4768">
        <v>2.6739789999999999E-3</v>
      </c>
      <c r="W4768">
        <v>-7.9853270000000004E-3</v>
      </c>
      <c r="X4768">
        <v>0.99996450000000003</v>
      </c>
      <c r="Y4768">
        <v>-0.42105589999999998</v>
      </c>
      <c r="Z4768">
        <v>1.2264999999999999E-3</v>
      </c>
      <c r="AA4768">
        <v>0.90703389999999995</v>
      </c>
      <c r="AB4768">
        <v>25</v>
      </c>
      <c r="AC4768">
        <v>-18.412199999999899</v>
      </c>
      <c r="AD4768">
        <v>-0.22999919999999899</v>
      </c>
      <c r="AE4768">
        <v>-133.84025</v>
      </c>
      <c r="AF4768">
        <v>-56.968939032802702</v>
      </c>
      <c r="AG4768">
        <v>-0.22999919999999899</v>
      </c>
      <c r="AH4768">
        <v>122.501656378904</v>
      </c>
      <c r="AI4768">
        <v>90.097542061552204</v>
      </c>
      <c r="AJ4768">
        <v>114.94060763023499</v>
      </c>
      <c r="AK4768">
        <v>135.10058745146301</v>
      </c>
      <c r="AL4768">
        <v>90.457530416675496</v>
      </c>
      <c r="AM4768">
        <v>89.8467872149172</v>
      </c>
      <c r="AN4768">
        <v>0.99999995843561895</v>
      </c>
    </row>
    <row r="4769" spans="1:40" x14ac:dyDescent="0.25">
      <c r="A4769" t="str">
        <f>"20190312161411036"</f>
        <v>20190312161411036</v>
      </c>
      <c r="B4769" t="str">
        <f>"1552378451030824"</f>
        <v>1552378451030824</v>
      </c>
      <c r="C4769" t="s">
        <v>40</v>
      </c>
      <c r="D4769">
        <v>4.948105</v>
      </c>
      <c r="E4769">
        <v>0.31891249999999999</v>
      </c>
      <c r="F4769" t="s">
        <v>93</v>
      </c>
      <c r="G4769">
        <v>-433.73070000000001</v>
      </c>
      <c r="H4769">
        <v>0.880891599999999</v>
      </c>
      <c r="I4769">
        <v>-5.1313240000000002</v>
      </c>
      <c r="J4769">
        <v>-417.04239999999999</v>
      </c>
      <c r="K4769">
        <v>1.117559</v>
      </c>
      <c r="L4769">
        <v>127.18470000000001</v>
      </c>
      <c r="M4769">
        <v>-0.5318621</v>
      </c>
      <c r="N4769">
        <v>0</v>
      </c>
      <c r="O4769">
        <v>-0.84669879999999997</v>
      </c>
      <c r="P4769">
        <v>-0.53419459999999996</v>
      </c>
      <c r="Q4769">
        <v>-2.3235260000000001E-2</v>
      </c>
      <c r="R4769">
        <v>-0.84504190000000001</v>
      </c>
      <c r="S4769">
        <v>-0.4190063</v>
      </c>
      <c r="T4769">
        <v>-5.901814E-3</v>
      </c>
      <c r="U4769">
        <v>-3.303299</v>
      </c>
      <c r="V4769">
        <v>3.0038399999999998E-3</v>
      </c>
      <c r="W4769">
        <v>-8.2177819999999999E-3</v>
      </c>
      <c r="X4769">
        <v>0.99996169999999995</v>
      </c>
      <c r="Y4769">
        <v>-0.42113590000000001</v>
      </c>
      <c r="Z4769">
        <v>1.2926840000000001E-3</v>
      </c>
      <c r="AA4769">
        <v>0.90699669999999999</v>
      </c>
      <c r="AB4769">
        <v>25</v>
      </c>
      <c r="AC4769">
        <v>-16.688300000000002</v>
      </c>
      <c r="AD4769">
        <v>-0.2366674</v>
      </c>
      <c r="AE4769">
        <v>-132.316024</v>
      </c>
      <c r="AF4769">
        <v>-56.2500337822066</v>
      </c>
      <c r="AG4769">
        <v>-0.2366674</v>
      </c>
      <c r="AH4769">
        <v>120.920847008164</v>
      </c>
      <c r="AI4769">
        <v>90.101676942678296</v>
      </c>
      <c r="AJ4769">
        <v>114.946935678248</v>
      </c>
      <c r="AK4769">
        <v>133.36406394951101</v>
      </c>
      <c r="AL4769">
        <v>90.470849535473704</v>
      </c>
      <c r="AM4769">
        <v>89.827886571404605</v>
      </c>
      <c r="AN4769">
        <v>0.99999997823131703</v>
      </c>
    </row>
    <row r="4770" spans="1:40" x14ac:dyDescent="0.25">
      <c r="A4770" t="str">
        <f>"20190312161411058"</f>
        <v>20190312161411058</v>
      </c>
      <c r="B4770" t="str">
        <f>"1552378451051319"</f>
        <v>1552378451051319</v>
      </c>
      <c r="C4770" t="s">
        <v>40</v>
      </c>
      <c r="D4770">
        <v>5.027622</v>
      </c>
      <c r="E4770">
        <v>0.31902550000000002</v>
      </c>
      <c r="F4770" t="s">
        <v>93</v>
      </c>
      <c r="G4770">
        <v>-432.25209999999998</v>
      </c>
      <c r="H4770">
        <v>0.90064359999999999</v>
      </c>
      <c r="I4770">
        <v>-3.9211079999999998</v>
      </c>
      <c r="J4770">
        <v>-417.15839999999997</v>
      </c>
      <c r="K4770">
        <v>1.1174789999999999</v>
      </c>
      <c r="L4770">
        <v>126.97750000000001</v>
      </c>
      <c r="M4770">
        <v>-0.52280629999999995</v>
      </c>
      <c r="N4770">
        <v>0</v>
      </c>
      <c r="O4770">
        <v>-0.85232059999999998</v>
      </c>
      <c r="P4770">
        <v>-0.52538009999999902</v>
      </c>
      <c r="Q4770">
        <v>-2.425691E-2</v>
      </c>
      <c r="R4770">
        <v>-0.85052209999999995</v>
      </c>
      <c r="S4770">
        <v>-0.38369750000000002</v>
      </c>
      <c r="T4770">
        <v>-5.4727789999999997E-3</v>
      </c>
      <c r="U4770">
        <v>-3.307404</v>
      </c>
      <c r="V4770">
        <v>3.2984989999999999E-3</v>
      </c>
      <c r="W4770">
        <v>-9.2544570000000007E-3</v>
      </c>
      <c r="X4770">
        <v>0.9999517</v>
      </c>
      <c r="Y4770">
        <v>-0.42114990000000002</v>
      </c>
      <c r="Z4770">
        <v>1.2112990000000001E-3</v>
      </c>
      <c r="AA4770">
        <v>0.90699019999999997</v>
      </c>
      <c r="AB4770">
        <v>25</v>
      </c>
      <c r="AC4770">
        <v>-15.0937</v>
      </c>
      <c r="AD4770">
        <v>-0.21683540000000001</v>
      </c>
      <c r="AE4770">
        <v>-130.898608</v>
      </c>
      <c r="AF4770">
        <v>-55.575996722598497</v>
      </c>
      <c r="AG4770">
        <v>-0.21683540000000001</v>
      </c>
      <c r="AH4770">
        <v>119.471669903446</v>
      </c>
      <c r="AI4770">
        <v>90.094286693779097</v>
      </c>
      <c r="AJ4770">
        <v>114.94697196399299</v>
      </c>
      <c r="AK4770">
        <v>131.765770740427</v>
      </c>
      <c r="AL4770">
        <v>90.530248916075607</v>
      </c>
      <c r="AM4770">
        <v>89.811001485415304</v>
      </c>
      <c r="AN4770">
        <v>0.99999996370145305</v>
      </c>
    </row>
    <row r="4771" spans="1:40" x14ac:dyDescent="0.25">
      <c r="A4771" t="str">
        <f>"20190312161411079"</f>
        <v>20190312161411079</v>
      </c>
      <c r="B4771" t="str">
        <f>"1552378451070840"</f>
        <v>1552378451070840</v>
      </c>
      <c r="C4771" t="s">
        <v>40</v>
      </c>
      <c r="D4771">
        <v>5.0122179999999998</v>
      </c>
      <c r="E4771">
        <v>0.31927169999999999</v>
      </c>
      <c r="F4771" t="s">
        <v>93</v>
      </c>
      <c r="G4771">
        <v>-430.89409999999998</v>
      </c>
      <c r="H4771">
        <v>0.86215659999999905</v>
      </c>
      <c r="I4771">
        <v>-2.8096079999999999</v>
      </c>
      <c r="J4771">
        <v>-417.27339999999998</v>
      </c>
      <c r="K4771">
        <v>1.1173850000000001</v>
      </c>
      <c r="L4771">
        <v>126.7672</v>
      </c>
      <c r="M4771">
        <v>-0.51370969999999905</v>
      </c>
      <c r="N4771">
        <v>0</v>
      </c>
      <c r="O4771">
        <v>-0.85783419999999899</v>
      </c>
      <c r="P4771">
        <v>-0.51703770000000004</v>
      </c>
      <c r="Q4771">
        <v>-2.4404260000000001E-2</v>
      </c>
      <c r="R4771">
        <v>-0.8556146</v>
      </c>
      <c r="S4771">
        <v>-0.35037230000000003</v>
      </c>
      <c r="T4771">
        <v>-6.5134759999999998E-3</v>
      </c>
      <c r="U4771">
        <v>-3.3106230000000001</v>
      </c>
      <c r="V4771">
        <v>4.1603509999999996E-3</v>
      </c>
      <c r="W4771">
        <v>-9.4090770000000001E-3</v>
      </c>
      <c r="X4771">
        <v>0.99994709999999998</v>
      </c>
      <c r="Y4771">
        <v>-0.42062100000000002</v>
      </c>
      <c r="Z4771">
        <v>1.456869E-3</v>
      </c>
      <c r="AA4771">
        <v>0.90723529999999997</v>
      </c>
      <c r="AB4771">
        <v>25</v>
      </c>
      <c r="AC4771">
        <v>-13.620699999999999</v>
      </c>
      <c r="AD4771">
        <v>-0.25522840000000002</v>
      </c>
      <c r="AE4771">
        <v>-129.576808</v>
      </c>
      <c r="AF4771">
        <v>-54.886465782595401</v>
      </c>
      <c r="AG4771">
        <v>-0.25522840000000002</v>
      </c>
      <c r="AH4771">
        <v>118.165215827384</v>
      </c>
      <c r="AI4771">
        <v>90.112237825878694</v>
      </c>
      <c r="AJ4771">
        <v>114.91435909913</v>
      </c>
      <c r="AK4771">
        <v>130.29047355494799</v>
      </c>
      <c r="AL4771">
        <v>90.539108344687705</v>
      </c>
      <c r="AM4771">
        <v>89.761618211422103</v>
      </c>
      <c r="AN4771">
        <v>1.00000002102442</v>
      </c>
    </row>
    <row r="4772" spans="1:40" x14ac:dyDescent="0.25">
      <c r="A4772" t="str">
        <f>"20190312161411102"</f>
        <v>20190312161411102</v>
      </c>
      <c r="B4772" t="str">
        <f>"1552378451091335"</f>
        <v>1552378451091335</v>
      </c>
      <c r="C4772" t="s">
        <v>40</v>
      </c>
      <c r="D4772">
        <v>5.0145229999999996</v>
      </c>
      <c r="E4772">
        <v>0.31955260000000002</v>
      </c>
      <c r="F4772" t="s">
        <v>93</v>
      </c>
      <c r="G4772">
        <v>-429.67419999999998</v>
      </c>
      <c r="H4772">
        <v>0.80440259999999997</v>
      </c>
      <c r="I4772">
        <v>-1.811096</v>
      </c>
      <c r="J4772">
        <v>-417.38490000000002</v>
      </c>
      <c r="K4772">
        <v>1.1172759999999999</v>
      </c>
      <c r="L4772">
        <v>126.5582</v>
      </c>
      <c r="M4772">
        <v>-0.5047739</v>
      </c>
      <c r="N4772">
        <v>0</v>
      </c>
      <c r="O4772">
        <v>-0.86312289999999903</v>
      </c>
      <c r="P4772">
        <v>-0.50914659999999901</v>
      </c>
      <c r="Q4772">
        <v>-2.4973459999999999E-2</v>
      </c>
      <c r="R4772">
        <v>-0.86031749999999996</v>
      </c>
      <c r="S4772">
        <v>-0.319519</v>
      </c>
      <c r="T4772">
        <v>-8.0649850000000002E-3</v>
      </c>
      <c r="U4772">
        <v>-3.3129580000000001</v>
      </c>
      <c r="V4772">
        <v>5.3632559999999899E-3</v>
      </c>
      <c r="W4772">
        <v>-9.9825469999999996E-3</v>
      </c>
      <c r="X4772">
        <v>0.99993580000000004</v>
      </c>
      <c r="Y4772">
        <v>-0.41962969999999999</v>
      </c>
      <c r="Z4772">
        <v>1.8226099999999999E-3</v>
      </c>
      <c r="AA4772">
        <v>0.90769359999999999</v>
      </c>
      <c r="AB4772">
        <v>25</v>
      </c>
      <c r="AC4772">
        <v>-12.2892999999999</v>
      </c>
      <c r="AD4772">
        <v>-0.31287340000000002</v>
      </c>
      <c r="AE4772">
        <v>-128.36929599999999</v>
      </c>
      <c r="AF4772">
        <v>-54.195995620760399</v>
      </c>
      <c r="AG4772">
        <v>-0.31287340000000002</v>
      </c>
      <c r="AH4772">
        <v>117.014107401201</v>
      </c>
      <c r="AI4772">
        <v>90.139011500525498</v>
      </c>
      <c r="AJ4772">
        <v>114.85158101461499</v>
      </c>
      <c r="AK4772">
        <v>128.955826397995</v>
      </c>
      <c r="AL4772">
        <v>90.571967306015694</v>
      </c>
      <c r="AM4772">
        <v>89.692691284227493</v>
      </c>
      <c r="AN4772">
        <v>1.0000000099405799</v>
      </c>
    </row>
    <row r="4773" spans="1:40" x14ac:dyDescent="0.25">
      <c r="A4773" t="str">
        <f>"20190312161411124"</f>
        <v>20190312161411124</v>
      </c>
      <c r="B4773" t="str">
        <f>"1552378451121593"</f>
        <v>1552378451121593</v>
      </c>
      <c r="C4773" t="s">
        <v>40</v>
      </c>
      <c r="D4773">
        <v>5.1477919999999999</v>
      </c>
      <c r="E4773">
        <v>0.3199303</v>
      </c>
      <c r="F4773" t="s">
        <v>93</v>
      </c>
      <c r="G4773">
        <v>-428.5795</v>
      </c>
      <c r="H4773">
        <v>0.65700239999999999</v>
      </c>
      <c r="I4773">
        <v>-0.91512680000000002</v>
      </c>
      <c r="J4773">
        <v>-417.49619999999999</v>
      </c>
      <c r="K4773">
        <v>1.117157</v>
      </c>
      <c r="L4773">
        <v>126.3445</v>
      </c>
      <c r="M4773">
        <v>-0.49574170000000001</v>
      </c>
      <c r="N4773">
        <v>0</v>
      </c>
      <c r="O4773">
        <v>-0.86834259999999996</v>
      </c>
      <c r="P4773">
        <v>-0.50142149999999996</v>
      </c>
      <c r="Q4773">
        <v>-2.5299240000000001E-2</v>
      </c>
      <c r="R4773">
        <v>-0.86483319999999997</v>
      </c>
      <c r="S4773">
        <v>-0.29107670000000002</v>
      </c>
      <c r="T4773">
        <v>-1.196849E-2</v>
      </c>
      <c r="U4773">
        <v>-3.3144990000000001</v>
      </c>
      <c r="V4773">
        <v>6.8477859999999998E-3</v>
      </c>
      <c r="W4773">
        <v>-1.031077E-2</v>
      </c>
      <c r="X4773">
        <v>0.99992340000000002</v>
      </c>
      <c r="Y4773">
        <v>-0.41792269999999998</v>
      </c>
      <c r="Z4773">
        <v>2.7333119999999999E-3</v>
      </c>
      <c r="AA4773">
        <v>0.90847849999999997</v>
      </c>
      <c r="AB4773">
        <v>25</v>
      </c>
      <c r="AC4773">
        <v>-11.083299999999999</v>
      </c>
      <c r="AD4773">
        <v>-0.46015459999999903</v>
      </c>
      <c r="AE4773">
        <v>-127.25962680000001</v>
      </c>
      <c r="AF4773">
        <v>-53.469025014926203</v>
      </c>
      <c r="AG4773">
        <v>-0.46015459999999903</v>
      </c>
      <c r="AH4773">
        <v>116.010741053789</v>
      </c>
      <c r="AI4773">
        <v>90.206394756724293</v>
      </c>
      <c r="AJ4773">
        <v>114.744843491738</v>
      </c>
      <c r="AK4773">
        <v>127.74051987584799</v>
      </c>
      <c r="AL4773">
        <v>90.590774069612607</v>
      </c>
      <c r="AM4773">
        <v>89.607626840877003</v>
      </c>
      <c r="AN4773">
        <v>1.0000000050093201</v>
      </c>
    </row>
    <row r="4774" spans="1:40" x14ac:dyDescent="0.25">
      <c r="A4774" t="str">
        <f>"20190312161411147"</f>
        <v>20190312161411147</v>
      </c>
      <c r="B4774" t="str">
        <f>"1552378451141112"</f>
        <v>1552378451141112</v>
      </c>
      <c r="C4774" t="s">
        <v>40</v>
      </c>
      <c r="D4774">
        <v>5.0412839999999903</v>
      </c>
      <c r="E4774">
        <v>0.320664</v>
      </c>
      <c r="F4774" t="s">
        <v>93</v>
      </c>
      <c r="G4774">
        <v>-427.49299999999999</v>
      </c>
      <c r="H4774">
        <v>0.56148790000000004</v>
      </c>
      <c r="I4774">
        <v>0.72920229999999997</v>
      </c>
      <c r="J4774">
        <v>-417.60750000000002</v>
      </c>
      <c r="K4774">
        <v>1.117029</v>
      </c>
      <c r="L4774">
        <v>126.1259</v>
      </c>
      <c r="M4774">
        <v>-0.48662870000000003</v>
      </c>
      <c r="N4774">
        <v>0</v>
      </c>
      <c r="O4774">
        <v>-0.87348289999999995</v>
      </c>
      <c r="P4774">
        <v>-0.49354179999999997</v>
      </c>
      <c r="Q4774">
        <v>-2.561592E-2</v>
      </c>
      <c r="R4774">
        <v>-0.86934519999999904</v>
      </c>
      <c r="S4774">
        <v>-0.26385500000000001</v>
      </c>
      <c r="T4774">
        <v>-1.4667029999999999E-2</v>
      </c>
      <c r="U4774">
        <v>-3.3154910000000002</v>
      </c>
      <c r="V4774">
        <v>8.2304519999999992E-3</v>
      </c>
      <c r="W4774">
        <v>-1.0634360000000001E-2</v>
      </c>
      <c r="X4774">
        <v>0.99990959999999995</v>
      </c>
      <c r="Y4774">
        <v>-0.4158462</v>
      </c>
      <c r="Z4774">
        <v>3.3849119999999999E-3</v>
      </c>
      <c r="AA4774">
        <v>0.90942869999999998</v>
      </c>
      <c r="AB4774">
        <v>25</v>
      </c>
      <c r="AC4774">
        <v>-9.8855000000000306</v>
      </c>
      <c r="AD4774">
        <v>-0.55554110000000001</v>
      </c>
      <c r="AE4774">
        <v>-125.396697699999</v>
      </c>
      <c r="AF4774">
        <v>-52.391561778075697</v>
      </c>
      <c r="AG4774">
        <v>-0.55554110000000001</v>
      </c>
      <c r="AH4774">
        <v>114.35279587750099</v>
      </c>
      <c r="AI4774">
        <v>90.253053897486197</v>
      </c>
      <c r="AJ4774">
        <v>114.61522653664601</v>
      </c>
      <c r="AK4774">
        <v>125.784523278745</v>
      </c>
      <c r="AL4774">
        <v>90.6093154191162</v>
      </c>
      <c r="AM4774">
        <v>89.528397853681199</v>
      </c>
      <c r="AN4774">
        <v>1.0000000190624401</v>
      </c>
    </row>
    <row r="4775" spans="1:40" x14ac:dyDescent="0.25">
      <c r="A4775" t="str">
        <f>"20190312161411170"</f>
        <v>20190312161411170</v>
      </c>
      <c r="B4775" t="str">
        <f>"1552378451161607"</f>
        <v>1552378451161607</v>
      </c>
      <c r="C4775" t="s">
        <v>40</v>
      </c>
      <c r="D4775">
        <v>4.9917089999999904</v>
      </c>
      <c r="E4775">
        <v>0.32068459999999899</v>
      </c>
      <c r="F4775" t="s">
        <v>93</v>
      </c>
      <c r="G4775">
        <v>-426.56880000000001</v>
      </c>
      <c r="H4775">
        <v>0.38122220000000001</v>
      </c>
      <c r="I4775">
        <v>1.485571</v>
      </c>
      <c r="J4775">
        <v>-417.71559999999999</v>
      </c>
      <c r="K4775">
        <v>1.1168960000000001</v>
      </c>
      <c r="L4775">
        <v>125.9081</v>
      </c>
      <c r="M4775">
        <v>-0.4776977</v>
      </c>
      <c r="N4775">
        <v>0</v>
      </c>
      <c r="O4775">
        <v>-0.87839940000000005</v>
      </c>
      <c r="P4775">
        <v>-0.48530089999999998</v>
      </c>
      <c r="Q4775">
        <v>-2.5770680000000001E-2</v>
      </c>
      <c r="R4775">
        <v>-0.87396779999999996</v>
      </c>
      <c r="S4775">
        <v>-0.23834230000000001</v>
      </c>
      <c r="T4775">
        <v>-1.9570710000000002E-2</v>
      </c>
      <c r="U4775">
        <v>-3.3150179999999998</v>
      </c>
      <c r="V4775">
        <v>8.9736739999999992E-3</v>
      </c>
      <c r="W4775">
        <v>-1.080803E-2</v>
      </c>
      <c r="X4775">
        <v>0.99990140000000005</v>
      </c>
      <c r="Y4775">
        <v>-0.41352119999999998</v>
      </c>
      <c r="Z4775">
        <v>4.5639950000000004E-3</v>
      </c>
      <c r="AA4775">
        <v>0.91048309999999999</v>
      </c>
      <c r="AB4775">
        <v>25</v>
      </c>
      <c r="AC4775">
        <v>-8.85320000000001</v>
      </c>
      <c r="AD4775">
        <v>-0.73567379999999905</v>
      </c>
      <c r="AE4775">
        <v>-124.422529</v>
      </c>
      <c r="AF4775">
        <v>-51.663581339951399</v>
      </c>
      <c r="AG4775">
        <v>-0.73567379999999905</v>
      </c>
      <c r="AH4775">
        <v>113.53033453980601</v>
      </c>
      <c r="AI4775">
        <v>90.337926568966495</v>
      </c>
      <c r="AJ4775">
        <v>114.468578539074</v>
      </c>
      <c r="AK4775">
        <v>124.734933813788</v>
      </c>
      <c r="AL4775">
        <v>90.619266514234894</v>
      </c>
      <c r="AM4775">
        <v>89.485809456994701</v>
      </c>
      <c r="AN4775">
        <v>1.00000007502974</v>
      </c>
    </row>
    <row r="4776" spans="1:40" x14ac:dyDescent="0.25">
      <c r="A4776" t="str">
        <f>"20190312161411192"</f>
        <v>20190312161411192</v>
      </c>
      <c r="B4776" t="str">
        <f>"1552378451181128"</f>
        <v>1552378451181128</v>
      </c>
      <c r="C4776" t="s">
        <v>40</v>
      </c>
      <c r="D4776">
        <v>5.0427799999999996</v>
      </c>
      <c r="E4776">
        <v>0.32077879999999998</v>
      </c>
      <c r="F4776" t="s">
        <v>93</v>
      </c>
      <c r="G4776">
        <v>-425.5523</v>
      </c>
      <c r="H4776">
        <v>0.4273188</v>
      </c>
      <c r="I4776">
        <v>0.4209213</v>
      </c>
      <c r="J4776">
        <v>-417.82299999999998</v>
      </c>
      <c r="K4776">
        <v>1.1167609999999999</v>
      </c>
      <c r="L4776">
        <v>125.6862</v>
      </c>
      <c r="M4776">
        <v>-0.4687441</v>
      </c>
      <c r="N4776">
        <v>0</v>
      </c>
      <c r="O4776">
        <v>-0.8832101</v>
      </c>
      <c r="P4776">
        <v>-0.47697899999999999</v>
      </c>
      <c r="Q4776">
        <v>-2.56189E-2</v>
      </c>
      <c r="R4776">
        <v>-0.87854109999999996</v>
      </c>
      <c r="S4776">
        <v>-0.20715330000000001</v>
      </c>
      <c r="T4776">
        <v>-1.8228649999999999E-2</v>
      </c>
      <c r="U4776">
        <v>-3.317078</v>
      </c>
      <c r="V4776">
        <v>9.6342010000000002E-3</v>
      </c>
      <c r="W4776">
        <v>-1.067824E-2</v>
      </c>
      <c r="X4776">
        <v>0.99989660000000002</v>
      </c>
      <c r="Y4776">
        <v>-0.41282859999999999</v>
      </c>
      <c r="Z4776">
        <v>4.2891149999999996E-3</v>
      </c>
      <c r="AA4776">
        <v>0.91079869999999996</v>
      </c>
      <c r="AB4776">
        <v>24</v>
      </c>
      <c r="AC4776">
        <v>-7.7292999999999603</v>
      </c>
      <c r="AD4776">
        <v>-0.68944220000000001</v>
      </c>
      <c r="AE4776">
        <v>-125.2652787</v>
      </c>
      <c r="AF4776">
        <v>-51.894878503983598</v>
      </c>
      <c r="AG4776">
        <v>-0.68944220000000001</v>
      </c>
      <c r="AH4776">
        <v>114.26768175329499</v>
      </c>
      <c r="AI4776">
        <v>90.3147555122829</v>
      </c>
      <c r="AJ4776">
        <v>114.425261520698</v>
      </c>
      <c r="AK4776">
        <v>125.501620861097</v>
      </c>
      <c r="AL4776">
        <v>90.611829695982706</v>
      </c>
      <c r="AM4776">
        <v>89.447960943913102</v>
      </c>
      <c r="AN4776">
        <v>1.00000002666498</v>
      </c>
    </row>
    <row r="4777" spans="1:40" x14ac:dyDescent="0.25">
      <c r="A4777" t="str">
        <f>"20190312161411215"</f>
        <v>20190312161411215</v>
      </c>
      <c r="B4777" t="str">
        <f>"1552378451211384"</f>
        <v>1552378451211384</v>
      </c>
      <c r="C4777" t="s">
        <v>40</v>
      </c>
      <c r="D4777">
        <v>5.0749320000000004</v>
      </c>
      <c r="E4777">
        <v>0.32117449999999997</v>
      </c>
      <c r="F4777" t="s">
        <v>93</v>
      </c>
      <c r="G4777">
        <v>-424.49020000000002</v>
      </c>
      <c r="H4777">
        <v>0.50944920000000005</v>
      </c>
      <c r="I4777">
        <v>0.43172070000000001</v>
      </c>
      <c r="J4777">
        <v>-417.92450000000002</v>
      </c>
      <c r="K4777">
        <v>1.1166480000000001</v>
      </c>
      <c r="L4777">
        <v>125.4714</v>
      </c>
      <c r="M4777">
        <v>-0.46019080000000001</v>
      </c>
      <c r="N4777">
        <v>0</v>
      </c>
      <c r="O4777">
        <v>-0.88769739999999997</v>
      </c>
      <c r="P4777">
        <v>-0.46826380000000001</v>
      </c>
      <c r="Q4777">
        <v>-2.571414E-2</v>
      </c>
      <c r="R4777">
        <v>-0.88321469999999902</v>
      </c>
      <c r="S4777">
        <v>-0.17663570000000001</v>
      </c>
      <c r="T4777">
        <v>-1.609027E-2</v>
      </c>
      <c r="U4777">
        <v>-3.3183750000000001</v>
      </c>
      <c r="V4777">
        <v>9.4008219999999997E-3</v>
      </c>
      <c r="W4777">
        <v>-1.0807840000000001E-2</v>
      </c>
      <c r="X4777">
        <v>0.99989740000000005</v>
      </c>
      <c r="Y4777">
        <v>-0.4124004</v>
      </c>
      <c r="Z4777">
        <v>3.8177340000000001E-3</v>
      </c>
      <c r="AA4777">
        <v>0.91099470000000005</v>
      </c>
      <c r="AB4777">
        <v>24</v>
      </c>
      <c r="AC4777">
        <v>-6.5656999999999899</v>
      </c>
      <c r="AD4777">
        <v>-0.60719879999999904</v>
      </c>
      <c r="AE4777">
        <v>-125.0396793</v>
      </c>
      <c r="AF4777">
        <v>-51.718170354519302</v>
      </c>
      <c r="AG4777">
        <v>-0.60719879999999904</v>
      </c>
      <c r="AH4777">
        <v>114.02860744726399</v>
      </c>
      <c r="AI4777">
        <v>90.277852687897195</v>
      </c>
      <c r="AJ4777">
        <v>114.396874513462</v>
      </c>
      <c r="AK4777">
        <v>125.210467420116</v>
      </c>
      <c r="AL4777">
        <v>90.619255675294696</v>
      </c>
      <c r="AM4777">
        <v>89.461333177792795</v>
      </c>
      <c r="AN4777">
        <v>0.99999999769324999</v>
      </c>
    </row>
    <row r="4778" spans="1:40" x14ac:dyDescent="0.25">
      <c r="A4778" t="str">
        <f>"20190312161411236"</f>
        <v>20190312161411236</v>
      </c>
      <c r="B4778" t="str">
        <f>"1552378451230904"</f>
        <v>1552378451230904</v>
      </c>
      <c r="C4778" t="s">
        <v>40</v>
      </c>
      <c r="D4778">
        <v>5.0820420000000004</v>
      </c>
      <c r="E4778">
        <v>0.32151970000000002</v>
      </c>
      <c r="F4778" t="s">
        <v>93</v>
      </c>
      <c r="G4778">
        <v>-423.43869999999998</v>
      </c>
      <c r="H4778">
        <v>0.49019750000000001</v>
      </c>
      <c r="I4778">
        <v>0.44241330000000001</v>
      </c>
      <c r="J4778">
        <v>-418.02229999999997</v>
      </c>
      <c r="K4778">
        <v>1.1165499999999999</v>
      </c>
      <c r="L4778">
        <v>125.2597</v>
      </c>
      <c r="M4778">
        <v>-0.45187169999999999</v>
      </c>
      <c r="N4778">
        <v>0</v>
      </c>
      <c r="O4778">
        <v>-0.89196119999999901</v>
      </c>
      <c r="P4778">
        <v>-0.46012180000000003</v>
      </c>
      <c r="Q4778">
        <v>-2.5957170000000002E-2</v>
      </c>
      <c r="R4778">
        <v>-0.88747619999999905</v>
      </c>
      <c r="S4778">
        <v>-0.146362299999999</v>
      </c>
      <c r="T4778">
        <v>-1.6628500000000001E-2</v>
      </c>
      <c r="U4778">
        <v>-3.3186040000000001</v>
      </c>
      <c r="V4778">
        <v>9.5582540000000004E-3</v>
      </c>
      <c r="W4778">
        <v>-1.1077099999999999E-2</v>
      </c>
      <c r="X4778">
        <v>0.99989300000000003</v>
      </c>
      <c r="Y4778">
        <v>-0.41217730000000002</v>
      </c>
      <c r="Z4778">
        <v>3.9775339999999996E-3</v>
      </c>
      <c r="AA4778">
        <v>0.91109499999999999</v>
      </c>
      <c r="AB4778">
        <v>24</v>
      </c>
      <c r="AC4778">
        <v>-5.4164000000000003</v>
      </c>
      <c r="AD4778">
        <v>-0.62635249999999898</v>
      </c>
      <c r="AE4778">
        <v>-124.8172867</v>
      </c>
      <c r="AF4778">
        <v>-51.574485617994803</v>
      </c>
      <c r="AG4778">
        <v>-0.62635249999999898</v>
      </c>
      <c r="AH4778">
        <v>113.789192263685</v>
      </c>
      <c r="AI4778">
        <v>90.287253588510197</v>
      </c>
      <c r="AJ4778">
        <v>114.38221573329299</v>
      </c>
      <c r="AK4778">
        <v>124.933182782785</v>
      </c>
      <c r="AL4778">
        <v>90.634684035786506</v>
      </c>
      <c r="AM4778">
        <v>89.452310463895998</v>
      </c>
      <c r="AN4778">
        <v>1.0000000369064601</v>
      </c>
    </row>
    <row r="4779" spans="1:40" x14ac:dyDescent="0.25">
      <c r="A4779" t="str">
        <f>"20190312161411259"</f>
        <v>20190312161411259</v>
      </c>
      <c r="B4779" t="str">
        <f>"1552378451251399"</f>
        <v>1552378451251399</v>
      </c>
      <c r="C4779" t="s">
        <v>40</v>
      </c>
      <c r="D4779">
        <v>5.1169219999999997</v>
      </c>
      <c r="E4779">
        <v>0.32191809999999998</v>
      </c>
      <c r="F4779" t="s">
        <v>93</v>
      </c>
      <c r="G4779">
        <v>-422.47669999999999</v>
      </c>
      <c r="H4779">
        <v>0.47461989999999998</v>
      </c>
      <c r="I4779">
        <v>0.45219989999999999</v>
      </c>
      <c r="J4779">
        <v>-418.12169999999998</v>
      </c>
      <c r="K4779">
        <v>1.116447</v>
      </c>
      <c r="L4779">
        <v>125.0393</v>
      </c>
      <c r="M4779">
        <v>-0.44332840000000001</v>
      </c>
      <c r="N4779">
        <v>0</v>
      </c>
      <c r="O4779">
        <v>-0.89623850000000005</v>
      </c>
      <c r="P4779">
        <v>-0.4517331</v>
      </c>
      <c r="Q4779">
        <v>-2.614733E-2</v>
      </c>
      <c r="R4779">
        <v>-0.89177009999999901</v>
      </c>
      <c r="S4779">
        <v>-0.11843869999999999</v>
      </c>
      <c r="T4779">
        <v>-1.7068739999999999E-2</v>
      </c>
      <c r="U4779">
        <v>-3.318451</v>
      </c>
      <c r="V4779">
        <v>9.6870110000000006E-3</v>
      </c>
      <c r="W4779">
        <v>-1.12946E-2</v>
      </c>
      <c r="X4779">
        <v>0.99988929999999998</v>
      </c>
      <c r="Y4779">
        <v>-0.41112359999999998</v>
      </c>
      <c r="Z4779">
        <v>4.1172309999999998E-3</v>
      </c>
      <c r="AA4779">
        <v>0.91157029999999994</v>
      </c>
      <c r="AB4779">
        <v>24</v>
      </c>
      <c r="AC4779">
        <v>-4.3550000000000102</v>
      </c>
      <c r="AD4779">
        <v>-0.64182709999999998</v>
      </c>
      <c r="AE4779">
        <v>-124.58710009999901</v>
      </c>
      <c r="AF4779">
        <v>-51.334077242032997</v>
      </c>
      <c r="AG4779">
        <v>-0.64182709999999998</v>
      </c>
      <c r="AH4779">
        <v>113.599736789926</v>
      </c>
      <c r="AI4779">
        <v>90.294991914822106</v>
      </c>
      <c r="AJ4779">
        <v>114.31752214577401</v>
      </c>
      <c r="AK4779">
        <v>124.66154028832599</v>
      </c>
      <c r="AL4779">
        <v>90.6471466650233</v>
      </c>
      <c r="AM4779">
        <v>89.444931071180093</v>
      </c>
      <c r="AN4779">
        <v>1.00000000921288</v>
      </c>
    </row>
    <row r="4780" spans="1:40" x14ac:dyDescent="0.25">
      <c r="A4780" t="str">
        <f>"20190312161411280"</f>
        <v>20190312161411280</v>
      </c>
      <c r="B4780" t="str">
        <f>"1552378451270920"</f>
        <v>1552378451270920</v>
      </c>
      <c r="C4780" t="s">
        <v>40</v>
      </c>
      <c r="D4780">
        <v>5.1473649999999997</v>
      </c>
      <c r="E4780">
        <v>0.33996219999999999</v>
      </c>
      <c r="F4780" t="s">
        <v>93</v>
      </c>
      <c r="G4780">
        <v>-421.50420000000003</v>
      </c>
      <c r="H4780">
        <v>0.43717610000000001</v>
      </c>
      <c r="I4780">
        <v>0.46208949999999999</v>
      </c>
      <c r="J4780">
        <v>-418.21429999999998</v>
      </c>
      <c r="K4780">
        <v>1.116344</v>
      </c>
      <c r="L4780">
        <v>124.82940000000001</v>
      </c>
      <c r="M4780">
        <v>-0.43530609999999997</v>
      </c>
      <c r="N4780">
        <v>0</v>
      </c>
      <c r="O4780">
        <v>-0.90016280000000004</v>
      </c>
      <c r="P4780">
        <v>-0.44376260000000001</v>
      </c>
      <c r="Q4780">
        <v>-2.5504579999999999E-2</v>
      </c>
      <c r="R4780">
        <v>-0.89578139999999995</v>
      </c>
      <c r="S4780">
        <v>-9.0087890000000004E-2</v>
      </c>
      <c r="T4780">
        <v>-1.8092159999999999E-2</v>
      </c>
      <c r="U4780">
        <v>-3.3179319999999999</v>
      </c>
      <c r="V4780">
        <v>9.6809440000000004E-3</v>
      </c>
      <c r="W4780">
        <v>-1.068008E-2</v>
      </c>
      <c r="X4780">
        <v>0.99989609999999995</v>
      </c>
      <c r="Y4780">
        <v>-0.41075790000000001</v>
      </c>
      <c r="Z4780">
        <v>4.3972330000000004E-3</v>
      </c>
      <c r="AA4780">
        <v>0.91173380000000004</v>
      </c>
      <c r="AB4780">
        <v>24</v>
      </c>
      <c r="AC4780">
        <v>-3.2899000000000398</v>
      </c>
      <c r="AD4780">
        <v>-0.67916790000000005</v>
      </c>
      <c r="AE4780">
        <v>-124.3673105</v>
      </c>
      <c r="AF4780">
        <v>-51.180394041774598</v>
      </c>
      <c r="AG4780">
        <v>-0.67916790000000005</v>
      </c>
      <c r="AH4780">
        <v>113.39178158891001</v>
      </c>
      <c r="AI4780">
        <v>90.312788134588999</v>
      </c>
      <c r="AJ4780">
        <v>114.292461963121</v>
      </c>
      <c r="AK4780">
        <v>124.40896324306701</v>
      </c>
      <c r="AL4780">
        <v>90.611935143896403</v>
      </c>
      <c r="AM4780">
        <v>89.445282462813793</v>
      </c>
      <c r="AN4780">
        <v>0.99999999779037296</v>
      </c>
    </row>
    <row r="4781" spans="1:40" x14ac:dyDescent="0.25">
      <c r="A4781" t="str">
        <f>"20190312161411303"</f>
        <v>20190312161411303</v>
      </c>
      <c r="B4781" t="str">
        <f>"1552378451291415"</f>
        <v>1552378451291415</v>
      </c>
      <c r="C4781" t="s">
        <v>40</v>
      </c>
      <c r="D4781">
        <v>5.1428419999999999</v>
      </c>
      <c r="E4781">
        <v>0.34129680000000001</v>
      </c>
      <c r="F4781" t="s">
        <v>77</v>
      </c>
      <c r="G4781">
        <v>-424.5351</v>
      </c>
      <c r="H4781" s="1">
        <v>-9.1864370000000002E-6</v>
      </c>
      <c r="I4781">
        <v>15.69552</v>
      </c>
      <c r="J4781">
        <v>-418.30919999999998</v>
      </c>
      <c r="K4781">
        <v>1.116244</v>
      </c>
      <c r="L4781">
        <v>124.6087</v>
      </c>
      <c r="M4781">
        <v>-0.4269886</v>
      </c>
      <c r="N4781">
        <v>0</v>
      </c>
      <c r="O4781">
        <v>-0.90413829999999995</v>
      </c>
      <c r="P4781">
        <v>-0.43555050000000001</v>
      </c>
      <c r="Q4781">
        <v>-2.5499129999999998E-2</v>
      </c>
      <c r="R4781">
        <v>-0.89980319999999903</v>
      </c>
      <c r="S4781">
        <v>-0.18850710000000001</v>
      </c>
      <c r="T4781">
        <v>-3.3293009999999998E-2</v>
      </c>
      <c r="U4781">
        <v>-3.2547000000000001</v>
      </c>
      <c r="V4781">
        <v>9.7510719999999995E-3</v>
      </c>
      <c r="W4781">
        <v>-1.070392E-2</v>
      </c>
      <c r="X4781">
        <v>0.99989519999999998</v>
      </c>
      <c r="Y4781">
        <v>-0.37403710000000001</v>
      </c>
      <c r="Z4781">
        <v>8.3874420000000002E-3</v>
      </c>
      <c r="AA4781">
        <v>0.92737579999999997</v>
      </c>
      <c r="AB4781">
        <v>24</v>
      </c>
      <c r="AC4781">
        <v>-6.2259000000000198</v>
      </c>
      <c r="AD4781">
        <v>-1.116253186437</v>
      </c>
      <c r="AE4781">
        <v>-108.91318</v>
      </c>
      <c r="AF4781">
        <v>-40.8757199988599</v>
      </c>
      <c r="AG4781">
        <v>-1.116253186437</v>
      </c>
      <c r="AH4781">
        <v>101.13123390954</v>
      </c>
      <c r="AI4781">
        <v>90.586309319190903</v>
      </c>
      <c r="AJ4781">
        <v>112.007816274516</v>
      </c>
      <c r="AK4781">
        <v>109.085273885468</v>
      </c>
      <c r="AL4781">
        <v>90.6133011310679</v>
      </c>
      <c r="AM4781">
        <v>89.4412638833779</v>
      </c>
      <c r="AN4781">
        <v>1.00000003414577</v>
      </c>
    </row>
    <row r="4782" spans="1:40" x14ac:dyDescent="0.25">
      <c r="A4782" t="str">
        <f>"20190312161411326"</f>
        <v>20190312161411326</v>
      </c>
      <c r="B4782" t="str">
        <f>"1552378451321204"</f>
        <v>1552378451321204</v>
      </c>
      <c r="C4782" t="s">
        <v>40</v>
      </c>
      <c r="D4782">
        <v>5.1731660000000002</v>
      </c>
      <c r="E4782">
        <v>0.34255980000000003</v>
      </c>
      <c r="F4782" t="s">
        <v>77</v>
      </c>
      <c r="G4782">
        <v>-424.19450000000001</v>
      </c>
      <c r="H4782" s="1">
        <v>-8.8571810000000002E-6</v>
      </c>
      <c r="I4782">
        <v>11.242240000000001</v>
      </c>
      <c r="J4782">
        <v>-418.4015</v>
      </c>
      <c r="K4782">
        <v>1.1161299999999901</v>
      </c>
      <c r="L4782">
        <v>124.3895</v>
      </c>
      <c r="M4782">
        <v>-0.4188405</v>
      </c>
      <c r="N4782">
        <v>0</v>
      </c>
      <c r="O4782">
        <v>-0.90794209999999997</v>
      </c>
      <c r="P4782">
        <v>-0.42785600000000001</v>
      </c>
      <c r="Q4782">
        <v>-2.57754E-2</v>
      </c>
      <c r="R4782">
        <v>-0.90347980000000006</v>
      </c>
      <c r="S4782">
        <v>-0.16879269999999999</v>
      </c>
      <c r="T4782">
        <v>-3.2015090000000003E-2</v>
      </c>
      <c r="U4782">
        <v>-3.2514500000000002</v>
      </c>
      <c r="V4782">
        <v>1.0214930000000001E-2</v>
      </c>
      <c r="W4782">
        <v>-1.1003809999999999E-2</v>
      </c>
      <c r="X4782">
        <v>0.99988730000000003</v>
      </c>
      <c r="Y4782">
        <v>-0.37124740000000001</v>
      </c>
      <c r="Z4782">
        <v>8.135616E-3</v>
      </c>
      <c r="AA4782">
        <v>0.9284983</v>
      </c>
      <c r="AB4782">
        <v>24</v>
      </c>
      <c r="AC4782">
        <v>-5.7930000000000001</v>
      </c>
      <c r="AD4782">
        <v>-1.11613885718099</v>
      </c>
      <c r="AE4782">
        <v>-113.14726</v>
      </c>
      <c r="AF4782">
        <v>-42.131361438084603</v>
      </c>
      <c r="AG4782">
        <v>-1.11613885718099</v>
      </c>
      <c r="AH4782">
        <v>105.158539875062</v>
      </c>
      <c r="AI4782">
        <v>90.564490254156397</v>
      </c>
      <c r="AJ4782">
        <v>111.83331633578101</v>
      </c>
      <c r="AK4782">
        <v>113.289963770981</v>
      </c>
      <c r="AL4782">
        <v>90.630484582552697</v>
      </c>
      <c r="AM4782">
        <v>89.414682017664703</v>
      </c>
      <c r="AN4782">
        <v>1.0000000206653501</v>
      </c>
    </row>
    <row r="4783" spans="1:40" x14ac:dyDescent="0.25">
      <c r="A4783" t="str">
        <f>"20190312161411349"</f>
        <v>20190312161411349</v>
      </c>
      <c r="B4783" t="str">
        <f>"1552378451341700"</f>
        <v>1552378451341700</v>
      </c>
      <c r="C4783" t="s">
        <v>40</v>
      </c>
      <c r="D4783">
        <v>5.2061609999999998</v>
      </c>
      <c r="E4783">
        <v>0.34390540000000003</v>
      </c>
      <c r="F4783" t="s">
        <v>77</v>
      </c>
      <c r="G4783">
        <v>-423.17739999999998</v>
      </c>
      <c r="H4783" s="1">
        <v>-9.5037459999999993E-6</v>
      </c>
      <c r="I4783">
        <v>20.934830000000002</v>
      </c>
      <c r="J4783">
        <v>-418.49759999999998</v>
      </c>
      <c r="K4783">
        <v>1.1160079999999999</v>
      </c>
      <c r="L4783">
        <v>124.15560000000001</v>
      </c>
      <c r="M4783">
        <v>-0.41028179999999997</v>
      </c>
      <c r="N4783">
        <v>0</v>
      </c>
      <c r="O4783">
        <v>-0.91184189999999998</v>
      </c>
      <c r="P4783">
        <v>-0.41961209999999999</v>
      </c>
      <c r="Q4783">
        <v>-2.5824960000000001E-2</v>
      </c>
      <c r="R4783">
        <v>-0.90733649999999999</v>
      </c>
      <c r="S4783">
        <v>-0.1499634</v>
      </c>
      <c r="T4783">
        <v>-3.5046580000000001E-2</v>
      </c>
      <c r="U4783">
        <v>-3.248459</v>
      </c>
      <c r="V4783">
        <v>1.051442E-2</v>
      </c>
      <c r="W4783">
        <v>-1.108106E-2</v>
      </c>
      <c r="X4783">
        <v>0.99988330000000003</v>
      </c>
      <c r="Y4783">
        <v>-0.36783579999999999</v>
      </c>
      <c r="Z4783">
        <v>8.9847980000000004E-3</v>
      </c>
      <c r="AA4783">
        <v>0.92984739999999999</v>
      </c>
      <c r="AB4783">
        <v>24</v>
      </c>
      <c r="AC4783">
        <v>-4.6798000000000002</v>
      </c>
      <c r="AD4783">
        <v>-1.1160175037459901</v>
      </c>
      <c r="AE4783">
        <v>-103.22077</v>
      </c>
      <c r="AF4783">
        <v>-38.081983120883599</v>
      </c>
      <c r="AG4783">
        <v>-1.1160175037459901</v>
      </c>
      <c r="AH4783">
        <v>96.040095245167905</v>
      </c>
      <c r="AI4783">
        <v>90.618891364725002</v>
      </c>
      <c r="AJ4783">
        <v>111.629400984764</v>
      </c>
      <c r="AK4783">
        <v>103.320776362689</v>
      </c>
      <c r="AL4783">
        <v>90.634910978222507</v>
      </c>
      <c r="AM4783">
        <v>89.397520004488996</v>
      </c>
      <c r="AN4783">
        <v>0.99999997826877396</v>
      </c>
    </row>
    <row r="4784" spans="1:40" x14ac:dyDescent="0.25">
      <c r="A4784" t="str">
        <f>"20190312161411370"</f>
        <v>20190312161411370</v>
      </c>
      <c r="B4784" t="str">
        <f>"1552378451361219"</f>
        <v>1552378451361219</v>
      </c>
      <c r="C4784" t="s">
        <v>40</v>
      </c>
      <c r="D4784">
        <v>5.2035749999999998</v>
      </c>
      <c r="E4784">
        <v>0.3448039</v>
      </c>
      <c r="F4784" t="s">
        <v>77</v>
      </c>
      <c r="G4784">
        <v>-421.95030000000003</v>
      </c>
      <c r="H4784" s="1">
        <v>-1.426514E-6</v>
      </c>
      <c r="I4784">
        <v>37.806049999999999</v>
      </c>
      <c r="J4784">
        <v>-418.58409999999998</v>
      </c>
      <c r="K4784">
        <v>1.1158999999999999</v>
      </c>
      <c r="L4784">
        <v>123.93940000000001</v>
      </c>
      <c r="M4784">
        <v>-0.4025068</v>
      </c>
      <c r="N4784">
        <v>0</v>
      </c>
      <c r="O4784">
        <v>-0.91530129999999998</v>
      </c>
      <c r="P4784">
        <v>-0.41226879999999999</v>
      </c>
      <c r="Q4784">
        <v>-2.5375089999999999E-2</v>
      </c>
      <c r="R4784">
        <v>-0.91070910000000005</v>
      </c>
      <c r="S4784">
        <v>-0.12976070000000001</v>
      </c>
      <c r="T4784">
        <v>-4.1941520000000003E-2</v>
      </c>
      <c r="U4784">
        <v>-3.2451629999999998</v>
      </c>
      <c r="V4784">
        <v>1.093276E-2</v>
      </c>
      <c r="W4784">
        <v>-1.065471E-2</v>
      </c>
      <c r="X4784">
        <v>0.99988350000000004</v>
      </c>
      <c r="Y4784">
        <v>-0.36565550000000002</v>
      </c>
      <c r="Z4784">
        <v>1.083607E-2</v>
      </c>
      <c r="AA4784">
        <v>0.93068720000000005</v>
      </c>
      <c r="AB4784">
        <v>24</v>
      </c>
      <c r="AC4784">
        <v>-3.36620000000004</v>
      </c>
      <c r="AD4784">
        <v>-1.1159014265139999</v>
      </c>
      <c r="AE4784">
        <v>-86.133349999999993</v>
      </c>
      <c r="AF4784">
        <v>-31.586224150256601</v>
      </c>
      <c r="AG4784">
        <v>-1.1159014265139999</v>
      </c>
      <c r="AH4784">
        <v>80.187941004427302</v>
      </c>
      <c r="AI4784">
        <v>90.7418126421192</v>
      </c>
      <c r="AJ4784">
        <v>111.49960052614</v>
      </c>
      <c r="AK4784">
        <v>86.1918828811244</v>
      </c>
      <c r="AL4784">
        <v>90.610481447084695</v>
      </c>
      <c r="AM4784">
        <v>89.373550973194895</v>
      </c>
      <c r="AN4784">
        <v>1.00000003082932</v>
      </c>
    </row>
    <row r="4785" spans="1:40" x14ac:dyDescent="0.25">
      <c r="A4785" t="str">
        <f>"20190312161411393"</f>
        <v>20190312161411393</v>
      </c>
      <c r="B4785" t="str">
        <f>"1552378451381716"</f>
        <v>1552378451381716</v>
      </c>
      <c r="C4785" t="s">
        <v>40</v>
      </c>
      <c r="D4785">
        <v>5.2457630000000002</v>
      </c>
      <c r="E4785">
        <v>0.355155</v>
      </c>
      <c r="F4785" t="s">
        <v>42</v>
      </c>
      <c r="G4785">
        <v>-421.255</v>
      </c>
      <c r="H4785" s="1">
        <v>-2.7914949999999999E-6</v>
      </c>
      <c r="I4785">
        <v>45.31776</v>
      </c>
      <c r="J4785">
        <v>-418.66820000000001</v>
      </c>
      <c r="K4785">
        <v>1.115799</v>
      </c>
      <c r="L4785">
        <v>123.72450000000001</v>
      </c>
      <c r="M4785">
        <v>-0.39488400000000001</v>
      </c>
      <c r="N4785">
        <v>0</v>
      </c>
      <c r="O4785">
        <v>-0.91861599999999999</v>
      </c>
      <c r="P4785">
        <v>-0.40501379999999998</v>
      </c>
      <c r="Q4785">
        <v>-2.4662119999999999E-2</v>
      </c>
      <c r="R4785">
        <v>-0.91397810000000002</v>
      </c>
      <c r="S4785">
        <v>-0.1101685</v>
      </c>
      <c r="T4785">
        <v>-4.6028489999999998E-2</v>
      </c>
      <c r="U4785">
        <v>-3.242966</v>
      </c>
      <c r="V4785">
        <v>1.127418E-2</v>
      </c>
      <c r="W4785">
        <v>-9.9649860000000003E-3</v>
      </c>
      <c r="X4785">
        <v>0.99988679999999996</v>
      </c>
      <c r="Y4785">
        <v>-0.36350710000000003</v>
      </c>
      <c r="Z4785">
        <v>1.197668E-2</v>
      </c>
      <c r="AA4785">
        <v>0.93151439999999996</v>
      </c>
      <c r="AB4785">
        <v>24</v>
      </c>
      <c r="AC4785">
        <v>-2.5867999999999798</v>
      </c>
      <c r="AD4785">
        <v>-1.115801791495</v>
      </c>
      <c r="AE4785">
        <v>-78.406739999999999</v>
      </c>
      <c r="AF4785">
        <v>-28.582529118782499</v>
      </c>
      <c r="AG4785">
        <v>-1.115801791495</v>
      </c>
      <c r="AH4785">
        <v>73.040113423782103</v>
      </c>
      <c r="AI4785">
        <v>90.8150394161148</v>
      </c>
      <c r="AJ4785">
        <v>111.371721027479</v>
      </c>
      <c r="AK4785">
        <v>78.441469602646507</v>
      </c>
      <c r="AL4785">
        <v>90.570961084503594</v>
      </c>
      <c r="AM4785">
        <v>89.353991313287594</v>
      </c>
      <c r="AN4785">
        <v>1.00000001044744</v>
      </c>
    </row>
    <row r="4786" spans="1:40" x14ac:dyDescent="0.25">
      <c r="A4786" t="str">
        <f>"20190312161411416"</f>
        <v>20190312161411416</v>
      </c>
      <c r="B4786" t="str">
        <f>"1552378451410995"</f>
        <v>1552378451410995</v>
      </c>
      <c r="C4786" t="s">
        <v>40</v>
      </c>
      <c r="D4786">
        <v>5.2807309999999896</v>
      </c>
      <c r="E4786">
        <v>0.35712959999999999</v>
      </c>
      <c r="F4786" t="s">
        <v>42</v>
      </c>
      <c r="G4786">
        <v>-421.04160000000002</v>
      </c>
      <c r="H4786" s="1">
        <v>-2.884965E-6</v>
      </c>
      <c r="I4786">
        <v>75.667990000000003</v>
      </c>
      <c r="J4786">
        <v>-418.75569999999999</v>
      </c>
      <c r="K4786">
        <v>1.1156980000000001</v>
      </c>
      <c r="L4786">
        <v>123.4956</v>
      </c>
      <c r="M4786">
        <v>-0.38687519999999997</v>
      </c>
      <c r="N4786">
        <v>0</v>
      </c>
      <c r="O4786">
        <v>-0.92201789999999995</v>
      </c>
      <c r="P4786">
        <v>-0.39742820000000001</v>
      </c>
      <c r="Q4786">
        <v>-2.4551969999999999E-2</v>
      </c>
      <c r="R4786">
        <v>-0.91730509999999998</v>
      </c>
      <c r="S4786">
        <v>-0.15853879999999901</v>
      </c>
      <c r="T4786">
        <v>-7.4534420000000004E-2</v>
      </c>
      <c r="U4786">
        <v>-3.2101289999999998</v>
      </c>
      <c r="V4786">
        <v>1.16872E-2</v>
      </c>
      <c r="W4786">
        <v>-9.877551E-3</v>
      </c>
      <c r="X4786">
        <v>0.99988290000000002</v>
      </c>
      <c r="Y4786">
        <v>-0.34096710000000002</v>
      </c>
      <c r="Z4786">
        <v>1.9802070000000001E-2</v>
      </c>
      <c r="AA4786">
        <v>0.93986670000000005</v>
      </c>
      <c r="AB4786">
        <v>24</v>
      </c>
      <c r="AC4786">
        <v>-2.2859000000000198</v>
      </c>
      <c r="AD4786">
        <v>-1.1157008849650001</v>
      </c>
      <c r="AE4786">
        <v>-47.8276099999999</v>
      </c>
      <c r="AF4786">
        <v>-16.388504091390299</v>
      </c>
      <c r="AG4786">
        <v>-1.1157008849650001</v>
      </c>
      <c r="AH4786">
        <v>44.962595564395301</v>
      </c>
      <c r="AI4786">
        <v>91.335529013454405</v>
      </c>
      <c r="AJ4786">
        <v>110.02639092176901</v>
      </c>
      <c r="AK4786">
        <v>47.869226593977999</v>
      </c>
      <c r="AL4786">
        <v>90.565951195797993</v>
      </c>
      <c r="AM4786">
        <v>89.330324839627096</v>
      </c>
      <c r="AN4786">
        <v>0.99999998518500299</v>
      </c>
    </row>
    <row r="4787" spans="1:40" x14ac:dyDescent="0.25">
      <c r="A4787" t="str">
        <f>"20190312161411437"</f>
        <v>20190312161411437</v>
      </c>
      <c r="B4787" t="str">
        <f>"1552378451431027"</f>
        <v>1552378451431027</v>
      </c>
      <c r="C4787" t="s">
        <v>40</v>
      </c>
      <c r="D4787">
        <v>5.270702</v>
      </c>
      <c r="E4787">
        <v>0.35866170000000003</v>
      </c>
      <c r="F4787" t="s">
        <v>42</v>
      </c>
      <c r="G4787">
        <v>-420.84059999999999</v>
      </c>
      <c r="H4787" s="1">
        <v>-3.7271599999999998E-6</v>
      </c>
      <c r="I4787">
        <v>77.755859999999998</v>
      </c>
      <c r="J4787">
        <v>-418.83629999999999</v>
      </c>
      <c r="K4787">
        <v>1.115613</v>
      </c>
      <c r="L4787">
        <v>123.2796</v>
      </c>
      <c r="M4787">
        <v>-0.37942700000000001</v>
      </c>
      <c r="N4787">
        <v>0</v>
      </c>
      <c r="O4787">
        <v>-0.92510829999999999</v>
      </c>
      <c r="P4787">
        <v>-0.39066139999999999</v>
      </c>
      <c r="Q4787">
        <v>-2.5458950000000001E-2</v>
      </c>
      <c r="R4787">
        <v>-0.92018250000000001</v>
      </c>
      <c r="S4787">
        <v>-0.14608759999999901</v>
      </c>
      <c r="T4787">
        <v>-7.817876E-2</v>
      </c>
      <c r="U4787">
        <v>-3.2050480000000001</v>
      </c>
      <c r="V4787">
        <v>1.2405899999999999E-2</v>
      </c>
      <c r="W4787">
        <v>-1.0801460000000001E-2</v>
      </c>
      <c r="X4787">
        <v>0.99986470000000005</v>
      </c>
      <c r="Y4787">
        <v>-0.336953</v>
      </c>
      <c r="Z4787">
        <v>2.093389E-2</v>
      </c>
      <c r="AA4787">
        <v>0.94128869999999998</v>
      </c>
      <c r="AB4787">
        <v>24</v>
      </c>
      <c r="AC4787">
        <v>-2.0043000000000002</v>
      </c>
      <c r="AD4787">
        <v>-1.1156167271599999</v>
      </c>
      <c r="AE4787">
        <v>-45.523739999999997</v>
      </c>
      <c r="AF4787">
        <v>-15.411121746026801</v>
      </c>
      <c r="AG4787">
        <v>-1.1156167271599999</v>
      </c>
      <c r="AH4787">
        <v>42.8536869298079</v>
      </c>
      <c r="AI4787">
        <v>91.403306645422205</v>
      </c>
      <c r="AJ4787">
        <v>109.779692943859</v>
      </c>
      <c r="AK4787">
        <v>45.554206804978698</v>
      </c>
      <c r="AL4787">
        <v>90.618890106630204</v>
      </c>
      <c r="AM4787">
        <v>89.2891345811869</v>
      </c>
      <c r="AN4787">
        <v>0.99999999809951501</v>
      </c>
    </row>
    <row r="4788" spans="1:40" x14ac:dyDescent="0.25">
      <c r="A4788" t="str">
        <f>"20190312161411460"</f>
        <v>20190312161411460</v>
      </c>
      <c r="B4788" t="str">
        <f>"1552378451451523"</f>
        <v>1552378451451523</v>
      </c>
      <c r="C4788" t="s">
        <v>40</v>
      </c>
      <c r="D4788">
        <v>5.0628169999999999</v>
      </c>
      <c r="E4788">
        <v>0.359595</v>
      </c>
      <c r="F4788" t="s">
        <v>42</v>
      </c>
      <c r="G4788">
        <v>-420.6028</v>
      </c>
      <c r="H4788" s="1">
        <v>-7.7602099999999895E-7</v>
      </c>
      <c r="I4788">
        <v>81.024180000000001</v>
      </c>
      <c r="J4788">
        <v>-418.91730000000001</v>
      </c>
      <c r="K4788">
        <v>1.1155139999999999</v>
      </c>
      <c r="L4788">
        <v>123.0575</v>
      </c>
      <c r="M4788">
        <v>-0.37189349999999999</v>
      </c>
      <c r="N4788">
        <v>0</v>
      </c>
      <c r="O4788">
        <v>-0.92816259999999995</v>
      </c>
      <c r="P4788">
        <v>-0.38392680000000001</v>
      </c>
      <c r="Q4788">
        <v>-2.6805320000000001E-2</v>
      </c>
      <c r="R4788">
        <v>-0.92297459999999998</v>
      </c>
      <c r="S4788">
        <v>-0.13381960000000001</v>
      </c>
      <c r="T4788">
        <v>-8.451438E-2</v>
      </c>
      <c r="U4788">
        <v>-3.2010960000000002</v>
      </c>
      <c r="V4788">
        <v>1.325723E-2</v>
      </c>
      <c r="W4788">
        <v>-1.216486E-2</v>
      </c>
      <c r="X4788">
        <v>0.99983809999999995</v>
      </c>
      <c r="Y4788">
        <v>-0.33284429999999998</v>
      </c>
      <c r="Z4788">
        <v>2.2797970000000001E-2</v>
      </c>
      <c r="AA4788">
        <v>0.94270620000000005</v>
      </c>
      <c r="AB4788">
        <v>24</v>
      </c>
      <c r="AC4788">
        <v>-1.68549999999999</v>
      </c>
      <c r="AD4788">
        <v>-1.11551477602099</v>
      </c>
      <c r="AE4788">
        <v>-42.033320000000003</v>
      </c>
      <c r="AF4788">
        <v>-14.059087570181999</v>
      </c>
      <c r="AG4788">
        <v>-1.11551477602099</v>
      </c>
      <c r="AH4788">
        <v>39.616875612866203</v>
      </c>
      <c r="AI4788">
        <v>91.520053093677603</v>
      </c>
      <c r="AJ4788">
        <v>109.53856440369201</v>
      </c>
      <c r="AK4788">
        <v>42.052338220922699</v>
      </c>
      <c r="AL4788">
        <v>90.697012340664301</v>
      </c>
      <c r="AM4788">
        <v>89.240338193410096</v>
      </c>
      <c r="AN4788">
        <v>0.99999998208885099</v>
      </c>
    </row>
    <row r="4789" spans="1:40" x14ac:dyDescent="0.25">
      <c r="A4789" t="str">
        <f>"20190312161411481"</f>
        <v>20190312161411481</v>
      </c>
      <c r="B4789" t="str">
        <f>"1552378451471039"</f>
        <v>1552378451471039</v>
      </c>
      <c r="C4789" t="s">
        <v>40</v>
      </c>
      <c r="D4789">
        <v>5.3356510000000004</v>
      </c>
      <c r="E4789">
        <v>0.36051919999999998</v>
      </c>
      <c r="F4789" t="s">
        <v>42</v>
      </c>
      <c r="G4789">
        <v>-420.39690000000002</v>
      </c>
      <c r="H4789" s="1">
        <v>-1.4212620000000001E-6</v>
      </c>
      <c r="I4789">
        <v>82.655929999999998</v>
      </c>
      <c r="J4789">
        <v>-418.99560000000002</v>
      </c>
      <c r="K4789">
        <v>1.1154010000000001</v>
      </c>
      <c r="L4789">
        <v>122.8379</v>
      </c>
      <c r="M4789">
        <v>-0.36456830000000001</v>
      </c>
      <c r="N4789">
        <v>0</v>
      </c>
      <c r="O4789">
        <v>-0.93106440000000001</v>
      </c>
      <c r="P4789">
        <v>-0.3780867</v>
      </c>
      <c r="Q4789">
        <v>-2.7316159999999999E-2</v>
      </c>
      <c r="R4789">
        <v>-0.92536689999999999</v>
      </c>
      <c r="S4789">
        <v>-0.117157</v>
      </c>
      <c r="T4789">
        <v>-8.8327530000000001E-2</v>
      </c>
      <c r="U4789">
        <v>-3.199036</v>
      </c>
      <c r="V4789">
        <v>1.482633E-2</v>
      </c>
      <c r="W4789">
        <v>-1.2684839999999999E-2</v>
      </c>
      <c r="X4789">
        <v>0.99980959999999997</v>
      </c>
      <c r="Y4789">
        <v>-0.33029059999999999</v>
      </c>
      <c r="Z4789">
        <v>2.397465E-2</v>
      </c>
      <c r="AA4789">
        <v>0.94357469999999999</v>
      </c>
      <c r="AB4789">
        <v>24</v>
      </c>
      <c r="AC4789">
        <v>-1.40129999999999</v>
      </c>
      <c r="AD4789">
        <v>-1.115402421262</v>
      </c>
      <c r="AE4789">
        <v>-40.18197</v>
      </c>
      <c r="AF4789">
        <v>-13.3355037189929</v>
      </c>
      <c r="AG4789">
        <v>-1.115402421262</v>
      </c>
      <c r="AH4789">
        <v>37.897669054255402</v>
      </c>
      <c r="AI4789">
        <v>91.590309387460906</v>
      </c>
      <c r="AJ4789">
        <v>109.386047540313</v>
      </c>
      <c r="AK4789">
        <v>40.1909579600499</v>
      </c>
      <c r="AL4789">
        <v>90.7268073018612</v>
      </c>
      <c r="AM4789">
        <v>89.150414364419802</v>
      </c>
      <c r="AN4789">
        <v>0.99999998073962704</v>
      </c>
    </row>
    <row r="4790" spans="1:40" x14ac:dyDescent="0.25">
      <c r="A4790" t="str">
        <f>"20190312161411504"</f>
        <v>20190312161411504</v>
      </c>
      <c r="B4790" t="str">
        <f>"1552378451501295"</f>
        <v>1552378451501295</v>
      </c>
      <c r="C4790" t="s">
        <v>40</v>
      </c>
      <c r="D4790">
        <v>5.325895</v>
      </c>
      <c r="E4790">
        <v>0.36147820000000003</v>
      </c>
      <c r="F4790" t="s">
        <v>42</v>
      </c>
      <c r="G4790">
        <v>-420.29539999999997</v>
      </c>
      <c r="H4790" s="1">
        <v>-1.4712509999999999E-6</v>
      </c>
      <c r="I4790">
        <v>82.835380000000001</v>
      </c>
      <c r="J4790">
        <v>-419.07389999999998</v>
      </c>
      <c r="K4790">
        <v>1.11527</v>
      </c>
      <c r="L4790">
        <v>122.6129</v>
      </c>
      <c r="M4790">
        <v>-0.35720249999999998</v>
      </c>
      <c r="N4790">
        <v>0</v>
      </c>
      <c r="O4790">
        <v>-0.93391559999999996</v>
      </c>
      <c r="P4790">
        <v>-0.37194899999999997</v>
      </c>
      <c r="Q4790">
        <v>-2.799989E-2</v>
      </c>
      <c r="R4790">
        <v>-0.92783090000000001</v>
      </c>
      <c r="S4790">
        <v>-0.1038818</v>
      </c>
      <c r="T4790">
        <v>-8.9139339999999997E-2</v>
      </c>
      <c r="U4790">
        <v>-3.196869</v>
      </c>
      <c r="V4790">
        <v>1.6113140000000001E-2</v>
      </c>
      <c r="W4790">
        <v>-1.338368E-2</v>
      </c>
      <c r="X4790">
        <v>0.99978060000000002</v>
      </c>
      <c r="Y4790">
        <v>-0.32672299999999999</v>
      </c>
      <c r="Z4790">
        <v>2.4348290000000002E-2</v>
      </c>
      <c r="AA4790">
        <v>0.94480649999999999</v>
      </c>
      <c r="AB4790">
        <v>24</v>
      </c>
      <c r="AC4790">
        <v>-1.22149999999999</v>
      </c>
      <c r="AD4790">
        <v>-1.1152714712509999</v>
      </c>
      <c r="AE4790">
        <v>-39.777520000000003</v>
      </c>
      <c r="AF4790">
        <v>-13.058954959752599</v>
      </c>
      <c r="AG4790">
        <v>-1.1152714712509999</v>
      </c>
      <c r="AH4790">
        <v>37.5595809561325</v>
      </c>
      <c r="AI4790">
        <v>91.606526762496401</v>
      </c>
      <c r="AJ4790">
        <v>109.171867305443</v>
      </c>
      <c r="AK4790">
        <v>39.780676926061702</v>
      </c>
      <c r="AL4790">
        <v>90.766851271299998</v>
      </c>
      <c r="AM4790">
        <v>89.076662424754403</v>
      </c>
      <c r="AN4790">
        <v>1.0000000021536799</v>
      </c>
    </row>
    <row r="4791" spans="1:40" x14ac:dyDescent="0.25">
      <c r="A4791" t="str">
        <f>"20190312161411520"</f>
        <v>20190312161411520</v>
      </c>
      <c r="B4791" t="str">
        <f>"1552378451511056"</f>
        <v>1552378451511056</v>
      </c>
      <c r="C4791" t="s">
        <v>40</v>
      </c>
      <c r="D4791">
        <v>5.4463679999999997</v>
      </c>
      <c r="E4791">
        <v>0.37032910000000002</v>
      </c>
      <c r="F4791" t="s">
        <v>42</v>
      </c>
      <c r="G4791">
        <v>-420.17860000000002</v>
      </c>
      <c r="H4791" s="1">
        <v>-1.6185250000000001E-6</v>
      </c>
      <c r="I4791">
        <v>83.251109999999997</v>
      </c>
      <c r="J4791">
        <v>-419.13040000000001</v>
      </c>
      <c r="K4791">
        <v>1.1151740000000001</v>
      </c>
      <c r="L4791">
        <v>122.4473</v>
      </c>
      <c r="M4791">
        <v>-0.35188580000000003</v>
      </c>
      <c r="N4791">
        <v>0</v>
      </c>
      <c r="O4791">
        <v>-0.93593249999999995</v>
      </c>
      <c r="P4791">
        <v>-0.36709829999999999</v>
      </c>
      <c r="Q4791">
        <v>-2.830802E-2</v>
      </c>
      <c r="R4791">
        <v>-0.92975189999999996</v>
      </c>
      <c r="S4791">
        <v>-8.966064E-2</v>
      </c>
      <c r="T4791">
        <v>-9.0517039999999993E-2</v>
      </c>
      <c r="U4791">
        <v>-3.1946560000000002</v>
      </c>
      <c r="V4791">
        <v>1.658132E-2</v>
      </c>
      <c r="W4791">
        <v>-1.370937E-2</v>
      </c>
      <c r="X4791">
        <v>0.99976860000000001</v>
      </c>
      <c r="Y4791">
        <v>-0.32552880000000001</v>
      </c>
      <c r="Z4791">
        <v>2.4833569999999999E-2</v>
      </c>
      <c r="AA4791">
        <v>0.94520590000000004</v>
      </c>
      <c r="AB4791">
        <v>24</v>
      </c>
      <c r="AC4791">
        <v>-1.0482</v>
      </c>
      <c r="AD4791">
        <v>-1.1151756185249999</v>
      </c>
      <c r="AE4791">
        <v>-39.196190000000001</v>
      </c>
      <c r="AF4791">
        <v>-12.8025069644364</v>
      </c>
      <c r="AG4791">
        <v>-1.1151756185249999</v>
      </c>
      <c r="AH4791">
        <v>37.027714356266898</v>
      </c>
      <c r="AI4791">
        <v>91.630424572355906</v>
      </c>
      <c r="AJ4791">
        <v>109.073068107491</v>
      </c>
      <c r="AK4791">
        <v>39.194380103324697</v>
      </c>
      <c r="AL4791">
        <v>90.785513592689796</v>
      </c>
      <c r="AM4791">
        <v>89.049827569301499</v>
      </c>
      <c r="AN4791">
        <v>1.0000000702723399</v>
      </c>
    </row>
    <row r="4792" spans="1:40" x14ac:dyDescent="0.25">
      <c r="A4792" t="str">
        <f>"20190312161411538"</f>
        <v>20190312161411538</v>
      </c>
      <c r="B4792" t="str">
        <f>"1552378451531555"</f>
        <v>1552378451531555</v>
      </c>
      <c r="C4792" t="s">
        <v>40</v>
      </c>
      <c r="D4792">
        <v>5.3461049999999997</v>
      </c>
      <c r="E4792">
        <v>0.37121749999999998</v>
      </c>
      <c r="F4792" t="s">
        <v>42</v>
      </c>
      <c r="G4792">
        <v>-420.71910000000003</v>
      </c>
      <c r="H4792" s="1">
        <v>-2.9743960000000002E-6</v>
      </c>
      <c r="I4792">
        <v>86.076480000000004</v>
      </c>
      <c r="J4792">
        <v>-419.18779999999998</v>
      </c>
      <c r="K4792">
        <v>1.1150690000000001</v>
      </c>
      <c r="L4792">
        <v>122.2762</v>
      </c>
      <c r="M4792">
        <v>-0.34647679999999997</v>
      </c>
      <c r="N4792">
        <v>0</v>
      </c>
      <c r="O4792">
        <v>-0.93794840000000002</v>
      </c>
      <c r="P4792">
        <v>-0.36312369999999999</v>
      </c>
      <c r="Q4792">
        <v>-2.9430789999999998E-2</v>
      </c>
      <c r="R4792">
        <v>-0.9312764</v>
      </c>
      <c r="S4792">
        <v>-0.13842769999999999</v>
      </c>
      <c r="T4792">
        <v>-9.7168210000000005E-2</v>
      </c>
      <c r="U4792">
        <v>-3.1690830000000001</v>
      </c>
      <c r="V4792">
        <v>1.8104519999999999E-2</v>
      </c>
      <c r="W4792">
        <v>-1.483868E-2</v>
      </c>
      <c r="X4792">
        <v>0.999726</v>
      </c>
      <c r="Y4792">
        <v>-0.30526009999999998</v>
      </c>
      <c r="Z4792">
        <v>2.7062389999999999E-2</v>
      </c>
      <c r="AA4792">
        <v>0.95188439999999996</v>
      </c>
      <c r="AB4792">
        <v>24</v>
      </c>
      <c r="AC4792">
        <v>-1.5313000000000401</v>
      </c>
      <c r="AD4792">
        <v>-1.115071974396</v>
      </c>
      <c r="AE4792">
        <v>-36.199719999999999</v>
      </c>
      <c r="AF4792">
        <v>-11.09672007941</v>
      </c>
      <c r="AG4792">
        <v>-1.115071974396</v>
      </c>
      <c r="AH4792">
        <v>34.454958551624898</v>
      </c>
      <c r="AI4792">
        <v>91.764436093985495</v>
      </c>
      <c r="AJ4792">
        <v>107.851908517449</v>
      </c>
      <c r="AK4792">
        <v>36.214979646867903</v>
      </c>
      <c r="AL4792">
        <v>90.850224925882003</v>
      </c>
      <c r="AM4792">
        <v>88.962516517816098</v>
      </c>
      <c r="AN4792">
        <v>1.0000000175722801</v>
      </c>
    </row>
    <row r="4793" spans="1:40" x14ac:dyDescent="0.25">
      <c r="A4793" t="str">
        <f>"20190312161411560"</f>
        <v>20190312161411560</v>
      </c>
      <c r="B4793" t="str">
        <f>"1552378451551071"</f>
        <v>1552378451551071</v>
      </c>
      <c r="C4793" t="s">
        <v>40</v>
      </c>
      <c r="D4793">
        <v>5.376951</v>
      </c>
      <c r="E4793">
        <v>0.37213249999999998</v>
      </c>
      <c r="F4793" t="s">
        <v>42</v>
      </c>
      <c r="G4793">
        <v>-420.60509999999999</v>
      </c>
      <c r="H4793" s="1">
        <v>-3.8205549999999997E-6</v>
      </c>
      <c r="I4793">
        <v>88.119630000000001</v>
      </c>
      <c r="J4793">
        <v>-419.262</v>
      </c>
      <c r="K4793">
        <v>1.114943</v>
      </c>
      <c r="L4793">
        <v>122.0506</v>
      </c>
      <c r="M4793">
        <v>-0.33948050000000002</v>
      </c>
      <c r="N4793">
        <v>0</v>
      </c>
      <c r="O4793">
        <v>-0.9405036</v>
      </c>
      <c r="P4793">
        <v>-0.3563924</v>
      </c>
      <c r="Q4793">
        <v>-2.9854220000000001E-2</v>
      </c>
      <c r="R4793">
        <v>-0.93385960000000001</v>
      </c>
      <c r="S4793">
        <v>-0.13140869999999999</v>
      </c>
      <c r="T4793">
        <v>-0.1033864</v>
      </c>
      <c r="U4793">
        <v>-3.1669010000000002</v>
      </c>
      <c r="V4793">
        <v>1.8340599999999999E-2</v>
      </c>
      <c r="W4793">
        <v>-1.52911E-2</v>
      </c>
      <c r="X4793">
        <v>0.99971489999999996</v>
      </c>
      <c r="Y4793">
        <v>-0.3002416</v>
      </c>
      <c r="Z4793">
        <v>2.8963780000000001E-2</v>
      </c>
      <c r="AA4793">
        <v>0.95342329999999997</v>
      </c>
      <c r="AB4793">
        <v>24</v>
      </c>
      <c r="AC4793">
        <v>-1.3431000000000399</v>
      </c>
      <c r="AD4793">
        <v>-1.1149468205549999</v>
      </c>
      <c r="AE4793">
        <v>-33.930970000000002</v>
      </c>
      <c r="AF4793">
        <v>-10.2457232924223</v>
      </c>
      <c r="AG4793">
        <v>-1.1149468205549999</v>
      </c>
      <c r="AH4793">
        <v>32.336629365684999</v>
      </c>
      <c r="AI4793">
        <v>91.882574413713499</v>
      </c>
      <c r="AJ4793">
        <v>107.580583399953</v>
      </c>
      <c r="AK4793">
        <v>33.939292139513299</v>
      </c>
      <c r="AL4793">
        <v>90.876149606023901</v>
      </c>
      <c r="AM4793">
        <v>88.948979249891394</v>
      </c>
      <c r="AN4793">
        <v>1.00000003831478</v>
      </c>
    </row>
    <row r="4794" spans="1:40" x14ac:dyDescent="0.25">
      <c r="A4794" t="str">
        <f>"20190312161411583"</f>
        <v>20190312161411583</v>
      </c>
      <c r="B4794" t="str">
        <f>"1552378451571568"</f>
        <v>1552378451571568</v>
      </c>
      <c r="C4794" t="s">
        <v>40</v>
      </c>
      <c r="D4794">
        <v>5.3852699999999896</v>
      </c>
      <c r="E4794">
        <v>0.37262919999999999</v>
      </c>
      <c r="F4794" t="s">
        <v>42</v>
      </c>
      <c r="G4794">
        <v>-420.48230000000001</v>
      </c>
      <c r="H4794" s="1">
        <v>-4.0005890000000002E-6</v>
      </c>
      <c r="I4794">
        <v>88.615459999999999</v>
      </c>
      <c r="J4794">
        <v>-419.334</v>
      </c>
      <c r="K4794">
        <v>1.1148260000000001</v>
      </c>
      <c r="L4794">
        <v>121.82640000000001</v>
      </c>
      <c r="M4794">
        <v>-0.33267970000000002</v>
      </c>
      <c r="N4794">
        <v>0</v>
      </c>
      <c r="O4794">
        <v>-0.94293119999999997</v>
      </c>
      <c r="P4794">
        <v>-0.3493792</v>
      </c>
      <c r="Q4794">
        <v>-2.986519E-2</v>
      </c>
      <c r="R4794">
        <v>-0.9365057</v>
      </c>
      <c r="S4794">
        <v>-0.115509</v>
      </c>
      <c r="T4794">
        <v>-0.10554230000000001</v>
      </c>
      <c r="U4794">
        <v>-3.165009</v>
      </c>
      <c r="V4794">
        <v>1.805936E-2</v>
      </c>
      <c r="W4794">
        <v>-1.533554E-2</v>
      </c>
      <c r="X4794">
        <v>0.99971929999999998</v>
      </c>
      <c r="Y4794">
        <v>-0.29811169999999998</v>
      </c>
      <c r="Z4794">
        <v>2.971882E-2</v>
      </c>
      <c r="AA4794">
        <v>0.95406820000000003</v>
      </c>
      <c r="AB4794">
        <v>24</v>
      </c>
      <c r="AC4794">
        <v>-1.1483000000000001</v>
      </c>
      <c r="AD4794">
        <v>-1.1148300005889999</v>
      </c>
      <c r="AE4794">
        <v>-33.210940000000001</v>
      </c>
      <c r="AF4794">
        <v>-9.9556543155736499</v>
      </c>
      <c r="AG4794">
        <v>-1.1148300005889999</v>
      </c>
      <c r="AH4794">
        <v>31.665258153878501</v>
      </c>
      <c r="AI4794">
        <v>91.923605297413602</v>
      </c>
      <c r="AJ4794">
        <v>107.453307646138</v>
      </c>
      <c r="AK4794">
        <v>33.212143452857497</v>
      </c>
      <c r="AL4794">
        <v>90.878696163483198</v>
      </c>
      <c r="AM4794">
        <v>88.965096923727401</v>
      </c>
      <c r="AN4794">
        <v>0.99999999903159498</v>
      </c>
    </row>
    <row r="4795" spans="1:40" x14ac:dyDescent="0.25">
      <c r="A4795" t="str">
        <f>"20190312161411831"</f>
        <v>20190312161411831</v>
      </c>
      <c r="B4795" t="str">
        <f>"1552378451821423"</f>
        <v>1552378451821423</v>
      </c>
      <c r="C4795" t="s">
        <v>40</v>
      </c>
      <c r="D4795">
        <v>5.0235519999999996</v>
      </c>
      <c r="E4795">
        <v>0.37294280000000002</v>
      </c>
      <c r="F4795" t="s">
        <v>42</v>
      </c>
      <c r="G4795">
        <v>-420.3605</v>
      </c>
      <c r="H4795" s="1">
        <v>-3.651466E-6</v>
      </c>
      <c r="I4795">
        <v>87.877189999999999</v>
      </c>
      <c r="J4795">
        <v>-420.03590000000003</v>
      </c>
      <c r="K4795">
        <v>1.1137330000000001</v>
      </c>
      <c r="L4795">
        <v>119.3361</v>
      </c>
      <c r="M4795">
        <v>-0.26598470000000002</v>
      </c>
      <c r="N4795">
        <v>0</v>
      </c>
      <c r="O4795">
        <v>-0.96387429999999996</v>
      </c>
      <c r="P4795">
        <v>-0.28862259999999901</v>
      </c>
      <c r="Q4795">
        <v>-3.1114880000000001E-2</v>
      </c>
      <c r="R4795">
        <v>-0.95693760000000005</v>
      </c>
      <c r="S4795">
        <v>-9.5672610000000005E-2</v>
      </c>
      <c r="T4795">
        <v>-0.1039125</v>
      </c>
      <c r="U4795">
        <v>-3.1643829999999999</v>
      </c>
      <c r="V4795">
        <v>2.3812730000000001E-2</v>
      </c>
      <c r="W4795">
        <v>-1.681856E-2</v>
      </c>
      <c r="X4795">
        <v>0.99957499999999999</v>
      </c>
      <c r="Y4795">
        <v>-0.2367707</v>
      </c>
      <c r="Z4795">
        <v>3.0575850000000002E-2</v>
      </c>
      <c r="AA4795">
        <v>0.97108430000000001</v>
      </c>
      <c r="AB4795">
        <v>24</v>
      </c>
      <c r="AC4795">
        <v>-0.32459999999997502</v>
      </c>
      <c r="AD4795">
        <v>-1.1137366514659901</v>
      </c>
      <c r="AE4795">
        <v>-31.458909999999999</v>
      </c>
      <c r="AF4795">
        <v>-8.0454317903982897</v>
      </c>
      <c r="AG4795">
        <v>-1.1137366514659901</v>
      </c>
      <c r="AH4795">
        <v>30.373726277453699</v>
      </c>
      <c r="AI4795">
        <v>92.030020888900793</v>
      </c>
      <c r="AJ4795">
        <v>104.835871574593</v>
      </c>
      <c r="AK4795">
        <v>31.440938758256799</v>
      </c>
      <c r="AL4795">
        <v>90.9636778970509</v>
      </c>
      <c r="AM4795">
        <v>88.635309096868895</v>
      </c>
      <c r="AN4795">
        <v>1.00000004534776</v>
      </c>
    </row>
    <row r="4796" spans="1:40" x14ac:dyDescent="0.25">
      <c r="A4796" t="str">
        <f>"20190312161411850"</f>
        <v>20190312161411850</v>
      </c>
      <c r="B4796" t="str">
        <f>"1552378451840945"</f>
        <v>1552378451840945</v>
      </c>
      <c r="C4796" t="s">
        <v>40</v>
      </c>
      <c r="D4796">
        <v>5.1190049999999996</v>
      </c>
      <c r="E4796">
        <v>0.37463229999999997</v>
      </c>
      <c r="F4796" t="s">
        <v>42</v>
      </c>
      <c r="G4796">
        <v>-419.03559999999999</v>
      </c>
      <c r="H4796" s="1">
        <v>-4.2975919999999999E-6</v>
      </c>
      <c r="I4796">
        <v>89.251819999999995</v>
      </c>
      <c r="J4796">
        <v>-420.08749999999998</v>
      </c>
      <c r="K4796">
        <v>1.113637</v>
      </c>
      <c r="L4796">
        <v>119.12730000000001</v>
      </c>
      <c r="M4796">
        <v>-0.26108910000000002</v>
      </c>
      <c r="N4796">
        <v>0</v>
      </c>
      <c r="O4796">
        <v>-0.96521210000000002</v>
      </c>
      <c r="P4796">
        <v>-0.28537849999999998</v>
      </c>
      <c r="Q4796">
        <v>-3.171384E-2</v>
      </c>
      <c r="R4796">
        <v>-0.95789020000000002</v>
      </c>
      <c r="S4796">
        <v>0.1051636</v>
      </c>
      <c r="T4796">
        <v>-0.11709360000000001</v>
      </c>
      <c r="U4796">
        <v>-3.1629330000000002</v>
      </c>
      <c r="V4796">
        <v>2.5504820000000001E-2</v>
      </c>
      <c r="W4796">
        <v>-1.7426759999999999E-2</v>
      </c>
      <c r="X4796">
        <v>0.99952280000000004</v>
      </c>
      <c r="Y4796">
        <v>-0.29302420000000001</v>
      </c>
      <c r="Z4796">
        <v>3.4246190000000003E-2</v>
      </c>
      <c r="AA4796">
        <v>0.95549150000000005</v>
      </c>
      <c r="AB4796">
        <v>23</v>
      </c>
      <c r="AC4796">
        <v>1.0518999999999801</v>
      </c>
      <c r="AD4796">
        <v>-1.113641297592</v>
      </c>
      <c r="AE4796">
        <v>-29.87548</v>
      </c>
      <c r="AF4796">
        <v>-8.8041237757872004</v>
      </c>
      <c r="AG4796">
        <v>-1.113641297592</v>
      </c>
      <c r="AH4796">
        <v>28.5247780596344</v>
      </c>
      <c r="AI4796">
        <v>92.136411894082897</v>
      </c>
      <c r="AJ4796">
        <v>107.152751719381</v>
      </c>
      <c r="AK4796">
        <v>29.873328501365201</v>
      </c>
      <c r="AL4796">
        <v>90.998530336124205</v>
      </c>
      <c r="AM4796">
        <v>88.538300973309305</v>
      </c>
      <c r="AN4796">
        <v>1.00000000776358</v>
      </c>
    </row>
    <row r="4797" spans="1:40" x14ac:dyDescent="0.25">
      <c r="A4797" t="str">
        <f>"20190312161411873"</f>
        <v>20190312161411873</v>
      </c>
      <c r="B4797" t="str">
        <f>"1552378451861440"</f>
        <v>1552378451861440</v>
      </c>
      <c r="C4797" t="s">
        <v>40</v>
      </c>
      <c r="D4797">
        <v>5.4684089999999896</v>
      </c>
      <c r="E4797">
        <v>0.37687720000000002</v>
      </c>
      <c r="F4797" t="s">
        <v>42</v>
      </c>
      <c r="G4797">
        <v>-419.1703</v>
      </c>
      <c r="H4797" s="1">
        <v>-8.0911769999999995E-7</v>
      </c>
      <c r="I4797">
        <v>91.175790000000006</v>
      </c>
      <c r="J4797">
        <v>-420.13959999999997</v>
      </c>
      <c r="K4797">
        <v>1.113542</v>
      </c>
      <c r="L4797">
        <v>118.9118</v>
      </c>
      <c r="M4797">
        <v>-0.25614530000000002</v>
      </c>
      <c r="N4797">
        <v>0</v>
      </c>
      <c r="O4797">
        <v>-0.9665359</v>
      </c>
      <c r="P4797">
        <v>-0.28188469999999999</v>
      </c>
      <c r="Q4797">
        <v>-3.1329549999999998E-2</v>
      </c>
      <c r="R4797">
        <v>-0.95893689999999998</v>
      </c>
      <c r="S4797">
        <v>0.1036377</v>
      </c>
      <c r="T4797">
        <v>-0.12584380000000001</v>
      </c>
      <c r="U4797">
        <v>-3.158585</v>
      </c>
      <c r="V4797">
        <v>2.696664E-2</v>
      </c>
      <c r="W4797">
        <v>-1.70533E-2</v>
      </c>
      <c r="X4797">
        <v>0.99949089999999996</v>
      </c>
      <c r="Y4797">
        <v>-0.28770489999999999</v>
      </c>
      <c r="Z4797">
        <v>3.6963719999999999E-2</v>
      </c>
      <c r="AA4797">
        <v>0.95700560000000001</v>
      </c>
      <c r="AB4797">
        <v>23</v>
      </c>
      <c r="AC4797">
        <v>0.96929999999997496</v>
      </c>
      <c r="AD4797">
        <v>-1.1135428091177</v>
      </c>
      <c r="AE4797">
        <v>-27.736009999999901</v>
      </c>
      <c r="AF4797">
        <v>-8.0291817273943806</v>
      </c>
      <c r="AG4797">
        <v>-1.1135428091177</v>
      </c>
      <c r="AH4797">
        <v>26.519503288538498</v>
      </c>
      <c r="AI4797">
        <v>92.301364883010706</v>
      </c>
      <c r="AJ4797">
        <v>106.84448398492999</v>
      </c>
      <c r="AK4797">
        <v>27.730701243749099</v>
      </c>
      <c r="AL4797">
        <v>90.977129445225003</v>
      </c>
      <c r="AM4797">
        <v>88.454513276962103</v>
      </c>
      <c r="AN4797">
        <v>1.00000003694829</v>
      </c>
    </row>
    <row r="4798" spans="1:40" x14ac:dyDescent="0.25">
      <c r="A4798" t="str">
        <f>"20190312161411895"</f>
        <v>20190312161411895</v>
      </c>
      <c r="B4798" t="str">
        <f>"1552378451891696"</f>
        <v>1552378451891696</v>
      </c>
      <c r="C4798" t="s">
        <v>40</v>
      </c>
      <c r="D4798">
        <v>5.3800049999999997</v>
      </c>
      <c r="E4798">
        <v>0.38131409999999999</v>
      </c>
      <c r="F4798" t="s">
        <v>42</v>
      </c>
      <c r="G4798">
        <v>-419.29759999999999</v>
      </c>
      <c r="H4798" s="1">
        <v>-1.0196360000000001E-6</v>
      </c>
      <c r="I4798">
        <v>91.719149999999999</v>
      </c>
      <c r="J4798">
        <v>-420.19349999999997</v>
      </c>
      <c r="K4798">
        <v>1.1134500000000001</v>
      </c>
      <c r="L4798">
        <v>118.68389999999999</v>
      </c>
      <c r="M4798">
        <v>-0.25104270000000001</v>
      </c>
      <c r="N4798">
        <v>0</v>
      </c>
      <c r="O4798">
        <v>-0.96787409999999996</v>
      </c>
      <c r="P4798">
        <v>-0.27782469999999998</v>
      </c>
      <c r="Q4798">
        <v>-3.0786460000000002E-2</v>
      </c>
      <c r="R4798">
        <v>-0.96013859999999995</v>
      </c>
      <c r="S4798">
        <v>9.7625729999999994E-2</v>
      </c>
      <c r="T4798">
        <v>-0.1291136</v>
      </c>
      <c r="U4798">
        <v>-3.1529389999999999</v>
      </c>
      <c r="V4798">
        <v>2.7997859999999999E-2</v>
      </c>
      <c r="W4798">
        <v>-1.652468E-2</v>
      </c>
      <c r="X4798">
        <v>0.99947140000000001</v>
      </c>
      <c r="Y4798">
        <v>-0.28087699999999999</v>
      </c>
      <c r="Z4798">
        <v>3.8115309999999999E-2</v>
      </c>
      <c r="AA4798">
        <v>0.95898660000000002</v>
      </c>
      <c r="AB4798">
        <v>23</v>
      </c>
      <c r="AC4798">
        <v>0.89589999999998304</v>
      </c>
      <c r="AD4798">
        <v>-1.1134510196359999</v>
      </c>
      <c r="AE4798">
        <v>-26.964749999999899</v>
      </c>
      <c r="AF4798">
        <v>-7.6241897959627698</v>
      </c>
      <c r="AG4798">
        <v>-1.1134510196359999</v>
      </c>
      <c r="AH4798">
        <v>25.8321288986902</v>
      </c>
      <c r="AI4798">
        <v>92.367279963176699</v>
      </c>
      <c r="AJ4798">
        <v>106.443632558806</v>
      </c>
      <c r="AK4798">
        <v>26.9567603145581</v>
      </c>
      <c r="AL4798">
        <v>90.946837504848602</v>
      </c>
      <c r="AM4798">
        <v>88.395412003618901</v>
      </c>
      <c r="AN4798">
        <v>1.0000000123158199</v>
      </c>
    </row>
    <row r="4799" spans="1:40" x14ac:dyDescent="0.25">
      <c r="A4799" t="str">
        <f>"20190312161411918"</f>
        <v>20190312161411918</v>
      </c>
      <c r="B4799" t="str">
        <f>"1552378451911217"</f>
        <v>1552378451911217</v>
      </c>
      <c r="C4799" t="s">
        <v>40</v>
      </c>
      <c r="D4799">
        <v>5.5155260000000004</v>
      </c>
      <c r="E4799">
        <v>0.38380039999999999</v>
      </c>
      <c r="F4799" t="s">
        <v>42</v>
      </c>
      <c r="G4799">
        <v>-419.55849999999998</v>
      </c>
      <c r="H4799" s="1">
        <v>-1.4698319999999999E-6</v>
      </c>
      <c r="I4799">
        <v>92.876419999999996</v>
      </c>
      <c r="J4799">
        <v>-420.24669999999998</v>
      </c>
      <c r="K4799">
        <v>1.113364</v>
      </c>
      <c r="L4799">
        <v>118.45489999999999</v>
      </c>
      <c r="M4799">
        <v>-0.24604490000000001</v>
      </c>
      <c r="N4799">
        <v>0</v>
      </c>
      <c r="O4799">
        <v>-0.96915689999999999</v>
      </c>
      <c r="P4799">
        <v>-0.27318189999999998</v>
      </c>
      <c r="Q4799">
        <v>-3.076373E-2</v>
      </c>
      <c r="R4799">
        <v>-0.96147039999999995</v>
      </c>
      <c r="S4799">
        <v>7.7331540000000004E-2</v>
      </c>
      <c r="T4799">
        <v>-0.13558539999999999</v>
      </c>
      <c r="U4799">
        <v>-3.1425930000000002</v>
      </c>
      <c r="V4799">
        <v>2.8322030000000002E-2</v>
      </c>
      <c r="W4799">
        <v>-1.6521709999999998E-2</v>
      </c>
      <c r="X4799">
        <v>0.99946230000000003</v>
      </c>
      <c r="Y4799">
        <v>-0.26981349999999998</v>
      </c>
      <c r="Z4799">
        <v>4.0309409999999997E-2</v>
      </c>
      <c r="AA4799">
        <v>0.96206849999999999</v>
      </c>
      <c r="AB4799">
        <v>23</v>
      </c>
      <c r="AC4799">
        <v>0.68819999999999404</v>
      </c>
      <c r="AD4799">
        <v>-1.1133654698319999</v>
      </c>
      <c r="AE4799">
        <v>-25.578479999999999</v>
      </c>
      <c r="AF4799">
        <v>-6.94795903739438</v>
      </c>
      <c r="AG4799">
        <v>-1.1133654698319999</v>
      </c>
      <c r="AH4799">
        <v>24.5761262422788</v>
      </c>
      <c r="AI4799">
        <v>92.496175278657006</v>
      </c>
      <c r="AJ4799">
        <v>105.78621969477901</v>
      </c>
      <c r="AK4799">
        <v>25.563640165890899</v>
      </c>
      <c r="AL4799">
        <v>90.946667327933</v>
      </c>
      <c r="AM4799">
        <v>88.376828577185506</v>
      </c>
      <c r="AN4799">
        <v>0.99999999670296702</v>
      </c>
    </row>
    <row r="4800" spans="1:40" x14ac:dyDescent="0.25">
      <c r="A4800" t="str">
        <f>"20190312161411940"</f>
        <v>20190312161411940</v>
      </c>
      <c r="B4800" t="str">
        <f>"1552378451931725"</f>
        <v>1552378451931725</v>
      </c>
      <c r="C4800" t="s">
        <v>40</v>
      </c>
      <c r="D4800">
        <v>5.4189049999999996</v>
      </c>
      <c r="E4800">
        <v>0.38584459999999998</v>
      </c>
      <c r="F4800" t="s">
        <v>42</v>
      </c>
      <c r="G4800">
        <v>-419.64980000000003</v>
      </c>
      <c r="H4800" s="1">
        <v>-1.519875E-6</v>
      </c>
      <c r="I4800">
        <v>93.030850000000001</v>
      </c>
      <c r="J4800">
        <v>-420.29750000000001</v>
      </c>
      <c r="K4800">
        <v>1.113281</v>
      </c>
      <c r="L4800">
        <v>118.2317</v>
      </c>
      <c r="M4800">
        <v>-0.2413014</v>
      </c>
      <c r="N4800">
        <v>0</v>
      </c>
      <c r="O4800">
        <v>-0.97034900000000002</v>
      </c>
      <c r="P4800">
        <v>-0.2694529</v>
      </c>
      <c r="Q4800">
        <v>-3.0782509999999999E-2</v>
      </c>
      <c r="R4800">
        <v>-0.96252159999999998</v>
      </c>
      <c r="S4800">
        <v>7.3638919999999997E-2</v>
      </c>
      <c r="T4800">
        <v>-0.13736370000000001</v>
      </c>
      <c r="U4800">
        <v>-3.136749</v>
      </c>
      <c r="V4800">
        <v>2.933322E-2</v>
      </c>
      <c r="W4800">
        <v>-1.655535E-2</v>
      </c>
      <c r="X4800">
        <v>0.9994326</v>
      </c>
      <c r="Y4800">
        <v>-0.26401019999999997</v>
      </c>
      <c r="Z4800">
        <v>4.1027139999999997E-2</v>
      </c>
      <c r="AA4800">
        <v>0.96364689999999997</v>
      </c>
      <c r="AB4800">
        <v>23</v>
      </c>
      <c r="AC4800">
        <v>0.64769999999998595</v>
      </c>
      <c r="AD4800">
        <v>-1.113282519875</v>
      </c>
      <c r="AE4800">
        <v>-25.200849999999999</v>
      </c>
      <c r="AF4800">
        <v>-6.6970934727261504</v>
      </c>
      <c r="AG4800">
        <v>-1.113282519875</v>
      </c>
      <c r="AH4800">
        <v>24.252417028920799</v>
      </c>
      <c r="AI4800">
        <v>92.5335671102182</v>
      </c>
      <c r="AJ4800">
        <v>105.43702652612799</v>
      </c>
      <c r="AK4800">
        <v>25.184721374201899</v>
      </c>
      <c r="AL4800">
        <v>90.948594999820401</v>
      </c>
      <c r="AM4800">
        <v>88.318858750383399</v>
      </c>
      <c r="AN4800">
        <v>1.00000001967597</v>
      </c>
    </row>
    <row r="4801" spans="1:40" x14ac:dyDescent="0.25">
      <c r="A4801" t="str">
        <f>"20190312161411961"</f>
        <v>20190312161411961</v>
      </c>
      <c r="B4801" t="str">
        <f>"1552378451951232"</f>
        <v>1552378451951232</v>
      </c>
      <c r="C4801" t="s">
        <v>40</v>
      </c>
      <c r="D4801">
        <v>5.4274879999999897</v>
      </c>
      <c r="E4801">
        <v>0.38742779999999999</v>
      </c>
      <c r="F4801" t="s">
        <v>42</v>
      </c>
      <c r="G4801">
        <v>-419.72789999999998</v>
      </c>
      <c r="H4801" s="1">
        <v>-1.381436E-6</v>
      </c>
      <c r="I4801">
        <v>92.740440000000007</v>
      </c>
      <c r="J4801">
        <v>-420.3467</v>
      </c>
      <c r="K4801">
        <v>1.1131960000000001</v>
      </c>
      <c r="L4801">
        <v>118.01130000000001</v>
      </c>
      <c r="M4801">
        <v>-0.23674510000000001</v>
      </c>
      <c r="N4801">
        <v>0</v>
      </c>
      <c r="O4801">
        <v>-0.97147110000000003</v>
      </c>
      <c r="P4801">
        <v>-0.26661879999999999</v>
      </c>
      <c r="Q4801">
        <v>-3.113846E-2</v>
      </c>
      <c r="R4801">
        <v>-0.96329920000000002</v>
      </c>
      <c r="S4801">
        <v>6.997681E-2</v>
      </c>
      <c r="T4801">
        <v>-0.13678570000000001</v>
      </c>
      <c r="U4801">
        <v>-3.132034</v>
      </c>
      <c r="V4801">
        <v>3.1082720000000001E-2</v>
      </c>
      <c r="W4801">
        <v>-1.6922079999999999E-2</v>
      </c>
      <c r="X4801">
        <v>0.99937359999999997</v>
      </c>
      <c r="Y4801">
        <v>-0.2583876</v>
      </c>
      <c r="Z4801">
        <v>4.1023539999999997E-2</v>
      </c>
      <c r="AA4801">
        <v>0.96516990000000003</v>
      </c>
      <c r="AB4801">
        <v>23</v>
      </c>
      <c r="AC4801">
        <v>0.618800000000021</v>
      </c>
      <c r="AD4801">
        <v>-1.1131973814360001</v>
      </c>
      <c r="AE4801">
        <v>-25.270859999999999</v>
      </c>
      <c r="AF4801">
        <v>-6.5717981317377401</v>
      </c>
      <c r="AG4801">
        <v>-1.1131973814360001</v>
      </c>
      <c r="AH4801">
        <v>24.358561576006402</v>
      </c>
      <c r="AI4801">
        <v>92.526413538977295</v>
      </c>
      <c r="AJ4801">
        <v>105.098583172977</v>
      </c>
      <c r="AK4801">
        <v>25.254054350667001</v>
      </c>
      <c r="AL4801">
        <v>90.969610003031505</v>
      </c>
      <c r="AM4801">
        <v>88.218549346670798</v>
      </c>
      <c r="AN4801">
        <v>1.00000004232554</v>
      </c>
    </row>
    <row r="4802" spans="1:40" x14ac:dyDescent="0.25">
      <c r="A4802" t="str">
        <f>"20190312161411986"</f>
        <v>20190312161411986</v>
      </c>
      <c r="B4802" t="str">
        <f>"1552378451981488"</f>
        <v>1552378451981488</v>
      </c>
      <c r="C4802" t="s">
        <v>40</v>
      </c>
      <c r="D4802">
        <v>5.4450649999999996</v>
      </c>
      <c r="E4802">
        <v>0.40702139999999998</v>
      </c>
      <c r="F4802" t="s">
        <v>42</v>
      </c>
      <c r="G4802">
        <v>-419.79579999999999</v>
      </c>
      <c r="H4802" s="1">
        <v>-1.1886369999999999E-6</v>
      </c>
      <c r="I4802">
        <v>92.31908</v>
      </c>
      <c r="J4802">
        <v>-420.39949999999999</v>
      </c>
      <c r="K4802">
        <v>1.113084</v>
      </c>
      <c r="L4802">
        <v>117.7696</v>
      </c>
      <c r="M4802">
        <v>-0.23188800000000001</v>
      </c>
      <c r="N4802">
        <v>0</v>
      </c>
      <c r="O4802">
        <v>-0.97264200000000001</v>
      </c>
      <c r="P4802">
        <v>-0.2634455</v>
      </c>
      <c r="Q4802">
        <v>-3.0474609999999999E-2</v>
      </c>
      <c r="R4802">
        <v>-0.96419310000000003</v>
      </c>
      <c r="S4802">
        <v>6.7077639999999994E-2</v>
      </c>
      <c r="T4802">
        <v>-0.13555120000000001</v>
      </c>
      <c r="U4802">
        <v>-3.128479</v>
      </c>
      <c r="V4802">
        <v>3.2771109999999999E-2</v>
      </c>
      <c r="W4802">
        <v>-1.627232E-2</v>
      </c>
      <c r="X4802">
        <v>0.99933039999999995</v>
      </c>
      <c r="Y4802">
        <v>-0.2526872</v>
      </c>
      <c r="Z4802">
        <v>4.0809270000000002E-2</v>
      </c>
      <c r="AA4802">
        <v>0.96668699999999996</v>
      </c>
      <c r="AB4802">
        <v>23</v>
      </c>
      <c r="AC4802">
        <v>0.60370000000000301</v>
      </c>
      <c r="AD4802">
        <v>-1.1130851886369999</v>
      </c>
      <c r="AE4802">
        <v>-25.450520000000001</v>
      </c>
      <c r="AF4802">
        <v>-6.4771062519368403</v>
      </c>
      <c r="AG4802">
        <v>-1.1130851886369999</v>
      </c>
      <c r="AH4802">
        <v>24.5696904083382</v>
      </c>
      <c r="AI4802">
        <v>92.508326703695602</v>
      </c>
      <c r="AJ4802">
        <v>104.768418845811</v>
      </c>
      <c r="AK4802">
        <v>25.4334730384513</v>
      </c>
      <c r="AL4802">
        <v>90.932376417249301</v>
      </c>
      <c r="AM4802">
        <v>88.121768673818806</v>
      </c>
      <c r="AN4802">
        <v>0.99999999120648697</v>
      </c>
    </row>
    <row r="4803" spans="1:40" x14ac:dyDescent="0.25">
      <c r="A4803" t="str">
        <f>"20190312161412007"</f>
        <v>20190312161412007</v>
      </c>
      <c r="B4803" t="str">
        <f>"1552378452001007"</f>
        <v>1552378452001007</v>
      </c>
      <c r="C4803" t="s">
        <v>40</v>
      </c>
      <c r="D4803">
        <v>5.551507</v>
      </c>
      <c r="E4803">
        <v>0.40815790000000002</v>
      </c>
      <c r="F4803" t="s">
        <v>42</v>
      </c>
      <c r="G4803">
        <v>-421.12169999999998</v>
      </c>
      <c r="H4803" s="1">
        <v>-3.7149650000000001E-6</v>
      </c>
      <c r="I4803">
        <v>87.553089999999997</v>
      </c>
      <c r="J4803">
        <v>-420.44650000000001</v>
      </c>
      <c r="K4803">
        <v>1.112989</v>
      </c>
      <c r="L4803">
        <v>117.5504</v>
      </c>
      <c r="M4803">
        <v>-0.2276203</v>
      </c>
      <c r="N4803">
        <v>0</v>
      </c>
      <c r="O4803">
        <v>-0.97365000000000002</v>
      </c>
      <c r="P4803">
        <v>-0.26046330000000001</v>
      </c>
      <c r="Q4803">
        <v>-2.9772509999999999E-2</v>
      </c>
      <c r="R4803">
        <v>-0.96502460000000001</v>
      </c>
      <c r="S4803">
        <v>-7.3791499999999996E-2</v>
      </c>
      <c r="T4803">
        <v>-0.11374090000000001</v>
      </c>
      <c r="U4803">
        <v>-3.0876769999999998</v>
      </c>
      <c r="V4803">
        <v>3.4050039999999997E-2</v>
      </c>
      <c r="W4803">
        <v>-1.5585130000000001E-2</v>
      </c>
      <c r="X4803">
        <v>0.99929860000000004</v>
      </c>
      <c r="Y4803">
        <v>-0.20432620000000001</v>
      </c>
      <c r="Z4803">
        <v>3.49707E-2</v>
      </c>
      <c r="AA4803">
        <v>0.97827799999999998</v>
      </c>
      <c r="AB4803">
        <v>23</v>
      </c>
      <c r="AC4803">
        <v>-0.67519999999996105</v>
      </c>
      <c r="AD4803">
        <v>-1.1129927149650001</v>
      </c>
      <c r="AE4803">
        <v>-29.997309999999999</v>
      </c>
      <c r="AF4803">
        <v>-6.1627094143374901</v>
      </c>
      <c r="AG4803">
        <v>-1.1129927149650001</v>
      </c>
      <c r="AH4803">
        <v>29.323081580447599</v>
      </c>
      <c r="AI4803">
        <v>92.127258124764396</v>
      </c>
      <c r="AJ4803">
        <v>101.86887818292701</v>
      </c>
      <c r="AK4803">
        <v>29.9843434725977</v>
      </c>
      <c r="AL4803">
        <v>90.892998328564701</v>
      </c>
      <c r="AM4803">
        <v>88.048462110655294</v>
      </c>
      <c r="AN4803">
        <v>0.99999999673153905</v>
      </c>
    </row>
    <row r="4804" spans="1:40" x14ac:dyDescent="0.25">
      <c r="A4804" t="str">
        <f>"20190312161412031"</f>
        <v>20190312161412031</v>
      </c>
      <c r="B4804" t="str">
        <f>"1552378452021504"</f>
        <v>1552378452021504</v>
      </c>
      <c r="C4804" t="s">
        <v>40</v>
      </c>
      <c r="D4804">
        <v>5.6093359999999999</v>
      </c>
      <c r="E4804">
        <v>0.41395910000000002</v>
      </c>
      <c r="F4804" t="s">
        <v>42</v>
      </c>
      <c r="G4804">
        <v>-421.1361</v>
      </c>
      <c r="H4804" s="1">
        <v>-4.0946739999999997E-6</v>
      </c>
      <c r="I4804">
        <v>88.429249999999996</v>
      </c>
      <c r="J4804">
        <v>-420.49439999999998</v>
      </c>
      <c r="K4804">
        <v>1.112884</v>
      </c>
      <c r="L4804">
        <v>117.3231</v>
      </c>
      <c r="M4804">
        <v>-0.22334889999999999</v>
      </c>
      <c r="N4804">
        <v>0</v>
      </c>
      <c r="O4804">
        <v>-0.97463860000000002</v>
      </c>
      <c r="P4804">
        <v>-0.2567044</v>
      </c>
      <c r="Q4804">
        <v>-2.9298790000000002E-2</v>
      </c>
      <c r="R4804">
        <v>-0.96604590000000001</v>
      </c>
      <c r="S4804">
        <v>-7.3059079999999998E-2</v>
      </c>
      <c r="T4804">
        <v>-0.1179205</v>
      </c>
      <c r="U4804">
        <v>-3.0853579999999998</v>
      </c>
      <c r="V4804">
        <v>3.4530989999999998E-2</v>
      </c>
      <c r="W4804">
        <v>-1.513231E-2</v>
      </c>
      <c r="X4804">
        <v>0.99928899999999998</v>
      </c>
      <c r="Y4804">
        <v>-0.20024790000000001</v>
      </c>
      <c r="Z4804">
        <v>3.6353870000000003E-2</v>
      </c>
      <c r="AA4804">
        <v>0.97907049999999995</v>
      </c>
      <c r="AB4804">
        <v>23</v>
      </c>
      <c r="AC4804">
        <v>-0.64170000000001404</v>
      </c>
      <c r="AD4804">
        <v>-1.1128880946740001</v>
      </c>
      <c r="AE4804">
        <v>-28.89385</v>
      </c>
      <c r="AF4804">
        <v>-5.8199222622421001</v>
      </c>
      <c r="AG4804">
        <v>-1.1128880946740001</v>
      </c>
      <c r="AH4804">
        <v>28.2652314735491</v>
      </c>
      <c r="AI4804">
        <v>92.208462207003095</v>
      </c>
      <c r="AJ4804">
        <v>101.63482003443001</v>
      </c>
      <c r="AK4804">
        <v>28.879635131059398</v>
      </c>
      <c r="AL4804">
        <v>90.867050641289396</v>
      </c>
      <c r="AM4804">
        <v>88.020899798814995</v>
      </c>
      <c r="AN4804">
        <v>0.99999994079865595</v>
      </c>
    </row>
    <row r="4805" spans="1:40" x14ac:dyDescent="0.25">
      <c r="A4805" t="str">
        <f>"20190312161412051"</f>
        <v>20190312161412051</v>
      </c>
      <c r="B4805" t="str">
        <f>"1552378452041024"</f>
        <v>1552378452041024</v>
      </c>
      <c r="C4805" t="s">
        <v>40</v>
      </c>
      <c r="D4805">
        <v>5.6277650000000001</v>
      </c>
      <c r="E4805">
        <v>0.4149969</v>
      </c>
      <c r="F4805" t="s">
        <v>42</v>
      </c>
      <c r="G4805">
        <v>-421.10129999999998</v>
      </c>
      <c r="H4805" s="1">
        <v>-4.4111279999999999E-6</v>
      </c>
      <c r="I4805">
        <v>99.375050000000002</v>
      </c>
      <c r="J4805">
        <v>-420.5394</v>
      </c>
      <c r="K4805">
        <v>1.1127910000000001</v>
      </c>
      <c r="L4805">
        <v>117.1049</v>
      </c>
      <c r="M4805">
        <v>-0.21938589999999999</v>
      </c>
      <c r="N4805">
        <v>0</v>
      </c>
      <c r="O4805">
        <v>-0.97553860000000003</v>
      </c>
      <c r="P4805">
        <v>-0.25236069999999999</v>
      </c>
      <c r="Q4805">
        <v>-2.9191829999999998E-2</v>
      </c>
      <c r="R4805">
        <v>-0.96719279999999996</v>
      </c>
      <c r="S4805">
        <v>-0.1038818</v>
      </c>
      <c r="T4805">
        <v>-0.19048689999999999</v>
      </c>
      <c r="U4805">
        <v>-3.0720670000000001</v>
      </c>
      <c r="V4805">
        <v>3.4097240000000001E-2</v>
      </c>
      <c r="W4805">
        <v>-1.5050320000000001E-2</v>
      </c>
      <c r="X4805">
        <v>0.9993052</v>
      </c>
      <c r="Y4805">
        <v>-0.18636649999999999</v>
      </c>
      <c r="Z4805">
        <v>5.9070780000000003E-2</v>
      </c>
      <c r="AA4805">
        <v>0.98070290000000004</v>
      </c>
      <c r="AB4805">
        <v>23</v>
      </c>
      <c r="AC4805">
        <v>-0.56189999999997997</v>
      </c>
      <c r="AD4805">
        <v>-1.1127954111280001</v>
      </c>
      <c r="AE4805">
        <v>-17.729849999999999</v>
      </c>
      <c r="AF4805">
        <v>-3.3287487536929299</v>
      </c>
      <c r="AG4805">
        <v>-1.1127954111280001</v>
      </c>
      <c r="AH4805">
        <v>17.352828599675298</v>
      </c>
      <c r="AI4805">
        <v>93.603690164490004</v>
      </c>
      <c r="AJ4805">
        <v>100.85898980277101</v>
      </c>
      <c r="AK4805">
        <v>17.704223854830499</v>
      </c>
      <c r="AL4805">
        <v>90.862352366774999</v>
      </c>
      <c r="AM4805">
        <v>88.045771891403305</v>
      </c>
      <c r="AN4805">
        <v>1.0000000083273799</v>
      </c>
    </row>
    <row r="4806" spans="1:40" x14ac:dyDescent="0.25">
      <c r="A4806" t="str">
        <f>"20190312161412074"</f>
        <v>20190312161412074</v>
      </c>
      <c r="B4806" t="str">
        <f>"1552378452071279"</f>
        <v>1552378452071279</v>
      </c>
      <c r="C4806" t="s">
        <v>40</v>
      </c>
      <c r="D4806">
        <v>5.7175310000000001</v>
      </c>
      <c r="E4806">
        <v>0.41645349999999998</v>
      </c>
      <c r="F4806" t="s">
        <v>42</v>
      </c>
      <c r="G4806">
        <v>-421.10789999999997</v>
      </c>
      <c r="H4806" s="1">
        <v>-4.3844690000000003E-6</v>
      </c>
      <c r="I4806">
        <v>99.293270000000007</v>
      </c>
      <c r="J4806">
        <v>-420.58440000000002</v>
      </c>
      <c r="K4806">
        <v>1.112708</v>
      </c>
      <c r="L4806">
        <v>116.88339999999999</v>
      </c>
      <c r="M4806">
        <v>-0.21547169999999999</v>
      </c>
      <c r="N4806">
        <v>0</v>
      </c>
      <c r="O4806">
        <v>-0.97641080000000002</v>
      </c>
      <c r="P4806">
        <v>-0.24868689999999999</v>
      </c>
      <c r="Q4806">
        <v>-2.876503E-2</v>
      </c>
      <c r="R4806">
        <v>-0.96815689999999999</v>
      </c>
      <c r="S4806">
        <v>-9.799194E-2</v>
      </c>
      <c r="T4806">
        <v>-0.19182650000000001</v>
      </c>
      <c r="U4806">
        <v>-3.0704189999999998</v>
      </c>
      <c r="V4806">
        <v>3.4302779999999998E-2</v>
      </c>
      <c r="W4806">
        <v>-1.4643069999999999E-2</v>
      </c>
      <c r="X4806">
        <v>0.99930419999999998</v>
      </c>
      <c r="Y4806">
        <v>-0.18428820000000001</v>
      </c>
      <c r="Z4806">
        <v>5.9611659999999997E-2</v>
      </c>
      <c r="AA4806">
        <v>0.98106280000000001</v>
      </c>
      <c r="AB4806">
        <v>23</v>
      </c>
      <c r="AC4806">
        <v>-0.523499999999955</v>
      </c>
      <c r="AD4806">
        <v>-1.1127123844689999</v>
      </c>
      <c r="AE4806">
        <v>-17.590129999999998</v>
      </c>
      <c r="AF4806">
        <v>-3.2662834865101198</v>
      </c>
      <c r="AG4806">
        <v>-1.1127123844689999</v>
      </c>
      <c r="AH4806">
        <v>17.220819710958999</v>
      </c>
      <c r="AI4806">
        <v>93.632408785326405</v>
      </c>
      <c r="AJ4806">
        <v>100.739751241074</v>
      </c>
      <c r="AK4806">
        <v>17.563125239607899</v>
      </c>
      <c r="AL4806">
        <v>90.839016102069607</v>
      </c>
      <c r="AM4806">
        <v>88.033998950010002</v>
      </c>
      <c r="AN4806">
        <v>0.99999999217619595</v>
      </c>
    </row>
    <row r="4807" spans="1:40" x14ac:dyDescent="0.25">
      <c r="A4807" t="str">
        <f>"20190312161412096"</f>
        <v>20190312161412096</v>
      </c>
      <c r="B4807" t="str">
        <f>"1552378452090800"</f>
        <v>1552378452090800</v>
      </c>
      <c r="C4807" t="s">
        <v>40</v>
      </c>
      <c r="D4807">
        <v>5.5120469999999999</v>
      </c>
      <c r="E4807">
        <v>0.41597830000000002</v>
      </c>
      <c r="F4807" t="s">
        <v>42</v>
      </c>
      <c r="G4807">
        <v>-421.16430000000003</v>
      </c>
      <c r="H4807" s="1">
        <v>-4.1476049999999901E-6</v>
      </c>
      <c r="I4807">
        <v>98.567830000000001</v>
      </c>
      <c r="J4807">
        <v>-420.62979999999999</v>
      </c>
      <c r="K4807">
        <v>1.112633</v>
      </c>
      <c r="L4807">
        <v>116.6559</v>
      </c>
      <c r="M4807">
        <v>-0.2115592</v>
      </c>
      <c r="N4807">
        <v>0</v>
      </c>
      <c r="O4807">
        <v>-0.97726610000000003</v>
      </c>
      <c r="P4807">
        <v>-0.24480850000000001</v>
      </c>
      <c r="Q4807">
        <v>-2.8089759999999998E-2</v>
      </c>
      <c r="R4807">
        <v>-0.96916449999999998</v>
      </c>
      <c r="S4807">
        <v>-9.713745E-2</v>
      </c>
      <c r="T4807">
        <v>-0.1863995</v>
      </c>
      <c r="U4807">
        <v>-3.0681919999999998</v>
      </c>
      <c r="V4807">
        <v>3.4293360000000002E-2</v>
      </c>
      <c r="W4807">
        <v>-1.398695E-2</v>
      </c>
      <c r="X4807">
        <v>0.99931400000000004</v>
      </c>
      <c r="Y4807">
        <v>-0.18059790000000001</v>
      </c>
      <c r="Z4807">
        <v>5.807184E-2</v>
      </c>
      <c r="AA4807">
        <v>0.98184110000000002</v>
      </c>
      <c r="AB4807">
        <v>23</v>
      </c>
      <c r="AC4807">
        <v>-0.53450000000003595</v>
      </c>
      <c r="AD4807">
        <v>-1.1126371476050001</v>
      </c>
      <c r="AE4807">
        <v>-18.088069999999998</v>
      </c>
      <c r="AF4807">
        <v>-3.2922228326280298</v>
      </c>
      <c r="AG4807">
        <v>-1.1126371476050001</v>
      </c>
      <c r="AH4807">
        <v>17.7246518236519</v>
      </c>
      <c r="AI4807">
        <v>93.531690590805894</v>
      </c>
      <c r="AJ4807">
        <v>100.5223522543</v>
      </c>
      <c r="AK4807">
        <v>18.0621143521902</v>
      </c>
      <c r="AL4807">
        <v>90.801419279558203</v>
      </c>
      <c r="AM4807">
        <v>88.034557676195107</v>
      </c>
      <c r="AN4807">
        <v>1.0000000699531899</v>
      </c>
    </row>
    <row r="4808" spans="1:40" x14ac:dyDescent="0.25">
      <c r="A4808" t="str">
        <f>"20190312161412120"</f>
        <v>20190312161412120</v>
      </c>
      <c r="B4808" t="str">
        <f>"1552378452111295"</f>
        <v>1552378452111295</v>
      </c>
      <c r="C4808" t="s">
        <v>40</v>
      </c>
      <c r="D4808">
        <v>5.5243589999999996</v>
      </c>
      <c r="E4808">
        <v>0.410443</v>
      </c>
      <c r="F4808" t="s">
        <v>42</v>
      </c>
      <c r="G4808">
        <v>-421.12430000000001</v>
      </c>
      <c r="H4808" s="1">
        <v>-3.892346E-6</v>
      </c>
      <c r="I4808">
        <v>97.964969999999994</v>
      </c>
      <c r="J4808">
        <v>-420.6755</v>
      </c>
      <c r="K4808">
        <v>1.1125640000000001</v>
      </c>
      <c r="L4808">
        <v>116.4221</v>
      </c>
      <c r="M4808">
        <v>-0.2076491</v>
      </c>
      <c r="N4808">
        <v>0</v>
      </c>
      <c r="O4808">
        <v>-0.97810459999999999</v>
      </c>
      <c r="P4808">
        <v>-0.24106320000000001</v>
      </c>
      <c r="Q4808">
        <v>-2.8125259999999999E-2</v>
      </c>
      <c r="R4808">
        <v>-0.97010180000000001</v>
      </c>
      <c r="S4808">
        <v>-8.1207280000000007E-2</v>
      </c>
      <c r="T4808">
        <v>-0.18273020000000001</v>
      </c>
      <c r="U4808">
        <v>-3.0696409999999998</v>
      </c>
      <c r="V4808">
        <v>3.4428180000000003E-2</v>
      </c>
      <c r="W4808">
        <v>-1.4040230000000001E-2</v>
      </c>
      <c r="X4808">
        <v>0.99930850000000004</v>
      </c>
      <c r="Y4808">
        <v>-0.18176819999999999</v>
      </c>
      <c r="Z4808">
        <v>5.6977970000000003E-2</v>
      </c>
      <c r="AA4808">
        <v>0.98168929999999999</v>
      </c>
      <c r="AB4808">
        <v>23</v>
      </c>
      <c r="AC4808">
        <v>-0.44880000000000497</v>
      </c>
      <c r="AD4808">
        <v>-1.1125678923459901</v>
      </c>
      <c r="AE4808">
        <v>-18.457129999999999</v>
      </c>
      <c r="AF4808">
        <v>-3.3816809695470198</v>
      </c>
      <c r="AG4808">
        <v>-1.1125678923459901</v>
      </c>
      <c r="AH4808">
        <v>18.082287139712001</v>
      </c>
      <c r="AI4808">
        <v>93.461004554520599</v>
      </c>
      <c r="AJ4808">
        <v>100.59287570196901</v>
      </c>
      <c r="AK4808">
        <v>18.429397214718399</v>
      </c>
      <c r="AL4808">
        <v>90.804472392437802</v>
      </c>
      <c r="AM4808">
        <v>88.026826033334402</v>
      </c>
      <c r="AN4808">
        <v>0.99999995290440602</v>
      </c>
    </row>
    <row r="4809" spans="1:40" x14ac:dyDescent="0.25">
      <c r="A4809" t="str">
        <f>"20190312161412142"</f>
        <v>20190312161412142</v>
      </c>
      <c r="B4809" t="str">
        <f>"1552378452130816"</f>
        <v>1552378452130816</v>
      </c>
      <c r="C4809" t="s">
        <v>40</v>
      </c>
      <c r="D4809">
        <v>5.5340910000000001</v>
      </c>
      <c r="E4809">
        <v>0.41144120000000001</v>
      </c>
      <c r="F4809" t="s">
        <v>42</v>
      </c>
      <c r="G4809">
        <v>-420.9785</v>
      </c>
      <c r="H4809" s="1">
        <v>-2.300676E-6</v>
      </c>
      <c r="I4809">
        <v>84.345119999999994</v>
      </c>
      <c r="J4809">
        <v>-420.7174</v>
      </c>
      <c r="K4809">
        <v>1.1125020000000001</v>
      </c>
      <c r="L4809">
        <v>116.2045</v>
      </c>
      <c r="M4809">
        <v>-0.20410610000000001</v>
      </c>
      <c r="N4809">
        <v>0</v>
      </c>
      <c r="O4809">
        <v>-0.97885029999999995</v>
      </c>
      <c r="P4809">
        <v>-0.2381221</v>
      </c>
      <c r="Q4809">
        <v>-2.8113240000000001E-2</v>
      </c>
      <c r="R4809">
        <v>-0.97082820000000003</v>
      </c>
      <c r="S4809">
        <v>-2.9113770000000001E-2</v>
      </c>
      <c r="T4809">
        <v>-0.10690180000000001</v>
      </c>
      <c r="U4809">
        <v>-3.082138</v>
      </c>
      <c r="V4809">
        <v>3.501568E-2</v>
      </c>
      <c r="W4809">
        <v>-1.404203E-2</v>
      </c>
      <c r="X4809">
        <v>0.99928810000000001</v>
      </c>
      <c r="Y4809">
        <v>-0.1948742</v>
      </c>
      <c r="Z4809">
        <v>3.323624E-2</v>
      </c>
      <c r="AA4809">
        <v>0.98026500000000005</v>
      </c>
      <c r="AB4809">
        <v>23</v>
      </c>
      <c r="AC4809">
        <v>-0.261099999999999</v>
      </c>
      <c r="AD4809">
        <v>-1.112504300676</v>
      </c>
      <c r="AE4809">
        <v>-31.859379999999899</v>
      </c>
      <c r="AF4809">
        <v>-6.2401098915876503</v>
      </c>
      <c r="AG4809">
        <v>-1.112504300676</v>
      </c>
      <c r="AH4809">
        <v>31.2038216231924</v>
      </c>
      <c r="AI4809">
        <v>92.002279873317903</v>
      </c>
      <c r="AJ4809">
        <v>101.30877703113499</v>
      </c>
      <c r="AK4809">
        <v>31.841091708201901</v>
      </c>
      <c r="AL4809">
        <v>90.804575503856398</v>
      </c>
      <c r="AM4809">
        <v>87.993141153920206</v>
      </c>
      <c r="AN4809">
        <v>0.99999999162699604</v>
      </c>
    </row>
    <row r="4810" spans="1:40" x14ac:dyDescent="0.25">
      <c r="A4810" t="str">
        <f>"20190312161412164"</f>
        <v>20190312161412164</v>
      </c>
      <c r="B4810" t="str">
        <f>"1552378452161073"</f>
        <v>1552378452161073</v>
      </c>
      <c r="C4810" t="s">
        <v>40</v>
      </c>
      <c r="D4810">
        <v>5.3981180000000002</v>
      </c>
      <c r="E4810">
        <v>0.40984910000000002</v>
      </c>
      <c r="F4810" t="s">
        <v>42</v>
      </c>
      <c r="G4810">
        <v>-420.96559999999999</v>
      </c>
      <c r="H4810" s="1">
        <v>-3.6687929999999999E-6</v>
      </c>
      <c r="I4810">
        <v>87.542270000000002</v>
      </c>
      <c r="J4810">
        <v>-420.75909999999999</v>
      </c>
      <c r="K4810">
        <v>1.112439</v>
      </c>
      <c r="L4810">
        <v>115.98390000000001</v>
      </c>
      <c r="M4810">
        <v>-0.20059940000000001</v>
      </c>
      <c r="N4810">
        <v>0</v>
      </c>
      <c r="O4810">
        <v>-0.97957499999999997</v>
      </c>
      <c r="P4810">
        <v>-0.23565340000000001</v>
      </c>
      <c r="Q4810">
        <v>-2.8102510000000001E-2</v>
      </c>
      <c r="R4810">
        <v>-0.97143080000000004</v>
      </c>
      <c r="S4810">
        <v>-2.6672359999999999E-2</v>
      </c>
      <c r="T4810">
        <v>-0.1195537</v>
      </c>
      <c r="U4810">
        <v>-3.080139</v>
      </c>
      <c r="V4810">
        <v>3.6051489999999999E-2</v>
      </c>
      <c r="W4810">
        <v>-1.4043089999999999E-2</v>
      </c>
      <c r="X4810">
        <v>0.99925120000000001</v>
      </c>
      <c r="Y4810">
        <v>-0.19213279999999999</v>
      </c>
      <c r="Z4810">
        <v>3.7241040000000003E-2</v>
      </c>
      <c r="AA4810">
        <v>0.98066200000000003</v>
      </c>
      <c r="AB4810">
        <v>23</v>
      </c>
      <c r="AC4810">
        <v>-0.20650000000000501</v>
      </c>
      <c r="AD4810">
        <v>-1.112442668793</v>
      </c>
      <c r="AE4810">
        <v>-28.44163</v>
      </c>
      <c r="AF4810">
        <v>-5.4952156119900799</v>
      </c>
      <c r="AG4810">
        <v>-1.112442668793</v>
      </c>
      <c r="AH4810">
        <v>27.862199753557999</v>
      </c>
      <c r="AI4810">
        <v>92.2432424497037</v>
      </c>
      <c r="AJ4810">
        <v>101.157155253203</v>
      </c>
      <c r="AK4810">
        <v>28.420716008235601</v>
      </c>
      <c r="AL4810">
        <v>90.804636285314501</v>
      </c>
      <c r="AM4810">
        <v>87.933750105155298</v>
      </c>
      <c r="AN4810">
        <v>0.99999993950470201</v>
      </c>
    </row>
    <row r="4811" spans="1:40" x14ac:dyDescent="0.25">
      <c r="A4811" t="str">
        <f>"20190312161412186"</f>
        <v>20190312161412186</v>
      </c>
      <c r="B4811" t="str">
        <f>"1552378452181570"</f>
        <v>1552378452181570</v>
      </c>
      <c r="C4811" t="s">
        <v>40</v>
      </c>
      <c r="D4811">
        <v>5.4684599999999897</v>
      </c>
      <c r="E4811">
        <v>0.41000449999999999</v>
      </c>
      <c r="F4811" t="s">
        <v>42</v>
      </c>
      <c r="G4811">
        <v>-420.82760000000002</v>
      </c>
      <c r="H4811" s="1">
        <v>-3.462005E-6</v>
      </c>
      <c r="I4811">
        <v>87.145820000000001</v>
      </c>
      <c r="J4811">
        <v>-420.80189999999999</v>
      </c>
      <c r="K4811">
        <v>1.1123799999999999</v>
      </c>
      <c r="L4811">
        <v>115.75369999999999</v>
      </c>
      <c r="M4811">
        <v>-0.19702130000000001</v>
      </c>
      <c r="N4811">
        <v>0</v>
      </c>
      <c r="O4811">
        <v>-0.98030110000000004</v>
      </c>
      <c r="P4811">
        <v>-0.23279340000000001</v>
      </c>
      <c r="Q4811">
        <v>-2.8300349999999998E-2</v>
      </c>
      <c r="R4811">
        <v>-0.97211440000000005</v>
      </c>
      <c r="S4811">
        <v>-7.3242189999999999E-3</v>
      </c>
      <c r="T4811">
        <v>-0.1189291</v>
      </c>
      <c r="U4811">
        <v>-3.0830229999999998</v>
      </c>
      <c r="V4811">
        <v>3.675908E-2</v>
      </c>
      <c r="W4811">
        <v>-1.425454E-2</v>
      </c>
      <c r="X4811">
        <v>0.99922250000000001</v>
      </c>
      <c r="Y4811">
        <v>-0.19471079999999999</v>
      </c>
      <c r="Z4811">
        <v>3.7044729999999998E-2</v>
      </c>
      <c r="AA4811">
        <v>0.9801609</v>
      </c>
      <c r="AB4811">
        <v>23</v>
      </c>
      <c r="AC4811">
        <v>-2.5700000000028901E-2</v>
      </c>
      <c r="AD4811">
        <v>-1.1123834620049999</v>
      </c>
      <c r="AE4811">
        <v>-28.607879999999899</v>
      </c>
      <c r="AF4811">
        <v>-5.6032359205855098</v>
      </c>
      <c r="AG4811">
        <v>-1.1123834620049999</v>
      </c>
      <c r="AH4811">
        <v>28.0097485390739</v>
      </c>
      <c r="AI4811">
        <v>92.230119039211303</v>
      </c>
      <c r="AJ4811">
        <v>101.312462290778</v>
      </c>
      <c r="AK4811">
        <v>28.5863544889941</v>
      </c>
      <c r="AL4811">
        <v>90.816752631307807</v>
      </c>
      <c r="AM4811">
        <v>87.8931711304228</v>
      </c>
      <c r="AN4811">
        <v>1.00000001318965</v>
      </c>
    </row>
    <row r="4812" spans="1:40" x14ac:dyDescent="0.25">
      <c r="A4812" t="str">
        <f>"20190312161412209"</f>
        <v>20190312161412209</v>
      </c>
      <c r="B4812" t="str">
        <f>"1552378452201088"</f>
        <v>1552378452201088</v>
      </c>
      <c r="C4812" t="s">
        <v>40</v>
      </c>
      <c r="D4812">
        <v>5.3417379999999897</v>
      </c>
      <c r="E4812">
        <v>0.40990870000000001</v>
      </c>
      <c r="F4812" t="s">
        <v>42</v>
      </c>
      <c r="G4812">
        <v>-420.79059999999998</v>
      </c>
      <c r="H4812" s="1">
        <v>-3.531233E-6</v>
      </c>
      <c r="I4812">
        <v>87.330129999999997</v>
      </c>
      <c r="J4812">
        <v>-420.84249999999997</v>
      </c>
      <c r="K4812">
        <v>1.112328</v>
      </c>
      <c r="L4812">
        <v>115.5307</v>
      </c>
      <c r="M4812">
        <v>-0.1936235</v>
      </c>
      <c r="N4812">
        <v>0</v>
      </c>
      <c r="O4812">
        <v>-0.98097809999999996</v>
      </c>
      <c r="P4812">
        <v>-0.23054069999999999</v>
      </c>
      <c r="Q4812">
        <v>-2.8026499999999999E-2</v>
      </c>
      <c r="R4812">
        <v>-0.97265919999999895</v>
      </c>
      <c r="S4812">
        <v>1.2207030000000001E-3</v>
      </c>
      <c r="T4812">
        <v>-0.1206504</v>
      </c>
      <c r="U4812">
        <v>-3.0828549999999999</v>
      </c>
      <c r="V4812">
        <v>3.7901200000000003E-2</v>
      </c>
      <c r="W4812">
        <v>-1.399017E-2</v>
      </c>
      <c r="X4812">
        <v>0.9991835</v>
      </c>
      <c r="Y4812">
        <v>-0.1940288</v>
      </c>
      <c r="Z4812">
        <v>3.7624390000000001E-2</v>
      </c>
      <c r="AA4812">
        <v>0.98027410000000004</v>
      </c>
      <c r="AB4812">
        <v>23</v>
      </c>
      <c r="AC4812">
        <v>5.1899999999989101E-2</v>
      </c>
      <c r="AD4812">
        <v>-1.112331531233</v>
      </c>
      <c r="AE4812">
        <v>-28.2005699999999</v>
      </c>
      <c r="AF4812">
        <v>-5.5031729390778699</v>
      </c>
      <c r="AG4812">
        <v>-1.112331531233</v>
      </c>
      <c r="AH4812">
        <v>27.613785136497501</v>
      </c>
      <c r="AI4812">
        <v>92.262286649492694</v>
      </c>
      <c r="AJ4812">
        <v>101.270855054469</v>
      </c>
      <c r="AK4812">
        <v>28.178774341646299</v>
      </c>
      <c r="AL4812">
        <v>90.801603889180001</v>
      </c>
      <c r="AM4812">
        <v>87.827688135772604</v>
      </c>
      <c r="AN4812">
        <v>0.99999994624515798</v>
      </c>
    </row>
    <row r="4813" spans="1:40" x14ac:dyDescent="0.25">
      <c r="A4813" t="str">
        <f>"20190312161412231"</f>
        <v>20190312161412231</v>
      </c>
      <c r="B4813" t="str">
        <f>"1552378452221584"</f>
        <v>1552378452221584</v>
      </c>
      <c r="C4813" t="s">
        <v>40</v>
      </c>
      <c r="D4813">
        <v>5.3094219999999996</v>
      </c>
      <c r="E4813">
        <v>0.40994750000000002</v>
      </c>
      <c r="F4813" t="s">
        <v>42</v>
      </c>
      <c r="G4813">
        <v>-420.76080000000002</v>
      </c>
      <c r="H4813" s="1">
        <v>-3.4975169999999998E-6</v>
      </c>
      <c r="I4813">
        <v>87.270009999999999</v>
      </c>
      <c r="J4813">
        <v>-420.88290000000001</v>
      </c>
      <c r="K4813">
        <v>1.1122909999999999</v>
      </c>
      <c r="L4813">
        <v>115.3051</v>
      </c>
      <c r="M4813">
        <v>-0.1902403</v>
      </c>
      <c r="N4813">
        <v>0</v>
      </c>
      <c r="O4813">
        <v>-0.98163999999999996</v>
      </c>
      <c r="P4813">
        <v>-0.2278046</v>
      </c>
      <c r="Q4813">
        <v>-2.76507E-2</v>
      </c>
      <c r="R4813">
        <v>-0.97331420000000002</v>
      </c>
      <c r="S4813">
        <v>8.9111329999999999E-3</v>
      </c>
      <c r="T4813">
        <v>-0.1213442</v>
      </c>
      <c r="U4813">
        <v>-3.0829620000000002</v>
      </c>
      <c r="V4813">
        <v>3.8530849999999998E-2</v>
      </c>
      <c r="W4813">
        <v>-1.362406E-2</v>
      </c>
      <c r="X4813">
        <v>0.99916450000000001</v>
      </c>
      <c r="Y4813">
        <v>-0.19309190000000001</v>
      </c>
      <c r="Z4813">
        <v>3.7881610000000003E-2</v>
      </c>
      <c r="AA4813">
        <v>0.98044909999999996</v>
      </c>
      <c r="AB4813">
        <v>23</v>
      </c>
      <c r="AC4813">
        <v>0.122099999999989</v>
      </c>
      <c r="AD4813">
        <v>-1.1122944975169999</v>
      </c>
      <c r="AE4813">
        <v>-28.03509</v>
      </c>
      <c r="AF4813">
        <v>-5.44521329264954</v>
      </c>
      <c r="AG4813">
        <v>-1.1122944975169999</v>
      </c>
      <c r="AH4813">
        <v>27.456552295195799</v>
      </c>
      <c r="AI4813">
        <v>92.275574152125699</v>
      </c>
      <c r="AJ4813">
        <v>101.217407837905</v>
      </c>
      <c r="AK4813">
        <v>28.0133862785361</v>
      </c>
      <c r="AL4813">
        <v>90.780625312024299</v>
      </c>
      <c r="AM4813">
        <v>87.791593156846403</v>
      </c>
      <c r="AN4813">
        <v>0.99999996973642702</v>
      </c>
    </row>
    <row r="4814" spans="1:40" x14ac:dyDescent="0.25">
      <c r="A4814" t="str">
        <f>"20190312161412253"</f>
        <v>20190312161412253</v>
      </c>
      <c r="B4814" t="str">
        <f>"1552378452241104"</f>
        <v>1552378452241104</v>
      </c>
      <c r="C4814" t="s">
        <v>40</v>
      </c>
      <c r="D4814">
        <v>5.502364</v>
      </c>
      <c r="E4814">
        <v>0.40949799999999997</v>
      </c>
      <c r="F4814" t="s">
        <v>42</v>
      </c>
      <c r="G4814">
        <v>-420.71260000000001</v>
      </c>
      <c r="H4814" s="1">
        <v>-2.6102730000000001E-6</v>
      </c>
      <c r="I4814">
        <v>85.231729999999999</v>
      </c>
      <c r="J4814">
        <v>-420.92099999999999</v>
      </c>
      <c r="K4814">
        <v>1.112263</v>
      </c>
      <c r="L4814">
        <v>115.0886</v>
      </c>
      <c r="M4814">
        <v>-0.1870271</v>
      </c>
      <c r="N4814">
        <v>0</v>
      </c>
      <c r="O4814">
        <v>-0.98225750000000001</v>
      </c>
      <c r="P4814">
        <v>-0.2251485</v>
      </c>
      <c r="Q4814">
        <v>-2.7280160000000001E-2</v>
      </c>
      <c r="R4814">
        <v>-0.9739428</v>
      </c>
      <c r="S4814">
        <v>1.7456050000000001E-2</v>
      </c>
      <c r="T4814">
        <v>-0.1140316</v>
      </c>
      <c r="U4814">
        <v>-3.0830989999999998</v>
      </c>
      <c r="V4814">
        <v>3.9070050000000002E-2</v>
      </c>
      <c r="W4814">
        <v>-1.326082E-2</v>
      </c>
      <c r="X4814">
        <v>0.99914849999999999</v>
      </c>
      <c r="Y4814">
        <v>-0.19259899999999999</v>
      </c>
      <c r="Z4814">
        <v>3.5636050000000002E-2</v>
      </c>
      <c r="AA4814">
        <v>0.98063029999999995</v>
      </c>
      <c r="AB4814">
        <v>23</v>
      </c>
      <c r="AC4814">
        <v>0.20839999999998299</v>
      </c>
      <c r="AD4814">
        <v>-1.112265610273</v>
      </c>
      <c r="AE4814">
        <v>-29.856870000000001</v>
      </c>
      <c r="AF4814">
        <v>-5.7812764804020897</v>
      </c>
      <c r="AG4814">
        <v>-1.112265610273</v>
      </c>
      <c r="AH4814">
        <v>29.250364619604198</v>
      </c>
      <c r="AI4814">
        <v>92.136373697916397</v>
      </c>
      <c r="AJ4814">
        <v>101.18029823174</v>
      </c>
      <c r="AK4814">
        <v>29.836959009095398</v>
      </c>
      <c r="AL4814">
        <v>90.759811272296801</v>
      </c>
      <c r="AM4814">
        <v>87.760684173877095</v>
      </c>
      <c r="AN4814">
        <v>1.0000000216031599</v>
      </c>
    </row>
    <row r="4815" spans="1:40" x14ac:dyDescent="0.25">
      <c r="A4815" t="str">
        <f>"20190312161412275"</f>
        <v>20190312161412275</v>
      </c>
      <c r="B4815" t="str">
        <f>"1552378452271360"</f>
        <v>1552378452271360</v>
      </c>
      <c r="C4815" t="s">
        <v>40</v>
      </c>
      <c r="D4815">
        <v>5.375508</v>
      </c>
      <c r="E4815">
        <v>0.40497650000000002</v>
      </c>
      <c r="F4815" t="s">
        <v>42</v>
      </c>
      <c r="G4815">
        <v>-420.62380000000002</v>
      </c>
      <c r="H4815" s="1">
        <v>-1.678444E-6</v>
      </c>
      <c r="I4815">
        <v>83.114669999999904</v>
      </c>
      <c r="J4815">
        <v>-420.959</v>
      </c>
      <c r="K4815">
        <v>1.112258</v>
      </c>
      <c r="L4815">
        <v>114.8683</v>
      </c>
      <c r="M4815">
        <v>-0.1837734</v>
      </c>
      <c r="N4815">
        <v>0</v>
      </c>
      <c r="O4815">
        <v>-0.98287139999999995</v>
      </c>
      <c r="P4815">
        <v>-0.2219515</v>
      </c>
      <c r="Q4815">
        <v>-2.6971350000000002E-2</v>
      </c>
      <c r="R4815">
        <v>-0.97468480000000002</v>
      </c>
      <c r="S4815">
        <v>2.8656009999999999E-2</v>
      </c>
      <c r="T4815">
        <v>-0.1072781</v>
      </c>
      <c r="U4815">
        <v>-3.0838930000000002</v>
      </c>
      <c r="V4815">
        <v>3.9096739999999998E-2</v>
      </c>
      <c r="W4815">
        <v>-1.295957E-2</v>
      </c>
      <c r="X4815">
        <v>0.99915140000000002</v>
      </c>
      <c r="Y4815">
        <v>-0.1929102</v>
      </c>
      <c r="Z4815">
        <v>3.3549910000000002E-2</v>
      </c>
      <c r="AA4815">
        <v>0.98064269999999998</v>
      </c>
      <c r="AB4815">
        <v>23</v>
      </c>
      <c r="AC4815">
        <v>0.33519999999998601</v>
      </c>
      <c r="AD4815">
        <v>-1.112259678444</v>
      </c>
      <c r="AE4815">
        <v>-31.753630000000001</v>
      </c>
      <c r="AF4815">
        <v>-6.1579656813063099</v>
      </c>
      <c r="AG4815">
        <v>-1.112259678444</v>
      </c>
      <c r="AH4815">
        <v>31.112941654598401</v>
      </c>
      <c r="AI4815">
        <v>92.008471990255103</v>
      </c>
      <c r="AJ4815">
        <v>101.195458725021</v>
      </c>
      <c r="AK4815">
        <v>31.735985904441101</v>
      </c>
      <c r="AL4815">
        <v>90.742549442020803</v>
      </c>
      <c r="AM4815">
        <v>87.759162481922004</v>
      </c>
      <c r="AN4815">
        <v>1.0000000128275801</v>
      </c>
    </row>
    <row r="4816" spans="1:40" x14ac:dyDescent="0.25">
      <c r="A4816" t="str">
        <f>"20190312161412291"</f>
        <v>20190312161412291</v>
      </c>
      <c r="B4816" t="str">
        <f>"1552378452281120"</f>
        <v>1552378452281120</v>
      </c>
      <c r="C4816" t="s">
        <v>40</v>
      </c>
      <c r="D4816">
        <v>5.4646089999999896</v>
      </c>
      <c r="E4816">
        <v>0.40677360000000001</v>
      </c>
      <c r="F4816" t="s">
        <v>93</v>
      </c>
      <c r="G4816">
        <v>-418.4717</v>
      </c>
      <c r="H4816">
        <v>4.5464039999999999</v>
      </c>
      <c r="I4816">
        <v>0.49294470000000001</v>
      </c>
      <c r="J4816">
        <v>-420.98779999999999</v>
      </c>
      <c r="K4816">
        <v>1.1122620000000001</v>
      </c>
      <c r="L4816">
        <v>114.6982</v>
      </c>
      <c r="M4816">
        <v>-0.18126590000000001</v>
      </c>
      <c r="N4816">
        <v>0</v>
      </c>
      <c r="O4816">
        <v>-0.98333700000000002</v>
      </c>
      <c r="P4816">
        <v>-0.2194642</v>
      </c>
      <c r="Q4816">
        <v>-2.6655539999999998E-2</v>
      </c>
      <c r="R4816">
        <v>-0.97525669999999998</v>
      </c>
      <c r="S4816">
        <v>6.7321779999999998E-2</v>
      </c>
      <c r="T4816">
        <v>9.2951660000000005E-2</v>
      </c>
      <c r="U4816">
        <v>-3.0958100000000002</v>
      </c>
      <c r="V4816">
        <v>3.9093129999999997E-2</v>
      </c>
      <c r="W4816">
        <v>-1.264856E-2</v>
      </c>
      <c r="X4816">
        <v>0.99915549999999997</v>
      </c>
      <c r="Y4816">
        <v>-0.20261100000000001</v>
      </c>
      <c r="Z4816">
        <v>-2.8950529999999999E-2</v>
      </c>
      <c r="AA4816">
        <v>0.97883129999999996</v>
      </c>
      <c r="AB4816">
        <v>23</v>
      </c>
      <c r="AC4816">
        <v>2.51609999999999</v>
      </c>
      <c r="AD4816">
        <v>3.434142</v>
      </c>
      <c r="AE4816">
        <v>-114.2052553</v>
      </c>
      <c r="AF4816">
        <v>-23.1569780434492</v>
      </c>
      <c r="AG4816">
        <v>3.434142</v>
      </c>
      <c r="AH4816">
        <v>111.75585326622</v>
      </c>
      <c r="AI4816">
        <v>88.276502245782893</v>
      </c>
      <c r="AJ4816">
        <v>101.706613599478</v>
      </c>
      <c r="AK4816">
        <v>114.18147705579</v>
      </c>
      <c r="AL4816">
        <v>90.724728440326601</v>
      </c>
      <c r="AM4816">
        <v>87.759378363882107</v>
      </c>
      <c r="AN4816">
        <v>0.99999998603175999</v>
      </c>
    </row>
    <row r="4817" spans="1:40" x14ac:dyDescent="0.25">
      <c r="A4817" t="str">
        <f>"20190312161412309"</f>
        <v>20190312161412309</v>
      </c>
      <c r="B4817" t="str">
        <f>"1552378452301616"</f>
        <v>1552378452301616</v>
      </c>
      <c r="C4817" t="s">
        <v>40</v>
      </c>
      <c r="D4817">
        <v>5.3743339999999904</v>
      </c>
      <c r="E4817">
        <v>0.40805849999999999</v>
      </c>
      <c r="F4817" t="s">
        <v>93</v>
      </c>
      <c r="G4817">
        <v>-418.72379999999998</v>
      </c>
      <c r="H4817">
        <v>5.0568099999999996</v>
      </c>
      <c r="I4817">
        <v>0.49038120000000002</v>
      </c>
      <c r="J4817">
        <v>-421.01639999999998</v>
      </c>
      <c r="K4817">
        <v>1.112268</v>
      </c>
      <c r="L4817">
        <v>114.5269</v>
      </c>
      <c r="M4817">
        <v>-0.1787368</v>
      </c>
      <c r="N4817">
        <v>0</v>
      </c>
      <c r="O4817">
        <v>-0.98379970000000005</v>
      </c>
      <c r="P4817">
        <v>-0.2170927</v>
      </c>
      <c r="Q4817">
        <v>-2.651129E-2</v>
      </c>
      <c r="R4817">
        <v>-0.97579090000000002</v>
      </c>
      <c r="S4817">
        <v>6.1309809999999999E-2</v>
      </c>
      <c r="T4817">
        <v>0.1068202</v>
      </c>
      <c r="U4817">
        <v>-3.092819</v>
      </c>
      <c r="V4817">
        <v>3.923198E-2</v>
      </c>
      <c r="W4817">
        <v>-1.2507809999999999E-2</v>
      </c>
      <c r="X4817">
        <v>0.99915180000000003</v>
      </c>
      <c r="Y4817">
        <v>-0.19820670000000001</v>
      </c>
      <c r="Z4817">
        <v>-3.3337619999999998E-2</v>
      </c>
      <c r="AA4817">
        <v>0.97959309999999999</v>
      </c>
      <c r="AB4817">
        <v>23</v>
      </c>
      <c r="AC4817">
        <v>2.29259999999999</v>
      </c>
      <c r="AD4817">
        <v>3.94454199999999</v>
      </c>
      <c r="AE4817">
        <v>-114.0365188</v>
      </c>
      <c r="AF4817">
        <v>-22.6131021715989</v>
      </c>
      <c r="AG4817">
        <v>3.94454199999999</v>
      </c>
      <c r="AH4817">
        <v>111.656473882509</v>
      </c>
      <c r="AI4817">
        <v>88.016952303577</v>
      </c>
      <c r="AJ4817">
        <v>101.448910513081</v>
      </c>
      <c r="AK4817">
        <v>113.99157846651801</v>
      </c>
      <c r="AL4817">
        <v>90.716663442391507</v>
      </c>
      <c r="AM4817">
        <v>87.751420016190096</v>
      </c>
      <c r="AN4817">
        <v>0.99999995650447704</v>
      </c>
    </row>
    <row r="4818" spans="1:40" x14ac:dyDescent="0.25">
      <c r="A4818" t="str">
        <f>"20190312161412330"</f>
        <v>20190312161412330</v>
      </c>
      <c r="B4818" t="str">
        <f>"1552378452321136"</f>
        <v>1552378452321136</v>
      </c>
      <c r="C4818" t="s">
        <v>40</v>
      </c>
      <c r="D4818">
        <v>5.3418330000000003</v>
      </c>
      <c r="E4818">
        <v>0.4087325</v>
      </c>
      <c r="F4818" t="s">
        <v>93</v>
      </c>
      <c r="G4818">
        <v>-418.86329999999998</v>
      </c>
      <c r="H4818">
        <v>5.2953380000000001</v>
      </c>
      <c r="I4818">
        <v>0.48896220000000001</v>
      </c>
      <c r="J4818">
        <v>-421.05250000000001</v>
      </c>
      <c r="K4818">
        <v>1.1122749999999999</v>
      </c>
      <c r="L4818">
        <v>114.3068</v>
      </c>
      <c r="M4818">
        <v>-0.17547699999999999</v>
      </c>
      <c r="N4818">
        <v>0</v>
      </c>
      <c r="O4818">
        <v>-0.9843866</v>
      </c>
      <c r="P4818">
        <v>-0.21365400000000001</v>
      </c>
      <c r="Q4818">
        <v>-2.635119E-2</v>
      </c>
      <c r="R4818">
        <v>-0.97655429999999999</v>
      </c>
      <c r="S4818">
        <v>5.8349610000000003E-2</v>
      </c>
      <c r="T4818">
        <v>0.1133624</v>
      </c>
      <c r="U4818">
        <v>-3.0904850000000001</v>
      </c>
      <c r="V4818">
        <v>3.902075E-2</v>
      </c>
      <c r="W4818">
        <v>-1.235321E-2</v>
      </c>
      <c r="X4818">
        <v>0.99916199999999999</v>
      </c>
      <c r="Y4818">
        <v>-0.19403339999999999</v>
      </c>
      <c r="Z4818">
        <v>-3.545135E-2</v>
      </c>
      <c r="AA4818">
        <v>0.98035410000000001</v>
      </c>
      <c r="AB4818">
        <v>23</v>
      </c>
      <c r="AC4818">
        <v>2.18920000000002</v>
      </c>
      <c r="AD4818">
        <v>4.1830629999999998</v>
      </c>
      <c r="AE4818">
        <v>-113.81783780000001</v>
      </c>
      <c r="AF4818">
        <v>-22.099703950296998</v>
      </c>
      <c r="AG4818">
        <v>4.1830629999999998</v>
      </c>
      <c r="AH4818">
        <v>111.516683069854</v>
      </c>
      <c r="AI4818">
        <v>87.8927478323413</v>
      </c>
      <c r="AJ4818">
        <v>101.209297490757</v>
      </c>
      <c r="AK4818">
        <v>113.76232035984</v>
      </c>
      <c r="AL4818">
        <v>90.707804826526399</v>
      </c>
      <c r="AM4818">
        <v>87.763537139581103</v>
      </c>
      <c r="AN4818">
        <v>0.99999996148593195</v>
      </c>
    </row>
    <row r="4819" spans="1:40" x14ac:dyDescent="0.25">
      <c r="A4819" t="str">
        <f>"20190312161412353"</f>
        <v>20190312161412353</v>
      </c>
      <c r="B4819" t="str">
        <f>"1552378452351392"</f>
        <v>1552378452351392</v>
      </c>
      <c r="C4819" t="s">
        <v>40</v>
      </c>
      <c r="D4819">
        <v>5.2853329999999996</v>
      </c>
      <c r="E4819">
        <v>0.41007120000000002</v>
      </c>
      <c r="F4819" t="s">
        <v>93</v>
      </c>
      <c r="G4819">
        <v>-418.69459999999998</v>
      </c>
      <c r="H4819">
        <v>5.3162699999999896</v>
      </c>
      <c r="I4819">
        <v>0.49067880000000003</v>
      </c>
      <c r="J4819">
        <v>-421.08800000000002</v>
      </c>
      <c r="K4819">
        <v>1.1122780000000001</v>
      </c>
      <c r="L4819">
        <v>114.0852</v>
      </c>
      <c r="M4819">
        <v>-0.17218120000000001</v>
      </c>
      <c r="N4819">
        <v>0</v>
      </c>
      <c r="O4819">
        <v>-0.98496839999999997</v>
      </c>
      <c r="P4819">
        <v>-0.20984939999999999</v>
      </c>
      <c r="Q4819">
        <v>-2.632133E-2</v>
      </c>
      <c r="R4819">
        <v>-0.97737940000000001</v>
      </c>
      <c r="S4819">
        <v>6.3995360000000001E-2</v>
      </c>
      <c r="T4819">
        <v>0.1141003</v>
      </c>
      <c r="U4819">
        <v>-3.0890960000000001</v>
      </c>
      <c r="V4819">
        <v>3.8473970000000003E-2</v>
      </c>
      <c r="W4819">
        <v>-1.2330020000000001E-2</v>
      </c>
      <c r="X4819">
        <v>0.9991835</v>
      </c>
      <c r="Y4819">
        <v>-0.1925489</v>
      </c>
      <c r="Z4819">
        <v>-3.5734750000000003E-2</v>
      </c>
      <c r="AA4819">
        <v>0.98063650000000002</v>
      </c>
      <c r="AB4819">
        <v>23</v>
      </c>
      <c r="AC4819">
        <v>2.3934000000000402</v>
      </c>
      <c r="AD4819">
        <v>4.2039920000000004</v>
      </c>
      <c r="AE4819">
        <v>-113.5945212</v>
      </c>
      <c r="AF4819">
        <v>-21.8883903000707</v>
      </c>
      <c r="AG4819">
        <v>4.2039920000000004</v>
      </c>
      <c r="AH4819">
        <v>111.33313674708501</v>
      </c>
      <c r="AI4819">
        <v>87.878093236246102</v>
      </c>
      <c r="AJ4819">
        <v>101.122643935499</v>
      </c>
      <c r="AK4819">
        <v>113.542249918739</v>
      </c>
      <c r="AL4819">
        <v>90.706476029271997</v>
      </c>
      <c r="AM4819">
        <v>87.794891920452301</v>
      </c>
      <c r="AN4819">
        <v>0.99999997121650497</v>
      </c>
    </row>
    <row r="4820" spans="1:40" x14ac:dyDescent="0.25">
      <c r="A4820" t="str">
        <f>"20190312161412369"</f>
        <v>20190312161412369</v>
      </c>
      <c r="B4820" t="str">
        <f>"1552378452361152"</f>
        <v>1552378452361152</v>
      </c>
      <c r="C4820" t="s">
        <v>40</v>
      </c>
      <c r="D4820">
        <v>5.3061210000000001</v>
      </c>
      <c r="E4820">
        <v>0.41048709999999999</v>
      </c>
      <c r="F4820" t="s">
        <v>93</v>
      </c>
      <c r="G4820">
        <v>-418.66090000000003</v>
      </c>
      <c r="H4820">
        <v>5.2691589999999904</v>
      </c>
      <c r="I4820">
        <v>0.49102210000000002</v>
      </c>
      <c r="J4820">
        <v>-421.113</v>
      </c>
      <c r="K4820">
        <v>1.112282</v>
      </c>
      <c r="L4820">
        <v>113.92619999999999</v>
      </c>
      <c r="M4820">
        <v>-0.1698076</v>
      </c>
      <c r="N4820">
        <v>0</v>
      </c>
      <c r="O4820">
        <v>-0.98538040000000005</v>
      </c>
      <c r="P4820">
        <v>-0.20742389999999999</v>
      </c>
      <c r="Q4820">
        <v>-2.6579970000000001E-2</v>
      </c>
      <c r="R4820">
        <v>-0.97788989999999998</v>
      </c>
      <c r="S4820">
        <v>6.5948489999999999E-2</v>
      </c>
      <c r="T4820">
        <v>0.112952</v>
      </c>
      <c r="U4820">
        <v>-3.0866389999999999</v>
      </c>
      <c r="V4820">
        <v>3.8404920000000002E-2</v>
      </c>
      <c r="W4820">
        <v>-1.2592020000000001E-2</v>
      </c>
      <c r="X4820">
        <v>0.99918289999999998</v>
      </c>
      <c r="Y4820">
        <v>-0.19082109999999999</v>
      </c>
      <c r="Z4820">
        <v>-3.5432230000000002E-2</v>
      </c>
      <c r="AA4820">
        <v>0.9809852</v>
      </c>
      <c r="AB4820">
        <v>23</v>
      </c>
      <c r="AC4820">
        <v>2.4521000000000299</v>
      </c>
      <c r="AD4820">
        <v>4.1568769999999997</v>
      </c>
      <c r="AE4820">
        <v>-113.4351779</v>
      </c>
      <c r="AF4820">
        <v>-21.651413731893602</v>
      </c>
      <c r="AG4820">
        <v>4.1568769999999997</v>
      </c>
      <c r="AH4820">
        <v>111.221755367646</v>
      </c>
      <c r="AI4820">
        <v>87.898988505257407</v>
      </c>
      <c r="AJ4820">
        <v>101.01593065826</v>
      </c>
      <c r="AK4820">
        <v>113.385811325947</v>
      </c>
      <c r="AL4820">
        <v>90.721488681624294</v>
      </c>
      <c r="AM4820">
        <v>87.798844255054306</v>
      </c>
      <c r="AN4820">
        <v>0.99999998225014797</v>
      </c>
    </row>
    <row r="4821" spans="1:40" x14ac:dyDescent="0.25">
      <c r="A4821" t="str">
        <f>"20190312161412384"</f>
        <v>20190312161412384</v>
      </c>
      <c r="B4821" t="str">
        <f>"1552378452380673"</f>
        <v>1552378452380673</v>
      </c>
      <c r="C4821" t="s">
        <v>40</v>
      </c>
      <c r="D4821">
        <v>5.1730519999999904</v>
      </c>
      <c r="E4821">
        <v>0.41124500000000003</v>
      </c>
      <c r="F4821" t="s">
        <v>93</v>
      </c>
      <c r="G4821">
        <v>-418.53949999999998</v>
      </c>
      <c r="H4821">
        <v>5.2390049999999997</v>
      </c>
      <c r="I4821">
        <v>0.49225619999999998</v>
      </c>
      <c r="J4821">
        <v>-421.13600000000002</v>
      </c>
      <c r="K4821">
        <v>1.112282</v>
      </c>
      <c r="L4821">
        <v>113.7778</v>
      </c>
      <c r="M4821">
        <v>-0.16758729999999999</v>
      </c>
      <c r="N4821">
        <v>0</v>
      </c>
      <c r="O4821">
        <v>-0.98576059999999999</v>
      </c>
      <c r="P4821">
        <v>-0.2049308</v>
      </c>
      <c r="Q4821">
        <v>-2.6340430000000001E-2</v>
      </c>
      <c r="R4821">
        <v>-0.97842200000000001</v>
      </c>
      <c r="S4821">
        <v>7.0007319999999998E-2</v>
      </c>
      <c r="T4821">
        <v>0.1122578</v>
      </c>
      <c r="U4821">
        <v>-3.0857239999999999</v>
      </c>
      <c r="V4821">
        <v>3.8107130000000003E-2</v>
      </c>
      <c r="W4821">
        <v>-1.235632E-2</v>
      </c>
      <c r="X4821">
        <v>0.99919720000000001</v>
      </c>
      <c r="Y4821">
        <v>-0.18990570000000001</v>
      </c>
      <c r="Z4821">
        <v>-3.5248620000000001E-2</v>
      </c>
      <c r="AA4821">
        <v>0.98116939999999997</v>
      </c>
      <c r="AB4821">
        <v>23</v>
      </c>
      <c r="AC4821">
        <v>2.59649999999999</v>
      </c>
      <c r="AD4821">
        <v>4.1267230000000001</v>
      </c>
      <c r="AE4821">
        <v>-113.2855438</v>
      </c>
      <c r="AF4821">
        <v>-21.518259506172001</v>
      </c>
      <c r="AG4821">
        <v>4.1267230000000001</v>
      </c>
      <c r="AH4821">
        <v>111.100534237402</v>
      </c>
      <c r="AI4821">
        <v>87.911556983897299</v>
      </c>
      <c r="AJ4821">
        <v>100.96148415425699</v>
      </c>
      <c r="AK4821">
        <v>113.240425832517</v>
      </c>
      <c r="AL4821">
        <v>90.707983046464093</v>
      </c>
      <c r="AM4821">
        <v>87.815926550012406</v>
      </c>
      <c r="AN4821">
        <v>0.999999938244307</v>
      </c>
    </row>
    <row r="4822" spans="1:40" x14ac:dyDescent="0.25">
      <c r="A4822" t="str">
        <f>"20190312161412399"</f>
        <v>20190312161412399</v>
      </c>
      <c r="B4822" t="str">
        <f>"1552378452391410"</f>
        <v>1552378452391410</v>
      </c>
      <c r="C4822" t="s">
        <v>40</v>
      </c>
      <c r="D4822">
        <v>5.060378</v>
      </c>
      <c r="E4822">
        <v>0.41155530000000001</v>
      </c>
      <c r="F4822" t="s">
        <v>93</v>
      </c>
      <c r="G4822">
        <v>-418.4907</v>
      </c>
      <c r="H4822">
        <v>5.2532240000000003</v>
      </c>
      <c r="I4822">
        <v>0.49275210000000003</v>
      </c>
      <c r="J4822">
        <v>-421.15780000000001</v>
      </c>
      <c r="K4822">
        <v>1.112282</v>
      </c>
      <c r="L4822">
        <v>113.6348</v>
      </c>
      <c r="M4822">
        <v>-0.16544249999999999</v>
      </c>
      <c r="N4822">
        <v>0</v>
      </c>
      <c r="O4822">
        <v>-0.98612299999999997</v>
      </c>
      <c r="P4822">
        <v>-0.20314090000000001</v>
      </c>
      <c r="Q4822">
        <v>-2.6466880000000002E-2</v>
      </c>
      <c r="R4822">
        <v>-0.978792</v>
      </c>
      <c r="S4822">
        <v>7.2021479999999999E-2</v>
      </c>
      <c r="T4822">
        <v>0.1127396</v>
      </c>
      <c r="U4822">
        <v>-3.0842740000000002</v>
      </c>
      <c r="V4822">
        <v>3.845432E-2</v>
      </c>
      <c r="W4822">
        <v>-1.248376E-2</v>
      </c>
      <c r="X4822">
        <v>0.99918240000000003</v>
      </c>
      <c r="Y4822">
        <v>-0.18842039999999999</v>
      </c>
      <c r="Z4822">
        <v>-3.5441100000000003E-2</v>
      </c>
      <c r="AA4822">
        <v>0.98144880000000001</v>
      </c>
      <c r="AB4822">
        <v>23</v>
      </c>
      <c r="AC4822">
        <v>2.6671</v>
      </c>
      <c r="AD4822">
        <v>4.1409419999999901</v>
      </c>
      <c r="AE4822">
        <v>-113.14204789999999</v>
      </c>
      <c r="AF4822">
        <v>-21.322076986467401</v>
      </c>
      <c r="AG4822">
        <v>4.1409419999999901</v>
      </c>
      <c r="AH4822">
        <v>110.992699778521</v>
      </c>
      <c r="AI4822">
        <v>87.901717621900005</v>
      </c>
      <c r="AJ4822">
        <v>100.874239970236</v>
      </c>
      <c r="AK4822">
        <v>113.098000741786</v>
      </c>
      <c r="AL4822">
        <v>90.715285323152798</v>
      </c>
      <c r="AM4822">
        <v>87.796014611246903</v>
      </c>
      <c r="AN4822">
        <v>1.0000000237300699</v>
      </c>
    </row>
    <row r="4823" spans="1:40" x14ac:dyDescent="0.25">
      <c r="A4823" t="str">
        <f>"20190312161412421"</f>
        <v>20190312161412421</v>
      </c>
      <c r="B4823" t="str">
        <f>"1552378452410928"</f>
        <v>1552378452410928</v>
      </c>
      <c r="C4823" t="s">
        <v>40</v>
      </c>
      <c r="D4823">
        <v>5.2060409999999999</v>
      </c>
      <c r="E4823">
        <v>0.41233180000000003</v>
      </c>
      <c r="F4823" t="s">
        <v>93</v>
      </c>
      <c r="G4823">
        <v>-418.39890000000003</v>
      </c>
      <c r="H4823">
        <v>5.2335409999999998</v>
      </c>
      <c r="I4823">
        <v>0.49368859999999998</v>
      </c>
      <c r="J4823">
        <v>-421.19159999999999</v>
      </c>
      <c r="K4823">
        <v>1.112282</v>
      </c>
      <c r="L4823">
        <v>113.4093</v>
      </c>
      <c r="M4823">
        <v>-0.16205839999999999</v>
      </c>
      <c r="N4823">
        <v>0</v>
      </c>
      <c r="O4823">
        <v>-0.98668460000000002</v>
      </c>
      <c r="P4823">
        <v>-0.20000119999999999</v>
      </c>
      <c r="Q4823">
        <v>-2.6731930000000001E-2</v>
      </c>
      <c r="R4823">
        <v>-0.97943119999999995</v>
      </c>
      <c r="S4823">
        <v>7.5195310000000001E-2</v>
      </c>
      <c r="T4823">
        <v>0.1123238</v>
      </c>
      <c r="U4823">
        <v>-3.0836489999999999</v>
      </c>
      <c r="V4823">
        <v>3.8680560000000003E-2</v>
      </c>
      <c r="W4823">
        <v>-1.2751739999999999E-2</v>
      </c>
      <c r="X4823">
        <v>0.99917020000000001</v>
      </c>
      <c r="Y4823">
        <v>-0.18606500000000001</v>
      </c>
      <c r="Z4823">
        <v>-3.535613E-2</v>
      </c>
      <c r="AA4823">
        <v>0.98190109999999997</v>
      </c>
      <c r="AB4823">
        <v>23</v>
      </c>
      <c r="AC4823">
        <v>2.79269999999996</v>
      </c>
      <c r="AD4823">
        <v>4.1212589999999896</v>
      </c>
      <c r="AE4823">
        <v>-112.9156114</v>
      </c>
      <c r="AF4823">
        <v>-21.028448075035801</v>
      </c>
      <c r="AG4823">
        <v>4.1212589999999896</v>
      </c>
      <c r="AH4823">
        <v>110.822547381305</v>
      </c>
      <c r="AI4823">
        <v>87.907572422894106</v>
      </c>
      <c r="AJ4823">
        <v>100.744076567845</v>
      </c>
      <c r="AK4823">
        <v>112.875229400747</v>
      </c>
      <c r="AL4823">
        <v>90.730640728975899</v>
      </c>
      <c r="AM4823">
        <v>87.783033664939396</v>
      </c>
      <c r="AN4823">
        <v>0.999999940581488</v>
      </c>
    </row>
    <row r="4824" spans="1:40" x14ac:dyDescent="0.25">
      <c r="A4824" t="str">
        <f>"20190312161412444"</f>
        <v>20190312161412444</v>
      </c>
      <c r="B4824" t="str">
        <f>"1552378452431426"</f>
        <v>1552378452431426</v>
      </c>
      <c r="C4824" t="s">
        <v>40</v>
      </c>
      <c r="D4824">
        <v>5.1592250000000002</v>
      </c>
      <c r="E4824">
        <v>0.4126708</v>
      </c>
      <c r="F4824" t="s">
        <v>93</v>
      </c>
      <c r="G4824">
        <v>-418.29820000000001</v>
      </c>
      <c r="H4824">
        <v>5.1795019999999896</v>
      </c>
      <c r="I4824">
        <v>0.49471280000000001</v>
      </c>
      <c r="J4824">
        <v>-421.22329999999999</v>
      </c>
      <c r="K4824">
        <v>1.1122799999999999</v>
      </c>
      <c r="L4824">
        <v>113.1926</v>
      </c>
      <c r="M4824">
        <v>-0.158805</v>
      </c>
      <c r="N4824">
        <v>0</v>
      </c>
      <c r="O4824">
        <v>-0.98721380000000003</v>
      </c>
      <c r="P4824">
        <v>-0.19657430000000001</v>
      </c>
      <c r="Q4824">
        <v>-2.662287E-2</v>
      </c>
      <c r="R4824">
        <v>-0.98012779999999999</v>
      </c>
      <c r="S4824">
        <v>7.8979489999999999E-2</v>
      </c>
      <c r="T4824">
        <v>0.11101999999999999</v>
      </c>
      <c r="U4824">
        <v>-3.0821689999999999</v>
      </c>
      <c r="V4824">
        <v>3.8478709999999999E-2</v>
      </c>
      <c r="W4824">
        <v>-1.2647169999999999E-2</v>
      </c>
      <c r="X4824">
        <v>0.99917940000000005</v>
      </c>
      <c r="Y4824">
        <v>-0.18404229999999999</v>
      </c>
      <c r="Z4824">
        <v>-3.4997899999999998E-2</v>
      </c>
      <c r="AA4824">
        <v>0.98229500000000003</v>
      </c>
      <c r="AB4824">
        <v>23</v>
      </c>
      <c r="AC4824">
        <v>2.92509999999998</v>
      </c>
      <c r="AD4824">
        <v>4.0672219999999903</v>
      </c>
      <c r="AE4824">
        <v>-112.6978872</v>
      </c>
      <c r="AF4824">
        <v>-20.7596403085292</v>
      </c>
      <c r="AG4824">
        <v>4.0672219999999903</v>
      </c>
      <c r="AH4824">
        <v>110.658877707993</v>
      </c>
      <c r="AI4824">
        <v>87.931123368671095</v>
      </c>
      <c r="AJ4824">
        <v>100.625207595456</v>
      </c>
      <c r="AK4824">
        <v>112.662736413285</v>
      </c>
      <c r="AL4824">
        <v>90.724648769865595</v>
      </c>
      <c r="AM4824">
        <v>87.794611478430795</v>
      </c>
      <c r="AN4824">
        <v>1.0000000177083099</v>
      </c>
    </row>
    <row r="4825" spans="1:40" x14ac:dyDescent="0.25">
      <c r="A4825" t="str">
        <f>"20190312161412465"</f>
        <v>20190312161412465</v>
      </c>
      <c r="B4825" t="str">
        <f>"1552378452460707"</f>
        <v>1552378452460707</v>
      </c>
      <c r="C4825" t="s">
        <v>40</v>
      </c>
      <c r="D4825">
        <v>5.1224020000000001</v>
      </c>
      <c r="E4825">
        <v>0.4196782</v>
      </c>
      <c r="F4825" t="s">
        <v>93</v>
      </c>
      <c r="G4825">
        <v>-418.0179</v>
      </c>
      <c r="H4825">
        <v>5.1828409999999998</v>
      </c>
      <c r="I4825">
        <v>0.49756240000000002</v>
      </c>
      <c r="J4825">
        <v>-421.25409999999999</v>
      </c>
      <c r="K4825">
        <v>1.1122829999999999</v>
      </c>
      <c r="L4825">
        <v>112.9776</v>
      </c>
      <c r="M4825">
        <v>-0.15557670000000001</v>
      </c>
      <c r="N4825">
        <v>0</v>
      </c>
      <c r="O4825">
        <v>-0.98772760000000004</v>
      </c>
      <c r="P4825">
        <v>-0.19304270000000001</v>
      </c>
      <c r="Q4825">
        <v>-2.6321069999999998E-2</v>
      </c>
      <c r="R4825">
        <v>-0.98083750000000003</v>
      </c>
      <c r="S4825">
        <v>8.7646479999999999E-2</v>
      </c>
      <c r="T4825">
        <v>0.11130180000000001</v>
      </c>
      <c r="U4825">
        <v>-3.0814509999999999</v>
      </c>
      <c r="V4825">
        <v>3.8143650000000001E-2</v>
      </c>
      <c r="W4825">
        <v>-1.235031E-2</v>
      </c>
      <c r="X4825">
        <v>0.99919590000000003</v>
      </c>
      <c r="Y4825">
        <v>-0.18359539999999999</v>
      </c>
      <c r="Z4825">
        <v>-3.512274E-2</v>
      </c>
      <c r="AA4825">
        <v>0.98237430000000003</v>
      </c>
      <c r="AB4825">
        <v>23</v>
      </c>
      <c r="AC4825">
        <v>3.23619999999999</v>
      </c>
      <c r="AD4825">
        <v>4.0705580000000001</v>
      </c>
      <c r="AE4825">
        <v>-112.4800376</v>
      </c>
      <c r="AF4825">
        <v>-20.670675248212699</v>
      </c>
      <c r="AG4825">
        <v>4.0705580000000001</v>
      </c>
      <c r="AH4825">
        <v>110.46212510393801</v>
      </c>
      <c r="AI4825">
        <v>87.9255662972474</v>
      </c>
      <c r="AJ4825">
        <v>100.599123218861</v>
      </c>
      <c r="AK4825">
        <v>112.45322289790801</v>
      </c>
      <c r="AL4825">
        <v>90.707638658985402</v>
      </c>
      <c r="AM4825">
        <v>87.813832629805404</v>
      </c>
      <c r="AN4825">
        <v>0.999999957384613</v>
      </c>
    </row>
    <row r="4826" spans="1:40" x14ac:dyDescent="0.25">
      <c r="A4826" t="str">
        <f>"20190312161412488"</f>
        <v>20190312161412488</v>
      </c>
      <c r="B4826" t="str">
        <f>"1552378452481200"</f>
        <v>1552378452481200</v>
      </c>
      <c r="C4826" t="s">
        <v>40</v>
      </c>
      <c r="D4826">
        <v>5.1421919999999997</v>
      </c>
      <c r="E4826">
        <v>0.42011320000000002</v>
      </c>
      <c r="F4826" t="s">
        <v>93</v>
      </c>
      <c r="G4826">
        <v>-419.6551</v>
      </c>
      <c r="H4826">
        <v>5.3813789999999999</v>
      </c>
      <c r="I4826">
        <v>0.48091129999999999</v>
      </c>
      <c r="J4826">
        <v>-421.28559999999999</v>
      </c>
      <c r="K4826">
        <v>1.1122860000000001</v>
      </c>
      <c r="L4826">
        <v>112.752</v>
      </c>
      <c r="M4826">
        <v>-0.15218880000000001</v>
      </c>
      <c r="N4826">
        <v>0</v>
      </c>
      <c r="O4826">
        <v>-0.98825540000000001</v>
      </c>
      <c r="P4826">
        <v>-0.18942639999999999</v>
      </c>
      <c r="Q4826">
        <v>-2.5925859999999998E-2</v>
      </c>
      <c r="R4826">
        <v>-0.9815528</v>
      </c>
      <c r="S4826">
        <v>4.3640140000000001E-2</v>
      </c>
      <c r="T4826">
        <v>0.1165147</v>
      </c>
      <c r="U4826">
        <v>-3.0703429999999998</v>
      </c>
      <c r="V4826">
        <v>3.7883649999999998E-2</v>
      </c>
      <c r="W4826">
        <v>-1.1959849999999999E-2</v>
      </c>
      <c r="X4826">
        <v>0.99921059999999995</v>
      </c>
      <c r="Y4826">
        <v>-0.1662237</v>
      </c>
      <c r="Z4826">
        <v>-3.699268E-2</v>
      </c>
      <c r="AA4826">
        <v>0.98539390000000004</v>
      </c>
      <c r="AB4826">
        <v>23</v>
      </c>
      <c r="AC4826">
        <v>1.6304999999999801</v>
      </c>
      <c r="AD4826">
        <v>4.2690929999999998</v>
      </c>
      <c r="AE4826">
        <v>-112.27108870000001</v>
      </c>
      <c r="AF4826">
        <v>-18.672534931338902</v>
      </c>
      <c r="AG4826">
        <v>4.2690929999999998</v>
      </c>
      <c r="AH4826">
        <v>110.55505824374001</v>
      </c>
      <c r="AI4826">
        <v>87.819469667580094</v>
      </c>
      <c r="AJ4826">
        <v>99.586671083752805</v>
      </c>
      <c r="AK4826">
        <v>112.202092757139</v>
      </c>
      <c r="AL4826">
        <v>90.685265254768893</v>
      </c>
      <c r="AM4826">
        <v>87.828751885684397</v>
      </c>
      <c r="AN4826">
        <v>1.00000001605085</v>
      </c>
    </row>
    <row r="4827" spans="1:40" x14ac:dyDescent="0.25">
      <c r="A4827" t="str">
        <f>"20190312161412510"</f>
        <v>20190312161412510</v>
      </c>
      <c r="B4827" t="str">
        <f>"1552378452500724"</f>
        <v>1552378452500724</v>
      </c>
      <c r="C4827" t="s">
        <v>40</v>
      </c>
      <c r="D4827">
        <v>5.0920519999999998</v>
      </c>
      <c r="E4827">
        <v>0.42035260000000002</v>
      </c>
      <c r="F4827" t="s">
        <v>93</v>
      </c>
      <c r="G4827">
        <v>-419.41480000000001</v>
      </c>
      <c r="H4827">
        <v>5.5289510000000002</v>
      </c>
      <c r="I4827">
        <v>0.48335650000000002</v>
      </c>
      <c r="J4827">
        <v>-421.31509999999997</v>
      </c>
      <c r="K4827">
        <v>1.1122829999999999</v>
      </c>
      <c r="L4827">
        <v>112.5355</v>
      </c>
      <c r="M4827">
        <v>-0.14893879999999901</v>
      </c>
      <c r="N4827">
        <v>0</v>
      </c>
      <c r="O4827">
        <v>-0.98875049999999998</v>
      </c>
      <c r="P4827">
        <v>-0.1853206</v>
      </c>
      <c r="Q4827">
        <v>-2.569718E-2</v>
      </c>
      <c r="R4827">
        <v>-0.98234250000000001</v>
      </c>
      <c r="S4827">
        <v>5.1147459999999999E-2</v>
      </c>
      <c r="T4827">
        <v>0.1207521</v>
      </c>
      <c r="U4827">
        <v>-3.069458</v>
      </c>
      <c r="V4827">
        <v>3.6989029999999999E-2</v>
      </c>
      <c r="W4827">
        <v>-1.173869E-2</v>
      </c>
      <c r="X4827">
        <v>0.99924669999999904</v>
      </c>
      <c r="Y4827">
        <v>-0.16539419999999999</v>
      </c>
      <c r="Z4827">
        <v>-3.8378210000000003E-2</v>
      </c>
      <c r="AA4827">
        <v>0.98548049999999998</v>
      </c>
      <c r="AB4827">
        <v>23</v>
      </c>
      <c r="AC4827">
        <v>1.9002999999999499</v>
      </c>
      <c r="AD4827">
        <v>4.4166679999999996</v>
      </c>
      <c r="AE4827">
        <v>-112.0521435</v>
      </c>
      <c r="AF4827">
        <v>-18.540798251305699</v>
      </c>
      <c r="AG4827">
        <v>4.4166679999999996</v>
      </c>
      <c r="AH4827">
        <v>110.347675992246</v>
      </c>
      <c r="AI4827">
        <v>87.739609894251899</v>
      </c>
      <c r="AJ4827">
        <v>99.537841985277296</v>
      </c>
      <c r="AK4827">
        <v>111.981595599043</v>
      </c>
      <c r="AL4827">
        <v>90.672592857403501</v>
      </c>
      <c r="AM4827">
        <v>87.8800549417101</v>
      </c>
      <c r="AN4827">
        <v>0.99999997632207305</v>
      </c>
    </row>
    <row r="4828" spans="1:40" x14ac:dyDescent="0.25">
      <c r="A4828" t="str">
        <f>"20190312161412531"</f>
        <v>20190312161412531</v>
      </c>
      <c r="B4828" t="str">
        <f>"1552378452521217"</f>
        <v>1552378452521217</v>
      </c>
      <c r="C4828" t="s">
        <v>40</v>
      </c>
      <c r="D4828">
        <v>5.108492</v>
      </c>
      <c r="E4828">
        <v>0.42107470000000002</v>
      </c>
      <c r="F4828" t="s">
        <v>93</v>
      </c>
      <c r="G4828">
        <v>-419.04649999999998</v>
      </c>
      <c r="H4828">
        <v>5.6619070000000002</v>
      </c>
      <c r="I4828">
        <v>0.4870968</v>
      </c>
      <c r="J4828">
        <v>-421.34429999999998</v>
      </c>
      <c r="K4828">
        <v>1.112268</v>
      </c>
      <c r="L4828">
        <v>112.3151</v>
      </c>
      <c r="M4828">
        <v>-0.1456315</v>
      </c>
      <c r="N4828">
        <v>0</v>
      </c>
      <c r="O4828">
        <v>-0.98924299999999998</v>
      </c>
      <c r="P4828">
        <v>-0.18083070000000001</v>
      </c>
      <c r="Q4828">
        <v>-2.546868E-2</v>
      </c>
      <c r="R4828">
        <v>-0.98318459999999996</v>
      </c>
      <c r="S4828">
        <v>6.2133790000000001E-2</v>
      </c>
      <c r="T4828">
        <v>0.12461079999999999</v>
      </c>
      <c r="U4828">
        <v>-3.0689389999999999</v>
      </c>
      <c r="V4828">
        <v>3.5763549999999998E-2</v>
      </c>
      <c r="W4828">
        <v>-1.151927E-2</v>
      </c>
      <c r="X4828">
        <v>0.99929389999999996</v>
      </c>
      <c r="Y4828">
        <v>-0.16562460000000001</v>
      </c>
      <c r="Z4828">
        <v>-3.9637140000000001E-2</v>
      </c>
      <c r="AA4828">
        <v>0.98539200000000005</v>
      </c>
      <c r="AB4828">
        <v>22</v>
      </c>
      <c r="AC4828">
        <v>2.2977999999999899</v>
      </c>
      <c r="AD4828">
        <v>4.549639</v>
      </c>
      <c r="AE4828">
        <v>-111.8280032</v>
      </c>
      <c r="AF4828">
        <v>-18.5298656068152</v>
      </c>
      <c r="AG4828">
        <v>4.549639</v>
      </c>
      <c r="AH4828">
        <v>110.118710263379</v>
      </c>
      <c r="AI4828">
        <v>87.666890326069193</v>
      </c>
      <c r="AJ4828">
        <v>99.551776571901499</v>
      </c>
      <c r="AK4828">
        <v>111.759498408444</v>
      </c>
      <c r="AL4828">
        <v>90.660020143549303</v>
      </c>
      <c r="AM4828">
        <v>87.950326434767902</v>
      </c>
      <c r="AN4828">
        <v>1.0000000118335699</v>
      </c>
    </row>
    <row r="4829" spans="1:40" x14ac:dyDescent="0.25">
      <c r="A4829" t="str">
        <f>"20190312161412566"</f>
        <v>20190312161412566</v>
      </c>
      <c r="B4829" t="str">
        <f>"1552378452561241"</f>
        <v>1552378452561241</v>
      </c>
      <c r="C4829" t="s">
        <v>40</v>
      </c>
      <c r="D4829">
        <v>4.9658740000000003</v>
      </c>
      <c r="E4829">
        <v>0.4251413</v>
      </c>
      <c r="F4829" t="s">
        <v>93</v>
      </c>
      <c r="G4829">
        <v>-418.75670000000002</v>
      </c>
      <c r="H4829">
        <v>5.7172260000000001</v>
      </c>
      <c r="I4829">
        <v>0.49004940000000002</v>
      </c>
      <c r="J4829">
        <v>-421.38729999999998</v>
      </c>
      <c r="K4829">
        <v>1.112255</v>
      </c>
      <c r="L4829">
        <v>111.9806</v>
      </c>
      <c r="M4829">
        <v>-0.14061080000000001</v>
      </c>
      <c r="N4829">
        <v>0</v>
      </c>
      <c r="O4829">
        <v>-0.98996910000000005</v>
      </c>
      <c r="P4829">
        <v>-0.17518410000000001</v>
      </c>
      <c r="Q4829">
        <v>-2.6638559999999999E-2</v>
      </c>
      <c r="R4829">
        <v>-0.98417520000000003</v>
      </c>
      <c r="S4829">
        <v>7.0983889999999994E-2</v>
      </c>
      <c r="T4829">
        <v>0.1263252</v>
      </c>
      <c r="U4829">
        <v>-3.0676570000000001</v>
      </c>
      <c r="V4829">
        <v>3.5107319999999997E-2</v>
      </c>
      <c r="W4829">
        <v>-1.269785E-2</v>
      </c>
      <c r="X4829">
        <v>0.99930289999999999</v>
      </c>
      <c r="Y4829">
        <v>-0.16347020000000001</v>
      </c>
      <c r="Z4829">
        <v>-4.024925E-2</v>
      </c>
      <c r="AA4829">
        <v>0.98572689999999996</v>
      </c>
      <c r="AB4829">
        <v>22</v>
      </c>
      <c r="AC4829">
        <v>2.6305999999999501</v>
      </c>
      <c r="AD4829">
        <v>4.6049709999999999</v>
      </c>
      <c r="AE4829">
        <v>-111.49055060000001</v>
      </c>
      <c r="AF4829">
        <v>-18.2516033791564</v>
      </c>
      <c r="AG4829">
        <v>4.6049709999999999</v>
      </c>
      <c r="AH4829">
        <v>109.825491631009</v>
      </c>
      <c r="AI4829">
        <v>87.631447651492195</v>
      </c>
      <c r="AJ4829">
        <v>99.435597499553197</v>
      </c>
      <c r="AK4829">
        <v>111.42695094012799</v>
      </c>
      <c r="AL4829">
        <v>90.727552749527305</v>
      </c>
      <c r="AM4829">
        <v>87.987923064035499</v>
      </c>
      <c r="AN4829">
        <v>1.0000000226303001</v>
      </c>
    </row>
    <row r="4830" spans="1:40" x14ac:dyDescent="0.25">
      <c r="A4830" t="str">
        <f>"20190312161412588"</f>
        <v>20190312161412588</v>
      </c>
      <c r="B4830" t="str">
        <f>"1552378452580756"</f>
        <v>1552378452580756</v>
      </c>
      <c r="C4830" t="s">
        <v>40</v>
      </c>
      <c r="D4830">
        <v>4.8394579999999996</v>
      </c>
      <c r="E4830">
        <v>0.42565730000000002</v>
      </c>
      <c r="F4830" t="s">
        <v>93</v>
      </c>
      <c r="G4830">
        <v>-419.23090000000002</v>
      </c>
      <c r="H4830">
        <v>2.2011120000000002</v>
      </c>
      <c r="I4830">
        <v>0.48521609999999998</v>
      </c>
      <c r="J4830">
        <v>-421.41489999999999</v>
      </c>
      <c r="K4830">
        <v>1.1122590000000001</v>
      </c>
      <c r="L4830">
        <v>111.7578</v>
      </c>
      <c r="M4830">
        <v>-0.13726749999999999</v>
      </c>
      <c r="N4830">
        <v>0</v>
      </c>
      <c r="O4830">
        <v>-0.99043829999999999</v>
      </c>
      <c r="P4830">
        <v>-0.17217260000000001</v>
      </c>
      <c r="Q4830">
        <v>-2.6157719999999999E-2</v>
      </c>
      <c r="R4830">
        <v>-0.98471960000000003</v>
      </c>
      <c r="S4830">
        <v>5.9173580000000003E-2</v>
      </c>
      <c r="T4830">
        <v>2.9878970000000001E-2</v>
      </c>
      <c r="U4830">
        <v>-3.0595859999999999</v>
      </c>
      <c r="V4830">
        <v>3.5420020000000003E-2</v>
      </c>
      <c r="W4830">
        <v>-1.221905E-2</v>
      </c>
      <c r="X4830">
        <v>0.99929780000000001</v>
      </c>
      <c r="Y4830">
        <v>-0.15640760000000001</v>
      </c>
      <c r="Z4830">
        <v>-9.5654989999999999E-3</v>
      </c>
      <c r="AA4830">
        <v>0.98764629999999998</v>
      </c>
      <c r="AB4830">
        <v>22</v>
      </c>
      <c r="AC4830">
        <v>2.1839999999999602</v>
      </c>
      <c r="AD4830">
        <v>1.0888529999999901</v>
      </c>
      <c r="AE4830">
        <v>-111.2725839</v>
      </c>
      <c r="AF4830">
        <v>-17.437210946036501</v>
      </c>
      <c r="AG4830">
        <v>1.0888529999999901</v>
      </c>
      <c r="AH4830">
        <v>109.90873758215101</v>
      </c>
      <c r="AI4830">
        <v>89.439406854350196</v>
      </c>
      <c r="AJ4830">
        <v>99.014938968535404</v>
      </c>
      <c r="AK4830">
        <v>111.28869000637199</v>
      </c>
      <c r="AL4830">
        <v>90.700117425628406</v>
      </c>
      <c r="AM4830">
        <v>87.970006122571206</v>
      </c>
      <c r="AN4830">
        <v>0.99999998804227097</v>
      </c>
    </row>
    <row r="4831" spans="1:40" x14ac:dyDescent="0.25">
      <c r="A4831" t="str">
        <f>"20190312161412611"</f>
        <v>20190312161412611</v>
      </c>
      <c r="B4831" t="str">
        <f>"1552378452601248"</f>
        <v>1552378452601248</v>
      </c>
      <c r="C4831" t="s">
        <v>40</v>
      </c>
      <c r="D4831">
        <v>4.9194060000000004</v>
      </c>
      <c r="E4831">
        <v>0.4267804</v>
      </c>
      <c r="F4831" t="s">
        <v>93</v>
      </c>
      <c r="G4831">
        <v>-419.0609</v>
      </c>
      <c r="H4831">
        <v>1.522092</v>
      </c>
      <c r="I4831">
        <v>0.4869385</v>
      </c>
      <c r="J4831">
        <v>-421.44200000000001</v>
      </c>
      <c r="K4831">
        <v>1.1122559999999999</v>
      </c>
      <c r="L4831">
        <v>111.5329</v>
      </c>
      <c r="M4831">
        <v>-0.13389200000000001</v>
      </c>
      <c r="N4831">
        <v>0</v>
      </c>
      <c r="O4831">
        <v>-0.99090029999999996</v>
      </c>
      <c r="P4831">
        <v>-0.168652</v>
      </c>
      <c r="Q4831">
        <v>-2.5645560000000001E-2</v>
      </c>
      <c r="R4831">
        <v>-0.9853421</v>
      </c>
      <c r="S4831">
        <v>6.4697270000000001E-2</v>
      </c>
      <c r="T4831">
        <v>1.126301E-2</v>
      </c>
      <c r="U4831">
        <v>-3.0581670000000001</v>
      </c>
      <c r="V4831">
        <v>3.5248849999999998E-2</v>
      </c>
      <c r="W4831">
        <v>-1.1711040000000001E-2</v>
      </c>
      <c r="X4831">
        <v>0.99931000000000003</v>
      </c>
      <c r="Y4831">
        <v>-0.1548349</v>
      </c>
      <c r="Z4831">
        <v>-3.6105199999999999E-3</v>
      </c>
      <c r="AA4831">
        <v>0.98793379999999997</v>
      </c>
      <c r="AB4831">
        <v>22</v>
      </c>
      <c r="AC4831">
        <v>2.38109999999994</v>
      </c>
      <c r="AD4831">
        <v>0.40983599999999998</v>
      </c>
      <c r="AE4831">
        <v>-111.0459615</v>
      </c>
      <c r="AF4831">
        <v>-17.228996796597102</v>
      </c>
      <c r="AG4831">
        <v>0.40983599999999998</v>
      </c>
      <c r="AH4831">
        <v>109.725571075383</v>
      </c>
      <c r="AI4831">
        <v>89.788585829902701</v>
      </c>
      <c r="AJ4831">
        <v>98.923663144692895</v>
      </c>
      <c r="AK4831">
        <v>111.070730815921</v>
      </c>
      <c r="AL4831">
        <v>90.671008468708706</v>
      </c>
      <c r="AM4831">
        <v>87.979832720424199</v>
      </c>
      <c r="AN4831">
        <v>1.0000000529921</v>
      </c>
    </row>
    <row r="4832" spans="1:40" x14ac:dyDescent="0.25">
      <c r="A4832" t="str">
        <f>"20190312161412634"</f>
        <v>20190312161412634</v>
      </c>
      <c r="B4832" t="str">
        <f>"1552378452620768"</f>
        <v>1552378452620768</v>
      </c>
      <c r="C4832" t="s">
        <v>40</v>
      </c>
      <c r="D4832">
        <v>4.9131299999999998</v>
      </c>
      <c r="E4832">
        <v>0.42718060000000002</v>
      </c>
      <c r="F4832" t="s">
        <v>93</v>
      </c>
      <c r="G4832">
        <v>-419.00380000000001</v>
      </c>
      <c r="H4832">
        <v>1.4255610000000001</v>
      </c>
      <c r="I4832">
        <v>0.48752210000000001</v>
      </c>
      <c r="J4832">
        <v>-421.46780000000001</v>
      </c>
      <c r="K4832">
        <v>1.1122430000000001</v>
      </c>
      <c r="L4832">
        <v>111.31270000000001</v>
      </c>
      <c r="M4832">
        <v>-0.13058819999999999</v>
      </c>
      <c r="N4832">
        <v>0</v>
      </c>
      <c r="O4832">
        <v>-0.99134120000000003</v>
      </c>
      <c r="P4832">
        <v>-0.165706399999999</v>
      </c>
      <c r="Q4832">
        <v>-2.5933500000000002E-2</v>
      </c>
      <c r="R4832">
        <v>-0.9858344</v>
      </c>
      <c r="S4832">
        <v>6.7108150000000005E-2</v>
      </c>
      <c r="T4832">
        <v>8.6225269999999996E-3</v>
      </c>
      <c r="U4832">
        <v>-3.0563509999999998</v>
      </c>
      <c r="V4832">
        <v>3.559557E-2</v>
      </c>
      <c r="W4832">
        <v>-1.200098E-2</v>
      </c>
      <c r="X4832">
        <v>0.99929420000000002</v>
      </c>
      <c r="Y4832">
        <v>-0.15233260000000001</v>
      </c>
      <c r="Z4832">
        <v>-2.7681149999999998E-3</v>
      </c>
      <c r="AA4832">
        <v>0.98832540000000002</v>
      </c>
      <c r="AB4832">
        <v>22</v>
      </c>
      <c r="AC4832">
        <v>2.4639999999999902</v>
      </c>
      <c r="AD4832">
        <v>0.31331799999999999</v>
      </c>
      <c r="AE4832">
        <v>-110.8251779</v>
      </c>
      <c r="AF4832">
        <v>-16.916591714186499</v>
      </c>
      <c r="AG4832">
        <v>0.31331799999999999</v>
      </c>
      <c r="AH4832">
        <v>109.55329270887501</v>
      </c>
      <c r="AI4832">
        <v>89.838056119698706</v>
      </c>
      <c r="AJ4832">
        <v>98.777957583240706</v>
      </c>
      <c r="AK4832">
        <v>110.85212305928199</v>
      </c>
      <c r="AL4832">
        <v>90.687622021912802</v>
      </c>
      <c r="AM4832">
        <v>87.959946129710204</v>
      </c>
      <c r="AN4832">
        <v>0.99999998313911198</v>
      </c>
    </row>
    <row r="4833" spans="1:40" x14ac:dyDescent="0.25">
      <c r="A4833" t="str">
        <f>"20190312161412654"</f>
        <v>20190312161412654</v>
      </c>
      <c r="B4833" t="str">
        <f>"1552378452651025"</f>
        <v>1552378452651025</v>
      </c>
      <c r="C4833" t="s">
        <v>40</v>
      </c>
      <c r="D4833">
        <v>4.9018220000000001</v>
      </c>
      <c r="E4833">
        <v>0.42764479999999999</v>
      </c>
      <c r="F4833" t="s">
        <v>93</v>
      </c>
      <c r="G4833">
        <v>-418.82240000000002</v>
      </c>
      <c r="H4833">
        <v>1.470747</v>
      </c>
      <c r="I4833">
        <v>0.48936459999999998</v>
      </c>
      <c r="J4833">
        <v>-421.49169999999998</v>
      </c>
      <c r="K4833">
        <v>1.112236</v>
      </c>
      <c r="L4833">
        <v>111.1031</v>
      </c>
      <c r="M4833">
        <v>-0.12744359999999999</v>
      </c>
      <c r="N4833">
        <v>0</v>
      </c>
      <c r="O4833">
        <v>-0.99175040000000003</v>
      </c>
      <c r="P4833">
        <v>-0.1627255</v>
      </c>
      <c r="Q4833">
        <v>-2.609966E-2</v>
      </c>
      <c r="R4833">
        <v>-0.98632620000000004</v>
      </c>
      <c r="S4833">
        <v>7.2937009999999997E-2</v>
      </c>
      <c r="T4833">
        <v>9.8840000000000004E-3</v>
      </c>
      <c r="U4833">
        <v>-3.055634</v>
      </c>
      <c r="V4833">
        <v>3.5745060000000002E-2</v>
      </c>
      <c r="W4833">
        <v>-1.2169910000000001E-2</v>
      </c>
      <c r="X4833">
        <v>0.99928680000000003</v>
      </c>
      <c r="Y4833">
        <v>-0.15108750000000001</v>
      </c>
      <c r="Z4833">
        <v>-3.1760540000000002E-3</v>
      </c>
      <c r="AA4833">
        <v>0.98851529999999999</v>
      </c>
      <c r="AB4833">
        <v>22</v>
      </c>
      <c r="AC4833">
        <v>2.6692999999999598</v>
      </c>
      <c r="AD4833">
        <v>0.35851100000000002</v>
      </c>
      <c r="AE4833">
        <v>-110.6137354</v>
      </c>
      <c r="AF4833">
        <v>-16.745701029551199</v>
      </c>
      <c r="AG4833">
        <v>0.35851100000000002</v>
      </c>
      <c r="AH4833">
        <v>109.370233895854</v>
      </c>
      <c r="AI4833">
        <v>89.814350970972896</v>
      </c>
      <c r="AJ4833">
        <v>98.704966977680598</v>
      </c>
      <c r="AK4833">
        <v>110.645357315805</v>
      </c>
      <c r="AL4833">
        <v>90.697301719548605</v>
      </c>
      <c r="AM4833">
        <v>87.951370683715894</v>
      </c>
      <c r="AN4833">
        <v>0.99999996233902499</v>
      </c>
    </row>
    <row r="4834" spans="1:40" x14ac:dyDescent="0.25">
      <c r="A4834" t="str">
        <f>"20190312161412678"</f>
        <v>20190312161412678</v>
      </c>
      <c r="B4834" t="str">
        <f>"1552378452671520"</f>
        <v>1552378452671520</v>
      </c>
      <c r="C4834" t="s">
        <v>40</v>
      </c>
      <c r="D4834">
        <v>4.931038</v>
      </c>
      <c r="E4834">
        <v>0.42783650000000001</v>
      </c>
      <c r="F4834" t="s">
        <v>93</v>
      </c>
      <c r="G4834">
        <v>-418.63069999999999</v>
      </c>
      <c r="H4834">
        <v>1.303992</v>
      </c>
      <c r="I4834">
        <v>0.49131390000000003</v>
      </c>
      <c r="J4834">
        <v>-421.51650000000001</v>
      </c>
      <c r="K4834">
        <v>1.112223</v>
      </c>
      <c r="L4834">
        <v>110.8783</v>
      </c>
      <c r="M4834">
        <v>-0.12407749999999999</v>
      </c>
      <c r="N4834">
        <v>0</v>
      </c>
      <c r="O4834">
        <v>-0.99217730000000004</v>
      </c>
      <c r="P4834">
        <v>-0.15938350000000001</v>
      </c>
      <c r="Q4834">
        <v>-2.577803E-2</v>
      </c>
      <c r="R4834">
        <v>-0.98688039999999999</v>
      </c>
      <c r="S4834">
        <v>7.9010010000000006E-2</v>
      </c>
      <c r="T4834">
        <v>5.2950380000000002E-3</v>
      </c>
      <c r="U4834">
        <v>-3.054764</v>
      </c>
      <c r="V4834">
        <v>3.574803E-2</v>
      </c>
      <c r="W4834">
        <v>-1.1852140000000001E-2</v>
      </c>
      <c r="X4834">
        <v>0.99929049999999997</v>
      </c>
      <c r="Y4834">
        <v>-0.149703799999999</v>
      </c>
      <c r="Z4834">
        <v>-1.7032099999999999E-3</v>
      </c>
      <c r="AA4834">
        <v>0.98872939999999998</v>
      </c>
      <c r="AB4834">
        <v>22</v>
      </c>
      <c r="AC4834">
        <v>2.8858000000000099</v>
      </c>
      <c r="AD4834">
        <v>0.191769</v>
      </c>
      <c r="AE4834">
        <v>-110.3869861</v>
      </c>
      <c r="AF4834">
        <v>-16.5612815209792</v>
      </c>
      <c r="AG4834">
        <v>0.191769</v>
      </c>
      <c r="AH4834">
        <v>109.175386172426</v>
      </c>
      <c r="AI4834">
        <v>89.900497113816698</v>
      </c>
      <c r="AJ4834">
        <v>98.625680858406795</v>
      </c>
      <c r="AK4834">
        <v>110.42453426148001</v>
      </c>
      <c r="AL4834">
        <v>90.679093534452903</v>
      </c>
      <c r="AM4834">
        <v>87.951208190906399</v>
      </c>
      <c r="AN4834">
        <v>0.99999994913085299</v>
      </c>
    </row>
    <row r="4835" spans="1:40" x14ac:dyDescent="0.25">
      <c r="A4835" t="str">
        <f>"20190312161412700"</f>
        <v>20190312161412700</v>
      </c>
      <c r="B4835" t="str">
        <f>"1552378452691040"</f>
        <v>1552378452691040</v>
      </c>
      <c r="C4835" t="s">
        <v>40</v>
      </c>
      <c r="D4835">
        <v>4.9026480000000001</v>
      </c>
      <c r="E4835">
        <v>0.42810720000000002</v>
      </c>
      <c r="F4835" t="s">
        <v>93</v>
      </c>
      <c r="G4835">
        <v>-418.35640000000001</v>
      </c>
      <c r="H4835">
        <v>1.2937459999999901</v>
      </c>
      <c r="I4835">
        <v>0.4941025</v>
      </c>
      <c r="J4835">
        <v>-421.54020000000003</v>
      </c>
      <c r="K4835">
        <v>1.1122129999999999</v>
      </c>
      <c r="L4835">
        <v>110.6575</v>
      </c>
      <c r="M4835">
        <v>-0.12078609999999999</v>
      </c>
      <c r="N4835">
        <v>0</v>
      </c>
      <c r="O4835">
        <v>-0.99258329999999995</v>
      </c>
      <c r="P4835">
        <v>-0.15475410000000001</v>
      </c>
      <c r="Q4835">
        <v>-2.5842859999999999E-2</v>
      </c>
      <c r="R4835">
        <v>-0.98761529999999997</v>
      </c>
      <c r="S4835">
        <v>8.7432860000000001E-2</v>
      </c>
      <c r="T4835">
        <v>5.021691E-3</v>
      </c>
      <c r="U4835">
        <v>-3.0541230000000001</v>
      </c>
      <c r="V4835">
        <v>3.4376980000000001E-2</v>
      </c>
      <c r="W4835">
        <v>-1.192755E-2</v>
      </c>
      <c r="X4835">
        <v>0.9993377</v>
      </c>
      <c r="Y4835">
        <v>-0.1491546</v>
      </c>
      <c r="Z4835">
        <v>-1.6166329999999999E-3</v>
      </c>
      <c r="AA4835">
        <v>0.98881260000000004</v>
      </c>
      <c r="AB4835">
        <v>22</v>
      </c>
      <c r="AC4835">
        <v>3.1838000000000202</v>
      </c>
      <c r="AD4835">
        <v>0.181532999999999</v>
      </c>
      <c r="AE4835">
        <v>-110.1633975</v>
      </c>
      <c r="AF4835">
        <v>-16.467906383144001</v>
      </c>
      <c r="AG4835">
        <v>0.181532999999999</v>
      </c>
      <c r="AH4835">
        <v>108.971798564339</v>
      </c>
      <c r="AI4835">
        <v>89.905624256789807</v>
      </c>
      <c r="AJ4835">
        <v>98.593559796949904</v>
      </c>
      <c r="AK4835">
        <v>110.209245425332</v>
      </c>
      <c r="AL4835">
        <v>90.683414520452999</v>
      </c>
      <c r="AM4835">
        <v>88.029815655961301</v>
      </c>
      <c r="AN4835">
        <v>0.99999994092210398</v>
      </c>
    </row>
    <row r="4836" spans="1:40" x14ac:dyDescent="0.25">
      <c r="A4836" t="str">
        <f>"20190312161412722"</f>
        <v>20190312161412722</v>
      </c>
      <c r="B4836" t="str">
        <f>"1552378452711536"</f>
        <v>1552378452711536</v>
      </c>
      <c r="C4836" t="s">
        <v>40</v>
      </c>
      <c r="D4836">
        <v>4.9181100000000004</v>
      </c>
      <c r="E4836">
        <v>0.42848999999999998</v>
      </c>
      <c r="F4836" t="s">
        <v>93</v>
      </c>
      <c r="G4836">
        <v>-417.9212</v>
      </c>
      <c r="H4836">
        <v>1.200083</v>
      </c>
      <c r="I4836">
        <v>0.49853130000000001</v>
      </c>
      <c r="J4836">
        <v>-421.56200000000001</v>
      </c>
      <c r="K4836">
        <v>1.112182</v>
      </c>
      <c r="L4836">
        <v>110.4478</v>
      </c>
      <c r="M4836">
        <v>-0.1176809</v>
      </c>
      <c r="N4836">
        <v>0</v>
      </c>
      <c r="O4836">
        <v>-0.99295630000000001</v>
      </c>
      <c r="P4836">
        <v>-0.150088</v>
      </c>
      <c r="Q4836">
        <v>-2.5580450000000001E-2</v>
      </c>
      <c r="R4836">
        <v>-0.98834169999999999</v>
      </c>
      <c r="S4836">
        <v>0.10031130000000001</v>
      </c>
      <c r="T4836">
        <v>2.4349689999999999E-3</v>
      </c>
      <c r="U4836">
        <v>-3.0534059999999998</v>
      </c>
      <c r="V4836">
        <v>3.2780709999999998E-2</v>
      </c>
      <c r="W4836">
        <v>-1.167694E-2</v>
      </c>
      <c r="X4836">
        <v>0.99939440000000002</v>
      </c>
      <c r="Y4836">
        <v>-0.15023499999999901</v>
      </c>
      <c r="Z4836">
        <v>-7.8440399999999896E-4</v>
      </c>
      <c r="AA4836">
        <v>0.98865000000000003</v>
      </c>
      <c r="AB4836">
        <v>22</v>
      </c>
      <c r="AC4836">
        <v>3.6407999999999499</v>
      </c>
      <c r="AD4836">
        <v>8.7900999999999896E-2</v>
      </c>
      <c r="AE4836">
        <v>-109.949268699999</v>
      </c>
      <c r="AF4836">
        <v>-16.555638139094398</v>
      </c>
      <c r="AG4836">
        <v>8.7900999999999896E-2</v>
      </c>
      <c r="AH4836">
        <v>108.75657453669299</v>
      </c>
      <c r="AI4836">
        <v>89.954218890209603</v>
      </c>
      <c r="AJ4836">
        <v>98.655489389692505</v>
      </c>
      <c r="AK4836">
        <v>110.00949679793</v>
      </c>
      <c r="AL4836">
        <v>90.669054553595998</v>
      </c>
      <c r="AM4836">
        <v>88.121339085857599</v>
      </c>
      <c r="AN4836">
        <v>1.0000000463136101</v>
      </c>
    </row>
    <row r="4837" spans="1:40" x14ac:dyDescent="0.25">
      <c r="A4837" t="str">
        <f>"20190312161412745"</f>
        <v>20190312161412745</v>
      </c>
      <c r="B4837" t="str">
        <f>"1552378452741419"</f>
        <v>1552378452741419</v>
      </c>
      <c r="C4837" t="s">
        <v>40</v>
      </c>
      <c r="D4837">
        <v>4.9049120000000004</v>
      </c>
      <c r="E4837">
        <v>0.43471989999999999</v>
      </c>
      <c r="F4837" t="s">
        <v>93</v>
      </c>
      <c r="G4837">
        <v>-417.54419999999999</v>
      </c>
      <c r="H4837">
        <v>1.0995919999999999</v>
      </c>
      <c r="I4837">
        <v>0.50236510000000001</v>
      </c>
      <c r="J4837">
        <v>-421.58460000000002</v>
      </c>
      <c r="K4837">
        <v>1.1121540000000001</v>
      </c>
      <c r="L4837">
        <v>110.2243</v>
      </c>
      <c r="M4837">
        <v>-0.11440409999999999</v>
      </c>
      <c r="N4837">
        <v>0</v>
      </c>
      <c r="O4837">
        <v>-0.99333930000000004</v>
      </c>
      <c r="P4837">
        <v>-0.1469</v>
      </c>
      <c r="Q4837">
        <v>-2.6666200000000001E-2</v>
      </c>
      <c r="R4837">
        <v>-0.98879229999999996</v>
      </c>
      <c r="S4837">
        <v>0.11154169999999999</v>
      </c>
      <c r="T4837">
        <v>-3.503561E-4</v>
      </c>
      <c r="U4837">
        <v>-3.0523069999999999</v>
      </c>
      <c r="V4837">
        <v>3.2862820000000001E-2</v>
      </c>
      <c r="W4837">
        <v>-1.276862E-2</v>
      </c>
      <c r="X4837">
        <v>0.99937830000000005</v>
      </c>
      <c r="Y4837">
        <v>-0.1506179</v>
      </c>
      <c r="Z4837">
        <v>1.129602E-4</v>
      </c>
      <c r="AA4837">
        <v>0.98859200000000003</v>
      </c>
      <c r="AB4837">
        <v>22</v>
      </c>
      <c r="AC4837">
        <v>4.0404000000000302</v>
      </c>
      <c r="AD4837">
        <v>-1.2562000000000101E-2</v>
      </c>
      <c r="AE4837">
        <v>-109.72193489999999</v>
      </c>
      <c r="AF4837">
        <v>-16.567690645077398</v>
      </c>
      <c r="AG4837">
        <v>-1.2562000000000101E-2</v>
      </c>
      <c r="AH4837">
        <v>108.539113417427</v>
      </c>
      <c r="AI4837">
        <v>90.006555317241805</v>
      </c>
      <c r="AJ4837">
        <v>98.6787850248609</v>
      </c>
      <c r="AK4837">
        <v>109.796300814535</v>
      </c>
      <c r="AL4837">
        <v>90.731607921050099</v>
      </c>
      <c r="AM4837">
        <v>88.1166064312564</v>
      </c>
      <c r="AN4837">
        <v>0.99999999455297295</v>
      </c>
    </row>
    <row r="4838" spans="1:40" x14ac:dyDescent="0.25">
      <c r="A4838" t="str">
        <f>"20190312161412767"</f>
        <v>20190312161412767</v>
      </c>
      <c r="B4838" t="str">
        <f>"1552378452760938"</f>
        <v>1552378452760938</v>
      </c>
      <c r="C4838" t="s">
        <v>40</v>
      </c>
      <c r="D4838">
        <v>5.0147550000000001</v>
      </c>
      <c r="E4838">
        <v>0.43499169999999998</v>
      </c>
      <c r="F4838" t="s">
        <v>42</v>
      </c>
      <c r="G4838">
        <v>-419.87639999999999</v>
      </c>
      <c r="H4838" s="1">
        <v>-3.4264019999999902E-8</v>
      </c>
      <c r="I4838">
        <v>39.652149999999999</v>
      </c>
      <c r="J4838">
        <v>-421.60669999999999</v>
      </c>
      <c r="K4838">
        <v>1.1121209999999999</v>
      </c>
      <c r="L4838">
        <v>109.99930000000001</v>
      </c>
      <c r="M4838">
        <v>-0.1111467</v>
      </c>
      <c r="N4838">
        <v>0</v>
      </c>
      <c r="O4838">
        <v>-0.99370910000000001</v>
      </c>
      <c r="P4838">
        <v>-0.14533869999999999</v>
      </c>
      <c r="Q4838">
        <v>-2.7084879999999999E-2</v>
      </c>
      <c r="R4838">
        <v>-0.98901139999999998</v>
      </c>
      <c r="S4838">
        <v>7.3669429999999994E-2</v>
      </c>
      <c r="T4838">
        <v>-4.7965529999999999E-2</v>
      </c>
      <c r="U4838">
        <v>-3.0436709999999998</v>
      </c>
      <c r="V4838">
        <v>3.4563219999999999E-2</v>
      </c>
      <c r="W4838">
        <v>-1.3187249999999999E-2</v>
      </c>
      <c r="X4838">
        <v>0.99931550000000002</v>
      </c>
      <c r="Y4838">
        <v>-0.13516879999999901</v>
      </c>
      <c r="Z4838">
        <v>1.5536029999999999E-2</v>
      </c>
      <c r="AA4838">
        <v>0.99070080000000005</v>
      </c>
      <c r="AB4838">
        <v>22</v>
      </c>
      <c r="AC4838">
        <v>1.73029999999999</v>
      </c>
      <c r="AD4838">
        <v>-1.11212103426402</v>
      </c>
      <c r="AE4838">
        <v>-70.347149999999999</v>
      </c>
      <c r="AF4838">
        <v>-9.5367861408865995</v>
      </c>
      <c r="AG4838">
        <v>-1.11212103426402</v>
      </c>
      <c r="AH4838">
        <v>69.701452362136095</v>
      </c>
      <c r="AI4838">
        <v>90.905668237060993</v>
      </c>
      <c r="AJ4838">
        <v>97.791023173483197</v>
      </c>
      <c r="AK4838">
        <v>70.359644431186496</v>
      </c>
      <c r="AL4838">
        <v>90.755595674020995</v>
      </c>
      <c r="AM4838">
        <v>88.0191065371626</v>
      </c>
      <c r="AN4838">
        <v>0.99999999413979002</v>
      </c>
    </row>
    <row r="4839" spans="1:40" x14ac:dyDescent="0.25">
      <c r="A4839" t="str">
        <f>"20190312161412790"</f>
        <v>20190312161412790</v>
      </c>
      <c r="B4839" t="str">
        <f>"1552378452781434"</f>
        <v>1552378452781434</v>
      </c>
      <c r="C4839" t="s">
        <v>40</v>
      </c>
      <c r="D4839">
        <v>5.068873</v>
      </c>
      <c r="E4839">
        <v>0.43531409999999998</v>
      </c>
      <c r="F4839" t="s">
        <v>77</v>
      </c>
      <c r="G4839">
        <v>-419.81630000000001</v>
      </c>
      <c r="H4839" s="1">
        <v>-8.9021599999999998E-7</v>
      </c>
      <c r="I4839">
        <v>38.272500000000001</v>
      </c>
      <c r="J4839">
        <v>-421.62720000000002</v>
      </c>
      <c r="K4839">
        <v>1.112082</v>
      </c>
      <c r="L4839">
        <v>109.78270000000001</v>
      </c>
      <c r="M4839">
        <v>-0.1080624</v>
      </c>
      <c r="N4839">
        <v>0</v>
      </c>
      <c r="O4839">
        <v>-0.99404910000000002</v>
      </c>
      <c r="P4839">
        <v>-0.14383270000000001</v>
      </c>
      <c r="Q4839">
        <v>-2.6888800000000001E-2</v>
      </c>
      <c r="R4839">
        <v>-0.98923660000000002</v>
      </c>
      <c r="S4839">
        <v>7.5958250000000005E-2</v>
      </c>
      <c r="T4839">
        <v>-4.7184940000000002E-2</v>
      </c>
      <c r="U4839">
        <v>-3.0432130000000002</v>
      </c>
      <c r="V4839">
        <v>3.6139730000000002E-2</v>
      </c>
      <c r="W4839">
        <v>-1.299206E-2</v>
      </c>
      <c r="X4839">
        <v>0.99926230000000005</v>
      </c>
      <c r="Y4839">
        <v>-0.13284189999999901</v>
      </c>
      <c r="Z4839">
        <v>1.529577E-2</v>
      </c>
      <c r="AA4839">
        <v>0.99101919999999999</v>
      </c>
      <c r="AB4839">
        <v>22</v>
      </c>
      <c r="AC4839">
        <v>1.8109</v>
      </c>
      <c r="AD4839">
        <v>-1.112082890216</v>
      </c>
      <c r="AE4839">
        <v>-71.510199999999998</v>
      </c>
      <c r="AF4839">
        <v>-9.52628497632384</v>
      </c>
      <c r="AG4839">
        <v>-1.112082890216</v>
      </c>
      <c r="AH4839">
        <v>70.878525641541998</v>
      </c>
      <c r="AI4839">
        <v>90.890886832903306</v>
      </c>
      <c r="AJ4839">
        <v>97.654850577448897</v>
      </c>
      <c r="AK4839">
        <v>71.524486932263798</v>
      </c>
      <c r="AL4839">
        <v>90.744411141491994</v>
      </c>
      <c r="AM4839">
        <v>87.928720118720307</v>
      </c>
      <c r="AN4839">
        <v>1.0000000089544001</v>
      </c>
    </row>
    <row r="4840" spans="1:40" x14ac:dyDescent="0.25">
      <c r="A4840" t="str">
        <f>"20190312161412812"</f>
        <v>20190312161412812</v>
      </c>
      <c r="B4840" t="str">
        <f>"1552378452800956"</f>
        <v>1552378452800956</v>
      </c>
      <c r="C4840" t="s">
        <v>40</v>
      </c>
      <c r="D4840">
        <v>5.0101000000000004</v>
      </c>
      <c r="E4840">
        <v>0.41498990000000002</v>
      </c>
      <c r="F4840" t="s">
        <v>42</v>
      </c>
      <c r="G4840">
        <v>-419.85820000000001</v>
      </c>
      <c r="H4840" s="1">
        <v>-6.658872E-7</v>
      </c>
      <c r="I4840">
        <v>41.126309999999997</v>
      </c>
      <c r="J4840">
        <v>-421.6472</v>
      </c>
      <c r="K4840">
        <v>1.112047</v>
      </c>
      <c r="L4840">
        <v>109.5652</v>
      </c>
      <c r="M4840">
        <v>-0.1050142</v>
      </c>
      <c r="N4840">
        <v>0</v>
      </c>
      <c r="O4840">
        <v>-0.99437580000000003</v>
      </c>
      <c r="P4840">
        <v>-0.14196230000000001</v>
      </c>
      <c r="Q4840">
        <v>-2.6961280000000001E-2</v>
      </c>
      <c r="R4840">
        <v>-0.98950519999999997</v>
      </c>
      <c r="S4840">
        <v>7.8399659999999996E-2</v>
      </c>
      <c r="T4840">
        <v>-4.9284929999999998E-2</v>
      </c>
      <c r="U4840">
        <v>-3.042694</v>
      </c>
      <c r="V4840">
        <v>3.7313260000000001E-2</v>
      </c>
      <c r="W4840">
        <v>-1.306763E-2</v>
      </c>
      <c r="X4840">
        <v>0.99921819999999895</v>
      </c>
      <c r="Y4840">
        <v>-0.13060150000000001</v>
      </c>
      <c r="Z4840">
        <v>1.598925E-2</v>
      </c>
      <c r="AA4840">
        <v>0.99130600000000002</v>
      </c>
      <c r="AB4840">
        <v>22</v>
      </c>
      <c r="AC4840">
        <v>1.7889999999999799</v>
      </c>
      <c r="AD4840">
        <v>-1.1120476658871901</v>
      </c>
      <c r="AE4840">
        <v>-68.438890000000001</v>
      </c>
      <c r="AF4840">
        <v>-8.96447482945708</v>
      </c>
      <c r="AG4840">
        <v>-1.1120476658871901</v>
      </c>
      <c r="AH4840">
        <v>67.854609680837498</v>
      </c>
      <c r="AI4840">
        <v>90.930831582473104</v>
      </c>
      <c r="AJ4840">
        <v>97.525932764644196</v>
      </c>
      <c r="AK4840">
        <v>68.453243268072995</v>
      </c>
      <c r="AL4840">
        <v>90.748741337773495</v>
      </c>
      <c r="AM4840">
        <v>87.861428650759095</v>
      </c>
      <c r="AN4840">
        <v>1.0000000267684399</v>
      </c>
    </row>
    <row r="4841" spans="1:40" x14ac:dyDescent="0.25">
      <c r="A4841" t="str">
        <f>"20190312161412834"</f>
        <v>20190312161412834</v>
      </c>
      <c r="B4841" t="str">
        <f>"1552378452830767"</f>
        <v>1552378452830767</v>
      </c>
      <c r="C4841" t="s">
        <v>40</v>
      </c>
      <c r="D4841">
        <v>5.0329680000000003</v>
      </c>
      <c r="E4841">
        <v>0.39724419999999999</v>
      </c>
      <c r="F4841" t="s">
        <v>93</v>
      </c>
      <c r="G4841">
        <v>-413.1103</v>
      </c>
      <c r="H4841">
        <v>4.6824269999999997</v>
      </c>
      <c r="I4841">
        <v>0.54747009999999996</v>
      </c>
      <c r="J4841">
        <v>-421.66660000000002</v>
      </c>
      <c r="K4841">
        <v>1.1120219999999901</v>
      </c>
      <c r="L4841">
        <v>109.3468</v>
      </c>
      <c r="M4841">
        <v>-0.10199469999999999</v>
      </c>
      <c r="N4841">
        <v>0</v>
      </c>
      <c r="O4841">
        <v>-0.99469019999999997</v>
      </c>
      <c r="P4841">
        <v>-0.14028070000000001</v>
      </c>
      <c r="Q4841">
        <v>-2.6496550000000001E-2</v>
      </c>
      <c r="R4841">
        <v>-0.98975709999999995</v>
      </c>
      <c r="S4841">
        <v>0.24032590000000001</v>
      </c>
      <c r="T4841">
        <v>0.1005114</v>
      </c>
      <c r="U4841">
        <v>-3.0690309999999998</v>
      </c>
      <c r="V4841">
        <v>3.8644369999999997E-2</v>
      </c>
      <c r="W4841">
        <v>-1.260496E-2</v>
      </c>
      <c r="X4841">
        <v>0.99917350000000005</v>
      </c>
      <c r="Y4841">
        <v>-0.17931259999999999</v>
      </c>
      <c r="Z4841">
        <v>-3.2161799999999997E-2</v>
      </c>
      <c r="AA4841">
        <v>0.98326630000000004</v>
      </c>
      <c r="AB4841">
        <v>22</v>
      </c>
      <c r="AC4841">
        <v>8.5563000000000198</v>
      </c>
      <c r="AD4841">
        <v>3.5704050000000001</v>
      </c>
      <c r="AE4841">
        <v>-108.7993299</v>
      </c>
      <c r="AF4841">
        <v>-19.588705188115501</v>
      </c>
      <c r="AG4841">
        <v>3.5704050000000001</v>
      </c>
      <c r="AH4841">
        <v>107.24426499905201</v>
      </c>
      <c r="AI4841">
        <v>88.124209157881495</v>
      </c>
      <c r="AJ4841">
        <v>100.351253547103</v>
      </c>
      <c r="AK4841">
        <v>109.077025711182</v>
      </c>
      <c r="AL4841">
        <v>90.722230151138007</v>
      </c>
      <c r="AM4841">
        <v>87.785113126585003</v>
      </c>
      <c r="AN4841">
        <v>0.99999997772577398</v>
      </c>
    </row>
    <row r="4842" spans="1:40" x14ac:dyDescent="0.25">
      <c r="A4842" t="str">
        <f>"20190312161412857"</f>
        <v>20190312161412857</v>
      </c>
      <c r="B4842" t="str">
        <f>"1552378452851262"</f>
        <v>1552378452851262</v>
      </c>
      <c r="C4842" t="s">
        <v>40</v>
      </c>
      <c r="D4842">
        <v>5.0435410000000003</v>
      </c>
      <c r="E4842">
        <v>0.39718249999999999</v>
      </c>
      <c r="F4842" t="s">
        <v>93</v>
      </c>
      <c r="G4842">
        <v>-408.23270000000002</v>
      </c>
      <c r="H4842">
        <v>9.4519450000000003</v>
      </c>
      <c r="I4842">
        <v>0.5970898</v>
      </c>
      <c r="J4842">
        <v>-421.68520000000001</v>
      </c>
      <c r="K4842">
        <v>1.112001</v>
      </c>
      <c r="L4842">
        <v>109.1319</v>
      </c>
      <c r="M4842">
        <v>-9.9059980000000006E-2</v>
      </c>
      <c r="N4842">
        <v>0</v>
      </c>
      <c r="O4842">
        <v>-0.9949867</v>
      </c>
      <c r="P4842">
        <v>-0.13810799999999901</v>
      </c>
      <c r="Q4842">
        <v>-2.6478789999999999E-2</v>
      </c>
      <c r="R4842">
        <v>-0.99006349999999999</v>
      </c>
      <c r="S4842">
        <v>0.38189699999999999</v>
      </c>
      <c r="T4842">
        <v>0.2370853</v>
      </c>
      <c r="U4842">
        <v>-3.0915219999999999</v>
      </c>
      <c r="V4842">
        <v>3.9397630000000003E-2</v>
      </c>
      <c r="W4842">
        <v>-1.259094E-2</v>
      </c>
      <c r="X4842">
        <v>0.99914429999999999</v>
      </c>
      <c r="Y4842">
        <v>-0.2199699</v>
      </c>
      <c r="Z4842">
        <v>-7.468023E-2</v>
      </c>
      <c r="AA4842">
        <v>0.97264390000000001</v>
      </c>
      <c r="AB4842">
        <v>22</v>
      </c>
      <c r="AC4842">
        <v>13.452499999999899</v>
      </c>
      <c r="AD4842">
        <v>8.3399439999999991</v>
      </c>
      <c r="AE4842">
        <v>-108.5348102</v>
      </c>
      <c r="AF4842">
        <v>-23.9992298892384</v>
      </c>
      <c r="AG4842">
        <v>8.3399439999999991</v>
      </c>
      <c r="AH4842">
        <v>106.051433290671</v>
      </c>
      <c r="AI4842">
        <v>85.613937446189595</v>
      </c>
      <c r="AJ4842">
        <v>102.75115150252</v>
      </c>
      <c r="AK4842">
        <v>109.05239201505501</v>
      </c>
      <c r="AL4842">
        <v>90.721426771035098</v>
      </c>
      <c r="AM4842">
        <v>87.741918665283507</v>
      </c>
      <c r="AN4842">
        <v>1.00000001862109</v>
      </c>
    </row>
    <row r="4843" spans="1:40" x14ac:dyDescent="0.25">
      <c r="A4843" t="str">
        <f>"20190312161412878"</f>
        <v>20190312161412878</v>
      </c>
      <c r="B4843" t="str">
        <f>"1552378452870781"</f>
        <v>1552378452870781</v>
      </c>
      <c r="C4843" t="s">
        <v>40</v>
      </c>
      <c r="D4843">
        <v>4.9745010000000001</v>
      </c>
      <c r="E4843">
        <v>0.39745160000000002</v>
      </c>
      <c r="F4843" t="s">
        <v>93</v>
      </c>
      <c r="G4843">
        <v>-408.04419999999999</v>
      </c>
      <c r="H4843">
        <v>9.5754629999999992</v>
      </c>
      <c r="I4843">
        <v>0.5990105</v>
      </c>
      <c r="J4843">
        <v>-421.70319999999998</v>
      </c>
      <c r="K4843">
        <v>1.1119779999999999</v>
      </c>
      <c r="L4843">
        <v>108.91549999999999</v>
      </c>
      <c r="M4843">
        <v>-9.6138829999999995E-2</v>
      </c>
      <c r="N4843">
        <v>0</v>
      </c>
      <c r="O4843">
        <v>-0.99527319999999997</v>
      </c>
      <c r="P4843">
        <v>-0.13493450000000001</v>
      </c>
      <c r="Q4843">
        <v>-2.6205180000000002E-2</v>
      </c>
      <c r="R4843">
        <v>-0.99050800000000006</v>
      </c>
      <c r="S4843">
        <v>0.38845829999999998</v>
      </c>
      <c r="T4843">
        <v>0.24101610000000001</v>
      </c>
      <c r="U4843">
        <v>-3.0907290000000001</v>
      </c>
      <c r="V4843">
        <v>3.9126279999999999E-2</v>
      </c>
      <c r="W4843">
        <v>-1.2324359999999999E-2</v>
      </c>
      <c r="X4843">
        <v>0.99915830000000005</v>
      </c>
      <c r="Y4843">
        <v>-0.21915809999999999</v>
      </c>
      <c r="Z4843">
        <v>-7.5960810000000004E-2</v>
      </c>
      <c r="AA4843">
        <v>0.97272800000000004</v>
      </c>
      <c r="AB4843">
        <v>22</v>
      </c>
      <c r="AC4843">
        <v>13.658999999999899</v>
      </c>
      <c r="AD4843">
        <v>8.4634850000000004</v>
      </c>
      <c r="AE4843">
        <v>-108.3164895</v>
      </c>
      <c r="AF4843">
        <v>-23.8666880603881</v>
      </c>
      <c r="AG4843">
        <v>8.4634850000000004</v>
      </c>
      <c r="AH4843">
        <v>105.865156688532</v>
      </c>
      <c r="AI4843">
        <v>85.540610375902205</v>
      </c>
      <c r="AJ4843">
        <v>102.704606899024</v>
      </c>
      <c r="AK4843">
        <v>108.851645729426</v>
      </c>
      <c r="AL4843">
        <v>90.706151667550003</v>
      </c>
      <c r="AM4843">
        <v>87.757486589470901</v>
      </c>
      <c r="AN4843">
        <v>1.00000003204746</v>
      </c>
    </row>
    <row r="4844" spans="1:40" x14ac:dyDescent="0.25">
      <c r="A4844" t="str">
        <f>"20190312161412901"</f>
        <v>20190312161412901</v>
      </c>
      <c r="B4844" t="str">
        <f>"1552378452891278"</f>
        <v>1552378452891278</v>
      </c>
      <c r="C4844" t="s">
        <v>40</v>
      </c>
      <c r="D4844">
        <v>4.9726160000000004</v>
      </c>
      <c r="E4844">
        <v>0.39803159999999999</v>
      </c>
      <c r="F4844" t="s">
        <v>93</v>
      </c>
      <c r="G4844">
        <v>-407.79</v>
      </c>
      <c r="H4844">
        <v>9.6247190000000007</v>
      </c>
      <c r="I4844">
        <v>0.60159490000000004</v>
      </c>
      <c r="J4844">
        <v>-421.72070000000002</v>
      </c>
      <c r="K4844">
        <v>1.1119559999999999</v>
      </c>
      <c r="L4844">
        <v>108.69889999999999</v>
      </c>
      <c r="M4844">
        <v>-9.3243279999999998E-2</v>
      </c>
      <c r="N4844">
        <v>0</v>
      </c>
      <c r="O4844">
        <v>-0.99554880000000001</v>
      </c>
      <c r="P4844">
        <v>-0.131546</v>
      </c>
      <c r="Q4844">
        <v>-2.605886E-2</v>
      </c>
      <c r="R4844">
        <v>-0.99096779999999995</v>
      </c>
      <c r="S4844">
        <v>0.39682010000000001</v>
      </c>
      <c r="T4844">
        <v>0.24279200000000001</v>
      </c>
      <c r="U4844">
        <v>-3.0892330000000001</v>
      </c>
      <c r="V4844">
        <v>3.8613960000000003E-2</v>
      </c>
      <c r="W4844">
        <v>-1.218574E-2</v>
      </c>
      <c r="X4844">
        <v>0.99917990000000001</v>
      </c>
      <c r="Y4844">
        <v>-0.21896360000000001</v>
      </c>
      <c r="Z4844">
        <v>-7.6574710000000004E-2</v>
      </c>
      <c r="AA4844">
        <v>0.97272360000000002</v>
      </c>
      <c r="AB4844">
        <v>22</v>
      </c>
      <c r="AC4844">
        <v>13.9307</v>
      </c>
      <c r="AD4844">
        <v>8.5127629999999996</v>
      </c>
      <c r="AE4844">
        <v>-108.0973051</v>
      </c>
      <c r="AF4844">
        <v>-23.805073397988501</v>
      </c>
      <c r="AG4844">
        <v>8.5127629999999996</v>
      </c>
      <c r="AH4844">
        <v>105.682503345887</v>
      </c>
      <c r="AI4844">
        <v>85.506845751659199</v>
      </c>
      <c r="AJ4844">
        <v>102.69406268797</v>
      </c>
      <c r="AK4844">
        <v>108.664346346128</v>
      </c>
      <c r="AL4844">
        <v>90.698208751783497</v>
      </c>
      <c r="AM4844">
        <v>87.786868491611799</v>
      </c>
      <c r="AN4844">
        <v>1.00000000136511</v>
      </c>
    </row>
    <row r="4845" spans="1:40" x14ac:dyDescent="0.25">
      <c r="A4845" t="str">
        <f>"20190312161412924"</f>
        <v>20190312161412924</v>
      </c>
      <c r="B4845" t="str">
        <f>"1552378452910798"</f>
        <v>1552378452910798</v>
      </c>
      <c r="C4845" t="s">
        <v>40</v>
      </c>
      <c r="D4845">
        <v>4.9638090000000004</v>
      </c>
      <c r="E4845">
        <v>0.3983603</v>
      </c>
      <c r="F4845" t="s">
        <v>93</v>
      </c>
      <c r="G4845">
        <v>-407.62</v>
      </c>
      <c r="H4845">
        <v>9.5425149999999999</v>
      </c>
      <c r="I4845">
        <v>0.60332489999999905</v>
      </c>
      <c r="J4845">
        <v>-421.73759999999999</v>
      </c>
      <c r="K4845">
        <v>1.1119289999999999</v>
      </c>
      <c r="L4845">
        <v>108.482</v>
      </c>
      <c r="M4845">
        <v>-9.0370950000000005E-2</v>
      </c>
      <c r="N4845">
        <v>0</v>
      </c>
      <c r="O4845">
        <v>-0.99581379999999997</v>
      </c>
      <c r="P4845">
        <v>-0.1287652</v>
      </c>
      <c r="Q4845">
        <v>-2.6821850000000001E-2</v>
      </c>
      <c r="R4845">
        <v>-0.99131250000000004</v>
      </c>
      <c r="S4845">
        <v>0.40271000000000001</v>
      </c>
      <c r="T4845">
        <v>0.24077219999999999</v>
      </c>
      <c r="U4845">
        <v>-3.0871580000000001</v>
      </c>
      <c r="V4845">
        <v>3.8697429999999998E-2</v>
      </c>
      <c r="W4845">
        <v>-1.295456E-2</v>
      </c>
      <c r="X4845">
        <v>0.99916700000000003</v>
      </c>
      <c r="Y4845">
        <v>-0.2180626</v>
      </c>
      <c r="Z4845">
        <v>-7.6021249999999999E-2</v>
      </c>
      <c r="AA4845">
        <v>0.97296939999999998</v>
      </c>
      <c r="AB4845">
        <v>22</v>
      </c>
      <c r="AC4845">
        <v>14.1175999999999</v>
      </c>
      <c r="AD4845">
        <v>8.4305859999999999</v>
      </c>
      <c r="AE4845">
        <v>-107.8786751</v>
      </c>
      <c r="AF4845">
        <v>-23.667726585447198</v>
      </c>
      <c r="AG4845">
        <v>8.4305859999999999</v>
      </c>
      <c r="AH4845">
        <v>105.527600369258</v>
      </c>
      <c r="AI4845">
        <v>85.542617010219303</v>
      </c>
      <c r="AJ4845">
        <v>102.641110406073</v>
      </c>
      <c r="AK4845">
        <v>108.47723494688</v>
      </c>
      <c r="AL4845">
        <v>90.742262373512801</v>
      </c>
      <c r="AM4845">
        <v>87.782060634448698</v>
      </c>
      <c r="AN4845">
        <v>1.0000000028011899</v>
      </c>
    </row>
    <row r="4846" spans="1:40" x14ac:dyDescent="0.25">
      <c r="A4846" t="str">
        <f>"20190312161412945"</f>
        <v>20190312161412945</v>
      </c>
      <c r="B4846" t="str">
        <f>"1552378452941597"</f>
        <v>1552378452941597</v>
      </c>
      <c r="C4846" t="s">
        <v>40</v>
      </c>
      <c r="D4846">
        <v>4.9638159999999996</v>
      </c>
      <c r="E4846">
        <v>0.3989105</v>
      </c>
      <c r="F4846" t="s">
        <v>93</v>
      </c>
      <c r="G4846">
        <v>-407.46409999999997</v>
      </c>
      <c r="H4846">
        <v>9.5416190000000007</v>
      </c>
      <c r="I4846">
        <v>0.604908</v>
      </c>
      <c r="J4846">
        <v>-421.75360000000001</v>
      </c>
      <c r="K4846">
        <v>1.1119059999999901</v>
      </c>
      <c r="L4846">
        <v>108.2688</v>
      </c>
      <c r="M4846">
        <v>-8.7569170000000002E-2</v>
      </c>
      <c r="N4846">
        <v>0</v>
      </c>
      <c r="O4846">
        <v>-0.99606399999999995</v>
      </c>
      <c r="P4846">
        <v>-0.12621769999999999</v>
      </c>
      <c r="Q4846">
        <v>-2.697329E-2</v>
      </c>
      <c r="R4846">
        <v>-0.99163599999999996</v>
      </c>
      <c r="S4846">
        <v>0.40829470000000001</v>
      </c>
      <c r="T4846">
        <v>0.24113200000000001</v>
      </c>
      <c r="U4846">
        <v>-3.0858460000000001</v>
      </c>
      <c r="V4846">
        <v>3.894131E-2</v>
      </c>
      <c r="W4846">
        <v>-1.3111080000000001E-2</v>
      </c>
      <c r="X4846">
        <v>0.99915549999999997</v>
      </c>
      <c r="Y4846">
        <v>-0.21709980000000001</v>
      </c>
      <c r="Z4846">
        <v>-7.6194700000000004E-2</v>
      </c>
      <c r="AA4846">
        <v>0.97317109999999996</v>
      </c>
      <c r="AB4846">
        <v>22</v>
      </c>
      <c r="AC4846">
        <v>14.2895</v>
      </c>
      <c r="AD4846">
        <v>8.4297129999999996</v>
      </c>
      <c r="AE4846">
        <v>-107.663891999999</v>
      </c>
      <c r="AF4846">
        <v>-23.521819508638899</v>
      </c>
      <c r="AG4846">
        <v>8.4297129999999996</v>
      </c>
      <c r="AH4846">
        <v>105.364041987668</v>
      </c>
      <c r="AI4846">
        <v>85.535203927376699</v>
      </c>
      <c r="AJ4846">
        <v>102.584547575437</v>
      </c>
      <c r="AK4846">
        <v>108.286275207149</v>
      </c>
      <c r="AL4846">
        <v>90.751231057995597</v>
      </c>
      <c r="AM4846">
        <v>87.768071105608101</v>
      </c>
      <c r="AN4846">
        <v>1.00000001961176</v>
      </c>
    </row>
    <row r="4847" spans="1:40" x14ac:dyDescent="0.25">
      <c r="A4847" t="str">
        <f>"20190312161412967"</f>
        <v>20190312161412967</v>
      </c>
      <c r="B4847" t="str">
        <f>"1552378452961117"</f>
        <v>1552378452961117</v>
      </c>
      <c r="C4847" t="s">
        <v>40</v>
      </c>
      <c r="D4847">
        <v>4.918482</v>
      </c>
      <c r="E4847">
        <v>0.39915119999999998</v>
      </c>
      <c r="F4847" t="s">
        <v>93</v>
      </c>
      <c r="G4847">
        <v>-407.38319999999999</v>
      </c>
      <c r="H4847">
        <v>9.5938909999999993</v>
      </c>
      <c r="I4847">
        <v>0.60572809999999999</v>
      </c>
      <c r="J4847">
        <v>-421.76960000000003</v>
      </c>
      <c r="K4847">
        <v>1.1118760000000001</v>
      </c>
      <c r="L4847">
        <v>108.04900000000001</v>
      </c>
      <c r="M4847">
        <v>-8.4703130000000001E-2</v>
      </c>
      <c r="N4847">
        <v>0</v>
      </c>
      <c r="O4847">
        <v>-0.99631190000000003</v>
      </c>
      <c r="P4847">
        <v>-0.12354569999999999</v>
      </c>
      <c r="Q4847">
        <v>-2.737846E-2</v>
      </c>
      <c r="R4847">
        <v>-0.99196130000000005</v>
      </c>
      <c r="S4847">
        <v>0.4116821</v>
      </c>
      <c r="T4847">
        <v>0.2429914</v>
      </c>
      <c r="U4847">
        <v>-3.0843349999999998</v>
      </c>
      <c r="V4847">
        <v>3.9125890000000003E-2</v>
      </c>
      <c r="W4847">
        <v>-1.352182E-2</v>
      </c>
      <c r="X4847">
        <v>0.9991428</v>
      </c>
      <c r="Y4847">
        <v>-0.21539700000000001</v>
      </c>
      <c r="Z4847">
        <v>-7.685409E-2</v>
      </c>
      <c r="AA4847">
        <v>0.97349759999999996</v>
      </c>
      <c r="AB4847">
        <v>22</v>
      </c>
      <c r="AC4847">
        <v>14.3864</v>
      </c>
      <c r="AD4847">
        <v>8.4820149999999899</v>
      </c>
      <c r="AE4847">
        <v>-107.4432719</v>
      </c>
      <c r="AF4847">
        <v>-23.2937121768087</v>
      </c>
      <c r="AG4847">
        <v>8.4820149999999899</v>
      </c>
      <c r="AH4847">
        <v>105.194342599186</v>
      </c>
      <c r="AI4847">
        <v>85.498680737232604</v>
      </c>
      <c r="AJ4847">
        <v>102.485820122855</v>
      </c>
      <c r="AK4847">
        <v>108.0758591005</v>
      </c>
      <c r="AL4847">
        <v>90.774766824488395</v>
      </c>
      <c r="AM4847">
        <v>87.757474166492003</v>
      </c>
      <c r="AN4847">
        <v>1.0000000048381199</v>
      </c>
    </row>
    <row r="4848" spans="1:40" x14ac:dyDescent="0.25">
      <c r="A4848" t="str">
        <f>"20190312161412991"</f>
        <v>20190312161412991</v>
      </c>
      <c r="B4848" t="str">
        <f>"1552378452981614"</f>
        <v>1552378452981614</v>
      </c>
      <c r="C4848" t="s">
        <v>40</v>
      </c>
      <c r="D4848">
        <v>4.9333489999999998</v>
      </c>
      <c r="E4848">
        <v>0.39935110000000001</v>
      </c>
      <c r="F4848" t="s">
        <v>93</v>
      </c>
      <c r="G4848">
        <v>-407.21129999999999</v>
      </c>
      <c r="H4848">
        <v>9.6031200000000005</v>
      </c>
      <c r="I4848">
        <v>0.60747719999999905</v>
      </c>
      <c r="J4848">
        <v>-421.78469999999999</v>
      </c>
      <c r="K4848">
        <v>1.1118459999999999</v>
      </c>
      <c r="L4848">
        <v>107.83150000000001</v>
      </c>
      <c r="M4848">
        <v>-8.1891469999999994E-2</v>
      </c>
      <c r="N4848">
        <v>0</v>
      </c>
      <c r="O4848">
        <v>-0.99654719999999997</v>
      </c>
      <c r="P4848">
        <v>-0.1213496</v>
      </c>
      <c r="Q4848">
        <v>-2.762237E-2</v>
      </c>
      <c r="R4848">
        <v>-0.99222560000000004</v>
      </c>
      <c r="S4848">
        <v>0.41775509999999899</v>
      </c>
      <c r="T4848">
        <v>0.2436594</v>
      </c>
      <c r="U4848">
        <v>-3.0830839999999999</v>
      </c>
      <c r="V4848">
        <v>3.9734129999999999E-2</v>
      </c>
      <c r="W4848">
        <v>-1.37695E-2</v>
      </c>
      <c r="X4848">
        <v>0.99911539999999999</v>
      </c>
      <c r="Y4848">
        <v>-0.2145744</v>
      </c>
      <c r="Z4848">
        <v>-7.7119649999999998E-2</v>
      </c>
      <c r="AA4848">
        <v>0.97365829999999998</v>
      </c>
      <c r="AB4848">
        <v>22</v>
      </c>
      <c r="AC4848">
        <v>14.5733999999999</v>
      </c>
      <c r="AD4848">
        <v>8.4912740000000007</v>
      </c>
      <c r="AE4848">
        <v>-107.22402279999901</v>
      </c>
      <c r="AF4848">
        <v>-23.163367523811701</v>
      </c>
      <c r="AG4848">
        <v>8.4912740000000007</v>
      </c>
      <c r="AH4848">
        <v>105.02357383193301</v>
      </c>
      <c r="AI4848">
        <v>85.485655935860706</v>
      </c>
      <c r="AJ4848">
        <v>102.43769055988299</v>
      </c>
      <c r="AK4848">
        <v>107.882317316684</v>
      </c>
      <c r="AL4848">
        <v>90.788959175151504</v>
      </c>
      <c r="AM4848">
        <v>87.722586531678402</v>
      </c>
      <c r="AN4848">
        <v>0.99999999136713302</v>
      </c>
    </row>
    <row r="4849" spans="1:40" x14ac:dyDescent="0.25">
      <c r="A4849" t="str">
        <f>"20190312161413012"</f>
        <v>20190312161413012</v>
      </c>
      <c r="B4849" t="str">
        <f>"1552378453001134"</f>
        <v>1552378453001134</v>
      </c>
      <c r="C4849" t="s">
        <v>40</v>
      </c>
      <c r="D4849">
        <v>4.8943059999999896</v>
      </c>
      <c r="E4849">
        <v>0.39964919999999998</v>
      </c>
      <c r="F4849" t="s">
        <v>93</v>
      </c>
      <c r="G4849">
        <v>-407.07479999999998</v>
      </c>
      <c r="H4849">
        <v>9.626887</v>
      </c>
      <c r="I4849">
        <v>0.60886569999999995</v>
      </c>
      <c r="J4849">
        <v>-421.7989</v>
      </c>
      <c r="K4849">
        <v>1.1118300000000001</v>
      </c>
      <c r="L4849">
        <v>107.6187</v>
      </c>
      <c r="M4849">
        <v>-7.9161140000000005E-2</v>
      </c>
      <c r="N4849">
        <v>0</v>
      </c>
      <c r="O4849">
        <v>-0.99676779999999998</v>
      </c>
      <c r="P4849">
        <v>-0.1197257</v>
      </c>
      <c r="Q4849">
        <v>-2.816838E-2</v>
      </c>
      <c r="R4849">
        <v>-0.99240759999999995</v>
      </c>
      <c r="S4849">
        <v>0.422821</v>
      </c>
      <c r="T4849">
        <v>0.24475620000000001</v>
      </c>
      <c r="U4849">
        <v>-3.0820159999999999</v>
      </c>
      <c r="V4849">
        <v>4.0838680000000002E-2</v>
      </c>
      <c r="W4849">
        <v>-1.4317399999999999E-2</v>
      </c>
      <c r="X4849">
        <v>0.99906320000000004</v>
      </c>
      <c r="Y4849">
        <v>-0.2135109</v>
      </c>
      <c r="Z4849">
        <v>-7.7517900000000001E-2</v>
      </c>
      <c r="AA4849">
        <v>0.97386039999999996</v>
      </c>
      <c r="AB4849">
        <v>22</v>
      </c>
      <c r="AC4849">
        <v>14.7241</v>
      </c>
      <c r="AD4849">
        <v>8.5150570000000005</v>
      </c>
      <c r="AE4849">
        <v>-107.00983429999999</v>
      </c>
      <c r="AF4849">
        <v>-23.006731777224399</v>
      </c>
      <c r="AG4849">
        <v>8.5150570000000005</v>
      </c>
      <c r="AH4849">
        <v>104.856674756007</v>
      </c>
      <c r="AI4849">
        <v>85.464806061158797</v>
      </c>
      <c r="AJ4849">
        <v>102.37523776358999</v>
      </c>
      <c r="AK4849">
        <v>107.688152290163</v>
      </c>
      <c r="AL4849">
        <v>90.820354596388299</v>
      </c>
      <c r="AM4849">
        <v>87.659225110593297</v>
      </c>
      <c r="AN4849">
        <v>1.0000000316605699</v>
      </c>
    </row>
    <row r="4850" spans="1:40" x14ac:dyDescent="0.25">
      <c r="A4850" t="str">
        <f>"20190312161413036"</f>
        <v>20190312161413036</v>
      </c>
      <c r="B4850" t="str">
        <f>"1552378453031390"</f>
        <v>1552378453031390</v>
      </c>
      <c r="C4850" t="s">
        <v>40</v>
      </c>
      <c r="D4850">
        <v>4.9145589999999997</v>
      </c>
      <c r="E4850">
        <v>0.40032240000000002</v>
      </c>
      <c r="F4850" t="s">
        <v>93</v>
      </c>
      <c r="G4850">
        <v>-407.04640000000001</v>
      </c>
      <c r="H4850">
        <v>9.6497329999999994</v>
      </c>
      <c r="I4850">
        <v>0.60915759999999997</v>
      </c>
      <c r="J4850">
        <v>-421.81310000000002</v>
      </c>
      <c r="K4850">
        <v>1.11181</v>
      </c>
      <c r="L4850">
        <v>107.3974</v>
      </c>
      <c r="M4850">
        <v>-7.6343040000000001E-2</v>
      </c>
      <c r="N4850">
        <v>0</v>
      </c>
      <c r="O4850">
        <v>-0.99698770000000003</v>
      </c>
      <c r="P4850">
        <v>-0.1174892</v>
      </c>
      <c r="Q4850">
        <v>-2.8124719999999999E-2</v>
      </c>
      <c r="R4850">
        <v>-0.992676</v>
      </c>
      <c r="S4850">
        <v>0.42477419999999999</v>
      </c>
      <c r="T4850">
        <v>0.245834</v>
      </c>
      <c r="U4850">
        <v>-3.0811609999999998</v>
      </c>
      <c r="V4850">
        <v>4.1410790000000003E-2</v>
      </c>
      <c r="W4850">
        <v>-1.427719E-2</v>
      </c>
      <c r="X4850">
        <v>0.99904020000000004</v>
      </c>
      <c r="Y4850">
        <v>-0.21138709999999999</v>
      </c>
      <c r="Z4850">
        <v>-7.7919470000000005E-2</v>
      </c>
      <c r="AA4850">
        <v>0.97429160000000004</v>
      </c>
      <c r="AB4850">
        <v>22</v>
      </c>
      <c r="AC4850">
        <v>14.7667</v>
      </c>
      <c r="AD4850">
        <v>8.5379229999999993</v>
      </c>
      <c r="AE4850">
        <v>-106.7882424</v>
      </c>
      <c r="AF4850">
        <v>-22.734301518277299</v>
      </c>
      <c r="AG4850">
        <v>8.5379229999999993</v>
      </c>
      <c r="AH4850">
        <v>104.69242442493901</v>
      </c>
      <c r="AI4850">
        <v>85.443440062611003</v>
      </c>
      <c r="AJ4850">
        <v>102.251749757922</v>
      </c>
      <c r="AK4850">
        <v>107.472081614945</v>
      </c>
      <c r="AL4850">
        <v>90.818050518286796</v>
      </c>
      <c r="AM4850">
        <v>87.626415805476299</v>
      </c>
      <c r="AN4850">
        <v>1.0000000064493799</v>
      </c>
    </row>
    <row r="4851" spans="1:40" x14ac:dyDescent="0.25">
      <c r="A4851" t="str">
        <f>"20190312161413058"</f>
        <v>20190312161413058</v>
      </c>
      <c r="B4851" t="str">
        <f>"1552378453050909"</f>
        <v>1552378453050909</v>
      </c>
      <c r="C4851" t="s">
        <v>40</v>
      </c>
      <c r="D4851">
        <v>4.8511639999999998</v>
      </c>
      <c r="E4851">
        <v>0.40071970000000001</v>
      </c>
      <c r="F4851" t="s">
        <v>93</v>
      </c>
      <c r="G4851">
        <v>-407.01510000000002</v>
      </c>
      <c r="H4851">
        <v>9.7062220000000003</v>
      </c>
      <c r="I4851">
        <v>0.60947419999999997</v>
      </c>
      <c r="J4851">
        <v>-421.8263</v>
      </c>
      <c r="K4851">
        <v>1.111804</v>
      </c>
      <c r="L4851">
        <v>107.1828</v>
      </c>
      <c r="M4851">
        <v>-7.362784E-2</v>
      </c>
      <c r="N4851">
        <v>0</v>
      </c>
      <c r="O4851">
        <v>-0.99719179999999996</v>
      </c>
      <c r="P4851">
        <v>-0.1145185</v>
      </c>
      <c r="Q4851">
        <v>-2.8172030000000001E-2</v>
      </c>
      <c r="R4851">
        <v>-0.99302179999999995</v>
      </c>
      <c r="S4851">
        <v>0.42675780000000002</v>
      </c>
      <c r="T4851">
        <v>0.24785289999999999</v>
      </c>
      <c r="U4851">
        <v>-3.0796510000000001</v>
      </c>
      <c r="V4851">
        <v>4.1142020000000001E-2</v>
      </c>
      <c r="W4851">
        <v>-1.433038E-2</v>
      </c>
      <c r="X4851">
        <v>0.99905060000000001</v>
      </c>
      <c r="Y4851">
        <v>-0.20939820000000001</v>
      </c>
      <c r="Z4851">
        <v>-7.8631430000000002E-2</v>
      </c>
      <c r="AA4851">
        <v>0.97466379999999997</v>
      </c>
      <c r="AB4851">
        <v>22</v>
      </c>
      <c r="AC4851">
        <v>14.8111999999999</v>
      </c>
      <c r="AD4851">
        <v>8.5944179999999992</v>
      </c>
      <c r="AE4851">
        <v>-106.573325799999</v>
      </c>
      <c r="AF4851">
        <v>-22.4750976019902</v>
      </c>
      <c r="AG4851">
        <v>8.5944179999999992</v>
      </c>
      <c r="AH4851">
        <v>104.526500048746</v>
      </c>
      <c r="AI4851">
        <v>85.404151561525495</v>
      </c>
      <c r="AJ4851">
        <v>102.134875676961</v>
      </c>
      <c r="AK4851">
        <v>107.260352625834</v>
      </c>
      <c r="AL4851">
        <v>90.821098345759296</v>
      </c>
      <c r="AM4851">
        <v>87.641828239981393</v>
      </c>
      <c r="AN4851">
        <v>1.00000006348049</v>
      </c>
    </row>
    <row r="4852" spans="1:40" x14ac:dyDescent="0.25">
      <c r="A4852" t="str">
        <f>"20190312161413080"</f>
        <v>20190312161413080</v>
      </c>
      <c r="B4852" t="str">
        <f>"1552378453071405"</f>
        <v>1552378453071405</v>
      </c>
      <c r="C4852" t="s">
        <v>40</v>
      </c>
      <c r="D4852">
        <v>4.879626</v>
      </c>
      <c r="E4852">
        <v>0.40101819999999999</v>
      </c>
      <c r="F4852" t="s">
        <v>93</v>
      </c>
      <c r="G4852">
        <v>-406.84359999999998</v>
      </c>
      <c r="H4852">
        <v>9.7420010000000001</v>
      </c>
      <c r="I4852">
        <v>0.61121749999999997</v>
      </c>
      <c r="J4852">
        <v>-421.83909999999997</v>
      </c>
      <c r="K4852">
        <v>1.111788</v>
      </c>
      <c r="L4852">
        <v>106.9667</v>
      </c>
      <c r="M4852">
        <v>-7.0916419999999994E-2</v>
      </c>
      <c r="N4852">
        <v>0</v>
      </c>
      <c r="O4852">
        <v>-0.99738839999999995</v>
      </c>
      <c r="P4852">
        <v>-0.1119325</v>
      </c>
      <c r="Q4852">
        <v>-2.8530839999999998E-2</v>
      </c>
      <c r="R4852">
        <v>-0.99330640000000003</v>
      </c>
      <c r="S4852">
        <v>0.43273929999999999</v>
      </c>
      <c r="T4852">
        <v>0.2492616</v>
      </c>
      <c r="U4852">
        <v>-3.0780639999999999</v>
      </c>
      <c r="V4852">
        <v>4.1258450000000002E-2</v>
      </c>
      <c r="W4852">
        <v>-1.469405E-2</v>
      </c>
      <c r="X4852">
        <v>0.99904040000000005</v>
      </c>
      <c r="Y4852">
        <v>-0.2086607</v>
      </c>
      <c r="Z4852">
        <v>-7.9135120000000003E-2</v>
      </c>
      <c r="AA4852">
        <v>0.97478120000000001</v>
      </c>
      <c r="AB4852">
        <v>22</v>
      </c>
      <c r="AC4852">
        <v>14.9954999999999</v>
      </c>
      <c r="AD4852">
        <v>8.6302129999999995</v>
      </c>
      <c r="AE4852">
        <v>-106.35548249999999</v>
      </c>
      <c r="AF4852">
        <v>-22.356457524417799</v>
      </c>
      <c r="AG4852">
        <v>8.6302129999999995</v>
      </c>
      <c r="AH4852">
        <v>104.35042687868101</v>
      </c>
      <c r="AI4852">
        <v>85.376608510531995</v>
      </c>
      <c r="AJ4852">
        <v>102.092474384798</v>
      </c>
      <c r="AK4852">
        <v>107.066817264872</v>
      </c>
      <c r="AL4852">
        <v>90.841937392577805</v>
      </c>
      <c r="AM4852">
        <v>87.635138172557902</v>
      </c>
      <c r="AN4852">
        <v>0.99999994781698098</v>
      </c>
    </row>
    <row r="4853" spans="1:40" x14ac:dyDescent="0.25">
      <c r="A4853" t="str">
        <f>"20190312161413101"</f>
        <v>20190312161413101</v>
      </c>
      <c r="B4853" t="str">
        <f>"1552378453090925"</f>
        <v>1552378453090925</v>
      </c>
      <c r="C4853" t="s">
        <v>40</v>
      </c>
      <c r="D4853">
        <v>4.8564780000000001</v>
      </c>
      <c r="E4853">
        <v>0.42437540000000001</v>
      </c>
      <c r="F4853" t="s">
        <v>93</v>
      </c>
      <c r="G4853">
        <v>-406.68759999999997</v>
      </c>
      <c r="H4853">
        <v>9.7314500000000006</v>
      </c>
      <c r="I4853">
        <v>0.61280440000000003</v>
      </c>
      <c r="J4853">
        <v>-421.85059999999999</v>
      </c>
      <c r="K4853">
        <v>1.111775</v>
      </c>
      <c r="L4853">
        <v>106.7612</v>
      </c>
      <c r="M4853">
        <v>-6.8359589999999998E-2</v>
      </c>
      <c r="N4853">
        <v>0</v>
      </c>
      <c r="O4853">
        <v>-0.99756679999999998</v>
      </c>
      <c r="P4853">
        <v>-0.1097718</v>
      </c>
      <c r="Q4853">
        <v>-2.8539709999999999E-2</v>
      </c>
      <c r="R4853">
        <v>-0.99354679999999995</v>
      </c>
      <c r="S4853">
        <v>0.43832399999999999</v>
      </c>
      <c r="T4853">
        <v>0.24936320000000001</v>
      </c>
      <c r="U4853">
        <v>-3.0767820000000001</v>
      </c>
      <c r="V4853">
        <v>4.1645729999999999E-2</v>
      </c>
      <c r="W4853">
        <v>-1.470699E-2</v>
      </c>
      <c r="X4853">
        <v>0.99902420000000003</v>
      </c>
      <c r="Y4853">
        <v>-0.20794380000000001</v>
      </c>
      <c r="Z4853">
        <v>-7.9217350000000006E-2</v>
      </c>
      <c r="AA4853">
        <v>0.97492769999999995</v>
      </c>
      <c r="AB4853">
        <v>22</v>
      </c>
      <c r="AC4853">
        <v>15.163</v>
      </c>
      <c r="AD4853">
        <v>8.6196750000000009</v>
      </c>
      <c r="AE4853">
        <v>-106.1483956</v>
      </c>
      <c r="AF4853">
        <v>-22.240739523869099</v>
      </c>
      <c r="AG4853">
        <v>8.6196750000000009</v>
      </c>
      <c r="AH4853">
        <v>104.190107324157</v>
      </c>
      <c r="AI4853">
        <v>85.374419358023005</v>
      </c>
      <c r="AJ4853">
        <v>102.049684402255</v>
      </c>
      <c r="AK4853">
        <v>106.88558254457701</v>
      </c>
      <c r="AL4853">
        <v>90.842678830012304</v>
      </c>
      <c r="AM4853">
        <v>87.612926858836801</v>
      </c>
      <c r="AN4853">
        <v>1.00000000728386</v>
      </c>
    </row>
    <row r="4854" spans="1:40" x14ac:dyDescent="0.25">
      <c r="A4854" t="str">
        <f>"20190312161413124"</f>
        <v>20190312161413124</v>
      </c>
      <c r="B4854" t="str">
        <f>"1552378453111421"</f>
        <v>1552378453111421</v>
      </c>
      <c r="C4854" t="s">
        <v>40</v>
      </c>
      <c r="D4854">
        <v>4.7593439999999996</v>
      </c>
      <c r="E4854">
        <v>0.43568980000000002</v>
      </c>
      <c r="F4854" t="s">
        <v>93</v>
      </c>
      <c r="G4854">
        <v>-412.69389999999999</v>
      </c>
      <c r="H4854">
        <v>6.1071499999999999</v>
      </c>
      <c r="I4854">
        <v>0.55170819999999998</v>
      </c>
      <c r="J4854">
        <v>-421.86219999999997</v>
      </c>
      <c r="K4854">
        <v>1.11175</v>
      </c>
      <c r="L4854">
        <v>106.547</v>
      </c>
      <c r="M4854">
        <v>-6.5720130000000002E-2</v>
      </c>
      <c r="N4854">
        <v>0</v>
      </c>
      <c r="O4854">
        <v>-0.99774450000000003</v>
      </c>
      <c r="P4854">
        <v>-0.1072288</v>
      </c>
      <c r="Q4854">
        <v>-2.8730430000000001E-2</v>
      </c>
      <c r="R4854">
        <v>-0.99381960000000003</v>
      </c>
      <c r="S4854">
        <v>0.26318360000000002</v>
      </c>
      <c r="T4854">
        <v>0.14357710000000001</v>
      </c>
      <c r="U4854">
        <v>-3.052689</v>
      </c>
      <c r="V4854">
        <v>4.1732459999999999E-2</v>
      </c>
      <c r="W4854">
        <v>-1.4903370000000001E-2</v>
      </c>
      <c r="X4854">
        <v>0.99901770000000001</v>
      </c>
      <c r="Y4854">
        <v>-0.15109929999999999</v>
      </c>
      <c r="Z4854">
        <v>-4.6472810000000003E-2</v>
      </c>
      <c r="AA4854">
        <v>0.98742560000000001</v>
      </c>
      <c r="AB4854">
        <v>22</v>
      </c>
      <c r="AC4854">
        <v>9.1682999999999808</v>
      </c>
      <c r="AD4854">
        <v>4.9954000000000001</v>
      </c>
      <c r="AE4854">
        <v>-105.9952918</v>
      </c>
      <c r="AF4854">
        <v>-16.079700957225501</v>
      </c>
      <c r="AG4854">
        <v>4.9954000000000001</v>
      </c>
      <c r="AH4854">
        <v>104.93216542469899</v>
      </c>
      <c r="AI4854">
        <v>87.305836980553394</v>
      </c>
      <c r="AJ4854">
        <v>98.712176602970402</v>
      </c>
      <c r="AK4854">
        <v>106.274503737963</v>
      </c>
      <c r="AL4854">
        <v>90.853931783292694</v>
      </c>
      <c r="AM4854">
        <v>87.607945843436497</v>
      </c>
      <c r="AN4854">
        <v>1.00000003678414</v>
      </c>
    </row>
    <row r="4855" spans="1:40" x14ac:dyDescent="0.25">
      <c r="A4855" t="str">
        <f>"20190312161413149"</f>
        <v>20190312161413149</v>
      </c>
      <c r="B4855" t="str">
        <f>"1552378453141678"</f>
        <v>1552378453141678</v>
      </c>
      <c r="C4855" t="s">
        <v>40</v>
      </c>
      <c r="D4855">
        <v>4.7715839999999998</v>
      </c>
      <c r="E4855">
        <v>0.44201279999999998</v>
      </c>
      <c r="F4855" t="s">
        <v>93</v>
      </c>
      <c r="G4855">
        <v>-415.54640000000001</v>
      </c>
      <c r="H4855">
        <v>4.5736319999999999</v>
      </c>
      <c r="I4855">
        <v>1.2792209999999999</v>
      </c>
      <c r="J4855">
        <v>-421.87430000000001</v>
      </c>
      <c r="K4855">
        <v>1.1117269999999999</v>
      </c>
      <c r="L4855">
        <v>106.31189999999999</v>
      </c>
      <c r="M4855">
        <v>-6.2850909999999996E-2</v>
      </c>
      <c r="N4855">
        <v>0</v>
      </c>
      <c r="O4855">
        <v>-0.99792939999999997</v>
      </c>
      <c r="P4855">
        <v>-0.1044939</v>
      </c>
      <c r="Q4855">
        <v>-2.859459E-2</v>
      </c>
      <c r="R4855">
        <v>-0.99411459999999996</v>
      </c>
      <c r="S4855">
        <v>0.1824646</v>
      </c>
      <c r="T4855">
        <v>0.10001400000000001</v>
      </c>
      <c r="U4855">
        <v>-3.0412140000000001</v>
      </c>
      <c r="V4855">
        <v>4.1854599999999999E-2</v>
      </c>
      <c r="W4855">
        <v>-1.477374E-2</v>
      </c>
      <c r="X4855">
        <v>0.99901450000000003</v>
      </c>
      <c r="Y4855">
        <v>-0.1224831</v>
      </c>
      <c r="Z4855">
        <v>-3.2617840000000002E-2</v>
      </c>
      <c r="AA4855">
        <v>0.99193450000000005</v>
      </c>
      <c r="AB4855">
        <v>22</v>
      </c>
      <c r="AC4855">
        <v>6.3278999999999996</v>
      </c>
      <c r="AD4855">
        <v>3.4619049999999998</v>
      </c>
      <c r="AE4855">
        <v>-105.032679</v>
      </c>
      <c r="AF4855">
        <v>-12.903435318759801</v>
      </c>
      <c r="AG4855">
        <v>3.4619049999999998</v>
      </c>
      <c r="AH4855">
        <v>104.31431648412401</v>
      </c>
      <c r="AI4855">
        <v>88.113575338465907</v>
      </c>
      <c r="AJ4855">
        <v>97.051533173278003</v>
      </c>
      <c r="AK4855">
        <v>105.16634467739399</v>
      </c>
      <c r="AL4855">
        <v>90.846503727152196</v>
      </c>
      <c r="AM4855">
        <v>87.600945418652202</v>
      </c>
      <c r="AN4855">
        <v>1.00000002107249</v>
      </c>
    </row>
    <row r="4856" spans="1:40" x14ac:dyDescent="0.25">
      <c r="A4856" t="str">
        <f>"20190312161413169"</f>
        <v>20190312161413169</v>
      </c>
      <c r="B4856" t="str">
        <f>"1552378453161198"</f>
        <v>1552378453161198</v>
      </c>
      <c r="C4856" t="s">
        <v>40</v>
      </c>
      <c r="D4856">
        <v>4.7451189999999999</v>
      </c>
      <c r="E4856">
        <v>0.4436252</v>
      </c>
      <c r="F4856" t="s">
        <v>93</v>
      </c>
      <c r="G4856">
        <v>-417.0095</v>
      </c>
      <c r="H4856">
        <v>3.6691029999999998</v>
      </c>
      <c r="I4856">
        <v>1.80484</v>
      </c>
      <c r="J4856">
        <v>-421.88409999999999</v>
      </c>
      <c r="K4856">
        <v>1.1117109999999999</v>
      </c>
      <c r="L4856">
        <v>106.1092</v>
      </c>
      <c r="M4856">
        <v>-6.0407080000000002E-2</v>
      </c>
      <c r="N4856">
        <v>0</v>
      </c>
      <c r="O4856">
        <v>-0.99808019999999997</v>
      </c>
      <c r="P4856">
        <v>-0.10181179999999999</v>
      </c>
      <c r="Q4856">
        <v>-2.8359619999999999E-2</v>
      </c>
      <c r="R4856">
        <v>-0.99439949999999999</v>
      </c>
      <c r="S4856">
        <v>0.1412659</v>
      </c>
      <c r="T4856">
        <v>7.4262380000000003E-2</v>
      </c>
      <c r="U4856">
        <v>-3.0347599999999999</v>
      </c>
      <c r="V4856">
        <v>4.1604080000000002E-2</v>
      </c>
      <c r="W4856">
        <v>-1.45451E-2</v>
      </c>
      <c r="X4856">
        <v>0.99902829999999998</v>
      </c>
      <c r="Y4856">
        <v>-0.1067476</v>
      </c>
      <c r="Z4856">
        <v>-2.431318E-2</v>
      </c>
      <c r="AA4856">
        <v>0.99398889999999995</v>
      </c>
      <c r="AB4856">
        <v>22</v>
      </c>
      <c r="AC4856">
        <v>4.8745999999999796</v>
      </c>
      <c r="AD4856">
        <v>2.5573920000000001</v>
      </c>
      <c r="AE4856">
        <v>-104.30436</v>
      </c>
      <c r="AF4856">
        <v>-11.160312656146001</v>
      </c>
      <c r="AG4856">
        <v>2.5573920000000001</v>
      </c>
      <c r="AH4856">
        <v>103.75711982316</v>
      </c>
      <c r="AI4856">
        <v>88.596161231177106</v>
      </c>
      <c r="AJ4856">
        <v>96.139239249985295</v>
      </c>
      <c r="AK4856">
        <v>104.386937623546</v>
      </c>
      <c r="AL4856">
        <v>90.833402228607397</v>
      </c>
      <c r="AM4856">
        <v>87.615321194738996</v>
      </c>
      <c r="AN4856">
        <v>1.00000000180377</v>
      </c>
    </row>
    <row r="4857" spans="1:40" x14ac:dyDescent="0.25">
      <c r="A4857" t="str">
        <f>"20190312161413191"</f>
        <v>20190312161413191</v>
      </c>
      <c r="B4857" t="str">
        <f>"1552378453181694"</f>
        <v>1552378453181694</v>
      </c>
      <c r="C4857" t="s">
        <v>40</v>
      </c>
      <c r="D4857">
        <v>4.6732849999999999</v>
      </c>
      <c r="E4857">
        <v>0.44449919999999998</v>
      </c>
      <c r="F4857" t="s">
        <v>93</v>
      </c>
      <c r="G4857">
        <v>-417.16489999999999</v>
      </c>
      <c r="H4857">
        <v>3.1994660000000001</v>
      </c>
      <c r="I4857">
        <v>1.8032550000000001</v>
      </c>
      <c r="J4857">
        <v>-421.89359999999999</v>
      </c>
      <c r="K4857">
        <v>1.111693</v>
      </c>
      <c r="L4857">
        <v>105.9029</v>
      </c>
      <c r="M4857">
        <v>-5.7940480000000003E-2</v>
      </c>
      <c r="N4857">
        <v>0</v>
      </c>
      <c r="O4857">
        <v>-0.99822650000000002</v>
      </c>
      <c r="P4857">
        <v>-9.9269620000000003E-2</v>
      </c>
      <c r="Q4857">
        <v>-2.8287130000000001E-2</v>
      </c>
      <c r="R4857">
        <v>-0.99465840000000005</v>
      </c>
      <c r="S4857">
        <v>0.137207</v>
      </c>
      <c r="T4857">
        <v>6.0700179999999999E-2</v>
      </c>
      <c r="U4857">
        <v>-3.0326689999999998</v>
      </c>
      <c r="V4857">
        <v>4.151817E-2</v>
      </c>
      <c r="W4857">
        <v>-1.4478319999999999E-2</v>
      </c>
      <c r="X4857">
        <v>0.9990329</v>
      </c>
      <c r="Y4857">
        <v>-0.10299850000000001</v>
      </c>
      <c r="Z4857">
        <v>-1.9897580000000002E-2</v>
      </c>
      <c r="AA4857">
        <v>0.99448250000000005</v>
      </c>
      <c r="AB4857">
        <v>22</v>
      </c>
      <c r="AC4857">
        <v>4.7286999999999999</v>
      </c>
      <c r="AD4857">
        <v>2.0877729999999999</v>
      </c>
      <c r="AE4857">
        <v>-104.099645</v>
      </c>
      <c r="AF4857">
        <v>-10.748586740281899</v>
      </c>
      <c r="AG4857">
        <v>2.0877729999999999</v>
      </c>
      <c r="AH4857">
        <v>103.609131980263</v>
      </c>
      <c r="AI4857">
        <v>88.8517797453555</v>
      </c>
      <c r="AJ4857">
        <v>95.922774160802504</v>
      </c>
      <c r="AK4857">
        <v>104.186098605891</v>
      </c>
      <c r="AL4857">
        <v>90.829575567110098</v>
      </c>
      <c r="AM4857">
        <v>87.620250695192993</v>
      </c>
      <c r="AN4857">
        <v>1.00000005773628</v>
      </c>
    </row>
    <row r="4858" spans="1:40" x14ac:dyDescent="0.25">
      <c r="A4858" t="str">
        <f>"20190312161413214"</f>
        <v>20190312161413214</v>
      </c>
      <c r="B4858" t="str">
        <f>"1552378453210974"</f>
        <v>1552378453210974</v>
      </c>
      <c r="C4858" t="s">
        <v>40</v>
      </c>
      <c r="D4858">
        <v>4.6334949999999999</v>
      </c>
      <c r="E4858">
        <v>0.44441520000000001</v>
      </c>
      <c r="F4858" t="s">
        <v>93</v>
      </c>
      <c r="G4858">
        <v>-417.14240000000001</v>
      </c>
      <c r="H4858">
        <v>3.1375670000000002</v>
      </c>
      <c r="I4858">
        <v>1.8034859999999999</v>
      </c>
      <c r="J4858">
        <v>-421.90309999999999</v>
      </c>
      <c r="K4858">
        <v>1.1116779999999999</v>
      </c>
      <c r="L4858">
        <v>105.6874</v>
      </c>
      <c r="M4858">
        <v>-5.5387800000000001E-2</v>
      </c>
      <c r="N4858">
        <v>0</v>
      </c>
      <c r="O4858">
        <v>-0.99837140000000002</v>
      </c>
      <c r="P4858">
        <v>-9.6503110000000003E-2</v>
      </c>
      <c r="Q4858">
        <v>-2.8546249999999999E-2</v>
      </c>
      <c r="R4858">
        <v>-0.99492320000000001</v>
      </c>
      <c r="S4858">
        <v>0.13836670000000001</v>
      </c>
      <c r="T4858">
        <v>5.8997389999999997E-2</v>
      </c>
      <c r="U4858">
        <v>-3.0316160000000001</v>
      </c>
      <c r="V4858">
        <v>4.129526E-2</v>
      </c>
      <c r="W4858">
        <v>-1.474344E-2</v>
      </c>
      <c r="X4858">
        <v>0.99903819999999999</v>
      </c>
      <c r="Y4858">
        <v>-0.1008506</v>
      </c>
      <c r="Z4858">
        <v>-1.935253E-2</v>
      </c>
      <c r="AA4858">
        <v>0.99471339999999997</v>
      </c>
      <c r="AB4858">
        <v>22</v>
      </c>
      <c r="AC4858">
        <v>4.7606999999999804</v>
      </c>
      <c r="AD4858">
        <v>2.0258889999999901</v>
      </c>
      <c r="AE4858">
        <v>-103.883914</v>
      </c>
      <c r="AF4858">
        <v>-10.5038430172159</v>
      </c>
      <c r="AG4858">
        <v>2.0258889999999901</v>
      </c>
      <c r="AH4858">
        <v>103.421454990071</v>
      </c>
      <c r="AI4858">
        <v>88.883537264031602</v>
      </c>
      <c r="AJ4858">
        <v>95.799273283421599</v>
      </c>
      <c r="AK4858">
        <v>103.973228749683</v>
      </c>
      <c r="AL4858">
        <v>90.844767496904197</v>
      </c>
      <c r="AM4858">
        <v>87.633025480292105</v>
      </c>
      <c r="AN4858">
        <v>0.99999999629036995</v>
      </c>
    </row>
    <row r="4859" spans="1:40" x14ac:dyDescent="0.25">
      <c r="A4859" t="str">
        <f>"20190312161413280"</f>
        <v>20190312161413280</v>
      </c>
      <c r="B4859" t="str">
        <f>"1552378453271486"</f>
        <v>1552378453271486</v>
      </c>
      <c r="C4859" t="s">
        <v>40</v>
      </c>
      <c r="D4859">
        <v>4.2140440000000003</v>
      </c>
      <c r="E4859">
        <v>0.44737769999999999</v>
      </c>
      <c r="F4859" t="s">
        <v>93</v>
      </c>
      <c r="G4859">
        <v>-416.80990000000003</v>
      </c>
      <c r="H4859">
        <v>2.7436799999999999</v>
      </c>
      <c r="I4859">
        <v>0.956789</v>
      </c>
      <c r="J4859">
        <v>-421.92790000000002</v>
      </c>
      <c r="K4859">
        <v>1.1116250000000001</v>
      </c>
      <c r="L4859">
        <v>105.05159999999999</v>
      </c>
      <c r="M4859">
        <v>-4.7980099999999998E-2</v>
      </c>
      <c r="N4859">
        <v>0</v>
      </c>
      <c r="O4859">
        <v>-0.99875499999999995</v>
      </c>
      <c r="P4859">
        <v>-8.7523889999999993E-2</v>
      </c>
      <c r="Q4859">
        <v>-2.8301130000000001E-2</v>
      </c>
      <c r="R4859">
        <v>-0.99576050000000005</v>
      </c>
      <c r="S4859">
        <v>0.1473999</v>
      </c>
      <c r="T4859">
        <v>4.7230479999999998E-2</v>
      </c>
      <c r="U4859">
        <v>-3.0309750000000002</v>
      </c>
      <c r="V4859">
        <v>3.9691579999999997E-2</v>
      </c>
      <c r="W4859">
        <v>-1.451789E-2</v>
      </c>
      <c r="X4859">
        <v>0.99910650000000001</v>
      </c>
      <c r="Y4859">
        <v>-9.643989E-2</v>
      </c>
      <c r="Z4859">
        <v>-1.5508310000000001E-2</v>
      </c>
      <c r="AA4859">
        <v>0.99521800000000005</v>
      </c>
      <c r="AB4859">
        <v>21</v>
      </c>
      <c r="AC4859">
        <v>5.1179999999999897</v>
      </c>
      <c r="AD4859">
        <v>1.63205499999999</v>
      </c>
      <c r="AE4859">
        <v>-104.09481100000001</v>
      </c>
      <c r="AF4859">
        <v>-10.1045714672334</v>
      </c>
      <c r="AG4859">
        <v>1.63205499999999</v>
      </c>
      <c r="AH4859">
        <v>103.70388608167301</v>
      </c>
      <c r="AI4859">
        <v>89.102622815119403</v>
      </c>
      <c r="AJ4859">
        <v>95.565148233640301</v>
      </c>
      <c r="AK4859">
        <v>104.207782610034</v>
      </c>
      <c r="AL4859">
        <v>90.831843051897096</v>
      </c>
      <c r="AM4859">
        <v>87.725002532457296</v>
      </c>
      <c r="AN4859">
        <v>0.99999999449759902</v>
      </c>
    </row>
    <row r="4860" spans="1:40" x14ac:dyDescent="0.25">
      <c r="A4860" t="str">
        <f>"20190312161413303"</f>
        <v>20190312161413303</v>
      </c>
      <c r="B4860" t="str">
        <f>"1552378453291006"</f>
        <v>1552378453291006</v>
      </c>
      <c r="C4860" t="s">
        <v>40</v>
      </c>
      <c r="D4860">
        <v>4.7286089999999996</v>
      </c>
      <c r="E4860">
        <v>0.43890050000000003</v>
      </c>
      <c r="F4860" t="s">
        <v>43</v>
      </c>
      <c r="G4860">
        <v>-421.88440000000003</v>
      </c>
      <c r="H4860">
        <v>0.9525517</v>
      </c>
      <c r="I4860">
        <v>104.28749999999999</v>
      </c>
      <c r="J4860">
        <v>-421.93529999999998</v>
      </c>
      <c r="K4860">
        <v>1.111612</v>
      </c>
      <c r="L4860">
        <v>104.8389</v>
      </c>
      <c r="M4860">
        <v>-4.5539789999999997E-2</v>
      </c>
      <c r="N4860">
        <v>0</v>
      </c>
      <c r="O4860">
        <v>-0.99886909999999896</v>
      </c>
      <c r="P4860">
        <v>-8.5243970000000002E-2</v>
      </c>
      <c r="Q4860">
        <v>-2.8194110000000001E-2</v>
      </c>
      <c r="R4860">
        <v>-0.99596119999999999</v>
      </c>
      <c r="S4860">
        <v>0.17254639999999999</v>
      </c>
      <c r="T4860">
        <v>-0.62691070000000004</v>
      </c>
      <c r="U4860">
        <v>-3.010132</v>
      </c>
      <c r="V4860">
        <v>3.9844150000000002E-2</v>
      </c>
      <c r="W4860">
        <v>-1.441548E-2</v>
      </c>
      <c r="X4860">
        <v>0.99910189999999999</v>
      </c>
      <c r="Y4860">
        <v>-0.1014439</v>
      </c>
      <c r="Z4860">
        <v>0.2028884</v>
      </c>
      <c r="AA4860">
        <v>0.97393300000000005</v>
      </c>
      <c r="AB4860">
        <v>21</v>
      </c>
      <c r="AC4860">
        <v>5.0899999999955897E-2</v>
      </c>
      <c r="AD4860">
        <v>-0.15906029999999999</v>
      </c>
      <c r="AE4860">
        <v>-0.551400000000001</v>
      </c>
      <c r="AF4860">
        <v>-7.0170425620541294E-2</v>
      </c>
      <c r="AG4860">
        <v>-0.15906029999999999</v>
      </c>
      <c r="AH4860">
        <v>0.50670182092125604</v>
      </c>
      <c r="AI4860">
        <v>107.272847874155</v>
      </c>
      <c r="AJ4860">
        <v>97.884438740684402</v>
      </c>
      <c r="AK4860">
        <v>0.53569655869043498</v>
      </c>
      <c r="AL4860">
        <v>90.825974785263796</v>
      </c>
      <c r="AM4860">
        <v>87.716256434207907</v>
      </c>
      <c r="AN4860">
        <v>0.99999998446823102</v>
      </c>
    </row>
    <row r="4861" spans="1:40" x14ac:dyDescent="0.25">
      <c r="A4861" t="str">
        <f>"20190312161413326"</f>
        <v>20190312161413326</v>
      </c>
      <c r="B4861" t="str">
        <f>"1552378453321262"</f>
        <v>1552378453321262</v>
      </c>
      <c r="C4861" t="s">
        <v>40</v>
      </c>
      <c r="D4861">
        <v>4.7194849999999997</v>
      </c>
      <c r="E4861">
        <v>0.44700190000000001</v>
      </c>
      <c r="F4861" t="s">
        <v>42</v>
      </c>
      <c r="G4861">
        <v>-420.32600000000002</v>
      </c>
      <c r="H4861" s="1">
        <v>-1.9222980000000002E-6</v>
      </c>
      <c r="I4861">
        <v>83.867850000000004</v>
      </c>
      <c r="J4861">
        <v>-421.94209999999998</v>
      </c>
      <c r="K4861">
        <v>1.1116010000000001</v>
      </c>
      <c r="L4861">
        <v>104.62430000000001</v>
      </c>
      <c r="M4861">
        <v>-4.3097999999999997E-2</v>
      </c>
      <c r="N4861">
        <v>0</v>
      </c>
      <c r="O4861">
        <v>-0.99897769999999997</v>
      </c>
      <c r="P4861">
        <v>-8.2808080000000006E-2</v>
      </c>
      <c r="Q4861">
        <v>-2.7846289999999999E-2</v>
      </c>
      <c r="R4861">
        <v>-0.99617650000000002</v>
      </c>
      <c r="S4861">
        <v>0.23233029999999999</v>
      </c>
      <c r="T4861">
        <v>-0.16048009999999999</v>
      </c>
      <c r="U4861">
        <v>-3.0275270000000001</v>
      </c>
      <c r="V4861">
        <v>3.9840889999999997E-2</v>
      </c>
      <c r="W4861">
        <v>-1.4072650000000001E-2</v>
      </c>
      <c r="X4861">
        <v>0.99910690000000002</v>
      </c>
      <c r="Y4861">
        <v>-0.11931269999999999</v>
      </c>
      <c r="Z4861">
        <v>5.2592689999999997E-2</v>
      </c>
      <c r="AA4861">
        <v>0.99146279999999998</v>
      </c>
      <c r="AB4861">
        <v>21</v>
      </c>
      <c r="AC4861">
        <v>1.6161000000000101</v>
      </c>
      <c r="AD4861">
        <v>-1.111602922298</v>
      </c>
      <c r="AE4861">
        <v>-20.756450000000001</v>
      </c>
      <c r="AF4861">
        <v>-2.5021098193724498</v>
      </c>
      <c r="AG4861">
        <v>-1.111602922298</v>
      </c>
      <c r="AH4861">
        <v>20.608751733932301</v>
      </c>
      <c r="AI4861">
        <v>93.064986808399198</v>
      </c>
      <c r="AJ4861">
        <v>96.922403792784294</v>
      </c>
      <c r="AK4861">
        <v>20.789825940491099</v>
      </c>
      <c r="AL4861">
        <v>90.806330094019003</v>
      </c>
      <c r="AM4861">
        <v>87.716454505409203</v>
      </c>
      <c r="AN4861">
        <v>0.99999996681081105</v>
      </c>
    </row>
    <row r="4862" spans="1:40" x14ac:dyDescent="0.25">
      <c r="A4862" t="str">
        <f>"20190312161413348"</f>
        <v>20190312161413348</v>
      </c>
      <c r="B4862" t="str">
        <f>"1552378453341758"</f>
        <v>1552378453341758</v>
      </c>
      <c r="C4862" t="s">
        <v>40</v>
      </c>
      <c r="D4862">
        <v>4.7690440000000001</v>
      </c>
      <c r="E4862">
        <v>0.44969520000000002</v>
      </c>
      <c r="F4862" t="s">
        <v>42</v>
      </c>
      <c r="G4862">
        <v>-419.82569999999998</v>
      </c>
      <c r="H4862" s="1">
        <v>-3.4850870000000002E-6</v>
      </c>
      <c r="I4862">
        <v>67.684550000000002</v>
      </c>
      <c r="J4862">
        <v>-421.9486</v>
      </c>
      <c r="K4862">
        <v>1.1115870000000001</v>
      </c>
      <c r="L4862">
        <v>104.40860000000001</v>
      </c>
      <c r="M4862">
        <v>-4.0666979999999998E-2</v>
      </c>
      <c r="N4862">
        <v>0</v>
      </c>
      <c r="O4862">
        <v>-0.99907950000000001</v>
      </c>
      <c r="P4862">
        <v>-8.051693E-2</v>
      </c>
      <c r="Q4862">
        <v>-2.7792330000000001E-2</v>
      </c>
      <c r="R4862">
        <v>-0.99636550000000002</v>
      </c>
      <c r="S4862">
        <v>0.17321779999999901</v>
      </c>
      <c r="T4862">
        <v>-9.0980530000000004E-2</v>
      </c>
      <c r="U4862">
        <v>-3.0233759999999998</v>
      </c>
      <c r="V4862">
        <v>3.9973549999999997E-2</v>
      </c>
      <c r="W4862">
        <v>-1.402344E-2</v>
      </c>
      <c r="X4862">
        <v>0.99910239999999995</v>
      </c>
      <c r="Y4862">
        <v>-9.7730170000000005E-2</v>
      </c>
      <c r="Z4862">
        <v>2.9944869999999998E-2</v>
      </c>
      <c r="AA4862">
        <v>0.99476240000000005</v>
      </c>
      <c r="AB4862">
        <v>21</v>
      </c>
      <c r="AC4862">
        <v>2.1229000000000098</v>
      </c>
      <c r="AD4862">
        <v>-1.111590485087</v>
      </c>
      <c r="AE4862">
        <v>-36.724049999999998</v>
      </c>
      <c r="AF4862">
        <v>-3.61144112651519</v>
      </c>
      <c r="AG4862">
        <v>-1.111590485087</v>
      </c>
      <c r="AH4862">
        <v>36.573927322744602</v>
      </c>
      <c r="AI4862">
        <v>91.732433129666802</v>
      </c>
      <c r="AJ4862">
        <v>95.639310434877302</v>
      </c>
      <c r="AK4862">
        <v>36.768604817510102</v>
      </c>
      <c r="AL4862">
        <v>90.8035102045271</v>
      </c>
      <c r="AM4862">
        <v>87.708848662694606</v>
      </c>
      <c r="AN4862">
        <v>1.00000007362739</v>
      </c>
    </row>
    <row r="4863" spans="1:40" x14ac:dyDescent="0.25">
      <c r="A4863" t="str">
        <f>"20190312161413371"</f>
        <v>20190312161413371</v>
      </c>
      <c r="B4863" t="str">
        <f>"1552378453361278"</f>
        <v>1552378453361278</v>
      </c>
      <c r="C4863" t="s">
        <v>40</v>
      </c>
      <c r="D4863">
        <v>4.8014559999999999</v>
      </c>
      <c r="E4863">
        <v>0.45184220000000003</v>
      </c>
      <c r="F4863" t="s">
        <v>42</v>
      </c>
      <c r="G4863">
        <v>-419.68400000000003</v>
      </c>
      <c r="H4863" s="1">
        <v>-7.5579699999999995E-7</v>
      </c>
      <c r="I4863">
        <v>61.263890000000004</v>
      </c>
      <c r="J4863">
        <v>-421.95420000000001</v>
      </c>
      <c r="K4863">
        <v>1.111564</v>
      </c>
      <c r="L4863">
        <v>104.20180000000001</v>
      </c>
      <c r="M4863">
        <v>-3.8364790000000003E-2</v>
      </c>
      <c r="N4863">
        <v>0</v>
      </c>
      <c r="O4863">
        <v>-0.99917060000000002</v>
      </c>
      <c r="P4863">
        <v>-7.8102580000000005E-2</v>
      </c>
      <c r="Q4863">
        <v>-2.7654999999999999E-2</v>
      </c>
      <c r="R4863">
        <v>-0.99656160000000005</v>
      </c>
      <c r="S4863">
        <v>0.15859989999999999</v>
      </c>
      <c r="T4863">
        <v>-7.7849269999999998E-2</v>
      </c>
      <c r="U4863">
        <v>-3.0216059999999998</v>
      </c>
      <c r="V4863">
        <v>3.9853800000000002E-2</v>
      </c>
      <c r="W4863">
        <v>-1.3891529999999999E-2</v>
      </c>
      <c r="X4863">
        <v>0.99910900000000002</v>
      </c>
      <c r="Y4863">
        <v>-9.0676160000000006E-2</v>
      </c>
      <c r="Z4863">
        <v>2.5656490000000001E-2</v>
      </c>
      <c r="AA4863">
        <v>0.99554989999999999</v>
      </c>
      <c r="AB4863">
        <v>21</v>
      </c>
      <c r="AC4863">
        <v>2.27019999999998</v>
      </c>
      <c r="AD4863">
        <v>-1.1115647557969901</v>
      </c>
      <c r="AE4863">
        <v>-42.937909999999903</v>
      </c>
      <c r="AF4863">
        <v>-3.9133703701178999</v>
      </c>
      <c r="AG4863">
        <v>-1.1115647557969901</v>
      </c>
      <c r="AH4863">
        <v>42.7905921689024</v>
      </c>
      <c r="AI4863">
        <v>91.481847887861903</v>
      </c>
      <c r="AJ4863">
        <v>95.225391872448498</v>
      </c>
      <c r="AK4863">
        <v>42.983541292282801</v>
      </c>
      <c r="AL4863">
        <v>90.795951603764607</v>
      </c>
      <c r="AM4863">
        <v>87.715720127646705</v>
      </c>
      <c r="AN4863">
        <v>1.0000000469305801</v>
      </c>
    </row>
    <row r="4864" spans="1:40" x14ac:dyDescent="0.25">
      <c r="A4864" t="str">
        <f>"20190312161413392"</f>
        <v>20190312161413392</v>
      </c>
      <c r="B4864" t="str">
        <f>"1552378453381774"</f>
        <v>1552378453381774</v>
      </c>
      <c r="C4864" t="s">
        <v>40</v>
      </c>
      <c r="D4864">
        <v>4.697292</v>
      </c>
      <c r="E4864">
        <v>0.45343630000000001</v>
      </c>
      <c r="F4864" t="s">
        <v>42</v>
      </c>
      <c r="G4864">
        <v>-419.76049999999998</v>
      </c>
      <c r="H4864" s="1">
        <v>-7.1750580000000003E-8</v>
      </c>
      <c r="I4864">
        <v>59.67165</v>
      </c>
      <c r="J4864">
        <v>-421.95949999999999</v>
      </c>
      <c r="K4864">
        <v>1.1115549999999901</v>
      </c>
      <c r="L4864">
        <v>103.99250000000001</v>
      </c>
      <c r="M4864">
        <v>-3.6053399999999999E-2</v>
      </c>
      <c r="N4864">
        <v>0</v>
      </c>
      <c r="O4864">
        <v>-0.9992569</v>
      </c>
      <c r="P4864">
        <v>-7.5492089999999998E-2</v>
      </c>
      <c r="Q4864">
        <v>-2.7247480000000001E-2</v>
      </c>
      <c r="R4864">
        <v>-0.99677459999999996</v>
      </c>
      <c r="S4864">
        <v>0.14877319999999999</v>
      </c>
      <c r="T4864">
        <v>-7.5383539999999999E-2</v>
      </c>
      <c r="U4864">
        <v>-3.0199280000000002</v>
      </c>
      <c r="V4864">
        <v>3.9545839999999999E-2</v>
      </c>
      <c r="W4864">
        <v>-1.348977E-2</v>
      </c>
      <c r="X4864">
        <v>0.99912670000000003</v>
      </c>
      <c r="Y4864">
        <v>-8.5169990000000001E-2</v>
      </c>
      <c r="Z4864">
        <v>2.4869510000000001E-2</v>
      </c>
      <c r="AA4864">
        <v>0.99605600000000005</v>
      </c>
      <c r="AB4864">
        <v>21</v>
      </c>
      <c r="AC4864">
        <v>2.1990000000000101</v>
      </c>
      <c r="AD4864">
        <v>-1.11155507175057</v>
      </c>
      <c r="AE4864">
        <v>-44.32085</v>
      </c>
      <c r="AF4864">
        <v>-3.7932558154145899</v>
      </c>
      <c r="AG4864">
        <v>-1.11155507175057</v>
      </c>
      <c r="AH4864">
        <v>44.185017488765403</v>
      </c>
      <c r="AI4864">
        <v>91.435797301882502</v>
      </c>
      <c r="AJ4864">
        <v>94.906775548069902</v>
      </c>
      <c r="AK4864">
        <v>44.361471062637399</v>
      </c>
      <c r="AL4864">
        <v>90.772930327133096</v>
      </c>
      <c r="AM4864">
        <v>87.733392944087399</v>
      </c>
      <c r="AN4864">
        <v>1.00000000500442</v>
      </c>
    </row>
    <row r="4865" spans="1:40" x14ac:dyDescent="0.25">
      <c r="A4865" t="str">
        <f>"20190312161413414"</f>
        <v>20190312161413414</v>
      </c>
      <c r="B4865" t="str">
        <f>"1552378453411054"</f>
        <v>1552378453411054</v>
      </c>
      <c r="C4865" t="s">
        <v>40</v>
      </c>
      <c r="D4865">
        <v>4.7849120000000003</v>
      </c>
      <c r="E4865">
        <v>0.45471669999999997</v>
      </c>
      <c r="F4865" t="s">
        <v>42</v>
      </c>
      <c r="G4865">
        <v>-419.90649999999999</v>
      </c>
      <c r="H4865" s="1">
        <v>-5.4406630000000005E-7</v>
      </c>
      <c r="I4865">
        <v>60.862340000000003</v>
      </c>
      <c r="J4865">
        <v>-421.96440000000001</v>
      </c>
      <c r="K4865">
        <v>1.1115389999999901</v>
      </c>
      <c r="L4865">
        <v>103.7814</v>
      </c>
      <c r="M4865">
        <v>-3.3742050000000003E-2</v>
      </c>
      <c r="N4865">
        <v>0</v>
      </c>
      <c r="O4865">
        <v>-0.9993377</v>
      </c>
      <c r="P4865">
        <v>-7.2548630000000003E-2</v>
      </c>
      <c r="Q4865">
        <v>-2.6709429999999999E-2</v>
      </c>
      <c r="R4865">
        <v>-0.99700759999999999</v>
      </c>
      <c r="S4865">
        <v>0.14367679999999999</v>
      </c>
      <c r="T4865">
        <v>-7.7792169999999994E-2</v>
      </c>
      <c r="U4865">
        <v>-3.0184630000000001</v>
      </c>
      <c r="V4865">
        <v>3.89042E-2</v>
      </c>
      <c r="W4865">
        <v>-1.295807E-2</v>
      </c>
      <c r="X4865">
        <v>0.99915889999999996</v>
      </c>
      <c r="Y4865">
        <v>-8.1209710000000004E-2</v>
      </c>
      <c r="Z4865">
        <v>2.5684459999999999E-2</v>
      </c>
      <c r="AA4865">
        <v>0.99636599999999997</v>
      </c>
      <c r="AB4865">
        <v>21</v>
      </c>
      <c r="AC4865">
        <v>2.0579000000000098</v>
      </c>
      <c r="AD4865">
        <v>-1.1115395440662901</v>
      </c>
      <c r="AE4865">
        <v>-42.919059999999902</v>
      </c>
      <c r="AF4865">
        <v>-3.5026954829302301</v>
      </c>
      <c r="AG4865">
        <v>-1.1115395440662901</v>
      </c>
      <c r="AH4865">
        <v>42.796532872752202</v>
      </c>
      <c r="AI4865">
        <v>91.482832999127794</v>
      </c>
      <c r="AJ4865">
        <v>94.678961827408301</v>
      </c>
      <c r="AK4865">
        <v>42.954017527266501</v>
      </c>
      <c r="AL4865">
        <v>90.742463517067506</v>
      </c>
      <c r="AM4865">
        <v>87.770203504671201</v>
      </c>
      <c r="AN4865">
        <v>0.99999997790248696</v>
      </c>
    </row>
    <row r="4866" spans="1:40" x14ac:dyDescent="0.25">
      <c r="A4866" t="str">
        <f>"20190312161413438"</f>
        <v>20190312161413438</v>
      </c>
      <c r="B4866" t="str">
        <f>"1552378453431550"</f>
        <v>1552378453431550</v>
      </c>
      <c r="C4866" t="s">
        <v>40</v>
      </c>
      <c r="D4866">
        <v>4.7442390000000003</v>
      </c>
      <c r="E4866">
        <v>0.45529130000000001</v>
      </c>
      <c r="F4866" t="s">
        <v>42</v>
      </c>
      <c r="G4866">
        <v>-419.75319999999999</v>
      </c>
      <c r="H4866" s="1">
        <v>-3.2239519999999999E-6</v>
      </c>
      <c r="I4866">
        <v>57.045839999999998</v>
      </c>
      <c r="J4866">
        <v>-421.96879999999999</v>
      </c>
      <c r="K4866">
        <v>1.111529</v>
      </c>
      <c r="L4866">
        <v>103.5643</v>
      </c>
      <c r="M4866">
        <v>-3.1385789999999997E-2</v>
      </c>
      <c r="N4866">
        <v>0</v>
      </c>
      <c r="O4866">
        <v>-0.99941449999999998</v>
      </c>
      <c r="P4866">
        <v>-6.9765980000000005E-2</v>
      </c>
      <c r="Q4866">
        <v>-2.6760969999999999E-2</v>
      </c>
      <c r="R4866">
        <v>-0.9972048</v>
      </c>
      <c r="S4866">
        <v>0.1427612</v>
      </c>
      <c r="T4866">
        <v>-7.1766140000000006E-2</v>
      </c>
      <c r="U4866">
        <v>-3.0174560000000001</v>
      </c>
      <c r="V4866">
        <v>3.8471449999999997E-2</v>
      </c>
      <c r="W4866">
        <v>-1.3015519999999999E-2</v>
      </c>
      <c r="X4866">
        <v>0.99917500000000004</v>
      </c>
      <c r="Y4866">
        <v>-7.857596E-2</v>
      </c>
      <c r="Z4866">
        <v>2.3709339999999999E-2</v>
      </c>
      <c r="AA4866">
        <v>0.99662609999999996</v>
      </c>
      <c r="AB4866">
        <v>21</v>
      </c>
      <c r="AC4866">
        <v>2.21559999999999</v>
      </c>
      <c r="AD4866">
        <v>-1.111532223952</v>
      </c>
      <c r="AE4866">
        <v>-46.518459999999997</v>
      </c>
      <c r="AF4866">
        <v>-3.6725703019698401</v>
      </c>
      <c r="AG4866">
        <v>-1.111532223952</v>
      </c>
      <c r="AH4866">
        <v>46.399561781949998</v>
      </c>
      <c r="AI4866">
        <v>91.368018955789395</v>
      </c>
      <c r="AJ4866">
        <v>94.525581501368606</v>
      </c>
      <c r="AK4866">
        <v>46.557948946069203</v>
      </c>
      <c r="AL4866">
        <v>90.745755369776006</v>
      </c>
      <c r="AM4866">
        <v>87.795017470732205</v>
      </c>
      <c r="AN4866">
        <v>1.0000000684254799</v>
      </c>
    </row>
    <row r="4867" spans="1:40" x14ac:dyDescent="0.25">
      <c r="A4867" t="str">
        <f>"20190312161413460"</f>
        <v>20190312161413460</v>
      </c>
      <c r="B4867" t="str">
        <f>"1552378453451070"</f>
        <v>1552378453451070</v>
      </c>
      <c r="C4867" t="s">
        <v>40</v>
      </c>
      <c r="D4867">
        <v>4.6564579999999998</v>
      </c>
      <c r="E4867">
        <v>0.45550360000000001</v>
      </c>
      <c r="F4867" t="s">
        <v>42</v>
      </c>
      <c r="G4867">
        <v>-419.5847</v>
      </c>
      <c r="H4867" s="1">
        <v>-2.0663360000000002E-6</v>
      </c>
      <c r="I4867">
        <v>54.277709999999999</v>
      </c>
      <c r="J4867">
        <v>-421.97269999999997</v>
      </c>
      <c r="K4867">
        <v>1.111515</v>
      </c>
      <c r="L4867">
        <v>103.357</v>
      </c>
      <c r="M4867">
        <v>-2.9154759999999998E-2</v>
      </c>
      <c r="N4867">
        <v>0</v>
      </c>
      <c r="O4867">
        <v>-0.99948210000000004</v>
      </c>
      <c r="P4867">
        <v>-6.7062350000000007E-2</v>
      </c>
      <c r="Q4867">
        <v>-2.6447040000000002E-2</v>
      </c>
      <c r="R4867">
        <v>-0.99739889999999998</v>
      </c>
      <c r="S4867">
        <v>0.14593510000000001</v>
      </c>
      <c r="T4867">
        <v>-6.8036440000000004E-2</v>
      </c>
      <c r="U4867">
        <v>-3.0168149999999998</v>
      </c>
      <c r="V4867">
        <v>3.799164E-2</v>
      </c>
      <c r="W4867">
        <v>-1.2707130000000001E-2</v>
      </c>
      <c r="X4867">
        <v>0.99919720000000001</v>
      </c>
      <c r="Y4867">
        <v>-7.7408019999999994E-2</v>
      </c>
      <c r="Z4867">
        <v>2.248532E-2</v>
      </c>
      <c r="AA4867">
        <v>0.99674589999999996</v>
      </c>
      <c r="AB4867">
        <v>21</v>
      </c>
      <c r="AC4867">
        <v>2.3879999999999701</v>
      </c>
      <c r="AD4867">
        <v>-1.1115170663359999</v>
      </c>
      <c r="AE4867">
        <v>-49.07929</v>
      </c>
      <c r="AF4867">
        <v>-3.8160597254275501</v>
      </c>
      <c r="AG4867">
        <v>-1.1115170663359999</v>
      </c>
      <c r="AH4867">
        <v>48.963740604112502</v>
      </c>
      <c r="AI4867">
        <v>91.296507587601297</v>
      </c>
      <c r="AJ4867">
        <v>94.456420861513394</v>
      </c>
      <c r="AK4867">
        <v>49.124796955952903</v>
      </c>
      <c r="AL4867">
        <v>90.728084557288</v>
      </c>
      <c r="AM4867">
        <v>87.822539366915095</v>
      </c>
      <c r="AN4867">
        <v>0.99999994017528104</v>
      </c>
    </row>
    <row r="4868" spans="1:40" x14ac:dyDescent="0.25">
      <c r="A4868" t="str">
        <f>"20190312161413483"</f>
        <v>20190312161413483</v>
      </c>
      <c r="B4868" t="str">
        <f>"1552378453471566"</f>
        <v>1552378453471566</v>
      </c>
      <c r="C4868" t="s">
        <v>40</v>
      </c>
      <c r="D4868">
        <v>4.6954279999999997</v>
      </c>
      <c r="E4868">
        <v>0.45600289999999999</v>
      </c>
      <c r="F4868" t="s">
        <v>42</v>
      </c>
      <c r="G4868">
        <v>-419.12610000000001</v>
      </c>
      <c r="H4868" s="1">
        <v>-3.3849099999999998E-6</v>
      </c>
      <c r="I4868">
        <v>47.161740000000002</v>
      </c>
      <c r="J4868">
        <v>-421.97620000000001</v>
      </c>
      <c r="K4868">
        <v>1.111499</v>
      </c>
      <c r="L4868">
        <v>103.1429</v>
      </c>
      <c r="M4868">
        <v>-2.6871389999999998E-2</v>
      </c>
      <c r="N4868">
        <v>0</v>
      </c>
      <c r="O4868">
        <v>-0.99954609999999999</v>
      </c>
      <c r="P4868">
        <v>-6.455524E-2</v>
      </c>
      <c r="Q4868">
        <v>-2.6677159999999998E-2</v>
      </c>
      <c r="R4868">
        <v>-0.9975579</v>
      </c>
      <c r="S4868">
        <v>0.15280150000000001</v>
      </c>
      <c r="T4868">
        <v>-5.9665320000000001E-2</v>
      </c>
      <c r="U4868">
        <v>-3.0165099999999998</v>
      </c>
      <c r="V4868">
        <v>3.7763379999999999E-2</v>
      </c>
      <c r="W4868">
        <v>-1.2942479999999999E-2</v>
      </c>
      <c r="X4868">
        <v>0.9992029</v>
      </c>
      <c r="Y4868">
        <v>-7.7401559999999994E-2</v>
      </c>
      <c r="Z4868">
        <v>1.9722699999999999E-2</v>
      </c>
      <c r="AA4868">
        <v>0.99680489999999999</v>
      </c>
      <c r="AB4868">
        <v>21</v>
      </c>
      <c r="AC4868">
        <v>2.8500999999999901</v>
      </c>
      <c r="AD4868">
        <v>-1.1115023849099901</v>
      </c>
      <c r="AE4868">
        <v>-55.981160000000003</v>
      </c>
      <c r="AF4868">
        <v>-4.35179065616376</v>
      </c>
      <c r="AG4868">
        <v>-1.1115023849099901</v>
      </c>
      <c r="AH4868">
        <v>55.862383089993699</v>
      </c>
      <c r="AI4868">
        <v>91.1364302695128</v>
      </c>
      <c r="AJ4868">
        <v>94.454458668968599</v>
      </c>
      <c r="AK4868">
        <v>56.042656646165099</v>
      </c>
      <c r="AL4868">
        <v>90.741570178602899</v>
      </c>
      <c r="AM4868">
        <v>87.835621762503195</v>
      </c>
      <c r="AN4868">
        <v>1.00000000801299</v>
      </c>
    </row>
    <row r="4869" spans="1:40" x14ac:dyDescent="0.25">
      <c r="A4869" t="str">
        <f>"20190312161413504"</f>
        <v>20190312161413504</v>
      </c>
      <c r="B4869" t="str">
        <f>"1552378453501821"</f>
        <v>1552378453501821</v>
      </c>
      <c r="C4869" t="s">
        <v>40</v>
      </c>
      <c r="D4869">
        <v>4.8014890000000001</v>
      </c>
      <c r="E4869">
        <v>0.45662520000000001</v>
      </c>
      <c r="F4869" t="s">
        <v>42</v>
      </c>
      <c r="G4869">
        <v>-419.14980000000003</v>
      </c>
      <c r="H4869" s="1">
        <v>-3.9747999999999996E-6</v>
      </c>
      <c r="I4869">
        <v>48.546579999999999</v>
      </c>
      <c r="J4869">
        <v>-421.97910000000002</v>
      </c>
      <c r="K4869">
        <v>1.1114869999999999</v>
      </c>
      <c r="L4869">
        <v>102.9413</v>
      </c>
      <c r="M4869">
        <v>-2.4739609999999999E-2</v>
      </c>
      <c r="N4869">
        <v>0</v>
      </c>
      <c r="O4869">
        <v>-0.99960090000000001</v>
      </c>
      <c r="P4869">
        <v>-6.2140720000000003E-2</v>
      </c>
      <c r="Q4869">
        <v>-2.6378510000000001E-2</v>
      </c>
      <c r="R4869">
        <v>-0.99771880000000002</v>
      </c>
      <c r="S4869">
        <v>0.15612789999999999</v>
      </c>
      <c r="T4869">
        <v>-6.1397550000000002E-2</v>
      </c>
      <c r="U4869">
        <v>-3.0158079999999998</v>
      </c>
      <c r="V4869">
        <v>3.7474569999999999E-2</v>
      </c>
      <c r="W4869">
        <v>-1.2648939999999999E-2</v>
      </c>
      <c r="X4869">
        <v>0.99921749999999998</v>
      </c>
      <c r="Y4869">
        <v>-7.6382939999999996E-2</v>
      </c>
      <c r="Z4869">
        <v>2.0301690000000001E-2</v>
      </c>
      <c r="AA4869">
        <v>0.99687179999999997</v>
      </c>
      <c r="AB4869">
        <v>21</v>
      </c>
      <c r="AC4869">
        <v>2.8292999999999799</v>
      </c>
      <c r="AD4869">
        <v>-1.1114909747999999</v>
      </c>
      <c r="AE4869">
        <v>-54.3947199999999</v>
      </c>
      <c r="AF4869">
        <v>-4.1725256970984104</v>
      </c>
      <c r="AG4869">
        <v>-1.1114909747999999</v>
      </c>
      <c r="AH4869">
        <v>54.2854607585911</v>
      </c>
      <c r="AI4869">
        <v>91.169514525494705</v>
      </c>
      <c r="AJ4869">
        <v>94.395264889430706</v>
      </c>
      <c r="AK4869">
        <v>54.456924561092698</v>
      </c>
      <c r="AL4869">
        <v>90.724750221958402</v>
      </c>
      <c r="AM4869">
        <v>87.852190469914206</v>
      </c>
      <c r="AN4869">
        <v>0.99999997569302801</v>
      </c>
    </row>
    <row r="4870" spans="1:40" x14ac:dyDescent="0.25">
      <c r="A4870" t="str">
        <f>"20190312161413527"</f>
        <v>20190312161413527</v>
      </c>
      <c r="B4870" t="str">
        <f>"1552378453521341"</f>
        <v>1552378453521341</v>
      </c>
      <c r="C4870" t="s">
        <v>40</v>
      </c>
      <c r="D4870">
        <v>4.685829</v>
      </c>
      <c r="E4870">
        <v>0.45701700000000001</v>
      </c>
      <c r="F4870" t="s">
        <v>42</v>
      </c>
      <c r="G4870">
        <v>-418.66019999999997</v>
      </c>
      <c r="H4870" s="1">
        <v>-3.604618E-7</v>
      </c>
      <c r="I4870">
        <v>39.659779999999998</v>
      </c>
      <c r="J4870">
        <v>-421.98169999999999</v>
      </c>
      <c r="K4870">
        <v>1.1114679999999999</v>
      </c>
      <c r="L4870">
        <v>102.7299</v>
      </c>
      <c r="M4870">
        <v>-2.2526819999999999E-2</v>
      </c>
      <c r="N4870">
        <v>0</v>
      </c>
      <c r="O4870">
        <v>-0.99965349999999997</v>
      </c>
      <c r="P4870">
        <v>-5.9432640000000002E-2</v>
      </c>
      <c r="Q4870">
        <v>-2.6373270000000001E-2</v>
      </c>
      <c r="R4870">
        <v>-0.99788399999999999</v>
      </c>
      <c r="S4870">
        <v>0.15814210000000001</v>
      </c>
      <c r="T4870">
        <v>-5.2961590000000003E-2</v>
      </c>
      <c r="U4870">
        <v>-3.01532</v>
      </c>
      <c r="V4870">
        <v>3.6974109999999998E-2</v>
      </c>
      <c r="W4870">
        <v>-1.2649830000000001E-2</v>
      </c>
      <c r="X4870">
        <v>0.99923620000000002</v>
      </c>
      <c r="Y4870">
        <v>-7.4850890000000003E-2</v>
      </c>
      <c r="Z4870">
        <v>1.751811E-2</v>
      </c>
      <c r="AA4870">
        <v>0.99704090000000001</v>
      </c>
      <c r="AB4870">
        <v>21</v>
      </c>
      <c r="AC4870">
        <v>3.3215000000000101</v>
      </c>
      <c r="AD4870">
        <v>-1.1114683604618001</v>
      </c>
      <c r="AE4870">
        <v>-63.070119999999903</v>
      </c>
      <c r="AF4870">
        <v>-4.7400899410616697</v>
      </c>
      <c r="AG4870">
        <v>-1.1114683604618001</v>
      </c>
      <c r="AH4870">
        <v>62.959783750351001</v>
      </c>
      <c r="AI4870">
        <v>91.008519477774101</v>
      </c>
      <c r="AJ4870">
        <v>94.305538099424695</v>
      </c>
      <c r="AK4870">
        <v>63.147748847101603</v>
      </c>
      <c r="AL4870">
        <v>90.724801170351896</v>
      </c>
      <c r="AM4870">
        <v>87.880887021855699</v>
      </c>
      <c r="AN4870">
        <v>1.0000000431998699</v>
      </c>
    </row>
    <row r="4871" spans="1:40" x14ac:dyDescent="0.25">
      <c r="A4871" t="str">
        <f>"20190312161413550"</f>
        <v>20190312161413550</v>
      </c>
      <c r="B4871" t="str">
        <f>"1552378453540862"</f>
        <v>1552378453540862</v>
      </c>
      <c r="C4871" t="s">
        <v>40</v>
      </c>
      <c r="D4871">
        <v>4.9656019999999996</v>
      </c>
      <c r="E4871">
        <v>0.45671309999999898</v>
      </c>
      <c r="F4871" t="s">
        <v>77</v>
      </c>
      <c r="G4871">
        <v>-418.17970000000003</v>
      </c>
      <c r="H4871" s="1">
        <v>-4.5835789999999997E-6</v>
      </c>
      <c r="I4871">
        <v>32.628700000000002</v>
      </c>
      <c r="J4871">
        <v>-421.98390000000001</v>
      </c>
      <c r="K4871">
        <v>1.1114470000000001</v>
      </c>
      <c r="L4871">
        <v>102.5145</v>
      </c>
      <c r="M4871">
        <v>-2.030179E-2</v>
      </c>
      <c r="N4871">
        <v>0</v>
      </c>
      <c r="O4871">
        <v>-0.99970119999999896</v>
      </c>
      <c r="P4871">
        <v>-5.6675009999999998E-2</v>
      </c>
      <c r="Q4871">
        <v>-2.6844920000000001E-2</v>
      </c>
      <c r="R4871">
        <v>-0.99803189999999997</v>
      </c>
      <c r="S4871">
        <v>0.1635132</v>
      </c>
      <c r="T4871">
        <v>-4.78009E-2</v>
      </c>
      <c r="U4871">
        <v>-3.0148320000000002</v>
      </c>
      <c r="V4871">
        <v>3.6438159999999997E-2</v>
      </c>
      <c r="W4871">
        <v>-1.3128290000000001E-2</v>
      </c>
      <c r="X4871">
        <v>0.99924970000000002</v>
      </c>
      <c r="Y4871">
        <v>-7.4412599999999995E-2</v>
      </c>
      <c r="Z4871">
        <v>1.5814760000000001E-2</v>
      </c>
      <c r="AA4871">
        <v>0.99710209999999999</v>
      </c>
      <c r="AB4871">
        <v>21</v>
      </c>
      <c r="AC4871">
        <v>3.8041999999999798</v>
      </c>
      <c r="AD4871">
        <v>-1.11145158357899</v>
      </c>
      <c r="AE4871">
        <v>-69.885799999999904</v>
      </c>
      <c r="AF4871">
        <v>-5.2210374752948496</v>
      </c>
      <c r="AG4871">
        <v>-1.11145158357899</v>
      </c>
      <c r="AH4871">
        <v>69.776557897269498</v>
      </c>
      <c r="AI4871">
        <v>90.910027980505802</v>
      </c>
      <c r="AJ4871">
        <v>94.279187855080195</v>
      </c>
      <c r="AK4871">
        <v>69.980444332199497</v>
      </c>
      <c r="AL4871">
        <v>90.752217197487894</v>
      </c>
      <c r="AM4871">
        <v>87.911604943750703</v>
      </c>
      <c r="AN4871">
        <v>1.0000000272262899</v>
      </c>
    </row>
    <row r="4872" spans="1:40" x14ac:dyDescent="0.25">
      <c r="A4872" t="str">
        <f>"20190312161413571"</f>
        <v>20190312161413571</v>
      </c>
      <c r="B4872" t="str">
        <f>"1552378453561357"</f>
        <v>1552378453561357</v>
      </c>
      <c r="C4872" t="s">
        <v>40</v>
      </c>
      <c r="D4872">
        <v>4.7409910000000002</v>
      </c>
      <c r="E4872">
        <v>0.41688009999999898</v>
      </c>
      <c r="F4872" t="s">
        <v>77</v>
      </c>
      <c r="G4872">
        <v>-417.75259999999997</v>
      </c>
      <c r="H4872" s="1">
        <v>-8.0025039999999993E-6</v>
      </c>
      <c r="I4872">
        <v>29.096699999999998</v>
      </c>
      <c r="J4872">
        <v>-421.9855</v>
      </c>
      <c r="K4872">
        <v>1.111426</v>
      </c>
      <c r="L4872">
        <v>102.3154</v>
      </c>
      <c r="M4872">
        <v>-1.8274829999999999E-2</v>
      </c>
      <c r="N4872">
        <v>0</v>
      </c>
      <c r="O4872">
        <v>-0.99974030000000003</v>
      </c>
      <c r="P4872">
        <v>-5.3677339999999997E-2</v>
      </c>
      <c r="Q4872">
        <v>-2.6929249999999998E-2</v>
      </c>
      <c r="R4872">
        <v>-0.99819519999999995</v>
      </c>
      <c r="S4872">
        <v>0.17373659999999999</v>
      </c>
      <c r="T4872">
        <v>-4.5636650000000001E-2</v>
      </c>
      <c r="U4872">
        <v>-3.0145569999999999</v>
      </c>
      <c r="V4872">
        <v>3.5462920000000002E-2</v>
      </c>
      <c r="W4872">
        <v>-1.322019E-2</v>
      </c>
      <c r="X4872">
        <v>0.99928360000000005</v>
      </c>
      <c r="Y4872">
        <v>-7.5767139999999997E-2</v>
      </c>
      <c r="Z4872">
        <v>1.509895E-2</v>
      </c>
      <c r="AA4872">
        <v>0.99701119999999999</v>
      </c>
      <c r="AB4872">
        <v>21</v>
      </c>
      <c r="AC4872">
        <v>4.2329000000000203</v>
      </c>
      <c r="AD4872">
        <v>-1.1114340025039999</v>
      </c>
      <c r="AE4872">
        <v>-73.218699999999998</v>
      </c>
      <c r="AF4872">
        <v>-5.5690973401655999</v>
      </c>
      <c r="AG4872">
        <v>-1.1114340025039999</v>
      </c>
      <c r="AH4872">
        <v>73.112317065161093</v>
      </c>
      <c r="AI4872">
        <v>90.868412822724196</v>
      </c>
      <c r="AJ4872">
        <v>94.355911539628707</v>
      </c>
      <c r="AK4872">
        <v>73.332537371638907</v>
      </c>
      <c r="AL4872">
        <v>90.757483117205993</v>
      </c>
      <c r="AM4872">
        <v>87.967520639253394</v>
      </c>
      <c r="AN4872">
        <v>1.00000005267375</v>
      </c>
    </row>
    <row r="4873" spans="1:40" x14ac:dyDescent="0.25">
      <c r="A4873" t="str">
        <f>"20190312161413605"</f>
        <v>20190312161413605</v>
      </c>
      <c r="B4873" t="str">
        <f>"1552378453601373"</f>
        <v>1552378453601373</v>
      </c>
      <c r="C4873" t="s">
        <v>40</v>
      </c>
      <c r="D4873">
        <v>4.8149810000000004</v>
      </c>
      <c r="E4873">
        <v>0.41194829999999999</v>
      </c>
      <c r="F4873" t="s">
        <v>77</v>
      </c>
      <c r="G4873">
        <v>-408.05500000000001</v>
      </c>
      <c r="H4873" s="1">
        <v>-4.181855E-6</v>
      </c>
      <c r="I4873">
        <v>17.87717</v>
      </c>
      <c r="J4873">
        <v>-421.9873</v>
      </c>
      <c r="K4873">
        <v>1.111394</v>
      </c>
      <c r="L4873">
        <v>102.00409999999999</v>
      </c>
      <c r="M4873">
        <v>-1.515881E-2</v>
      </c>
      <c r="N4873">
        <v>0</v>
      </c>
      <c r="O4873">
        <v>-0.99979249999999997</v>
      </c>
      <c r="P4873">
        <v>-4.9794329999999998E-2</v>
      </c>
      <c r="Q4873">
        <v>-2.7339680000000002E-2</v>
      </c>
      <c r="R4873">
        <v>-0.99838510000000003</v>
      </c>
      <c r="S4873">
        <v>0.50009159999999997</v>
      </c>
      <c r="T4873">
        <v>-3.9899230000000001E-2</v>
      </c>
      <c r="U4873">
        <v>-3.03125</v>
      </c>
      <c r="V4873">
        <v>3.4691020000000003E-2</v>
      </c>
      <c r="W4873">
        <v>-1.364048E-2</v>
      </c>
      <c r="X4873">
        <v>0.999305</v>
      </c>
      <c r="Y4873">
        <v>-0.1777039</v>
      </c>
      <c r="Z4873">
        <v>1.296686E-2</v>
      </c>
      <c r="AA4873">
        <v>0.98399859999999995</v>
      </c>
      <c r="AB4873">
        <v>21</v>
      </c>
      <c r="AC4873">
        <v>13.9322999999999</v>
      </c>
      <c r="AD4873">
        <v>-1.1113981818550001</v>
      </c>
      <c r="AE4873">
        <v>-84.126929999999902</v>
      </c>
      <c r="AF4873">
        <v>-15.2034984677439</v>
      </c>
      <c r="AG4873">
        <v>-1.1113981818550001</v>
      </c>
      <c r="AH4873">
        <v>83.891794511454705</v>
      </c>
      <c r="AI4873">
        <v>90.746845885899006</v>
      </c>
      <c r="AJ4873">
        <v>100.272081346649</v>
      </c>
      <c r="AK4873">
        <v>85.265554345992896</v>
      </c>
      <c r="AL4873">
        <v>90.781566167608801</v>
      </c>
      <c r="AM4873">
        <v>88.011767034290699</v>
      </c>
      <c r="AN4873">
        <v>1.0000000062941301</v>
      </c>
    </row>
    <row r="4874" spans="1:40" x14ac:dyDescent="0.25">
      <c r="A4874" t="str">
        <f>"20190312161413628"</f>
        <v>20190312161413628</v>
      </c>
      <c r="B4874" t="str">
        <f>"1552378453620894"</f>
        <v>1552378453620894</v>
      </c>
      <c r="C4874" t="s">
        <v>40</v>
      </c>
      <c r="D4874">
        <v>4.7124370000000004</v>
      </c>
      <c r="E4874">
        <v>0.41249599999999997</v>
      </c>
      <c r="F4874" t="s">
        <v>42</v>
      </c>
      <c r="G4874">
        <v>-413.28190000000001</v>
      </c>
      <c r="H4874" s="1">
        <v>-3.343313E-6</v>
      </c>
      <c r="I4874">
        <v>54.219839999999998</v>
      </c>
      <c r="J4874">
        <v>-421.98809999999997</v>
      </c>
      <c r="K4874">
        <v>1.1113729999999999</v>
      </c>
      <c r="L4874">
        <v>101.788</v>
      </c>
      <c r="M4874">
        <v>-1.3040960000000001E-2</v>
      </c>
      <c r="N4874">
        <v>0</v>
      </c>
      <c r="O4874">
        <v>-0.99982260000000001</v>
      </c>
      <c r="P4874">
        <v>-4.8018070000000003E-2</v>
      </c>
      <c r="Q4874">
        <v>-2.7340320000000001E-2</v>
      </c>
      <c r="R4874">
        <v>-0.99847260000000004</v>
      </c>
      <c r="S4874">
        <v>0.55209350000000001</v>
      </c>
      <c r="T4874">
        <v>-7.0484399999999905E-2</v>
      </c>
      <c r="U4874">
        <v>-3.0304570000000002</v>
      </c>
      <c r="V4874">
        <v>3.5029089999999999E-2</v>
      </c>
      <c r="W4874">
        <v>-1.3645930000000001E-2</v>
      </c>
      <c r="X4874">
        <v>0.99929310000000005</v>
      </c>
      <c r="Y4874">
        <v>-0.19200049999999999</v>
      </c>
      <c r="Z4874">
        <v>2.28452E-2</v>
      </c>
      <c r="AA4874">
        <v>0.98112889999999997</v>
      </c>
      <c r="AB4874">
        <v>21</v>
      </c>
      <c r="AC4874">
        <v>8.70619999999996</v>
      </c>
      <c r="AD4874">
        <v>-1.1113763433129999</v>
      </c>
      <c r="AE4874">
        <v>-47.568159999999899</v>
      </c>
      <c r="AF4874">
        <v>-9.3209281798497692</v>
      </c>
      <c r="AG4874">
        <v>-1.1113763433129999</v>
      </c>
      <c r="AH4874">
        <v>47.425517425830598</v>
      </c>
      <c r="AI4874">
        <v>91.317241226268905</v>
      </c>
      <c r="AJ4874">
        <v>101.119091046213</v>
      </c>
      <c r="AK4874">
        <v>48.345574385026701</v>
      </c>
      <c r="AL4874">
        <v>90.781878483821302</v>
      </c>
      <c r="AM4874">
        <v>87.992383250436802</v>
      </c>
      <c r="AN4874">
        <v>0.99999997412970099</v>
      </c>
    </row>
    <row r="4875" spans="1:40" x14ac:dyDescent="0.25">
      <c r="A4875" t="str">
        <f>"20190312161413651"</f>
        <v>20190312161413651</v>
      </c>
      <c r="B4875" t="str">
        <f>"1552378453641390"</f>
        <v>1552378453641390</v>
      </c>
      <c r="C4875" t="s">
        <v>40</v>
      </c>
      <c r="D4875">
        <v>4.6661089999999996</v>
      </c>
      <c r="E4875">
        <v>0.4124931</v>
      </c>
      <c r="F4875" t="s">
        <v>42</v>
      </c>
      <c r="G4875">
        <v>-414.75599999999997</v>
      </c>
      <c r="H4875" s="1">
        <v>-2.258995E-6</v>
      </c>
      <c r="I4875">
        <v>62.186070000000001</v>
      </c>
      <c r="J4875">
        <v>-421.98840000000001</v>
      </c>
      <c r="K4875">
        <v>1.1113470000000001</v>
      </c>
      <c r="L4875">
        <v>101.57510000000001</v>
      </c>
      <c r="M4875">
        <v>-1.100871E-2</v>
      </c>
      <c r="N4875">
        <v>0</v>
      </c>
      <c r="O4875">
        <v>-0.99984709999999999</v>
      </c>
      <c r="P4875">
        <v>-4.624839E-2</v>
      </c>
      <c r="Q4875">
        <v>-2.7082829999999999E-2</v>
      </c>
      <c r="R4875">
        <v>-0.99856310000000004</v>
      </c>
      <c r="S4875">
        <v>0.55313109999999999</v>
      </c>
      <c r="T4875">
        <v>-8.5001229999999997E-2</v>
      </c>
      <c r="U4875">
        <v>-3.02887</v>
      </c>
      <c r="V4875">
        <v>3.5287359999999997E-2</v>
      </c>
      <c r="W4875">
        <v>-1.339392E-2</v>
      </c>
      <c r="X4875">
        <v>0.99928740000000005</v>
      </c>
      <c r="Y4875">
        <v>-0.19040000000000001</v>
      </c>
      <c r="Z4875">
        <v>2.756573E-2</v>
      </c>
      <c r="AA4875">
        <v>0.98131950000000001</v>
      </c>
      <c r="AB4875">
        <v>21</v>
      </c>
      <c r="AC4875">
        <v>7.2324000000000401</v>
      </c>
      <c r="AD4875">
        <v>-1.11134925899499</v>
      </c>
      <c r="AE4875">
        <v>-39.389029999999998</v>
      </c>
      <c r="AF4875">
        <v>-7.6597252925771002</v>
      </c>
      <c r="AG4875">
        <v>-1.11134925899499</v>
      </c>
      <c r="AH4875">
        <v>39.276768690017803</v>
      </c>
      <c r="AI4875">
        <v>91.590817468255693</v>
      </c>
      <c r="AJ4875">
        <v>101.035270584754</v>
      </c>
      <c r="AK4875">
        <v>40.032125192929399</v>
      </c>
      <c r="AL4875">
        <v>90.7674380716782</v>
      </c>
      <c r="AM4875">
        <v>87.9775817829658</v>
      </c>
      <c r="AN4875">
        <v>0.99999995133374597</v>
      </c>
    </row>
    <row r="4876" spans="1:40" x14ac:dyDescent="0.25">
      <c r="A4876" t="str">
        <f>"20190312161413672"</f>
        <v>20190312161413672</v>
      </c>
      <c r="B4876" t="str">
        <f>"1552378453660910"</f>
        <v>1552378453660910</v>
      </c>
      <c r="C4876" t="s">
        <v>40</v>
      </c>
      <c r="D4876">
        <v>4.8531789999999999</v>
      </c>
      <c r="E4876">
        <v>0.41248899999999999</v>
      </c>
      <c r="F4876" t="s">
        <v>42</v>
      </c>
      <c r="G4876">
        <v>-414.94139999999999</v>
      </c>
      <c r="H4876" s="1">
        <v>-2.6213939999999998E-6</v>
      </c>
      <c r="I4876">
        <v>63.395980000000002</v>
      </c>
      <c r="J4876">
        <v>-421.98829999999998</v>
      </c>
      <c r="K4876">
        <v>1.1113150000000001</v>
      </c>
      <c r="L4876">
        <v>101.37439999999999</v>
      </c>
      <c r="M4876">
        <v>-9.1414770000000003E-3</v>
      </c>
      <c r="N4876">
        <v>0</v>
      </c>
      <c r="O4876">
        <v>-0.99986589999999997</v>
      </c>
      <c r="P4876">
        <v>-4.482009E-2</v>
      </c>
      <c r="Q4876">
        <v>-2.6746229999999999E-2</v>
      </c>
      <c r="R4876">
        <v>-0.99863710000000006</v>
      </c>
      <c r="S4876">
        <v>0.55886840000000004</v>
      </c>
      <c r="T4876">
        <v>-8.813667E-2</v>
      </c>
      <c r="U4876">
        <v>-3.0278320000000001</v>
      </c>
      <c r="V4876">
        <v>3.5722110000000001E-2</v>
      </c>
      <c r="W4876">
        <v>-1.3062819999999999E-2</v>
      </c>
      <c r="X4876">
        <v>0.99927639999999995</v>
      </c>
      <c r="Y4876">
        <v>-0.1904197</v>
      </c>
      <c r="Z4876">
        <v>2.8587250000000002E-2</v>
      </c>
      <c r="AA4876">
        <v>0.98128649999999995</v>
      </c>
      <c r="AB4876">
        <v>21</v>
      </c>
      <c r="AC4876">
        <v>7.0468999999999902</v>
      </c>
      <c r="AD4876">
        <v>-1.1113176213939999</v>
      </c>
      <c r="AE4876">
        <v>-37.9784199999999</v>
      </c>
      <c r="AF4876">
        <v>-7.3877011922330498</v>
      </c>
      <c r="AG4876">
        <v>-1.1113176213939999</v>
      </c>
      <c r="AH4876">
        <v>37.881051545704402</v>
      </c>
      <c r="AI4876">
        <v>91.649350608306605</v>
      </c>
      <c r="AJ4876">
        <v>101.03551477456401</v>
      </c>
      <c r="AK4876">
        <v>38.610713823622298</v>
      </c>
      <c r="AL4876">
        <v>90.748465730362994</v>
      </c>
      <c r="AM4876">
        <v>87.952663590497295</v>
      </c>
      <c r="AN4876">
        <v>1.0000000150030799</v>
      </c>
    </row>
    <row r="4877" spans="1:40" x14ac:dyDescent="0.25">
      <c r="A4877" t="str">
        <f>"20190312161413694"</f>
        <v>20190312161413694</v>
      </c>
      <c r="B4877" t="str">
        <f>"1552378453691166"</f>
        <v>1552378453691166</v>
      </c>
      <c r="C4877" t="s">
        <v>40</v>
      </c>
      <c r="D4877">
        <v>4.8431199999999999</v>
      </c>
      <c r="E4877">
        <v>0.41166740000000002</v>
      </c>
      <c r="F4877" t="s">
        <v>42</v>
      </c>
      <c r="G4877">
        <v>-414.79739999999998</v>
      </c>
      <c r="H4877" s="1">
        <v>-2.4285710000000002E-6</v>
      </c>
      <c r="I4877">
        <v>62.716720000000002</v>
      </c>
      <c r="J4877">
        <v>-421.988</v>
      </c>
      <c r="K4877">
        <v>1.1112820000000001</v>
      </c>
      <c r="L4877">
        <v>101.175</v>
      </c>
      <c r="M4877">
        <v>-7.3263139999999996E-3</v>
      </c>
      <c r="N4877">
        <v>0</v>
      </c>
      <c r="O4877">
        <v>-0.99988069999999896</v>
      </c>
      <c r="P4877">
        <v>-4.3650359999999999E-2</v>
      </c>
      <c r="Q4877">
        <v>-2.6779770000000001E-2</v>
      </c>
      <c r="R4877">
        <v>-0.99868800000000002</v>
      </c>
      <c r="S4877">
        <v>0.56307980000000002</v>
      </c>
      <c r="T4877">
        <v>-8.7020159999999999E-2</v>
      </c>
      <c r="U4877">
        <v>-3.0270389999999998</v>
      </c>
      <c r="V4877">
        <v>3.6364609999999999E-2</v>
      </c>
      <c r="W4877">
        <v>-1.31016E-2</v>
      </c>
      <c r="X4877">
        <v>0.99925269999999999</v>
      </c>
      <c r="Y4877">
        <v>-0.19000520000000001</v>
      </c>
      <c r="Z4877">
        <v>2.8230910000000001E-2</v>
      </c>
      <c r="AA4877">
        <v>0.9813771</v>
      </c>
      <c r="AB4877">
        <v>21</v>
      </c>
      <c r="AC4877">
        <v>7.19060000000007</v>
      </c>
      <c r="AD4877">
        <v>-1.111284428571</v>
      </c>
      <c r="AE4877">
        <v>-38.458280000000002</v>
      </c>
      <c r="AF4877">
        <v>-7.4661670194190703</v>
      </c>
      <c r="AG4877">
        <v>-1.111284428571</v>
      </c>
      <c r="AH4877">
        <v>38.373603668911997</v>
      </c>
      <c r="AI4877">
        <v>91.628282924027602</v>
      </c>
      <c r="AJ4877">
        <v>101.010206197428</v>
      </c>
      <c r="AK4877">
        <v>39.108976739129602</v>
      </c>
      <c r="AL4877">
        <v>90.750687863868905</v>
      </c>
      <c r="AM4877">
        <v>87.915822875141004</v>
      </c>
      <c r="AN4877">
        <v>0.99999999762015002</v>
      </c>
    </row>
    <row r="4878" spans="1:40" x14ac:dyDescent="0.25">
      <c r="A4878" t="str">
        <f>"20190312161413717"</f>
        <v>20190312161413717</v>
      </c>
      <c r="B4878" t="str">
        <f>"1552378453711662"</f>
        <v>1552378453711662</v>
      </c>
      <c r="C4878" t="s">
        <v>40</v>
      </c>
      <c r="D4878">
        <v>5.5864250000000002</v>
      </c>
      <c r="E4878">
        <v>0.41009590000000001</v>
      </c>
      <c r="F4878" t="s">
        <v>42</v>
      </c>
      <c r="G4878">
        <v>-414.1705</v>
      </c>
      <c r="H4878" s="1">
        <v>-1.6293579999999999E-6</v>
      </c>
      <c r="I4878">
        <v>59.87811</v>
      </c>
      <c r="J4878">
        <v>-421.9873</v>
      </c>
      <c r="K4878">
        <v>1.1112519999999999</v>
      </c>
      <c r="L4878">
        <v>100.96080000000001</v>
      </c>
      <c r="M4878">
        <v>-5.4220140000000002E-3</v>
      </c>
      <c r="N4878">
        <v>0</v>
      </c>
      <c r="O4878">
        <v>-0.99989309999999998</v>
      </c>
      <c r="P4878">
        <v>-4.25291E-2</v>
      </c>
      <c r="Q4878">
        <v>-2.657822E-2</v>
      </c>
      <c r="R4878">
        <v>-0.99874209999999997</v>
      </c>
      <c r="S4878">
        <v>0.57296749999999996</v>
      </c>
      <c r="T4878">
        <v>-8.1449869999999994E-2</v>
      </c>
      <c r="U4878">
        <v>-3.0267940000000002</v>
      </c>
      <c r="V4878">
        <v>3.7144030000000001E-2</v>
      </c>
      <c r="W4878">
        <v>-1.290526E-2</v>
      </c>
      <c r="X4878">
        <v>0.99922659999999996</v>
      </c>
      <c r="Y4878">
        <v>-0.1912556</v>
      </c>
      <c r="Z4878">
        <v>2.6416599999999998E-2</v>
      </c>
      <c r="AA4878">
        <v>0.98118470000000002</v>
      </c>
      <c r="AB4878">
        <v>21</v>
      </c>
      <c r="AC4878">
        <v>7.8167999999999997</v>
      </c>
      <c r="AD4878">
        <v>-1.111253629358</v>
      </c>
      <c r="AE4878">
        <v>-41.082689999999999</v>
      </c>
      <c r="AF4878">
        <v>-8.0337839124213399</v>
      </c>
      <c r="AG4878">
        <v>-1.111253629358</v>
      </c>
      <c r="AH4878">
        <v>41.010741764189099</v>
      </c>
      <c r="AI4878">
        <v>91.523206623178794</v>
      </c>
      <c r="AJ4878">
        <v>101.08358128026001</v>
      </c>
      <c r="AK4878">
        <v>41.804993824054698</v>
      </c>
      <c r="AL4878">
        <v>90.739437449065704</v>
      </c>
      <c r="AM4878">
        <v>87.871136830362303</v>
      </c>
      <c r="AN4878">
        <v>1.00000001142393</v>
      </c>
    </row>
    <row r="4879" spans="1:40" x14ac:dyDescent="0.25">
      <c r="A4879" t="str">
        <f>"20190312161413738"</f>
        <v>20190312161413738</v>
      </c>
      <c r="B4879" t="str">
        <f>"1552378453731182"</f>
        <v>1552378453731182</v>
      </c>
      <c r="C4879" t="s">
        <v>40</v>
      </c>
      <c r="D4879">
        <v>4.9838690000000003</v>
      </c>
      <c r="E4879">
        <v>0.40943760000000001</v>
      </c>
      <c r="F4879" t="s">
        <v>42</v>
      </c>
      <c r="G4879">
        <v>-412.14449999999999</v>
      </c>
      <c r="H4879" s="1">
        <v>-2.330946E-6</v>
      </c>
      <c r="I4879">
        <v>50.355640000000001</v>
      </c>
      <c r="J4879">
        <v>-421.9862</v>
      </c>
      <c r="K4879">
        <v>1.1112139999999999</v>
      </c>
      <c r="L4879">
        <v>100.7565</v>
      </c>
      <c r="M4879">
        <v>-3.6546149999999999E-3</v>
      </c>
      <c r="N4879">
        <v>0</v>
      </c>
      <c r="O4879">
        <v>-0.99990120000000005</v>
      </c>
      <c r="P4879">
        <v>-4.1040140000000003E-2</v>
      </c>
      <c r="Q4879">
        <v>-2.6876150000000001E-2</v>
      </c>
      <c r="R4879">
        <v>-0.99879620000000002</v>
      </c>
      <c r="S4879">
        <v>0.58877559999999995</v>
      </c>
      <c r="T4879">
        <v>-6.6473009999999999E-2</v>
      </c>
      <c r="U4879">
        <v>-3.0270999999999999</v>
      </c>
      <c r="V4879">
        <v>3.742032E-2</v>
      </c>
      <c r="W4879">
        <v>-1.320909E-2</v>
      </c>
      <c r="X4879">
        <v>0.99921230000000005</v>
      </c>
      <c r="Y4879">
        <v>-0.19446579999999999</v>
      </c>
      <c r="Z4879">
        <v>2.1542479999999999E-2</v>
      </c>
      <c r="AA4879">
        <v>0.98067269999999895</v>
      </c>
      <c r="AB4879">
        <v>21</v>
      </c>
      <c r="AC4879">
        <v>9.8416999999999994</v>
      </c>
      <c r="AD4879">
        <v>-1.1112163309459999</v>
      </c>
      <c r="AE4879">
        <v>-50.400859999999902</v>
      </c>
      <c r="AF4879">
        <v>-10.0211546544915</v>
      </c>
      <c r="AG4879">
        <v>-1.1112163309459999</v>
      </c>
      <c r="AH4879">
        <v>50.3409806919286</v>
      </c>
      <c r="AI4879">
        <v>91.240203485444795</v>
      </c>
      <c r="AJ4879">
        <v>101.25844203812299</v>
      </c>
      <c r="AK4879">
        <v>51.340750670091801</v>
      </c>
      <c r="AL4879">
        <v>90.756847125654502</v>
      </c>
      <c r="AM4879">
        <v>87.855285686354506</v>
      </c>
      <c r="AN4879">
        <v>0.99999999043941001</v>
      </c>
    </row>
    <row r="4880" spans="1:40" x14ac:dyDescent="0.25">
      <c r="A4880" t="str">
        <f>"20190312161413761"</f>
        <v>20190312161413761</v>
      </c>
      <c r="B4880" t="str">
        <f>"1552378453751678"</f>
        <v>1552378453751678</v>
      </c>
      <c r="C4880" t="s">
        <v>40</v>
      </c>
      <c r="D4880">
        <v>5.0353110000000001</v>
      </c>
      <c r="E4880">
        <v>0.40967219999999999</v>
      </c>
      <c r="F4880" t="s">
        <v>42</v>
      </c>
      <c r="G4880">
        <v>-411.1386</v>
      </c>
      <c r="H4880" s="1">
        <v>-4.481322E-6</v>
      </c>
      <c r="I4880">
        <v>45.88814</v>
      </c>
      <c r="J4880">
        <v>-421.98489999999998</v>
      </c>
      <c r="K4880">
        <v>1.1111869999999999</v>
      </c>
      <c r="L4880">
        <v>100.5505</v>
      </c>
      <c r="M4880">
        <v>-1.924362E-3</v>
      </c>
      <c r="N4880">
        <v>0</v>
      </c>
      <c r="O4880">
        <v>-0.99990610000000002</v>
      </c>
      <c r="P4880">
        <v>-3.9588489999999997E-2</v>
      </c>
      <c r="Q4880">
        <v>-2.671424E-2</v>
      </c>
      <c r="R4880">
        <v>-0.99885919999999895</v>
      </c>
      <c r="S4880">
        <v>0.59835819999999995</v>
      </c>
      <c r="T4880">
        <v>-6.129503E-2</v>
      </c>
      <c r="U4880">
        <v>-3.0265499999999999</v>
      </c>
      <c r="V4880">
        <v>3.7695739999999998E-2</v>
      </c>
      <c r="W4880">
        <v>-1.305312E-2</v>
      </c>
      <c r="X4880">
        <v>0.99920399999999998</v>
      </c>
      <c r="Y4880">
        <v>-0.19579840000000001</v>
      </c>
      <c r="Z4880">
        <v>1.986015E-2</v>
      </c>
      <c r="AA4880">
        <v>0.98044310000000001</v>
      </c>
      <c r="AB4880">
        <v>21</v>
      </c>
      <c r="AC4880">
        <v>10.8462999999999</v>
      </c>
      <c r="AD4880">
        <v>-1.1111914813220001</v>
      </c>
      <c r="AE4880">
        <v>-54.66236</v>
      </c>
      <c r="AF4880">
        <v>-10.9471273508421</v>
      </c>
      <c r="AG4880">
        <v>-1.1111914813220001</v>
      </c>
      <c r="AH4880">
        <v>54.6196686751003</v>
      </c>
      <c r="AI4880">
        <v>91.142753901668797</v>
      </c>
      <c r="AJ4880">
        <v>101.333324789008</v>
      </c>
      <c r="AK4880">
        <v>55.716986188427803</v>
      </c>
      <c r="AL4880">
        <v>90.747909930239899</v>
      </c>
      <c r="AM4880">
        <v>87.839497194666194</v>
      </c>
      <c r="AN4880">
        <v>0.99999999318594102</v>
      </c>
    </row>
    <row r="4881" spans="1:40" x14ac:dyDescent="0.25">
      <c r="A4881" t="str">
        <f>"20190312161413783"</f>
        <v>20190312161413783</v>
      </c>
      <c r="B4881" t="str">
        <f>"1552378453771198"</f>
        <v>1552378453771198</v>
      </c>
      <c r="C4881" t="s">
        <v>40</v>
      </c>
      <c r="D4881">
        <v>5.047803</v>
      </c>
      <c r="E4881">
        <v>0.40994259999999899</v>
      </c>
      <c r="F4881" t="s">
        <v>42</v>
      </c>
      <c r="G4881">
        <v>-411.61290000000002</v>
      </c>
      <c r="H4881" s="1">
        <v>-5.2208479999999997E-6</v>
      </c>
      <c r="I4881">
        <v>48.334739999999996</v>
      </c>
      <c r="J4881">
        <v>-421.98329999999999</v>
      </c>
      <c r="K4881">
        <v>1.111157</v>
      </c>
      <c r="L4881">
        <v>100.3473</v>
      </c>
      <c r="M4881">
        <v>-2.6985209999999998E-4</v>
      </c>
      <c r="N4881">
        <v>0</v>
      </c>
      <c r="O4881">
        <v>-0.99990800000000002</v>
      </c>
      <c r="P4881">
        <v>-3.763992E-2</v>
      </c>
      <c r="Q4881">
        <v>-2.567622E-2</v>
      </c>
      <c r="R4881">
        <v>-0.99896189999999996</v>
      </c>
      <c r="S4881">
        <v>0.60098269999999998</v>
      </c>
      <c r="T4881">
        <v>-6.4385289999999998E-2</v>
      </c>
      <c r="U4881">
        <v>-3.0255130000000001</v>
      </c>
      <c r="V4881">
        <v>3.7396690000000003E-2</v>
      </c>
      <c r="W4881">
        <v>-1.202187E-2</v>
      </c>
      <c r="X4881">
        <v>0.99922820000000001</v>
      </c>
      <c r="Y4881">
        <v>-0.19505400000000001</v>
      </c>
      <c r="Z4881">
        <v>2.0867879999999998E-2</v>
      </c>
      <c r="AA4881">
        <v>0.98057050000000001</v>
      </c>
      <c r="AB4881">
        <v>21</v>
      </c>
      <c r="AC4881">
        <v>10.370399999999901</v>
      </c>
      <c r="AD4881">
        <v>-1.1111622208480001</v>
      </c>
      <c r="AE4881">
        <v>-52.012560000000001</v>
      </c>
      <c r="AF4881">
        <v>-10.379880436052799</v>
      </c>
      <c r="AG4881">
        <v>-1.1111622208480001</v>
      </c>
      <c r="AH4881">
        <v>51.986940071503199</v>
      </c>
      <c r="AI4881">
        <v>91.200753030281007</v>
      </c>
      <c r="AJ4881">
        <v>101.291377975312</v>
      </c>
      <c r="AK4881">
        <v>53.024697428140598</v>
      </c>
      <c r="AL4881">
        <v>90.688818993979993</v>
      </c>
      <c r="AM4881">
        <v>87.856672830421303</v>
      </c>
      <c r="AN4881">
        <v>1.0000000167282399</v>
      </c>
    </row>
    <row r="4882" spans="1:40" x14ac:dyDescent="0.25">
      <c r="A4882" t="str">
        <f>"20190312161413806"</f>
        <v>20190312161413806</v>
      </c>
      <c r="B4882" t="str">
        <f>"1552378453801454"</f>
        <v>1552378453801454</v>
      </c>
      <c r="C4882" t="s">
        <v>40</v>
      </c>
      <c r="D4882">
        <v>5.1840719999999996</v>
      </c>
      <c r="E4882">
        <v>0.40956360000000003</v>
      </c>
      <c r="F4882" t="s">
        <v>42</v>
      </c>
      <c r="G4882">
        <v>-411.45859999999999</v>
      </c>
      <c r="H4882" s="1">
        <v>-5.0219400000000004E-6</v>
      </c>
      <c r="I4882">
        <v>47.726959999999998</v>
      </c>
      <c r="J4882">
        <v>-421.98140000000001</v>
      </c>
      <c r="K4882">
        <v>1.111111</v>
      </c>
      <c r="L4882">
        <v>100.1408</v>
      </c>
      <c r="M4882">
        <v>1.3564029999999999E-3</v>
      </c>
      <c r="N4882">
        <v>0</v>
      </c>
      <c r="O4882">
        <v>-0.99990679999999998</v>
      </c>
      <c r="P4882">
        <v>-3.5214889999999999E-2</v>
      </c>
      <c r="Q4882">
        <v>-2.548945E-2</v>
      </c>
      <c r="R4882">
        <v>-0.99905469999999996</v>
      </c>
      <c r="S4882">
        <v>0.60488889999999995</v>
      </c>
      <c r="T4882">
        <v>-6.3862089999999996E-2</v>
      </c>
      <c r="U4882">
        <v>-3.0242610000000001</v>
      </c>
      <c r="V4882">
        <v>3.6595019999999999E-2</v>
      </c>
      <c r="W4882">
        <v>-1.1843289999999999E-2</v>
      </c>
      <c r="X4882">
        <v>0.99926000000000004</v>
      </c>
      <c r="Y4882">
        <v>-0.19475519999999999</v>
      </c>
      <c r="Z4882">
        <v>2.0704770000000001E-2</v>
      </c>
      <c r="AA4882">
        <v>0.98063330000000004</v>
      </c>
      <c r="AB4882">
        <v>21</v>
      </c>
      <c r="AC4882">
        <v>10.5228</v>
      </c>
      <c r="AD4882">
        <v>-1.11111602193999</v>
      </c>
      <c r="AE4882">
        <v>-52.41384</v>
      </c>
      <c r="AF4882">
        <v>-10.4471764742033</v>
      </c>
      <c r="AG4882">
        <v>-1.11111602193999</v>
      </c>
      <c r="AH4882">
        <v>52.405428044246797</v>
      </c>
      <c r="AI4882">
        <v>91.191188472812499</v>
      </c>
      <c r="AJ4882">
        <v>101.27428048900001</v>
      </c>
      <c r="AK4882">
        <v>53.448170816203699</v>
      </c>
      <c r="AL4882">
        <v>90.678586394424102</v>
      </c>
      <c r="AM4882">
        <v>87.902644374517493</v>
      </c>
      <c r="AN4882">
        <v>1.00000000330341</v>
      </c>
    </row>
    <row r="4883" spans="1:40" x14ac:dyDescent="0.25">
      <c r="A4883" t="str">
        <f>"20190312161413828"</f>
        <v>20190312161413828</v>
      </c>
      <c r="B4883" t="str">
        <f>"1552378453821952"</f>
        <v>1552378453821952</v>
      </c>
      <c r="C4883" t="s">
        <v>40</v>
      </c>
      <c r="D4883">
        <v>5.1898949999999999</v>
      </c>
      <c r="E4883">
        <v>0.40988970000000002</v>
      </c>
      <c r="F4883" t="s">
        <v>42</v>
      </c>
      <c r="G4883">
        <v>-411.43700000000001</v>
      </c>
      <c r="H4883" s="1">
        <v>-5.2496840000000003E-6</v>
      </c>
      <c r="I4883">
        <v>48.329219999999999</v>
      </c>
      <c r="J4883">
        <v>-421.97910000000002</v>
      </c>
      <c r="K4883">
        <v>1.1110679999999999</v>
      </c>
      <c r="L4883">
        <v>99.931790000000007</v>
      </c>
      <c r="M4883">
        <v>2.9368110000000001E-3</v>
      </c>
      <c r="N4883">
        <v>0</v>
      </c>
      <c r="O4883">
        <v>-0.99990369999999995</v>
      </c>
      <c r="P4883">
        <v>-3.3111429999999997E-2</v>
      </c>
      <c r="Q4883">
        <v>-2.6127460000000002E-2</v>
      </c>
      <c r="R4883">
        <v>-0.99911030000000001</v>
      </c>
      <c r="S4883">
        <v>0.61520390000000003</v>
      </c>
      <c r="T4883">
        <v>-6.4826850000000005E-2</v>
      </c>
      <c r="U4883">
        <v>-3.022888</v>
      </c>
      <c r="V4883">
        <v>3.6070680000000001E-2</v>
      </c>
      <c r="W4883">
        <v>-1.248987E-2</v>
      </c>
      <c r="X4883">
        <v>0.99927120000000003</v>
      </c>
      <c r="Y4883">
        <v>-0.19650419999999999</v>
      </c>
      <c r="Z4883">
        <v>2.1015949999999999E-2</v>
      </c>
      <c r="AA4883">
        <v>0.98027770000000003</v>
      </c>
      <c r="AB4883">
        <v>21</v>
      </c>
      <c r="AC4883">
        <v>10.5421</v>
      </c>
      <c r="AD4883">
        <v>-1.1110732496839999</v>
      </c>
      <c r="AE4883">
        <v>-51.60257</v>
      </c>
      <c r="AF4883">
        <v>-10.3858716136314</v>
      </c>
      <c r="AG4883">
        <v>-1.1110732496839999</v>
      </c>
      <c r="AH4883">
        <v>51.610342504783397</v>
      </c>
      <c r="AI4883">
        <v>91.209048995896097</v>
      </c>
      <c r="AJ4883">
        <v>101.37802367233</v>
      </c>
      <c r="AK4883">
        <v>52.656702008405802</v>
      </c>
      <c r="AL4883">
        <v>90.715635436778399</v>
      </c>
      <c r="AM4883">
        <v>87.932692547600894</v>
      </c>
      <c r="AN4883">
        <v>1.0000000109788501</v>
      </c>
    </row>
    <row r="4884" spans="1:40" x14ac:dyDescent="0.25">
      <c r="A4884" t="str">
        <f>"20190312161413852"</f>
        <v>20190312161413852</v>
      </c>
      <c r="B4884" t="str">
        <f>"1552378453841470"</f>
        <v>1552378453841470</v>
      </c>
      <c r="C4884" t="s">
        <v>40</v>
      </c>
      <c r="D4884">
        <v>5.1701110000000003</v>
      </c>
      <c r="E4884">
        <v>0.41011320000000001</v>
      </c>
      <c r="F4884" t="s">
        <v>42</v>
      </c>
      <c r="G4884">
        <v>-412.81290000000001</v>
      </c>
      <c r="H4884" s="1">
        <v>-3.8072359999999999E-6</v>
      </c>
      <c r="I4884">
        <v>55.2164199999999</v>
      </c>
      <c r="J4884">
        <v>-421.97660000000002</v>
      </c>
      <c r="K4884">
        <v>1.111013</v>
      </c>
      <c r="L4884">
        <v>99.717320000000001</v>
      </c>
      <c r="M4884">
        <v>4.4714510000000004E-3</v>
      </c>
      <c r="N4884">
        <v>0</v>
      </c>
      <c r="O4884">
        <v>-0.99989799999999995</v>
      </c>
      <c r="P4884">
        <v>-3.1511629999999999E-2</v>
      </c>
      <c r="Q4884">
        <v>-2.6139579999999999E-2</v>
      </c>
      <c r="R4884">
        <v>-0.99916159999999998</v>
      </c>
      <c r="S4884">
        <v>0.61932369999999903</v>
      </c>
      <c r="T4884">
        <v>-7.5070739999999997E-2</v>
      </c>
      <c r="U4884">
        <v>-3.0212400000000001</v>
      </c>
      <c r="V4884">
        <v>3.600283E-2</v>
      </c>
      <c r="W4884">
        <v>-1.251065E-2</v>
      </c>
      <c r="X4884">
        <v>0.99927339999999998</v>
      </c>
      <c r="Y4884">
        <v>-0.19637189999999999</v>
      </c>
      <c r="Z4884">
        <v>2.434484E-2</v>
      </c>
      <c r="AA4884">
        <v>0.98022719999999997</v>
      </c>
      <c r="AB4884">
        <v>21</v>
      </c>
      <c r="AC4884">
        <v>9.1637000000000004</v>
      </c>
      <c r="AD4884">
        <v>-1.111016807236</v>
      </c>
      <c r="AE4884">
        <v>-44.500900000000001</v>
      </c>
      <c r="AF4884">
        <v>-8.9592492532426604</v>
      </c>
      <c r="AG4884">
        <v>-1.111016807236</v>
      </c>
      <c r="AH4884">
        <v>44.514816040622797</v>
      </c>
      <c r="AI4884">
        <v>91.4016173142669</v>
      </c>
      <c r="AJ4884">
        <v>101.379575821914</v>
      </c>
      <c r="AK4884">
        <v>45.421045261620499</v>
      </c>
      <c r="AL4884">
        <v>90.716826126731803</v>
      </c>
      <c r="AM4884">
        <v>87.936582387432296</v>
      </c>
      <c r="AN4884">
        <v>1.00000002403949</v>
      </c>
    </row>
    <row r="4885" spans="1:40" x14ac:dyDescent="0.25">
      <c r="A4885" t="str">
        <f>"20190312161413874"</f>
        <v>20190312161413874</v>
      </c>
      <c r="B4885" t="str">
        <f>"1552378453860990"</f>
        <v>1552378453860990</v>
      </c>
      <c r="C4885" t="s">
        <v>40</v>
      </c>
      <c r="D4885">
        <v>5.1776210000000003</v>
      </c>
      <c r="E4885">
        <v>0.41007300000000002</v>
      </c>
      <c r="F4885" t="s">
        <v>42</v>
      </c>
      <c r="G4885">
        <v>-413.68130000000002</v>
      </c>
      <c r="H4885" s="1">
        <v>-5.3416309999999996E-6</v>
      </c>
      <c r="I4885">
        <v>59.471580000000003</v>
      </c>
      <c r="J4885">
        <v>-421.97410000000002</v>
      </c>
      <c r="K4885">
        <v>1.1109709999999999</v>
      </c>
      <c r="L4885">
        <v>99.517430000000004</v>
      </c>
      <c r="M4885">
        <v>5.8363590000000002E-3</v>
      </c>
      <c r="N4885">
        <v>0</v>
      </c>
      <c r="O4885">
        <v>-0.99989090000000003</v>
      </c>
      <c r="P4885">
        <v>-3.0189770000000001E-2</v>
      </c>
      <c r="Q4885">
        <v>-2.5950270000000001E-2</v>
      </c>
      <c r="R4885">
        <v>-0.99920750000000003</v>
      </c>
      <c r="S4885">
        <v>0.62246699999999999</v>
      </c>
      <c r="T4885">
        <v>-8.3369369999999998E-2</v>
      </c>
      <c r="U4885">
        <v>-3.0199889999999998</v>
      </c>
      <c r="V4885">
        <v>3.6043169999999999E-2</v>
      </c>
      <c r="W4885">
        <v>-1.2329039999999999E-2</v>
      </c>
      <c r="X4885">
        <v>0.9992742</v>
      </c>
      <c r="Y4885">
        <v>-0.19607820000000001</v>
      </c>
      <c r="Z4885">
        <v>2.7042790000000001E-2</v>
      </c>
      <c r="AA4885">
        <v>0.98021530000000001</v>
      </c>
      <c r="AB4885">
        <v>21</v>
      </c>
      <c r="AC4885">
        <v>8.2927999999999997</v>
      </c>
      <c r="AD4885">
        <v>-1.1109763416309999</v>
      </c>
      <c r="AE4885">
        <v>-40.045850000000002</v>
      </c>
      <c r="AF4885">
        <v>-8.0529721282341402</v>
      </c>
      <c r="AG4885">
        <v>-1.1109763416309999</v>
      </c>
      <c r="AH4885">
        <v>40.064004631350798</v>
      </c>
      <c r="AI4885">
        <v>91.557275747732206</v>
      </c>
      <c r="AJ4885">
        <v>101.36516131052301</v>
      </c>
      <c r="AK4885">
        <v>40.880424357272503</v>
      </c>
      <c r="AL4885">
        <v>90.706419839927094</v>
      </c>
      <c r="AM4885">
        <v>87.934274049351401</v>
      </c>
      <c r="AN4885">
        <v>1.0000000210583</v>
      </c>
    </row>
    <row r="4886" spans="1:40" x14ac:dyDescent="0.25">
      <c r="A4886" t="str">
        <f>"20190312161413895"</f>
        <v>20190312161413895</v>
      </c>
      <c r="B4886" t="str">
        <f>"1552378453891246"</f>
        <v>1552378453891246</v>
      </c>
      <c r="C4886" t="s">
        <v>40</v>
      </c>
      <c r="D4886">
        <v>5.1962640000000002</v>
      </c>
      <c r="E4886">
        <v>0.40993429999999997</v>
      </c>
      <c r="F4886" t="s">
        <v>42</v>
      </c>
      <c r="G4886">
        <v>-413.91480000000001</v>
      </c>
      <c r="H4886" s="1">
        <v>-1.974764E-6</v>
      </c>
      <c r="I4886">
        <v>60.693159999999999</v>
      </c>
      <c r="J4886">
        <v>-421.97140000000002</v>
      </c>
      <c r="K4886">
        <v>1.110927</v>
      </c>
      <c r="L4886">
        <v>99.32141</v>
      </c>
      <c r="M4886">
        <v>7.1036299999999997E-3</v>
      </c>
      <c r="N4886">
        <v>0</v>
      </c>
      <c r="O4886">
        <v>-0.99988279999999996</v>
      </c>
      <c r="P4886">
        <v>-2.9295640000000001E-2</v>
      </c>
      <c r="Q4886">
        <v>-2.5680100000000001E-2</v>
      </c>
      <c r="R4886">
        <v>-0.99924100000000005</v>
      </c>
      <c r="S4886">
        <v>0.62670899999999996</v>
      </c>
      <c r="T4886">
        <v>-8.6392049999999998E-2</v>
      </c>
      <c r="U4886">
        <v>-3.0190730000000001</v>
      </c>
      <c r="V4886">
        <v>3.6413609999999999E-2</v>
      </c>
      <c r="W4886">
        <v>-1.20661E-2</v>
      </c>
      <c r="X4886">
        <v>0.99926389999999998</v>
      </c>
      <c r="Y4886">
        <v>-0.1962093</v>
      </c>
      <c r="Z4886">
        <v>2.8026140000000001E-2</v>
      </c>
      <c r="AA4886">
        <v>0.98016139999999996</v>
      </c>
      <c r="AB4886">
        <v>21</v>
      </c>
      <c r="AC4886">
        <v>8.0565999999999995</v>
      </c>
      <c r="AD4886">
        <v>-1.1109289747640001</v>
      </c>
      <c r="AE4886">
        <v>-38.628250000000001</v>
      </c>
      <c r="AF4886">
        <v>-7.7758073227618603</v>
      </c>
      <c r="AG4886">
        <v>-1.1109289747640001</v>
      </c>
      <c r="AH4886">
        <v>38.653873380678696</v>
      </c>
      <c r="AI4886">
        <v>91.613937779423907</v>
      </c>
      <c r="AJ4886">
        <v>101.374101622151</v>
      </c>
      <c r="AK4886">
        <v>39.443874936892598</v>
      </c>
      <c r="AL4886">
        <v>90.69135342189</v>
      </c>
      <c r="AM4886">
        <v>87.913040374083806</v>
      </c>
      <c r="AN4886">
        <v>0.99999994180282403</v>
      </c>
    </row>
    <row r="4887" spans="1:40" x14ac:dyDescent="0.25">
      <c r="A4887" t="str">
        <f>"20190312161413919"</f>
        <v>20190312161413919</v>
      </c>
      <c r="B4887" t="str">
        <f>"1552378453911742"</f>
        <v>1552378453911742</v>
      </c>
      <c r="C4887" t="s">
        <v>40</v>
      </c>
      <c r="D4887">
        <v>5.2277089999999999</v>
      </c>
      <c r="E4887">
        <v>0.40990529999999997</v>
      </c>
      <c r="F4887" t="s">
        <v>42</v>
      </c>
      <c r="G4887">
        <v>-414.14359999999999</v>
      </c>
      <c r="H4887" s="1">
        <v>-2.3093800000000002E-6</v>
      </c>
      <c r="I4887">
        <v>61.855350000000001</v>
      </c>
      <c r="J4887">
        <v>-421.9683</v>
      </c>
      <c r="K4887">
        <v>1.1108709999999999</v>
      </c>
      <c r="L4887">
        <v>99.106449999999995</v>
      </c>
      <c r="M4887">
        <v>8.3913059999999994E-3</v>
      </c>
      <c r="N4887">
        <v>0</v>
      </c>
      <c r="O4887">
        <v>-0.99987300000000001</v>
      </c>
      <c r="P4887">
        <v>-2.928012E-2</v>
      </c>
      <c r="Q4887">
        <v>-2.6014470000000001E-2</v>
      </c>
      <c r="R4887">
        <v>-0.99923280000000003</v>
      </c>
      <c r="S4887">
        <v>0.63064580000000003</v>
      </c>
      <c r="T4887">
        <v>-8.9502330000000005E-2</v>
      </c>
      <c r="U4887">
        <v>-3.0184630000000001</v>
      </c>
      <c r="V4887">
        <v>3.7683399999999999E-2</v>
      </c>
      <c r="W4887">
        <v>-1.24084E-2</v>
      </c>
      <c r="X4887">
        <v>0.99921269999999995</v>
      </c>
      <c r="Y4887">
        <v>-0.1962054</v>
      </c>
      <c r="Z4887">
        <v>2.9035789999999999E-2</v>
      </c>
      <c r="AA4887">
        <v>0.98013280000000003</v>
      </c>
      <c r="AB4887">
        <v>21</v>
      </c>
      <c r="AC4887">
        <v>7.8247</v>
      </c>
      <c r="AD4887">
        <v>-1.1108733093799901</v>
      </c>
      <c r="AE4887">
        <v>-37.251100000000001</v>
      </c>
      <c r="AF4887">
        <v>-7.50541783278541</v>
      </c>
      <c r="AG4887">
        <v>-1.1108733093799901</v>
      </c>
      <c r="AH4887">
        <v>37.283698247989598</v>
      </c>
      <c r="AI4887">
        <v>91.673087579842004</v>
      </c>
      <c r="AJ4887">
        <v>101.381843487981</v>
      </c>
      <c r="AK4887">
        <v>38.047857908183602</v>
      </c>
      <c r="AL4887">
        <v>90.710967186167096</v>
      </c>
      <c r="AM4887">
        <v>87.840222569742593</v>
      </c>
      <c r="AN4887">
        <v>1.0000000134336999</v>
      </c>
    </row>
    <row r="4888" spans="1:40" x14ac:dyDescent="0.25">
      <c r="A4888" t="str">
        <f>"20190312161413939"</f>
        <v>20190312161413939</v>
      </c>
      <c r="B4888" t="str">
        <f>"1552378453931669"</f>
        <v>1552378453931669</v>
      </c>
      <c r="C4888" t="s">
        <v>40</v>
      </c>
      <c r="D4888">
        <v>5.26417</v>
      </c>
      <c r="E4888">
        <v>0.41000239999999999</v>
      </c>
      <c r="F4888" t="s">
        <v>42</v>
      </c>
      <c r="G4888">
        <v>-414.52789999999999</v>
      </c>
      <c r="H4888" s="1">
        <v>-2.7771480000000001E-6</v>
      </c>
      <c r="I4888">
        <v>63.530329999999999</v>
      </c>
      <c r="J4888">
        <v>-421.96519999999998</v>
      </c>
      <c r="K4888">
        <v>1.1108150000000001</v>
      </c>
      <c r="L4888">
        <v>98.91028</v>
      </c>
      <c r="M4888">
        <v>9.4622760000000004E-3</v>
      </c>
      <c r="N4888">
        <v>0</v>
      </c>
      <c r="O4888">
        <v>-0.99986330000000001</v>
      </c>
      <c r="P4888">
        <v>-2.9968120000000001E-2</v>
      </c>
      <c r="Q4888">
        <v>-2.580081E-2</v>
      </c>
      <c r="R4888">
        <v>-0.99921780000000004</v>
      </c>
      <c r="S4888">
        <v>0.63125609999999999</v>
      </c>
      <c r="T4888">
        <v>-9.4248529999999997E-2</v>
      </c>
      <c r="U4888">
        <v>-3.0183409999999999</v>
      </c>
      <c r="V4888">
        <v>3.943907E-2</v>
      </c>
      <c r="W4888">
        <v>-1.220268E-2</v>
      </c>
      <c r="X4888">
        <v>0.99914749999999997</v>
      </c>
      <c r="Y4888">
        <v>-0.1953434</v>
      </c>
      <c r="Z4888">
        <v>3.0576889999999999E-2</v>
      </c>
      <c r="AA4888">
        <v>0.98025810000000002</v>
      </c>
      <c r="AB4888">
        <v>21</v>
      </c>
      <c r="AC4888">
        <v>7.4372999999999898</v>
      </c>
      <c r="AD4888">
        <v>-1.1108177771479999</v>
      </c>
      <c r="AE4888">
        <v>-35.379949999999901</v>
      </c>
      <c r="AF4888">
        <v>-7.0954629278165502</v>
      </c>
      <c r="AG4888">
        <v>-1.1108177771479999</v>
      </c>
      <c r="AH4888">
        <v>35.415312466254498</v>
      </c>
      <c r="AI4888">
        <v>91.761536202078901</v>
      </c>
      <c r="AJ4888">
        <v>101.329221302953</v>
      </c>
      <c r="AK4888">
        <v>36.136185014144502</v>
      </c>
      <c r="AL4888">
        <v>90.699179390101605</v>
      </c>
      <c r="AM4888">
        <v>87.739553219834207</v>
      </c>
      <c r="AN4888">
        <v>1.0000000361989401</v>
      </c>
    </row>
    <row r="4889" spans="1:40" x14ac:dyDescent="0.25">
      <c r="A4889" t="str">
        <f>"20190312161413961"</f>
        <v>20190312161413961</v>
      </c>
      <c r="B4889" t="str">
        <f>"1552378453951172"</f>
        <v>1552378453951172</v>
      </c>
      <c r="C4889" t="s">
        <v>40</v>
      </c>
      <c r="D4889">
        <v>5.287693</v>
      </c>
      <c r="E4889">
        <v>0.41009119999999999</v>
      </c>
      <c r="F4889" t="s">
        <v>42</v>
      </c>
      <c r="G4889">
        <v>-414.83179999999999</v>
      </c>
      <c r="H4889" s="1">
        <v>-3.0781370000000002E-6</v>
      </c>
      <c r="I4889">
        <v>64.652459999999905</v>
      </c>
      <c r="J4889">
        <v>-421.9622</v>
      </c>
      <c r="K4889">
        <v>1.1107499999999999</v>
      </c>
      <c r="L4889">
        <v>98.712069999999997</v>
      </c>
      <c r="M4889">
        <v>1.0434870000000001E-2</v>
      </c>
      <c r="N4889">
        <v>0</v>
      </c>
      <c r="O4889">
        <v>-0.99985400000000002</v>
      </c>
      <c r="P4889">
        <v>-2.9999419999999999E-2</v>
      </c>
      <c r="Q4889">
        <v>-2.579358E-2</v>
      </c>
      <c r="R4889">
        <v>-0.99921749999999998</v>
      </c>
      <c r="S4889">
        <v>0.62857059999999998</v>
      </c>
      <c r="T4889">
        <v>-9.7881319999999994E-2</v>
      </c>
      <c r="U4889">
        <v>-3.0186769999999998</v>
      </c>
      <c r="V4889">
        <v>4.0439830000000003E-2</v>
      </c>
      <c r="W4889">
        <v>-1.22056E-2</v>
      </c>
      <c r="X4889">
        <v>0.99910739999999998</v>
      </c>
      <c r="Y4889">
        <v>-0.1935241</v>
      </c>
      <c r="Z4889">
        <v>3.1759000000000003E-2</v>
      </c>
      <c r="AA4889">
        <v>0.98058129999999999</v>
      </c>
      <c r="AB4889">
        <v>20</v>
      </c>
      <c r="AC4889">
        <v>7.1303999999999998</v>
      </c>
      <c r="AD4889">
        <v>-1.1107530781370001</v>
      </c>
      <c r="AE4889">
        <v>-34.059609999999999</v>
      </c>
      <c r="AF4889">
        <v>-6.7676760617607501</v>
      </c>
      <c r="AG4889">
        <v>-1.1107530781370001</v>
      </c>
      <c r="AH4889">
        <v>34.097425409388897</v>
      </c>
      <c r="AI4889">
        <v>91.830124441904402</v>
      </c>
      <c r="AJ4889">
        <v>101.226198887452</v>
      </c>
      <c r="AK4889">
        <v>34.780305220431302</v>
      </c>
      <c r="AL4889">
        <v>90.699346747895007</v>
      </c>
      <c r="AM4889">
        <v>87.682163607115996</v>
      </c>
      <c r="AN4889">
        <v>0.999999976628274</v>
      </c>
    </row>
    <row r="4890" spans="1:40" x14ac:dyDescent="0.25">
      <c r="A4890" t="str">
        <f>"20190312161413986"</f>
        <v>20190312161413986</v>
      </c>
      <c r="B4890" t="str">
        <f>"1552378453981430"</f>
        <v>1552378453981430</v>
      </c>
      <c r="C4890" t="s">
        <v>40</v>
      </c>
      <c r="D4890">
        <v>5.3130519999999999</v>
      </c>
      <c r="E4890">
        <v>0.41013539999999998</v>
      </c>
      <c r="F4890" t="s">
        <v>42</v>
      </c>
      <c r="G4890">
        <v>-415.12040000000002</v>
      </c>
      <c r="H4890" s="1">
        <v>-3.5153270000000001E-6</v>
      </c>
      <c r="I4890">
        <v>65.809430000000006</v>
      </c>
      <c r="J4890">
        <v>-421.95859999999999</v>
      </c>
      <c r="K4890">
        <v>1.1106720000000001</v>
      </c>
      <c r="L4890">
        <v>98.49503</v>
      </c>
      <c r="M4890">
        <v>1.136552E-2</v>
      </c>
      <c r="N4890">
        <v>0</v>
      </c>
      <c r="O4890">
        <v>-0.9998435</v>
      </c>
      <c r="P4890">
        <v>-3.0593740000000001E-2</v>
      </c>
      <c r="Q4890">
        <v>-2.6060070000000001E-2</v>
      </c>
      <c r="R4890">
        <v>-0.99919210000000003</v>
      </c>
      <c r="S4890">
        <v>0.62768550000000001</v>
      </c>
      <c r="T4890">
        <v>-0.1019038</v>
      </c>
      <c r="U4890">
        <v>-3.0185849999999999</v>
      </c>
      <c r="V4890">
        <v>4.1961150000000003E-2</v>
      </c>
      <c r="W4890">
        <v>-1.2484459999999999E-2</v>
      </c>
      <c r="X4890">
        <v>0.99904130000000002</v>
      </c>
      <c r="Y4890">
        <v>-0.19233249999999999</v>
      </c>
      <c r="Z4890">
        <v>3.306808E-2</v>
      </c>
      <c r="AA4890">
        <v>0.98077250000000005</v>
      </c>
      <c r="AB4890">
        <v>20</v>
      </c>
      <c r="AC4890">
        <v>6.8381999999999703</v>
      </c>
      <c r="AD4890">
        <v>-1.11067551532699</v>
      </c>
      <c r="AE4890">
        <v>-32.685599999999901</v>
      </c>
      <c r="AF4890">
        <v>-6.4590898292446397</v>
      </c>
      <c r="AG4890">
        <v>-1.11067551532699</v>
      </c>
      <c r="AH4890">
        <v>32.725012956317201</v>
      </c>
      <c r="AI4890">
        <v>91.907088462171799</v>
      </c>
      <c r="AJ4890">
        <v>101.165226807135</v>
      </c>
      <c r="AK4890">
        <v>33.374839542891102</v>
      </c>
      <c r="AL4890">
        <v>90.715325407750399</v>
      </c>
      <c r="AM4890">
        <v>87.594909709970494</v>
      </c>
      <c r="AN4890">
        <v>1.0000000594782501</v>
      </c>
    </row>
    <row r="4891" spans="1:40" x14ac:dyDescent="0.25">
      <c r="A4891" t="str">
        <f>"20190312161414007"</f>
        <v>20190312161414007</v>
      </c>
      <c r="B4891" t="str">
        <f>"1552378454000949"</f>
        <v>1552378454000949</v>
      </c>
      <c r="C4891" t="s">
        <v>40</v>
      </c>
      <c r="D4891">
        <v>5.3072220000000003</v>
      </c>
      <c r="E4891">
        <v>0.41028130000000002</v>
      </c>
      <c r="F4891" t="s">
        <v>42</v>
      </c>
      <c r="G4891">
        <v>-415.47050000000002</v>
      </c>
      <c r="H4891" s="1">
        <v>-4.0469589999999999E-6</v>
      </c>
      <c r="I4891">
        <v>67.193449999999999</v>
      </c>
      <c r="J4891">
        <v>-421.95549999999997</v>
      </c>
      <c r="K4891">
        <v>1.1105969999999901</v>
      </c>
      <c r="L4891">
        <v>98.298429999999996</v>
      </c>
      <c r="M4891">
        <v>1.2072889999999999E-2</v>
      </c>
      <c r="N4891">
        <v>0</v>
      </c>
      <c r="O4891">
        <v>-0.99983549999999999</v>
      </c>
      <c r="P4891">
        <v>-3.1470140000000001E-2</v>
      </c>
      <c r="Q4891">
        <v>-2.557955E-2</v>
      </c>
      <c r="R4891">
        <v>-0.99917719999999999</v>
      </c>
      <c r="S4891">
        <v>0.62573239999999997</v>
      </c>
      <c r="T4891">
        <v>-0.10711619999999999</v>
      </c>
      <c r="U4891">
        <v>-3.018799</v>
      </c>
      <c r="V4891">
        <v>4.3540950000000002E-2</v>
      </c>
      <c r="W4891">
        <v>-1.2015990000000001E-2</v>
      </c>
      <c r="X4891">
        <v>0.99897939999999996</v>
      </c>
      <c r="Y4891">
        <v>-0.19100429999999999</v>
      </c>
      <c r="Z4891">
        <v>3.4761470000000003E-2</v>
      </c>
      <c r="AA4891">
        <v>0.98097350000000005</v>
      </c>
      <c r="AB4891">
        <v>20</v>
      </c>
      <c r="AC4891">
        <v>6.4849999999999497</v>
      </c>
      <c r="AD4891">
        <v>-1.11060104695899</v>
      </c>
      <c r="AE4891">
        <v>-31.104980000000001</v>
      </c>
      <c r="AF4891">
        <v>-6.1015114386734703</v>
      </c>
      <c r="AG4891">
        <v>-1.11060104695899</v>
      </c>
      <c r="AH4891">
        <v>31.142964021376802</v>
      </c>
      <c r="AI4891">
        <v>92.004308104583302</v>
      </c>
      <c r="AJ4891">
        <v>101.084949358557</v>
      </c>
      <c r="AK4891">
        <v>31.754465584521199</v>
      </c>
      <c r="AL4891">
        <v>90.6884820682249</v>
      </c>
      <c r="AM4891">
        <v>87.504318164874505</v>
      </c>
      <c r="AN4891">
        <v>1.00000001998347</v>
      </c>
    </row>
    <row r="4892" spans="1:40" x14ac:dyDescent="0.25">
      <c r="A4892" t="str">
        <f>"20190312161414031"</f>
        <v>20190312161414031</v>
      </c>
      <c r="B4892" t="str">
        <f>"1552378454021444"</f>
        <v>1552378454021444</v>
      </c>
      <c r="C4892" t="s">
        <v>40</v>
      </c>
      <c r="D4892">
        <v>5.3215729999999999</v>
      </c>
      <c r="E4892">
        <v>0.41028540000000002</v>
      </c>
      <c r="F4892" t="s">
        <v>42</v>
      </c>
      <c r="G4892">
        <v>-415.62259999999998</v>
      </c>
      <c r="H4892" s="1">
        <v>-4.1744329999999996E-6</v>
      </c>
      <c r="I4892">
        <v>67.553469999999905</v>
      </c>
      <c r="J4892">
        <v>-421.95209999999997</v>
      </c>
      <c r="K4892">
        <v>1.110511</v>
      </c>
      <c r="L4892">
        <v>98.088470000000001</v>
      </c>
      <c r="M4892">
        <v>1.2669150000000001E-2</v>
      </c>
      <c r="N4892">
        <v>0</v>
      </c>
      <c r="O4892">
        <v>-0.99982819999999994</v>
      </c>
      <c r="P4892">
        <v>-3.2431809999999998E-2</v>
      </c>
      <c r="Q4892">
        <v>-2.464413E-2</v>
      </c>
      <c r="R4892">
        <v>-0.99917009999999995</v>
      </c>
      <c r="S4892">
        <v>0.62191770000000002</v>
      </c>
      <c r="T4892">
        <v>-0.1090647</v>
      </c>
      <c r="U4892">
        <v>-3.0192570000000001</v>
      </c>
      <c r="V4892">
        <v>4.5094830000000002E-2</v>
      </c>
      <c r="W4892">
        <v>-1.109432E-2</v>
      </c>
      <c r="X4892">
        <v>0.99892110000000001</v>
      </c>
      <c r="Y4892">
        <v>-0.1891958</v>
      </c>
      <c r="Z4892">
        <v>3.5398069999999997E-2</v>
      </c>
      <c r="AA4892">
        <v>0.98130110000000004</v>
      </c>
      <c r="AB4892">
        <v>20</v>
      </c>
      <c r="AC4892">
        <v>6.3294999999999897</v>
      </c>
      <c r="AD4892">
        <v>-1.110515174433</v>
      </c>
      <c r="AE4892">
        <v>-30.535</v>
      </c>
      <c r="AF4892">
        <v>-5.9345778752016498</v>
      </c>
      <c r="AG4892">
        <v>-1.110515174433</v>
      </c>
      <c r="AH4892">
        <v>30.573972211790299</v>
      </c>
      <c r="AI4892">
        <v>92.042115123634005</v>
      </c>
      <c r="AJ4892">
        <v>100.984830167296</v>
      </c>
      <c r="AK4892">
        <v>31.164406545236901</v>
      </c>
      <c r="AL4892">
        <v>90.635670755818097</v>
      </c>
      <c r="AM4892">
        <v>87.415220872220402</v>
      </c>
      <c r="AN4892">
        <v>0.99999999582709997</v>
      </c>
    </row>
    <row r="4893" spans="1:40" x14ac:dyDescent="0.25">
      <c r="A4893" t="str">
        <f>"20190312161414053"</f>
        <v>20190312161414053</v>
      </c>
      <c r="B4893" t="str">
        <f>"1552378454040964"</f>
        <v>1552378454040964</v>
      </c>
      <c r="C4893" t="s">
        <v>40</v>
      </c>
      <c r="D4893">
        <v>5.565963</v>
      </c>
      <c r="E4893">
        <v>0.41065069999999998</v>
      </c>
      <c r="F4893" t="s">
        <v>42</v>
      </c>
      <c r="G4893">
        <v>-415.60050000000001</v>
      </c>
      <c r="H4893" s="1">
        <v>-3.98184E-6</v>
      </c>
      <c r="I4893">
        <v>67.095410000000001</v>
      </c>
      <c r="J4893">
        <v>-421.94900000000001</v>
      </c>
      <c r="K4893">
        <v>1.1104229999999999</v>
      </c>
      <c r="L4893">
        <v>97.884429999999995</v>
      </c>
      <c r="M4893">
        <v>1.30946E-2</v>
      </c>
      <c r="N4893">
        <v>0</v>
      </c>
      <c r="O4893">
        <v>-0.99982260000000001</v>
      </c>
      <c r="P4893">
        <v>-3.3347839999999997E-2</v>
      </c>
      <c r="Q4893">
        <v>-2.3837839999999999E-2</v>
      </c>
      <c r="R4893">
        <v>-0.99915960000000004</v>
      </c>
      <c r="S4893">
        <v>0.61889649999999996</v>
      </c>
      <c r="T4893">
        <v>-0.10820730000000001</v>
      </c>
      <c r="U4893">
        <v>-3.0199280000000002</v>
      </c>
      <c r="V4893">
        <v>4.6432969999999997E-2</v>
      </c>
      <c r="W4893">
        <v>-1.030149E-2</v>
      </c>
      <c r="X4893">
        <v>0.99886830000000004</v>
      </c>
      <c r="Y4893">
        <v>-0.18779470000000001</v>
      </c>
      <c r="Z4893">
        <v>3.5120480000000003E-2</v>
      </c>
      <c r="AA4893">
        <v>0.98158020000000001</v>
      </c>
      <c r="AB4893">
        <v>20</v>
      </c>
      <c r="AC4893">
        <v>6.3484999999999996</v>
      </c>
      <c r="AD4893">
        <v>-1.1104269818400001</v>
      </c>
      <c r="AE4893">
        <v>-30.789020000000001</v>
      </c>
      <c r="AF4893">
        <v>-5.9373407933896596</v>
      </c>
      <c r="AG4893">
        <v>-1.1104269818400001</v>
      </c>
      <c r="AH4893">
        <v>30.831050917174501</v>
      </c>
      <c r="AI4893">
        <v>92.025517492882102</v>
      </c>
      <c r="AJ4893">
        <v>100.900387399577</v>
      </c>
      <c r="AK4893">
        <v>31.4171730815529</v>
      </c>
      <c r="AL4893">
        <v>90.590242332962703</v>
      </c>
      <c r="AM4893">
        <v>87.338488579082593</v>
      </c>
      <c r="AN4893">
        <v>1.0000000110720599</v>
      </c>
    </row>
    <row r="4894" spans="1:40" x14ac:dyDescent="0.25">
      <c r="A4894" t="str">
        <f>"20190312161414075"</f>
        <v>20190312161414075</v>
      </c>
      <c r="B4894" t="str">
        <f>"1552378454071221"</f>
        <v>1552378454071221</v>
      </c>
      <c r="C4894" t="s">
        <v>40</v>
      </c>
      <c r="D4894">
        <v>5.4996960000000001</v>
      </c>
      <c r="E4894">
        <v>0.4670609</v>
      </c>
      <c r="F4894" t="s">
        <v>42</v>
      </c>
      <c r="G4894">
        <v>-415.51150000000001</v>
      </c>
      <c r="H4894" s="1">
        <v>-3.6011230000000001E-6</v>
      </c>
      <c r="I4894">
        <v>66.171139999999994</v>
      </c>
      <c r="J4894">
        <v>-421.94600000000003</v>
      </c>
      <c r="K4894">
        <v>1.110347</v>
      </c>
      <c r="L4894">
        <v>97.687439999999995</v>
      </c>
      <c r="M4894">
        <v>1.339068E-2</v>
      </c>
      <c r="N4894">
        <v>0</v>
      </c>
      <c r="O4894">
        <v>-0.99981900000000001</v>
      </c>
      <c r="P4894">
        <v>-3.3929769999999998E-2</v>
      </c>
      <c r="Q4894">
        <v>-2.45334E-2</v>
      </c>
      <c r="R4894">
        <v>-0.99912350000000005</v>
      </c>
      <c r="S4894">
        <v>0.61312869999999997</v>
      </c>
      <c r="T4894">
        <v>-0.1057607</v>
      </c>
      <c r="U4894">
        <v>-3.0204770000000001</v>
      </c>
      <c r="V4894">
        <v>4.7308370000000002E-2</v>
      </c>
      <c r="W4894">
        <v>-1.1009049999999999E-2</v>
      </c>
      <c r="X4894">
        <v>0.99881960000000003</v>
      </c>
      <c r="Y4894">
        <v>-0.18567420000000001</v>
      </c>
      <c r="Z4894">
        <v>3.4334499999999997E-2</v>
      </c>
      <c r="AA4894">
        <v>0.98201130000000003</v>
      </c>
      <c r="AB4894">
        <v>20</v>
      </c>
      <c r="AC4894">
        <v>6.4344999999999501</v>
      </c>
      <c r="AD4894">
        <v>-1.110350601123</v>
      </c>
      <c r="AE4894">
        <v>-31.516300000000001</v>
      </c>
      <c r="AF4894">
        <v>-6.0047048081496301</v>
      </c>
      <c r="AG4894">
        <v>-1.110350601123</v>
      </c>
      <c r="AH4894">
        <v>31.5620360453761</v>
      </c>
      <c r="AI4894">
        <v>91.979356889762101</v>
      </c>
      <c r="AJ4894">
        <v>100.77183941282701</v>
      </c>
      <c r="AK4894">
        <v>32.147340132895103</v>
      </c>
      <c r="AL4894">
        <v>90.630784883269399</v>
      </c>
      <c r="AM4894">
        <v>87.288253335169301</v>
      </c>
      <c r="AN4894">
        <v>0.999999937199057</v>
      </c>
    </row>
    <row r="4895" spans="1:40" x14ac:dyDescent="0.25">
      <c r="A4895" t="str">
        <f>"20190312161414097"</f>
        <v>20190312161414097</v>
      </c>
      <c r="B4895" t="str">
        <f>"1552378454091717"</f>
        <v>1552378454091717</v>
      </c>
      <c r="C4895" t="s">
        <v>40</v>
      </c>
      <c r="D4895">
        <v>5.4768829999999999</v>
      </c>
      <c r="E4895">
        <v>0.47084599999999999</v>
      </c>
      <c r="F4895" t="s">
        <v>77</v>
      </c>
      <c r="G4895">
        <v>-418.52519999999998</v>
      </c>
      <c r="H4895" s="1">
        <v>-4.1053310000000001E-6</v>
      </c>
      <c r="I4895">
        <v>33.416919999999998</v>
      </c>
      <c r="J4895">
        <v>-421.94290000000001</v>
      </c>
      <c r="K4895">
        <v>1.110274</v>
      </c>
      <c r="L4895">
        <v>97.483519999999999</v>
      </c>
      <c r="M4895">
        <v>1.358492E-2</v>
      </c>
      <c r="N4895">
        <v>0</v>
      </c>
      <c r="O4895">
        <v>-0.99981640000000005</v>
      </c>
      <c r="P4895">
        <v>-3.336368E-2</v>
      </c>
      <c r="Q4895">
        <v>-2.5611910000000002E-2</v>
      </c>
      <c r="R4895">
        <v>-0.99911530000000004</v>
      </c>
      <c r="S4895">
        <v>0.16003419999999999</v>
      </c>
      <c r="T4895">
        <v>-5.1945690000000003E-2</v>
      </c>
      <c r="U4895">
        <v>-3.0067750000000002</v>
      </c>
      <c r="V4895">
        <v>4.693452E-2</v>
      </c>
      <c r="W4895">
        <v>-1.209811E-2</v>
      </c>
      <c r="X4895">
        <v>0.99882470000000001</v>
      </c>
      <c r="Y4895">
        <v>-3.9569529999999999E-2</v>
      </c>
      <c r="Z4895">
        <v>1.7252279999999998E-2</v>
      </c>
      <c r="AA4895">
        <v>0.99906779999999995</v>
      </c>
      <c r="AB4895">
        <v>20</v>
      </c>
      <c r="AC4895">
        <v>3.4177000000000199</v>
      </c>
      <c r="AD4895">
        <v>-1.110278105331</v>
      </c>
      <c r="AE4895">
        <v>-64.066599999999994</v>
      </c>
      <c r="AF4895">
        <v>-2.5462029101422599</v>
      </c>
      <c r="AG4895">
        <v>-1.110278105331</v>
      </c>
      <c r="AH4895">
        <v>64.087927347700003</v>
      </c>
      <c r="AI4895">
        <v>90.991727415928693</v>
      </c>
      <c r="AJ4895">
        <v>92.275155406378104</v>
      </c>
      <c r="AK4895">
        <v>64.148096608199296</v>
      </c>
      <c r="AL4895">
        <v>90.693187555249196</v>
      </c>
      <c r="AM4895">
        <v>87.309664768405995</v>
      </c>
      <c r="AN4895">
        <v>0.99999999738164602</v>
      </c>
    </row>
    <row r="4896" spans="1:40" x14ac:dyDescent="0.25">
      <c r="A4896" t="str">
        <f>"20190312161414120"</f>
        <v>20190312161414120</v>
      </c>
      <c r="B4896" t="str">
        <f>"1552378454111236"</f>
        <v>1552378454111236</v>
      </c>
      <c r="C4896" t="s">
        <v>40</v>
      </c>
      <c r="D4896">
        <v>5.4697690000000003</v>
      </c>
      <c r="E4896">
        <v>0.4734816</v>
      </c>
      <c r="F4896" t="s">
        <v>42</v>
      </c>
      <c r="G4896">
        <v>-419.45979999999997</v>
      </c>
      <c r="H4896" s="1">
        <v>-6.1746859999999898E-7</v>
      </c>
      <c r="I4896">
        <v>40.848759999999999</v>
      </c>
      <c r="J4896">
        <v>-421.93990000000002</v>
      </c>
      <c r="K4896">
        <v>1.110198</v>
      </c>
      <c r="L4896">
        <v>97.274690000000007</v>
      </c>
      <c r="M4896">
        <v>1.3671229999999999E-2</v>
      </c>
      <c r="N4896">
        <v>0</v>
      </c>
      <c r="O4896">
        <v>-0.99981500000000001</v>
      </c>
      <c r="P4896">
        <v>-3.2682200000000002E-2</v>
      </c>
      <c r="Q4896">
        <v>-2.7076030000000001E-2</v>
      </c>
      <c r="R4896">
        <v>-0.99909879999999995</v>
      </c>
      <c r="S4896">
        <v>0.1317749</v>
      </c>
      <c r="T4896">
        <v>-5.8921220000000003E-2</v>
      </c>
      <c r="U4896">
        <v>-3.0055540000000001</v>
      </c>
      <c r="V4896">
        <v>4.6337160000000002E-2</v>
      </c>
      <c r="W4896">
        <v>-1.3571959999999999E-2</v>
      </c>
      <c r="X4896">
        <v>0.99883370000000005</v>
      </c>
      <c r="Y4896">
        <v>-3.0129860000000001E-2</v>
      </c>
      <c r="Z4896">
        <v>1.9583739999999999E-2</v>
      </c>
      <c r="AA4896">
        <v>0.99935410000000002</v>
      </c>
      <c r="AB4896">
        <v>20</v>
      </c>
      <c r="AC4896">
        <v>2.4801000000000499</v>
      </c>
      <c r="AD4896">
        <v>-1.1101986174686</v>
      </c>
      <c r="AE4896">
        <v>-56.425930000000001</v>
      </c>
      <c r="AF4896">
        <v>-1.70772587540974</v>
      </c>
      <c r="AG4896">
        <v>-1.1101986174686</v>
      </c>
      <c r="AH4896">
        <v>56.432760792747402</v>
      </c>
      <c r="AI4896">
        <v>91.126515807605699</v>
      </c>
      <c r="AJ4896">
        <v>91.733312939820905</v>
      </c>
      <c r="AK4896">
        <v>56.4695082263625</v>
      </c>
      <c r="AL4896">
        <v>90.777639866976997</v>
      </c>
      <c r="AM4896">
        <v>87.343880607355004</v>
      </c>
      <c r="AN4896">
        <v>1.0000000453753899</v>
      </c>
    </row>
    <row r="4897" spans="1:40" x14ac:dyDescent="0.25">
      <c r="A4897" t="str">
        <f>"20190312161414141"</f>
        <v>20190312161414141</v>
      </c>
      <c r="B4897" t="str">
        <f>"1552378454131733"</f>
        <v>1552378454131733</v>
      </c>
      <c r="C4897" t="s">
        <v>40</v>
      </c>
      <c r="D4897">
        <v>5.4733989999999997</v>
      </c>
      <c r="E4897">
        <v>0.47481180000000001</v>
      </c>
      <c r="F4897" t="s">
        <v>42</v>
      </c>
      <c r="G4897">
        <v>-420.02359999999999</v>
      </c>
      <c r="H4897" s="1">
        <v>-2.9422949999999998E-6</v>
      </c>
      <c r="I4897">
        <v>46.433050000000001</v>
      </c>
      <c r="J4897">
        <v>-421.93709999999999</v>
      </c>
      <c r="K4897">
        <v>1.110139</v>
      </c>
      <c r="L4897">
        <v>97.0809</v>
      </c>
      <c r="M4897">
        <v>1.3663990000000001E-2</v>
      </c>
      <c r="N4897">
        <v>0</v>
      </c>
      <c r="O4897">
        <v>-0.99981529999999996</v>
      </c>
      <c r="P4897">
        <v>-3.1863849999999999E-2</v>
      </c>
      <c r="Q4897">
        <v>-2.8530300000000001E-2</v>
      </c>
      <c r="R4897">
        <v>-0.99908529999999995</v>
      </c>
      <c r="S4897">
        <v>0.1132507</v>
      </c>
      <c r="T4897">
        <v>-6.5610650000000006E-2</v>
      </c>
      <c r="U4897">
        <v>-3.0046390000000001</v>
      </c>
      <c r="V4897">
        <v>4.550945E-2</v>
      </c>
      <c r="W4897">
        <v>-1.5034230000000001E-2</v>
      </c>
      <c r="X4897">
        <v>0.99885080000000004</v>
      </c>
      <c r="Y4897">
        <v>-2.39972E-2</v>
      </c>
      <c r="Z4897">
        <v>2.1817309999999999E-2</v>
      </c>
      <c r="AA4897">
        <v>0.99947390000000003</v>
      </c>
      <c r="AB4897">
        <v>20</v>
      </c>
      <c r="AC4897">
        <v>1.91349999999999</v>
      </c>
      <c r="AD4897">
        <v>-1.1101419422949901</v>
      </c>
      <c r="AE4897">
        <v>-50.647849999999998</v>
      </c>
      <c r="AF4897">
        <v>-1.2206208056933101</v>
      </c>
      <c r="AG4897">
        <v>-1.1101419422949901</v>
      </c>
      <c r="AH4897">
        <v>50.644972298135698</v>
      </c>
      <c r="AI4897">
        <v>91.255362645773701</v>
      </c>
      <c r="AJ4897">
        <v>91.380648077487194</v>
      </c>
      <c r="AK4897">
        <v>50.6718417798511</v>
      </c>
      <c r="AL4897">
        <v>90.861430355232997</v>
      </c>
      <c r="AM4897">
        <v>87.391304714445795</v>
      </c>
      <c r="AN4897">
        <v>1.00000002938581</v>
      </c>
    </row>
    <row r="4898" spans="1:40" x14ac:dyDescent="0.25">
      <c r="A4898" t="str">
        <f>"20190312161414163"</f>
        <v>20190312161414163</v>
      </c>
      <c r="B4898" t="str">
        <f>"1552378454151252"</f>
        <v>1552378454151252</v>
      </c>
      <c r="C4898" t="s">
        <v>40</v>
      </c>
      <c r="D4898">
        <v>5.5173680000000003</v>
      </c>
      <c r="E4898">
        <v>0.47561979999999998</v>
      </c>
      <c r="F4898" t="s">
        <v>42</v>
      </c>
      <c r="G4898">
        <v>-420.35730000000001</v>
      </c>
      <c r="H4898" s="1">
        <v>-1.0751370000000001E-6</v>
      </c>
      <c r="I4898">
        <v>51.87368</v>
      </c>
      <c r="J4898">
        <v>-421.93439999999998</v>
      </c>
      <c r="K4898">
        <v>1.1100920000000001</v>
      </c>
      <c r="L4898">
        <v>96.878910000000005</v>
      </c>
      <c r="M4898">
        <v>1.357994E-2</v>
      </c>
      <c r="N4898">
        <v>0</v>
      </c>
      <c r="O4898">
        <v>-0.9998165</v>
      </c>
      <c r="P4898">
        <v>-3.1832180000000002E-2</v>
      </c>
      <c r="Q4898">
        <v>-2.9906430000000001E-2</v>
      </c>
      <c r="R4898">
        <v>-0.99904599999999999</v>
      </c>
      <c r="S4898">
        <v>0.1049805</v>
      </c>
      <c r="T4898">
        <v>-7.3768260000000002E-2</v>
      </c>
      <c r="U4898">
        <v>-3.0039980000000002</v>
      </c>
      <c r="V4898">
        <v>4.539108E-2</v>
      </c>
      <c r="W4898">
        <v>-1.641861E-2</v>
      </c>
      <c r="X4898">
        <v>0.99883440000000001</v>
      </c>
      <c r="Y4898">
        <v>-2.133898E-2</v>
      </c>
      <c r="Z4898">
        <v>2.4535620000000001E-2</v>
      </c>
      <c r="AA4898">
        <v>0.9994712</v>
      </c>
      <c r="AB4898">
        <v>20</v>
      </c>
      <c r="AC4898">
        <v>1.57709999999997</v>
      </c>
      <c r="AD4898">
        <v>-1.110093075137</v>
      </c>
      <c r="AE4898">
        <v>-45.005229999999997</v>
      </c>
      <c r="AF4898">
        <v>-0.96514395260715002</v>
      </c>
      <c r="AG4898">
        <v>-1.110093075137</v>
      </c>
      <c r="AH4898">
        <v>44.995156409219497</v>
      </c>
      <c r="AI4898">
        <v>91.412954972546103</v>
      </c>
      <c r="AJ4898">
        <v>91.228803295245299</v>
      </c>
      <c r="AK4898">
        <v>45.0191949036724</v>
      </c>
      <c r="AL4898">
        <v>90.9407592911584</v>
      </c>
      <c r="AM4898">
        <v>87.398037926922996</v>
      </c>
      <c r="AN4898">
        <v>1.0000000397606199</v>
      </c>
    </row>
    <row r="4899" spans="1:40" x14ac:dyDescent="0.25">
      <c r="A4899" t="str">
        <f>"20190312161414187"</f>
        <v>20190312161414187</v>
      </c>
      <c r="B4899" t="str">
        <f>"1552378454181509"</f>
        <v>1552378454181509</v>
      </c>
      <c r="C4899" t="s">
        <v>40</v>
      </c>
      <c r="D4899">
        <v>5.4891319999999997</v>
      </c>
      <c r="E4899">
        <v>0.47627550000000002</v>
      </c>
      <c r="F4899" t="s">
        <v>42</v>
      </c>
      <c r="G4899">
        <v>-420.57229999999998</v>
      </c>
      <c r="H4899" s="1">
        <v>-2.6616289999999998E-6</v>
      </c>
      <c r="I4899">
        <v>55.438479999999998</v>
      </c>
      <c r="J4899">
        <v>-421.93180000000001</v>
      </c>
      <c r="K4899">
        <v>1.110044</v>
      </c>
      <c r="L4899">
        <v>96.674710000000005</v>
      </c>
      <c r="M4899">
        <v>1.3420720000000001E-2</v>
      </c>
      <c r="N4899">
        <v>0</v>
      </c>
      <c r="O4899">
        <v>-0.99981869999999995</v>
      </c>
      <c r="P4899">
        <v>-3.3172609999999998E-2</v>
      </c>
      <c r="Q4899">
        <v>-3.0010249999999999E-2</v>
      </c>
      <c r="R4899">
        <v>-0.99899930000000003</v>
      </c>
      <c r="S4899">
        <v>9.8724370000000006E-2</v>
      </c>
      <c r="T4899">
        <v>-8.0459589999999998E-2</v>
      </c>
      <c r="U4899">
        <v>-3.0036010000000002</v>
      </c>
      <c r="V4899">
        <v>4.6569939999999997E-2</v>
      </c>
      <c r="W4899">
        <v>-1.6531210000000001E-2</v>
      </c>
      <c r="X4899">
        <v>0.99877819999999995</v>
      </c>
      <c r="Y4899">
        <v>-1.9421500000000001E-2</v>
      </c>
      <c r="Z4899">
        <v>2.6764739999999999E-2</v>
      </c>
      <c r="AA4899">
        <v>0.99945309999999998</v>
      </c>
      <c r="AB4899">
        <v>20</v>
      </c>
      <c r="AC4899">
        <v>1.3595000000000199</v>
      </c>
      <c r="AD4899">
        <v>-1.1100466616289999</v>
      </c>
      <c r="AE4899">
        <v>-41.236229999999999</v>
      </c>
      <c r="AF4899">
        <v>-0.80532420920486203</v>
      </c>
      <c r="AG4899">
        <v>-1.1100466616289999</v>
      </c>
      <c r="AH4899">
        <v>41.220924587353899</v>
      </c>
      <c r="AI4899">
        <v>91.542262733442598</v>
      </c>
      <c r="AJ4899">
        <v>91.119232758392798</v>
      </c>
      <c r="AK4899">
        <v>41.243731335916301</v>
      </c>
      <c r="AL4899">
        <v>90.947211740793406</v>
      </c>
      <c r="AM4899">
        <v>87.330408421242296</v>
      </c>
      <c r="AN4899">
        <v>0.99999996650545298</v>
      </c>
    </row>
    <row r="4900" spans="1:40" x14ac:dyDescent="0.25">
      <c r="A4900" t="str">
        <f>"20190312161414208"</f>
        <v>20190312161414208</v>
      </c>
      <c r="B4900" t="str">
        <f>"1552378454201028"</f>
        <v>1552378454201028</v>
      </c>
      <c r="C4900" t="s">
        <v>40</v>
      </c>
      <c r="D4900">
        <v>5.5627690000000003</v>
      </c>
      <c r="E4900">
        <v>0.47688029999999998</v>
      </c>
      <c r="F4900" t="s">
        <v>42</v>
      </c>
      <c r="G4900">
        <v>-420.67149999999998</v>
      </c>
      <c r="H4900" s="1">
        <v>-2.147791E-6</v>
      </c>
      <c r="I4900">
        <v>54.179200000000002</v>
      </c>
      <c r="J4900">
        <v>-421.92939999999999</v>
      </c>
      <c r="K4900">
        <v>1.110007</v>
      </c>
      <c r="L4900">
        <v>96.478819999999999</v>
      </c>
      <c r="M4900">
        <v>1.3200419999999999E-2</v>
      </c>
      <c r="N4900">
        <v>0</v>
      </c>
      <c r="O4900">
        <v>-0.99982170000000004</v>
      </c>
      <c r="P4900">
        <v>-3.4535660000000003E-2</v>
      </c>
      <c r="Q4900">
        <v>-3.0418810000000001E-2</v>
      </c>
      <c r="R4900">
        <v>-0.99894059999999996</v>
      </c>
      <c r="S4900">
        <v>8.9080809999999996E-2</v>
      </c>
      <c r="T4900">
        <v>-7.8458550000000002E-2</v>
      </c>
      <c r="U4900">
        <v>-3.0036010000000002</v>
      </c>
      <c r="V4900">
        <v>4.7710389999999998E-2</v>
      </c>
      <c r="W4900">
        <v>-1.6947940000000002E-2</v>
      </c>
      <c r="X4900">
        <v>0.99871739999999998</v>
      </c>
      <c r="Y4900">
        <v>-1.643646E-2</v>
      </c>
      <c r="Z4900">
        <v>2.6101679999999999E-2</v>
      </c>
      <c r="AA4900">
        <v>0.99952419999999997</v>
      </c>
      <c r="AB4900">
        <v>20</v>
      </c>
      <c r="AC4900">
        <v>1.2579</v>
      </c>
      <c r="AD4900">
        <v>-1.1100091477909999</v>
      </c>
      <c r="AE4900">
        <v>-42.299619999999997</v>
      </c>
      <c r="AF4900">
        <v>-0.69888588058060797</v>
      </c>
      <c r="AG4900">
        <v>-1.1100091477909999</v>
      </c>
      <c r="AH4900">
        <v>42.283448573588501</v>
      </c>
      <c r="AI4900">
        <v>91.503556550977294</v>
      </c>
      <c r="AJ4900">
        <v>90.946932351554906</v>
      </c>
      <c r="AK4900">
        <v>42.303789251762801</v>
      </c>
      <c r="AL4900">
        <v>90.971091945332404</v>
      </c>
      <c r="AM4900">
        <v>87.264964696462002</v>
      </c>
      <c r="AN4900">
        <v>0.99999997952347697</v>
      </c>
    </row>
    <row r="4901" spans="1:40" x14ac:dyDescent="0.25">
      <c r="A4901" t="str">
        <f>"20190312161414232"</f>
        <v>20190312161414232</v>
      </c>
      <c r="B4901" t="str">
        <f>"1552378454221524"</f>
        <v>1552378454221524</v>
      </c>
      <c r="C4901" t="s">
        <v>40</v>
      </c>
      <c r="D4901">
        <v>5.5096559999999997</v>
      </c>
      <c r="E4901">
        <v>0.47747610000000001</v>
      </c>
      <c r="F4901" t="s">
        <v>42</v>
      </c>
      <c r="G4901">
        <v>-420.88029999999998</v>
      </c>
      <c r="H4901" s="1">
        <v>-3.6116939999999999E-6</v>
      </c>
      <c r="I4901">
        <v>57.462049999999998</v>
      </c>
      <c r="J4901">
        <v>-421.92700000000002</v>
      </c>
      <c r="K4901">
        <v>1.109977</v>
      </c>
      <c r="L4901">
        <v>96.274600000000007</v>
      </c>
      <c r="M4901">
        <v>1.290343E-2</v>
      </c>
      <c r="N4901">
        <v>0</v>
      </c>
      <c r="O4901">
        <v>-0.99982530000000003</v>
      </c>
      <c r="P4901">
        <v>-3.5923589999999998E-2</v>
      </c>
      <c r="Q4901">
        <v>-3.0708050000000001E-2</v>
      </c>
      <c r="R4901">
        <v>-0.99888259999999995</v>
      </c>
      <c r="S4901">
        <v>8.0749509999999997E-2</v>
      </c>
      <c r="T4901">
        <v>-8.5444210000000007E-2</v>
      </c>
      <c r="U4901">
        <v>-3.0033569999999998</v>
      </c>
      <c r="V4901">
        <v>4.8799469999999998E-2</v>
      </c>
      <c r="W4901">
        <v>-1.7244619999999999E-2</v>
      </c>
      <c r="X4901">
        <v>0.99865970000000004</v>
      </c>
      <c r="Y4901">
        <v>-1.3963659999999999E-2</v>
      </c>
      <c r="Z4901">
        <v>2.8427999999999998E-2</v>
      </c>
      <c r="AA4901">
        <v>0.99949829999999995</v>
      </c>
      <c r="AB4901">
        <v>20</v>
      </c>
      <c r="AC4901">
        <v>1.04669999999998</v>
      </c>
      <c r="AD4901">
        <v>-1.1099806116940001</v>
      </c>
      <c r="AE4901">
        <v>-38.812550000000002</v>
      </c>
      <c r="AF4901">
        <v>-0.54530635505103298</v>
      </c>
      <c r="AG4901">
        <v>-1.1099806116940001</v>
      </c>
      <c r="AH4901">
        <v>38.791122218515802</v>
      </c>
      <c r="AI4901">
        <v>91.638869261573205</v>
      </c>
      <c r="AJ4901">
        <v>90.805382599979794</v>
      </c>
      <c r="AK4901">
        <v>38.810830691329301</v>
      </c>
      <c r="AL4901">
        <v>90.988092941080794</v>
      </c>
      <c r="AM4901">
        <v>87.202469031147302</v>
      </c>
      <c r="AN4901">
        <v>0.99999998079765695</v>
      </c>
    </row>
    <row r="4902" spans="1:40" x14ac:dyDescent="0.25">
      <c r="A4902" t="str">
        <f>"20190312161414253"</f>
        <v>20190312161414253</v>
      </c>
      <c r="B4902" t="str">
        <f>"1552378454241045"</f>
        <v>1552378454241045</v>
      </c>
      <c r="C4902" t="s">
        <v>40</v>
      </c>
      <c r="D4902">
        <v>5.6425679999999998</v>
      </c>
      <c r="E4902">
        <v>0.47781380000000001</v>
      </c>
      <c r="F4902" t="s">
        <v>42</v>
      </c>
      <c r="G4902">
        <v>-421.03890000000001</v>
      </c>
      <c r="H4902" s="1">
        <v>-4.2689599999999999E-6</v>
      </c>
      <c r="I4902">
        <v>58.989780000000003</v>
      </c>
      <c r="J4902">
        <v>-421.92489999999998</v>
      </c>
      <c r="K4902">
        <v>1.1099619999999999</v>
      </c>
      <c r="L4902">
        <v>96.075779999999995</v>
      </c>
      <c r="M4902">
        <v>1.2565969999999999E-2</v>
      </c>
      <c r="N4902">
        <v>0</v>
      </c>
      <c r="O4902">
        <v>-0.99983010000000005</v>
      </c>
      <c r="P4902">
        <v>-3.6923730000000002E-2</v>
      </c>
      <c r="Q4902">
        <v>-3.0377359999999999E-2</v>
      </c>
      <c r="R4902">
        <v>-0.99885659999999998</v>
      </c>
      <c r="S4902">
        <v>7.1533200000000005E-2</v>
      </c>
      <c r="T4902">
        <v>-8.9405419999999999E-2</v>
      </c>
      <c r="U4902">
        <v>-3.003174</v>
      </c>
      <c r="V4902">
        <v>4.9461650000000003E-2</v>
      </c>
      <c r="W4902">
        <v>-1.6919360000000001E-2</v>
      </c>
      <c r="X4902">
        <v>0.99863270000000004</v>
      </c>
      <c r="Y4902">
        <v>-1.123648E-2</v>
      </c>
      <c r="Z4902">
        <v>2.9748449999999999E-2</v>
      </c>
      <c r="AA4902">
        <v>0.99949429999999995</v>
      </c>
      <c r="AB4902">
        <v>20</v>
      </c>
      <c r="AC4902">
        <v>0.88599999999996704</v>
      </c>
      <c r="AD4902">
        <v>-1.1099662689600001</v>
      </c>
      <c r="AE4902">
        <v>-37.085999999999999</v>
      </c>
      <c r="AF4902">
        <v>-0.41949053158774402</v>
      </c>
      <c r="AG4902">
        <v>-1.1099662689600001</v>
      </c>
      <c r="AH4902">
        <v>37.061026354920898</v>
      </c>
      <c r="AI4902">
        <v>91.715368251838797</v>
      </c>
      <c r="AJ4902">
        <v>90.648498247614398</v>
      </c>
      <c r="AK4902">
        <v>37.0800171508114</v>
      </c>
      <c r="AL4902">
        <v>90.969454182536893</v>
      </c>
      <c r="AM4902">
        <v>87.164493185051995</v>
      </c>
      <c r="AN4902">
        <v>0.99999999453641097</v>
      </c>
    </row>
    <row r="4903" spans="1:40" x14ac:dyDescent="0.25">
      <c r="A4903" t="str">
        <f>"20190312161414276"</f>
        <v>20190312161414276</v>
      </c>
      <c r="B4903" t="str">
        <f>"1552378454271301"</f>
        <v>1552378454271301</v>
      </c>
      <c r="C4903" t="s">
        <v>40</v>
      </c>
      <c r="D4903">
        <v>5.7458989999999996</v>
      </c>
      <c r="E4903">
        <v>0.4773482</v>
      </c>
      <c r="F4903" t="s">
        <v>42</v>
      </c>
      <c r="G4903">
        <v>-421.05470000000003</v>
      </c>
      <c r="H4903" s="1">
        <v>-3.1435859999999999E-6</v>
      </c>
      <c r="I4903">
        <v>56.262740000000001</v>
      </c>
      <c r="J4903">
        <v>-421.9228</v>
      </c>
      <c r="K4903">
        <v>1.109961</v>
      </c>
      <c r="L4903">
        <v>95.877499999999998</v>
      </c>
      <c r="M4903">
        <v>1.2196780000000001E-2</v>
      </c>
      <c r="N4903">
        <v>0</v>
      </c>
      <c r="O4903">
        <v>-0.99983460000000002</v>
      </c>
      <c r="P4903">
        <v>-3.816344E-2</v>
      </c>
      <c r="Q4903">
        <v>-3.0122380000000001E-2</v>
      </c>
      <c r="R4903">
        <v>-0.99881759999999997</v>
      </c>
      <c r="S4903">
        <v>6.5643309999999996E-2</v>
      </c>
      <c r="T4903">
        <v>-8.3731059999999996E-2</v>
      </c>
      <c r="U4903">
        <v>-3.0033259999999999</v>
      </c>
      <c r="V4903">
        <v>5.0331969999999997E-2</v>
      </c>
      <c r="W4903">
        <v>-1.6668860000000001E-2</v>
      </c>
      <c r="X4903">
        <v>0.99859339999999996</v>
      </c>
      <c r="Y4903">
        <v>-9.6465679999999995E-3</v>
      </c>
      <c r="Z4903">
        <v>2.7861529999999999E-2</v>
      </c>
      <c r="AA4903">
        <v>0.99956520000000004</v>
      </c>
      <c r="AB4903">
        <v>20</v>
      </c>
      <c r="AC4903">
        <v>0.86809999999996901</v>
      </c>
      <c r="AD4903">
        <v>-1.1099641435859999</v>
      </c>
      <c r="AE4903">
        <v>-39.614759999999997</v>
      </c>
      <c r="AF4903">
        <v>-0.38451720118498101</v>
      </c>
      <c r="AG4903">
        <v>-1.1099641435859999</v>
      </c>
      <c r="AH4903">
        <v>39.591335041923202</v>
      </c>
      <c r="AI4903">
        <v>91.605821318522402</v>
      </c>
      <c r="AJ4903">
        <v>90.556448023003696</v>
      </c>
      <c r="AK4903">
        <v>39.608757671503298</v>
      </c>
      <c r="AL4903">
        <v>90.955099590257106</v>
      </c>
      <c r="AM4903">
        <v>87.114570240228701</v>
      </c>
      <c r="AN4903">
        <v>0.99999996831066895</v>
      </c>
    </row>
    <row r="4904" spans="1:40" x14ac:dyDescent="0.25">
      <c r="A4904" t="str">
        <f>"20190312161414298"</f>
        <v>20190312161414298</v>
      </c>
      <c r="B4904" t="str">
        <f>"1552378454290821"</f>
        <v>1552378454290821</v>
      </c>
      <c r="C4904" t="s">
        <v>40</v>
      </c>
      <c r="D4904">
        <v>6.244999</v>
      </c>
      <c r="E4904">
        <v>0.4770933</v>
      </c>
      <c r="F4904" t="s">
        <v>42</v>
      </c>
      <c r="G4904">
        <v>-421.04919999999998</v>
      </c>
      <c r="H4904" s="1">
        <v>-3.0446839999999998E-6</v>
      </c>
      <c r="I4904">
        <v>56.035600000000002</v>
      </c>
      <c r="J4904">
        <v>-421.92079999999999</v>
      </c>
      <c r="K4904">
        <v>1.1099680000000001</v>
      </c>
      <c r="L4904">
        <v>95.676879999999997</v>
      </c>
      <c r="M4904">
        <v>1.1798909999999999E-2</v>
      </c>
      <c r="N4904">
        <v>0</v>
      </c>
      <c r="O4904">
        <v>-0.99983940000000004</v>
      </c>
      <c r="P4904">
        <v>-3.8379700000000003E-2</v>
      </c>
      <c r="Q4904">
        <v>-2.8696019999999999E-2</v>
      </c>
      <c r="R4904">
        <v>-0.99885139999999994</v>
      </c>
      <c r="S4904">
        <v>6.5856929999999994E-2</v>
      </c>
      <c r="T4904">
        <v>-8.3676219999999996E-2</v>
      </c>
      <c r="U4904">
        <v>-3.0035400000000001</v>
      </c>
      <c r="V4904">
        <v>5.015236E-2</v>
      </c>
      <c r="W4904">
        <v>-1.5244280000000001E-2</v>
      </c>
      <c r="X4904">
        <v>0.99862519999999999</v>
      </c>
      <c r="Y4904">
        <v>-1.0114E-2</v>
      </c>
      <c r="Z4904">
        <v>2.784143E-2</v>
      </c>
      <c r="AA4904">
        <v>0.99956120000000004</v>
      </c>
      <c r="AB4904">
        <v>20</v>
      </c>
      <c r="AC4904">
        <v>0.87160000000000004</v>
      </c>
      <c r="AD4904">
        <v>-1.1099710446840001</v>
      </c>
      <c r="AE4904">
        <v>-39.641280000000002</v>
      </c>
      <c r="AF4904">
        <v>-0.403456697076985</v>
      </c>
      <c r="AG4904">
        <v>-1.1099710446840001</v>
      </c>
      <c r="AH4904">
        <v>39.617758786378701</v>
      </c>
      <c r="AI4904">
        <v>91.604753297204795</v>
      </c>
      <c r="AJ4904">
        <v>90.583464779330498</v>
      </c>
      <c r="AK4904">
        <v>39.635358258531497</v>
      </c>
      <c r="AL4904">
        <v>90.873466765843901</v>
      </c>
      <c r="AM4904">
        <v>87.124941011653405</v>
      </c>
      <c r="AN4904">
        <v>0.99999996868066299</v>
      </c>
    </row>
    <row r="4905" spans="1:40" x14ac:dyDescent="0.25">
      <c r="A4905" t="str">
        <f>"20190312161414320"</f>
        <v>20190312161414320</v>
      </c>
      <c r="B4905" t="str">
        <f>"1552378454311317"</f>
        <v>1552378454311317</v>
      </c>
      <c r="C4905" t="s">
        <v>40</v>
      </c>
      <c r="D4905">
        <v>5.6530430000000003</v>
      </c>
      <c r="E4905">
        <v>0.47688219999999998</v>
      </c>
      <c r="F4905" t="s">
        <v>42</v>
      </c>
      <c r="G4905">
        <v>-420.94659999999999</v>
      </c>
      <c r="H4905" s="1">
        <v>-1.3741579999999901E-6</v>
      </c>
      <c r="I4905">
        <v>52.205219999999997</v>
      </c>
      <c r="J4905">
        <v>-421.91890000000001</v>
      </c>
      <c r="K4905">
        <v>1.10997099999999</v>
      </c>
      <c r="L4905">
        <v>95.475160000000002</v>
      </c>
      <c r="M4905">
        <v>1.138168E-2</v>
      </c>
      <c r="N4905">
        <v>0</v>
      </c>
      <c r="O4905">
        <v>-0.99984390000000001</v>
      </c>
      <c r="P4905">
        <v>-3.8579019999999999E-2</v>
      </c>
      <c r="Q4905">
        <v>-2.8099530000000001E-2</v>
      </c>
      <c r="R4905">
        <v>-0.99886039999999998</v>
      </c>
      <c r="S4905">
        <v>6.7321779999999998E-2</v>
      </c>
      <c r="T4905">
        <v>-7.6697710000000002E-2</v>
      </c>
      <c r="U4905">
        <v>-3.0038450000000001</v>
      </c>
      <c r="V4905">
        <v>4.9935710000000001E-2</v>
      </c>
      <c r="W4905">
        <v>-1.4649290000000001E-2</v>
      </c>
      <c r="X4905">
        <v>0.998645</v>
      </c>
      <c r="Y4905">
        <v>-1.101763E-2</v>
      </c>
      <c r="Z4905">
        <v>2.55184E-2</v>
      </c>
      <c r="AA4905">
        <v>0.99961359999999999</v>
      </c>
      <c r="AB4905">
        <v>20</v>
      </c>
      <c r="AC4905">
        <v>0.97230000000001804</v>
      </c>
      <c r="AD4905">
        <v>-1.1099723741580001</v>
      </c>
      <c r="AE4905">
        <v>-43.269939999999998</v>
      </c>
      <c r="AF4905">
        <v>-0.47939212087611699</v>
      </c>
      <c r="AG4905">
        <v>-1.1099723741580001</v>
      </c>
      <c r="AH4905">
        <v>43.2497584915441</v>
      </c>
      <c r="AI4905">
        <v>91.470039916091295</v>
      </c>
      <c r="AJ4905">
        <v>90.635056042337297</v>
      </c>
      <c r="AK4905">
        <v>43.266655348592003</v>
      </c>
      <c r="AL4905">
        <v>90.839372508087393</v>
      </c>
      <c r="AM4905">
        <v>87.137396756584394</v>
      </c>
      <c r="AN4905">
        <v>1.00000000642785</v>
      </c>
    </row>
    <row r="4906" spans="1:40" x14ac:dyDescent="0.25">
      <c r="A4906" t="str">
        <f>"20190312161414342"</f>
        <v>20190312161414342</v>
      </c>
      <c r="B4906" t="str">
        <f>"1552378454330837"</f>
        <v>1552378454330837</v>
      </c>
      <c r="C4906" t="s">
        <v>40</v>
      </c>
      <c r="D4906">
        <v>5.5383630000000004</v>
      </c>
      <c r="E4906">
        <v>0.47669869999999998</v>
      </c>
      <c r="F4906" t="s">
        <v>42</v>
      </c>
      <c r="G4906">
        <v>-420.88099999999997</v>
      </c>
      <c r="H4906" s="1">
        <v>-3.1580140000000001E-7</v>
      </c>
      <c r="I4906">
        <v>49.778860000000002</v>
      </c>
      <c r="J4906">
        <v>-421.91719999999998</v>
      </c>
      <c r="K4906">
        <v>1.109974</v>
      </c>
      <c r="L4906">
        <v>95.274690000000007</v>
      </c>
      <c r="M4906">
        <v>1.0955400000000001E-2</v>
      </c>
      <c r="N4906">
        <v>0</v>
      </c>
      <c r="O4906">
        <v>-0.99984910000000005</v>
      </c>
      <c r="P4906">
        <v>-3.9477560000000002E-2</v>
      </c>
      <c r="Q4906">
        <v>-2.9298540000000001E-2</v>
      </c>
      <c r="R4906">
        <v>-0.99879119999999999</v>
      </c>
      <c r="S4906">
        <v>6.8237300000000001E-2</v>
      </c>
      <c r="T4906">
        <v>-7.2968359999999996E-2</v>
      </c>
      <c r="U4906">
        <v>-3.0040279999999999</v>
      </c>
      <c r="V4906">
        <v>5.0407059999999997E-2</v>
      </c>
      <c r="W4906">
        <v>-1.5851130000000001E-2</v>
      </c>
      <c r="X4906">
        <v>0.99860300000000002</v>
      </c>
      <c r="Y4906">
        <v>-1.1747779999999999E-2</v>
      </c>
      <c r="Z4906">
        <v>2.4276860000000001E-2</v>
      </c>
      <c r="AA4906">
        <v>0.99963619999999997</v>
      </c>
      <c r="AB4906">
        <v>20</v>
      </c>
      <c r="AC4906">
        <v>1.0362</v>
      </c>
      <c r="AD4906">
        <v>-1.1099743158013999</v>
      </c>
      <c r="AE4906">
        <v>-45.495829999999998</v>
      </c>
      <c r="AF4906">
        <v>-0.53734780778884805</v>
      </c>
      <c r="AG4906">
        <v>-1.1099743158013999</v>
      </c>
      <c r="AH4906">
        <v>45.4773968730767</v>
      </c>
      <c r="AI4906">
        <v>91.3980523914</v>
      </c>
      <c r="AJ4906">
        <v>90.676958906692704</v>
      </c>
      <c r="AK4906">
        <v>45.494114036868503</v>
      </c>
      <c r="AL4906">
        <v>90.908240848995504</v>
      </c>
      <c r="AM4906">
        <v>87.110300506844396</v>
      </c>
      <c r="AN4906">
        <v>1.00000004081455</v>
      </c>
    </row>
    <row r="4907" spans="1:40" x14ac:dyDescent="0.25">
      <c r="A4907" t="str">
        <f>"20190312161414364"</f>
        <v>20190312161414364</v>
      </c>
      <c r="B4907" t="str">
        <f>"1552378454351332"</f>
        <v>1552378454351332</v>
      </c>
      <c r="C4907" t="s">
        <v>40</v>
      </c>
      <c r="D4907">
        <v>5.5912240000000004</v>
      </c>
      <c r="E4907">
        <v>0.4808521</v>
      </c>
      <c r="F4907" t="s">
        <v>42</v>
      </c>
      <c r="G4907">
        <v>-420.92720000000003</v>
      </c>
      <c r="H4907" s="1">
        <v>-8.5175199999999999E-7</v>
      </c>
      <c r="I4907">
        <v>50.999479999999998</v>
      </c>
      <c r="J4907">
        <v>-421.91559999999998</v>
      </c>
      <c r="K4907">
        <v>1.109966</v>
      </c>
      <c r="L4907">
        <v>95.086609999999993</v>
      </c>
      <c r="M4907">
        <v>1.054776E-2</v>
      </c>
      <c r="N4907">
        <v>0</v>
      </c>
      <c r="O4907">
        <v>-0.9998534</v>
      </c>
      <c r="P4907">
        <v>-4.1306200000000001E-2</v>
      </c>
      <c r="Q4907">
        <v>-3.0469619999999999E-2</v>
      </c>
      <c r="R4907">
        <v>-0.99868190000000001</v>
      </c>
      <c r="S4907">
        <v>6.7169190000000004E-2</v>
      </c>
      <c r="T4907">
        <v>-7.5311420000000004E-2</v>
      </c>
      <c r="U4907">
        <v>-3.0040589999999998</v>
      </c>
      <c r="V4907">
        <v>5.182668E-2</v>
      </c>
      <c r="W4907">
        <v>-1.7026360000000001E-2</v>
      </c>
      <c r="X4907">
        <v>0.99851100000000004</v>
      </c>
      <c r="Y4907">
        <v>-1.1799550000000001E-2</v>
      </c>
      <c r="Z4907">
        <v>2.5055930000000001E-2</v>
      </c>
      <c r="AA4907">
        <v>0.99961639999999996</v>
      </c>
      <c r="AB4907">
        <v>20</v>
      </c>
      <c r="AC4907">
        <v>0.98839999999995498</v>
      </c>
      <c r="AD4907">
        <v>-1.109966851752</v>
      </c>
      <c r="AE4907">
        <v>-44.087130000000002</v>
      </c>
      <c r="AF4907">
        <v>-0.52295092155544698</v>
      </c>
      <c r="AG4907">
        <v>-1.109966851752</v>
      </c>
      <c r="AH4907">
        <v>44.0671847905693</v>
      </c>
      <c r="AI4907">
        <v>91.4427628472409</v>
      </c>
      <c r="AJ4907">
        <v>90.679904432607998</v>
      </c>
      <c r="AK4907">
        <v>44.084263399137399</v>
      </c>
      <c r="AL4907">
        <v>90.975585650930697</v>
      </c>
      <c r="AM4907">
        <v>87.0287881207976</v>
      </c>
      <c r="AN4907">
        <v>1.00000005940783</v>
      </c>
    </row>
    <row r="4908" spans="1:40" x14ac:dyDescent="0.25">
      <c r="A4908" t="str">
        <f>"20190312161414380"</f>
        <v>20190312161414380</v>
      </c>
      <c r="B4908" t="str">
        <f>"1552378454361093"</f>
        <v>1552378454361093</v>
      </c>
      <c r="C4908" t="s">
        <v>40</v>
      </c>
      <c r="D4908">
        <v>5.6207919999999998</v>
      </c>
      <c r="E4908">
        <v>0.48101189999999999</v>
      </c>
      <c r="F4908" t="s">
        <v>42</v>
      </c>
      <c r="G4908">
        <v>-421.74930000000001</v>
      </c>
      <c r="H4908" s="1">
        <v>-6.1482309999999996E-7</v>
      </c>
      <c r="I4908">
        <v>79.937330000000003</v>
      </c>
      <c r="J4908">
        <v>-421.9144</v>
      </c>
      <c r="K4908">
        <v>1.109964</v>
      </c>
      <c r="L4908">
        <v>94.935850000000002</v>
      </c>
      <c r="M4908">
        <v>1.021585E-2</v>
      </c>
      <c r="N4908">
        <v>0</v>
      </c>
      <c r="O4908">
        <v>-0.99985679999999999</v>
      </c>
      <c r="P4908">
        <v>-4.2195820000000002E-2</v>
      </c>
      <c r="Q4908">
        <v>-3.0835919999999999E-2</v>
      </c>
      <c r="R4908">
        <v>-0.99863349999999995</v>
      </c>
      <c r="S4908">
        <v>3.2928470000000001E-2</v>
      </c>
      <c r="T4908">
        <v>-0.21970519999999999</v>
      </c>
      <c r="U4908">
        <v>-2.9986269999999999</v>
      </c>
      <c r="V4908">
        <v>5.2384159999999999E-2</v>
      </c>
      <c r="W4908">
        <v>-1.739512E-2</v>
      </c>
      <c r="X4908">
        <v>0.99847549999999996</v>
      </c>
      <c r="Y4908">
        <v>-7.3443130000000001E-4</v>
      </c>
      <c r="Z4908">
        <v>7.3064850000000001E-2</v>
      </c>
      <c r="AA4908">
        <v>0.99732690000000002</v>
      </c>
      <c r="AB4908">
        <v>20</v>
      </c>
      <c r="AC4908">
        <v>0.165099999999995</v>
      </c>
      <c r="AD4908">
        <v>-1.1099646148230999</v>
      </c>
      <c r="AE4908">
        <v>-14.998519999999999</v>
      </c>
      <c r="AF4908">
        <v>-1.17902419020589E-2</v>
      </c>
      <c r="AG4908">
        <v>-1.1099646148230999</v>
      </c>
      <c r="AH4908">
        <v>14.9177334546129</v>
      </c>
      <c r="AI4908">
        <v>94.255290910962501</v>
      </c>
      <c r="AJ4908">
        <v>90.0452837531803</v>
      </c>
      <c r="AK4908">
        <v>14.9589749608334</v>
      </c>
      <c r="AL4908">
        <v>90.996717223341705</v>
      </c>
      <c r="AM4908">
        <v>86.996779532812099</v>
      </c>
      <c r="AN4908">
        <v>1.0000000072594799</v>
      </c>
    </row>
    <row r="4909" spans="1:40" x14ac:dyDescent="0.25">
      <c r="A4909" t="str">
        <f>"20190312161414398"</f>
        <v>20190312161414398</v>
      </c>
      <c r="B4909" t="str">
        <f>"1552378454391350"</f>
        <v>1552378454391350</v>
      </c>
      <c r="C4909" t="s">
        <v>40</v>
      </c>
      <c r="D4909">
        <v>5.546881</v>
      </c>
      <c r="E4909">
        <v>0.47966690000000001</v>
      </c>
      <c r="F4909" t="s">
        <v>42</v>
      </c>
      <c r="G4909">
        <v>-421.76749999999998</v>
      </c>
      <c r="H4909" s="1">
        <v>-5.102514E-7</v>
      </c>
      <c r="I4909">
        <v>79.682239999999993</v>
      </c>
      <c r="J4909">
        <v>-421.91320000000002</v>
      </c>
      <c r="K4909">
        <v>1.1099619999999999</v>
      </c>
      <c r="L4909">
        <v>94.7804</v>
      </c>
      <c r="M4909">
        <v>9.8689710000000007E-3</v>
      </c>
      <c r="N4909">
        <v>0</v>
      </c>
      <c r="O4909">
        <v>-0.99986030000000004</v>
      </c>
      <c r="P4909">
        <v>-4.3347620000000003E-2</v>
      </c>
      <c r="Q4909">
        <v>-3.064192E-2</v>
      </c>
      <c r="R4909">
        <v>-0.99859010000000004</v>
      </c>
      <c r="S4909">
        <v>2.886963E-2</v>
      </c>
      <c r="T4909">
        <v>-0.2181997</v>
      </c>
      <c r="U4909">
        <v>-2.998596</v>
      </c>
      <c r="V4909">
        <v>5.318929E-2</v>
      </c>
      <c r="W4909">
        <v>-1.720387E-2</v>
      </c>
      <c r="X4909">
        <v>0.9984362</v>
      </c>
      <c r="Y4909">
        <v>2.6799549999999999E-4</v>
      </c>
      <c r="Z4909">
        <v>7.2568450000000007E-2</v>
      </c>
      <c r="AA4909">
        <v>0.99736340000000001</v>
      </c>
      <c r="AB4909">
        <v>20</v>
      </c>
      <c r="AC4909">
        <v>0.145700000000033</v>
      </c>
      <c r="AD4909">
        <v>-1.1099625102513999</v>
      </c>
      <c r="AE4909">
        <v>-15.098159999999901</v>
      </c>
      <c r="AF4909">
        <v>3.3060932962784501E-3</v>
      </c>
      <c r="AG4909">
        <v>-1.1099625102513999</v>
      </c>
      <c r="AH4909">
        <v>15.017704567720701</v>
      </c>
      <c r="AI4909">
        <v>94.227060179859293</v>
      </c>
      <c r="AJ4909">
        <v>89.987386541755498</v>
      </c>
      <c r="AK4909">
        <v>15.0586678756043</v>
      </c>
      <c r="AL4909">
        <v>90.985757812510798</v>
      </c>
      <c r="AM4909">
        <v>86.950587522244405</v>
      </c>
      <c r="AN4909">
        <v>0.99999995959205901</v>
      </c>
    </row>
    <row r="4910" spans="1:40" x14ac:dyDescent="0.25">
      <c r="A4910" t="str">
        <f>"20190312161414420"</f>
        <v>20190312161414420</v>
      </c>
      <c r="B4910" t="str">
        <f>"1552378454410869"</f>
        <v>1552378454410869</v>
      </c>
      <c r="C4910" t="s">
        <v>40</v>
      </c>
      <c r="D4910">
        <v>5.5768469999999999</v>
      </c>
      <c r="E4910">
        <v>0.47977239999999999</v>
      </c>
      <c r="F4910" t="s">
        <v>42</v>
      </c>
      <c r="G4910">
        <v>-421.69600000000003</v>
      </c>
      <c r="H4910" s="1">
        <v>-3.1806530000000001E-6</v>
      </c>
      <c r="I4910">
        <v>75.951369999999997</v>
      </c>
      <c r="J4910">
        <v>-421.91180000000003</v>
      </c>
      <c r="K4910">
        <v>1.1099570000000001</v>
      </c>
      <c r="L4910">
        <v>94.583439999999996</v>
      </c>
      <c r="M4910">
        <v>9.4211920000000001E-3</v>
      </c>
      <c r="N4910">
        <v>0</v>
      </c>
      <c r="O4910">
        <v>-0.99986459999999999</v>
      </c>
      <c r="P4910">
        <v>-4.3687450000000003E-2</v>
      </c>
      <c r="Q4910">
        <v>-3.0386980000000001E-2</v>
      </c>
      <c r="R4910">
        <v>-0.9985832</v>
      </c>
      <c r="S4910">
        <v>3.4606930000000001E-2</v>
      </c>
      <c r="T4910">
        <v>-0.176867</v>
      </c>
      <c r="U4910">
        <v>-3.000305</v>
      </c>
      <c r="V4910">
        <v>5.3082190000000001E-2</v>
      </c>
      <c r="W4910">
        <v>-1.6950860000000002E-2</v>
      </c>
      <c r="X4910">
        <v>0.99844630000000001</v>
      </c>
      <c r="Y4910">
        <v>-2.0917850000000001E-3</v>
      </c>
      <c r="Z4910">
        <v>5.8841600000000001E-2</v>
      </c>
      <c r="AA4910">
        <v>0.99826510000000002</v>
      </c>
      <c r="AB4910">
        <v>20</v>
      </c>
      <c r="AC4910">
        <v>0.215800000000058</v>
      </c>
      <c r="AD4910">
        <v>-1.109960180653</v>
      </c>
      <c r="AE4910">
        <v>-18.632069999999999</v>
      </c>
      <c r="AF4910">
        <v>-4.0095857432049402E-2</v>
      </c>
      <c r="AG4910">
        <v>-1.109960180653</v>
      </c>
      <c r="AH4910">
        <v>18.567391430372101</v>
      </c>
      <c r="AI4910">
        <v>93.421067060258906</v>
      </c>
      <c r="AJ4910">
        <v>90.123728734021199</v>
      </c>
      <c r="AK4910">
        <v>18.600581813724901</v>
      </c>
      <c r="AL4910">
        <v>90.971259221816496</v>
      </c>
      <c r="AM4910">
        <v>86.956746880586607</v>
      </c>
      <c r="AN4910">
        <v>1.0000000322668099</v>
      </c>
    </row>
    <row r="4911" spans="1:40" x14ac:dyDescent="0.25">
      <c r="A4911" t="str">
        <f>"20190312161414466"</f>
        <v>20190312161414466</v>
      </c>
      <c r="B4911" t="str">
        <f>"1552378454461221"</f>
        <v>1552378454461221</v>
      </c>
      <c r="C4911" t="s">
        <v>40</v>
      </c>
      <c r="D4911">
        <v>5.5042589999999896</v>
      </c>
      <c r="E4911">
        <v>0.47988750000000002</v>
      </c>
      <c r="F4911" t="s">
        <v>42</v>
      </c>
      <c r="G4911">
        <v>-421.69560000000001</v>
      </c>
      <c r="H4911" s="1">
        <v>-2.6485020000000002E-6</v>
      </c>
      <c r="I4911">
        <v>74.711200000000005</v>
      </c>
      <c r="J4911">
        <v>-421.9092</v>
      </c>
      <c r="K4911">
        <v>1.1099559999999999</v>
      </c>
      <c r="L4911">
        <v>94.185360000000003</v>
      </c>
      <c r="M4911">
        <v>8.4856919999999995E-3</v>
      </c>
      <c r="N4911">
        <v>0</v>
      </c>
      <c r="O4911">
        <v>-0.99987300000000001</v>
      </c>
      <c r="P4911">
        <v>-4.2541759999999998E-2</v>
      </c>
      <c r="Q4911">
        <v>-2.9627919999999999E-2</v>
      </c>
      <c r="R4911">
        <v>-0.99865539999999997</v>
      </c>
      <c r="S4911">
        <v>3.2653809999999998E-2</v>
      </c>
      <c r="T4911">
        <v>-0.16759679999999999</v>
      </c>
      <c r="U4911">
        <v>-3.0005799999999998</v>
      </c>
      <c r="V4911">
        <v>5.1003859999999998E-2</v>
      </c>
      <c r="W4911">
        <v>-1.6192700000000001E-2</v>
      </c>
      <c r="X4911">
        <v>0.99856719999999999</v>
      </c>
      <c r="Y4911">
        <v>-2.37857E-3</v>
      </c>
      <c r="Z4911">
        <v>5.5763159999999999E-2</v>
      </c>
      <c r="AA4911">
        <v>0.99844120000000003</v>
      </c>
      <c r="AB4911">
        <v>20</v>
      </c>
      <c r="AC4911">
        <v>0.213599999999985</v>
      </c>
      <c r="AD4911">
        <v>-1.1099586485020001</v>
      </c>
      <c r="AE4911">
        <v>-19.474160000000001</v>
      </c>
      <c r="AF4911">
        <v>-4.8169083127052197E-2</v>
      </c>
      <c r="AG4911">
        <v>-1.1099586485020001</v>
      </c>
      <c r="AH4911">
        <v>19.412216505999002</v>
      </c>
      <c r="AI4911">
        <v>93.272505246893203</v>
      </c>
      <c r="AJ4911">
        <v>90.142172301701393</v>
      </c>
      <c r="AK4911">
        <v>19.4439830831477</v>
      </c>
      <c r="AL4911">
        <v>90.927813894665903</v>
      </c>
      <c r="AM4911">
        <v>87.076041965405494</v>
      </c>
      <c r="AN4911">
        <v>1.00000002509201</v>
      </c>
    </row>
    <row r="4912" spans="1:40" x14ac:dyDescent="0.25">
      <c r="A4912" t="str">
        <f>"20190312161414487"</f>
        <v>20190312161414487</v>
      </c>
      <c r="B4912" t="str">
        <f>"1552378454481716"</f>
        <v>1552378454481716</v>
      </c>
      <c r="C4912" t="s">
        <v>40</v>
      </c>
      <c r="D4912">
        <v>5.4893010000000002</v>
      </c>
      <c r="E4912">
        <v>0.4798</v>
      </c>
      <c r="F4912" t="s">
        <v>42</v>
      </c>
      <c r="G4912">
        <v>-421.65309999999999</v>
      </c>
      <c r="H4912" s="1">
        <v>-1.531359E-6</v>
      </c>
      <c r="I4912">
        <v>72.133409999999998</v>
      </c>
      <c r="J4912">
        <v>-421.90809999999999</v>
      </c>
      <c r="K4912">
        <v>1.1099589999999999</v>
      </c>
      <c r="L4912">
        <v>93.987430000000003</v>
      </c>
      <c r="M4912">
        <v>8.0050339999999994E-3</v>
      </c>
      <c r="N4912">
        <v>0</v>
      </c>
      <c r="O4912">
        <v>-0.99987729999999997</v>
      </c>
      <c r="P4912">
        <v>-4.1520599999999998E-2</v>
      </c>
      <c r="Q4912">
        <v>-2.8703739999999998E-2</v>
      </c>
      <c r="R4912">
        <v>-0.99872550000000004</v>
      </c>
      <c r="S4912">
        <v>3.4851069999999998E-2</v>
      </c>
      <c r="T4912">
        <v>-0.15105339999999901</v>
      </c>
      <c r="U4912">
        <v>-3.0010379999999999</v>
      </c>
      <c r="V4912">
        <v>4.9504100000000002E-2</v>
      </c>
      <c r="W4912">
        <v>-1.526813E-2</v>
      </c>
      <c r="X4912">
        <v>0.99865720000000002</v>
      </c>
      <c r="Y4912">
        <v>-3.5919519999999998E-3</v>
      </c>
      <c r="Z4912">
        <v>5.0265829999999997E-2</v>
      </c>
      <c r="AA4912">
        <v>0.99872939999999999</v>
      </c>
      <c r="AB4912">
        <v>20</v>
      </c>
      <c r="AC4912">
        <v>0.25499999999999501</v>
      </c>
      <c r="AD4912">
        <v>-1.109960531359</v>
      </c>
      <c r="AE4912">
        <v>-21.854019999999998</v>
      </c>
      <c r="AF4912">
        <v>-7.9827897903005901E-2</v>
      </c>
      <c r="AG4912">
        <v>-1.109960531359</v>
      </c>
      <c r="AH4912">
        <v>21.799135722004099</v>
      </c>
      <c r="AI4912">
        <v>92.914829049886706</v>
      </c>
      <c r="AJ4912">
        <v>90.209814794987494</v>
      </c>
      <c r="AK4912">
        <v>21.827521689390501</v>
      </c>
      <c r="AL4912">
        <v>90.874833412896706</v>
      </c>
      <c r="AM4912">
        <v>87.162133123460507</v>
      </c>
      <c r="AN4912">
        <v>0.99999998741117302</v>
      </c>
    </row>
    <row r="4913" spans="1:40" x14ac:dyDescent="0.25">
      <c r="A4913" t="str">
        <f>"20190312161414510"</f>
        <v>20190312161414510</v>
      </c>
      <c r="B4913" t="str">
        <f>"1552378454501235"</f>
        <v>1552378454501235</v>
      </c>
      <c r="C4913" t="s">
        <v>40</v>
      </c>
      <c r="D4913">
        <v>5.6145829999999997</v>
      </c>
      <c r="E4913">
        <v>0.4799078</v>
      </c>
      <c r="F4913" t="s">
        <v>42</v>
      </c>
      <c r="G4913">
        <v>-421.60320000000002</v>
      </c>
      <c r="H4913" s="1">
        <v>-6.2401569999999996E-7</v>
      </c>
      <c r="I4913">
        <v>70.049369999999996</v>
      </c>
      <c r="J4913">
        <v>-421.90710000000001</v>
      </c>
      <c r="K4913">
        <v>1.109961</v>
      </c>
      <c r="L4913">
        <v>93.788240000000002</v>
      </c>
      <c r="M4913">
        <v>7.5095730000000003E-3</v>
      </c>
      <c r="N4913">
        <v>0</v>
      </c>
      <c r="O4913">
        <v>-0.99988109999999997</v>
      </c>
      <c r="P4913">
        <v>-4.0484369999999999E-2</v>
      </c>
      <c r="Q4913">
        <v>-2.8068450000000002E-2</v>
      </c>
      <c r="R4913">
        <v>-0.99878599999999995</v>
      </c>
      <c r="S4913">
        <v>3.823853E-2</v>
      </c>
      <c r="T4913">
        <v>-0.13916909999999999</v>
      </c>
      <c r="U4913">
        <v>-3.001404</v>
      </c>
      <c r="V4913">
        <v>4.7974019999999999E-2</v>
      </c>
      <c r="W4913">
        <v>-1.463303E-2</v>
      </c>
      <c r="X4913">
        <v>0.9987414</v>
      </c>
      <c r="Y4913">
        <v>-5.215506E-3</v>
      </c>
      <c r="Z4913">
        <v>4.6314090000000002E-2</v>
      </c>
      <c r="AA4913">
        <v>0.9989133</v>
      </c>
      <c r="AB4913">
        <v>20</v>
      </c>
      <c r="AC4913">
        <v>0.30389999999999801</v>
      </c>
      <c r="AD4913">
        <v>-1.1099616240157</v>
      </c>
      <c r="AE4913">
        <v>-23.738869999999999</v>
      </c>
      <c r="AF4913">
        <v>-0.12533252080604701</v>
      </c>
      <c r="AG4913">
        <v>-1.1099616240157</v>
      </c>
      <c r="AH4913">
        <v>23.6887024091508</v>
      </c>
      <c r="AI4913">
        <v>92.6826605652099</v>
      </c>
      <c r="AJ4913">
        <v>90.3031384897983</v>
      </c>
      <c r="AK4913">
        <v>23.715023611138701</v>
      </c>
      <c r="AL4913">
        <v>90.8384407774316</v>
      </c>
      <c r="AM4913">
        <v>87.249941023643004</v>
      </c>
      <c r="AN4913">
        <v>1.0000000081179501</v>
      </c>
    </row>
    <row r="4914" spans="1:40" x14ac:dyDescent="0.25">
      <c r="A4914" t="str">
        <f>"20190312161414531"</f>
        <v>20190312161414531</v>
      </c>
      <c r="B4914" t="str">
        <f>"1552378454521732"</f>
        <v>1552378454521732</v>
      </c>
      <c r="C4914" t="s">
        <v>40</v>
      </c>
      <c r="D4914">
        <v>5.6266220000000002</v>
      </c>
      <c r="E4914">
        <v>0.47962700000000003</v>
      </c>
      <c r="F4914" t="s">
        <v>42</v>
      </c>
      <c r="G4914">
        <v>-421.57530000000003</v>
      </c>
      <c r="H4914" s="1">
        <v>-4.3578570000000001E-6</v>
      </c>
      <c r="I4914">
        <v>68.971419999999995</v>
      </c>
      <c r="J4914">
        <v>-421.90629999999999</v>
      </c>
      <c r="K4914">
        <v>1.1099669999999999</v>
      </c>
      <c r="L4914">
        <v>93.601680000000002</v>
      </c>
      <c r="M4914">
        <v>7.036835E-3</v>
      </c>
      <c r="N4914">
        <v>0</v>
      </c>
      <c r="O4914">
        <v>-0.99988469999999996</v>
      </c>
      <c r="P4914">
        <v>-4.069482E-2</v>
      </c>
      <c r="Q4914">
        <v>-2.776315E-2</v>
      </c>
      <c r="R4914">
        <v>-0.99878619999999996</v>
      </c>
      <c r="S4914">
        <v>4.0130619999999999E-2</v>
      </c>
      <c r="T4914">
        <v>-0.134245899999999</v>
      </c>
      <c r="U4914">
        <v>-3.0014949999999998</v>
      </c>
      <c r="V4914">
        <v>4.7712499999999998E-2</v>
      </c>
      <c r="W4914">
        <v>-1.4331699999999999E-2</v>
      </c>
      <c r="X4914">
        <v>0.99875829999999999</v>
      </c>
      <c r="Y4914">
        <v>-6.3184900000000004E-3</v>
      </c>
      <c r="Z4914">
        <v>4.467757E-2</v>
      </c>
      <c r="AA4914">
        <v>0.99898149999999997</v>
      </c>
      <c r="AB4914">
        <v>20</v>
      </c>
      <c r="AC4914">
        <v>0.33099999999995999</v>
      </c>
      <c r="AD4914">
        <v>-1.1099713578570001</v>
      </c>
      <c r="AE4914">
        <v>-24.63026</v>
      </c>
      <c r="AF4914">
        <v>-0.15733755722266499</v>
      </c>
      <c r="AG4914">
        <v>-1.1099713578570001</v>
      </c>
      <c r="AH4914">
        <v>24.582065118375201</v>
      </c>
      <c r="AI4914">
        <v>92.585307832742302</v>
      </c>
      <c r="AJ4914">
        <v>90.366716744353795</v>
      </c>
      <c r="AK4914">
        <v>24.607615020684399</v>
      </c>
      <c r="AL4914">
        <v>90.821174027008595</v>
      </c>
      <c r="AM4914">
        <v>87.264955759627696</v>
      </c>
      <c r="AN4914">
        <v>1.00000001105001</v>
      </c>
    </row>
    <row r="4915" spans="1:40" x14ac:dyDescent="0.25">
      <c r="A4915" t="str">
        <f>"20190312161414576"</f>
        <v>20190312161414576</v>
      </c>
      <c r="B4915" t="str">
        <f>"1552378454571205"</f>
        <v>1552378454571205</v>
      </c>
      <c r="C4915" t="s">
        <v>40</v>
      </c>
      <c r="D4915">
        <v>5.7677120000000004</v>
      </c>
      <c r="E4915">
        <v>0.49820310000000001</v>
      </c>
      <c r="F4915" t="s">
        <v>42</v>
      </c>
      <c r="G4915">
        <v>-421.53649999999999</v>
      </c>
      <c r="H4915" s="1">
        <v>-3.5685070000000002E-6</v>
      </c>
      <c r="I4915">
        <v>66.95438</v>
      </c>
      <c r="J4915">
        <v>-421.9049</v>
      </c>
      <c r="K4915">
        <v>1.1099730000000001</v>
      </c>
      <c r="L4915">
        <v>93.207639999999998</v>
      </c>
      <c r="M4915">
        <v>6.0201760000000003E-3</v>
      </c>
      <c r="N4915">
        <v>0</v>
      </c>
      <c r="O4915">
        <v>-0.99989130000000004</v>
      </c>
      <c r="P4915">
        <v>-4.113758E-2</v>
      </c>
      <c r="Q4915">
        <v>-2.6377830000000001E-2</v>
      </c>
      <c r="R4915">
        <v>-0.99880539999999995</v>
      </c>
      <c r="S4915">
        <v>4.1656489999999997E-2</v>
      </c>
      <c r="T4915">
        <v>-0.12504119999999999</v>
      </c>
      <c r="U4915">
        <v>-3.0018919999999998</v>
      </c>
      <c r="V4915">
        <v>4.7140920000000003E-2</v>
      </c>
      <c r="W4915">
        <v>-1.295992E-2</v>
      </c>
      <c r="X4915">
        <v>0.99880420000000003</v>
      </c>
      <c r="Y4915">
        <v>-7.8429969999999904E-3</v>
      </c>
      <c r="Z4915">
        <v>4.1614289999999998E-2</v>
      </c>
      <c r="AA4915">
        <v>0.99910299999999996</v>
      </c>
      <c r="AB4915">
        <v>20</v>
      </c>
      <c r="AC4915">
        <v>0.368400000000008</v>
      </c>
      <c r="AD4915">
        <v>-1.10997656850699</v>
      </c>
      <c r="AE4915">
        <v>-26.253260000000001</v>
      </c>
      <c r="AF4915">
        <v>-0.209954527299517</v>
      </c>
      <c r="AG4915">
        <v>-1.10997656850699</v>
      </c>
      <c r="AH4915">
        <v>26.2081627055159</v>
      </c>
      <c r="AI4915">
        <v>92.4250823039919</v>
      </c>
      <c r="AJ4915">
        <v>90.458988717026003</v>
      </c>
      <c r="AK4915">
        <v>26.232497427522301</v>
      </c>
      <c r="AL4915">
        <v>90.742569486033801</v>
      </c>
      <c r="AM4915">
        <v>87.297795825730503</v>
      </c>
      <c r="AN4915">
        <v>1.00000002790124</v>
      </c>
    </row>
    <row r="4916" spans="1:40" x14ac:dyDescent="0.25">
      <c r="A4916" t="str">
        <f>"20190312161414599"</f>
        <v>20190312161414599</v>
      </c>
      <c r="B4916" t="str">
        <f>"1552378454591697"</f>
        <v>1552378454591697</v>
      </c>
      <c r="C4916" t="s">
        <v>40</v>
      </c>
      <c r="D4916">
        <v>5.7414319999999996</v>
      </c>
      <c r="E4916">
        <v>0.49913410000000002</v>
      </c>
      <c r="F4916" t="s">
        <v>43</v>
      </c>
      <c r="G4916">
        <v>-421.93520000000001</v>
      </c>
      <c r="H4916">
        <v>1.0510090000000001</v>
      </c>
      <c r="I4916">
        <v>92.354209999999995</v>
      </c>
      <c r="J4916">
        <v>-421.90429999999998</v>
      </c>
      <c r="K4916">
        <v>1.1099749999999999</v>
      </c>
      <c r="L4916">
        <v>93.006770000000003</v>
      </c>
      <c r="M4916">
        <v>5.494667E-3</v>
      </c>
      <c r="N4916">
        <v>0</v>
      </c>
      <c r="O4916">
        <v>-0.99989439999999996</v>
      </c>
      <c r="P4916">
        <v>-4.1301820000000003E-2</v>
      </c>
      <c r="Q4916">
        <v>-2.5730240000000001E-2</v>
      </c>
      <c r="R4916">
        <v>-0.99881540000000002</v>
      </c>
      <c r="S4916">
        <v>-0.1060181</v>
      </c>
      <c r="T4916">
        <v>-0.2068255</v>
      </c>
      <c r="U4916">
        <v>-2.9937740000000002</v>
      </c>
      <c r="V4916">
        <v>4.6780879999999997E-2</v>
      </c>
      <c r="W4916">
        <v>-1.232486E-2</v>
      </c>
      <c r="X4916">
        <v>0.99882910000000003</v>
      </c>
      <c r="Y4916">
        <v>4.0797819999999999E-2</v>
      </c>
      <c r="Z4916">
        <v>6.8869180000000002E-2</v>
      </c>
      <c r="AA4916">
        <v>0.99679110000000004</v>
      </c>
      <c r="AB4916">
        <v>20</v>
      </c>
      <c r="AC4916">
        <v>-3.0900000000031E-2</v>
      </c>
      <c r="AD4916">
        <v>-5.8965999999999803E-2</v>
      </c>
      <c r="AE4916">
        <v>-0.65255999999999403</v>
      </c>
      <c r="AF4916">
        <v>3.4206780362362799E-2</v>
      </c>
      <c r="AG4916">
        <v>-5.8965999999999803E-2</v>
      </c>
      <c r="AH4916">
        <v>0.64710845089523605</v>
      </c>
      <c r="AI4916">
        <v>95.199324358208401</v>
      </c>
      <c r="AJ4916">
        <v>86.974105825851893</v>
      </c>
      <c r="AK4916">
        <v>0.65068920399741603</v>
      </c>
      <c r="AL4916">
        <v>90.706180367113703</v>
      </c>
      <c r="AM4916">
        <v>87.318470491772501</v>
      </c>
      <c r="AN4916">
        <v>0.99999996195720098</v>
      </c>
    </row>
    <row r="4917" spans="1:40" x14ac:dyDescent="0.25">
      <c r="A4917" t="str">
        <f>"20190312161414633"</f>
        <v>20190312161414633</v>
      </c>
      <c r="B4917" t="str">
        <f>"1552378454620975"</f>
        <v>1552378454620975</v>
      </c>
      <c r="C4917" t="s">
        <v>40</v>
      </c>
      <c r="D4917">
        <v>5.6589320000000001</v>
      </c>
      <c r="E4917">
        <v>0.49944379999999999</v>
      </c>
      <c r="F4917" t="s">
        <v>42</v>
      </c>
      <c r="G4917">
        <v>-422.58300000000003</v>
      </c>
      <c r="H4917" s="1">
        <v>-3.0684749999999999E-6</v>
      </c>
      <c r="I4917">
        <v>75.139759999999995</v>
      </c>
      <c r="J4917">
        <v>-421.90370000000001</v>
      </c>
      <c r="K4917">
        <v>1.1099779999999999</v>
      </c>
      <c r="L4917">
        <v>92.716430000000003</v>
      </c>
      <c r="M4917">
        <v>4.7319279999999998E-3</v>
      </c>
      <c r="N4917">
        <v>0</v>
      </c>
      <c r="O4917">
        <v>-0.99989850000000002</v>
      </c>
      <c r="P4917">
        <v>-4.2271389999999999E-2</v>
      </c>
      <c r="Q4917">
        <v>-2.526339E-2</v>
      </c>
      <c r="R4917">
        <v>-0.99878679999999997</v>
      </c>
      <c r="S4917">
        <v>-0.11373900000000001</v>
      </c>
      <c r="T4917">
        <v>-0.18600549999999999</v>
      </c>
      <c r="U4917">
        <v>-2.9940799999999999</v>
      </c>
      <c r="V4917">
        <v>4.6988960000000003E-2</v>
      </c>
      <c r="W4917">
        <v>-1.1881060000000001E-2</v>
      </c>
      <c r="X4917">
        <v>0.99882479999999996</v>
      </c>
      <c r="Y4917">
        <v>4.2616179999999997E-2</v>
      </c>
      <c r="Z4917">
        <v>6.1953420000000002E-2</v>
      </c>
      <c r="AA4917">
        <v>0.99716879999999997</v>
      </c>
      <c r="AB4917">
        <v>20</v>
      </c>
      <c r="AC4917">
        <v>-0.67930000000001201</v>
      </c>
      <c r="AD4917">
        <v>-1.109981068475</v>
      </c>
      <c r="AE4917">
        <v>-17.57667</v>
      </c>
      <c r="AF4917">
        <v>0.75944726359108405</v>
      </c>
      <c r="AG4917">
        <v>-1.109981068475</v>
      </c>
      <c r="AH4917">
        <v>17.503557963471501</v>
      </c>
      <c r="AI4917">
        <v>93.625128516785296</v>
      </c>
      <c r="AJ4917">
        <v>87.515599462927995</v>
      </c>
      <c r="AK4917">
        <v>17.555151936088599</v>
      </c>
      <c r="AL4917">
        <v>90.680750575452905</v>
      </c>
      <c r="AM4917">
        <v>87.306549073291606</v>
      </c>
      <c r="AN4917">
        <v>1.0000000515218199</v>
      </c>
    </row>
    <row r="4918" spans="1:40" x14ac:dyDescent="0.25">
      <c r="A4918" t="str">
        <f>"20190312161414654"</f>
        <v>20190312161414654</v>
      </c>
      <c r="B4918" t="str">
        <f>"1552378454650841"</f>
        <v>1552378454650841</v>
      </c>
      <c r="C4918" t="s">
        <v>40</v>
      </c>
      <c r="D4918">
        <v>5.8232410000000003</v>
      </c>
      <c r="E4918">
        <v>0.50008149999999996</v>
      </c>
      <c r="F4918" t="s">
        <v>43</v>
      </c>
      <c r="G4918">
        <v>-421.9391</v>
      </c>
      <c r="H4918">
        <v>1.0519419999999999</v>
      </c>
      <c r="I4918">
        <v>91.829909999999998</v>
      </c>
      <c r="J4918">
        <v>-421.9033</v>
      </c>
      <c r="K4918">
        <v>1.1099779999999999</v>
      </c>
      <c r="L4918">
        <v>92.520319999999998</v>
      </c>
      <c r="M4918">
        <v>4.2180079999999997E-3</v>
      </c>
      <c r="N4918">
        <v>0</v>
      </c>
      <c r="O4918">
        <v>-0.99990109999999999</v>
      </c>
      <c r="P4918">
        <v>-4.2936340000000003E-2</v>
      </c>
      <c r="Q4918">
        <v>-2.4670500000000001E-2</v>
      </c>
      <c r="R4918">
        <v>-0.99877329999999998</v>
      </c>
      <c r="S4918">
        <v>-0.1188049</v>
      </c>
      <c r="T4918">
        <v>-0.19596420000000001</v>
      </c>
      <c r="U4918">
        <v>-2.993652</v>
      </c>
      <c r="V4918">
        <v>4.7141120000000002E-2</v>
      </c>
      <c r="W4918">
        <v>-1.1301540000000001E-2</v>
      </c>
      <c r="X4918">
        <v>0.9988243</v>
      </c>
      <c r="Y4918">
        <v>4.3784579999999997E-2</v>
      </c>
      <c r="Z4918">
        <v>6.5262349999999997E-2</v>
      </c>
      <c r="AA4918">
        <v>0.99690710000000005</v>
      </c>
      <c r="AB4918">
        <v>20</v>
      </c>
      <c r="AC4918">
        <v>-3.5799999999994697E-2</v>
      </c>
      <c r="AD4918">
        <v>-5.8036000000000199E-2</v>
      </c>
      <c r="AE4918">
        <v>-0.69040999999999997</v>
      </c>
      <c r="AF4918">
        <v>3.8441196912988203E-2</v>
      </c>
      <c r="AG4918">
        <v>-5.8036000000000199E-2</v>
      </c>
      <c r="AH4918">
        <v>0.68542255068027103</v>
      </c>
      <c r="AI4918">
        <v>94.832238369656906</v>
      </c>
      <c r="AJ4918">
        <v>86.7899897433837</v>
      </c>
      <c r="AK4918">
        <v>0.68894845663311499</v>
      </c>
      <c r="AL4918">
        <v>90.647544331578402</v>
      </c>
      <c r="AM4918">
        <v>87.297838676224302</v>
      </c>
      <c r="AN4918">
        <v>0.99999999613585699</v>
      </c>
    </row>
    <row r="4919" spans="1:40" x14ac:dyDescent="0.25">
      <c r="A4919" t="str">
        <f>"20190312161414678"</f>
        <v>20190312161414678</v>
      </c>
      <c r="B4919" t="str">
        <f>"1552378454671338"</f>
        <v>1552378454671338</v>
      </c>
      <c r="C4919" t="s">
        <v>40</v>
      </c>
      <c r="D4919">
        <v>5.8502599999999996</v>
      </c>
      <c r="E4919">
        <v>0.49984780000000001</v>
      </c>
      <c r="F4919" t="s">
        <v>43</v>
      </c>
      <c r="G4919">
        <v>-421.93979999999999</v>
      </c>
      <c r="H4919">
        <v>1.051911</v>
      </c>
      <c r="I4919">
        <v>91.658469999999994</v>
      </c>
      <c r="J4919">
        <v>-421.90309999999999</v>
      </c>
      <c r="K4919">
        <v>1.1099829999999999</v>
      </c>
      <c r="L4919">
        <v>92.316890000000001</v>
      </c>
      <c r="M4919">
        <v>3.6871999999999999E-3</v>
      </c>
      <c r="N4919">
        <v>0</v>
      </c>
      <c r="O4919">
        <v>-0.9999034</v>
      </c>
      <c r="P4919">
        <v>-4.3504069999999999E-2</v>
      </c>
      <c r="Q4919">
        <v>-2.5004510000000001E-2</v>
      </c>
      <c r="R4919">
        <v>-0.99874030000000003</v>
      </c>
      <c r="S4919">
        <v>-0.12600710000000001</v>
      </c>
      <c r="T4919">
        <v>-0.2016599</v>
      </c>
      <c r="U4919">
        <v>-2.9932859999999999</v>
      </c>
      <c r="V4919">
        <v>4.7178449999999997E-2</v>
      </c>
      <c r="W4919">
        <v>-1.164807E-2</v>
      </c>
      <c r="X4919">
        <v>0.9988186</v>
      </c>
      <c r="Y4919">
        <v>4.5648359999999999E-2</v>
      </c>
      <c r="Z4919">
        <v>6.7153060000000001E-2</v>
      </c>
      <c r="AA4919">
        <v>0.99669790000000003</v>
      </c>
      <c r="AB4919">
        <v>20</v>
      </c>
      <c r="AC4919">
        <v>-3.6699999999996097E-2</v>
      </c>
      <c r="AD4919">
        <v>-5.8071999999999901E-2</v>
      </c>
      <c r="AE4919">
        <v>-0.658420000000006</v>
      </c>
      <c r="AF4919">
        <v>3.88265955120757E-2</v>
      </c>
      <c r="AG4919">
        <v>-5.8071999999999901E-2</v>
      </c>
      <c r="AH4919">
        <v>0.65321452959820103</v>
      </c>
      <c r="AI4919">
        <v>95.071442312443907</v>
      </c>
      <c r="AJ4919">
        <v>86.598382862987293</v>
      </c>
      <c r="AK4919">
        <v>0.65693917784012401</v>
      </c>
      <c r="AL4919">
        <v>90.667400316433302</v>
      </c>
      <c r="AM4919">
        <v>87.295686660449206</v>
      </c>
      <c r="AN4919">
        <v>1.0000000396925399</v>
      </c>
    </row>
    <row r="4920" spans="1:40" x14ac:dyDescent="0.25">
      <c r="A4920" t="str">
        <f>"20190312161414699"</f>
        <v>20190312161414699</v>
      </c>
      <c r="B4920" t="str">
        <f>"1552378454690858"</f>
        <v>1552378454690858</v>
      </c>
      <c r="C4920" t="s">
        <v>40</v>
      </c>
      <c r="D4920">
        <v>5.8528650000000004</v>
      </c>
      <c r="E4920">
        <v>0.4995733</v>
      </c>
      <c r="F4920" t="s">
        <v>42</v>
      </c>
      <c r="G4920">
        <v>-422.59100000000001</v>
      </c>
      <c r="H4920" s="1">
        <v>-3.4244970000000001E-6</v>
      </c>
      <c r="I4920">
        <v>75.964659999999995</v>
      </c>
      <c r="J4920">
        <v>-421.90300000000002</v>
      </c>
      <c r="K4920">
        <v>1.109988</v>
      </c>
      <c r="L4920">
        <v>92.125399999999999</v>
      </c>
      <c r="M4920">
        <v>3.1896649999999999E-3</v>
      </c>
      <c r="N4920">
        <v>0</v>
      </c>
      <c r="O4920">
        <v>-0.99990559999999995</v>
      </c>
      <c r="P4920">
        <v>-4.4497160000000001E-2</v>
      </c>
      <c r="Q4920">
        <v>-2.5185860000000001E-2</v>
      </c>
      <c r="R4920">
        <v>-0.99869229999999998</v>
      </c>
      <c r="S4920">
        <v>-0.12591550000000001</v>
      </c>
      <c r="T4920">
        <v>-0.20317760000000001</v>
      </c>
      <c r="U4920">
        <v>-2.9931950000000001</v>
      </c>
      <c r="V4920">
        <v>4.767445E-2</v>
      </c>
      <c r="W4920">
        <v>-1.184167E-2</v>
      </c>
      <c r="X4920">
        <v>0.99879269999999998</v>
      </c>
      <c r="Y4920">
        <v>4.51207E-2</v>
      </c>
      <c r="Z4920">
        <v>6.7659200000000003E-2</v>
      </c>
      <c r="AA4920">
        <v>0.99668769999999995</v>
      </c>
      <c r="AB4920">
        <v>20</v>
      </c>
      <c r="AC4920">
        <v>-0.68799999999998795</v>
      </c>
      <c r="AD4920">
        <v>-1.1099914244969999</v>
      </c>
      <c r="AE4920">
        <v>-16.160740000000001</v>
      </c>
      <c r="AF4920">
        <v>0.73608222600636497</v>
      </c>
      <c r="AG4920">
        <v>-1.1099914244969999</v>
      </c>
      <c r="AH4920">
        <v>16.0827292276098</v>
      </c>
      <c r="AI4920">
        <v>93.944040711026105</v>
      </c>
      <c r="AJ4920">
        <v>87.379487464986397</v>
      </c>
      <c r="AK4920">
        <v>16.137784154415801</v>
      </c>
      <c r="AL4920">
        <v>90.678493592738903</v>
      </c>
      <c r="AM4920">
        <v>87.267227589786003</v>
      </c>
      <c r="AN4920">
        <v>0.99999996795224</v>
      </c>
    </row>
    <row r="4921" spans="1:40" x14ac:dyDescent="0.25">
      <c r="A4921" t="str">
        <f>"20190312161414722"</f>
        <v>20190312161414722</v>
      </c>
      <c r="B4921" t="str">
        <f>"1552378454711354"</f>
        <v>1552378454711354</v>
      </c>
      <c r="C4921" t="s">
        <v>40</v>
      </c>
      <c r="D4921">
        <v>5.8534560000000004</v>
      </c>
      <c r="E4921">
        <v>0.49940010000000001</v>
      </c>
      <c r="F4921" t="s">
        <v>42</v>
      </c>
      <c r="G4921">
        <v>-422.60750000000002</v>
      </c>
      <c r="H4921" s="1">
        <v>-3.20895E-6</v>
      </c>
      <c r="I4921">
        <v>75.452010000000001</v>
      </c>
      <c r="J4921">
        <v>-421.90300000000002</v>
      </c>
      <c r="K4921">
        <v>1.1099840000000001</v>
      </c>
      <c r="L4921">
        <v>91.93674</v>
      </c>
      <c r="M4921">
        <v>2.7015250000000002E-3</v>
      </c>
      <c r="N4921">
        <v>0</v>
      </c>
      <c r="O4921">
        <v>-0.99990679999999998</v>
      </c>
      <c r="P4921">
        <v>-4.6417949999999999E-2</v>
      </c>
      <c r="Q4921">
        <v>-2.5316809999999999E-2</v>
      </c>
      <c r="R4921">
        <v>-0.99860139999999997</v>
      </c>
      <c r="S4921">
        <v>-0.12646479999999999</v>
      </c>
      <c r="T4921">
        <v>-0.199271</v>
      </c>
      <c r="U4921">
        <v>-2.9932859999999999</v>
      </c>
      <c r="V4921">
        <v>4.9107489999999997E-2</v>
      </c>
      <c r="W4921">
        <v>-1.198568E-2</v>
      </c>
      <c r="X4921">
        <v>0.99872159999999999</v>
      </c>
      <c r="Y4921">
        <v>4.4817999999999997E-2</v>
      </c>
      <c r="Z4921">
        <v>6.6362399999999905E-2</v>
      </c>
      <c r="AA4921">
        <v>0.99678860000000002</v>
      </c>
      <c r="AB4921">
        <v>20</v>
      </c>
      <c r="AC4921">
        <v>-0.70449999999999502</v>
      </c>
      <c r="AD4921">
        <v>-1.10998720895</v>
      </c>
      <c r="AE4921">
        <v>-16.484729999999999</v>
      </c>
      <c r="AF4921">
        <v>0.74566073690333201</v>
      </c>
      <c r="AG4921">
        <v>-1.10998720895</v>
      </c>
      <c r="AH4921">
        <v>16.408507477511801</v>
      </c>
      <c r="AI4921">
        <v>93.866017036626403</v>
      </c>
      <c r="AJ4921">
        <v>87.398066816335401</v>
      </c>
      <c r="AK4921">
        <v>16.462903728630401</v>
      </c>
      <c r="AL4921">
        <v>90.6867453093367</v>
      </c>
      <c r="AM4921">
        <v>87.185013662173404</v>
      </c>
      <c r="AN4921">
        <v>1.0000000182028601</v>
      </c>
    </row>
    <row r="4922" spans="1:40" x14ac:dyDescent="0.25">
      <c r="A4922" t="str">
        <f>"20190312161414744"</f>
        <v>20190312161414744</v>
      </c>
      <c r="B4922" t="str">
        <f>"1552378454730874"</f>
        <v>1552378454730874</v>
      </c>
      <c r="C4922" t="s">
        <v>40</v>
      </c>
      <c r="D4922">
        <v>5.7988910000000002</v>
      </c>
      <c r="E4922">
        <v>0.49920229999999999</v>
      </c>
      <c r="F4922" t="s">
        <v>42</v>
      </c>
      <c r="G4922">
        <v>-422.66019999999997</v>
      </c>
      <c r="H4922" s="1">
        <v>-2.877286E-6</v>
      </c>
      <c r="I4922">
        <v>74.646230000000003</v>
      </c>
      <c r="J4922">
        <v>-421.90309999999999</v>
      </c>
      <c r="K4922">
        <v>1.1099859999999999</v>
      </c>
      <c r="L4922">
        <v>91.744230000000002</v>
      </c>
      <c r="M4922">
        <v>2.205327E-3</v>
      </c>
      <c r="N4922">
        <v>0</v>
      </c>
      <c r="O4922">
        <v>-0.99990820000000002</v>
      </c>
      <c r="P4922">
        <v>-4.8030959999999998E-2</v>
      </c>
      <c r="Q4922">
        <v>-2.5021910000000001E-2</v>
      </c>
      <c r="R4922">
        <v>-0.99853259999999999</v>
      </c>
      <c r="S4922">
        <v>-0.131073</v>
      </c>
      <c r="T4922">
        <v>-0.1921561</v>
      </c>
      <c r="U4922">
        <v>-2.9932560000000001</v>
      </c>
      <c r="V4922">
        <v>5.0225110000000003E-2</v>
      </c>
      <c r="W4922">
        <v>-1.1702600000000001E-2</v>
      </c>
      <c r="X4922">
        <v>0.99866940000000004</v>
      </c>
      <c r="Y4922">
        <v>4.5861140000000002E-2</v>
      </c>
      <c r="Z4922">
        <v>6.3999990000000007E-2</v>
      </c>
      <c r="AA4922">
        <v>0.99689559999999999</v>
      </c>
      <c r="AB4922">
        <v>19</v>
      </c>
      <c r="AC4922">
        <v>-0.75709999999997901</v>
      </c>
      <c r="AD4922">
        <v>-1.109988877286</v>
      </c>
      <c r="AE4922">
        <v>-17.097999999999999</v>
      </c>
      <c r="AF4922">
        <v>0.79147904447542705</v>
      </c>
      <c r="AG4922">
        <v>-1.109988877286</v>
      </c>
      <c r="AH4922">
        <v>17.0246784186699</v>
      </c>
      <c r="AI4922">
        <v>93.726323848573003</v>
      </c>
      <c r="AJ4922">
        <v>87.338229888623999</v>
      </c>
      <c r="AK4922">
        <v>17.079174149960199</v>
      </c>
      <c r="AL4922">
        <v>90.670524866915102</v>
      </c>
      <c r="AM4922">
        <v>87.120904738405798</v>
      </c>
      <c r="AN4922">
        <v>1.0000000415088099</v>
      </c>
    </row>
    <row r="4923" spans="1:40" x14ac:dyDescent="0.25">
      <c r="A4923" t="str">
        <f>"20190312161414766"</f>
        <v>20190312161414766</v>
      </c>
      <c r="B4923" t="str">
        <f>"1552378454760985"</f>
        <v>1552378454760985</v>
      </c>
      <c r="C4923" t="s">
        <v>40</v>
      </c>
      <c r="D4923">
        <v>5.8646099999999999</v>
      </c>
      <c r="E4923">
        <v>0.49364219999999998</v>
      </c>
      <c r="F4923" t="s">
        <v>42</v>
      </c>
      <c r="G4923">
        <v>-422.69159999999999</v>
      </c>
      <c r="H4923" s="1">
        <v>-2.6734600000000001E-6</v>
      </c>
      <c r="I4923">
        <v>74.151579999999996</v>
      </c>
      <c r="J4923">
        <v>-421.9033</v>
      </c>
      <c r="K4923">
        <v>1.1099840000000001</v>
      </c>
      <c r="L4923">
        <v>91.548829999999995</v>
      </c>
      <c r="M4923">
        <v>1.7029E-3</v>
      </c>
      <c r="N4923">
        <v>0</v>
      </c>
      <c r="O4923">
        <v>-0.99990939999999995</v>
      </c>
      <c r="P4923">
        <v>-4.9659259999999997E-2</v>
      </c>
      <c r="Q4923">
        <v>-2.4742110000000001E-2</v>
      </c>
      <c r="R4923">
        <v>-0.99845980000000001</v>
      </c>
      <c r="S4923">
        <v>-0.13415529999999901</v>
      </c>
      <c r="T4923">
        <v>-0.1888542</v>
      </c>
      <c r="U4923">
        <v>-2.9932249999999998</v>
      </c>
      <c r="V4923">
        <v>5.1351809999999998E-2</v>
      </c>
      <c r="W4923">
        <v>-1.1433550000000001E-2</v>
      </c>
      <c r="X4923">
        <v>0.99861509999999998</v>
      </c>
      <c r="Y4923">
        <v>4.6387299999999999E-2</v>
      </c>
      <c r="Z4923">
        <v>6.2903199999999895E-2</v>
      </c>
      <c r="AA4923">
        <v>0.99694099999999997</v>
      </c>
      <c r="AB4923">
        <v>19</v>
      </c>
      <c r="AC4923">
        <v>-0.78829999999999201</v>
      </c>
      <c r="AD4923">
        <v>-1.1099866734599999</v>
      </c>
      <c r="AE4923">
        <v>-17.39725</v>
      </c>
      <c r="AF4923">
        <v>0.81461796450642598</v>
      </c>
      <c r="AG4923">
        <v>-1.1099866734599999</v>
      </c>
      <c r="AH4923">
        <v>17.3254990055569</v>
      </c>
      <c r="AI4923">
        <v>93.661704452430001</v>
      </c>
      <c r="AJ4923">
        <v>87.3080243118048</v>
      </c>
      <c r="AK4923">
        <v>17.380120501161901</v>
      </c>
      <c r="AL4923">
        <v>90.6551084820196</v>
      </c>
      <c r="AM4923">
        <v>87.056270555989499</v>
      </c>
      <c r="AN4923">
        <v>0.999999926201941</v>
      </c>
    </row>
    <row r="4924" spans="1:40" x14ac:dyDescent="0.25">
      <c r="A4924" t="str">
        <f>"20190312161414788"</f>
        <v>20190312161414788</v>
      </c>
      <c r="B4924" t="str">
        <f>"1552378454781478"</f>
        <v>1552378454781478</v>
      </c>
      <c r="C4924" t="s">
        <v>40</v>
      </c>
      <c r="D4924">
        <v>5.8776129999999904</v>
      </c>
      <c r="E4924">
        <v>0.49412650000000002</v>
      </c>
      <c r="F4924" t="s">
        <v>42</v>
      </c>
      <c r="G4924">
        <v>-422.96870000000001</v>
      </c>
      <c r="H4924" s="1">
        <v>-4.5462830000000002E-6</v>
      </c>
      <c r="I4924">
        <v>58.798810000000003</v>
      </c>
      <c r="J4924">
        <v>-421.90359999999998</v>
      </c>
      <c r="K4924">
        <v>1.1099889999999999</v>
      </c>
      <c r="L4924">
        <v>91.355159999999998</v>
      </c>
      <c r="M4924">
        <v>1.2053439999999999E-3</v>
      </c>
      <c r="N4924">
        <v>0</v>
      </c>
      <c r="O4924">
        <v>-0.99991039999999998</v>
      </c>
      <c r="P4924">
        <v>-5.069568E-2</v>
      </c>
      <c r="Q4924">
        <v>-2.4642130000000002E-2</v>
      </c>
      <c r="R4924">
        <v>-0.99841029999999997</v>
      </c>
      <c r="S4924">
        <v>-9.7503660000000006E-2</v>
      </c>
      <c r="T4924">
        <v>-0.1015851</v>
      </c>
      <c r="U4924">
        <v>-2.9972530000000002</v>
      </c>
      <c r="V4924">
        <v>5.1891489999999998E-2</v>
      </c>
      <c r="W4924">
        <v>-1.134249E-2</v>
      </c>
      <c r="X4924">
        <v>0.99858829999999998</v>
      </c>
      <c r="Y4924">
        <v>3.3699960000000001E-2</v>
      </c>
      <c r="Z4924">
        <v>3.3854699999999897E-2</v>
      </c>
      <c r="AA4924">
        <v>0.99885849999999998</v>
      </c>
      <c r="AB4924">
        <v>19</v>
      </c>
      <c r="AC4924">
        <v>-1.0651000000000199</v>
      </c>
      <c r="AD4924">
        <v>-1.109993546283</v>
      </c>
      <c r="AE4924">
        <v>-32.556350000000002</v>
      </c>
      <c r="AF4924">
        <v>1.1030634441036</v>
      </c>
      <c r="AG4924">
        <v>-1.109993546283</v>
      </c>
      <c r="AH4924">
        <v>32.517283534488399</v>
      </c>
      <c r="AI4924">
        <v>91.953937593976207</v>
      </c>
      <c r="AJ4924">
        <v>88.057136162358901</v>
      </c>
      <c r="AK4924">
        <v>32.554916112575299</v>
      </c>
      <c r="AL4924">
        <v>90.649890750835993</v>
      </c>
      <c r="AM4924">
        <v>87.025309121055301</v>
      </c>
      <c r="AN4924">
        <v>0.99999998585535499</v>
      </c>
    </row>
    <row r="4925" spans="1:40" x14ac:dyDescent="0.25">
      <c r="A4925" t="str">
        <f>"20190312161414810"</f>
        <v>20190312161414810</v>
      </c>
      <c r="B4925" t="str">
        <f>"1552378454800999"</f>
        <v>1552378454800999</v>
      </c>
      <c r="C4925" t="s">
        <v>40</v>
      </c>
      <c r="D4925">
        <v>5.799023</v>
      </c>
      <c r="E4925">
        <v>0.49477579999999999</v>
      </c>
      <c r="F4925" t="s">
        <v>42</v>
      </c>
      <c r="G4925">
        <v>-422.90789999999998</v>
      </c>
      <c r="H4925" s="1">
        <v>-1.9835090000000002E-6</v>
      </c>
      <c r="I4925">
        <v>62.409170000000003</v>
      </c>
      <c r="J4925">
        <v>-421.904</v>
      </c>
      <c r="K4925">
        <v>1.1099889999999999</v>
      </c>
      <c r="L4925">
        <v>91.160489999999996</v>
      </c>
      <c r="M4925">
        <v>7.0530300000000001E-4</v>
      </c>
      <c r="N4925">
        <v>0</v>
      </c>
      <c r="O4925">
        <v>-0.99991079999999999</v>
      </c>
      <c r="P4925">
        <v>-5.1811969999999999E-2</v>
      </c>
      <c r="Q4925">
        <v>-2.4765619999999999E-2</v>
      </c>
      <c r="R4925">
        <v>-0.99835010000000002</v>
      </c>
      <c r="S4925">
        <v>-0.10397339999999999</v>
      </c>
      <c r="T4925">
        <v>-0.1149133</v>
      </c>
      <c r="U4925">
        <v>-2.9966740000000001</v>
      </c>
      <c r="V4925">
        <v>5.2508409999999998E-2</v>
      </c>
      <c r="W4925">
        <v>-1.1474379999999999E-2</v>
      </c>
      <c r="X4925">
        <v>0.99855459999999996</v>
      </c>
      <c r="Y4925">
        <v>3.5354900000000002E-2</v>
      </c>
      <c r="Z4925">
        <v>3.8295309999999999E-2</v>
      </c>
      <c r="AA4925">
        <v>0.9986408</v>
      </c>
      <c r="AB4925">
        <v>19</v>
      </c>
      <c r="AC4925">
        <v>-1.00389999999998</v>
      </c>
      <c r="AD4925">
        <v>-1.1099909835089901</v>
      </c>
      <c r="AE4925">
        <v>-28.75132</v>
      </c>
      <c r="AF4925">
        <v>1.02265756178939</v>
      </c>
      <c r="AG4925">
        <v>-1.1099909835089901</v>
      </c>
      <c r="AH4925">
        <v>28.707868608151198</v>
      </c>
      <c r="AI4925">
        <v>92.212838622971503</v>
      </c>
      <c r="AJ4925">
        <v>87.959820815695906</v>
      </c>
      <c r="AK4925">
        <v>28.747515170793999</v>
      </c>
      <c r="AL4925">
        <v>90.657447946305695</v>
      </c>
      <c r="AM4925">
        <v>86.989907303331904</v>
      </c>
      <c r="AN4925">
        <v>1.0000000418491299</v>
      </c>
    </row>
    <row r="4926" spans="1:40" x14ac:dyDescent="0.25">
      <c r="A4926" t="str">
        <f>"20190312161414834"</f>
        <v>20190312161414834</v>
      </c>
      <c r="B4926" t="str">
        <f>"1552378454821494"</f>
        <v>1552378454821494</v>
      </c>
      <c r="C4926" t="s">
        <v>40</v>
      </c>
      <c r="D4926">
        <v>5.8784580000000002</v>
      </c>
      <c r="E4926">
        <v>0.49508580000000002</v>
      </c>
      <c r="F4926" t="s">
        <v>42</v>
      </c>
      <c r="G4926">
        <v>-422.95589999999999</v>
      </c>
      <c r="H4926" s="1">
        <v>-2.2877519999999999E-6</v>
      </c>
      <c r="I4926">
        <v>63.0886</v>
      </c>
      <c r="J4926">
        <v>-421.90440000000001</v>
      </c>
      <c r="K4926">
        <v>1.109993</v>
      </c>
      <c r="L4926">
        <v>90.962649999999996</v>
      </c>
      <c r="M4926">
        <v>1.9601490000000001E-4</v>
      </c>
      <c r="N4926">
        <v>0</v>
      </c>
      <c r="O4926">
        <v>-0.99991110000000005</v>
      </c>
      <c r="P4926">
        <v>-5.2971259999999999E-2</v>
      </c>
      <c r="Q4926">
        <v>-2.465674E-2</v>
      </c>
      <c r="R4926">
        <v>-0.99829179999999995</v>
      </c>
      <c r="S4926">
        <v>-0.1122742</v>
      </c>
      <c r="T4926">
        <v>-0.1184722</v>
      </c>
      <c r="U4926">
        <v>-2.9961850000000001</v>
      </c>
      <c r="V4926">
        <v>5.31593E-2</v>
      </c>
      <c r="W4926">
        <v>-1.1373339999999999E-2</v>
      </c>
      <c r="X4926">
        <v>0.99852129999999995</v>
      </c>
      <c r="Y4926">
        <v>3.7612800000000002E-2</v>
      </c>
      <c r="Z4926">
        <v>3.9482339999999998E-2</v>
      </c>
      <c r="AA4926">
        <v>0.99851210000000001</v>
      </c>
      <c r="AB4926">
        <v>19</v>
      </c>
      <c r="AC4926">
        <v>-1.0514999999999699</v>
      </c>
      <c r="AD4926">
        <v>-1.1099952877519901</v>
      </c>
      <c r="AE4926">
        <v>-27.87405</v>
      </c>
      <c r="AF4926">
        <v>1.05529311303567</v>
      </c>
      <c r="AG4926">
        <v>-1.1099952877519901</v>
      </c>
      <c r="AH4926">
        <v>27.8297742322017</v>
      </c>
      <c r="AI4926">
        <v>92.282402671367805</v>
      </c>
      <c r="AJ4926">
        <v>87.828409034071697</v>
      </c>
      <c r="AK4926">
        <v>27.8718866765164</v>
      </c>
      <c r="AL4926">
        <v>90.651658413977401</v>
      </c>
      <c r="AM4926">
        <v>86.952562899828493</v>
      </c>
      <c r="AN4926">
        <v>1.00000002529646</v>
      </c>
    </row>
    <row r="4927" spans="1:40" x14ac:dyDescent="0.25">
      <c r="A4927" t="str">
        <f>"20190312161414856"</f>
        <v>20190312161414856</v>
      </c>
      <c r="B4927" t="str">
        <f>"1552378454851281"</f>
        <v>1552378454851281</v>
      </c>
      <c r="C4927" t="s">
        <v>40</v>
      </c>
      <c r="D4927">
        <v>5.6935419999999999</v>
      </c>
      <c r="E4927">
        <v>0.53463149999999904</v>
      </c>
      <c r="F4927" t="s">
        <v>42</v>
      </c>
      <c r="G4927">
        <v>-423.00150000000002</v>
      </c>
      <c r="H4927" s="1">
        <v>-2.309857E-6</v>
      </c>
      <c r="I4927">
        <v>63.111840000000001</v>
      </c>
      <c r="J4927">
        <v>-421.90499999999997</v>
      </c>
      <c r="K4927">
        <v>1.109993</v>
      </c>
      <c r="L4927">
        <v>90.77319</v>
      </c>
      <c r="M4927">
        <v>-2.9177549999999998E-4</v>
      </c>
      <c r="N4927">
        <v>0</v>
      </c>
      <c r="O4927">
        <v>-0.99991110000000005</v>
      </c>
      <c r="P4927">
        <v>-5.4064300000000003E-2</v>
      </c>
      <c r="Q4927">
        <v>-2.421597E-2</v>
      </c>
      <c r="R4927">
        <v>-0.99824369999999996</v>
      </c>
      <c r="S4927">
        <v>-0.11801150000000001</v>
      </c>
      <c r="T4927">
        <v>-0.1194022</v>
      </c>
      <c r="U4927">
        <v>-2.995911</v>
      </c>
      <c r="V4927">
        <v>5.3765670000000002E-2</v>
      </c>
      <c r="W4927">
        <v>-1.093939E-2</v>
      </c>
      <c r="X4927">
        <v>0.99849370000000004</v>
      </c>
      <c r="Y4927">
        <v>3.9037570000000001E-2</v>
      </c>
      <c r="Z4927">
        <v>3.9792849999999998E-2</v>
      </c>
      <c r="AA4927">
        <v>0.99844509999999997</v>
      </c>
      <c r="AB4927">
        <v>19</v>
      </c>
      <c r="AC4927">
        <v>-1.09650000000004</v>
      </c>
      <c r="AD4927">
        <v>-1.1099953098569999</v>
      </c>
      <c r="AE4927">
        <v>-27.661349999999999</v>
      </c>
      <c r="AF4927">
        <v>1.08668123967013</v>
      </c>
      <c r="AG4927">
        <v>-1.1099953098569999</v>
      </c>
      <c r="AH4927">
        <v>27.617267617856601</v>
      </c>
      <c r="AI4927">
        <v>92.299819749574397</v>
      </c>
      <c r="AJ4927">
        <v>87.746694323910503</v>
      </c>
      <c r="AK4927">
        <v>27.660918935944</v>
      </c>
      <c r="AL4927">
        <v>90.626793352193403</v>
      </c>
      <c r="AM4927">
        <v>86.9177834372787</v>
      </c>
      <c r="AN4927">
        <v>1.0000000432319001</v>
      </c>
    </row>
    <row r="4928" spans="1:40" x14ac:dyDescent="0.25">
      <c r="A4928" t="str">
        <f>"20190312161414879"</f>
        <v>20190312161414879</v>
      </c>
      <c r="B4928" t="str">
        <f>"1552378454870802"</f>
        <v>1552378454870802</v>
      </c>
      <c r="C4928" t="s">
        <v>40</v>
      </c>
      <c r="D4928">
        <v>5.7732099999999997</v>
      </c>
      <c r="E4928">
        <v>0.53113359999999998</v>
      </c>
      <c r="F4928" t="s">
        <v>43</v>
      </c>
      <c r="G4928">
        <v>-422.01670000000001</v>
      </c>
      <c r="H4928">
        <v>0.94060520000000003</v>
      </c>
      <c r="I4928">
        <v>89.985439999999997</v>
      </c>
      <c r="J4928">
        <v>-421.90570000000002</v>
      </c>
      <c r="K4928">
        <v>1.1099950000000001</v>
      </c>
      <c r="L4928">
        <v>90.573670000000007</v>
      </c>
      <c r="M4928">
        <v>-8.0574909999999995E-4</v>
      </c>
      <c r="N4928">
        <v>0</v>
      </c>
      <c r="O4928">
        <v>-0.99991079999999999</v>
      </c>
      <c r="P4928">
        <v>-5.463573E-2</v>
      </c>
      <c r="Q4928">
        <v>-2.354152E-2</v>
      </c>
      <c r="R4928">
        <v>-0.99822880000000003</v>
      </c>
      <c r="S4928">
        <v>-0.41970829999999998</v>
      </c>
      <c r="T4928">
        <v>-0.63796260000000005</v>
      </c>
      <c r="U4928">
        <v>-2.9670719999999999</v>
      </c>
      <c r="V4928">
        <v>5.3824440000000001E-2</v>
      </c>
      <c r="W4928">
        <v>-1.027053E-2</v>
      </c>
      <c r="X4928">
        <v>0.99849759999999999</v>
      </c>
      <c r="Y4928">
        <v>0.136192799999999</v>
      </c>
      <c r="Z4928">
        <v>0.2082398</v>
      </c>
      <c r="AA4928">
        <v>0.96854929999999995</v>
      </c>
      <c r="AB4928">
        <v>19</v>
      </c>
      <c r="AC4928">
        <v>-0.11099999999999</v>
      </c>
      <c r="AD4928">
        <v>-0.16938980000000001</v>
      </c>
      <c r="AE4928">
        <v>-0.58822999999999503</v>
      </c>
      <c r="AF4928">
        <v>0.102331956894641</v>
      </c>
      <c r="AG4928">
        <v>-0.16938980000000001</v>
      </c>
      <c r="AH4928">
        <v>0.54470336934110497</v>
      </c>
      <c r="AI4928">
        <v>106.994699892713</v>
      </c>
      <c r="AJ4928">
        <v>79.360015495835</v>
      </c>
      <c r="AK4928">
        <v>0.57953989881411905</v>
      </c>
      <c r="AL4928">
        <v>90.588468364982106</v>
      </c>
      <c r="AM4928">
        <v>86.914432873534693</v>
      </c>
      <c r="AN4928">
        <v>1.0000000056667699</v>
      </c>
    </row>
    <row r="4929" spans="1:40" x14ac:dyDescent="0.25">
      <c r="A4929" t="str">
        <f>"20190312161414900"</f>
        <v>20190312161414900</v>
      </c>
      <c r="B4929" t="str">
        <f>"1552378454891297"</f>
        <v>1552378454891297</v>
      </c>
      <c r="C4929" t="s">
        <v>40</v>
      </c>
      <c r="D4929">
        <v>5.7703850000000001</v>
      </c>
      <c r="E4929">
        <v>0.53088859999999904</v>
      </c>
      <c r="F4929" t="s">
        <v>43</v>
      </c>
      <c r="G4929">
        <v>-422.00639999999999</v>
      </c>
      <c r="H4929">
        <v>0.93737910000000002</v>
      </c>
      <c r="I4929">
        <v>89.814899999999994</v>
      </c>
      <c r="J4929">
        <v>-421.90640000000002</v>
      </c>
      <c r="K4929">
        <v>1.109993</v>
      </c>
      <c r="L4929">
        <v>90.389070000000004</v>
      </c>
      <c r="M4929">
        <v>-1.281218E-3</v>
      </c>
      <c r="N4929">
        <v>0</v>
      </c>
      <c r="O4929">
        <v>-0.99991039999999998</v>
      </c>
      <c r="P4929">
        <v>-5.5381710000000001E-2</v>
      </c>
      <c r="Q4929">
        <v>-2.3238310000000002E-2</v>
      </c>
      <c r="R4929">
        <v>-0.9981949</v>
      </c>
      <c r="S4929">
        <v>-0.39227289999999998</v>
      </c>
      <c r="T4929">
        <v>-0.67509770000000002</v>
      </c>
      <c r="U4929">
        <v>-2.9679259999999998</v>
      </c>
      <c r="V4929">
        <v>5.4095989999999997E-2</v>
      </c>
      <c r="W4929">
        <v>-9.972224E-3</v>
      </c>
      <c r="X4929">
        <v>0.99848590000000004</v>
      </c>
      <c r="Y4929">
        <v>0.12655069999999999</v>
      </c>
      <c r="Z4929">
        <v>0.21999750000000001</v>
      </c>
      <c r="AA4929">
        <v>0.96725700000000003</v>
      </c>
      <c r="AB4929">
        <v>19</v>
      </c>
      <c r="AC4929">
        <v>-9.9999999999965894E-2</v>
      </c>
      <c r="AD4929">
        <v>-0.17261389999999999</v>
      </c>
      <c r="AE4929">
        <v>-0.57416999999999496</v>
      </c>
      <c r="AF4929">
        <v>9.1259076457015795E-2</v>
      </c>
      <c r="AG4929">
        <v>-0.17261389999999999</v>
      </c>
      <c r="AH4929">
        <v>0.52798356270282798</v>
      </c>
      <c r="AI4929">
        <v>107.85653461897201</v>
      </c>
      <c r="AJ4929">
        <v>80.193627143649493</v>
      </c>
      <c r="AK4929">
        <v>0.562930208812219</v>
      </c>
      <c r="AL4929">
        <v>90.571375842530898</v>
      </c>
      <c r="AM4929">
        <v>86.898859901715994</v>
      </c>
      <c r="AN4929">
        <v>0.99999995694219701</v>
      </c>
    </row>
    <row r="4930" spans="1:40" x14ac:dyDescent="0.25">
      <c r="A4930" t="str">
        <f>"20190312161414922"</f>
        <v>20190312161414922</v>
      </c>
      <c r="B4930" t="str">
        <f>"1552378454910818"</f>
        <v>1552378454910818</v>
      </c>
      <c r="C4930" t="s">
        <v>40</v>
      </c>
      <c r="D4930">
        <v>5.3193419999999998</v>
      </c>
      <c r="E4930">
        <v>0.52896650000000001</v>
      </c>
      <c r="F4930" t="s">
        <v>43</v>
      </c>
      <c r="G4930">
        <v>-422.00470000000001</v>
      </c>
      <c r="H4930">
        <v>0.93227969999999905</v>
      </c>
      <c r="I4930">
        <v>89.645179999999996</v>
      </c>
      <c r="J4930">
        <v>-421.90719999999999</v>
      </c>
      <c r="K4930">
        <v>1.1099969999999999</v>
      </c>
      <c r="L4930">
        <v>90.196780000000004</v>
      </c>
      <c r="M4930">
        <v>-1.7753179999999999E-3</v>
      </c>
      <c r="N4930">
        <v>0</v>
      </c>
      <c r="O4930">
        <v>-0.99990990000000002</v>
      </c>
      <c r="P4930">
        <v>-5.618513E-2</v>
      </c>
      <c r="Q4930">
        <v>-2.3427779999999999E-2</v>
      </c>
      <c r="R4930">
        <v>-0.99814539999999996</v>
      </c>
      <c r="S4930">
        <v>-0.39181519999999997</v>
      </c>
      <c r="T4930">
        <v>-0.70883609999999997</v>
      </c>
      <c r="U4930">
        <v>-2.9671940000000001</v>
      </c>
      <c r="V4930">
        <v>5.4406080000000002E-2</v>
      </c>
      <c r="W4930">
        <v>-1.016653E-2</v>
      </c>
      <c r="X4930">
        <v>0.99846710000000005</v>
      </c>
      <c r="Y4930">
        <v>0.12562770000000001</v>
      </c>
      <c r="Z4930">
        <v>0.23048579999999999</v>
      </c>
      <c r="AA4930">
        <v>0.96493209999999996</v>
      </c>
      <c r="AB4930">
        <v>19</v>
      </c>
      <c r="AC4930">
        <v>-9.7500000000024997E-2</v>
      </c>
      <c r="AD4930">
        <v>-0.17771729999999999</v>
      </c>
      <c r="AE4930">
        <v>-0.55159999999999298</v>
      </c>
      <c r="AF4930">
        <v>8.76934223658596E-2</v>
      </c>
      <c r="AG4930">
        <v>-0.17771729999999999</v>
      </c>
      <c r="AH4930">
        <v>0.50131110944309898</v>
      </c>
      <c r="AI4930">
        <v>109.249329077621</v>
      </c>
      <c r="AJ4930">
        <v>80.077749202629406</v>
      </c>
      <c r="AK4930">
        <v>0.53906066773285999</v>
      </c>
      <c r="AL4930">
        <v>90.5825093166074</v>
      </c>
      <c r="AM4930">
        <v>86.881059877526496</v>
      </c>
      <c r="AN4930">
        <v>0.99999996482780795</v>
      </c>
    </row>
    <row r="4931" spans="1:40" x14ac:dyDescent="0.25">
      <c r="A4931" t="str">
        <f>"20190312161414944"</f>
        <v>20190312161414944</v>
      </c>
      <c r="B4931" t="str">
        <f>"1552378454941073"</f>
        <v>1552378454941073</v>
      </c>
      <c r="C4931" t="s">
        <v>40</v>
      </c>
      <c r="D4931">
        <v>5.8021659999999997</v>
      </c>
      <c r="E4931">
        <v>0.52689430000000004</v>
      </c>
      <c r="F4931" t="s">
        <v>43</v>
      </c>
      <c r="G4931">
        <v>-422.00069999999999</v>
      </c>
      <c r="H4931">
        <v>0.94215669999999996</v>
      </c>
      <c r="I4931">
        <v>89.468519999999998</v>
      </c>
      <c r="J4931">
        <v>-421.90820000000002</v>
      </c>
      <c r="K4931">
        <v>1.1100000000000001</v>
      </c>
      <c r="L4931">
        <v>90.007080000000002</v>
      </c>
      <c r="M4931">
        <v>-2.2608789999999999E-3</v>
      </c>
      <c r="N4931">
        <v>0</v>
      </c>
      <c r="O4931">
        <v>-0.99990889999999999</v>
      </c>
      <c r="P4931">
        <v>-5.7263210000000002E-2</v>
      </c>
      <c r="Q4931">
        <v>-2.4368020000000001E-2</v>
      </c>
      <c r="R4931">
        <v>-0.9980618</v>
      </c>
      <c r="S4931">
        <v>-0.37905879999999997</v>
      </c>
      <c r="T4931">
        <v>-0.6839672</v>
      </c>
      <c r="U4931">
        <v>-2.9681700000000002</v>
      </c>
      <c r="V4931">
        <v>5.4999010000000001E-2</v>
      </c>
      <c r="W4931">
        <v>-1.111175E-2</v>
      </c>
      <c r="X4931">
        <v>0.9984246</v>
      </c>
      <c r="Y4931">
        <v>0.1212502</v>
      </c>
      <c r="Z4931">
        <v>0.222861</v>
      </c>
      <c r="AA4931">
        <v>0.96728040000000004</v>
      </c>
      <c r="AB4931">
        <v>19</v>
      </c>
      <c r="AC4931">
        <v>-9.2499999999972701E-2</v>
      </c>
      <c r="AD4931">
        <v>-0.1678433</v>
      </c>
      <c r="AE4931">
        <v>-0.53856000000000304</v>
      </c>
      <c r="AF4931">
        <v>8.3412572126689302E-2</v>
      </c>
      <c r="AG4931">
        <v>-0.1678433</v>
      </c>
      <c r="AH4931">
        <v>0.49232036604045998</v>
      </c>
      <c r="AI4931">
        <v>108.57917534705101</v>
      </c>
      <c r="AJ4931">
        <v>80.383842335058105</v>
      </c>
      <c r="AK4931">
        <v>0.52679063522607605</v>
      </c>
      <c r="AL4931">
        <v>90.636669466165401</v>
      </c>
      <c r="AM4931">
        <v>86.847003219623502</v>
      </c>
      <c r="AN4931">
        <v>1.0000000219870999</v>
      </c>
    </row>
    <row r="4932" spans="1:40" x14ac:dyDescent="0.25">
      <c r="A4932" t="str">
        <f>"20190312161414968"</f>
        <v>20190312161414968</v>
      </c>
      <c r="B4932" t="str">
        <f>"1552378454961569"</f>
        <v>1552378454961569</v>
      </c>
      <c r="C4932" t="s">
        <v>40</v>
      </c>
      <c r="D4932">
        <v>5.9226769999999904</v>
      </c>
      <c r="E4932">
        <v>0.52870909999999904</v>
      </c>
      <c r="F4932" t="s">
        <v>43</v>
      </c>
      <c r="G4932">
        <v>-421.99650000000003</v>
      </c>
      <c r="H4932">
        <v>0.95044899999999999</v>
      </c>
      <c r="I4932">
        <v>89.292749999999998</v>
      </c>
      <c r="J4932">
        <v>-421.9092</v>
      </c>
      <c r="K4932">
        <v>1.110001</v>
      </c>
      <c r="L4932">
        <v>89.808070000000001</v>
      </c>
      <c r="M4932">
        <v>-2.7644509999999998E-3</v>
      </c>
      <c r="N4932">
        <v>0</v>
      </c>
      <c r="O4932">
        <v>-0.99990789999999996</v>
      </c>
      <c r="P4932">
        <v>-5.826593E-2</v>
      </c>
      <c r="Q4932">
        <v>-2.4529329999999998E-2</v>
      </c>
      <c r="R4932">
        <v>-0.9980002</v>
      </c>
      <c r="S4932">
        <v>-0.36614989999999997</v>
      </c>
      <c r="T4932">
        <v>-0.66304370000000001</v>
      </c>
      <c r="U4932">
        <v>-2.9686279999999998</v>
      </c>
      <c r="V4932">
        <v>5.5499199999999999E-2</v>
      </c>
      <c r="W4932">
        <v>-1.1277270000000001E-2</v>
      </c>
      <c r="X4932">
        <v>0.99839500000000003</v>
      </c>
      <c r="Y4932">
        <v>0.1167661</v>
      </c>
      <c r="Z4932">
        <v>0.2164518</v>
      </c>
      <c r="AA4932">
        <v>0.96928550000000002</v>
      </c>
      <c r="AB4932">
        <v>19</v>
      </c>
      <c r="AC4932">
        <v>-8.7300000000027397E-2</v>
      </c>
      <c r="AD4932">
        <v>-0.159552</v>
      </c>
      <c r="AE4932">
        <v>-0.515320000000002</v>
      </c>
      <c r="AF4932">
        <v>7.8554585532099597E-2</v>
      </c>
      <c r="AG4932">
        <v>-0.159552</v>
      </c>
      <c r="AH4932">
        <v>0.47161072717505398</v>
      </c>
      <c r="AI4932">
        <v>108.45463894728999</v>
      </c>
      <c r="AJ4932">
        <v>80.543257483919604</v>
      </c>
      <c r="AK4932">
        <v>0.50402811588115104</v>
      </c>
      <c r="AL4932">
        <v>90.646153699655898</v>
      </c>
      <c r="AM4932">
        <v>86.818292716938103</v>
      </c>
      <c r="AN4932">
        <v>0.99999995702214495</v>
      </c>
    </row>
    <row r="4933" spans="1:40" x14ac:dyDescent="0.25">
      <c r="A4933" t="str">
        <f>"20190312161414990"</f>
        <v>20190312161414990</v>
      </c>
      <c r="B4933" t="str">
        <f>"1552378454981089"</f>
        <v>1552378454981089</v>
      </c>
      <c r="C4933" t="s">
        <v>40</v>
      </c>
      <c r="D4933">
        <v>5.9555199999999999</v>
      </c>
      <c r="E4933">
        <v>0.53072969999999997</v>
      </c>
      <c r="F4933" t="s">
        <v>43</v>
      </c>
      <c r="G4933">
        <v>-421.99900000000002</v>
      </c>
      <c r="H4933">
        <v>0.95604789999999995</v>
      </c>
      <c r="I4933">
        <v>89.118390000000005</v>
      </c>
      <c r="J4933">
        <v>-421.91030000000001</v>
      </c>
      <c r="K4933">
        <v>1.1100159999999999</v>
      </c>
      <c r="L4933">
        <v>89.615390000000005</v>
      </c>
      <c r="M4933">
        <v>-3.236811E-3</v>
      </c>
      <c r="N4933">
        <v>0</v>
      </c>
      <c r="O4933">
        <v>-0.99990650000000003</v>
      </c>
      <c r="P4933">
        <v>-5.8991080000000001E-2</v>
      </c>
      <c r="Q4933">
        <v>-2.5003020000000001E-2</v>
      </c>
      <c r="R4933">
        <v>-0.99794550000000004</v>
      </c>
      <c r="S4933">
        <v>-0.38400269999999997</v>
      </c>
      <c r="T4933">
        <v>-0.66227879999999995</v>
      </c>
      <c r="U4933">
        <v>-2.9673159999999998</v>
      </c>
      <c r="V4933">
        <v>5.5752919999999997E-2</v>
      </c>
      <c r="W4933">
        <v>-1.175374E-2</v>
      </c>
      <c r="X4933">
        <v>0.99837540000000002</v>
      </c>
      <c r="Y4933">
        <v>0.1220957</v>
      </c>
      <c r="Z4933">
        <v>0.21615690000000001</v>
      </c>
      <c r="AA4933">
        <v>0.96869439999999996</v>
      </c>
      <c r="AB4933">
        <v>19</v>
      </c>
      <c r="AC4933">
        <v>-8.8700000000017099E-2</v>
      </c>
      <c r="AD4933">
        <v>-0.153968099999999</v>
      </c>
      <c r="AE4933">
        <v>-0.496999999999999</v>
      </c>
      <c r="AF4933">
        <v>7.9679663075302901E-2</v>
      </c>
      <c r="AG4933">
        <v>-0.153968099999999</v>
      </c>
      <c r="AH4933">
        <v>0.454967801871766</v>
      </c>
      <c r="AI4933">
        <v>108.435393265546</v>
      </c>
      <c r="AJ4933">
        <v>80.066386781847996</v>
      </c>
      <c r="AK4933">
        <v>0.48687855289120102</v>
      </c>
      <c r="AL4933">
        <v>90.673455209922196</v>
      </c>
      <c r="AM4933">
        <v>86.803714703413604</v>
      </c>
      <c r="AN4933">
        <v>0.99999998890883601</v>
      </c>
    </row>
    <row r="4934" spans="1:40" x14ac:dyDescent="0.25">
      <c r="A4934" t="str">
        <f>"20190312161415012"</f>
        <v>20190312161415012</v>
      </c>
      <c r="B4934" t="str">
        <f>"1552378455001585"</f>
        <v>1552378455001585</v>
      </c>
      <c r="C4934" t="s">
        <v>40</v>
      </c>
      <c r="D4934">
        <v>5.9344349999999997</v>
      </c>
      <c r="E4934">
        <v>0.53116359999999996</v>
      </c>
      <c r="F4934" t="s">
        <v>43</v>
      </c>
      <c r="G4934">
        <v>-422.02269999999999</v>
      </c>
      <c r="H4934">
        <v>0.92523040000000001</v>
      </c>
      <c r="I4934">
        <v>88.790080000000003</v>
      </c>
      <c r="J4934">
        <v>-421.91149999999999</v>
      </c>
      <c r="K4934">
        <v>1.1100300000000001</v>
      </c>
      <c r="L4934">
        <v>89.432739999999995</v>
      </c>
      <c r="M4934">
        <v>-3.6642020000000001E-3</v>
      </c>
      <c r="N4934">
        <v>0</v>
      </c>
      <c r="O4934">
        <v>-0.99990480000000004</v>
      </c>
      <c r="P4934">
        <v>-5.9813289999999998E-2</v>
      </c>
      <c r="Q4934">
        <v>-2.4960909999999999E-2</v>
      </c>
      <c r="R4934">
        <v>-0.99789760000000005</v>
      </c>
      <c r="S4934">
        <v>-0.40240480000000001</v>
      </c>
      <c r="T4934">
        <v>-0.66398999999999997</v>
      </c>
      <c r="U4934">
        <v>-2.9657589999999998</v>
      </c>
      <c r="V4934">
        <v>5.6149079999999997E-2</v>
      </c>
      <c r="W4934">
        <v>-1.17135E-2</v>
      </c>
      <c r="X4934">
        <v>0.99835370000000001</v>
      </c>
      <c r="Y4934">
        <v>0.12762689999999999</v>
      </c>
      <c r="Z4934">
        <v>0.21663650000000001</v>
      </c>
      <c r="AA4934">
        <v>0.96787389999999995</v>
      </c>
      <c r="AB4934">
        <v>19</v>
      </c>
      <c r="AC4934">
        <v>-0.111199999999996</v>
      </c>
      <c r="AD4934">
        <v>-0.18479959999999901</v>
      </c>
      <c r="AE4934">
        <v>-0.64265999999999202</v>
      </c>
      <c r="AF4934">
        <v>0.100755202018003</v>
      </c>
      <c r="AG4934">
        <v>-0.18479959999999901</v>
      </c>
      <c r="AH4934">
        <v>0.59527246587738802</v>
      </c>
      <c r="AI4934">
        <v>107.01892064990901</v>
      </c>
      <c r="AJ4934">
        <v>80.393225280391903</v>
      </c>
      <c r="AK4934">
        <v>0.63138879585053997</v>
      </c>
      <c r="AL4934">
        <v>90.671149449617303</v>
      </c>
      <c r="AM4934">
        <v>86.780980834017797</v>
      </c>
      <c r="AN4934">
        <v>1.00000001778539</v>
      </c>
    </row>
    <row r="4935" spans="1:40" x14ac:dyDescent="0.25">
      <c r="A4935" t="str">
        <f>"20190312161415034"</f>
        <v>20190312161415034</v>
      </c>
      <c r="B4935" t="str">
        <f>"1552378455030866"</f>
        <v>1552378455030866</v>
      </c>
      <c r="C4935" t="s">
        <v>40</v>
      </c>
      <c r="D4935">
        <v>5.791156</v>
      </c>
      <c r="E4935">
        <v>0.53181929999999999</v>
      </c>
      <c r="F4935" t="s">
        <v>43</v>
      </c>
      <c r="G4935">
        <v>-422.02429999999998</v>
      </c>
      <c r="H4935">
        <v>0.93447139999999995</v>
      </c>
      <c r="I4935">
        <v>88.614750000000001</v>
      </c>
      <c r="J4935">
        <v>-421.91269999999997</v>
      </c>
      <c r="K4935">
        <v>1.1100410000000001</v>
      </c>
      <c r="L4935">
        <v>89.239140000000006</v>
      </c>
      <c r="M4935">
        <v>-4.0942620000000004E-3</v>
      </c>
      <c r="N4935">
        <v>0</v>
      </c>
      <c r="O4935">
        <v>-0.99990330000000005</v>
      </c>
      <c r="P4935">
        <v>-6.0333270000000001E-2</v>
      </c>
      <c r="Q4935">
        <v>-2.478137E-2</v>
      </c>
      <c r="R4935">
        <v>-0.99787099999999995</v>
      </c>
      <c r="S4935">
        <v>-0.40841670000000002</v>
      </c>
      <c r="T4935">
        <v>-0.63652799999999998</v>
      </c>
      <c r="U4935">
        <v>-2.9659119999999999</v>
      </c>
      <c r="V4935">
        <v>5.6240470000000001E-2</v>
      </c>
      <c r="W4935">
        <v>-1.1534839999999999E-2</v>
      </c>
      <c r="X4935">
        <v>0.99835059999999998</v>
      </c>
      <c r="Y4935">
        <v>0.1293752</v>
      </c>
      <c r="Z4935">
        <v>0.20801439999999999</v>
      </c>
      <c r="AA4935">
        <v>0.9695319</v>
      </c>
      <c r="AB4935">
        <v>19</v>
      </c>
      <c r="AC4935">
        <v>-0.111600000000009</v>
      </c>
      <c r="AD4935">
        <v>-0.17556959999999999</v>
      </c>
      <c r="AE4935">
        <v>-0.624390000000005</v>
      </c>
      <c r="AF4935">
        <v>0.101282386768942</v>
      </c>
      <c r="AG4935">
        <v>-0.17556959999999999</v>
      </c>
      <c r="AH4935">
        <v>0.58037468295833206</v>
      </c>
      <c r="AI4935">
        <v>106.594424671781</v>
      </c>
      <c r="AJ4935">
        <v>80.100882397578999</v>
      </c>
      <c r="AK4935">
        <v>0.61475001336539903</v>
      </c>
      <c r="AL4935">
        <v>90.660912317976297</v>
      </c>
      <c r="AM4935">
        <v>86.775742512298095</v>
      </c>
      <c r="AN4935">
        <v>0.99999998176000304</v>
      </c>
    </row>
    <row r="4936" spans="1:40" x14ac:dyDescent="0.25">
      <c r="A4936" t="str">
        <f>"20190312161415058"</f>
        <v>20190312161415058</v>
      </c>
      <c r="B4936" t="str">
        <f>"1552378455051363"</f>
        <v>1552378455051363</v>
      </c>
      <c r="C4936" t="s">
        <v>40</v>
      </c>
      <c r="D4936">
        <v>5.8587790000000002</v>
      </c>
      <c r="E4936">
        <v>0.55508800000000003</v>
      </c>
      <c r="F4936" t="s">
        <v>43</v>
      </c>
      <c r="G4936">
        <v>-422.02539999999999</v>
      </c>
      <c r="H4936">
        <v>0.94467820000000002</v>
      </c>
      <c r="I4936">
        <v>88.439149999999998</v>
      </c>
      <c r="J4936">
        <v>-421.91410000000002</v>
      </c>
      <c r="K4936">
        <v>1.110066</v>
      </c>
      <c r="L4936">
        <v>89.038730000000001</v>
      </c>
      <c r="M4936">
        <v>-4.508303E-3</v>
      </c>
      <c r="N4936">
        <v>0</v>
      </c>
      <c r="O4936">
        <v>-0.9999017</v>
      </c>
      <c r="P4936">
        <v>-6.0344250000000002E-2</v>
      </c>
      <c r="Q4936">
        <v>-2.4124099999999999E-2</v>
      </c>
      <c r="R4936">
        <v>-0.99788619999999995</v>
      </c>
      <c r="S4936">
        <v>-0.41625980000000001</v>
      </c>
      <c r="T4936">
        <v>-0.61306740000000004</v>
      </c>
      <c r="U4936">
        <v>-2.9660030000000002</v>
      </c>
      <c r="V4936">
        <v>5.5839010000000001E-2</v>
      </c>
      <c r="W4936">
        <v>-1.087714E-2</v>
      </c>
      <c r="X4936">
        <v>0.9983805</v>
      </c>
      <c r="Y4936">
        <v>0.1316908</v>
      </c>
      <c r="Z4936">
        <v>0.20059260000000001</v>
      </c>
      <c r="AA4936">
        <v>0.97078319999999996</v>
      </c>
      <c r="AB4936">
        <v>19</v>
      </c>
      <c r="AC4936">
        <v>-0.11129999999997101</v>
      </c>
      <c r="AD4936">
        <v>-0.1653878</v>
      </c>
      <c r="AE4936">
        <v>-0.599580000000003</v>
      </c>
      <c r="AF4936">
        <v>0.101155281245106</v>
      </c>
      <c r="AG4936">
        <v>-0.1653878</v>
      </c>
      <c r="AH4936">
        <v>0.55896243472205798</v>
      </c>
      <c r="AI4936">
        <v>106.233147102335</v>
      </c>
      <c r="AJ4936">
        <v>79.7422176151873</v>
      </c>
      <c r="AK4936">
        <v>0.59162870006705004</v>
      </c>
      <c r="AL4936">
        <v>90.6232265266148</v>
      </c>
      <c r="AM4936">
        <v>86.798805785013201</v>
      </c>
      <c r="AN4936">
        <v>0.99999996499630395</v>
      </c>
    </row>
    <row r="4937" spans="1:40" x14ac:dyDescent="0.25">
      <c r="A4937" t="str">
        <f>"20190312161415079"</f>
        <v>20190312161415079</v>
      </c>
      <c r="B4937" t="str">
        <f>"1552378455071857"</f>
        <v>1552378455071857</v>
      </c>
      <c r="C4937" t="s">
        <v>40</v>
      </c>
      <c r="D4937">
        <v>5.4528840000000001</v>
      </c>
      <c r="E4937">
        <v>0.55237789999999998</v>
      </c>
      <c r="F4937" t="s">
        <v>43</v>
      </c>
      <c r="G4937">
        <v>-422.065</v>
      </c>
      <c r="H4937">
        <v>0.8917254</v>
      </c>
      <c r="I4937">
        <v>88.290859999999995</v>
      </c>
      <c r="J4937">
        <v>-421.9153</v>
      </c>
      <c r="K4937">
        <v>1.1100920000000001</v>
      </c>
      <c r="L4937">
        <v>88.855130000000003</v>
      </c>
      <c r="M4937">
        <v>-4.8499340000000002E-3</v>
      </c>
      <c r="N4937">
        <v>0</v>
      </c>
      <c r="O4937">
        <v>-0.99990020000000002</v>
      </c>
      <c r="P4937">
        <v>-6.0203159999999999E-2</v>
      </c>
      <c r="Q4937">
        <v>-2.3726629999999999E-2</v>
      </c>
      <c r="R4937">
        <v>-0.99790460000000003</v>
      </c>
      <c r="S4937">
        <v>-0.59393309999999999</v>
      </c>
      <c r="T4937">
        <v>-0.86110450000000005</v>
      </c>
      <c r="U4937">
        <v>-2.9496150000000001</v>
      </c>
      <c r="V4937">
        <v>5.535756E-2</v>
      </c>
      <c r="W4937">
        <v>-1.0478629999999999E-2</v>
      </c>
      <c r="X4937">
        <v>0.99841159999999995</v>
      </c>
      <c r="Y4937">
        <v>0.18501580000000001</v>
      </c>
      <c r="Z4937">
        <v>0.27527109999999999</v>
      </c>
      <c r="AA4937">
        <v>0.9433954</v>
      </c>
      <c r="AB4937">
        <v>19</v>
      </c>
      <c r="AC4937">
        <v>-0.149699999999995</v>
      </c>
      <c r="AD4937">
        <v>-0.21836659999999999</v>
      </c>
      <c r="AE4937">
        <v>-0.56427000000000704</v>
      </c>
      <c r="AF4937">
        <v>0.128923242355862</v>
      </c>
      <c r="AG4937">
        <v>-0.21836659999999999</v>
      </c>
      <c r="AH4937">
        <v>0.49564246136041201</v>
      </c>
      <c r="AI4937">
        <v>113.092649315177</v>
      </c>
      <c r="AJ4937">
        <v>75.419698411550399</v>
      </c>
      <c r="AK4937">
        <v>0.55674646287023299</v>
      </c>
      <c r="AL4937">
        <v>90.600392266526299</v>
      </c>
      <c r="AM4937">
        <v>86.826448818666904</v>
      </c>
      <c r="AN4937">
        <v>0.99999999207519497</v>
      </c>
    </row>
    <row r="4938" spans="1:40" x14ac:dyDescent="0.25">
      <c r="A4938" t="str">
        <f>"20190312161415101"</f>
        <v>20190312161415101</v>
      </c>
      <c r="B4938" t="str">
        <f>"1552378455091378"</f>
        <v>1552378455091378</v>
      </c>
      <c r="C4938" t="s">
        <v>40</v>
      </c>
      <c r="D4938">
        <v>5.9547679999999996</v>
      </c>
      <c r="E4938">
        <v>0.51366239999999996</v>
      </c>
      <c r="F4938" t="s">
        <v>43</v>
      </c>
      <c r="G4938">
        <v>-422.05950000000001</v>
      </c>
      <c r="H4938">
        <v>0.90419349999999998</v>
      </c>
      <c r="I4938">
        <v>88.115519999999904</v>
      </c>
      <c r="J4938">
        <v>-421.91660000000002</v>
      </c>
      <c r="K4938">
        <v>1.1101209999999999</v>
      </c>
      <c r="L4938">
        <v>88.670529999999999</v>
      </c>
      <c r="M4938">
        <v>-5.1481000000000001E-3</v>
      </c>
      <c r="N4938">
        <v>0</v>
      </c>
      <c r="O4938">
        <v>-0.99989850000000002</v>
      </c>
      <c r="P4938">
        <v>-6.0007240000000003E-2</v>
      </c>
      <c r="Q4938">
        <v>-2.3026669999999999E-2</v>
      </c>
      <c r="R4938">
        <v>-0.99793270000000001</v>
      </c>
      <c r="S4938">
        <v>-0.5734863</v>
      </c>
      <c r="T4938">
        <v>-0.82180450000000005</v>
      </c>
      <c r="U4938">
        <v>-2.9521790000000001</v>
      </c>
      <c r="V4938">
        <v>5.4864820000000002E-2</v>
      </c>
      <c r="W4938">
        <v>-9.7769250000000005E-3</v>
      </c>
      <c r="X4938">
        <v>0.9984459</v>
      </c>
      <c r="Y4938">
        <v>0.17888809999999999</v>
      </c>
      <c r="Z4938">
        <v>0.26372050000000002</v>
      </c>
      <c r="AA4938">
        <v>0.94786630000000005</v>
      </c>
      <c r="AB4938">
        <v>19</v>
      </c>
      <c r="AC4938">
        <v>-0.142899999999997</v>
      </c>
      <c r="AD4938">
        <v>-0.20592750000000001</v>
      </c>
      <c r="AE4938">
        <v>-0.55501000000001</v>
      </c>
      <c r="AF4938">
        <v>0.124027721802423</v>
      </c>
      <c r="AG4938">
        <v>-0.20592750000000001</v>
      </c>
      <c r="AH4938">
        <v>0.49219269884345002</v>
      </c>
      <c r="AI4938">
        <v>112.08265284518301</v>
      </c>
      <c r="AJ4938">
        <v>75.856486103229699</v>
      </c>
      <c r="AK4938">
        <v>0.54776150268757295</v>
      </c>
      <c r="AL4938">
        <v>90.560185477338706</v>
      </c>
      <c r="AM4938">
        <v>86.854747596857194</v>
      </c>
      <c r="AN4938">
        <v>0.99999997598144796</v>
      </c>
    </row>
    <row r="4939" spans="1:40" x14ac:dyDescent="0.25">
      <c r="A4939" t="str">
        <f>"20190312161415123"</f>
        <v>20190312161415123</v>
      </c>
      <c r="B4939" t="str">
        <f>"1552378455111873"</f>
        <v>1552378455111873</v>
      </c>
      <c r="C4939" t="s">
        <v>40</v>
      </c>
      <c r="D4939">
        <v>5.7600540000000002</v>
      </c>
      <c r="E4939">
        <v>0.45951140000000001</v>
      </c>
      <c r="F4939" t="s">
        <v>43</v>
      </c>
      <c r="G4939">
        <v>-421.98820000000001</v>
      </c>
      <c r="H4939">
        <v>0.99689269999999996</v>
      </c>
      <c r="I4939">
        <v>87.902959999999993</v>
      </c>
      <c r="J4939">
        <v>-421.91789999999997</v>
      </c>
      <c r="K4939">
        <v>1.11015</v>
      </c>
      <c r="L4939">
        <v>88.478729999999999</v>
      </c>
      <c r="M4939">
        <v>-5.4046619999999898E-3</v>
      </c>
      <c r="N4939">
        <v>0</v>
      </c>
      <c r="O4939">
        <v>-0.99989709999999998</v>
      </c>
      <c r="P4939">
        <v>-5.892265E-2</v>
      </c>
      <c r="Q4939">
        <v>-2.3039259999999999E-2</v>
      </c>
      <c r="R4939">
        <v>-0.99799640000000001</v>
      </c>
      <c r="S4939">
        <v>-0.27737430000000002</v>
      </c>
      <c r="T4939">
        <v>-0.4395114</v>
      </c>
      <c r="U4939">
        <v>-2.9794010000000002</v>
      </c>
      <c r="V4939">
        <v>5.3524580000000002E-2</v>
      </c>
      <c r="W4939">
        <v>-9.7863340000000007E-3</v>
      </c>
      <c r="X4939">
        <v>0.99851860000000003</v>
      </c>
      <c r="Y4939">
        <v>8.6328920000000003E-2</v>
      </c>
      <c r="Z4939">
        <v>0.14535439999999999</v>
      </c>
      <c r="AA4939">
        <v>0.98560610000000004</v>
      </c>
      <c r="AB4939">
        <v>19</v>
      </c>
      <c r="AC4939">
        <v>-7.0300000000031504E-2</v>
      </c>
      <c r="AD4939">
        <v>-0.11325730000000001</v>
      </c>
      <c r="AE4939">
        <v>-0.575770000000005</v>
      </c>
      <c r="AF4939">
        <v>6.4719439273400903E-2</v>
      </c>
      <c r="AG4939">
        <v>-0.11325730000000001</v>
      </c>
      <c r="AH4939">
        <v>0.55498294725135899</v>
      </c>
      <c r="AI4939">
        <v>101.458596102941</v>
      </c>
      <c r="AJ4939">
        <v>83.348485022962393</v>
      </c>
      <c r="AK4939">
        <v>0.57010691415115999</v>
      </c>
      <c r="AL4939">
        <v>90.560724572335403</v>
      </c>
      <c r="AM4939">
        <v>86.931654268563406</v>
      </c>
      <c r="AN4939">
        <v>1.00000002377164</v>
      </c>
    </row>
    <row r="4940" spans="1:40" x14ac:dyDescent="0.25">
      <c r="A4940" t="str">
        <f>"20190312161415147"</f>
        <v>20190312161415147</v>
      </c>
      <c r="B4940" t="str">
        <f>"1552378455141153"</f>
        <v>1552378455141153</v>
      </c>
      <c r="C4940" t="s">
        <v>40</v>
      </c>
      <c r="D4940">
        <v>5.7629279999999996</v>
      </c>
      <c r="E4940">
        <v>0.4489554</v>
      </c>
      <c r="F4940" t="s">
        <v>42</v>
      </c>
      <c r="G4940">
        <v>-421.0487</v>
      </c>
      <c r="H4940" s="1">
        <v>-8.7512419999999895E-7</v>
      </c>
      <c r="I4940">
        <v>70.978619999999907</v>
      </c>
      <c r="J4940">
        <v>-421.91930000000002</v>
      </c>
      <c r="K4940">
        <v>1.110187</v>
      </c>
      <c r="L4940">
        <v>88.284580000000005</v>
      </c>
      <c r="M4940">
        <v>-5.6086360000000002E-3</v>
      </c>
      <c r="N4940">
        <v>0</v>
      </c>
      <c r="O4940">
        <v>-0.9998958</v>
      </c>
      <c r="P4940">
        <v>-5.7867719999999997E-2</v>
      </c>
      <c r="Q4940">
        <v>-2.3334250000000001E-2</v>
      </c>
      <c r="R4940">
        <v>-0.99805129999999997</v>
      </c>
      <c r="S4940">
        <v>0.14953610000000001</v>
      </c>
      <c r="T4940">
        <v>-0.19097449999999999</v>
      </c>
      <c r="U4940">
        <v>-3.0104679999999999</v>
      </c>
      <c r="V4940">
        <v>5.2266529999999999E-2</v>
      </c>
      <c r="W4940">
        <v>-1.0078149999999999E-2</v>
      </c>
      <c r="X4940">
        <v>0.99858230000000003</v>
      </c>
      <c r="Y4940">
        <v>-5.5113090000000003E-2</v>
      </c>
      <c r="Z4940">
        <v>6.322113E-2</v>
      </c>
      <c r="AA4940">
        <v>0.99647660000000005</v>
      </c>
      <c r="AB4940">
        <v>19</v>
      </c>
      <c r="AC4940">
        <v>0.87060000000002402</v>
      </c>
      <c r="AD4940">
        <v>-1.1101878751242</v>
      </c>
      <c r="AE4940">
        <v>-17.305959999999999</v>
      </c>
      <c r="AF4940">
        <v>-0.96370181117024201</v>
      </c>
      <c r="AG4940">
        <v>-1.1101878751242</v>
      </c>
      <c r="AH4940">
        <v>17.230076492556801</v>
      </c>
      <c r="AI4940">
        <v>93.680913379889404</v>
      </c>
      <c r="AJ4940">
        <v>93.201296091457706</v>
      </c>
      <c r="AK4940">
        <v>17.292679787652499</v>
      </c>
      <c r="AL4940">
        <v>90.577445244591203</v>
      </c>
      <c r="AM4940">
        <v>87.003830934324299</v>
      </c>
      <c r="AN4940">
        <v>0.99999998456947603</v>
      </c>
    </row>
    <row r="4941" spans="1:40" x14ac:dyDescent="0.25">
      <c r="A4941" t="str">
        <f>"20190312161415170"</f>
        <v>20190312161415170</v>
      </c>
      <c r="B4941" t="str">
        <f>"1552378455161650"</f>
        <v>1552378455161650</v>
      </c>
      <c r="C4941" t="s">
        <v>40</v>
      </c>
      <c r="D4941">
        <v>5.6729209999999997</v>
      </c>
      <c r="E4941">
        <v>0.44721100000000003</v>
      </c>
      <c r="F4941" t="s">
        <v>42</v>
      </c>
      <c r="G4941">
        <v>-420.13580000000002</v>
      </c>
      <c r="H4941" s="1">
        <v>-2.5363070000000002E-6</v>
      </c>
      <c r="I4941">
        <v>65.417079999999999</v>
      </c>
      <c r="J4941">
        <v>-421.9205</v>
      </c>
      <c r="K4941">
        <v>1.1102289999999999</v>
      </c>
      <c r="L4941">
        <v>88.091369999999998</v>
      </c>
      <c r="M4941">
        <v>-5.7549209999999996E-3</v>
      </c>
      <c r="N4941">
        <v>0</v>
      </c>
      <c r="O4941">
        <v>-0.9998956</v>
      </c>
      <c r="P4941">
        <v>-5.6960400000000001E-2</v>
      </c>
      <c r="Q4941">
        <v>-2.322455E-2</v>
      </c>
      <c r="R4941">
        <v>-0.99810670000000001</v>
      </c>
      <c r="S4941">
        <v>0.23522950000000001</v>
      </c>
      <c r="T4941">
        <v>-0.14642729999999901</v>
      </c>
      <c r="U4941">
        <v>-3.0160830000000001</v>
      </c>
      <c r="V4941">
        <v>5.1213710000000003E-2</v>
      </c>
      <c r="W4941">
        <v>-9.9656090000000003E-3</v>
      </c>
      <c r="X4941">
        <v>0.99863800000000003</v>
      </c>
      <c r="Y4941">
        <v>-8.3401429999999999E-2</v>
      </c>
      <c r="Z4941">
        <v>4.8332819999999999E-2</v>
      </c>
      <c r="AA4941">
        <v>0.99534319999999998</v>
      </c>
      <c r="AB4941">
        <v>19</v>
      </c>
      <c r="AC4941">
        <v>1.78469999999998</v>
      </c>
      <c r="AD4941">
        <v>-1.1102315363070001</v>
      </c>
      <c r="AE4941">
        <v>-22.674289999999999</v>
      </c>
      <c r="AF4941">
        <v>-1.9106181369461701</v>
      </c>
      <c r="AG4941">
        <v>-1.1102315363070001</v>
      </c>
      <c r="AH4941">
        <v>22.609769446047199</v>
      </c>
      <c r="AI4941">
        <v>92.801229608009393</v>
      </c>
      <c r="AJ4941">
        <v>94.830252370335998</v>
      </c>
      <c r="AK4941">
        <v>22.717498764891499</v>
      </c>
      <c r="AL4941">
        <v>90.5709967839435</v>
      </c>
      <c r="AM4941">
        <v>87.064240439653901</v>
      </c>
      <c r="AN4941">
        <v>1.0000000062493499</v>
      </c>
    </row>
    <row r="4942" spans="1:40" x14ac:dyDescent="0.25">
      <c r="A4942" t="str">
        <f>"20190312161415190"</f>
        <v>20190312161415190</v>
      </c>
      <c r="B4942" t="str">
        <f>"1552378455181170"</f>
        <v>1552378455181170</v>
      </c>
      <c r="C4942" t="s">
        <v>40</v>
      </c>
      <c r="D4942">
        <v>5.6487189999999998</v>
      </c>
      <c r="E4942">
        <v>0.44624770000000002</v>
      </c>
      <c r="F4942" t="s">
        <v>42</v>
      </c>
      <c r="G4942">
        <v>-419.87479999999999</v>
      </c>
      <c r="H4942" s="1">
        <v>-1.7083100000000001E-6</v>
      </c>
      <c r="I4942">
        <v>63.563110000000002</v>
      </c>
      <c r="J4942">
        <v>-421.92169999999999</v>
      </c>
      <c r="K4942">
        <v>1.1102559999999999</v>
      </c>
      <c r="L4942">
        <v>87.906400000000005</v>
      </c>
      <c r="M4942">
        <v>-5.8451469999999898E-3</v>
      </c>
      <c r="N4942">
        <v>0</v>
      </c>
      <c r="O4942">
        <v>-0.99989490000000003</v>
      </c>
      <c r="P4942">
        <v>-5.6801900000000002E-2</v>
      </c>
      <c r="Q4942">
        <v>-2.375557E-2</v>
      </c>
      <c r="R4942">
        <v>-0.99810299999999996</v>
      </c>
      <c r="S4942">
        <v>0.25161739999999999</v>
      </c>
      <c r="T4942">
        <v>-0.13655390000000001</v>
      </c>
      <c r="U4942">
        <v>-3.0168759999999999</v>
      </c>
      <c r="V4942">
        <v>5.0965839999999998E-2</v>
      </c>
      <c r="W4942">
        <v>-1.0495289999999999E-2</v>
      </c>
      <c r="X4942">
        <v>0.99864520000000001</v>
      </c>
      <c r="Y4942">
        <v>-8.8854359999999993E-2</v>
      </c>
      <c r="Z4942">
        <v>4.5048409999999997E-2</v>
      </c>
      <c r="AA4942">
        <v>0.99502539999999995</v>
      </c>
      <c r="AB4942">
        <v>19</v>
      </c>
      <c r="AC4942">
        <v>2.0468999999999902</v>
      </c>
      <c r="AD4942">
        <v>-1.11025770830999</v>
      </c>
      <c r="AE4942">
        <v>-24.34329</v>
      </c>
      <c r="AF4942">
        <v>-2.1846552121986398</v>
      </c>
      <c r="AG4942">
        <v>-1.11025770830999</v>
      </c>
      <c r="AH4942">
        <v>24.280756211930299</v>
      </c>
      <c r="AI4942">
        <v>92.607554597490605</v>
      </c>
      <c r="AJ4942">
        <v>95.141330027459105</v>
      </c>
      <c r="AK4942">
        <v>24.4041085229155</v>
      </c>
      <c r="AL4942">
        <v>90.601346890981503</v>
      </c>
      <c r="AM4942">
        <v>87.078445617182098</v>
      </c>
      <c r="AN4942">
        <v>0.99999995172106304</v>
      </c>
    </row>
    <row r="4943" spans="1:40" x14ac:dyDescent="0.25">
      <c r="A4943" t="str">
        <f>"20190312161415213"</f>
        <v>20190312161415213</v>
      </c>
      <c r="B4943" t="str">
        <f>"1552378455201666"</f>
        <v>1552378455201666</v>
      </c>
      <c r="C4943" t="s">
        <v>40</v>
      </c>
      <c r="D4943">
        <v>5.6579519999999999</v>
      </c>
      <c r="E4943">
        <v>0.44589879999999998</v>
      </c>
      <c r="F4943" t="s">
        <v>42</v>
      </c>
      <c r="G4943">
        <v>-419.76139999999998</v>
      </c>
      <c r="H4943" s="1">
        <v>-1.404314E-6</v>
      </c>
      <c r="I4943">
        <v>62.807609999999997</v>
      </c>
      <c r="J4943">
        <v>-421.92290000000003</v>
      </c>
      <c r="K4943">
        <v>1.110271</v>
      </c>
      <c r="L4943">
        <v>87.723969999999994</v>
      </c>
      <c r="M4943">
        <v>-5.8990839999999998E-3</v>
      </c>
      <c r="N4943">
        <v>0</v>
      </c>
      <c r="O4943">
        <v>-0.99989459999999997</v>
      </c>
      <c r="P4943">
        <v>-5.6700140000000003E-2</v>
      </c>
      <c r="Q4943">
        <v>-2.498504E-2</v>
      </c>
      <c r="R4943">
        <v>-0.99807880000000004</v>
      </c>
      <c r="S4943">
        <v>0.25970460000000001</v>
      </c>
      <c r="T4943">
        <v>-0.13347200000000001</v>
      </c>
      <c r="U4943">
        <v>-3.0173030000000001</v>
      </c>
      <c r="V4943">
        <v>5.0810880000000003E-2</v>
      </c>
      <c r="W4943">
        <v>-1.172466E-2</v>
      </c>
      <c r="X4943">
        <v>0.99863950000000001</v>
      </c>
      <c r="Y4943">
        <v>-9.1547939999999994E-2</v>
      </c>
      <c r="Z4943">
        <v>4.4017140000000003E-2</v>
      </c>
      <c r="AA4943">
        <v>0.99482729999999997</v>
      </c>
      <c r="AB4943">
        <v>19</v>
      </c>
      <c r="AC4943">
        <v>2.1615000000000402</v>
      </c>
      <c r="AD4943">
        <v>-1.110272404314</v>
      </c>
      <c r="AE4943">
        <v>-24.916360000000001</v>
      </c>
      <c r="AF4943">
        <v>-2.3039185487352598</v>
      </c>
      <c r="AG4943">
        <v>-1.110272404314</v>
      </c>
      <c r="AH4943">
        <v>24.8541927366438</v>
      </c>
      <c r="AI4943">
        <v>92.546879550532694</v>
      </c>
      <c r="AJ4943">
        <v>95.296033988340696</v>
      </c>
      <c r="AK4943">
        <v>24.985428595107699</v>
      </c>
      <c r="AL4943">
        <v>90.671788904821597</v>
      </c>
      <c r="AM4943">
        <v>87.087296593797006</v>
      </c>
      <c r="AN4943">
        <v>1.0000000320693601</v>
      </c>
    </row>
    <row r="4944" spans="1:40" x14ac:dyDescent="0.25">
      <c r="A4944" t="str">
        <f>"20190312161415235"</f>
        <v>20190312161415235</v>
      </c>
      <c r="B4944" t="str">
        <f>"1552378455231922"</f>
        <v>1552378455231922</v>
      </c>
      <c r="C4944" t="s">
        <v>40</v>
      </c>
      <c r="D4944">
        <v>5.6479739999999996</v>
      </c>
      <c r="E4944">
        <v>0.44567600000000002</v>
      </c>
      <c r="F4944" t="s">
        <v>42</v>
      </c>
      <c r="G4944">
        <v>-419.74439999999998</v>
      </c>
      <c r="H4944" s="1">
        <v>-1.337175E-6</v>
      </c>
      <c r="I4944">
        <v>62.6440699999999</v>
      </c>
      <c r="J4944">
        <v>-421.92399999999998</v>
      </c>
      <c r="K4944">
        <v>1.110277</v>
      </c>
      <c r="L4944">
        <v>87.535030000000006</v>
      </c>
      <c r="M4944">
        <v>-5.9251850000000003E-3</v>
      </c>
      <c r="N4944">
        <v>0</v>
      </c>
      <c r="O4944">
        <v>-0.99989459999999997</v>
      </c>
      <c r="P4944">
        <v>-5.6529139999999999E-2</v>
      </c>
      <c r="Q4944">
        <v>-2.5401159999999999E-2</v>
      </c>
      <c r="R4944">
        <v>-0.99807820000000003</v>
      </c>
      <c r="S4944">
        <v>0.26208500000000001</v>
      </c>
      <c r="T4944">
        <v>-0.1335742</v>
      </c>
      <c r="U4944">
        <v>-3.0173030000000001</v>
      </c>
      <c r="V4944">
        <v>5.0614220000000001E-2</v>
      </c>
      <c r="W4944">
        <v>-1.214144E-2</v>
      </c>
      <c r="X4944">
        <v>0.99864450000000005</v>
      </c>
      <c r="Y4944">
        <v>-9.2352790000000004E-2</v>
      </c>
      <c r="Z4944">
        <v>4.4047660000000002E-2</v>
      </c>
      <c r="AA4944">
        <v>0.99475159999999996</v>
      </c>
      <c r="AB4944">
        <v>19</v>
      </c>
      <c r="AC4944">
        <v>2.1796000000000499</v>
      </c>
      <c r="AD4944">
        <v>-1.110278337175</v>
      </c>
      <c r="AE4944">
        <v>-24.89096</v>
      </c>
      <c r="AF4944">
        <v>-2.3224724476166299</v>
      </c>
      <c r="AG4944">
        <v>-1.110278337175</v>
      </c>
      <c r="AH4944">
        <v>24.8285826129345</v>
      </c>
      <c r="AI4944">
        <v>92.549318620139999</v>
      </c>
      <c r="AJ4944">
        <v>95.343913150769893</v>
      </c>
      <c r="AK4944">
        <v>24.961672837036598</v>
      </c>
      <c r="AL4944">
        <v>90.695670344101799</v>
      </c>
      <c r="AM4944">
        <v>87.098565212752803</v>
      </c>
      <c r="AN4944">
        <v>1.0000000256058601</v>
      </c>
    </row>
    <row r="4945" spans="1:40" x14ac:dyDescent="0.25">
      <c r="A4945" t="str">
        <f>"20190312161415259"</f>
        <v>20190312161415259</v>
      </c>
      <c r="B4945" t="str">
        <f>"1552378455251442"</f>
        <v>1552378455251442</v>
      </c>
      <c r="C4945" t="s">
        <v>40</v>
      </c>
      <c r="D4945">
        <v>5.6695739999999999</v>
      </c>
      <c r="E4945">
        <v>0.44548959999999999</v>
      </c>
      <c r="F4945" t="s">
        <v>42</v>
      </c>
      <c r="G4945">
        <v>-419.70429999999999</v>
      </c>
      <c r="H4945" s="1">
        <v>-1.1730330000000001E-6</v>
      </c>
      <c r="I4945">
        <v>62.244889999999998</v>
      </c>
      <c r="J4945">
        <v>-421.92520000000002</v>
      </c>
      <c r="K4945">
        <v>1.1102810000000001</v>
      </c>
      <c r="L4945">
        <v>87.337890000000002</v>
      </c>
      <c r="M4945">
        <v>-5.9283080000000002E-3</v>
      </c>
      <c r="N4945">
        <v>0</v>
      </c>
      <c r="O4945">
        <v>-0.99989439999999996</v>
      </c>
      <c r="P4945">
        <v>-5.609157E-2</v>
      </c>
      <c r="Q4945">
        <v>-2.6028679999999998E-2</v>
      </c>
      <c r="R4945">
        <v>-0.99808649999999999</v>
      </c>
      <c r="S4945">
        <v>0.2648315</v>
      </c>
      <c r="T4945">
        <v>-0.13246849999999999</v>
      </c>
      <c r="U4945">
        <v>-3.017395</v>
      </c>
      <c r="V4945">
        <v>5.0173759999999998E-2</v>
      </c>
      <c r="W4945">
        <v>-1.277028E-2</v>
      </c>
      <c r="X4945">
        <v>0.99865879999999996</v>
      </c>
      <c r="Y4945">
        <v>-9.3253310000000006E-2</v>
      </c>
      <c r="Z4945">
        <v>4.3678839999999997E-2</v>
      </c>
      <c r="AA4945">
        <v>0.99468389999999995</v>
      </c>
      <c r="AB4945">
        <v>19</v>
      </c>
      <c r="AC4945">
        <v>2.2209000000000199</v>
      </c>
      <c r="AD4945">
        <v>-1.1102821730329999</v>
      </c>
      <c r="AE4945">
        <v>-25.093</v>
      </c>
      <c r="AF4945">
        <v>-2.3650388821482999</v>
      </c>
      <c r="AG4945">
        <v>-1.1102821730329999</v>
      </c>
      <c r="AH4945">
        <v>25.030768051240301</v>
      </c>
      <c r="AI4945">
        <v>92.528539731216</v>
      </c>
      <c r="AJ4945">
        <v>95.397583021615205</v>
      </c>
      <c r="AK4945">
        <v>25.1667535580738</v>
      </c>
      <c r="AL4945">
        <v>90.731703077866896</v>
      </c>
      <c r="AM4945">
        <v>87.123812894710497</v>
      </c>
      <c r="AN4945">
        <v>0.99999994253062596</v>
      </c>
    </row>
    <row r="4946" spans="1:40" x14ac:dyDescent="0.25">
      <c r="A4946" t="str">
        <f>"20190312161415280"</f>
        <v>20190312161415280</v>
      </c>
      <c r="B4946" t="str">
        <f>"1552378455270962"</f>
        <v>1552378455270962</v>
      </c>
      <c r="C4946" t="s">
        <v>40</v>
      </c>
      <c r="D4946">
        <v>5.6711729999999996</v>
      </c>
      <c r="E4946">
        <v>0.44535390000000002</v>
      </c>
      <c r="F4946" t="s">
        <v>42</v>
      </c>
      <c r="G4946">
        <v>-419.70249999999999</v>
      </c>
      <c r="H4946" s="1">
        <v>-1.1991319999999999E-6</v>
      </c>
      <c r="I4946">
        <v>62.304969999999997</v>
      </c>
      <c r="J4946">
        <v>-421.92630000000003</v>
      </c>
      <c r="K4946">
        <v>1.110282</v>
      </c>
      <c r="L4946">
        <v>87.152500000000003</v>
      </c>
      <c r="M4946">
        <v>-5.9171019999999996E-3</v>
      </c>
      <c r="N4946">
        <v>0</v>
      </c>
      <c r="O4946">
        <v>-0.99989439999999996</v>
      </c>
      <c r="P4946">
        <v>-5.4818169999999999E-2</v>
      </c>
      <c r="Q4946">
        <v>-2.6386369999999999E-2</v>
      </c>
      <c r="R4946">
        <v>-0.99814740000000002</v>
      </c>
      <c r="S4946">
        <v>0.26791379999999998</v>
      </c>
      <c r="T4946">
        <v>-0.13382740000000001</v>
      </c>
      <c r="U4946">
        <v>-3.017334</v>
      </c>
      <c r="V4946">
        <v>4.8911379999999997E-2</v>
      </c>
      <c r="W4946">
        <v>-1.3128880000000001E-2</v>
      </c>
      <c r="X4946">
        <v>0.99871679999999996</v>
      </c>
      <c r="Y4946">
        <v>-9.4250349999999997E-2</v>
      </c>
      <c r="Z4946">
        <v>4.41229E-2</v>
      </c>
      <c r="AA4946">
        <v>0.99457030000000002</v>
      </c>
      <c r="AB4946">
        <v>19</v>
      </c>
      <c r="AC4946">
        <v>2.2238000000000402</v>
      </c>
      <c r="AD4946">
        <v>-1.1102831991319999</v>
      </c>
      <c r="AE4946">
        <v>-24.847529999999999</v>
      </c>
      <c r="AF4946">
        <v>-2.3661126359484199</v>
      </c>
      <c r="AG4946">
        <v>-1.1102831991319999</v>
      </c>
      <c r="AH4946">
        <v>24.784842000029101</v>
      </c>
      <c r="AI4946">
        <v>92.553362882708697</v>
      </c>
      <c r="AJ4946">
        <v>95.453279023707694</v>
      </c>
      <c r="AK4946">
        <v>24.922271380327199</v>
      </c>
      <c r="AL4946">
        <v>90.752251049020103</v>
      </c>
      <c r="AM4946">
        <v>87.196223839073397</v>
      </c>
      <c r="AN4946">
        <v>0.99999996859289797</v>
      </c>
    </row>
    <row r="4947" spans="1:40" x14ac:dyDescent="0.25">
      <c r="A4947" t="str">
        <f>"20190312161415302"</f>
        <v>20190312161415302</v>
      </c>
      <c r="B4947" t="str">
        <f>"1552378455291457"</f>
        <v>1552378455291457</v>
      </c>
      <c r="C4947" t="s">
        <v>40</v>
      </c>
      <c r="D4947">
        <v>5.7036410000000002</v>
      </c>
      <c r="E4947">
        <v>0.4452277</v>
      </c>
      <c r="F4947" t="s">
        <v>42</v>
      </c>
      <c r="G4947">
        <v>-419.69690000000003</v>
      </c>
      <c r="H4947" s="1">
        <v>-1.275296E-6</v>
      </c>
      <c r="I4947">
        <v>62.48019</v>
      </c>
      <c r="J4947">
        <v>-421.92739999999998</v>
      </c>
      <c r="K4947">
        <v>1.1102780000000001</v>
      </c>
      <c r="L4947">
        <v>86.969269999999995</v>
      </c>
      <c r="M4947">
        <v>-5.89968E-3</v>
      </c>
      <c r="N4947">
        <v>0</v>
      </c>
      <c r="O4947">
        <v>-0.99989459999999997</v>
      </c>
      <c r="P4947">
        <v>-5.3532290000000003E-2</v>
      </c>
      <c r="Q4947">
        <v>-2.6438260000000002E-2</v>
      </c>
      <c r="R4947">
        <v>-0.99821599999999999</v>
      </c>
      <c r="S4947">
        <v>0.27261350000000001</v>
      </c>
      <c r="T4947">
        <v>-0.13576579999999999</v>
      </c>
      <c r="U4947">
        <v>-3.016937</v>
      </c>
      <c r="V4947">
        <v>4.7642589999999999E-2</v>
      </c>
      <c r="W4947">
        <v>-1.31818E-2</v>
      </c>
      <c r="X4947">
        <v>0.99877740000000004</v>
      </c>
      <c r="Y4947">
        <v>-9.5778849999999999E-2</v>
      </c>
      <c r="Z4947">
        <v>4.4760189999999998E-2</v>
      </c>
      <c r="AA4947">
        <v>0.99439580000000005</v>
      </c>
      <c r="AB4947">
        <v>19</v>
      </c>
      <c r="AC4947">
        <v>2.2304999999999402</v>
      </c>
      <c r="AD4947">
        <v>-1.110279275296</v>
      </c>
      <c r="AE4947">
        <v>-24.489079999999898</v>
      </c>
      <c r="AF4947">
        <v>-2.37011990384948</v>
      </c>
      <c r="AG4947">
        <v>-1.110279275296</v>
      </c>
      <c r="AH4947">
        <v>24.4256991633974</v>
      </c>
      <c r="AI4947">
        <v>92.5904594765762</v>
      </c>
      <c r="AJ4947">
        <v>95.5422796064084</v>
      </c>
      <c r="AK4947">
        <v>24.565523972603799</v>
      </c>
      <c r="AL4947">
        <v>90.755283429175094</v>
      </c>
      <c r="AM4947">
        <v>87.269009316718595</v>
      </c>
      <c r="AN4947">
        <v>0.99999993549195199</v>
      </c>
    </row>
    <row r="4948" spans="1:40" x14ac:dyDescent="0.25">
      <c r="A4948" t="str">
        <f>"20190312161415324"</f>
        <v>20190312161415324</v>
      </c>
      <c r="B4948" t="str">
        <f>"1552378455311954"</f>
        <v>1552378455311954</v>
      </c>
      <c r="C4948" t="s">
        <v>40</v>
      </c>
      <c r="D4948">
        <v>5.682849</v>
      </c>
      <c r="E4948">
        <v>0.44513259999999999</v>
      </c>
      <c r="F4948" t="s">
        <v>42</v>
      </c>
      <c r="G4948">
        <v>-419.65170000000001</v>
      </c>
      <c r="H4948" s="1">
        <v>-1.16697E-6</v>
      </c>
      <c r="I4948">
        <v>62.209000000000003</v>
      </c>
      <c r="J4948">
        <v>-421.92849999999999</v>
      </c>
      <c r="K4948">
        <v>1.110276</v>
      </c>
      <c r="L4948">
        <v>86.783720000000002</v>
      </c>
      <c r="M4948">
        <v>-5.8823919999999898E-3</v>
      </c>
      <c r="N4948">
        <v>0</v>
      </c>
      <c r="O4948">
        <v>-0.99989490000000003</v>
      </c>
      <c r="P4948">
        <v>-5.2420559999999998E-2</v>
      </c>
      <c r="Q4948">
        <v>-2.677794E-2</v>
      </c>
      <c r="R4948">
        <v>-0.99826630000000005</v>
      </c>
      <c r="S4948">
        <v>0.2772522</v>
      </c>
      <c r="T4948">
        <v>-0.13527069999999999</v>
      </c>
      <c r="U4948">
        <v>-3.0166629999999999</v>
      </c>
      <c r="V4948">
        <v>4.6547850000000002E-2</v>
      </c>
      <c r="W4948">
        <v>-1.352301E-2</v>
      </c>
      <c r="X4948">
        <v>0.9988245</v>
      </c>
      <c r="Y4948">
        <v>-9.7286780000000003E-2</v>
      </c>
      <c r="Z4948">
        <v>4.4594960000000003E-2</v>
      </c>
      <c r="AA4948">
        <v>0.99425680000000005</v>
      </c>
      <c r="AB4948">
        <v>19</v>
      </c>
      <c r="AC4948">
        <v>2.2767999999999802</v>
      </c>
      <c r="AD4948">
        <v>-1.11027716697</v>
      </c>
      <c r="AE4948">
        <v>-24.574719999999999</v>
      </c>
      <c r="AF4948">
        <v>-2.41644096806461</v>
      </c>
      <c r="AG4948">
        <v>-1.11027716697</v>
      </c>
      <c r="AH4948">
        <v>24.511293883841098</v>
      </c>
      <c r="AI4948">
        <v>92.581033492460193</v>
      </c>
      <c r="AJ4948">
        <v>95.630299687777907</v>
      </c>
      <c r="AK4948">
        <v>24.655129896223698</v>
      </c>
      <c r="AL4948">
        <v>90.774835033520105</v>
      </c>
      <c r="AM4948">
        <v>87.331796395751496</v>
      </c>
      <c r="AN4948">
        <v>0.999999977969666</v>
      </c>
    </row>
    <row r="4949" spans="1:40" x14ac:dyDescent="0.25">
      <c r="A4949" t="str">
        <f>"20190312161415347"</f>
        <v>20190312161415347</v>
      </c>
      <c r="B4949" t="str">
        <f>"1552378455341234"</f>
        <v>1552378455341234</v>
      </c>
      <c r="C4949" t="s">
        <v>40</v>
      </c>
      <c r="D4949">
        <v>5.6646809999999999</v>
      </c>
      <c r="E4949">
        <v>0.44503150000000002</v>
      </c>
      <c r="F4949" t="s">
        <v>42</v>
      </c>
      <c r="G4949">
        <v>-419.6157</v>
      </c>
      <c r="H4949" s="1">
        <v>-1.094244E-6</v>
      </c>
      <c r="I4949">
        <v>62.024560000000001</v>
      </c>
      <c r="J4949">
        <v>-421.92950000000002</v>
      </c>
      <c r="K4949">
        <v>1.110271</v>
      </c>
      <c r="L4949">
        <v>86.592650000000006</v>
      </c>
      <c r="M4949">
        <v>-5.8666909999999899E-3</v>
      </c>
      <c r="N4949">
        <v>0</v>
      </c>
      <c r="O4949">
        <v>-0.99989510000000004</v>
      </c>
      <c r="P4949">
        <v>-5.2183109999999998E-2</v>
      </c>
      <c r="Q4949">
        <v>-2.6919120000000001E-2</v>
      </c>
      <c r="R4949">
        <v>-0.99827489999999997</v>
      </c>
      <c r="S4949">
        <v>0.28176879999999999</v>
      </c>
      <c r="T4949">
        <v>-0.1352642</v>
      </c>
      <c r="U4949">
        <v>-3.0163880000000001</v>
      </c>
      <c r="V4949">
        <v>4.6325909999999998E-2</v>
      </c>
      <c r="W4949">
        <v>-1.3666670000000001E-2</v>
      </c>
      <c r="X4949">
        <v>0.99883290000000002</v>
      </c>
      <c r="Y4949">
        <v>-9.8755399999999993E-2</v>
      </c>
      <c r="Z4949">
        <v>4.459055E-2</v>
      </c>
      <c r="AA4949">
        <v>0.9941122</v>
      </c>
      <c r="AB4949">
        <v>19</v>
      </c>
      <c r="AC4949">
        <v>2.3138000000000098</v>
      </c>
      <c r="AD4949">
        <v>-1.1102720942440001</v>
      </c>
      <c r="AE4949">
        <v>-24.568090000000002</v>
      </c>
      <c r="AF4949">
        <v>-2.4529406493939998</v>
      </c>
      <c r="AG4949">
        <v>-1.1102720942440001</v>
      </c>
      <c r="AH4949">
        <v>24.504486459651702</v>
      </c>
      <c r="AI4949">
        <v>92.581353062983993</v>
      </c>
      <c r="AJ4949">
        <v>95.716362129203603</v>
      </c>
      <c r="AK4949">
        <v>24.651967033159099</v>
      </c>
      <c r="AL4949">
        <v>90.783066877163506</v>
      </c>
      <c r="AM4949">
        <v>87.344522428176106</v>
      </c>
      <c r="AN4949">
        <v>1.00000001496431</v>
      </c>
    </row>
    <row r="4950" spans="1:40" x14ac:dyDescent="0.25">
      <c r="A4950" t="str">
        <f>"20190312161415369"</f>
        <v>20190312161415369</v>
      </c>
      <c r="B4950" t="str">
        <f>"1552378455361730"</f>
        <v>1552378455361730</v>
      </c>
      <c r="C4950" t="s">
        <v>40</v>
      </c>
      <c r="D4950">
        <v>5.6468590000000001</v>
      </c>
      <c r="E4950">
        <v>0.44502540000000002</v>
      </c>
      <c r="F4950" t="s">
        <v>42</v>
      </c>
      <c r="G4950">
        <v>-419.58370000000002</v>
      </c>
      <c r="H4950" s="1">
        <v>-9.2206900000000002E-7</v>
      </c>
      <c r="I4950">
        <v>61.61</v>
      </c>
      <c r="J4950">
        <v>-421.93060000000003</v>
      </c>
      <c r="K4950">
        <v>1.1102719999999999</v>
      </c>
      <c r="L4950">
        <v>86.404939999999996</v>
      </c>
      <c r="M4950">
        <v>-5.8500920000000003E-3</v>
      </c>
      <c r="N4950">
        <v>0</v>
      </c>
      <c r="O4950">
        <v>-0.99989510000000004</v>
      </c>
      <c r="P4950">
        <v>-5.1974340000000001E-2</v>
      </c>
      <c r="Q4950">
        <v>-2.632319E-2</v>
      </c>
      <c r="R4950">
        <v>-0.99830160000000001</v>
      </c>
      <c r="S4950">
        <v>0.28323359999999997</v>
      </c>
      <c r="T4950">
        <v>-0.134052</v>
      </c>
      <c r="U4950">
        <v>-3.0163570000000002</v>
      </c>
      <c r="V4950">
        <v>4.6133349999999997E-2</v>
      </c>
      <c r="W4950">
        <v>-1.3084139999999999E-2</v>
      </c>
      <c r="X4950">
        <v>0.9988496</v>
      </c>
      <c r="Y4950">
        <v>-9.9220030000000001E-2</v>
      </c>
      <c r="Z4950">
        <v>4.4190180000000003E-2</v>
      </c>
      <c r="AA4950">
        <v>0.99408379999999996</v>
      </c>
      <c r="AB4950">
        <v>19</v>
      </c>
      <c r="AC4950">
        <v>2.3469000000000002</v>
      </c>
      <c r="AD4950">
        <v>-1.110272922069</v>
      </c>
      <c r="AE4950">
        <v>-24.79494</v>
      </c>
      <c r="AF4950">
        <v>-2.4869829078210599</v>
      </c>
      <c r="AG4950">
        <v>-1.110272922069</v>
      </c>
      <c r="AH4950">
        <v>24.7316360779147</v>
      </c>
      <c r="AI4950">
        <v>92.557561995503406</v>
      </c>
      <c r="AJ4950">
        <v>95.7422895701839</v>
      </c>
      <c r="AK4950">
        <v>24.8811497530899</v>
      </c>
      <c r="AL4950">
        <v>90.749687390471195</v>
      </c>
      <c r="AM4950">
        <v>87.355588734069599</v>
      </c>
      <c r="AN4950">
        <v>1.0000000020609601</v>
      </c>
    </row>
    <row r="4951" spans="1:40" x14ac:dyDescent="0.25">
      <c r="A4951" t="str">
        <f>"20190312161415391"</f>
        <v>20190312161415391</v>
      </c>
      <c r="B4951" t="str">
        <f>"1552378455381251"</f>
        <v>1552378455381251</v>
      </c>
      <c r="C4951" t="s">
        <v>40</v>
      </c>
      <c r="D4951">
        <v>5.635345</v>
      </c>
      <c r="E4951">
        <v>0.44503930000000003</v>
      </c>
      <c r="F4951" t="s">
        <v>42</v>
      </c>
      <c r="G4951">
        <v>-419.55360000000002</v>
      </c>
      <c r="H4951" s="1">
        <v>-7.2664880000000005E-7</v>
      </c>
      <c r="I4951">
        <v>61.142029999999998</v>
      </c>
      <c r="J4951">
        <v>-421.93169999999998</v>
      </c>
      <c r="K4951">
        <v>1.110268</v>
      </c>
      <c r="L4951">
        <v>86.219300000000004</v>
      </c>
      <c r="M4951">
        <v>-5.8247350000000002E-3</v>
      </c>
      <c r="N4951">
        <v>0</v>
      </c>
      <c r="O4951">
        <v>-0.9998956</v>
      </c>
      <c r="P4951">
        <v>-5.2257709999999999E-2</v>
      </c>
      <c r="Q4951">
        <v>-2.5619220000000002E-2</v>
      </c>
      <c r="R4951">
        <v>-0.998305</v>
      </c>
      <c r="S4951">
        <v>0.2838135</v>
      </c>
      <c r="T4951">
        <v>-0.1325665</v>
      </c>
      <c r="U4951">
        <v>-3.0163880000000001</v>
      </c>
      <c r="V4951">
        <v>4.6441919999999998E-2</v>
      </c>
      <c r="W4951">
        <v>-1.240931E-2</v>
      </c>
      <c r="X4951">
        <v>0.99884390000000001</v>
      </c>
      <c r="Y4951">
        <v>-9.9385290000000001E-2</v>
      </c>
      <c r="Z4951">
        <v>4.370023E-2</v>
      </c>
      <c r="AA4951">
        <v>0.99408890000000005</v>
      </c>
      <c r="AB4951">
        <v>19</v>
      </c>
      <c r="AC4951">
        <v>2.3780999999999599</v>
      </c>
      <c r="AD4951">
        <v>-1.1102687266488001</v>
      </c>
      <c r="AE4951">
        <v>-25.077269999999999</v>
      </c>
      <c r="AF4951">
        <v>-2.5192467144244701</v>
      </c>
      <c r="AG4951">
        <v>-1.1102687266488001</v>
      </c>
      <c r="AH4951">
        <v>25.014395829395902</v>
      </c>
      <c r="AI4951">
        <v>92.5286412967275</v>
      </c>
      <c r="AJ4951">
        <v>95.750973900909798</v>
      </c>
      <c r="AK4951">
        <v>25.165438588731401</v>
      </c>
      <c r="AL4951">
        <v>90.711019346189701</v>
      </c>
      <c r="AM4951">
        <v>87.3379113730375</v>
      </c>
      <c r="AN4951">
        <v>0.99999998973758597</v>
      </c>
    </row>
    <row r="4952" spans="1:40" x14ac:dyDescent="0.25">
      <c r="A4952" t="str">
        <f>"20190312161415413"</f>
        <v>20190312161415413</v>
      </c>
      <c r="B4952" t="str">
        <f>"1552378455401746"</f>
        <v>1552378455401746</v>
      </c>
      <c r="C4952" t="s">
        <v>40</v>
      </c>
      <c r="D4952">
        <v>5.6189159999999996</v>
      </c>
      <c r="E4952">
        <v>0.4450597</v>
      </c>
      <c r="F4952" t="s">
        <v>42</v>
      </c>
      <c r="G4952">
        <v>-419.53809999999999</v>
      </c>
      <c r="H4952" s="1">
        <v>-5.395775E-7</v>
      </c>
      <c r="I4952">
        <v>60.699550000000002</v>
      </c>
      <c r="J4952">
        <v>-421.93270000000001</v>
      </c>
      <c r="K4952">
        <v>1.110268</v>
      </c>
      <c r="L4952">
        <v>86.038510000000002</v>
      </c>
      <c r="M4952">
        <v>-5.7913690000000002E-3</v>
      </c>
      <c r="N4952">
        <v>0</v>
      </c>
      <c r="O4952">
        <v>-0.99989649999999997</v>
      </c>
      <c r="P4952">
        <v>-5.2269950000000003E-2</v>
      </c>
      <c r="Q4952">
        <v>-2.4839480000000001E-2</v>
      </c>
      <c r="R4952">
        <v>-0.99832449999999995</v>
      </c>
      <c r="S4952">
        <v>0.28292850000000003</v>
      </c>
      <c r="T4952">
        <v>-0.13123850000000001</v>
      </c>
      <c r="U4952">
        <v>-3.0165410000000001</v>
      </c>
      <c r="V4952">
        <v>4.648741E-2</v>
      </c>
      <c r="W4952">
        <v>-1.166317E-2</v>
      </c>
      <c r="X4952">
        <v>0.99885080000000004</v>
      </c>
      <c r="Y4952">
        <v>-9.906007E-2</v>
      </c>
      <c r="Z4952">
        <v>4.3262420000000003E-2</v>
      </c>
      <c r="AA4952">
        <v>0.99414060000000004</v>
      </c>
      <c r="AB4952">
        <v>19</v>
      </c>
      <c r="AC4952">
        <v>2.39460000000002</v>
      </c>
      <c r="AD4952">
        <v>-1.1102685395774901</v>
      </c>
      <c r="AE4952">
        <v>-25.33896</v>
      </c>
      <c r="AF4952">
        <v>-2.53649312526866</v>
      </c>
      <c r="AG4952">
        <v>-1.1102685395774901</v>
      </c>
      <c r="AH4952">
        <v>25.2765668655131</v>
      </c>
      <c r="AI4952">
        <v>92.502537191257105</v>
      </c>
      <c r="AJ4952">
        <v>95.730424173033398</v>
      </c>
      <c r="AK4952">
        <v>25.427766832957801</v>
      </c>
      <c r="AL4952">
        <v>90.668265558117994</v>
      </c>
      <c r="AM4952">
        <v>87.335325986761703</v>
      </c>
      <c r="AN4952">
        <v>1.00000001474179</v>
      </c>
    </row>
    <row r="4953" spans="1:40" x14ac:dyDescent="0.25">
      <c r="A4953" t="str">
        <f>"20190312161415436"</f>
        <v>20190312161415436</v>
      </c>
      <c r="B4953" t="str">
        <f>"1552378455431030"</f>
        <v>1552378455431030</v>
      </c>
      <c r="C4953" t="s">
        <v>40</v>
      </c>
      <c r="D4953">
        <v>5.5252179999999997</v>
      </c>
      <c r="E4953">
        <v>0.44527319999999998</v>
      </c>
      <c r="F4953" t="s">
        <v>42</v>
      </c>
      <c r="G4953">
        <v>-419.49130000000002</v>
      </c>
      <c r="H4953" s="1">
        <v>-2.3850140000000002E-7</v>
      </c>
      <c r="I4953">
        <v>59.951169999999998</v>
      </c>
      <c r="J4953">
        <v>-421.93369999999999</v>
      </c>
      <c r="K4953">
        <v>1.1102799999999999</v>
      </c>
      <c r="L4953">
        <v>85.845429999999993</v>
      </c>
      <c r="M4953">
        <v>-5.7421529999999998E-3</v>
      </c>
      <c r="N4953">
        <v>0</v>
      </c>
      <c r="O4953">
        <v>-0.99989720000000004</v>
      </c>
      <c r="P4953">
        <v>-5.2512709999999997E-2</v>
      </c>
      <c r="Q4953">
        <v>-2.417687E-2</v>
      </c>
      <c r="R4953">
        <v>-0.99832770000000004</v>
      </c>
      <c r="S4953">
        <v>0.28231810000000002</v>
      </c>
      <c r="T4953">
        <v>-0.1283869</v>
      </c>
      <c r="U4953">
        <v>-3.016632</v>
      </c>
      <c r="V4953">
        <v>4.677949E-2</v>
      </c>
      <c r="W4953">
        <v>-1.1041E-2</v>
      </c>
      <c r="X4953">
        <v>0.99884419999999996</v>
      </c>
      <c r="Y4953">
        <v>-9.8812629999999999E-2</v>
      </c>
      <c r="Z4953">
        <v>4.2323760000000002E-2</v>
      </c>
      <c r="AA4953">
        <v>0.99420560000000002</v>
      </c>
      <c r="AB4953">
        <v>19</v>
      </c>
      <c r="AC4953">
        <v>2.4423999999999602</v>
      </c>
      <c r="AD4953">
        <v>-1.1102802385013999</v>
      </c>
      <c r="AE4953">
        <v>-25.894259999999999</v>
      </c>
      <c r="AF4953">
        <v>-2.58634835238998</v>
      </c>
      <c r="AG4953">
        <v>-1.1102802385013999</v>
      </c>
      <c r="AH4953">
        <v>25.8327330957197</v>
      </c>
      <c r="AI4953">
        <v>92.448806811614006</v>
      </c>
      <c r="AJ4953">
        <v>95.717345829613905</v>
      </c>
      <c r="AK4953">
        <v>25.985611772721601</v>
      </c>
      <c r="AL4953">
        <v>90.632615567652493</v>
      </c>
      <c r="AM4953">
        <v>87.318590529334202</v>
      </c>
      <c r="AN4953">
        <v>0.99999998011964897</v>
      </c>
    </row>
    <row r="4954" spans="1:40" x14ac:dyDescent="0.25">
      <c r="A4954" t="str">
        <f>"20190312161415460"</f>
        <v>20190312161415460</v>
      </c>
      <c r="B4954" t="str">
        <f>"1552378455451522"</f>
        <v>1552378455451522</v>
      </c>
      <c r="C4954" t="s">
        <v>40</v>
      </c>
      <c r="D4954">
        <v>5.5500970000000001</v>
      </c>
      <c r="E4954">
        <v>0.44530120000000001</v>
      </c>
      <c r="F4954" t="s">
        <v>42</v>
      </c>
      <c r="G4954">
        <v>-419.46660000000003</v>
      </c>
      <c r="H4954" s="1">
        <v>-4.2115509999999998E-6</v>
      </c>
      <c r="I4954">
        <v>59.229430000000001</v>
      </c>
      <c r="J4954">
        <v>-421.9348</v>
      </c>
      <c r="K4954">
        <v>1.1102860000000001</v>
      </c>
      <c r="L4954">
        <v>85.655940000000001</v>
      </c>
      <c r="M4954">
        <v>-5.6708849999999996E-3</v>
      </c>
      <c r="N4954">
        <v>0</v>
      </c>
      <c r="O4954">
        <v>-0.99989819999999996</v>
      </c>
      <c r="P4954">
        <v>-5.1899540000000001E-2</v>
      </c>
      <c r="Q4954">
        <v>-2.4241080000000002E-2</v>
      </c>
      <c r="R4954">
        <v>-0.99835810000000003</v>
      </c>
      <c r="S4954">
        <v>0.27963259999999901</v>
      </c>
      <c r="T4954">
        <v>-0.12584110000000001</v>
      </c>
      <c r="U4954">
        <v>-3.0166930000000001</v>
      </c>
      <c r="V4954">
        <v>4.6237649999999998E-2</v>
      </c>
      <c r="W4954">
        <v>-1.115793E-2</v>
      </c>
      <c r="X4954">
        <v>0.99886819999999998</v>
      </c>
      <c r="Y4954">
        <v>-9.7865569999999999E-2</v>
      </c>
      <c r="Z4954">
        <v>4.1488860000000002E-2</v>
      </c>
      <c r="AA4954">
        <v>0.99433450000000001</v>
      </c>
      <c r="AB4954">
        <v>19</v>
      </c>
      <c r="AC4954">
        <v>2.46819999999996</v>
      </c>
      <c r="AD4954">
        <v>-1.1102902115510001</v>
      </c>
      <c r="AE4954">
        <v>-26.426509999999901</v>
      </c>
      <c r="AF4954">
        <v>-2.61346147014376</v>
      </c>
      <c r="AG4954">
        <v>-1.1102902115510001</v>
      </c>
      <c r="AH4954">
        <v>26.3659482865373</v>
      </c>
      <c r="AI4954">
        <v>92.399598617385294</v>
      </c>
      <c r="AJ4954">
        <v>95.660815512573507</v>
      </c>
      <c r="AK4954">
        <v>26.518411608883198</v>
      </c>
      <c r="AL4954">
        <v>90.639315531129498</v>
      </c>
      <c r="AM4954">
        <v>87.349667948306504</v>
      </c>
      <c r="AN4954">
        <v>1.0000000503253199</v>
      </c>
    </row>
    <row r="4955" spans="1:40" x14ac:dyDescent="0.25">
      <c r="A4955" t="str">
        <f>"20190312161415482"</f>
        <v>20190312161415482</v>
      </c>
      <c r="B4955" t="str">
        <f>"1552378455471042"</f>
        <v>1552378455471042</v>
      </c>
      <c r="C4955" t="s">
        <v>40</v>
      </c>
      <c r="D4955">
        <v>5.5006550000000001</v>
      </c>
      <c r="E4955">
        <v>0.44532389999999999</v>
      </c>
      <c r="F4955" t="s">
        <v>42</v>
      </c>
      <c r="G4955">
        <v>-419.45920000000001</v>
      </c>
      <c r="H4955" s="1">
        <v>-4.1815170000000004E-6</v>
      </c>
      <c r="I4955">
        <v>59.156379999999999</v>
      </c>
      <c r="J4955">
        <v>-421.9357</v>
      </c>
      <c r="K4955">
        <v>1.1102829999999999</v>
      </c>
      <c r="L4955">
        <v>85.469149999999999</v>
      </c>
      <c r="M4955">
        <v>-5.5759449999999997E-3</v>
      </c>
      <c r="N4955">
        <v>0</v>
      </c>
      <c r="O4955">
        <v>-0.9998996</v>
      </c>
      <c r="P4955">
        <v>-5.1683260000000002E-2</v>
      </c>
      <c r="Q4955">
        <v>-2.447761E-2</v>
      </c>
      <c r="R4955">
        <v>-0.99836369999999997</v>
      </c>
      <c r="S4955">
        <v>0.28179929999999997</v>
      </c>
      <c r="T4955">
        <v>-0.126387</v>
      </c>
      <c r="U4955">
        <v>-3.0165099999999998</v>
      </c>
      <c r="V4955">
        <v>4.6116520000000001E-2</v>
      </c>
      <c r="W4955">
        <v>-1.146059E-2</v>
      </c>
      <c r="X4955">
        <v>0.99887029999999999</v>
      </c>
      <c r="Y4955">
        <v>-9.8483989999999993E-2</v>
      </c>
      <c r="Z4955">
        <v>4.1668400000000001E-2</v>
      </c>
      <c r="AA4955">
        <v>0.99426590000000004</v>
      </c>
      <c r="AB4955">
        <v>19</v>
      </c>
      <c r="AC4955">
        <v>2.4764999999999802</v>
      </c>
      <c r="AD4955">
        <v>-1.1102871815169999</v>
      </c>
      <c r="AE4955">
        <v>-26.31277</v>
      </c>
      <c r="AF4955">
        <v>-2.6185711224036101</v>
      </c>
      <c r="AG4955">
        <v>-1.1102871815169999</v>
      </c>
      <c r="AH4955">
        <v>26.252219692996899</v>
      </c>
      <c r="AI4955">
        <v>92.409827341267899</v>
      </c>
      <c r="AJ4955">
        <v>95.696220943734801</v>
      </c>
      <c r="AK4955">
        <v>26.405845776227299</v>
      </c>
      <c r="AL4955">
        <v>90.656657827918593</v>
      </c>
      <c r="AM4955">
        <v>87.356606781940499</v>
      </c>
      <c r="AN4955">
        <v>0.99999997738107305</v>
      </c>
    </row>
    <row r="4956" spans="1:40" x14ac:dyDescent="0.25">
      <c r="A4956" t="str">
        <f>"20190312161415504"</f>
        <v>20190312161415504</v>
      </c>
      <c r="B4956" t="str">
        <f>"1552378455491538"</f>
        <v>1552378455491538</v>
      </c>
      <c r="C4956" t="s">
        <v>40</v>
      </c>
      <c r="D4956">
        <v>5.5111619999999997</v>
      </c>
      <c r="E4956">
        <v>0.44540489999999999</v>
      </c>
      <c r="F4956" t="s">
        <v>42</v>
      </c>
      <c r="G4956">
        <v>-419.47050000000002</v>
      </c>
      <c r="H4956" s="1">
        <v>-4.1543960000000003E-6</v>
      </c>
      <c r="I4956">
        <v>59.097810000000003</v>
      </c>
      <c r="J4956">
        <v>-421.9366</v>
      </c>
      <c r="K4956">
        <v>1.1102780000000001</v>
      </c>
      <c r="L4956">
        <v>85.285799999999995</v>
      </c>
      <c r="M4956">
        <v>-5.4638760000000003E-3</v>
      </c>
      <c r="N4956">
        <v>0</v>
      </c>
      <c r="O4956">
        <v>-0.9999015</v>
      </c>
      <c r="P4956">
        <v>-5.100797E-2</v>
      </c>
      <c r="Q4956">
        <v>-2.4173E-2</v>
      </c>
      <c r="R4956">
        <v>-0.99840609999999996</v>
      </c>
      <c r="S4956">
        <v>0.28198240000000002</v>
      </c>
      <c r="T4956">
        <v>-0.126996</v>
      </c>
      <c r="U4956">
        <v>-3.0163880000000001</v>
      </c>
      <c r="V4956">
        <v>4.555323E-2</v>
      </c>
      <c r="W4956">
        <v>-1.123185E-2</v>
      </c>
      <c r="X4956">
        <v>0.99889870000000003</v>
      </c>
      <c r="Y4956">
        <v>-9.8435239999999993E-2</v>
      </c>
      <c r="Z4956">
        <v>4.1870549999999999E-2</v>
      </c>
      <c r="AA4956">
        <v>0.99426219999999998</v>
      </c>
      <c r="AB4956">
        <v>19</v>
      </c>
      <c r="AC4956">
        <v>2.46609999999998</v>
      </c>
      <c r="AD4956">
        <v>-1.110282154396</v>
      </c>
      <c r="AE4956">
        <v>-26.187989999999999</v>
      </c>
      <c r="AF4956">
        <v>-2.6045226623656399</v>
      </c>
      <c r="AG4956">
        <v>-1.110282154396</v>
      </c>
      <c r="AH4956">
        <v>26.127572630403801</v>
      </c>
      <c r="AI4956">
        <v>92.421314089814402</v>
      </c>
      <c r="AJ4956">
        <v>95.692713517817197</v>
      </c>
      <c r="AK4956">
        <v>26.2805311270182</v>
      </c>
      <c r="AL4956">
        <v>90.643551176485701</v>
      </c>
      <c r="AM4956">
        <v>87.388923667727397</v>
      </c>
      <c r="AN4956">
        <v>0.99999993203977</v>
      </c>
    </row>
    <row r="4957" spans="1:40" x14ac:dyDescent="0.25">
      <c r="A4957" t="str">
        <f>"20190312161415525"</f>
        <v>20190312161415525</v>
      </c>
      <c r="B4957" t="str">
        <f>"1552378455521794"</f>
        <v>1552378455521794</v>
      </c>
      <c r="C4957" t="s">
        <v>40</v>
      </c>
      <c r="D4957">
        <v>5.4472389999999997</v>
      </c>
      <c r="E4957">
        <v>0.44553910000000002</v>
      </c>
      <c r="F4957" t="s">
        <v>42</v>
      </c>
      <c r="G4957">
        <v>-419.43970000000002</v>
      </c>
      <c r="H4957" s="1">
        <v>-3.9969959999999999E-6</v>
      </c>
      <c r="I4957">
        <v>58.71819</v>
      </c>
      <c r="J4957">
        <v>-421.9375</v>
      </c>
      <c r="K4957">
        <v>1.110271</v>
      </c>
      <c r="L4957">
        <v>85.105829999999997</v>
      </c>
      <c r="M4957">
        <v>-5.3421709999999997E-3</v>
      </c>
      <c r="N4957">
        <v>0</v>
      </c>
      <c r="O4957">
        <v>-0.99990319999999999</v>
      </c>
      <c r="P4957">
        <v>-5.0506059999999998E-2</v>
      </c>
      <c r="Q4957">
        <v>-2.4532160000000001E-2</v>
      </c>
      <c r="R4957">
        <v>-0.99842280000000005</v>
      </c>
      <c r="S4957">
        <v>0.2834778</v>
      </c>
      <c r="T4957">
        <v>-0.12604960000000001</v>
      </c>
      <c r="U4957">
        <v>-3.0162049999999998</v>
      </c>
      <c r="V4957">
        <v>4.5173079999999997E-2</v>
      </c>
      <c r="W4957">
        <v>-1.167548E-2</v>
      </c>
      <c r="X4957">
        <v>0.99891099999999999</v>
      </c>
      <c r="Y4957">
        <v>-9.8809530000000007E-2</v>
      </c>
      <c r="Z4957">
        <v>4.155988E-2</v>
      </c>
      <c r="AA4957">
        <v>0.99423810000000001</v>
      </c>
      <c r="AB4957">
        <v>19</v>
      </c>
      <c r="AC4957">
        <v>2.4977999999999798</v>
      </c>
      <c r="AD4957">
        <v>-1.110274996996</v>
      </c>
      <c r="AE4957">
        <v>-26.387640000000001</v>
      </c>
      <c r="AF4957">
        <v>-2.63412135853148</v>
      </c>
      <c r="AG4957">
        <v>-1.110274996996</v>
      </c>
      <c r="AH4957">
        <v>26.327723161193799</v>
      </c>
      <c r="AI4957">
        <v>92.402825830011906</v>
      </c>
      <c r="AJ4957">
        <v>95.713499912094505</v>
      </c>
      <c r="AK4957">
        <v>26.482452921753499</v>
      </c>
      <c r="AL4957">
        <v>90.668970890277507</v>
      </c>
      <c r="AM4957">
        <v>87.410715634692394</v>
      </c>
      <c r="AN4957">
        <v>1.00000005495545</v>
      </c>
    </row>
    <row r="4958" spans="1:40" x14ac:dyDescent="0.25">
      <c r="A4958" t="str">
        <f>"20190312161415549"</f>
        <v>20190312161415549</v>
      </c>
      <c r="B4958" t="str">
        <f>"1552378455541314"</f>
        <v>1552378455541314</v>
      </c>
      <c r="C4958" t="s">
        <v>40</v>
      </c>
      <c r="D4958">
        <v>5.4538580000000003</v>
      </c>
      <c r="E4958">
        <v>0.44562780000000002</v>
      </c>
      <c r="F4958" t="s">
        <v>42</v>
      </c>
      <c r="G4958">
        <v>-419.46260000000001</v>
      </c>
      <c r="H4958" s="1">
        <v>-4.0209620000000003E-6</v>
      </c>
      <c r="I4958">
        <v>58.78351</v>
      </c>
      <c r="J4958">
        <v>-421.9384</v>
      </c>
      <c r="K4958">
        <v>1.1102529999999999</v>
      </c>
      <c r="L4958">
        <v>84.911959999999993</v>
      </c>
      <c r="M4958">
        <v>-5.2079789999999997E-3</v>
      </c>
      <c r="N4958">
        <v>0</v>
      </c>
      <c r="O4958">
        <v>-0.99990509999999999</v>
      </c>
      <c r="P4958">
        <v>-5.0417370000000003E-2</v>
      </c>
      <c r="Q4958">
        <v>-2.5037480000000001E-2</v>
      </c>
      <c r="R4958">
        <v>-0.99841469999999999</v>
      </c>
      <c r="S4958">
        <v>0.28356930000000002</v>
      </c>
      <c r="T4958">
        <v>-0.1272131</v>
      </c>
      <c r="U4958">
        <v>-3.0159609999999999</v>
      </c>
      <c r="V4958">
        <v>4.5218559999999998E-2</v>
      </c>
      <c r="W4958">
        <v>-1.2279709999999999E-2</v>
      </c>
      <c r="X4958">
        <v>0.9989017</v>
      </c>
      <c r="Y4958">
        <v>-9.8711880000000002E-2</v>
      </c>
      <c r="Z4958">
        <v>4.194639E-2</v>
      </c>
      <c r="AA4958">
        <v>0.99423159999999999</v>
      </c>
      <c r="AB4958">
        <v>19</v>
      </c>
      <c r="AC4958">
        <v>2.4757999999999898</v>
      </c>
      <c r="AD4958">
        <v>-1.110257020962</v>
      </c>
      <c r="AE4958">
        <v>-26.128449999999901</v>
      </c>
      <c r="AF4958">
        <v>-2.60718827712209</v>
      </c>
      <c r="AG4958">
        <v>-1.110257020962</v>
      </c>
      <c r="AH4958">
        <v>26.0685503040777</v>
      </c>
      <c r="AI4958">
        <v>92.426656233849698</v>
      </c>
      <c r="AJ4958">
        <v>95.711318323989602</v>
      </c>
      <c r="AK4958">
        <v>26.2221169305834</v>
      </c>
      <c r="AL4958">
        <v>90.703593199312607</v>
      </c>
      <c r="AM4958">
        <v>87.408088212978299</v>
      </c>
      <c r="AN4958">
        <v>1.0000000578545201</v>
      </c>
    </row>
    <row r="4959" spans="1:40" x14ac:dyDescent="0.25">
      <c r="A4959" t="str">
        <f>"20190312161415570"</f>
        <v>20190312161415570</v>
      </c>
      <c r="B4959" t="str">
        <f>"1552378455561814"</f>
        <v>1552378455561814</v>
      </c>
      <c r="C4959" t="s">
        <v>40</v>
      </c>
      <c r="D4959">
        <v>5.4338939999999996</v>
      </c>
      <c r="E4959">
        <v>0.44577509999999998</v>
      </c>
      <c r="F4959" t="s">
        <v>42</v>
      </c>
      <c r="G4959">
        <v>-419.46780000000001</v>
      </c>
      <c r="H4959" s="1">
        <v>-3.966666E-6</v>
      </c>
      <c r="I4959">
        <v>58.659109999999998</v>
      </c>
      <c r="J4959">
        <v>-421.93920000000003</v>
      </c>
      <c r="K4959">
        <v>1.1102240000000001</v>
      </c>
      <c r="L4959">
        <v>84.729309999999998</v>
      </c>
      <c r="M4959">
        <v>-5.0825189999999998E-3</v>
      </c>
      <c r="N4959">
        <v>0</v>
      </c>
      <c r="O4959">
        <v>-0.99990699999999999</v>
      </c>
      <c r="P4959">
        <v>-5.0841360000000002E-2</v>
      </c>
      <c r="Q4959">
        <v>-2.5798640000000001E-2</v>
      </c>
      <c r="R4959">
        <v>-0.99837370000000003</v>
      </c>
      <c r="S4959">
        <v>0.2838135</v>
      </c>
      <c r="T4959">
        <v>-0.1275452</v>
      </c>
      <c r="U4959">
        <v>-3.0158999999999998</v>
      </c>
      <c r="V4959">
        <v>4.576802E-2</v>
      </c>
      <c r="W4959">
        <v>-1.313335E-2</v>
      </c>
      <c r="X4959">
        <v>0.99886580000000003</v>
      </c>
      <c r="Y4959">
        <v>-9.8668240000000004E-2</v>
      </c>
      <c r="Z4959">
        <v>4.205652E-2</v>
      </c>
      <c r="AA4959">
        <v>0.99423130000000004</v>
      </c>
      <c r="AB4959">
        <v>19</v>
      </c>
      <c r="AC4959">
        <v>2.4714000000000098</v>
      </c>
      <c r="AD4959">
        <v>-1.110227966666</v>
      </c>
      <c r="AE4959">
        <v>-26.0702</v>
      </c>
      <c r="AF4959">
        <v>-2.599209095904</v>
      </c>
      <c r="AG4959">
        <v>-1.110227966666</v>
      </c>
      <c r="AH4959">
        <v>26.010549330009599</v>
      </c>
      <c r="AI4959">
        <v>92.432017516841796</v>
      </c>
      <c r="AJ4959">
        <v>95.706567374953806</v>
      </c>
      <c r="AK4959">
        <v>26.163661259675798</v>
      </c>
      <c r="AL4959">
        <v>90.7525071283995</v>
      </c>
      <c r="AM4959">
        <v>87.376542942090097</v>
      </c>
      <c r="AN4959">
        <v>1.0000000414732899</v>
      </c>
    </row>
    <row r="4960" spans="1:40" x14ac:dyDescent="0.25">
      <c r="A4960" t="str">
        <f>"20190312161415592"</f>
        <v>20190312161415592</v>
      </c>
      <c r="B4960" t="str">
        <f>"1552378455581330"</f>
        <v>1552378455581330</v>
      </c>
      <c r="C4960" t="s">
        <v>40</v>
      </c>
      <c r="D4960">
        <v>5.4311680000000004</v>
      </c>
      <c r="E4960">
        <v>0.44582509999999997</v>
      </c>
      <c r="F4960" t="s">
        <v>42</v>
      </c>
      <c r="G4960">
        <v>-419.55009999999999</v>
      </c>
      <c r="H4960" s="1">
        <v>-4.1316969999999999E-6</v>
      </c>
      <c r="I4960">
        <v>59.077840000000002</v>
      </c>
      <c r="J4960">
        <v>-421.93990000000002</v>
      </c>
      <c r="K4960">
        <v>1.1102069999999999</v>
      </c>
      <c r="L4960">
        <v>84.549099999999996</v>
      </c>
      <c r="M4960">
        <v>-4.9622529999999998E-3</v>
      </c>
      <c r="N4960">
        <v>0</v>
      </c>
      <c r="O4960">
        <v>-0.99990869999999998</v>
      </c>
      <c r="P4960">
        <v>-5.1438589999999999E-2</v>
      </c>
      <c r="Q4960">
        <v>-2.5629099999999998E-2</v>
      </c>
      <c r="R4960">
        <v>-0.99834750000000005</v>
      </c>
      <c r="S4960">
        <v>0.28088380000000002</v>
      </c>
      <c r="T4960">
        <v>-0.13052939999999999</v>
      </c>
      <c r="U4960">
        <v>-3.0158390000000002</v>
      </c>
      <c r="V4960">
        <v>4.6485230000000002E-2</v>
      </c>
      <c r="W4960">
        <v>-1.304831E-2</v>
      </c>
      <c r="X4960">
        <v>0.99883379999999999</v>
      </c>
      <c r="Y4960">
        <v>-9.7589049999999997E-2</v>
      </c>
      <c r="Z4960">
        <v>4.3043850000000002E-2</v>
      </c>
      <c r="AA4960">
        <v>0.9942955</v>
      </c>
      <c r="AB4960">
        <v>19</v>
      </c>
      <c r="AC4960">
        <v>2.3898000000000299</v>
      </c>
      <c r="AD4960">
        <v>-1.110211131697</v>
      </c>
      <c r="AE4960">
        <v>-25.471259999999901</v>
      </c>
      <c r="AF4960">
        <v>-2.5114457557089902</v>
      </c>
      <c r="AG4960">
        <v>-1.110211131697</v>
      </c>
      <c r="AH4960">
        <v>25.411231354010301</v>
      </c>
      <c r="AI4960">
        <v>92.489535445007405</v>
      </c>
      <c r="AJ4960">
        <v>95.644333183627793</v>
      </c>
      <c r="AK4960">
        <v>25.559158974188701</v>
      </c>
      <c r="AL4960">
        <v>90.747634273447503</v>
      </c>
      <c r="AM4960">
        <v>87.335405480138704</v>
      </c>
      <c r="AN4960">
        <v>1.0000000475122199</v>
      </c>
    </row>
    <row r="4961" spans="1:40" x14ac:dyDescent="0.25">
      <c r="A4961" t="str">
        <f>"20190312161415615"</f>
        <v>20190312161415615</v>
      </c>
      <c r="B4961" t="str">
        <f>"1552378455611586"</f>
        <v>1552378455611586</v>
      </c>
      <c r="C4961" t="s">
        <v>40</v>
      </c>
      <c r="D4961">
        <v>5.4712769999999997</v>
      </c>
      <c r="E4961">
        <v>0.4458434</v>
      </c>
      <c r="F4961" t="s">
        <v>42</v>
      </c>
      <c r="G4961">
        <v>-419.54079999999999</v>
      </c>
      <c r="H4961" s="1">
        <v>-3.9318180000000003E-6</v>
      </c>
      <c r="I4961">
        <v>58.608080000000001</v>
      </c>
      <c r="J4961">
        <v>-421.94080000000002</v>
      </c>
      <c r="K4961">
        <v>1.1101939999999999</v>
      </c>
      <c r="L4961">
        <v>84.357330000000005</v>
      </c>
      <c r="M4961">
        <v>-4.8424289999999997E-3</v>
      </c>
      <c r="N4961">
        <v>0</v>
      </c>
      <c r="O4961">
        <v>-0.99991010000000002</v>
      </c>
      <c r="P4961">
        <v>-5.1370029999999997E-2</v>
      </c>
      <c r="Q4961">
        <v>-2.4785919999999999E-2</v>
      </c>
      <c r="R4961">
        <v>-0.99837209999999998</v>
      </c>
      <c r="S4961">
        <v>0.27893069999999998</v>
      </c>
      <c r="T4961">
        <v>-0.1290781</v>
      </c>
      <c r="U4961">
        <v>-3.016022</v>
      </c>
      <c r="V4961">
        <v>4.6535920000000001E-2</v>
      </c>
      <c r="W4961">
        <v>-1.2293449999999999E-2</v>
      </c>
      <c r="X4961">
        <v>0.99884099999999998</v>
      </c>
      <c r="Y4961">
        <v>-9.6827679999999999E-2</v>
      </c>
      <c r="Z4961">
        <v>4.2566479999999997E-2</v>
      </c>
      <c r="AA4961">
        <v>0.99439049999999995</v>
      </c>
      <c r="AB4961">
        <v>19</v>
      </c>
      <c r="AC4961">
        <v>2.4000000000000301</v>
      </c>
      <c r="AD4961">
        <v>-1.110197931818</v>
      </c>
      <c r="AE4961">
        <v>-25.74925</v>
      </c>
      <c r="AF4961">
        <v>-2.5200262215037901</v>
      </c>
      <c r="AG4961">
        <v>-1.110197931818</v>
      </c>
      <c r="AH4961">
        <v>25.6899798044305</v>
      </c>
      <c r="AI4961">
        <v>92.462704100442096</v>
      </c>
      <c r="AJ4961">
        <v>95.602433640532695</v>
      </c>
      <c r="AK4961">
        <v>25.837146397327398</v>
      </c>
      <c r="AL4961">
        <v>90.704380520902305</v>
      </c>
      <c r="AM4961">
        <v>87.332523257703699</v>
      </c>
      <c r="AN4961">
        <v>1.0000000320220701</v>
      </c>
    </row>
    <row r="4962" spans="1:40" x14ac:dyDescent="0.25">
      <c r="A4962" t="str">
        <f>"20190312161415637"</f>
        <v>20190312161415637</v>
      </c>
      <c r="B4962" t="str">
        <f>"1552378455631105"</f>
        <v>1552378455631105</v>
      </c>
      <c r="C4962" t="s">
        <v>40</v>
      </c>
      <c r="D4962">
        <v>5.4486619999999997</v>
      </c>
      <c r="E4962">
        <v>0.44585900000000001</v>
      </c>
      <c r="F4962" t="s">
        <v>42</v>
      </c>
      <c r="G4962">
        <v>-419.46519999999998</v>
      </c>
      <c r="H4962" s="1">
        <v>-3.5014570000000001E-6</v>
      </c>
      <c r="I4962">
        <v>57.573619999999998</v>
      </c>
      <c r="J4962">
        <v>-421.94159999999999</v>
      </c>
      <c r="K4962">
        <v>1.110185</v>
      </c>
      <c r="L4962">
        <v>84.16968</v>
      </c>
      <c r="M4962">
        <v>-4.734645E-3</v>
      </c>
      <c r="N4962">
        <v>0</v>
      </c>
      <c r="O4962">
        <v>-0.99991200000000002</v>
      </c>
      <c r="P4962">
        <v>-5.0897530000000003E-2</v>
      </c>
      <c r="Q4962">
        <v>-2.438529E-2</v>
      </c>
      <c r="R4962">
        <v>-0.99840640000000003</v>
      </c>
      <c r="S4962">
        <v>0.27877809999999997</v>
      </c>
      <c r="T4962">
        <v>-0.1250193</v>
      </c>
      <c r="U4962">
        <v>-3.0161129999999998</v>
      </c>
      <c r="V4962">
        <v>4.617077E-2</v>
      </c>
      <c r="W4962">
        <v>-1.1984369999999999E-2</v>
      </c>
      <c r="X4962">
        <v>0.99886169999999996</v>
      </c>
      <c r="Y4962">
        <v>-9.6672889999999997E-2</v>
      </c>
      <c r="Z4962">
        <v>4.1229500000000002E-2</v>
      </c>
      <c r="AA4962">
        <v>0.99446190000000001</v>
      </c>
      <c r="AB4962">
        <v>19</v>
      </c>
      <c r="AC4962">
        <v>2.4764000000000101</v>
      </c>
      <c r="AD4962">
        <v>-1.1101885014570001</v>
      </c>
      <c r="AE4962">
        <v>-26.596059999999898</v>
      </c>
      <c r="AF4962">
        <v>-2.5978171676871198</v>
      </c>
      <c r="AG4962">
        <v>-1.1101885014570001</v>
      </c>
      <c r="AH4962">
        <v>26.538192217167801</v>
      </c>
      <c r="AI4962">
        <v>92.3841105116975</v>
      </c>
      <c r="AJ4962">
        <v>95.590857344156007</v>
      </c>
      <c r="AK4962">
        <v>26.688140038242501</v>
      </c>
      <c r="AL4962">
        <v>90.686670238081504</v>
      </c>
      <c r="AM4962">
        <v>87.353478843696905</v>
      </c>
      <c r="AN4962">
        <v>1.00000003042678</v>
      </c>
    </row>
    <row r="4963" spans="1:40" x14ac:dyDescent="0.25">
      <c r="A4963" t="str">
        <f>"20190312161415672"</f>
        <v>20190312161415672</v>
      </c>
      <c r="B4963" t="str">
        <f>"1552378455661362"</f>
        <v>1552378455661362</v>
      </c>
      <c r="C4963" t="s">
        <v>40</v>
      </c>
      <c r="D4963">
        <v>5.4660289999999998</v>
      </c>
      <c r="E4963">
        <v>0.44579540000000001</v>
      </c>
      <c r="F4963" t="s">
        <v>42</v>
      </c>
      <c r="G4963">
        <v>-419.42899999999997</v>
      </c>
      <c r="H4963" s="1">
        <v>-3.3004140000000002E-6</v>
      </c>
      <c r="I4963">
        <v>57.09</v>
      </c>
      <c r="J4963">
        <v>-421.9427</v>
      </c>
      <c r="K4963">
        <v>1.1101700000000001</v>
      </c>
      <c r="L4963">
        <v>83.887730000000005</v>
      </c>
      <c r="M4963">
        <v>-4.5840309999999997E-3</v>
      </c>
      <c r="N4963">
        <v>0</v>
      </c>
      <c r="O4963">
        <v>-0.99991419999999998</v>
      </c>
      <c r="P4963">
        <v>-4.9541759999999997E-2</v>
      </c>
      <c r="Q4963">
        <v>-2.4465520000000001E-2</v>
      </c>
      <c r="R4963">
        <v>-0.99847249999999999</v>
      </c>
      <c r="S4963">
        <v>0.27984619999999999</v>
      </c>
      <c r="T4963">
        <v>-0.12364940000000001</v>
      </c>
      <c r="U4963">
        <v>-3.0160520000000002</v>
      </c>
      <c r="V4963">
        <v>4.4965070000000003E-2</v>
      </c>
      <c r="W4963">
        <v>-1.2204090000000001E-2</v>
      </c>
      <c r="X4963">
        <v>0.99891399999999997</v>
      </c>
      <c r="Y4963">
        <v>-9.6875699999999995E-2</v>
      </c>
      <c r="Z4963">
        <v>4.0778269999999998E-2</v>
      </c>
      <c r="AA4963">
        <v>0.99446080000000003</v>
      </c>
      <c r="AB4963">
        <v>19</v>
      </c>
      <c r="AC4963">
        <v>2.5136999999999698</v>
      </c>
      <c r="AD4963">
        <v>-1.110173300414</v>
      </c>
      <c r="AE4963">
        <v>-26.797729999999898</v>
      </c>
      <c r="AF4963">
        <v>-2.6320465590592299</v>
      </c>
      <c r="AG4963">
        <v>-1.110173300414</v>
      </c>
      <c r="AH4963">
        <v>26.740431157334001</v>
      </c>
      <c r="AI4963">
        <v>92.365943589847404</v>
      </c>
      <c r="AJ4963">
        <v>95.621485747362499</v>
      </c>
      <c r="AK4963">
        <v>26.892579131167899</v>
      </c>
      <c r="AL4963">
        <v>90.699260216614405</v>
      </c>
      <c r="AM4963">
        <v>87.422630214590399</v>
      </c>
      <c r="AN4963">
        <v>0.99999998836441595</v>
      </c>
    </row>
    <row r="4964" spans="1:40" x14ac:dyDescent="0.25">
      <c r="A4964" t="str">
        <f>"20190312161415693"</f>
        <v>20190312161415693</v>
      </c>
      <c r="B4964" t="str">
        <f>"1552378455681858"</f>
        <v>1552378455681858</v>
      </c>
      <c r="C4964" t="s">
        <v>40</v>
      </c>
      <c r="D4964">
        <v>5.4578699999999998</v>
      </c>
      <c r="E4964">
        <v>0.4457643</v>
      </c>
      <c r="F4964" t="s">
        <v>42</v>
      </c>
      <c r="G4964">
        <v>-419.38619999999997</v>
      </c>
      <c r="H4964" s="1">
        <v>-3.1993609999999998E-6</v>
      </c>
      <c r="I4964">
        <v>56.836770000000001</v>
      </c>
      <c r="J4964">
        <v>-421.9434</v>
      </c>
      <c r="K4964">
        <v>1.110161</v>
      </c>
      <c r="L4964">
        <v>83.705569999999994</v>
      </c>
      <c r="M4964">
        <v>-4.4885510000000003E-3</v>
      </c>
      <c r="N4964">
        <v>0</v>
      </c>
      <c r="O4964">
        <v>-0.99991560000000002</v>
      </c>
      <c r="P4964">
        <v>-4.8361689999999999E-2</v>
      </c>
      <c r="Q4964">
        <v>-2.4042790000000001E-2</v>
      </c>
      <c r="R4964">
        <v>-0.99854030000000005</v>
      </c>
      <c r="S4964">
        <v>0.28500370000000003</v>
      </c>
      <c r="T4964">
        <v>-0.12376520000000001</v>
      </c>
      <c r="U4964">
        <v>-3.015717</v>
      </c>
      <c r="V4964">
        <v>4.3880000000000002E-2</v>
      </c>
      <c r="W4964">
        <v>-1.1865250000000001E-2</v>
      </c>
      <c r="X4964">
        <v>0.99896629999999997</v>
      </c>
      <c r="Y4964">
        <v>-9.8476499999999995E-2</v>
      </c>
      <c r="Z4964">
        <v>4.0814499999999997E-2</v>
      </c>
      <c r="AA4964">
        <v>0.99430200000000002</v>
      </c>
      <c r="AB4964">
        <v>19</v>
      </c>
      <c r="AC4964">
        <v>2.5572000000000199</v>
      </c>
      <c r="AD4964">
        <v>-1.1101641993610001</v>
      </c>
      <c r="AE4964">
        <v>-26.8688</v>
      </c>
      <c r="AF4964">
        <v>-2.67326242153473</v>
      </c>
      <c r="AG4964">
        <v>-1.1101641993610001</v>
      </c>
      <c r="AH4964">
        <v>26.811688972523999</v>
      </c>
      <c r="AI4964">
        <v>92.359348435042705</v>
      </c>
      <c r="AJ4964">
        <v>95.693864032952007</v>
      </c>
      <c r="AK4964">
        <v>26.967488983650298</v>
      </c>
      <c r="AL4964">
        <v>90.679844731980396</v>
      </c>
      <c r="AM4964">
        <v>87.484876403433503</v>
      </c>
      <c r="AN4964">
        <v>0.99999995354662496</v>
      </c>
    </row>
    <row r="4965" spans="1:40" x14ac:dyDescent="0.25">
      <c r="A4965" t="str">
        <f>"20190312161415716"</f>
        <v>20190312161415716</v>
      </c>
      <c r="B4965" t="str">
        <f>"1552378455711142"</f>
        <v>1552378455711142</v>
      </c>
      <c r="C4965" t="s">
        <v>40</v>
      </c>
      <c r="D4965">
        <v>5.5140580000000003</v>
      </c>
      <c r="E4965">
        <v>0.44567050000000002</v>
      </c>
      <c r="F4965" t="s">
        <v>42</v>
      </c>
      <c r="G4965">
        <v>-419.34109999999998</v>
      </c>
      <c r="H4965" s="1">
        <v>-3.056336E-6</v>
      </c>
      <c r="I4965">
        <v>56.484720000000003</v>
      </c>
      <c r="J4965">
        <v>-421.94400000000002</v>
      </c>
      <c r="K4965">
        <v>1.110152</v>
      </c>
      <c r="L4965">
        <v>83.523380000000003</v>
      </c>
      <c r="M4965">
        <v>-4.391537E-3</v>
      </c>
      <c r="N4965">
        <v>0</v>
      </c>
      <c r="O4965">
        <v>-0.99991730000000001</v>
      </c>
      <c r="P4965">
        <v>-4.7258399999999999E-2</v>
      </c>
      <c r="Q4965">
        <v>-2.32166E-2</v>
      </c>
      <c r="R4965">
        <v>-0.99861299999999997</v>
      </c>
      <c r="S4965">
        <v>0.288269</v>
      </c>
      <c r="T4965">
        <v>-0.12297810000000001</v>
      </c>
      <c r="U4965">
        <v>-3.0153810000000001</v>
      </c>
      <c r="V4965">
        <v>4.28732E-2</v>
      </c>
      <c r="W4965">
        <v>-1.1120390000000001E-2</v>
      </c>
      <c r="X4965">
        <v>0.99901859999999998</v>
      </c>
      <c r="Y4965">
        <v>-9.9458370000000004E-2</v>
      </c>
      <c r="Z4965">
        <v>4.0555809999999998E-2</v>
      </c>
      <c r="AA4965">
        <v>0.99421490000000001</v>
      </c>
      <c r="AB4965">
        <v>19</v>
      </c>
      <c r="AC4965">
        <v>2.6029000000000302</v>
      </c>
      <c r="AD4965">
        <v>-1.1101550563359901</v>
      </c>
      <c r="AE4965">
        <v>-27.03866</v>
      </c>
      <c r="AF4965">
        <v>-2.7170865367575501</v>
      </c>
      <c r="AG4965">
        <v>-1.1101550563359901</v>
      </c>
      <c r="AH4965">
        <v>26.9819001765518</v>
      </c>
      <c r="AI4965">
        <v>92.344231011840904</v>
      </c>
      <c r="AJ4965">
        <v>95.750319642172798</v>
      </c>
      <c r="AK4965">
        <v>27.141074787759301</v>
      </c>
      <c r="AL4965">
        <v>90.637164566200198</v>
      </c>
      <c r="AM4965">
        <v>87.542641306477805</v>
      </c>
      <c r="AN4965">
        <v>0.99999996874897501</v>
      </c>
    </row>
    <row r="4966" spans="1:40" x14ac:dyDescent="0.25">
      <c r="A4966" t="str">
        <f>"20190312161415738"</f>
        <v>20190312161415738</v>
      </c>
      <c r="B4966" t="str">
        <f>"1552378455731634"</f>
        <v>1552378455731634</v>
      </c>
      <c r="C4966" t="s">
        <v>40</v>
      </c>
      <c r="D4966">
        <v>5.5615300000000003</v>
      </c>
      <c r="E4966">
        <v>0.44455339999999999</v>
      </c>
      <c r="F4966" t="s">
        <v>42</v>
      </c>
      <c r="G4966">
        <v>-419.27530000000002</v>
      </c>
      <c r="H4966" s="1">
        <v>-2.8625830000000001E-6</v>
      </c>
      <c r="I4966">
        <v>56.005870000000002</v>
      </c>
      <c r="J4966">
        <v>-421.94470000000001</v>
      </c>
      <c r="K4966">
        <v>1.110136</v>
      </c>
      <c r="L4966">
        <v>83.332309999999893</v>
      </c>
      <c r="M4966">
        <v>-4.2876999999999898E-3</v>
      </c>
      <c r="N4966">
        <v>0</v>
      </c>
      <c r="O4966">
        <v>-0.99991890000000005</v>
      </c>
      <c r="P4966">
        <v>-4.657621E-2</v>
      </c>
      <c r="Q4966">
        <v>-2.3597E-2</v>
      </c>
      <c r="R4966">
        <v>-0.99863619999999997</v>
      </c>
      <c r="S4966">
        <v>0.2924194</v>
      </c>
      <c r="T4966">
        <v>-0.12164270000000001</v>
      </c>
      <c r="U4966">
        <v>-3.0151669999999999</v>
      </c>
      <c r="V4966">
        <v>4.2294669999999999E-2</v>
      </c>
      <c r="W4966">
        <v>-1.159339E-2</v>
      </c>
      <c r="X4966">
        <v>0.99903790000000003</v>
      </c>
      <c r="Y4966">
        <v>-0.1007193</v>
      </c>
      <c r="Z4966">
        <v>4.011381E-2</v>
      </c>
      <c r="AA4966">
        <v>0.99410589999999999</v>
      </c>
      <c r="AB4966">
        <v>19</v>
      </c>
      <c r="AC4966">
        <v>2.6693999999999898</v>
      </c>
      <c r="AD4966">
        <v>-1.110138862583</v>
      </c>
      <c r="AE4966">
        <v>-27.326440000000002</v>
      </c>
      <c r="AF4966">
        <v>-2.7820034496964499</v>
      </c>
      <c r="AG4966">
        <v>-1.110138862583</v>
      </c>
      <c r="AH4966">
        <v>27.270161178773201</v>
      </c>
      <c r="AI4966">
        <v>92.319138681836407</v>
      </c>
      <c r="AJ4966">
        <v>95.824957030000405</v>
      </c>
      <c r="AK4966">
        <v>27.434169245752798</v>
      </c>
      <c r="AL4966">
        <v>90.664267207628598</v>
      </c>
      <c r="AM4966">
        <v>87.575807795560095</v>
      </c>
      <c r="AN4966">
        <v>0.99999998571925497</v>
      </c>
    </row>
    <row r="4967" spans="1:40" x14ac:dyDescent="0.25">
      <c r="A4967" t="str">
        <f>"20190312161415760"</f>
        <v>20190312161415760</v>
      </c>
      <c r="B4967" t="str">
        <f>"1552378455751153"</f>
        <v>1552378455751153</v>
      </c>
      <c r="C4967" t="s">
        <v>40</v>
      </c>
      <c r="D4967">
        <v>5.6272149999999996</v>
      </c>
      <c r="E4967">
        <v>0.37883099999999997</v>
      </c>
      <c r="F4967" t="s">
        <v>42</v>
      </c>
      <c r="G4967">
        <v>-419.33339999999998</v>
      </c>
      <c r="H4967" s="1">
        <v>-3.4467329999999998E-6</v>
      </c>
      <c r="I4967">
        <v>57.391559999999998</v>
      </c>
      <c r="J4967">
        <v>-421.94540000000001</v>
      </c>
      <c r="K4967">
        <v>1.110123</v>
      </c>
      <c r="L4967">
        <v>83.145229999999998</v>
      </c>
      <c r="M4967">
        <v>-4.1842600000000004E-3</v>
      </c>
      <c r="N4967">
        <v>0</v>
      </c>
      <c r="O4967">
        <v>-0.99992040000000004</v>
      </c>
      <c r="P4967">
        <v>-4.6295650000000001E-2</v>
      </c>
      <c r="Q4967">
        <v>-2.4139979999999998E-2</v>
      </c>
      <c r="R4967">
        <v>-0.99863610000000003</v>
      </c>
      <c r="S4967">
        <v>0.30352780000000001</v>
      </c>
      <c r="T4967">
        <v>-0.12903589999999901</v>
      </c>
      <c r="U4967">
        <v>-3.0151979999999998</v>
      </c>
      <c r="V4967">
        <v>4.211749E-2</v>
      </c>
      <c r="W4967">
        <v>-1.223494E-2</v>
      </c>
      <c r="X4967">
        <v>0.99903770000000003</v>
      </c>
      <c r="Y4967">
        <v>-0.1042318</v>
      </c>
      <c r="Z4967">
        <v>4.2531760000000002E-2</v>
      </c>
      <c r="AA4967">
        <v>0.99364319999999895</v>
      </c>
      <c r="AB4967">
        <v>19</v>
      </c>
      <c r="AC4967">
        <v>2.6120000000000201</v>
      </c>
      <c r="AD4967">
        <v>-1.1101264467330001</v>
      </c>
      <c r="AE4967">
        <v>-25.75367</v>
      </c>
      <c r="AF4967">
        <v>-2.7147519244557299</v>
      </c>
      <c r="AG4967">
        <v>-1.1101264467330001</v>
      </c>
      <c r="AH4967">
        <v>25.695256489133602</v>
      </c>
      <c r="AI4967">
        <v>92.460167471538</v>
      </c>
      <c r="AJ4967">
        <v>96.031032614060294</v>
      </c>
      <c r="AK4967">
        <v>25.8621048018415</v>
      </c>
      <c r="AL4967">
        <v>90.701027949346695</v>
      </c>
      <c r="AM4967">
        <v>87.585950651681301</v>
      </c>
      <c r="AN4967">
        <v>0.99999995137099496</v>
      </c>
    </row>
    <row r="4968" spans="1:40" x14ac:dyDescent="0.25">
      <c r="A4968" t="str">
        <f>"20190312161415783"</f>
        <v>20190312161415783</v>
      </c>
      <c r="B4968" t="str">
        <f>"1552378455771650"</f>
        <v>1552378455771650</v>
      </c>
      <c r="C4968" t="s">
        <v>40</v>
      </c>
      <c r="D4968">
        <v>5.6804959999999998</v>
      </c>
      <c r="E4968">
        <v>0.37912089999999998</v>
      </c>
      <c r="F4968" t="s">
        <v>42</v>
      </c>
      <c r="G4968">
        <v>-415.86689999999999</v>
      </c>
      <c r="H4968" s="1">
        <v>-1.512227E-6</v>
      </c>
      <c r="I4968">
        <v>60.860250000000001</v>
      </c>
      <c r="J4968">
        <v>-421.9461</v>
      </c>
      <c r="K4968">
        <v>1.1101080000000001</v>
      </c>
      <c r="L4968">
        <v>82.959199999999996</v>
      </c>
      <c r="M4968">
        <v>-4.0800039999999999E-3</v>
      </c>
      <c r="N4968">
        <v>0</v>
      </c>
      <c r="O4968">
        <v>-0.99992230000000004</v>
      </c>
      <c r="P4968">
        <v>-4.5871189999999999E-2</v>
      </c>
      <c r="Q4968">
        <v>-2.4107159999999999E-2</v>
      </c>
      <c r="R4968">
        <v>-0.99865680000000001</v>
      </c>
      <c r="S4968">
        <v>0.82888790000000001</v>
      </c>
      <c r="T4968">
        <v>-0.15137990000000001</v>
      </c>
      <c r="U4968">
        <v>-3.0388489999999999</v>
      </c>
      <c r="V4968">
        <v>4.1797109999999998E-2</v>
      </c>
      <c r="W4968">
        <v>-1.230589E-2</v>
      </c>
      <c r="X4968">
        <v>0.99905029999999995</v>
      </c>
      <c r="Y4968">
        <v>-0.2667814</v>
      </c>
      <c r="Z4968">
        <v>4.7976739999999997E-2</v>
      </c>
      <c r="AA4968">
        <v>0.96256209999999998</v>
      </c>
      <c r="AB4968">
        <v>19</v>
      </c>
      <c r="AC4968">
        <v>6.0792000000000099</v>
      </c>
      <c r="AD4968">
        <v>-1.1101095122269999</v>
      </c>
      <c r="AE4968">
        <v>-22.098949999999899</v>
      </c>
      <c r="AF4968">
        <v>-6.1548807860057604</v>
      </c>
      <c r="AG4968">
        <v>-1.1101095122269999</v>
      </c>
      <c r="AH4968">
        <v>22.0222992843069</v>
      </c>
      <c r="AI4968">
        <v>92.779413379126197</v>
      </c>
      <c r="AJ4968">
        <v>105.614828709702</v>
      </c>
      <c r="AK4968">
        <v>22.893155448444901</v>
      </c>
      <c r="AL4968">
        <v>90.705093379700102</v>
      </c>
      <c r="AM4968">
        <v>87.604322582843196</v>
      </c>
      <c r="AN4968">
        <v>0.99999996763156596</v>
      </c>
    </row>
    <row r="4969" spans="1:40" x14ac:dyDescent="0.25">
      <c r="A4969" t="str">
        <f>"20190312161415804"</f>
        <v>20190312161415804</v>
      </c>
      <c r="B4969" t="str">
        <f>"1552378455801907"</f>
        <v>1552378455801907</v>
      </c>
      <c r="C4969" t="s">
        <v>40</v>
      </c>
      <c r="D4969">
        <v>5.3039550000000002</v>
      </c>
      <c r="E4969">
        <v>0.37810870000000002</v>
      </c>
      <c r="F4969" t="s">
        <v>42</v>
      </c>
      <c r="G4969">
        <v>-416.12270000000001</v>
      </c>
      <c r="H4969" s="1">
        <v>-1.6904210000000001E-6</v>
      </c>
      <c r="I4969">
        <v>61.583840000000002</v>
      </c>
      <c r="J4969">
        <v>-421.94670000000002</v>
      </c>
      <c r="K4969">
        <v>1.110087</v>
      </c>
      <c r="L4969">
        <v>82.775909999999996</v>
      </c>
      <c r="M4969">
        <v>-3.9762440000000003E-3</v>
      </c>
      <c r="N4969">
        <v>0</v>
      </c>
      <c r="O4969">
        <v>-0.99992369999999997</v>
      </c>
      <c r="P4969">
        <v>-4.5707789999999998E-2</v>
      </c>
      <c r="Q4969">
        <v>-2.422854E-2</v>
      </c>
      <c r="R4969">
        <v>-0.99866120000000003</v>
      </c>
      <c r="S4969">
        <v>0.82772829999999997</v>
      </c>
      <c r="T4969">
        <v>-0.15778819999999999</v>
      </c>
      <c r="U4969">
        <v>-3.0382389999999999</v>
      </c>
      <c r="V4969">
        <v>4.1737389999999999E-2</v>
      </c>
      <c r="W4969">
        <v>-1.2531489999999999E-2</v>
      </c>
      <c r="X4969">
        <v>0.99904999999999999</v>
      </c>
      <c r="Y4969">
        <v>-0.26636209999999999</v>
      </c>
      <c r="Z4969">
        <v>5.0017640000000002E-2</v>
      </c>
      <c r="AA4969">
        <v>0.96257440000000005</v>
      </c>
      <c r="AB4969">
        <v>19</v>
      </c>
      <c r="AC4969">
        <v>5.8240000000000096</v>
      </c>
      <c r="AD4969">
        <v>-1.1100886904209999</v>
      </c>
      <c r="AE4969">
        <v>-21.192069999999902</v>
      </c>
      <c r="AF4969">
        <v>-5.89318974121419</v>
      </c>
      <c r="AG4969">
        <v>-1.1100886904209999</v>
      </c>
      <c r="AH4969">
        <v>21.114874552181899</v>
      </c>
      <c r="AI4969">
        <v>92.898893492664399</v>
      </c>
      <c r="AJ4969">
        <v>105.59448909498199</v>
      </c>
      <c r="AK4969">
        <v>21.9499409926526</v>
      </c>
      <c r="AL4969">
        <v>90.7180202994046</v>
      </c>
      <c r="AM4969">
        <v>87.607740846182693</v>
      </c>
      <c r="AN4969">
        <v>0.99999997523281503</v>
      </c>
    </row>
    <row r="4970" spans="1:40" x14ac:dyDescent="0.25">
      <c r="A4970" t="str">
        <f>"20190312161415828"</f>
        <v>20190312161415828</v>
      </c>
      <c r="B4970" t="str">
        <f>"1552378455821426"</f>
        <v>1552378455821426</v>
      </c>
      <c r="C4970" t="s">
        <v>40</v>
      </c>
      <c r="D4970">
        <v>5.6840599999999997</v>
      </c>
      <c r="E4970">
        <v>0.37704939999999998</v>
      </c>
      <c r="F4970" t="s">
        <v>42</v>
      </c>
      <c r="G4970">
        <v>-415.73540000000003</v>
      </c>
      <c r="H4970" s="1">
        <v>-1.3216409999999901E-6</v>
      </c>
      <c r="I4970">
        <v>60.19735</v>
      </c>
      <c r="J4970">
        <v>-421.94740000000002</v>
      </c>
      <c r="K4970">
        <v>1.1100779999999999</v>
      </c>
      <c r="L4970">
        <v>82.582309999999893</v>
      </c>
      <c r="M4970">
        <v>-3.865865E-3</v>
      </c>
      <c r="N4970">
        <v>0</v>
      </c>
      <c r="O4970">
        <v>-0.99992539999999996</v>
      </c>
      <c r="P4970">
        <v>-4.5430400000000003E-2</v>
      </c>
      <c r="Q4970">
        <v>-2.4673069999999998E-2</v>
      </c>
      <c r="R4970">
        <v>-0.99866290000000002</v>
      </c>
      <c r="S4970">
        <v>0.8359375</v>
      </c>
      <c r="T4970">
        <v>-0.1493979</v>
      </c>
      <c r="U4970">
        <v>-3.0386660000000001</v>
      </c>
      <c r="V4970">
        <v>4.1570349999999999E-2</v>
      </c>
      <c r="W4970">
        <v>-1.308381E-2</v>
      </c>
      <c r="X4970">
        <v>0.99904990000000005</v>
      </c>
      <c r="Y4970">
        <v>-0.26867469999999999</v>
      </c>
      <c r="Z4970">
        <v>4.7325939999999997E-2</v>
      </c>
      <c r="AA4970">
        <v>0.96206769999999997</v>
      </c>
      <c r="AB4970">
        <v>19</v>
      </c>
      <c r="AC4970">
        <v>6.2119999999999802</v>
      </c>
      <c r="AD4970">
        <v>-1.1100793216410001</v>
      </c>
      <c r="AE4970">
        <v>-22.3849599999999</v>
      </c>
      <c r="AF4970">
        <v>-6.2841476120681996</v>
      </c>
      <c r="AG4970">
        <v>-1.1100793216410001</v>
      </c>
      <c r="AH4970">
        <v>22.309834835215401</v>
      </c>
      <c r="AI4970">
        <v>92.742010621922603</v>
      </c>
      <c r="AJ4970">
        <v>105.731260261977</v>
      </c>
      <c r="AK4970">
        <v>23.204558123032399</v>
      </c>
      <c r="AL4970">
        <v>90.749668489248094</v>
      </c>
      <c r="AM4970">
        <v>87.617303771658499</v>
      </c>
      <c r="AN4970">
        <v>0.99999999138662399</v>
      </c>
    </row>
    <row r="4971" spans="1:40" x14ac:dyDescent="0.25">
      <c r="A4971" t="str">
        <f>"20190312161415850"</f>
        <v>20190312161415850</v>
      </c>
      <c r="B4971" t="str">
        <f>"1552378455841945"</f>
        <v>1552378455841945</v>
      </c>
      <c r="C4971" t="s">
        <v>40</v>
      </c>
      <c r="D4971">
        <v>5.6799499999999998</v>
      </c>
      <c r="E4971">
        <v>0.3764303</v>
      </c>
      <c r="F4971" t="s">
        <v>42</v>
      </c>
      <c r="G4971">
        <v>-415.37819999999999</v>
      </c>
      <c r="H4971" s="1">
        <v>-4.8236639999999999E-6</v>
      </c>
      <c r="I4971">
        <v>58.965820000000001</v>
      </c>
      <c r="J4971">
        <v>-421.9479</v>
      </c>
      <c r="K4971">
        <v>1.11006</v>
      </c>
      <c r="L4971">
        <v>82.396879999999996</v>
      </c>
      <c r="M4971">
        <v>-3.7598110000000001E-3</v>
      </c>
      <c r="N4971">
        <v>0</v>
      </c>
      <c r="O4971">
        <v>-0.99992700000000001</v>
      </c>
      <c r="P4971">
        <v>-4.5231849999999997E-2</v>
      </c>
      <c r="Q4971">
        <v>-2.466432E-2</v>
      </c>
      <c r="R4971">
        <v>-0.99867209999999995</v>
      </c>
      <c r="S4971">
        <v>0.84530640000000001</v>
      </c>
      <c r="T4971">
        <v>-0.1428441</v>
      </c>
      <c r="U4971">
        <v>-3.0389400000000002</v>
      </c>
      <c r="V4971">
        <v>4.1477739999999999E-2</v>
      </c>
      <c r="W4971">
        <v>-1.318331E-2</v>
      </c>
      <c r="X4971">
        <v>0.99905250000000001</v>
      </c>
      <c r="Y4971">
        <v>-0.27133069999999998</v>
      </c>
      <c r="Z4971">
        <v>4.5215089999999999E-2</v>
      </c>
      <c r="AA4971">
        <v>0.96142360000000004</v>
      </c>
      <c r="AB4971">
        <v>19</v>
      </c>
      <c r="AC4971">
        <v>6.5697000000000099</v>
      </c>
      <c r="AD4971">
        <v>-1.1100648236640001</v>
      </c>
      <c r="AE4971">
        <v>-23.431059999999999</v>
      </c>
      <c r="AF4971">
        <v>-6.6439305280289904</v>
      </c>
      <c r="AG4971">
        <v>-1.1100648236640001</v>
      </c>
      <c r="AH4971">
        <v>23.357587659693898</v>
      </c>
      <c r="AI4971">
        <v>92.6172565723829</v>
      </c>
      <c r="AJ4971">
        <v>105.878095355036</v>
      </c>
      <c r="AK4971">
        <v>24.309482883317301</v>
      </c>
      <c r="AL4971">
        <v>90.755369866698899</v>
      </c>
      <c r="AM4971">
        <v>87.622612000527795</v>
      </c>
      <c r="AN4971">
        <v>1.00000005016715</v>
      </c>
    </row>
    <row r="4972" spans="1:40" x14ac:dyDescent="0.25">
      <c r="A4972" t="str">
        <f>"20190312161415872"</f>
        <v>20190312161415872</v>
      </c>
      <c r="B4972" t="str">
        <f>"1552378455861443"</f>
        <v>1552378455861443</v>
      </c>
      <c r="C4972" t="s">
        <v>40</v>
      </c>
      <c r="D4972">
        <v>5.7037649999999998</v>
      </c>
      <c r="E4972">
        <v>0.37601699999999999</v>
      </c>
      <c r="F4972" t="s">
        <v>42</v>
      </c>
      <c r="G4972">
        <v>-415.17669999999998</v>
      </c>
      <c r="H4972" s="1">
        <v>-4.5347E-6</v>
      </c>
      <c r="I4972">
        <v>58.208910000000003</v>
      </c>
      <c r="J4972">
        <v>-421.94850000000002</v>
      </c>
      <c r="K4972">
        <v>1.1100479999999999</v>
      </c>
      <c r="L4972">
        <v>82.212490000000003</v>
      </c>
      <c r="M4972">
        <v>-3.6546510000000001E-3</v>
      </c>
      <c r="N4972">
        <v>0</v>
      </c>
      <c r="O4972">
        <v>-0.9999287</v>
      </c>
      <c r="P4972">
        <v>-4.4803250000000003E-2</v>
      </c>
      <c r="Q4972">
        <v>-2.463274E-2</v>
      </c>
      <c r="R4972">
        <v>-0.99869229999999998</v>
      </c>
      <c r="S4972">
        <v>0.850769</v>
      </c>
      <c r="T4972">
        <v>-0.13947390000000001</v>
      </c>
      <c r="U4972">
        <v>-3.0390929999999998</v>
      </c>
      <c r="V4972">
        <v>4.1154169999999997E-2</v>
      </c>
      <c r="W4972">
        <v>-1.3266210000000001E-2</v>
      </c>
      <c r="X4972">
        <v>0.99906470000000003</v>
      </c>
      <c r="Y4972">
        <v>-0.2728331</v>
      </c>
      <c r="Z4972">
        <v>4.4128399999999998E-2</v>
      </c>
      <c r="AA4972">
        <v>0.96104880000000004</v>
      </c>
      <c r="AB4972">
        <v>19</v>
      </c>
      <c r="AC4972">
        <v>6.7718000000000398</v>
      </c>
      <c r="AD4972">
        <v>-1.1100525347000001</v>
      </c>
      <c r="AE4972">
        <v>-24.003579999999999</v>
      </c>
      <c r="AF4972">
        <v>-6.84592362645229</v>
      </c>
      <c r="AG4972">
        <v>-1.1100525347000001</v>
      </c>
      <c r="AH4972">
        <v>23.931262568651899</v>
      </c>
      <c r="AI4972">
        <v>92.553480885502907</v>
      </c>
      <c r="AJ4972">
        <v>105.96403181812801</v>
      </c>
      <c r="AK4972">
        <v>24.915942989555301</v>
      </c>
      <c r="AL4972">
        <v>90.760120165664603</v>
      </c>
      <c r="AM4972">
        <v>87.641165868324293</v>
      </c>
      <c r="AN4972">
        <v>0.99999996641111999</v>
      </c>
    </row>
    <row r="4973" spans="1:40" x14ac:dyDescent="0.25">
      <c r="A4973" t="str">
        <f>"20190312161415895"</f>
        <v>20190312161415895</v>
      </c>
      <c r="B4973" t="str">
        <f>"1552378455891698"</f>
        <v>1552378455891698</v>
      </c>
      <c r="C4973" t="s">
        <v>40</v>
      </c>
      <c r="D4973">
        <v>5.7007399999999997</v>
      </c>
      <c r="E4973">
        <v>0.37562679999999998</v>
      </c>
      <c r="F4973" t="s">
        <v>42</v>
      </c>
      <c r="G4973">
        <v>-414.97230000000002</v>
      </c>
      <c r="H4973" s="1">
        <v>-4.2321370000000001E-6</v>
      </c>
      <c r="I4973">
        <v>57.419089999999997</v>
      </c>
      <c r="J4973">
        <v>-421.94909999999999</v>
      </c>
      <c r="K4973">
        <v>1.1100300000000001</v>
      </c>
      <c r="L4973">
        <v>82.020539999999997</v>
      </c>
      <c r="M4973">
        <v>-3.5447949999999999E-3</v>
      </c>
      <c r="N4973">
        <v>0</v>
      </c>
      <c r="O4973">
        <v>-0.9999304</v>
      </c>
      <c r="P4973">
        <v>-4.4695110000000003E-2</v>
      </c>
      <c r="Q4973">
        <v>-2.5033699999999999E-2</v>
      </c>
      <c r="R4973">
        <v>-0.99868699999999999</v>
      </c>
      <c r="S4973">
        <v>0.85507199999999906</v>
      </c>
      <c r="T4973">
        <v>-0.13605829999999999</v>
      </c>
      <c r="U4973">
        <v>-3.03891</v>
      </c>
      <c r="V4973">
        <v>4.1155850000000001E-2</v>
      </c>
      <c r="W4973">
        <v>-1.3783719999999999E-2</v>
      </c>
      <c r="X4973">
        <v>0.99905770000000005</v>
      </c>
      <c r="Y4973">
        <v>-0.2740165</v>
      </c>
      <c r="Z4973">
        <v>4.3036919999999999E-2</v>
      </c>
      <c r="AA4973">
        <v>0.96076150000000005</v>
      </c>
      <c r="AB4973">
        <v>19</v>
      </c>
      <c r="AC4973">
        <v>6.9767999999999599</v>
      </c>
      <c r="AD4973">
        <v>-1.11003423213699</v>
      </c>
      <c r="AE4973">
        <v>-24.60145</v>
      </c>
      <c r="AF4973">
        <v>-7.0506829739936796</v>
      </c>
      <c r="AG4973">
        <v>-1.11003423213699</v>
      </c>
      <c r="AH4973">
        <v>24.5303392957568</v>
      </c>
      <c r="AI4973">
        <v>92.490261640328498</v>
      </c>
      <c r="AJ4973">
        <v>106.036082424732</v>
      </c>
      <c r="AK4973">
        <v>25.547638880358999</v>
      </c>
      <c r="AL4973">
        <v>90.7897739589325</v>
      </c>
      <c r="AM4973">
        <v>87.641053175101007</v>
      </c>
      <c r="AN4973">
        <v>1.0000000414277701</v>
      </c>
    </row>
    <row r="4974" spans="1:40" x14ac:dyDescent="0.25">
      <c r="A4974" t="str">
        <f>"20190312161415917"</f>
        <v>20190312161415917</v>
      </c>
      <c r="B4974" t="str">
        <f>"1552378455911219"</f>
        <v>1552378455911219</v>
      </c>
      <c r="C4974" t="s">
        <v>40</v>
      </c>
      <c r="D4974">
        <v>5.7149429999999999</v>
      </c>
      <c r="E4974">
        <v>0.37545000000000001</v>
      </c>
      <c r="F4974" t="s">
        <v>42</v>
      </c>
      <c r="G4974">
        <v>-414.92950000000002</v>
      </c>
      <c r="H4974" s="1">
        <v>-4.1363349999999996E-6</v>
      </c>
      <c r="I4974">
        <v>57.178100000000001</v>
      </c>
      <c r="J4974">
        <v>-421.94959999999998</v>
      </c>
      <c r="K4974">
        <v>1.1100159999999999</v>
      </c>
      <c r="L4974">
        <v>81.833039999999997</v>
      </c>
      <c r="M4974">
        <v>-3.4379940000000002E-3</v>
      </c>
      <c r="N4974">
        <v>0</v>
      </c>
      <c r="O4974">
        <v>-0.99993209999999999</v>
      </c>
      <c r="P4974">
        <v>-4.4557689999999997E-2</v>
      </c>
      <c r="Q4974">
        <v>-2.5005590000000001E-2</v>
      </c>
      <c r="R4974">
        <v>-0.99869390000000002</v>
      </c>
      <c r="S4974">
        <v>0.85870360000000001</v>
      </c>
      <c r="T4974">
        <v>-0.135790299999999</v>
      </c>
      <c r="U4974">
        <v>-3.0389710000000001</v>
      </c>
      <c r="V4974">
        <v>4.1125120000000001E-2</v>
      </c>
      <c r="W4974">
        <v>-1.386622E-2</v>
      </c>
      <c r="X4974">
        <v>0.9990578</v>
      </c>
      <c r="Y4974">
        <v>-0.27497329999999998</v>
      </c>
      <c r="Z4974">
        <v>4.2938709999999998E-2</v>
      </c>
      <c r="AA4974">
        <v>0.96049260000000003</v>
      </c>
      <c r="AB4974">
        <v>19</v>
      </c>
      <c r="AC4974">
        <v>7.0200999999999496</v>
      </c>
      <c r="AD4974">
        <v>-1.110020136335</v>
      </c>
      <c r="AE4974">
        <v>-24.65494</v>
      </c>
      <c r="AF4974">
        <v>-7.0915307585633602</v>
      </c>
      <c r="AG4974">
        <v>-1.110020136335</v>
      </c>
      <c r="AH4974">
        <v>24.584561944296802</v>
      </c>
      <c r="AI4974">
        <v>92.484066640869699</v>
      </c>
      <c r="AJ4974">
        <v>106.090451013399</v>
      </c>
      <c r="AK4974">
        <v>25.610986689225498</v>
      </c>
      <c r="AL4974">
        <v>90.794501331233903</v>
      </c>
      <c r="AM4974">
        <v>87.642812787317794</v>
      </c>
      <c r="AN4974">
        <v>1.0000000176464701</v>
      </c>
    </row>
    <row r="4975" spans="1:40" x14ac:dyDescent="0.25">
      <c r="A4975" t="str">
        <f>"20190312161415939"</f>
        <v>20190312161415939</v>
      </c>
      <c r="B4975" t="str">
        <f>"1552378455931715"</f>
        <v>1552378455931715</v>
      </c>
      <c r="C4975" t="s">
        <v>40</v>
      </c>
      <c r="D4975">
        <v>5.714486</v>
      </c>
      <c r="E4975">
        <v>0.3752336</v>
      </c>
      <c r="F4975" t="s">
        <v>42</v>
      </c>
      <c r="G4975">
        <v>-414.91699999999997</v>
      </c>
      <c r="H4975" s="1">
        <v>-4.0650900000000004E-6</v>
      </c>
      <c r="I4975">
        <v>57.006860000000003</v>
      </c>
      <c r="J4975">
        <v>-421.95010000000002</v>
      </c>
      <c r="K4975">
        <v>1.1100019999999999</v>
      </c>
      <c r="L4975">
        <v>81.640199999999993</v>
      </c>
      <c r="M4975">
        <v>-3.3281669999999999E-3</v>
      </c>
      <c r="N4975">
        <v>0</v>
      </c>
      <c r="O4975">
        <v>-0.99993370000000004</v>
      </c>
      <c r="P4975">
        <v>-4.4500869999999998E-2</v>
      </c>
      <c r="Q4975">
        <v>-2.4931399999999999E-2</v>
      </c>
      <c r="R4975">
        <v>-0.99869819999999998</v>
      </c>
      <c r="S4975">
        <v>0.86083980000000004</v>
      </c>
      <c r="T4975">
        <v>-0.13587469999999999</v>
      </c>
      <c r="U4975">
        <v>-3.03891</v>
      </c>
      <c r="V4975">
        <v>4.1177999999999999E-2</v>
      </c>
      <c r="W4975">
        <v>-1.39113E-2</v>
      </c>
      <c r="X4975">
        <v>0.99905500000000003</v>
      </c>
      <c r="Y4975">
        <v>-0.27549759999999901</v>
      </c>
      <c r="Z4975">
        <v>4.295889E-2</v>
      </c>
      <c r="AA4975">
        <v>0.96034140000000001</v>
      </c>
      <c r="AB4975">
        <v>19</v>
      </c>
      <c r="AC4975">
        <v>7.0331000000000401</v>
      </c>
      <c r="AD4975">
        <v>-1.1100060650900001</v>
      </c>
      <c r="AE4975">
        <v>-24.63334</v>
      </c>
      <c r="AF4975">
        <v>-7.1017167008386304</v>
      </c>
      <c r="AG4975">
        <v>-1.1100060650900001</v>
      </c>
      <c r="AH4975">
        <v>24.563677463680801</v>
      </c>
      <c r="AI4975">
        <v>92.485707772717305</v>
      </c>
      <c r="AJ4975">
        <v>106.12535132399699</v>
      </c>
      <c r="AK4975">
        <v>25.593763773686099</v>
      </c>
      <c r="AL4975">
        <v>90.797084470222501</v>
      </c>
      <c r="AM4975">
        <v>87.639778658389702</v>
      </c>
      <c r="AN4975">
        <v>1.0000000224883401</v>
      </c>
    </row>
    <row r="4976" spans="1:40" x14ac:dyDescent="0.25">
      <c r="A4976" t="str">
        <f>"20190312161415960"</f>
        <v>20190312161415960</v>
      </c>
      <c r="B4976" t="str">
        <f>"1552378455951235"</f>
        <v>1552378455951235</v>
      </c>
      <c r="C4976" t="s">
        <v>40</v>
      </c>
      <c r="D4976">
        <v>5.7101139999999999</v>
      </c>
      <c r="E4976">
        <v>0.37497809999999998</v>
      </c>
      <c r="F4976" t="s">
        <v>42</v>
      </c>
      <c r="G4976">
        <v>-414.88589999999999</v>
      </c>
      <c r="H4976" s="1">
        <v>-3.9598020000000002E-6</v>
      </c>
      <c r="I4976">
        <v>56.748570000000001</v>
      </c>
      <c r="J4976">
        <v>-421.95060000000001</v>
      </c>
      <c r="K4976">
        <v>1.1099749999999999</v>
      </c>
      <c r="L4976">
        <v>81.459990000000005</v>
      </c>
      <c r="M4976">
        <v>-3.225627E-3</v>
      </c>
      <c r="N4976">
        <v>0</v>
      </c>
      <c r="O4976">
        <v>-0.99993560000000004</v>
      </c>
      <c r="P4976">
        <v>-4.4692719999999998E-2</v>
      </c>
      <c r="Q4976">
        <v>-2.542233E-2</v>
      </c>
      <c r="R4976">
        <v>-0.9986777</v>
      </c>
      <c r="S4976">
        <v>0.86245729999999998</v>
      </c>
      <c r="T4976">
        <v>-0.13551839999999901</v>
      </c>
      <c r="U4976">
        <v>-3.0389710000000001</v>
      </c>
      <c r="V4976">
        <v>4.1472410000000001E-2</v>
      </c>
      <c r="W4976">
        <v>-1.451942E-2</v>
      </c>
      <c r="X4976">
        <v>0.99903419999999998</v>
      </c>
      <c r="Y4976">
        <v>-0.27586850000000002</v>
      </c>
      <c r="Z4976">
        <v>4.2840280000000001E-2</v>
      </c>
      <c r="AA4976">
        <v>0.96024019999999999</v>
      </c>
      <c r="AB4976">
        <v>19</v>
      </c>
      <c r="AC4976">
        <v>7.06470000000001</v>
      </c>
      <c r="AD4976">
        <v>-1.109978959802</v>
      </c>
      <c r="AE4976">
        <v>-24.71142</v>
      </c>
      <c r="AF4976">
        <v>-7.1310772363535797</v>
      </c>
      <c r="AG4976">
        <v>-1.109978959802</v>
      </c>
      <c r="AH4976">
        <v>24.6425398888132</v>
      </c>
      <c r="AI4976">
        <v>92.477526539410704</v>
      </c>
      <c r="AJ4976">
        <v>106.13942681380399</v>
      </c>
      <c r="AK4976">
        <v>25.677598953441699</v>
      </c>
      <c r="AL4976">
        <v>90.831930674542505</v>
      </c>
      <c r="AM4976">
        <v>87.6228736580304</v>
      </c>
      <c r="AN4976">
        <v>1.0000000535589899</v>
      </c>
    </row>
    <row r="4977" spans="1:40" x14ac:dyDescent="0.25">
      <c r="A4977" t="str">
        <f>"20190312161415984"</f>
        <v>20190312161415984</v>
      </c>
      <c r="B4977" t="str">
        <f>"1552378455981491"</f>
        <v>1552378455981491</v>
      </c>
      <c r="C4977" t="s">
        <v>40</v>
      </c>
      <c r="D4977">
        <v>5.7071759999999996</v>
      </c>
      <c r="E4977">
        <v>0.37449130000000003</v>
      </c>
      <c r="F4977" t="s">
        <v>42</v>
      </c>
      <c r="G4977">
        <v>-414.9135</v>
      </c>
      <c r="H4977" s="1">
        <v>-3.9337070000000001E-6</v>
      </c>
      <c r="I4977">
        <v>56.699150000000003</v>
      </c>
      <c r="J4977">
        <v>-421.9511</v>
      </c>
      <c r="K4977">
        <v>1.109955</v>
      </c>
      <c r="L4977">
        <v>81.267030000000005</v>
      </c>
      <c r="M4977">
        <v>-3.1163810000000001E-3</v>
      </c>
      <c r="N4977">
        <v>0</v>
      </c>
      <c r="O4977">
        <v>-0.99993710000000002</v>
      </c>
      <c r="P4977">
        <v>-4.4684380000000003E-2</v>
      </c>
      <c r="Q4977">
        <v>-2.5539240000000001E-2</v>
      </c>
      <c r="R4977">
        <v>-0.99867490000000003</v>
      </c>
      <c r="S4977">
        <v>0.86373899999999904</v>
      </c>
      <c r="T4977">
        <v>-0.1362392</v>
      </c>
      <c r="U4977">
        <v>-3.0391539999999999</v>
      </c>
      <c r="V4977">
        <v>4.1573230000000003E-2</v>
      </c>
      <c r="W4977">
        <v>-1.4762249999999999E-2</v>
      </c>
      <c r="X4977">
        <v>0.99902639999999998</v>
      </c>
      <c r="Y4977">
        <v>-0.27612049999999999</v>
      </c>
      <c r="Z4977">
        <v>4.3061200000000001E-2</v>
      </c>
      <c r="AA4977">
        <v>0.96015790000000001</v>
      </c>
      <c r="AB4977">
        <v>19</v>
      </c>
      <c r="AC4977">
        <v>7.0375999999999896</v>
      </c>
      <c r="AD4977">
        <v>-1.1099589337069999</v>
      </c>
      <c r="AE4977">
        <v>-24.567879999999999</v>
      </c>
      <c r="AF4977">
        <v>-7.1007384719734796</v>
      </c>
      <c r="AG4977">
        <v>-1.1099589337069999</v>
      </c>
      <c r="AH4977">
        <v>24.499612069216301</v>
      </c>
      <c r="AI4977">
        <v>92.491617918177894</v>
      </c>
      <c r="AJ4977">
        <v>106.163208251347</v>
      </c>
      <c r="AK4977">
        <v>25.532009071437599</v>
      </c>
      <c r="AL4977">
        <v>90.845845342411195</v>
      </c>
      <c r="AM4977">
        <v>87.617082901186706</v>
      </c>
      <c r="AN4977">
        <v>1.0000000026873199</v>
      </c>
    </row>
    <row r="4978" spans="1:40" x14ac:dyDescent="0.25">
      <c r="A4978" t="str">
        <f>"20190312161416005"</f>
        <v>20190312161416005</v>
      </c>
      <c r="B4978" t="str">
        <f>"1552378456001015"</f>
        <v>1552378456001015</v>
      </c>
      <c r="C4978" t="s">
        <v>40</v>
      </c>
      <c r="D4978">
        <v>5.7080270000000004</v>
      </c>
      <c r="E4978">
        <v>0.37410149999999998</v>
      </c>
      <c r="F4978" t="s">
        <v>42</v>
      </c>
      <c r="G4978">
        <v>-414.94240000000002</v>
      </c>
      <c r="H4978" s="1">
        <v>-3.9365710000000004E-6</v>
      </c>
      <c r="I4978">
        <v>56.717779999999998</v>
      </c>
      <c r="J4978">
        <v>-421.95159999999998</v>
      </c>
      <c r="K4978">
        <v>1.1099319999999999</v>
      </c>
      <c r="L4978">
        <v>81.081329999999994</v>
      </c>
      <c r="M4978">
        <v>-3.0113259999999999E-3</v>
      </c>
      <c r="N4978">
        <v>0</v>
      </c>
      <c r="O4978">
        <v>-0.99993869999999896</v>
      </c>
      <c r="P4978">
        <v>-4.3807260000000001E-2</v>
      </c>
      <c r="Q4978">
        <v>-2.61394E-2</v>
      </c>
      <c r="R4978">
        <v>-0.99869819999999998</v>
      </c>
      <c r="S4978">
        <v>0.86770630000000004</v>
      </c>
      <c r="T4978">
        <v>-0.13741789999999901</v>
      </c>
      <c r="U4978">
        <v>-3.039307</v>
      </c>
      <c r="V4978">
        <v>4.0801070000000002E-2</v>
      </c>
      <c r="W4978">
        <v>-1.548127E-2</v>
      </c>
      <c r="X4978">
        <v>0.99904729999999997</v>
      </c>
      <c r="Y4978">
        <v>-0.27716160000000001</v>
      </c>
      <c r="Z4978">
        <v>4.3416719999999999E-2</v>
      </c>
      <c r="AA4978">
        <v>0.95984179999999997</v>
      </c>
      <c r="AB4978">
        <v>19</v>
      </c>
      <c r="AC4978">
        <v>7.0091999999999599</v>
      </c>
      <c r="AD4978">
        <v>-1.109935936571</v>
      </c>
      <c r="AE4978">
        <v>-24.36355</v>
      </c>
      <c r="AF4978">
        <v>-7.0689890414697896</v>
      </c>
      <c r="AG4978">
        <v>-1.109935936571</v>
      </c>
      <c r="AH4978">
        <v>24.295760902754498</v>
      </c>
      <c r="AI4978">
        <v>92.5116890386888</v>
      </c>
      <c r="AJ4978">
        <v>106.22265345693</v>
      </c>
      <c r="AK4978">
        <v>25.3275849953273</v>
      </c>
      <c r="AL4978">
        <v>90.887046910238695</v>
      </c>
      <c r="AM4978">
        <v>87.661341252514205</v>
      </c>
      <c r="AN4978">
        <v>0.999999952335622</v>
      </c>
    </row>
    <row r="4979" spans="1:40" x14ac:dyDescent="0.25">
      <c r="A4979" t="str">
        <f>"20190312161416029"</f>
        <v>20190312161416029</v>
      </c>
      <c r="B4979" t="str">
        <f>"1552378456021506"</f>
        <v>1552378456021506</v>
      </c>
      <c r="C4979" t="s">
        <v>40</v>
      </c>
      <c r="D4979">
        <v>5.730232</v>
      </c>
      <c r="E4979">
        <v>0.37386019999999998</v>
      </c>
      <c r="F4979" t="s">
        <v>42</v>
      </c>
      <c r="G4979">
        <v>-414.96969999999999</v>
      </c>
      <c r="H4979" s="1">
        <v>-3.9628849999999996E-6</v>
      </c>
      <c r="I4979">
        <v>56.790379999999999</v>
      </c>
      <c r="J4979">
        <v>-421.952</v>
      </c>
      <c r="K4979">
        <v>1.1099190000000001</v>
      </c>
      <c r="L4979">
        <v>80.886229999999998</v>
      </c>
      <c r="M4979">
        <v>-2.9009919999999998E-3</v>
      </c>
      <c r="N4979">
        <v>0</v>
      </c>
      <c r="O4979">
        <v>-0.99994039999999995</v>
      </c>
      <c r="P4979">
        <v>-4.3092279999999997E-2</v>
      </c>
      <c r="Q4979">
        <v>-2.71641E-2</v>
      </c>
      <c r="R4979">
        <v>-0.99870199999999998</v>
      </c>
      <c r="S4979">
        <v>0.87338259999999901</v>
      </c>
      <c r="T4979">
        <v>-0.1388441</v>
      </c>
      <c r="U4979">
        <v>-3.038605</v>
      </c>
      <c r="V4979">
        <v>4.0196429999999998E-2</v>
      </c>
      <c r="W4979">
        <v>-1.662566E-2</v>
      </c>
      <c r="X4979">
        <v>0.99905350000000004</v>
      </c>
      <c r="Y4979">
        <v>-0.2787655</v>
      </c>
      <c r="Z4979">
        <v>4.385476E-2</v>
      </c>
      <c r="AA4979">
        <v>0.95935740000000003</v>
      </c>
      <c r="AB4979">
        <v>19</v>
      </c>
      <c r="AC4979">
        <v>6.9823000000000004</v>
      </c>
      <c r="AD4979">
        <v>-1.109922962885</v>
      </c>
      <c r="AE4979">
        <v>-24.095849999999899</v>
      </c>
      <c r="AF4979">
        <v>-7.0383992278723797</v>
      </c>
      <c r="AG4979">
        <v>-1.109922962885</v>
      </c>
      <c r="AH4979">
        <v>24.028458007963099</v>
      </c>
      <c r="AI4979">
        <v>92.538224725373595</v>
      </c>
      <c r="AJ4979">
        <v>106.32632648462</v>
      </c>
      <c r="AK4979">
        <v>25.0626771697459</v>
      </c>
      <c r="AL4979">
        <v>90.952624010010297</v>
      </c>
      <c r="AM4979">
        <v>87.695975001502205</v>
      </c>
      <c r="AN4979">
        <v>1.00000003070871</v>
      </c>
    </row>
    <row r="4980" spans="1:40" x14ac:dyDescent="0.25">
      <c r="A4980" t="str">
        <f>"20190312161416050"</f>
        <v>20190312161416050</v>
      </c>
      <c r="B4980" t="str">
        <f>"1552378456041027"</f>
        <v>1552378456041027</v>
      </c>
      <c r="C4980" t="s">
        <v>40</v>
      </c>
      <c r="D4980">
        <v>5.6855760000000002</v>
      </c>
      <c r="E4980">
        <v>0.37362240000000002</v>
      </c>
      <c r="F4980" t="s">
        <v>42</v>
      </c>
      <c r="G4980">
        <v>-415.01209999999998</v>
      </c>
      <c r="H4980" s="1">
        <v>-3.9875670000000003E-6</v>
      </c>
      <c r="I4980">
        <v>56.86544</v>
      </c>
      <c r="J4980">
        <v>-421.95249999999999</v>
      </c>
      <c r="K4980">
        <v>1.10991</v>
      </c>
      <c r="L4980">
        <v>80.696719999999999</v>
      </c>
      <c r="M4980">
        <v>-2.7938450000000001E-3</v>
      </c>
      <c r="N4980">
        <v>0</v>
      </c>
      <c r="O4980">
        <v>-0.99994159999999999</v>
      </c>
      <c r="P4980">
        <v>-4.2633659999999997E-2</v>
      </c>
      <c r="Q4980">
        <v>-2.7191E-2</v>
      </c>
      <c r="R4980">
        <v>-0.99872059999999996</v>
      </c>
      <c r="S4980">
        <v>0.8777161</v>
      </c>
      <c r="T4980">
        <v>-0.14037450000000001</v>
      </c>
      <c r="U4980">
        <v>-3.0379640000000001</v>
      </c>
      <c r="V4980">
        <v>3.9844810000000001E-2</v>
      </c>
      <c r="W4980">
        <v>-1.6763489999999999E-2</v>
      </c>
      <c r="X4980">
        <v>0.99906530000000004</v>
      </c>
      <c r="Y4980">
        <v>-0.27997379999999999</v>
      </c>
      <c r="Z4980">
        <v>4.4329639999999997E-2</v>
      </c>
      <c r="AA4980">
        <v>0.95898360000000005</v>
      </c>
      <c r="AB4980">
        <v>19</v>
      </c>
      <c r="AC4980">
        <v>6.9404000000000101</v>
      </c>
      <c r="AD4980">
        <v>-1.1099139875670001</v>
      </c>
      <c r="AE4980">
        <v>-23.83128</v>
      </c>
      <c r="AF4980">
        <v>-6.9929747726081999</v>
      </c>
      <c r="AG4980">
        <v>-1.1099139875670001</v>
      </c>
      <c r="AH4980">
        <v>23.764278116044601</v>
      </c>
      <c r="AI4980">
        <v>92.5654516530157</v>
      </c>
      <c r="AJ4980">
        <v>106.397264988865</v>
      </c>
      <c r="AK4980">
        <v>24.796663477307799</v>
      </c>
      <c r="AL4980">
        <v>90.960522170626703</v>
      </c>
      <c r="AM4980">
        <v>87.716135069096595</v>
      </c>
      <c r="AN4980">
        <v>1.0000000485725</v>
      </c>
    </row>
    <row r="4981" spans="1:40" x14ac:dyDescent="0.25">
      <c r="A4981" t="str">
        <f>"20190312161416073"</f>
        <v>20190312161416073</v>
      </c>
      <c r="B4981" t="str">
        <f>"1552378456061522"</f>
        <v>1552378456061522</v>
      </c>
      <c r="C4981" t="s">
        <v>40</v>
      </c>
      <c r="D4981">
        <v>5.6994439999999997</v>
      </c>
      <c r="E4981">
        <v>0.3734751</v>
      </c>
      <c r="F4981" t="s">
        <v>42</v>
      </c>
      <c r="G4981">
        <v>-414.99220000000003</v>
      </c>
      <c r="H4981" s="1">
        <v>-3.9160630000000001E-6</v>
      </c>
      <c r="I4981">
        <v>56.690570000000001</v>
      </c>
      <c r="J4981">
        <v>-421.9529</v>
      </c>
      <c r="K4981">
        <v>1.109893</v>
      </c>
      <c r="L4981">
        <v>80.505250000000004</v>
      </c>
      <c r="M4981">
        <v>-2.6855429999999999E-3</v>
      </c>
      <c r="N4981">
        <v>0</v>
      </c>
      <c r="O4981">
        <v>-0.99994329999999998</v>
      </c>
      <c r="P4981">
        <v>-4.1852590000000002E-2</v>
      </c>
      <c r="Q4981">
        <v>-2.684315E-2</v>
      </c>
      <c r="R4981">
        <v>-0.99876339999999997</v>
      </c>
      <c r="S4981">
        <v>0.88070680000000001</v>
      </c>
      <c r="T4981">
        <v>-0.14044200000000001</v>
      </c>
      <c r="U4981">
        <v>-3.037598</v>
      </c>
      <c r="V4981">
        <v>3.9171770000000002E-2</v>
      </c>
      <c r="W4981">
        <v>-1.652079E-2</v>
      </c>
      <c r="X4981">
        <v>0.99909590000000004</v>
      </c>
      <c r="Y4981">
        <v>-0.28077160000000001</v>
      </c>
      <c r="Z4981">
        <v>4.4344849999999998E-2</v>
      </c>
      <c r="AA4981">
        <v>0.95874959999999998</v>
      </c>
      <c r="AB4981">
        <v>19</v>
      </c>
      <c r="AC4981">
        <v>6.9606999999999699</v>
      </c>
      <c r="AD4981">
        <v>-1.1098969160629999</v>
      </c>
      <c r="AE4981">
        <v>-23.814679999999999</v>
      </c>
      <c r="AF4981">
        <v>-7.0106045665575802</v>
      </c>
      <c r="AG4981">
        <v>-1.1098969160629999</v>
      </c>
      <c r="AH4981">
        <v>23.748376470081801</v>
      </c>
      <c r="AI4981">
        <v>92.566474722765605</v>
      </c>
      <c r="AJ4981">
        <v>106.446786455168</v>
      </c>
      <c r="AK4981">
        <v>24.7864041869259</v>
      </c>
      <c r="AL4981">
        <v>90.946614614273003</v>
      </c>
      <c r="AM4981">
        <v>87.754741928816998</v>
      </c>
      <c r="AN4981">
        <v>0.99999999073198298</v>
      </c>
    </row>
    <row r="4982" spans="1:40" x14ac:dyDescent="0.25">
      <c r="A4982" t="str">
        <f>"20190312161416095"</f>
        <v>20190312161416095</v>
      </c>
      <c r="B4982" t="str">
        <f>"1552378456091779"</f>
        <v>1552378456091779</v>
      </c>
      <c r="C4982" t="s">
        <v>40</v>
      </c>
      <c r="D4982">
        <v>5.6213860000000002</v>
      </c>
      <c r="E4982">
        <v>0.37347780000000003</v>
      </c>
      <c r="F4982" t="s">
        <v>42</v>
      </c>
      <c r="G4982">
        <v>-414.99110000000002</v>
      </c>
      <c r="H4982" s="1">
        <v>-3.8734400000000003E-6</v>
      </c>
      <c r="I4982">
        <v>56.590780000000002</v>
      </c>
      <c r="J4982">
        <v>-421.95330000000001</v>
      </c>
      <c r="K4982">
        <v>1.1098840000000001</v>
      </c>
      <c r="L4982">
        <v>80.311340000000001</v>
      </c>
      <c r="M4982">
        <v>-2.5759569999999998E-3</v>
      </c>
      <c r="N4982">
        <v>0</v>
      </c>
      <c r="O4982">
        <v>-0.99994470000000002</v>
      </c>
      <c r="P4982">
        <v>-4.1376209999999997E-2</v>
      </c>
      <c r="Q4982">
        <v>-2.779324E-2</v>
      </c>
      <c r="R4982">
        <v>-0.99875740000000002</v>
      </c>
      <c r="S4982">
        <v>0.88409419999999905</v>
      </c>
      <c r="T4982">
        <v>-0.14094999999999999</v>
      </c>
      <c r="U4982">
        <v>-3.0369869999999999</v>
      </c>
      <c r="V4982">
        <v>3.8805010000000001E-2</v>
      </c>
      <c r="W4982">
        <v>-1.756748E-2</v>
      </c>
      <c r="X4982">
        <v>0.99909230000000004</v>
      </c>
      <c r="Y4982">
        <v>-0.28170200000000001</v>
      </c>
      <c r="Z4982">
        <v>4.4500520000000002E-2</v>
      </c>
      <c r="AA4982">
        <v>0.95846949999999997</v>
      </c>
      <c r="AB4982">
        <v>19</v>
      </c>
      <c r="AC4982">
        <v>6.9621999999999904</v>
      </c>
      <c r="AD4982">
        <v>-1.10988787344</v>
      </c>
      <c r="AE4982">
        <v>-23.720559999999999</v>
      </c>
      <c r="AF4982">
        <v>-7.0091550718631304</v>
      </c>
      <c r="AG4982">
        <v>-1.10988787344</v>
      </c>
      <c r="AH4982">
        <v>23.654865622035398</v>
      </c>
      <c r="AI4982">
        <v>92.5758120742355</v>
      </c>
      <c r="AJ4982">
        <v>106.50504273839501</v>
      </c>
      <c r="AK4982">
        <v>24.696412158643302</v>
      </c>
      <c r="AL4982">
        <v>91.006594306350607</v>
      </c>
      <c r="AM4982">
        <v>87.775734756838304</v>
      </c>
      <c r="AN4982">
        <v>0.999999934536968</v>
      </c>
    </row>
    <row r="4983" spans="1:40" x14ac:dyDescent="0.25">
      <c r="A4983" t="str">
        <f>"20190312161416119"</f>
        <v>20190312161416119</v>
      </c>
      <c r="B4983" t="str">
        <f>"1552378456111298"</f>
        <v>1552378456111298</v>
      </c>
      <c r="C4983" t="s">
        <v>40</v>
      </c>
      <c r="D4983">
        <v>5.6114540000000002</v>
      </c>
      <c r="E4983">
        <v>0.37361680000000003</v>
      </c>
      <c r="F4983" t="s">
        <v>42</v>
      </c>
      <c r="G4983">
        <v>-415.25580000000002</v>
      </c>
      <c r="H4983" s="1">
        <v>-4.1528380000000001E-6</v>
      </c>
      <c r="I4983">
        <v>57.351489999999998</v>
      </c>
      <c r="J4983">
        <v>-421.95359999999999</v>
      </c>
      <c r="K4983">
        <v>1.1098699999999999</v>
      </c>
      <c r="L4983">
        <v>80.116150000000005</v>
      </c>
      <c r="M4983">
        <v>-2.465568E-3</v>
      </c>
      <c r="N4983">
        <v>0</v>
      </c>
      <c r="O4983">
        <v>-0.99994559999999999</v>
      </c>
      <c r="P4983">
        <v>-4.1214029999999999E-2</v>
      </c>
      <c r="Q4983">
        <v>-2.844679E-2</v>
      </c>
      <c r="R4983">
        <v>-0.99874540000000001</v>
      </c>
      <c r="S4983">
        <v>0.88571169999999999</v>
      </c>
      <c r="T4983">
        <v>-0.14677809999999999</v>
      </c>
      <c r="U4983">
        <v>-3.036346</v>
      </c>
      <c r="V4983">
        <v>3.875323E-2</v>
      </c>
      <c r="W4983">
        <v>-1.8307029999999998E-2</v>
      </c>
      <c r="X4983">
        <v>0.99908110000000006</v>
      </c>
      <c r="Y4983">
        <v>-0.2820975</v>
      </c>
      <c r="Z4983">
        <v>4.6339810000000002E-2</v>
      </c>
      <c r="AA4983">
        <v>0.95826599999999995</v>
      </c>
      <c r="AB4983">
        <v>19</v>
      </c>
      <c r="AC4983">
        <v>6.6977999999999698</v>
      </c>
      <c r="AD4983">
        <v>-1.1098741528380001</v>
      </c>
      <c r="AE4983">
        <v>-22.764659999999999</v>
      </c>
      <c r="AF4983">
        <v>-6.7391676845267598</v>
      </c>
      <c r="AG4983">
        <v>-1.1098741528380001</v>
      </c>
      <c r="AH4983">
        <v>22.69842082856</v>
      </c>
      <c r="AI4983">
        <v>92.683728718089696</v>
      </c>
      <c r="AJ4983">
        <v>106.53616939665299</v>
      </c>
      <c r="AK4983">
        <v>23.7037235434797</v>
      </c>
      <c r="AL4983">
        <v>91.048974151076493</v>
      </c>
      <c r="AM4983">
        <v>87.778674884251402</v>
      </c>
      <c r="AN4983">
        <v>1.0000000022800299</v>
      </c>
    </row>
    <row r="4984" spans="1:40" x14ac:dyDescent="0.25">
      <c r="A4984" t="str">
        <f>"20190312161416140"</f>
        <v>20190312161416140</v>
      </c>
      <c r="B4984" t="str">
        <f>"1552378456131795"</f>
        <v>1552378456131795</v>
      </c>
      <c r="C4984" t="s">
        <v>40</v>
      </c>
      <c r="D4984">
        <v>5.6195510000000004</v>
      </c>
      <c r="E4984">
        <v>0.37375589999999997</v>
      </c>
      <c r="F4984" t="s">
        <v>42</v>
      </c>
      <c r="G4984">
        <v>-415.43849999999998</v>
      </c>
      <c r="H4984" s="1">
        <v>-4.3065159999999998E-6</v>
      </c>
      <c r="I4984">
        <v>57.785249999999998</v>
      </c>
      <c r="J4984">
        <v>-421.95400000000001</v>
      </c>
      <c r="K4984">
        <v>1.1098619999999999</v>
      </c>
      <c r="L4984">
        <v>79.924440000000004</v>
      </c>
      <c r="M4984">
        <v>-2.3571489999999998E-3</v>
      </c>
      <c r="N4984">
        <v>0</v>
      </c>
      <c r="O4984">
        <v>-0.99994660000000002</v>
      </c>
      <c r="P4984">
        <v>-4.0731870000000003E-2</v>
      </c>
      <c r="Q4984">
        <v>-2.8716430000000001E-2</v>
      </c>
      <c r="R4984">
        <v>-0.99875749999999996</v>
      </c>
      <c r="S4984">
        <v>0.88577269999999897</v>
      </c>
      <c r="T4984">
        <v>-0.15089359999999999</v>
      </c>
      <c r="U4984">
        <v>-3.0360109999999998</v>
      </c>
      <c r="V4984">
        <v>3.8379389999999999E-2</v>
      </c>
      <c r="W4984">
        <v>-1.8651350000000001E-2</v>
      </c>
      <c r="X4984">
        <v>0.99908920000000001</v>
      </c>
      <c r="Y4984">
        <v>-0.28202260000000001</v>
      </c>
      <c r="Z4984">
        <v>4.7641549999999998E-2</v>
      </c>
      <c r="AA4984">
        <v>0.95822419999999997</v>
      </c>
      <c r="AB4984">
        <v>19</v>
      </c>
      <c r="AC4984">
        <v>6.5155000000000296</v>
      </c>
      <c r="AD4984">
        <v>-1.1098663065159999</v>
      </c>
      <c r="AE4984">
        <v>-22.139189999999999</v>
      </c>
      <c r="AF4984">
        <v>-6.5525150503601202</v>
      </c>
      <c r="AG4984">
        <v>-1.1098663065159999</v>
      </c>
      <c r="AH4984">
        <v>22.072719242560801</v>
      </c>
      <c r="AI4984">
        <v>92.759699690250898</v>
      </c>
      <c r="AJ4984">
        <v>106.534066196857</v>
      </c>
      <c r="AK4984">
        <v>23.051511695861699</v>
      </c>
      <c r="AL4984">
        <v>91.068705562860401</v>
      </c>
      <c r="AM4984">
        <v>87.800099957812805</v>
      </c>
      <c r="AN4984">
        <v>1.0000000399951099</v>
      </c>
    </row>
    <row r="4985" spans="1:40" x14ac:dyDescent="0.25">
      <c r="A4985" t="str">
        <f>"20190312161416163"</f>
        <v>20190312161416163</v>
      </c>
      <c r="B4985" t="str">
        <f>"1552378456151315"</f>
        <v>1552378456151315</v>
      </c>
      <c r="C4985" t="s">
        <v>40</v>
      </c>
      <c r="D4985">
        <v>5.6119009999999996</v>
      </c>
      <c r="E4985">
        <v>0.37379200000000001</v>
      </c>
      <c r="F4985" t="s">
        <v>42</v>
      </c>
      <c r="G4985">
        <v>-415.55110000000002</v>
      </c>
      <c r="H4985" s="1">
        <v>-4.3702180000000002E-6</v>
      </c>
      <c r="I4985">
        <v>57.9803</v>
      </c>
      <c r="J4985">
        <v>-421.95429999999999</v>
      </c>
      <c r="K4985">
        <v>1.1098520000000001</v>
      </c>
      <c r="L4985">
        <v>79.737089999999995</v>
      </c>
      <c r="M4985">
        <v>-2.250957E-3</v>
      </c>
      <c r="N4985">
        <v>0</v>
      </c>
      <c r="O4985">
        <v>-0.99994749999999999</v>
      </c>
      <c r="P4985">
        <v>-4.0480420000000003E-2</v>
      </c>
      <c r="Q4985">
        <v>-2.8999460000000001E-2</v>
      </c>
      <c r="R4985">
        <v>-0.99875950000000002</v>
      </c>
      <c r="S4985">
        <v>0.88568119999999995</v>
      </c>
      <c r="T4985">
        <v>-0.15352270000000001</v>
      </c>
      <c r="U4985">
        <v>-3.035431</v>
      </c>
      <c r="V4985">
        <v>3.823406E-2</v>
      </c>
      <c r="W4985">
        <v>-1.900263E-2</v>
      </c>
      <c r="X4985">
        <v>0.99908810000000003</v>
      </c>
      <c r="Y4985">
        <v>-0.28193200000000002</v>
      </c>
      <c r="Z4985">
        <v>4.8479380000000002E-2</v>
      </c>
      <c r="AA4985">
        <v>0.95820879999999997</v>
      </c>
      <c r="AB4985">
        <v>19</v>
      </c>
      <c r="AC4985">
        <v>6.4031999999999698</v>
      </c>
      <c r="AD4985">
        <v>-1.109856370218</v>
      </c>
      <c r="AE4985">
        <v>-21.756789999999999</v>
      </c>
      <c r="AF4985">
        <v>-6.43674517369264</v>
      </c>
      <c r="AG4985">
        <v>-1.109856370218</v>
      </c>
      <c r="AH4985">
        <v>21.690376944267001</v>
      </c>
      <c r="AI4985">
        <v>92.808323339708906</v>
      </c>
      <c r="AJ4985">
        <v>106.528561199908</v>
      </c>
      <c r="AK4985">
        <v>22.652503649220701</v>
      </c>
      <c r="AL4985">
        <v>91.088836048819104</v>
      </c>
      <c r="AM4985">
        <v>87.808419699565803</v>
      </c>
      <c r="AN4985">
        <v>0.99999998742630503</v>
      </c>
    </row>
    <row r="4986" spans="1:40" x14ac:dyDescent="0.25">
      <c r="A4986" t="str">
        <f>"20190312161416185"</f>
        <v>20190312161416185</v>
      </c>
      <c r="B4986" t="str">
        <f>"1552378456181571"</f>
        <v>1552378456181571</v>
      </c>
      <c r="C4986" t="s">
        <v>40</v>
      </c>
      <c r="D4986">
        <v>5.684698</v>
      </c>
      <c r="E4986">
        <v>0.37543149999999997</v>
      </c>
      <c r="F4986" t="s">
        <v>42</v>
      </c>
      <c r="G4986">
        <v>-415.62540000000001</v>
      </c>
      <c r="H4986" s="1">
        <v>-4.388247E-6</v>
      </c>
      <c r="I4986">
        <v>58.053049999999999</v>
      </c>
      <c r="J4986">
        <v>-421.9547</v>
      </c>
      <c r="K4986">
        <v>1.1098440000000001</v>
      </c>
      <c r="L4986">
        <v>79.542209999999997</v>
      </c>
      <c r="M4986">
        <v>-2.1408030000000002E-3</v>
      </c>
      <c r="N4986">
        <v>0</v>
      </c>
      <c r="O4986">
        <v>-0.99994850000000002</v>
      </c>
      <c r="P4986">
        <v>-4.0195990000000001E-2</v>
      </c>
      <c r="Q4986">
        <v>-2.925985E-2</v>
      </c>
      <c r="R4986">
        <v>-0.99876339999999997</v>
      </c>
      <c r="S4986">
        <v>0.88586430000000005</v>
      </c>
      <c r="T4986">
        <v>-0.15534709999999999</v>
      </c>
      <c r="U4986">
        <v>-3.035126</v>
      </c>
      <c r="V4986">
        <v>3.8059719999999998E-2</v>
      </c>
      <c r="W4986">
        <v>-1.9331669999999999E-2</v>
      </c>
      <c r="X4986">
        <v>0.99908850000000005</v>
      </c>
      <c r="Y4986">
        <v>-0.28189760000000003</v>
      </c>
      <c r="Z4986">
        <v>4.9058629999999999E-2</v>
      </c>
      <c r="AA4986">
        <v>0.95818939999999997</v>
      </c>
      <c r="AB4986">
        <v>19</v>
      </c>
      <c r="AC4986">
        <v>6.3292999999999804</v>
      </c>
      <c r="AD4986">
        <v>-1.1098483882470001</v>
      </c>
      <c r="AE4986">
        <v>-21.489159999999998</v>
      </c>
      <c r="AF4986">
        <v>-6.3596821385962201</v>
      </c>
      <c r="AG4986">
        <v>-1.1098483882470001</v>
      </c>
      <c r="AH4986">
        <v>21.422978145117199</v>
      </c>
      <c r="AI4986">
        <v>92.843216142888295</v>
      </c>
      <c r="AJ4986">
        <v>106.534187751091</v>
      </c>
      <c r="AK4986">
        <v>22.3745684417609</v>
      </c>
      <c r="AL4986">
        <v>91.107692054528698</v>
      </c>
      <c r="AM4986">
        <v>87.818404081178898</v>
      </c>
      <c r="AN4986">
        <v>1.0000000432918501</v>
      </c>
    </row>
    <row r="4987" spans="1:40" x14ac:dyDescent="0.25">
      <c r="A4987" t="str">
        <f>"20190312161416209"</f>
        <v>20190312161416209</v>
      </c>
      <c r="B4987" t="str">
        <f>"1552378456201095"</f>
        <v>1552378456201095</v>
      </c>
      <c r="C4987" t="s">
        <v>40</v>
      </c>
      <c r="D4987">
        <v>5.7247240000000001</v>
      </c>
      <c r="E4987">
        <v>0.37946360000000001</v>
      </c>
      <c r="F4987" t="s">
        <v>42</v>
      </c>
      <c r="G4987">
        <v>-418.02600000000001</v>
      </c>
      <c r="H4987" s="1">
        <v>-3.0595399999999999E-6</v>
      </c>
      <c r="I4987">
        <v>65.948390000000003</v>
      </c>
      <c r="J4987">
        <v>-421.95499999999998</v>
      </c>
      <c r="K4987">
        <v>1.1098380000000001</v>
      </c>
      <c r="L4987">
        <v>79.337249999999997</v>
      </c>
      <c r="M4987">
        <v>-2.0252579999999998E-3</v>
      </c>
      <c r="N4987">
        <v>0</v>
      </c>
      <c r="O4987">
        <v>-0.99994950000000005</v>
      </c>
      <c r="P4987">
        <v>-4.0046850000000002E-2</v>
      </c>
      <c r="Q4987">
        <v>-2.9133909999999999E-2</v>
      </c>
      <c r="R4987">
        <v>-0.99877340000000003</v>
      </c>
      <c r="S4987">
        <v>0.87619020000000003</v>
      </c>
      <c r="T4987">
        <v>-0.24752199999999999</v>
      </c>
      <c r="U4987">
        <v>-3.0317379999999998</v>
      </c>
      <c r="V4987">
        <v>3.8025999999999997E-2</v>
      </c>
      <c r="W4987">
        <v>-1.9276339999999999E-2</v>
      </c>
      <c r="X4987">
        <v>0.99909079999999995</v>
      </c>
      <c r="Y4987">
        <v>-0.27873890000000001</v>
      </c>
      <c r="Z4987">
        <v>7.8170870000000003E-2</v>
      </c>
      <c r="AA4987">
        <v>0.95718020000000004</v>
      </c>
      <c r="AB4987">
        <v>19</v>
      </c>
      <c r="AC4987">
        <v>3.9289999999999701</v>
      </c>
      <c r="AD4987">
        <v>-1.1098410595399999</v>
      </c>
      <c r="AE4987">
        <v>-13.3888599999999</v>
      </c>
      <c r="AF4987">
        <v>-3.93123844565255</v>
      </c>
      <c r="AG4987">
        <v>-1.1098410595399999</v>
      </c>
      <c r="AH4987">
        <v>13.2967539296959</v>
      </c>
      <c r="AI4987">
        <v>94.576315585456001</v>
      </c>
      <c r="AJ4987">
        <v>106.47052449511899</v>
      </c>
      <c r="AK4987">
        <v>13.910070019985501</v>
      </c>
      <c r="AL4987">
        <v>91.1045213468811</v>
      </c>
      <c r="AM4987">
        <v>87.820340070727596</v>
      </c>
      <c r="AN4987">
        <v>0.99999999030221698</v>
      </c>
    </row>
    <row r="4988" spans="1:40" x14ac:dyDescent="0.25">
      <c r="A4988" t="str">
        <f>"20190312161416229"</f>
        <v>20190312161416229</v>
      </c>
      <c r="B4988" t="str">
        <f>"1552378456221587"</f>
        <v>1552378456221587</v>
      </c>
      <c r="C4988" t="s">
        <v>40</v>
      </c>
      <c r="D4988">
        <v>5.6197650000000001</v>
      </c>
      <c r="E4988">
        <v>0.42927029999999999</v>
      </c>
      <c r="F4988" t="s">
        <v>42</v>
      </c>
      <c r="G4988">
        <v>-417.50990000000002</v>
      </c>
      <c r="H4988" s="1">
        <v>-2.0407990000000002E-6</v>
      </c>
      <c r="I4988">
        <v>63.360289999999999</v>
      </c>
      <c r="J4988">
        <v>-421.95519999999999</v>
      </c>
      <c r="K4988">
        <v>1.109831</v>
      </c>
      <c r="L4988">
        <v>79.152159999999995</v>
      </c>
      <c r="M4988">
        <v>-1.92005E-3</v>
      </c>
      <c r="N4988">
        <v>0</v>
      </c>
      <c r="O4988">
        <v>-0.99995040000000002</v>
      </c>
      <c r="P4988">
        <v>-3.9912610000000001E-2</v>
      </c>
      <c r="Q4988">
        <v>-2.8861399999999999E-2</v>
      </c>
      <c r="R4988">
        <v>-0.99878670000000003</v>
      </c>
      <c r="S4988">
        <v>0.84338380000000002</v>
      </c>
      <c r="T4988">
        <v>-0.21057439999999999</v>
      </c>
      <c r="U4988">
        <v>-3.0313720000000002</v>
      </c>
      <c r="V4988">
        <v>3.7996799999999997E-2</v>
      </c>
      <c r="W4988">
        <v>-1.9064250000000001E-2</v>
      </c>
      <c r="X4988">
        <v>0.99909599999999998</v>
      </c>
      <c r="Y4988">
        <v>-0.26928950000000001</v>
      </c>
      <c r="Z4988">
        <v>6.6756120000000002E-2</v>
      </c>
      <c r="AA4988">
        <v>0.96074280000000001</v>
      </c>
      <c r="AB4988">
        <v>19</v>
      </c>
      <c r="AC4988">
        <v>4.4452999999999703</v>
      </c>
      <c r="AD4988">
        <v>-1.109833040799</v>
      </c>
      <c r="AE4988">
        <v>-15.7918699999999</v>
      </c>
      <c r="AF4988">
        <v>-4.4552252184475698</v>
      </c>
      <c r="AG4988">
        <v>-1.109833040799</v>
      </c>
      <c r="AH4988">
        <v>15.711402483748399</v>
      </c>
      <c r="AI4988">
        <v>93.887798956219797</v>
      </c>
      <c r="AJ4988">
        <v>105.831552480806</v>
      </c>
      <c r="AK4988">
        <v>16.368534727698599</v>
      </c>
      <c r="AL4988">
        <v>91.092367230010893</v>
      </c>
      <c r="AM4988">
        <v>87.822023534449002</v>
      </c>
      <c r="AN4988">
        <v>1.00000000982715</v>
      </c>
    </row>
    <row r="4989" spans="1:40" x14ac:dyDescent="0.25">
      <c r="A4989" t="str">
        <f>"20190312161416251"</f>
        <v>20190312161416251</v>
      </c>
      <c r="B4989" t="str">
        <f>"1552378456241107"</f>
        <v>1552378456241107</v>
      </c>
      <c r="C4989" t="s">
        <v>40</v>
      </c>
      <c r="D4989">
        <v>5.6284130000000001</v>
      </c>
      <c r="E4989">
        <v>0.4476715</v>
      </c>
      <c r="F4989" t="s">
        <v>42</v>
      </c>
      <c r="G4989">
        <v>-419.12790000000001</v>
      </c>
      <c r="H4989" s="1">
        <v>-3.6368290000000002E-7</v>
      </c>
      <c r="I4989">
        <v>60.034889999999997</v>
      </c>
      <c r="J4989">
        <v>-421.9554</v>
      </c>
      <c r="K4989">
        <v>1.109829</v>
      </c>
      <c r="L4989">
        <v>78.960169999999906</v>
      </c>
      <c r="M4989">
        <v>-1.8112619999999999E-3</v>
      </c>
      <c r="N4989">
        <v>0</v>
      </c>
      <c r="O4989">
        <v>-0.99995109999999998</v>
      </c>
      <c r="P4989">
        <v>-3.9349769999999999E-2</v>
      </c>
      <c r="Q4989">
        <v>-2.8781830000000001E-2</v>
      </c>
      <c r="R4989">
        <v>-0.99881129999999996</v>
      </c>
      <c r="S4989">
        <v>0.446106</v>
      </c>
      <c r="T4989">
        <v>-0.17511479999999999</v>
      </c>
      <c r="U4989">
        <v>-3.0164179999999998</v>
      </c>
      <c r="V4989">
        <v>3.7542590000000001E-2</v>
      </c>
      <c r="W4989">
        <v>-1.9040809999999998E-2</v>
      </c>
      <c r="X4989">
        <v>0.99911360000000005</v>
      </c>
      <c r="Y4989">
        <v>-0.14785229999999999</v>
      </c>
      <c r="Z4989">
        <v>5.7326920000000003E-2</v>
      </c>
      <c r="AA4989">
        <v>0.98734659999999996</v>
      </c>
      <c r="AB4989">
        <v>19</v>
      </c>
      <c r="AC4989">
        <v>2.8274999999999801</v>
      </c>
      <c r="AD4989">
        <v>-1.1098293636829</v>
      </c>
      <c r="AE4989">
        <v>-18.925279999999901</v>
      </c>
      <c r="AF4989">
        <v>-2.8521812296395002</v>
      </c>
      <c r="AG4989">
        <v>-1.1098293636829</v>
      </c>
      <c r="AH4989">
        <v>18.856695725773399</v>
      </c>
      <c r="AI4989">
        <v>93.330517655946693</v>
      </c>
      <c r="AJ4989">
        <v>98.6011113525973</v>
      </c>
      <c r="AK4989">
        <v>19.103445570828399</v>
      </c>
      <c r="AL4989">
        <v>91.091023992464997</v>
      </c>
      <c r="AM4989">
        <v>87.848072097120195</v>
      </c>
      <c r="AN4989">
        <v>0.99999999210716195</v>
      </c>
    </row>
    <row r="4990" spans="1:40" x14ac:dyDescent="0.25">
      <c r="A4990" t="str">
        <f>"20190312161416275"</f>
        <v>20190312161416275</v>
      </c>
      <c r="B4990" t="str">
        <f>"1552378456261603"</f>
        <v>1552378456261603</v>
      </c>
      <c r="C4990" t="s">
        <v>40</v>
      </c>
      <c r="D4990">
        <v>5.4952949999999996</v>
      </c>
      <c r="E4990">
        <v>0.45318530000000001</v>
      </c>
      <c r="F4990" t="s">
        <v>42</v>
      </c>
      <c r="G4990">
        <v>-420.04790000000003</v>
      </c>
      <c r="H4990" s="1">
        <v>-1.3339470000000001E-7</v>
      </c>
      <c r="I4990">
        <v>59.870370000000001</v>
      </c>
      <c r="J4990">
        <v>-421.9556</v>
      </c>
      <c r="K4990">
        <v>1.10982</v>
      </c>
      <c r="L4990">
        <v>78.759769999999904</v>
      </c>
      <c r="M4990">
        <v>-1.697421E-3</v>
      </c>
      <c r="N4990">
        <v>0</v>
      </c>
      <c r="O4990">
        <v>-0.99995160000000005</v>
      </c>
      <c r="P4990">
        <v>-3.8872009999999999E-2</v>
      </c>
      <c r="Q4990">
        <v>-2.8723149999999999E-2</v>
      </c>
      <c r="R4990">
        <v>-0.99883129999999998</v>
      </c>
      <c r="S4990">
        <v>0.30081180000000002</v>
      </c>
      <c r="T4990">
        <v>-0.175015</v>
      </c>
      <c r="U4990">
        <v>-3.0103759999999999</v>
      </c>
      <c r="V4990">
        <v>3.7178540000000003E-2</v>
      </c>
      <c r="W4990">
        <v>-1.9034929999999999E-2</v>
      </c>
      <c r="X4990">
        <v>0.99912730000000005</v>
      </c>
      <c r="Y4990">
        <v>-0.1009528</v>
      </c>
      <c r="Z4990">
        <v>5.7747550000000002E-2</v>
      </c>
      <c r="AA4990">
        <v>0.99321380000000004</v>
      </c>
      <c r="AB4990">
        <v>20</v>
      </c>
      <c r="AC4990">
        <v>1.90769999999997</v>
      </c>
      <c r="AD4990">
        <v>-1.1098201333947</v>
      </c>
      <c r="AE4990">
        <v>-18.889399999999899</v>
      </c>
      <c r="AF4990">
        <v>-1.9331561728895901</v>
      </c>
      <c r="AG4990">
        <v>-1.1098201333947</v>
      </c>
      <c r="AH4990">
        <v>18.8218178391263</v>
      </c>
      <c r="AI4990">
        <v>93.356894203524305</v>
      </c>
      <c r="AJ4990">
        <v>95.864187134734493</v>
      </c>
      <c r="AK4990">
        <v>18.9533538004893</v>
      </c>
      <c r="AL4990">
        <v>91.090687059595595</v>
      </c>
      <c r="AM4990">
        <v>87.868949173803699</v>
      </c>
      <c r="AN4990">
        <v>0.99999996700096205</v>
      </c>
    </row>
    <row r="4991" spans="1:40" x14ac:dyDescent="0.25">
      <c r="A4991" t="str">
        <f>"20190312161416297"</f>
        <v>20190312161416297</v>
      </c>
      <c r="B4991" t="str">
        <f>"1552378456291859"</f>
        <v>1552378456291859</v>
      </c>
      <c r="C4991" t="s">
        <v>40</v>
      </c>
      <c r="D4991">
        <v>5.4915269999999996</v>
      </c>
      <c r="E4991">
        <v>0.45740130000000001</v>
      </c>
      <c r="F4991" t="s">
        <v>42</v>
      </c>
      <c r="G4991">
        <v>-420.29059999999998</v>
      </c>
      <c r="H4991" s="1">
        <v>-4.2766109999999999E-6</v>
      </c>
      <c r="I4991">
        <v>59.402340000000002</v>
      </c>
      <c r="J4991">
        <v>-421.95580000000001</v>
      </c>
      <c r="K4991">
        <v>1.1098140000000001</v>
      </c>
      <c r="L4991">
        <v>78.56335</v>
      </c>
      <c r="M4991">
        <v>-1.586446E-3</v>
      </c>
      <c r="N4991">
        <v>0</v>
      </c>
      <c r="O4991">
        <v>-0.99995259999999997</v>
      </c>
      <c r="P4991">
        <v>-3.8859890000000001E-2</v>
      </c>
      <c r="Q4991">
        <v>-2.892395E-2</v>
      </c>
      <c r="R4991">
        <v>-0.9988264</v>
      </c>
      <c r="S4991">
        <v>0.25878909999999999</v>
      </c>
      <c r="T4991">
        <v>-0.17249310000000001</v>
      </c>
      <c r="U4991">
        <v>-3.0086059999999999</v>
      </c>
      <c r="V4991">
        <v>3.7277320000000003E-2</v>
      </c>
      <c r="W4991">
        <v>-1.9287550000000001E-2</v>
      </c>
      <c r="X4991">
        <v>0.99911879999999997</v>
      </c>
      <c r="Y4991">
        <v>-8.7140930000000005E-2</v>
      </c>
      <c r="Z4991">
        <v>5.7025310000000003E-2</v>
      </c>
      <c r="AA4991">
        <v>0.99456250000000002</v>
      </c>
      <c r="AB4991">
        <v>20</v>
      </c>
      <c r="AC4991">
        <v>1.66520000000002</v>
      </c>
      <c r="AD4991">
        <v>-1.1098182766110001</v>
      </c>
      <c r="AE4991">
        <v>-19.161010000000001</v>
      </c>
      <c r="AF4991">
        <v>-1.6899701970780701</v>
      </c>
      <c r="AG4991">
        <v>-1.1098182766110001</v>
      </c>
      <c r="AH4991">
        <v>19.094765035422199</v>
      </c>
      <c r="AI4991">
        <v>93.313457198812301</v>
      </c>
      <c r="AJ4991">
        <v>95.057748661122702</v>
      </c>
      <c r="AK4991">
        <v>19.201503785695898</v>
      </c>
      <c r="AL4991">
        <v>91.105163749752705</v>
      </c>
      <c r="AM4991">
        <v>87.863274245531301</v>
      </c>
      <c r="AN4991">
        <v>0.99999999234241199</v>
      </c>
    </row>
    <row r="4992" spans="1:40" x14ac:dyDescent="0.25">
      <c r="A4992" t="str">
        <f>"20190312161416319"</f>
        <v>20190312161416319</v>
      </c>
      <c r="B4992" t="str">
        <f>"1552378456311379"</f>
        <v>1552378456311379</v>
      </c>
      <c r="C4992" t="s">
        <v>40</v>
      </c>
      <c r="D4992">
        <v>5.4814480000000003</v>
      </c>
      <c r="E4992">
        <v>0.45821659999999997</v>
      </c>
      <c r="F4992" t="s">
        <v>42</v>
      </c>
      <c r="G4992">
        <v>-420.57810000000001</v>
      </c>
      <c r="H4992" s="1">
        <v>-3.9915309999999999E-7</v>
      </c>
      <c r="I4992">
        <v>60.160989999999998</v>
      </c>
      <c r="J4992">
        <v>-421.95600000000002</v>
      </c>
      <c r="K4992">
        <v>1.1098059999999901</v>
      </c>
      <c r="L4992">
        <v>78.372039999999998</v>
      </c>
      <c r="M4992">
        <v>-1.4782790000000001E-3</v>
      </c>
      <c r="N4992">
        <v>0</v>
      </c>
      <c r="O4992">
        <v>-0.99995299999999998</v>
      </c>
      <c r="P4992">
        <v>-3.8814250000000002E-2</v>
      </c>
      <c r="Q4992">
        <v>-2.8586940000000002E-2</v>
      </c>
      <c r="R4992">
        <v>-0.99883759999999999</v>
      </c>
      <c r="S4992">
        <v>0.2251282</v>
      </c>
      <c r="T4992">
        <v>-0.18134800000000001</v>
      </c>
      <c r="U4992">
        <v>-3.0070190000000001</v>
      </c>
      <c r="V4992">
        <v>3.7339690000000002E-2</v>
      </c>
      <c r="W4992">
        <v>-1.900224E-2</v>
      </c>
      <c r="X4992">
        <v>0.99912199999999995</v>
      </c>
      <c r="Y4992">
        <v>-7.5998129999999997E-2</v>
      </c>
      <c r="Z4992">
        <v>6.0028020000000001E-2</v>
      </c>
      <c r="AA4992">
        <v>0.99529939999999995</v>
      </c>
      <c r="AB4992">
        <v>20</v>
      </c>
      <c r="AC4992">
        <v>1.3778999999999499</v>
      </c>
      <c r="AD4992">
        <v>-1.10980639915309</v>
      </c>
      <c r="AE4992">
        <v>-18.21105</v>
      </c>
      <c r="AF4992">
        <v>-1.3996522322004701</v>
      </c>
      <c r="AG4992">
        <v>-1.10980639915309</v>
      </c>
      <c r="AH4992">
        <v>18.141999928009099</v>
      </c>
      <c r="AI4992">
        <v>93.490264839811701</v>
      </c>
      <c r="AJ4992">
        <v>94.411620770366696</v>
      </c>
      <c r="AK4992">
        <v>18.2297245728669</v>
      </c>
      <c r="AL4992">
        <v>91.088813626684697</v>
      </c>
      <c r="AM4992">
        <v>87.859709384903894</v>
      </c>
      <c r="AN4992">
        <v>1.0000000542291501</v>
      </c>
    </row>
    <row r="4993" spans="1:40" x14ac:dyDescent="0.25">
      <c r="A4993" t="str">
        <f>"20190312161416340"</f>
        <v>20190312161416340</v>
      </c>
      <c r="B4993" t="str">
        <f>"1552378456331875"</f>
        <v>1552378456331875</v>
      </c>
      <c r="C4993" t="s">
        <v>40</v>
      </c>
      <c r="D4993">
        <v>5.484985</v>
      </c>
      <c r="E4993">
        <v>0.4592348</v>
      </c>
      <c r="F4993" t="s">
        <v>42</v>
      </c>
      <c r="G4993">
        <v>-420.6198</v>
      </c>
      <c r="H4993" s="1">
        <v>-3.4851170000000001E-7</v>
      </c>
      <c r="I4993">
        <v>60.017110000000002</v>
      </c>
      <c r="J4993">
        <v>-421.95620000000002</v>
      </c>
      <c r="K4993">
        <v>1.1097950000000001</v>
      </c>
      <c r="L4993">
        <v>78.177980000000005</v>
      </c>
      <c r="M4993">
        <v>-1.368714E-3</v>
      </c>
      <c r="N4993">
        <v>0</v>
      </c>
      <c r="O4993">
        <v>-0.99995400000000001</v>
      </c>
      <c r="P4993">
        <v>-3.8666079999999999E-2</v>
      </c>
      <c r="Q4993">
        <v>-2.8545279999999999E-2</v>
      </c>
      <c r="R4993">
        <v>-0.99884470000000003</v>
      </c>
      <c r="S4993">
        <v>0.2189026</v>
      </c>
      <c r="T4993">
        <v>-0.18180250000000001</v>
      </c>
      <c r="U4993">
        <v>-3.0068049999999999</v>
      </c>
      <c r="V4993">
        <v>3.7300979999999997E-2</v>
      </c>
      <c r="W4993">
        <v>-1.9013410000000001E-2</v>
      </c>
      <c r="X4993">
        <v>0.99912319999999999</v>
      </c>
      <c r="Y4993">
        <v>-7.3843649999999997E-2</v>
      </c>
      <c r="Z4993">
        <v>6.0191620000000001E-2</v>
      </c>
      <c r="AA4993">
        <v>0.99545170000000005</v>
      </c>
      <c r="AB4993">
        <v>20</v>
      </c>
      <c r="AC4993">
        <v>1.33640000000002</v>
      </c>
      <c r="AD4993">
        <v>-1.10979534851169</v>
      </c>
      <c r="AE4993">
        <v>-18.160869999999999</v>
      </c>
      <c r="AF4993">
        <v>-1.35621961297492</v>
      </c>
      <c r="AG4993">
        <v>-1.10979534851169</v>
      </c>
      <c r="AH4993">
        <v>18.091826806352799</v>
      </c>
      <c r="AI4993">
        <v>93.500462760607903</v>
      </c>
      <c r="AJ4993">
        <v>94.287051535919403</v>
      </c>
      <c r="AK4993">
        <v>18.176500613299101</v>
      </c>
      <c r="AL4993">
        <v>91.089453772550897</v>
      </c>
      <c r="AM4993">
        <v>87.861928726159704</v>
      </c>
      <c r="AN4993">
        <v>1.00000002082351</v>
      </c>
    </row>
    <row r="4994" spans="1:40" x14ac:dyDescent="0.25">
      <c r="A4994" t="str">
        <f>"20190312161416364"</f>
        <v>20190312161416364</v>
      </c>
      <c r="B4994" t="str">
        <f>"1552378456351395"</f>
        <v>1552378456351395</v>
      </c>
      <c r="C4994" t="s">
        <v>40</v>
      </c>
      <c r="D4994">
        <v>5.4648430000000001</v>
      </c>
      <c r="E4994">
        <v>0.45989920000000001</v>
      </c>
      <c r="F4994" t="s">
        <v>42</v>
      </c>
      <c r="G4994">
        <v>-420.68540000000002</v>
      </c>
      <c r="H4994" s="1">
        <v>-3.9107919999999999E-7</v>
      </c>
      <c r="I4994">
        <v>60.075650000000003</v>
      </c>
      <c r="J4994">
        <v>-421.9563</v>
      </c>
      <c r="K4994">
        <v>1.109777</v>
      </c>
      <c r="L4994">
        <v>77.979579999999999</v>
      </c>
      <c r="M4994">
        <v>-1.256919E-3</v>
      </c>
      <c r="N4994">
        <v>0</v>
      </c>
      <c r="O4994">
        <v>-0.99995449999999997</v>
      </c>
      <c r="P4994">
        <v>-3.8528800000000002E-2</v>
      </c>
      <c r="Q4994">
        <v>-2.8739509999999999E-2</v>
      </c>
      <c r="R4994">
        <v>-0.99884439999999997</v>
      </c>
      <c r="S4994">
        <v>0.21105960000000001</v>
      </c>
      <c r="T4994">
        <v>-0.18431139999999999</v>
      </c>
      <c r="U4994">
        <v>-3.0063780000000002</v>
      </c>
      <c r="V4994">
        <v>3.7275429999999998E-2</v>
      </c>
      <c r="W4994">
        <v>-1.925806E-2</v>
      </c>
      <c r="X4994">
        <v>0.99911950000000005</v>
      </c>
      <c r="Y4994">
        <v>-7.1154809999999999E-2</v>
      </c>
      <c r="Z4994">
        <v>6.1039429999999999E-2</v>
      </c>
      <c r="AA4994">
        <v>0.99559589999999998</v>
      </c>
      <c r="AB4994">
        <v>20</v>
      </c>
      <c r="AC4994">
        <v>1.2708999999999799</v>
      </c>
      <c r="AD4994">
        <v>-1.1097773910791999</v>
      </c>
      <c r="AE4994">
        <v>-17.9039299999999</v>
      </c>
      <c r="AF4994">
        <v>-1.2884780777227101</v>
      </c>
      <c r="AG4994">
        <v>-1.1097773910791999</v>
      </c>
      <c r="AH4994">
        <v>17.834140349938298</v>
      </c>
      <c r="AI4994">
        <v>93.551559440338494</v>
      </c>
      <c r="AJ4994">
        <v>94.132316274342401</v>
      </c>
      <c r="AK4994">
        <v>17.915031220620801</v>
      </c>
      <c r="AL4994">
        <v>91.103473716458893</v>
      </c>
      <c r="AM4994">
        <v>87.863383974966496</v>
      </c>
      <c r="AN4994">
        <v>1.0000000529184401</v>
      </c>
    </row>
    <row r="4995" spans="1:40" x14ac:dyDescent="0.25">
      <c r="A4995" t="str">
        <f>"20190312161416385"</f>
        <v>20190312161416385</v>
      </c>
      <c r="B4995" t="str">
        <f>"1552378456381651"</f>
        <v>1552378456381651</v>
      </c>
      <c r="C4995" t="s">
        <v>40</v>
      </c>
      <c r="D4995">
        <v>5.4669819999999998</v>
      </c>
      <c r="E4995">
        <v>0.46051360000000002</v>
      </c>
      <c r="F4995" t="s">
        <v>42</v>
      </c>
      <c r="G4995">
        <v>-420.73219999999998</v>
      </c>
      <c r="H4995" s="1">
        <v>-4.3999590000000003E-7</v>
      </c>
      <c r="I4995">
        <v>60.160629999999998</v>
      </c>
      <c r="J4995">
        <v>-421.95639999999997</v>
      </c>
      <c r="K4995">
        <v>1.109769</v>
      </c>
      <c r="L4995">
        <v>77.782589999999999</v>
      </c>
      <c r="M4995">
        <v>-1.145124E-3</v>
      </c>
      <c r="N4995">
        <v>0</v>
      </c>
      <c r="O4995">
        <v>-0.99995489999999998</v>
      </c>
      <c r="P4995">
        <v>-3.8497429999999999E-2</v>
      </c>
      <c r="Q4995">
        <v>-2.9160309999999998E-2</v>
      </c>
      <c r="R4995">
        <v>-0.99883350000000004</v>
      </c>
      <c r="S4995">
        <v>0.20651249999999999</v>
      </c>
      <c r="T4995">
        <v>-0.18721850000000001</v>
      </c>
      <c r="U4995">
        <v>-3.0060419999999999</v>
      </c>
      <c r="V4995">
        <v>3.7355810000000003E-2</v>
      </c>
      <c r="W4995">
        <v>-1.9727049999999999E-2</v>
      </c>
      <c r="X4995">
        <v>0.99910730000000003</v>
      </c>
      <c r="Y4995">
        <v>-6.9548100000000002E-2</v>
      </c>
      <c r="Z4995">
        <v>6.201218E-2</v>
      </c>
      <c r="AA4995">
        <v>0.99564929999999996</v>
      </c>
      <c r="AB4995">
        <v>20</v>
      </c>
      <c r="AC4995">
        <v>1.22419999999999</v>
      </c>
      <c r="AD4995">
        <v>-1.1097694399958999</v>
      </c>
      <c r="AE4995">
        <v>-17.621959999999898</v>
      </c>
      <c r="AF4995">
        <v>-1.2394871781148999</v>
      </c>
      <c r="AG4995">
        <v>-1.1097694399958999</v>
      </c>
      <c r="AH4995">
        <v>17.551271800987301</v>
      </c>
      <c r="AI4995">
        <v>93.609039182417206</v>
      </c>
      <c r="AJ4995">
        <v>94.039574730379798</v>
      </c>
      <c r="AK4995">
        <v>17.629947773796498</v>
      </c>
      <c r="AL4995">
        <v>91.130350023545205</v>
      </c>
      <c r="AM4995">
        <v>87.858754780552701</v>
      </c>
      <c r="AN4995">
        <v>1.0000000049778699</v>
      </c>
    </row>
    <row r="4996" spans="1:40" x14ac:dyDescent="0.25">
      <c r="A4996" t="str">
        <f>"20190312161416408"</f>
        <v>20190312161416408</v>
      </c>
      <c r="B4996" t="str">
        <f>"1552378456401172"</f>
        <v>1552378456401172</v>
      </c>
      <c r="C4996" t="s">
        <v>40</v>
      </c>
      <c r="D4996">
        <v>5.4709839999999996</v>
      </c>
      <c r="E4996">
        <v>0.46113320000000002</v>
      </c>
      <c r="F4996" t="s">
        <v>42</v>
      </c>
      <c r="G4996">
        <v>-420.7955</v>
      </c>
      <c r="H4996" s="1">
        <v>-5.883804E-7</v>
      </c>
      <c r="I4996">
        <v>60.467210000000001</v>
      </c>
      <c r="J4996">
        <v>-421.95650000000001</v>
      </c>
      <c r="K4996">
        <v>1.1097600000000001</v>
      </c>
      <c r="L4996">
        <v>77.578639999999993</v>
      </c>
      <c r="M4996">
        <v>-1.0295739999999999E-3</v>
      </c>
      <c r="N4996">
        <v>0</v>
      </c>
      <c r="O4996">
        <v>-0.9999557</v>
      </c>
      <c r="P4996">
        <v>-3.8019560000000001E-2</v>
      </c>
      <c r="Q4996">
        <v>-2.912027E-2</v>
      </c>
      <c r="R4996">
        <v>-0.99885299999999999</v>
      </c>
      <c r="S4996">
        <v>0.20150760000000001</v>
      </c>
      <c r="T4996">
        <v>-0.19263649999999999</v>
      </c>
      <c r="U4996">
        <v>-3.005646</v>
      </c>
      <c r="V4996">
        <v>3.6993360000000003E-2</v>
      </c>
      <c r="W4996">
        <v>-1.9737020000000001E-2</v>
      </c>
      <c r="X4996">
        <v>0.99912060000000003</v>
      </c>
      <c r="Y4996">
        <v>-6.7783800000000005E-2</v>
      </c>
      <c r="Z4996">
        <v>6.3815380000000005E-2</v>
      </c>
      <c r="AA4996">
        <v>0.99565700000000001</v>
      </c>
      <c r="AB4996">
        <v>20</v>
      </c>
      <c r="AC4996">
        <v>1.161</v>
      </c>
      <c r="AD4996">
        <v>-1.1097605883804</v>
      </c>
      <c r="AE4996">
        <v>-17.111429999999999</v>
      </c>
      <c r="AF4996">
        <v>-1.1737034748975099</v>
      </c>
      <c r="AG4996">
        <v>-1.1097605883804</v>
      </c>
      <c r="AH4996">
        <v>17.038885646647898</v>
      </c>
      <c r="AI4996">
        <v>93.717686241743294</v>
      </c>
      <c r="AJ4996">
        <v>93.940527263212999</v>
      </c>
      <c r="AK4996">
        <v>17.1152789194349</v>
      </c>
      <c r="AL4996">
        <v>91.130921361244006</v>
      </c>
      <c r="AM4996">
        <v>87.879539656336206</v>
      </c>
      <c r="AN4996">
        <v>1.0000000159934599</v>
      </c>
    </row>
    <row r="4997" spans="1:40" x14ac:dyDescent="0.25">
      <c r="A4997" t="str">
        <f>"20190312161416431"</f>
        <v>20190312161416431</v>
      </c>
      <c r="B4997" t="str">
        <f>"1552378456421667"</f>
        <v>1552378456421667</v>
      </c>
      <c r="C4997" t="s">
        <v>40</v>
      </c>
      <c r="D4997">
        <v>5.4366560000000002</v>
      </c>
      <c r="E4997">
        <v>0.46132529999999999</v>
      </c>
      <c r="F4997" t="s">
        <v>42</v>
      </c>
      <c r="G4997">
        <v>-420.84609999999998</v>
      </c>
      <c r="H4997" s="1">
        <v>-7.2752049999999995E-7</v>
      </c>
      <c r="I4997">
        <v>60.760219999999997</v>
      </c>
      <c r="J4997">
        <v>-421.95670000000001</v>
      </c>
      <c r="K4997">
        <v>1.10975</v>
      </c>
      <c r="L4997">
        <v>77.382419999999996</v>
      </c>
      <c r="M4997">
        <v>-9.1853669999999998E-4</v>
      </c>
      <c r="N4997">
        <v>0</v>
      </c>
      <c r="O4997">
        <v>-0.99995610000000001</v>
      </c>
      <c r="P4997">
        <v>-3.7925830000000001E-2</v>
      </c>
      <c r="Q4997">
        <v>-2.9242500000000001E-2</v>
      </c>
      <c r="R4997">
        <v>-0.99885299999999999</v>
      </c>
      <c r="S4997">
        <v>0.1984253</v>
      </c>
      <c r="T4997">
        <v>-0.19829869999999999</v>
      </c>
      <c r="U4997">
        <v>-3.0052189999999999</v>
      </c>
      <c r="V4997">
        <v>3.701057E-2</v>
      </c>
      <c r="W4997">
        <v>-1.9904729999999999E-2</v>
      </c>
      <c r="X4997">
        <v>0.99911660000000002</v>
      </c>
      <c r="Y4997">
        <v>-6.6657670000000002E-2</v>
      </c>
      <c r="Z4997">
        <v>6.5697110000000003E-2</v>
      </c>
      <c r="AA4997">
        <v>0.99561069999999996</v>
      </c>
      <c r="AB4997">
        <v>20</v>
      </c>
      <c r="AC4997">
        <v>1.11060000000003</v>
      </c>
      <c r="AD4997">
        <v>-1.1097507275205001</v>
      </c>
      <c r="AE4997">
        <v>-16.622199999999999</v>
      </c>
      <c r="AF4997">
        <v>-1.1208943153212001</v>
      </c>
      <c r="AG4997">
        <v>-1.1097507275205001</v>
      </c>
      <c r="AH4997">
        <v>16.547742030740899</v>
      </c>
      <c r="AI4997">
        <v>93.827969029390601</v>
      </c>
      <c r="AJ4997">
        <v>93.875124406218106</v>
      </c>
      <c r="AK4997">
        <v>16.622746976938</v>
      </c>
      <c r="AL4997">
        <v>91.140532364892195</v>
      </c>
      <c r="AM4997">
        <v>87.878545594313906</v>
      </c>
      <c r="AN4997">
        <v>0.99999998048182803</v>
      </c>
    </row>
    <row r="4998" spans="1:40" x14ac:dyDescent="0.25">
      <c r="A4998" t="str">
        <f>"20190312161416452"</f>
        <v>20190312161416452</v>
      </c>
      <c r="B4998" t="str">
        <f>"1552378456441187"</f>
        <v>1552378456441187</v>
      </c>
      <c r="C4998" t="s">
        <v>40</v>
      </c>
      <c r="D4998">
        <v>5.3807999999999998</v>
      </c>
      <c r="E4998">
        <v>0.46142640000000001</v>
      </c>
      <c r="F4998" t="s">
        <v>42</v>
      </c>
      <c r="G4998">
        <v>-420.86939999999998</v>
      </c>
      <c r="H4998" s="1">
        <v>-7.5446579999999996E-7</v>
      </c>
      <c r="I4998">
        <v>60.808590000000002</v>
      </c>
      <c r="J4998">
        <v>-421.95670000000001</v>
      </c>
      <c r="K4998">
        <v>1.10975</v>
      </c>
      <c r="L4998">
        <v>77.188509999999994</v>
      </c>
      <c r="M4998">
        <v>-8.0900589999999999E-4</v>
      </c>
      <c r="N4998">
        <v>0</v>
      </c>
      <c r="O4998">
        <v>-0.99995679999999998</v>
      </c>
      <c r="P4998">
        <v>-3.7510700000000001E-2</v>
      </c>
      <c r="Q4998">
        <v>-2.9260319999999999E-2</v>
      </c>
      <c r="R4998">
        <v>-0.99886850000000005</v>
      </c>
      <c r="S4998">
        <v>0.1971436</v>
      </c>
      <c r="T4998">
        <v>-0.20121120000000001</v>
      </c>
      <c r="U4998">
        <v>-3.0050349999999999</v>
      </c>
      <c r="V4998">
        <v>3.6704870000000001E-2</v>
      </c>
      <c r="W4998">
        <v>-1.9962210000000001E-2</v>
      </c>
      <c r="X4998">
        <v>0.99912670000000003</v>
      </c>
      <c r="Y4998">
        <v>-6.6125359999999994E-2</v>
      </c>
      <c r="Z4998">
        <v>6.666395E-2</v>
      </c>
      <c r="AA4998">
        <v>0.99558190000000002</v>
      </c>
      <c r="AB4998">
        <v>20</v>
      </c>
      <c r="AC4998">
        <v>1.0873000000000199</v>
      </c>
      <c r="AD4998">
        <v>-1.1097507544658001</v>
      </c>
      <c r="AE4998">
        <v>-16.379919999999899</v>
      </c>
      <c r="AF4998">
        <v>-1.0955450038238399</v>
      </c>
      <c r="AG4998">
        <v>-1.1097507544658001</v>
      </c>
      <c r="AH4998">
        <v>16.3045230055967</v>
      </c>
      <c r="AI4998">
        <v>93.885039982494405</v>
      </c>
      <c r="AJ4998">
        <v>93.844080196160107</v>
      </c>
      <c r="AK4998">
        <v>16.378926583646201</v>
      </c>
      <c r="AL4998">
        <v>91.143826415747796</v>
      </c>
      <c r="AM4998">
        <v>87.896073824857396</v>
      </c>
      <c r="AN4998">
        <v>0.99999994998134401</v>
      </c>
    </row>
    <row r="4999" spans="1:40" x14ac:dyDescent="0.25">
      <c r="A4999" t="str">
        <f>"20190312161416476"</f>
        <v>20190312161416476</v>
      </c>
      <c r="B4999" t="str">
        <f>"1552378456471299"</f>
        <v>1552378456471299</v>
      </c>
      <c r="C4999" t="s">
        <v>40</v>
      </c>
      <c r="D4999">
        <v>5.3375360000000001</v>
      </c>
      <c r="E4999">
        <v>0.46172429999999898</v>
      </c>
      <c r="F4999" t="s">
        <v>42</v>
      </c>
      <c r="G4999">
        <v>-420.8802</v>
      </c>
      <c r="H4999" s="1">
        <v>-7.5989349999999995E-7</v>
      </c>
      <c r="I4999">
        <v>60.814489999999999</v>
      </c>
      <c r="J4999">
        <v>-421.95670000000001</v>
      </c>
      <c r="K4999">
        <v>1.109747</v>
      </c>
      <c r="L4999">
        <v>76.980680000000007</v>
      </c>
      <c r="M4999">
        <v>-6.9189659999999999E-4</v>
      </c>
      <c r="N4999">
        <v>0</v>
      </c>
      <c r="O4999">
        <v>-0.99995710000000004</v>
      </c>
      <c r="P4999">
        <v>-3.7408499999999997E-2</v>
      </c>
      <c r="Q4999">
        <v>-2.937878E-2</v>
      </c>
      <c r="R4999">
        <v>-0.9988686</v>
      </c>
      <c r="S4999">
        <v>0.1975403</v>
      </c>
      <c r="T4999">
        <v>-0.20365430000000001</v>
      </c>
      <c r="U4999">
        <v>-3.0048520000000001</v>
      </c>
      <c r="V4999">
        <v>3.6719700000000001E-2</v>
      </c>
      <c r="W4999">
        <v>-2.0117889999999999E-2</v>
      </c>
      <c r="X4999">
        <v>0.99912310000000004</v>
      </c>
      <c r="Y4999">
        <v>-6.6139760000000006E-2</v>
      </c>
      <c r="Z4999">
        <v>6.7473459999999999E-2</v>
      </c>
      <c r="AA4999">
        <v>0.99552640000000003</v>
      </c>
      <c r="AB4999">
        <v>20</v>
      </c>
      <c r="AC4999">
        <v>1.07650000000001</v>
      </c>
      <c r="AD4999">
        <v>-1.1097477598934999</v>
      </c>
      <c r="AE4999">
        <v>-16.16619</v>
      </c>
      <c r="AF4999">
        <v>-1.0826065030371601</v>
      </c>
      <c r="AG4999">
        <v>-1.1097477598934999</v>
      </c>
      <c r="AH4999">
        <v>16.089955247358201</v>
      </c>
      <c r="AI4999">
        <v>93.936652405690793</v>
      </c>
      <c r="AJ4999">
        <v>93.849322761293706</v>
      </c>
      <c r="AK4999">
        <v>16.164474528823899</v>
      </c>
      <c r="AL4999">
        <v>91.152747937072206</v>
      </c>
      <c r="AM4999">
        <v>87.895216955409097</v>
      </c>
      <c r="AN4999">
        <v>1.00000001740987</v>
      </c>
    </row>
    <row r="5000" spans="1:40" x14ac:dyDescent="0.25">
      <c r="A5000" t="str">
        <f>"20190312161416498"</f>
        <v>20190312161416498</v>
      </c>
      <c r="B5000" t="str">
        <f>"1552378456491795"</f>
        <v>1552378456491795</v>
      </c>
      <c r="C5000" t="s">
        <v>40</v>
      </c>
      <c r="D5000">
        <v>5.3512329999999997</v>
      </c>
      <c r="E5000">
        <v>0.46192889999999998</v>
      </c>
      <c r="F5000" t="s">
        <v>42</v>
      </c>
      <c r="G5000">
        <v>-420.91210000000001</v>
      </c>
      <c r="H5000" s="1">
        <v>-8.1436419999999898E-7</v>
      </c>
      <c r="I5000">
        <v>60.921689999999998</v>
      </c>
      <c r="J5000">
        <v>-421.95670000000001</v>
      </c>
      <c r="K5000">
        <v>1.1097349999999999</v>
      </c>
      <c r="L5000">
        <v>76.778409999999994</v>
      </c>
      <c r="M5000">
        <v>-5.7769370000000002E-4</v>
      </c>
      <c r="N5000">
        <v>0</v>
      </c>
      <c r="O5000">
        <v>-0.99995730000000005</v>
      </c>
      <c r="P5000">
        <v>-3.7170330000000001E-2</v>
      </c>
      <c r="Q5000">
        <v>-2.9698209999999999E-2</v>
      </c>
      <c r="R5000">
        <v>-0.99886779999999997</v>
      </c>
      <c r="S5000">
        <v>0.19543460000000001</v>
      </c>
      <c r="T5000">
        <v>-0.20763180000000001</v>
      </c>
      <c r="U5000">
        <v>-3.0046080000000002</v>
      </c>
      <c r="V5000">
        <v>3.6595679999999998E-2</v>
      </c>
      <c r="W5000">
        <v>-2.04697E-2</v>
      </c>
      <c r="X5000">
        <v>0.99912049999999997</v>
      </c>
      <c r="Y5000">
        <v>-6.5330490000000005E-2</v>
      </c>
      <c r="Z5000">
        <v>6.8794030000000006E-2</v>
      </c>
      <c r="AA5000">
        <v>0.99548950000000003</v>
      </c>
      <c r="AB5000">
        <v>20</v>
      </c>
      <c r="AC5000">
        <v>1.0446</v>
      </c>
      <c r="AD5000">
        <v>-1.1097358143642</v>
      </c>
      <c r="AE5000">
        <v>-15.8567199999999</v>
      </c>
      <c r="AF5000">
        <v>-1.04864654014167</v>
      </c>
      <c r="AG5000">
        <v>-1.1097358143642</v>
      </c>
      <c r="AH5000">
        <v>15.779162606334801</v>
      </c>
      <c r="AI5000">
        <v>94.014116448676404</v>
      </c>
      <c r="AJ5000">
        <v>93.802153601220198</v>
      </c>
      <c r="AK5000">
        <v>15.8528592279433</v>
      </c>
      <c r="AL5000">
        <v>91.172909322267998</v>
      </c>
      <c r="AM5000">
        <v>87.902313999646196</v>
      </c>
      <c r="AN5000">
        <v>1.0000000129665001</v>
      </c>
    </row>
    <row r="5001" spans="1:40" x14ac:dyDescent="0.25">
      <c r="A5001" t="str">
        <f>"20190312161416520"</f>
        <v>20190312161416520</v>
      </c>
      <c r="B5001" t="str">
        <f>"1552378456511316"</f>
        <v>1552378456511316</v>
      </c>
      <c r="C5001" t="s">
        <v>40</v>
      </c>
      <c r="D5001">
        <v>5.2582740000000001</v>
      </c>
      <c r="E5001">
        <v>0.46171210000000001</v>
      </c>
      <c r="F5001" t="s">
        <v>42</v>
      </c>
      <c r="G5001">
        <v>-420.93020000000001</v>
      </c>
      <c r="H5001" s="1">
        <v>-8.2334069999999996E-7</v>
      </c>
      <c r="I5001">
        <v>60.93139</v>
      </c>
      <c r="J5001">
        <v>-421.95670000000001</v>
      </c>
      <c r="K5001">
        <v>1.1097360000000001</v>
      </c>
      <c r="L5001">
        <v>76.581879999999998</v>
      </c>
      <c r="M5001">
        <v>-4.672678E-4</v>
      </c>
      <c r="N5001">
        <v>0</v>
      </c>
      <c r="O5001">
        <v>-0.9999576</v>
      </c>
      <c r="P5001">
        <v>-3.7173959999999999E-2</v>
      </c>
      <c r="Q5001">
        <v>-2.9619079999999999E-2</v>
      </c>
      <c r="R5001">
        <v>-0.99887000000000004</v>
      </c>
      <c r="S5001">
        <v>0.19461059999999999</v>
      </c>
      <c r="T5001">
        <v>-0.21038960000000001</v>
      </c>
      <c r="U5001">
        <v>-3.0043639999999998</v>
      </c>
      <c r="V5001">
        <v>3.6709619999999998E-2</v>
      </c>
      <c r="W5001">
        <v>-2.041867E-2</v>
      </c>
      <c r="X5001">
        <v>0.99911740000000004</v>
      </c>
      <c r="Y5001">
        <v>-6.4949549999999995E-2</v>
      </c>
      <c r="Z5001">
        <v>6.9710469999999997E-2</v>
      </c>
      <c r="AA5001">
        <v>0.99545070000000002</v>
      </c>
      <c r="AB5001">
        <v>20</v>
      </c>
      <c r="AC5001">
        <v>1.02649999999999</v>
      </c>
      <c r="AD5001">
        <v>-1.1097368233406999</v>
      </c>
      <c r="AE5001">
        <v>-15.6504899999999</v>
      </c>
      <c r="AF5001">
        <v>-1.02866333497677</v>
      </c>
      <c r="AG5001">
        <v>-1.1097368233406999</v>
      </c>
      <c r="AH5001">
        <v>15.572049737978899</v>
      </c>
      <c r="AI5001">
        <v>94.067437855996701</v>
      </c>
      <c r="AJ5001">
        <v>93.779371567832598</v>
      </c>
      <c r="AK5001">
        <v>15.645395396598101</v>
      </c>
      <c r="AL5001">
        <v>91.169984865725993</v>
      </c>
      <c r="AM5001">
        <v>87.895782230474893</v>
      </c>
      <c r="AN5001">
        <v>1.00000004863393</v>
      </c>
    </row>
    <row r="5002" spans="1:40" x14ac:dyDescent="0.25">
      <c r="A5002" t="str">
        <f>"20190312161416541"</f>
        <v>20190312161416541</v>
      </c>
      <c r="B5002" t="str">
        <f>"1552378456531811"</f>
        <v>1552378456531811</v>
      </c>
      <c r="C5002" t="s">
        <v>40</v>
      </c>
      <c r="D5002">
        <v>5.2344819999999999</v>
      </c>
      <c r="E5002">
        <v>0.46128459999999899</v>
      </c>
      <c r="F5002" t="s">
        <v>42</v>
      </c>
      <c r="G5002">
        <v>-420.91860000000003</v>
      </c>
      <c r="H5002" s="1">
        <v>-7.0694109999999997E-7</v>
      </c>
      <c r="I5002">
        <v>60.667259999999999</v>
      </c>
      <c r="J5002">
        <v>-421.95670000000001</v>
      </c>
      <c r="K5002">
        <v>1.109731</v>
      </c>
      <c r="L5002">
        <v>76.387389999999996</v>
      </c>
      <c r="M5002">
        <v>-3.573537E-4</v>
      </c>
      <c r="N5002">
        <v>0</v>
      </c>
      <c r="O5002">
        <v>-0.99995780000000001</v>
      </c>
      <c r="P5002">
        <v>-3.7107580000000001E-2</v>
      </c>
      <c r="Q5002">
        <v>-2.9449280000000001E-2</v>
      </c>
      <c r="R5002">
        <v>-0.99887740000000003</v>
      </c>
      <c r="S5002">
        <v>0.19598389999999999</v>
      </c>
      <c r="T5002">
        <v>-0.20950469999999999</v>
      </c>
      <c r="U5002">
        <v>-3.004486</v>
      </c>
      <c r="V5002">
        <v>3.6753040000000001E-2</v>
      </c>
      <c r="W5002">
        <v>-2.0273349999999999E-2</v>
      </c>
      <c r="X5002">
        <v>0.99911870000000003</v>
      </c>
      <c r="Y5002">
        <v>-6.5291680000000005E-2</v>
      </c>
      <c r="Z5002">
        <v>6.9414089999999998E-2</v>
      </c>
      <c r="AA5002">
        <v>0.99544900000000003</v>
      </c>
      <c r="AB5002">
        <v>20</v>
      </c>
      <c r="AC5002">
        <v>1.03809999999998</v>
      </c>
      <c r="AD5002">
        <v>-1.1097317069410999</v>
      </c>
      <c r="AE5002">
        <v>-15.7201299999999</v>
      </c>
      <c r="AF5002">
        <v>-1.0385647292862199</v>
      </c>
      <c r="AG5002">
        <v>-1.1097317069410999</v>
      </c>
      <c r="AH5002">
        <v>15.642145757388199</v>
      </c>
      <c r="AI5002">
        <v>94.049163230240495</v>
      </c>
      <c r="AJ5002">
        <v>93.798594346226096</v>
      </c>
      <c r="AK5002">
        <v>15.7158151253343</v>
      </c>
      <c r="AL5002">
        <v>91.161656992689103</v>
      </c>
      <c r="AM5002">
        <v>87.893298349587397</v>
      </c>
      <c r="AN5002">
        <v>0.99999998567957704</v>
      </c>
    </row>
    <row r="5003" spans="1:40" x14ac:dyDescent="0.25">
      <c r="A5003" t="str">
        <f>"20190312161416564"</f>
        <v>20190312161416564</v>
      </c>
      <c r="B5003" t="str">
        <f>"1552378456561446"</f>
        <v>1552378456561446</v>
      </c>
      <c r="C5003" t="s">
        <v>40</v>
      </c>
      <c r="D5003">
        <v>5.1915719999999999</v>
      </c>
      <c r="E5003">
        <v>0.4607195</v>
      </c>
      <c r="F5003" t="s">
        <v>42</v>
      </c>
      <c r="G5003">
        <v>-420.89659999999998</v>
      </c>
      <c r="H5003" s="1">
        <v>-6.050098E-7</v>
      </c>
      <c r="I5003">
        <v>60.443280000000001</v>
      </c>
      <c r="J5003">
        <v>-421.95659999999998</v>
      </c>
      <c r="K5003">
        <v>1.1097300000000001</v>
      </c>
      <c r="L5003">
        <v>76.181669999999997</v>
      </c>
      <c r="M5003">
        <v>-2.4142249999999999E-4</v>
      </c>
      <c r="N5003">
        <v>0</v>
      </c>
      <c r="O5003">
        <v>-0.99995829999999997</v>
      </c>
      <c r="P5003">
        <v>-3.6674909999999998E-2</v>
      </c>
      <c r="Q5003">
        <v>-2.9059129999999999E-2</v>
      </c>
      <c r="R5003">
        <v>-0.99890489999999998</v>
      </c>
      <c r="S5003">
        <v>0.1997681</v>
      </c>
      <c r="T5003">
        <v>-0.20912710000000001</v>
      </c>
      <c r="U5003">
        <v>-3.0046390000000001</v>
      </c>
      <c r="V5003">
        <v>3.6436139999999999E-2</v>
      </c>
      <c r="W5003">
        <v>-1.9909110000000001E-2</v>
      </c>
      <c r="X5003">
        <v>0.99913759999999996</v>
      </c>
      <c r="Y5003">
        <v>-6.6421579999999994E-2</v>
      </c>
      <c r="Z5003">
        <v>6.9280649999999999E-2</v>
      </c>
      <c r="AA5003">
        <v>0.99538349999999998</v>
      </c>
      <c r="AB5003">
        <v>20</v>
      </c>
      <c r="AC5003">
        <v>1.06</v>
      </c>
      <c r="AD5003">
        <v>-1.1097306050097999</v>
      </c>
      <c r="AE5003">
        <v>-15.7383899999999</v>
      </c>
      <c r="AF5003">
        <v>-1.05856053307347</v>
      </c>
      <c r="AG5003">
        <v>-1.1097306050097999</v>
      </c>
      <c r="AH5003">
        <v>15.6606235785242</v>
      </c>
      <c r="AI5003">
        <v>94.044075327058195</v>
      </c>
      <c r="AJ5003">
        <v>93.866955432356406</v>
      </c>
      <c r="AK5003">
        <v>15.735538862273</v>
      </c>
      <c r="AL5003">
        <v>91.140783399969905</v>
      </c>
      <c r="AM5003">
        <v>87.911486523623495</v>
      </c>
      <c r="AN5003">
        <v>0.99999995434642397</v>
      </c>
    </row>
    <row r="5004" spans="1:40" x14ac:dyDescent="0.25">
      <c r="A5004" t="str">
        <f>"20190312161416586"</f>
        <v>20190312161416586</v>
      </c>
      <c r="B5004" t="str">
        <f>"1552378456580966"</f>
        <v>1552378456580966</v>
      </c>
      <c r="C5004" t="s">
        <v>40</v>
      </c>
      <c r="D5004">
        <v>5.2117329999999997</v>
      </c>
      <c r="E5004">
        <v>0.46040520000000001</v>
      </c>
      <c r="F5004" t="s">
        <v>42</v>
      </c>
      <c r="G5004">
        <v>-420.84289999999999</v>
      </c>
      <c r="H5004" s="1">
        <v>-3.597767E-7</v>
      </c>
      <c r="I5004">
        <v>59.904949999999999</v>
      </c>
      <c r="J5004">
        <v>-421.95650000000001</v>
      </c>
      <c r="K5004">
        <v>1.109728</v>
      </c>
      <c r="L5004">
        <v>75.976869999999906</v>
      </c>
      <c r="M5004">
        <v>-1.258474E-4</v>
      </c>
      <c r="N5004">
        <v>0</v>
      </c>
      <c r="O5004">
        <v>-0.99995849999999997</v>
      </c>
      <c r="P5004">
        <v>-3.5846299999999998E-2</v>
      </c>
      <c r="Q5004">
        <v>-2.903524E-2</v>
      </c>
      <c r="R5004">
        <v>-0.99893560000000003</v>
      </c>
      <c r="S5004">
        <v>0.2055969</v>
      </c>
      <c r="T5004">
        <v>-0.20486779999999999</v>
      </c>
      <c r="U5004">
        <v>-3.0048520000000001</v>
      </c>
      <c r="V5004">
        <v>3.5722999999999998E-2</v>
      </c>
      <c r="W5004">
        <v>-1.991354E-2</v>
      </c>
      <c r="X5004">
        <v>0.99916329999999998</v>
      </c>
      <c r="Y5004">
        <v>-6.8230230000000003E-2</v>
      </c>
      <c r="Z5004">
        <v>6.786288E-2</v>
      </c>
      <c r="AA5004">
        <v>0.99535890000000005</v>
      </c>
      <c r="AB5004">
        <v>20</v>
      </c>
      <c r="AC5004">
        <v>1.1136000000000099</v>
      </c>
      <c r="AD5004">
        <v>-1.1097283597767</v>
      </c>
      <c r="AE5004">
        <v>-16.071919999999899</v>
      </c>
      <c r="AF5004">
        <v>-1.11035427647509</v>
      </c>
      <c r="AG5004">
        <v>-1.1097283597767</v>
      </c>
      <c r="AH5004">
        <v>15.995882474400799</v>
      </c>
      <c r="AI5004">
        <v>93.959089641285701</v>
      </c>
      <c r="AJ5004">
        <v>93.970817328623895</v>
      </c>
      <c r="AK5004">
        <v>16.072729693073999</v>
      </c>
      <c r="AL5004">
        <v>91.141037228859503</v>
      </c>
      <c r="AM5004">
        <v>87.952381069304806</v>
      </c>
      <c r="AN5004">
        <v>0.99999999093560998</v>
      </c>
    </row>
    <row r="5005" spans="1:40" x14ac:dyDescent="0.25">
      <c r="A5005" t="str">
        <f>"20190312161416610"</f>
        <v>20190312161416610</v>
      </c>
      <c r="B5005" t="str">
        <f>"1552378456601479"</f>
        <v>1552378456601479</v>
      </c>
      <c r="C5005" t="s">
        <v>40</v>
      </c>
      <c r="D5005">
        <v>5.1849119999999997</v>
      </c>
      <c r="E5005">
        <v>0.46016059999999998</v>
      </c>
      <c r="F5005" t="s">
        <v>42</v>
      </c>
      <c r="G5005">
        <v>-420.78680000000003</v>
      </c>
      <c r="H5005" s="1">
        <v>-4.3234979999999997E-6</v>
      </c>
      <c r="I5005">
        <v>59.281469999999999</v>
      </c>
      <c r="J5005">
        <v>-421.95639999999997</v>
      </c>
      <c r="K5005">
        <v>1.1097239999999999</v>
      </c>
      <c r="L5005">
        <v>75.771029999999996</v>
      </c>
      <c r="M5005" s="1">
        <v>-9.1096410000000005E-6</v>
      </c>
      <c r="N5005">
        <v>0</v>
      </c>
      <c r="O5005">
        <v>-0.99995880000000004</v>
      </c>
      <c r="P5005">
        <v>-3.4937570000000001E-2</v>
      </c>
      <c r="Q5005">
        <v>-2.922957E-2</v>
      </c>
      <c r="R5005">
        <v>-0.99896229999999997</v>
      </c>
      <c r="S5005">
        <v>0.2105408</v>
      </c>
      <c r="T5005">
        <v>-0.19973659999999999</v>
      </c>
      <c r="U5005">
        <v>-3.0049440000000001</v>
      </c>
      <c r="V5005">
        <v>3.4930910000000003E-2</v>
      </c>
      <c r="W5005">
        <v>-2.0135400000000001E-2</v>
      </c>
      <c r="X5005">
        <v>0.99918689999999999</v>
      </c>
      <c r="Y5005">
        <v>-6.9749409999999998E-2</v>
      </c>
      <c r="Z5005">
        <v>6.616147E-2</v>
      </c>
      <c r="AA5005">
        <v>0.99536809999999998</v>
      </c>
      <c r="AB5005">
        <v>20</v>
      </c>
      <c r="AC5005">
        <v>1.16959999999994</v>
      </c>
      <c r="AD5005">
        <v>-1.109728323498</v>
      </c>
      <c r="AE5005">
        <v>-16.489560000000001</v>
      </c>
      <c r="AF5005">
        <v>-1.16450243385088</v>
      </c>
      <c r="AG5005">
        <v>-1.109728323498</v>
      </c>
      <c r="AH5005">
        <v>16.415573183331901</v>
      </c>
      <c r="AI5005">
        <v>93.857769360144403</v>
      </c>
      <c r="AJ5005">
        <v>94.057701181451307</v>
      </c>
      <c r="AK5005">
        <v>16.494199156301701</v>
      </c>
      <c r="AL5005">
        <v>91.153751372614806</v>
      </c>
      <c r="AM5005">
        <v>87.997793028469005</v>
      </c>
      <c r="AN5005">
        <v>1.00000003196909</v>
      </c>
    </row>
    <row r="5006" spans="1:40" x14ac:dyDescent="0.25">
      <c r="A5006" t="str">
        <f>"20190312161416631"</f>
        <v>20190312161416631</v>
      </c>
      <c r="B5006" t="str">
        <f>"1552378456620982"</f>
        <v>1552378456620982</v>
      </c>
      <c r="C5006" t="s">
        <v>40</v>
      </c>
      <c r="D5006">
        <v>5.1836640000000003</v>
      </c>
      <c r="E5006">
        <v>0.45999669999999998</v>
      </c>
      <c r="F5006" t="s">
        <v>42</v>
      </c>
      <c r="G5006">
        <v>-420.7337</v>
      </c>
      <c r="H5006" s="1">
        <v>-4.1122939999999998E-6</v>
      </c>
      <c r="I5006">
        <v>58.719920000000002</v>
      </c>
      <c r="J5006">
        <v>-421.95620000000002</v>
      </c>
      <c r="K5006">
        <v>1.109712</v>
      </c>
      <c r="L5006">
        <v>75.572199999999995</v>
      </c>
      <c r="M5006">
        <v>1.032469E-4</v>
      </c>
      <c r="N5006">
        <v>0</v>
      </c>
      <c r="O5006">
        <v>-0.99995900000000004</v>
      </c>
      <c r="P5006">
        <v>-3.412097E-2</v>
      </c>
      <c r="Q5006">
        <v>-2.907206E-2</v>
      </c>
      <c r="R5006">
        <v>-0.99899499999999997</v>
      </c>
      <c r="S5006">
        <v>0.2154846</v>
      </c>
      <c r="T5006">
        <v>-0.19556709999999999</v>
      </c>
      <c r="U5006">
        <v>-3.0049130000000002</v>
      </c>
      <c r="V5006">
        <v>3.4226560000000003E-2</v>
      </c>
      <c r="W5006">
        <v>-2.000043E-2</v>
      </c>
      <c r="X5006">
        <v>0.99921389999999999</v>
      </c>
      <c r="Y5006">
        <v>-7.1273859999999994E-2</v>
      </c>
      <c r="Z5006">
        <v>6.4779639999999999E-2</v>
      </c>
      <c r="AA5006">
        <v>0.99535099999999999</v>
      </c>
      <c r="AB5006">
        <v>20</v>
      </c>
      <c r="AC5006">
        <v>1.2225000000000199</v>
      </c>
      <c r="AD5006">
        <v>-1.109716112294</v>
      </c>
      <c r="AE5006">
        <v>-16.85228</v>
      </c>
      <c r="AF5006">
        <v>-1.2155168779007299</v>
      </c>
      <c r="AG5006">
        <v>-1.109716112294</v>
      </c>
      <c r="AH5006">
        <v>16.780025954763101</v>
      </c>
      <c r="AI5006">
        <v>93.773781773801204</v>
      </c>
      <c r="AJ5006">
        <v>94.143173244986201</v>
      </c>
      <c r="AK5006">
        <v>16.860552249937498</v>
      </c>
      <c r="AL5006">
        <v>91.146016702073396</v>
      </c>
      <c r="AM5006">
        <v>88.038186806544999</v>
      </c>
      <c r="AN5006">
        <v>0.99999994628141198</v>
      </c>
    </row>
    <row r="5007" spans="1:40" x14ac:dyDescent="0.25">
      <c r="A5007" t="str">
        <f>"20190312161416653"</f>
        <v>20190312161416653</v>
      </c>
      <c r="B5007" t="str">
        <f>"1552378456641478"</f>
        <v>1552378456641478</v>
      </c>
      <c r="C5007" t="s">
        <v>40</v>
      </c>
      <c r="D5007">
        <v>5.3539700000000003</v>
      </c>
      <c r="E5007">
        <v>0.45991019999999999</v>
      </c>
      <c r="F5007" t="s">
        <v>42</v>
      </c>
      <c r="G5007">
        <v>-420.69069999999999</v>
      </c>
      <c r="H5007" s="1">
        <v>-3.867147E-6</v>
      </c>
      <c r="I5007">
        <v>58.175150000000002</v>
      </c>
      <c r="J5007">
        <v>-421.95609999999999</v>
      </c>
      <c r="K5007">
        <v>1.1097090000000001</v>
      </c>
      <c r="L5007">
        <v>75.37003</v>
      </c>
      <c r="M5007">
        <v>2.1732570000000001E-4</v>
      </c>
      <c r="N5007">
        <v>0</v>
      </c>
      <c r="O5007">
        <v>-0.99995900000000004</v>
      </c>
      <c r="P5007">
        <v>-3.332719E-2</v>
      </c>
      <c r="Q5007">
        <v>-2.9408779999999999E-2</v>
      </c>
      <c r="R5007">
        <v>-0.99901189999999995</v>
      </c>
      <c r="S5007">
        <v>0.2185974</v>
      </c>
      <c r="T5007">
        <v>-0.19167609999999999</v>
      </c>
      <c r="U5007">
        <v>-3.0049130000000002</v>
      </c>
      <c r="V5007">
        <v>3.3546810000000003E-2</v>
      </c>
      <c r="W5007">
        <v>-2.035704E-2</v>
      </c>
      <c r="X5007">
        <v>0.99922979999999995</v>
      </c>
      <c r="Y5007">
        <v>-7.2191779999999997E-2</v>
      </c>
      <c r="Z5007">
        <v>6.3491610000000004E-2</v>
      </c>
      <c r="AA5007">
        <v>0.99536780000000002</v>
      </c>
      <c r="AB5007">
        <v>20</v>
      </c>
      <c r="AC5007">
        <v>1.2653999999999901</v>
      </c>
      <c r="AD5007">
        <v>-1.109712867147</v>
      </c>
      <c r="AE5007">
        <v>-17.194879999999898</v>
      </c>
      <c r="AF5007">
        <v>-1.2564578741288801</v>
      </c>
      <c r="AG5007">
        <v>-1.109712867147</v>
      </c>
      <c r="AH5007">
        <v>17.124215138583398</v>
      </c>
      <c r="AI5007">
        <v>93.697882264978901</v>
      </c>
      <c r="AJ5007">
        <v>94.196452798249794</v>
      </c>
      <c r="AK5007">
        <v>17.2060714037069</v>
      </c>
      <c r="AL5007">
        <v>91.166453055026693</v>
      </c>
      <c r="AM5007">
        <v>88.077150048700304</v>
      </c>
      <c r="AN5007">
        <v>0.99999999537338802</v>
      </c>
    </row>
    <row r="5008" spans="1:40" x14ac:dyDescent="0.25">
      <c r="A5008" t="str">
        <f>"20190312161416677"</f>
        <v>20190312161416677</v>
      </c>
      <c r="B5008" t="str">
        <f>"1552378456671735"</f>
        <v>1552378456671735</v>
      </c>
      <c r="C5008" t="s">
        <v>40</v>
      </c>
      <c r="D5008">
        <v>5.1613230000000003</v>
      </c>
      <c r="E5008">
        <v>0.45965919999999999</v>
      </c>
      <c r="F5008" t="s">
        <v>42</v>
      </c>
      <c r="G5008">
        <v>-420.65859999999998</v>
      </c>
      <c r="H5008" s="1">
        <v>-3.7024770000000001E-6</v>
      </c>
      <c r="I5008">
        <v>57.811210000000003</v>
      </c>
      <c r="J5008">
        <v>-421.95589999999999</v>
      </c>
      <c r="K5008">
        <v>1.109702</v>
      </c>
      <c r="L5008">
        <v>75.156040000000004</v>
      </c>
      <c r="M5008">
        <v>3.3789060000000002E-4</v>
      </c>
      <c r="N5008">
        <v>0</v>
      </c>
      <c r="O5008">
        <v>-0.9999595</v>
      </c>
      <c r="P5008">
        <v>-3.2366949999999998E-2</v>
      </c>
      <c r="Q5008">
        <v>-3.0104769999999999E-2</v>
      </c>
      <c r="R5008">
        <v>-0.99902299999999999</v>
      </c>
      <c r="S5008">
        <v>0.22204589999999999</v>
      </c>
      <c r="T5008">
        <v>-0.18990190000000001</v>
      </c>
      <c r="U5008">
        <v>-3.004791</v>
      </c>
      <c r="V5008">
        <v>3.2707130000000001E-2</v>
      </c>
      <c r="W5008">
        <v>-2.107216E-2</v>
      </c>
      <c r="X5008">
        <v>0.99924279999999999</v>
      </c>
      <c r="Y5008">
        <v>-7.3213390000000003E-2</v>
      </c>
      <c r="Z5008">
        <v>6.2903810000000004E-2</v>
      </c>
      <c r="AA5008">
        <v>0.99533059999999995</v>
      </c>
      <c r="AB5008">
        <v>20</v>
      </c>
      <c r="AC5008">
        <v>1.2972999999999999</v>
      </c>
      <c r="AD5008">
        <v>-1.1097057024770001</v>
      </c>
      <c r="AE5008">
        <v>-17.344830000000002</v>
      </c>
      <c r="AF5008">
        <v>-1.2862034822655299</v>
      </c>
      <c r="AG5008">
        <v>-1.1097057024770001</v>
      </c>
      <c r="AH5008">
        <v>17.2749488830021</v>
      </c>
      <c r="AI5008">
        <v>93.665390226732001</v>
      </c>
      <c r="AJ5008">
        <v>94.258091177728005</v>
      </c>
      <c r="AK5008">
        <v>17.358272525059501</v>
      </c>
      <c r="AL5008">
        <v>91.207435222655704</v>
      </c>
      <c r="AM5008">
        <v>88.125268761948803</v>
      </c>
      <c r="AN5008">
        <v>0.99999998281587099</v>
      </c>
    </row>
    <row r="5009" spans="1:40" x14ac:dyDescent="0.25">
      <c r="A5009" t="str">
        <f>"20190312161416710"</f>
        <v>20190312161416710</v>
      </c>
      <c r="B5009" t="str">
        <f>"1552378456701015"</f>
        <v>1552378456701015</v>
      </c>
      <c r="C5009" t="s">
        <v>40</v>
      </c>
      <c r="D5009">
        <v>5.2826839999999997</v>
      </c>
      <c r="E5009">
        <v>0.40953289999999998</v>
      </c>
      <c r="F5009" t="s">
        <v>42</v>
      </c>
      <c r="G5009">
        <v>-420.62299999999999</v>
      </c>
      <c r="H5009" s="1">
        <v>-3.549259E-6</v>
      </c>
      <c r="I5009">
        <v>57.476140000000001</v>
      </c>
      <c r="J5009">
        <v>-421.9556</v>
      </c>
      <c r="K5009">
        <v>1.1096900000000001</v>
      </c>
      <c r="L5009">
        <v>74.844819999999999</v>
      </c>
      <c r="M5009">
        <v>5.1346170000000002E-4</v>
      </c>
      <c r="N5009">
        <v>0</v>
      </c>
      <c r="O5009">
        <v>-0.9999595</v>
      </c>
      <c r="P5009">
        <v>-3.1446929999999998E-2</v>
      </c>
      <c r="Q5009">
        <v>-3.0440869999999998E-2</v>
      </c>
      <c r="R5009">
        <v>-0.99904190000000004</v>
      </c>
      <c r="S5009">
        <v>0.22653200000000001</v>
      </c>
      <c r="T5009">
        <v>-0.1885889</v>
      </c>
      <c r="U5009">
        <v>-3.0046080000000002</v>
      </c>
      <c r="V5009">
        <v>3.1962610000000002E-2</v>
      </c>
      <c r="W5009">
        <v>-2.1438470000000001E-2</v>
      </c>
      <c r="X5009">
        <v>0.99925909999999996</v>
      </c>
      <c r="Y5009">
        <v>-7.4522599999999994E-2</v>
      </c>
      <c r="Z5009">
        <v>6.246786E-2</v>
      </c>
      <c r="AA5009">
        <v>0.99526079999999995</v>
      </c>
      <c r="AB5009">
        <v>20</v>
      </c>
      <c r="AC5009">
        <v>1.33259999999995</v>
      </c>
      <c r="AD5009">
        <v>-1.1096935492589901</v>
      </c>
      <c r="AE5009">
        <v>-17.368679999999902</v>
      </c>
      <c r="AF5009">
        <v>-1.3183313828915699</v>
      </c>
      <c r="AG5009">
        <v>-1.1096935492589901</v>
      </c>
      <c r="AH5009">
        <v>17.2991601389081</v>
      </c>
      <c r="AI5009">
        <v>93.659754975374099</v>
      </c>
      <c r="AJ5009">
        <v>94.357963328526097</v>
      </c>
      <c r="AK5009">
        <v>17.384773766718201</v>
      </c>
      <c r="AL5009">
        <v>91.228427982968896</v>
      </c>
      <c r="AM5009">
        <v>88.167944148161695</v>
      </c>
      <c r="AN5009">
        <v>0.99999998268338097</v>
      </c>
    </row>
    <row r="5010" spans="1:40" x14ac:dyDescent="0.25">
      <c r="A5010" t="str">
        <f>"20190312161416731"</f>
        <v>20190312161416731</v>
      </c>
      <c r="B5010" t="str">
        <f>"1552378456721510"</f>
        <v>1552378456721510</v>
      </c>
      <c r="C5010" t="s">
        <v>40</v>
      </c>
      <c r="D5010">
        <v>5.2870759999999999</v>
      </c>
      <c r="E5010">
        <v>0.3618421</v>
      </c>
      <c r="F5010" t="s">
        <v>77</v>
      </c>
      <c r="G5010">
        <v>-413.24509999999998</v>
      </c>
      <c r="H5010" s="1">
        <v>-5.53665899999999E-6</v>
      </c>
      <c r="I5010">
        <v>32.882289999999998</v>
      </c>
      <c r="J5010">
        <v>-421.9554</v>
      </c>
      <c r="K5010">
        <v>1.109688</v>
      </c>
      <c r="L5010">
        <v>74.649319999999904</v>
      </c>
      <c r="M5010">
        <v>6.2332969999999996E-4</v>
      </c>
      <c r="N5010">
        <v>0</v>
      </c>
      <c r="O5010">
        <v>-0.99995970000000001</v>
      </c>
      <c r="P5010">
        <v>-3.096463E-2</v>
      </c>
      <c r="Q5010">
        <v>-3.0646719999999999E-2</v>
      </c>
      <c r="R5010">
        <v>-0.99905080000000002</v>
      </c>
      <c r="S5010">
        <v>0.6269226</v>
      </c>
      <c r="T5010">
        <v>-7.98682E-2</v>
      </c>
      <c r="U5010">
        <v>-3.0201720000000001</v>
      </c>
      <c r="V5010">
        <v>3.1590130000000001E-2</v>
      </c>
      <c r="W5010">
        <v>-2.1666689999999999E-2</v>
      </c>
      <c r="X5010">
        <v>0.99926599999999999</v>
      </c>
      <c r="Y5010">
        <v>-0.20256730000000001</v>
      </c>
      <c r="Z5010">
        <v>2.588592E-2</v>
      </c>
      <c r="AA5010">
        <v>0.97892619999999997</v>
      </c>
      <c r="AB5010">
        <v>21</v>
      </c>
      <c r="AC5010">
        <v>8.7103000000000108</v>
      </c>
      <c r="AD5010">
        <v>-1.1096935366589999</v>
      </c>
      <c r="AE5010">
        <v>-41.767029999999899</v>
      </c>
      <c r="AF5010">
        <v>-8.6783919386102593</v>
      </c>
      <c r="AG5010">
        <v>-1.1096935366589999</v>
      </c>
      <c r="AH5010">
        <v>41.744212674252999</v>
      </c>
      <c r="AI5010">
        <v>91.4908824555244</v>
      </c>
      <c r="AJ5010">
        <v>101.74418904557599</v>
      </c>
      <c r="AK5010">
        <v>42.651203947587497</v>
      </c>
      <c r="AL5010">
        <v>91.241507091923495</v>
      </c>
      <c r="AM5010">
        <v>88.189292422856198</v>
      </c>
      <c r="AN5010">
        <v>0.99999996026248505</v>
      </c>
    </row>
    <row r="5011" spans="1:40" x14ac:dyDescent="0.25">
      <c r="A5011" t="str">
        <f>"20190312161416754"</f>
        <v>20190312161416754</v>
      </c>
      <c r="B5011" t="str">
        <f>"1552378456751298"</f>
        <v>1552378456751298</v>
      </c>
      <c r="C5011" t="s">
        <v>40</v>
      </c>
      <c r="D5011">
        <v>5.2240380000000002</v>
      </c>
      <c r="E5011">
        <v>0.3579521</v>
      </c>
      <c r="F5011" t="s">
        <v>77</v>
      </c>
      <c r="G5011">
        <v>-408.8956</v>
      </c>
      <c r="H5011">
        <v>7.9988219999999999E-2</v>
      </c>
      <c r="I5011">
        <v>35.379150000000003</v>
      </c>
      <c r="J5011">
        <v>-421.95510000000002</v>
      </c>
      <c r="K5011">
        <v>1.1096790000000001</v>
      </c>
      <c r="L5011">
        <v>74.445009999999996</v>
      </c>
      <c r="M5011">
        <v>7.3889140000000001E-4</v>
      </c>
      <c r="N5011">
        <v>0</v>
      </c>
      <c r="O5011">
        <v>-0.99995990000000001</v>
      </c>
      <c r="P5011">
        <v>-3.047884E-2</v>
      </c>
      <c r="Q5011">
        <v>-3.0846470000000001E-2</v>
      </c>
      <c r="R5011">
        <v>-0.99905969999999999</v>
      </c>
      <c r="S5011">
        <v>1.0082089999999999</v>
      </c>
      <c r="T5011">
        <v>-7.9492569999999999E-2</v>
      </c>
      <c r="U5011">
        <v>-3.031647</v>
      </c>
      <c r="V5011">
        <v>3.1219839999999999E-2</v>
      </c>
      <c r="W5011">
        <v>-2.1888290000000001E-2</v>
      </c>
      <c r="X5011">
        <v>0.99927279999999996</v>
      </c>
      <c r="Y5011">
        <v>-0.31476969999999999</v>
      </c>
      <c r="Z5011">
        <v>2.4876369999999998E-2</v>
      </c>
      <c r="AA5011">
        <v>0.94884199999999996</v>
      </c>
      <c r="AB5011">
        <v>21</v>
      </c>
      <c r="AC5011">
        <v>13.0595</v>
      </c>
      <c r="AD5011">
        <v>-1.0296907799999999</v>
      </c>
      <c r="AE5011">
        <v>-39.065860000000001</v>
      </c>
      <c r="AF5011">
        <v>-13.0224920994727</v>
      </c>
      <c r="AG5011">
        <v>-1.0296907799999999</v>
      </c>
      <c r="AH5011">
        <v>39.051096234611499</v>
      </c>
      <c r="AI5011">
        <v>91.432876333520198</v>
      </c>
      <c r="AJ5011">
        <v>108.442158370762</v>
      </c>
      <c r="AK5011">
        <v>41.178072814401297</v>
      </c>
      <c r="AL5011">
        <v>91.254206859109601</v>
      </c>
      <c r="AM5011">
        <v>88.210515280075398</v>
      </c>
      <c r="AN5011">
        <v>0.99999995223429305</v>
      </c>
    </row>
    <row r="5012" spans="1:40" x14ac:dyDescent="0.25">
      <c r="A5012" t="str">
        <f>"20190312161416776"</f>
        <v>20190312161416776</v>
      </c>
      <c r="B5012" t="str">
        <f>"1552378456771799"</f>
        <v>1552378456771799</v>
      </c>
      <c r="C5012" t="s">
        <v>40</v>
      </c>
      <c r="D5012">
        <v>5.2024689999999998</v>
      </c>
      <c r="E5012">
        <v>0.35616569999999997</v>
      </c>
      <c r="F5012" t="s">
        <v>77</v>
      </c>
      <c r="G5012">
        <v>-409.33109999999999</v>
      </c>
      <c r="H5012">
        <v>7.998914E-2</v>
      </c>
      <c r="I5012">
        <v>37.675739999999998</v>
      </c>
      <c r="J5012">
        <v>-421.95479999999998</v>
      </c>
      <c r="K5012">
        <v>1.1096729999999999</v>
      </c>
      <c r="L5012">
        <v>74.234650000000002</v>
      </c>
      <c r="M5012">
        <v>8.5728569999999997E-4</v>
      </c>
      <c r="N5012">
        <v>0</v>
      </c>
      <c r="O5012">
        <v>-0.99995990000000001</v>
      </c>
      <c r="P5012">
        <v>-3.0144649999999999E-2</v>
      </c>
      <c r="Q5012">
        <v>-3.091957E-2</v>
      </c>
      <c r="R5012">
        <v>-0.9990675</v>
      </c>
      <c r="S5012">
        <v>1.0409550000000001</v>
      </c>
      <c r="T5012">
        <v>-8.4907049999999998E-2</v>
      </c>
      <c r="U5012">
        <v>-3.031952</v>
      </c>
      <c r="V5012">
        <v>3.1003969999999999E-2</v>
      </c>
      <c r="W5012">
        <v>-2.1980489999999998E-2</v>
      </c>
      <c r="X5012">
        <v>0.99927750000000004</v>
      </c>
      <c r="Y5012">
        <v>-0.32379819999999998</v>
      </c>
      <c r="Z5012">
        <v>2.6481009999999999E-2</v>
      </c>
      <c r="AA5012">
        <v>0.94575549999999997</v>
      </c>
      <c r="AB5012">
        <v>21</v>
      </c>
      <c r="AC5012">
        <v>12.6236999999999</v>
      </c>
      <c r="AD5012">
        <v>-1.02968386</v>
      </c>
      <c r="AE5012">
        <v>-36.558909999999997</v>
      </c>
      <c r="AF5012">
        <v>-12.583433995599499</v>
      </c>
      <c r="AG5012">
        <v>-1.02968386</v>
      </c>
      <c r="AH5012">
        <v>36.543818157446601</v>
      </c>
      <c r="AI5012">
        <v>91.5260843663646</v>
      </c>
      <c r="AJ5012">
        <v>109.00054428307099</v>
      </c>
      <c r="AK5012">
        <v>38.663338002527396</v>
      </c>
      <c r="AL5012">
        <v>91.2594907979379</v>
      </c>
      <c r="AM5012">
        <v>88.222889087389703</v>
      </c>
      <c r="AN5012">
        <v>0.999999955051324</v>
      </c>
    </row>
    <row r="5013" spans="1:40" x14ac:dyDescent="0.25">
      <c r="A5013" t="str">
        <f>"20190312161416799"</f>
        <v>20190312161416799</v>
      </c>
      <c r="B5013" t="str">
        <f>"1552378456791313"</f>
        <v>1552378456791313</v>
      </c>
      <c r="C5013" t="s">
        <v>40</v>
      </c>
      <c r="D5013">
        <v>5.2029920000000001</v>
      </c>
      <c r="E5013">
        <v>0.35516520000000001</v>
      </c>
      <c r="F5013" t="s">
        <v>77</v>
      </c>
      <c r="G5013">
        <v>-407.02069999999998</v>
      </c>
      <c r="H5013">
        <v>7.9987310000000006E-2</v>
      </c>
      <c r="I5013">
        <v>31.36543</v>
      </c>
      <c r="J5013">
        <v>-421.9545</v>
      </c>
      <c r="K5013">
        <v>1.109667</v>
      </c>
      <c r="L5013">
        <v>74.026340000000005</v>
      </c>
      <c r="M5013">
        <v>9.7470149999999997E-4</v>
      </c>
      <c r="N5013">
        <v>0</v>
      </c>
      <c r="O5013">
        <v>-0.99995990000000001</v>
      </c>
      <c r="P5013">
        <v>-3.001121E-2</v>
      </c>
      <c r="Q5013">
        <v>-3.0958119999999999E-2</v>
      </c>
      <c r="R5013">
        <v>-0.99907049999999997</v>
      </c>
      <c r="S5013">
        <v>1.0563959999999999</v>
      </c>
      <c r="T5013">
        <v>-7.2836880000000007E-2</v>
      </c>
      <c r="U5013">
        <v>-3.0324399999999998</v>
      </c>
      <c r="V5013">
        <v>3.0987859999999999E-2</v>
      </c>
      <c r="W5013">
        <v>-2.2035639999999999E-2</v>
      </c>
      <c r="X5013">
        <v>0.99927679999999997</v>
      </c>
      <c r="Y5013">
        <v>-0.32796950000000002</v>
      </c>
      <c r="Z5013">
        <v>2.2680180000000001E-2</v>
      </c>
      <c r="AA5013">
        <v>0.94441600000000003</v>
      </c>
      <c r="AB5013">
        <v>21</v>
      </c>
      <c r="AC5013">
        <v>14.9338</v>
      </c>
      <c r="AD5013">
        <v>-1.02967969</v>
      </c>
      <c r="AE5013">
        <v>-42.660910000000001</v>
      </c>
      <c r="AF5013">
        <v>-14.884485008915201</v>
      </c>
      <c r="AG5013">
        <v>-1.02967969</v>
      </c>
      <c r="AH5013">
        <v>42.653310534067003</v>
      </c>
      <c r="AI5013">
        <v>91.3057010375571</v>
      </c>
      <c r="AJ5013">
        <v>109.237166731334</v>
      </c>
      <c r="AK5013">
        <v>45.187531839658703</v>
      </c>
      <c r="AL5013">
        <v>91.262651407021195</v>
      </c>
      <c r="AM5013">
        <v>88.223810658464501</v>
      </c>
      <c r="AN5013">
        <v>0.99999996995791396</v>
      </c>
    </row>
    <row r="5014" spans="1:40" x14ac:dyDescent="0.25">
      <c r="A5014" t="str">
        <f>"20190312161416820"</f>
        <v>20190312161416820</v>
      </c>
      <c r="B5014" t="str">
        <f>"1552378456811809"</f>
        <v>1552378456811809</v>
      </c>
      <c r="C5014" t="s">
        <v>40</v>
      </c>
      <c r="D5014">
        <v>5.2194140000000004</v>
      </c>
      <c r="E5014">
        <v>0.35455150000000002</v>
      </c>
      <c r="F5014" t="s">
        <v>77</v>
      </c>
      <c r="G5014">
        <v>-403.51760000000002</v>
      </c>
      <c r="H5014" s="1">
        <v>-4.8376479999999997E-6</v>
      </c>
      <c r="I5014">
        <v>21.49268</v>
      </c>
      <c r="J5014">
        <v>-421.95409999999998</v>
      </c>
      <c r="K5014">
        <v>1.109667</v>
      </c>
      <c r="L5014">
        <v>73.822360000000003</v>
      </c>
      <c r="M5014">
        <v>1.089858E-3</v>
      </c>
      <c r="N5014">
        <v>0</v>
      </c>
      <c r="O5014">
        <v>-0.99995990000000001</v>
      </c>
      <c r="P5014">
        <v>-3.0481279999999999E-2</v>
      </c>
      <c r="Q5014">
        <v>-3.1238519999999999E-2</v>
      </c>
      <c r="R5014">
        <v>-0.99904740000000003</v>
      </c>
      <c r="S5014">
        <v>1.064362</v>
      </c>
      <c r="T5014">
        <v>-6.4061519999999997E-2</v>
      </c>
      <c r="U5014">
        <v>-3.0327760000000001</v>
      </c>
      <c r="V5014">
        <v>3.1572990000000002E-2</v>
      </c>
      <c r="W5014">
        <v>-2.2331230000000001E-2</v>
      </c>
      <c r="X5014">
        <v>0.99925200000000003</v>
      </c>
      <c r="Y5014">
        <v>-0.33005699999999999</v>
      </c>
      <c r="Z5014">
        <v>1.9930980000000001E-2</v>
      </c>
      <c r="AA5014">
        <v>0.9437506</v>
      </c>
      <c r="AB5014">
        <v>21</v>
      </c>
      <c r="AC5014">
        <v>18.436499999999899</v>
      </c>
      <c r="AD5014">
        <v>-1.1096718376479999</v>
      </c>
      <c r="AE5014">
        <v>-52.329679999999897</v>
      </c>
      <c r="AF5014">
        <v>-18.372105725882701</v>
      </c>
      <c r="AG5014">
        <v>-1.1096718376479999</v>
      </c>
      <c r="AH5014">
        <v>52.328810478501602</v>
      </c>
      <c r="AI5014">
        <v>91.146245055550906</v>
      </c>
      <c r="AJ5014">
        <v>109.345648248157</v>
      </c>
      <c r="AK5014">
        <v>55.471344372434501</v>
      </c>
      <c r="AL5014">
        <v>91.279591535214294</v>
      </c>
      <c r="AM5014">
        <v>88.190248874933204</v>
      </c>
      <c r="AN5014">
        <v>1.0000000485174201</v>
      </c>
    </row>
    <row r="5015" spans="1:40" x14ac:dyDescent="0.25">
      <c r="A5015" t="str">
        <f>"20190312161416843"</f>
        <v>20190312161416843</v>
      </c>
      <c r="B5015" t="str">
        <f>"1552378456831330"</f>
        <v>1552378456831330</v>
      </c>
      <c r="C5015" t="s">
        <v>40</v>
      </c>
      <c r="D5015">
        <v>5.1874279999999997</v>
      </c>
      <c r="E5015">
        <v>0.35411179999999998</v>
      </c>
      <c r="F5015" t="s">
        <v>77</v>
      </c>
      <c r="G5015">
        <v>-402.5675</v>
      </c>
      <c r="H5015" s="1">
        <v>-6.7504440000000001E-6</v>
      </c>
      <c r="I5015">
        <v>18.72972</v>
      </c>
      <c r="J5015">
        <v>-421.9538</v>
      </c>
      <c r="K5015">
        <v>1.1096619999999999</v>
      </c>
      <c r="L5015">
        <v>73.610320000000002</v>
      </c>
      <c r="M5015">
        <v>1.2089500000000001E-3</v>
      </c>
      <c r="N5015">
        <v>0</v>
      </c>
      <c r="O5015">
        <v>-0.99995970000000001</v>
      </c>
      <c r="P5015">
        <v>-3.048346E-2</v>
      </c>
      <c r="Q5015">
        <v>-3.1651239999999997E-2</v>
      </c>
      <c r="R5015">
        <v>-0.99903390000000003</v>
      </c>
      <c r="S5015">
        <v>1.067474</v>
      </c>
      <c r="T5015">
        <v>-6.110144E-2</v>
      </c>
      <c r="U5015">
        <v>-3.0335390000000002</v>
      </c>
      <c r="V5015">
        <v>3.1694239999999999E-2</v>
      </c>
      <c r="W5015">
        <v>-2.2758199999999999E-2</v>
      </c>
      <c r="X5015">
        <v>0.99923850000000003</v>
      </c>
      <c r="Y5015">
        <v>-0.33073829999999999</v>
      </c>
      <c r="Z5015">
        <v>1.9000400000000001E-2</v>
      </c>
      <c r="AA5015">
        <v>0.94353120000000001</v>
      </c>
      <c r="AB5015">
        <v>21</v>
      </c>
      <c r="AC5015">
        <v>19.386299999999999</v>
      </c>
      <c r="AD5015">
        <v>-1.1096687504439999</v>
      </c>
      <c r="AE5015">
        <v>-54.880600000000001</v>
      </c>
      <c r="AF5015">
        <v>-19.3129154446694</v>
      </c>
      <c r="AG5015">
        <v>-1.1096687504439999</v>
      </c>
      <c r="AH5015">
        <v>54.884048626945102</v>
      </c>
      <c r="AI5015">
        <v>91.092617435432999</v>
      </c>
      <c r="AJ5015">
        <v>109.38624469493</v>
      </c>
      <c r="AK5015">
        <v>58.193460641153997</v>
      </c>
      <c r="AL5015">
        <v>91.304061369477594</v>
      </c>
      <c r="AM5015">
        <v>88.183278994223599</v>
      </c>
      <c r="AN5015">
        <v>1.00000002019933</v>
      </c>
    </row>
    <row r="5016" spans="1:40" x14ac:dyDescent="0.25">
      <c r="A5016" t="str">
        <f>"20190312161416866"</f>
        <v>20190312161416866</v>
      </c>
      <c r="B5016" t="str">
        <f>"1552378456861585"</f>
        <v>1552378456861585</v>
      </c>
      <c r="C5016" t="s">
        <v>40</v>
      </c>
      <c r="D5016">
        <v>5.2423159999999998</v>
      </c>
      <c r="E5016">
        <v>0.35362470000000001</v>
      </c>
      <c r="F5016" t="s">
        <v>77</v>
      </c>
      <c r="G5016">
        <v>-400.7833</v>
      </c>
      <c r="H5016" s="1">
        <v>-6.7751020000000002E-6</v>
      </c>
      <c r="I5016">
        <v>13.638979999999901</v>
      </c>
      <c r="J5016">
        <v>-421.95330000000001</v>
      </c>
      <c r="K5016">
        <v>1.1096600000000001</v>
      </c>
      <c r="L5016">
        <v>73.39349</v>
      </c>
      <c r="M5016">
        <v>1.330878E-3</v>
      </c>
      <c r="N5016">
        <v>0</v>
      </c>
      <c r="O5016">
        <v>-0.99995970000000001</v>
      </c>
      <c r="P5016">
        <v>-3.0522899999999999E-2</v>
      </c>
      <c r="Q5016">
        <v>-3.1947929999999999E-2</v>
      </c>
      <c r="R5016">
        <v>-0.99902349999999995</v>
      </c>
      <c r="S5016">
        <v>1.070953</v>
      </c>
      <c r="T5016">
        <v>-5.6135060000000001E-2</v>
      </c>
      <c r="U5016">
        <v>-3.0337830000000001</v>
      </c>
      <c r="V5016">
        <v>3.1855540000000002E-2</v>
      </c>
      <c r="W5016">
        <v>-2.3067520000000001E-2</v>
      </c>
      <c r="X5016">
        <v>0.99922630000000001</v>
      </c>
      <c r="Y5016">
        <v>-0.33157120000000001</v>
      </c>
      <c r="Z5016">
        <v>1.7449369999999999E-2</v>
      </c>
      <c r="AA5016">
        <v>0.94326880000000002</v>
      </c>
      <c r="AB5016">
        <v>21</v>
      </c>
      <c r="AC5016">
        <v>21.17</v>
      </c>
      <c r="AD5016">
        <v>-1.109666775102</v>
      </c>
      <c r="AE5016">
        <v>-59.754509999999897</v>
      </c>
      <c r="AF5016">
        <v>-21.083991969687201</v>
      </c>
      <c r="AG5016">
        <v>-1.109666775102</v>
      </c>
      <c r="AH5016">
        <v>59.7643209504743</v>
      </c>
      <c r="AI5016">
        <v>91.003130165901297</v>
      </c>
      <c r="AJ5016">
        <v>109.432108072386</v>
      </c>
      <c r="AK5016">
        <v>63.384068474664097</v>
      </c>
      <c r="AL5016">
        <v>91.321788724586696</v>
      </c>
      <c r="AM5016">
        <v>88.1740172059678</v>
      </c>
      <c r="AN5016">
        <v>1.00000004225966</v>
      </c>
    </row>
    <row r="5017" spans="1:40" x14ac:dyDescent="0.25">
      <c r="A5017" t="str">
        <f>"20190312161416889"</f>
        <v>20190312161416889</v>
      </c>
      <c r="B5017" t="str">
        <f>"1552378456881106"</f>
        <v>1552378456881106</v>
      </c>
      <c r="C5017" t="s">
        <v>40</v>
      </c>
      <c r="D5017">
        <v>5.20648</v>
      </c>
      <c r="E5017">
        <v>0.35328029999999999</v>
      </c>
      <c r="F5017" t="s">
        <v>77</v>
      </c>
      <c r="G5017">
        <v>-400.75709999999998</v>
      </c>
      <c r="H5017" s="1">
        <v>-6.7762980000000002E-6</v>
      </c>
      <c r="I5017">
        <v>13.5715</v>
      </c>
      <c r="J5017">
        <v>-421.9529</v>
      </c>
      <c r="K5017">
        <v>1.109667</v>
      </c>
      <c r="L5017">
        <v>73.180179999999993</v>
      </c>
      <c r="M5017">
        <v>1.45129E-3</v>
      </c>
      <c r="N5017">
        <v>0</v>
      </c>
      <c r="O5017">
        <v>-0.9999595</v>
      </c>
      <c r="P5017">
        <v>-2.9718109999999999E-2</v>
      </c>
      <c r="Q5017">
        <v>-3.1672600000000002E-2</v>
      </c>
      <c r="R5017">
        <v>-0.99905639999999996</v>
      </c>
      <c r="S5017">
        <v>1.0750120000000001</v>
      </c>
      <c r="T5017">
        <v>-5.6279059999999999E-2</v>
      </c>
      <c r="U5017">
        <v>-3.0339969999999998</v>
      </c>
      <c r="V5017">
        <v>3.117106E-2</v>
      </c>
      <c r="W5017">
        <v>-2.2792509999999998E-2</v>
      </c>
      <c r="X5017">
        <v>0.99925419999999998</v>
      </c>
      <c r="Y5017">
        <v>-0.33255800000000002</v>
      </c>
      <c r="Z5017">
        <v>1.748605E-2</v>
      </c>
      <c r="AA5017">
        <v>0.94292069999999995</v>
      </c>
      <c r="AB5017">
        <v>21</v>
      </c>
      <c r="AC5017">
        <v>21.195799999999998</v>
      </c>
      <c r="AD5017">
        <v>-1.109673776298</v>
      </c>
      <c r="AE5017">
        <v>-59.60868</v>
      </c>
      <c r="AF5017">
        <v>-21.102772408736101</v>
      </c>
      <c r="AG5017">
        <v>-1.109673776298</v>
      </c>
      <c r="AH5017">
        <v>59.621036974534199</v>
      </c>
      <c r="AI5017">
        <v>91.005179607160997</v>
      </c>
      <c r="AJ5017">
        <v>109.491337308013</v>
      </c>
      <c r="AK5017">
        <v>63.255248233988397</v>
      </c>
      <c r="AL5017">
        <v>91.306027665475597</v>
      </c>
      <c r="AM5017">
        <v>88.213276243279793</v>
      </c>
      <c r="AN5017">
        <v>1.0000000448556301</v>
      </c>
    </row>
    <row r="5018" spans="1:40" x14ac:dyDescent="0.25">
      <c r="A5018" t="str">
        <f>"20190312161416911"</f>
        <v>20190312161416911</v>
      </c>
      <c r="B5018" t="str">
        <f>"1552378456901602"</f>
        <v>1552378456901602</v>
      </c>
      <c r="C5018" t="s">
        <v>40</v>
      </c>
      <c r="D5018">
        <v>5.2551170000000003</v>
      </c>
      <c r="E5018">
        <v>0.35299320000000001</v>
      </c>
      <c r="F5018" t="s">
        <v>77</v>
      </c>
      <c r="G5018">
        <v>-400.52659999999997</v>
      </c>
      <c r="H5018" s="1">
        <v>-6.786715E-6</v>
      </c>
      <c r="I5018">
        <v>12.978</v>
      </c>
      <c r="J5018">
        <v>-421.95249999999999</v>
      </c>
      <c r="K5018">
        <v>1.1096699999999999</v>
      </c>
      <c r="L5018">
        <v>72.969300000000004</v>
      </c>
      <c r="M5018">
        <v>1.5699729999999999E-3</v>
      </c>
      <c r="N5018">
        <v>0</v>
      </c>
      <c r="O5018">
        <v>-0.99995919999999905</v>
      </c>
      <c r="P5018">
        <v>-2.897243E-2</v>
      </c>
      <c r="Q5018">
        <v>-3.215643E-2</v>
      </c>
      <c r="R5018">
        <v>-0.99906289999999998</v>
      </c>
      <c r="S5018">
        <v>1.079529</v>
      </c>
      <c r="T5018">
        <v>-5.5908800000000002E-2</v>
      </c>
      <c r="U5018">
        <v>-3.0331730000000001</v>
      </c>
      <c r="V5018">
        <v>3.054405E-2</v>
      </c>
      <c r="W5018">
        <v>-2.3264759999999999E-2</v>
      </c>
      <c r="X5018">
        <v>0.9992626</v>
      </c>
      <c r="Y5018">
        <v>-0.33377390000000001</v>
      </c>
      <c r="Z5018">
        <v>1.7367440000000001E-2</v>
      </c>
      <c r="AA5018">
        <v>0.94249309999999997</v>
      </c>
      <c r="AB5018">
        <v>21</v>
      </c>
      <c r="AC5018">
        <v>21.425899999999999</v>
      </c>
      <c r="AD5018">
        <v>-1.1096767867149999</v>
      </c>
      <c r="AE5018">
        <v>-59.991300000000003</v>
      </c>
      <c r="AF5018">
        <v>-21.325214140587999</v>
      </c>
      <c r="AG5018">
        <v>-1.1096767867149999</v>
      </c>
      <c r="AH5018">
        <v>60.0066568284631</v>
      </c>
      <c r="AI5018">
        <v>90.998273575207406</v>
      </c>
      <c r="AJ5018">
        <v>109.56423669657499</v>
      </c>
      <c r="AK5018">
        <v>63.692974529706497</v>
      </c>
      <c r="AL5018">
        <v>91.333092879166898</v>
      </c>
      <c r="AM5018">
        <v>88.249208538774198</v>
      </c>
      <c r="AN5018">
        <v>0.99999996590350904</v>
      </c>
    </row>
    <row r="5019" spans="1:40" x14ac:dyDescent="0.25">
      <c r="A5019" t="str">
        <f>"20190312161416932"</f>
        <v>20190312161416932</v>
      </c>
      <c r="B5019" t="str">
        <f>"1552378456921122"</f>
        <v>1552378456921122</v>
      </c>
      <c r="C5019" t="s">
        <v>40</v>
      </c>
      <c r="D5019">
        <v>5.2458989999999996</v>
      </c>
      <c r="E5019">
        <v>0.35270869999999999</v>
      </c>
      <c r="F5019" t="s">
        <v>42</v>
      </c>
      <c r="G5019">
        <v>-399.71420000000001</v>
      </c>
      <c r="H5019" s="1">
        <v>-2.4421899999999998E-6</v>
      </c>
      <c r="I5019">
        <v>10.79087</v>
      </c>
      <c r="J5019">
        <v>-421.952</v>
      </c>
      <c r="K5019">
        <v>1.1096729999999999</v>
      </c>
      <c r="L5019">
        <v>72.769679999999994</v>
      </c>
      <c r="M5019">
        <v>1.682359E-3</v>
      </c>
      <c r="N5019">
        <v>0</v>
      </c>
      <c r="O5019">
        <v>-0.99995919999999905</v>
      </c>
      <c r="P5019">
        <v>-2.8577809999999999E-2</v>
      </c>
      <c r="Q5019">
        <v>-3.3017739999999997E-2</v>
      </c>
      <c r="R5019">
        <v>-0.9990464</v>
      </c>
      <c r="S5019">
        <v>1.084595</v>
      </c>
      <c r="T5019">
        <v>-5.4120300000000003E-2</v>
      </c>
      <c r="U5019">
        <v>-3.0325319999999998</v>
      </c>
      <c r="V5019">
        <v>3.0261799999999998E-2</v>
      </c>
      <c r="W5019">
        <v>-2.4113349999999999E-2</v>
      </c>
      <c r="X5019">
        <v>0.99925109999999995</v>
      </c>
      <c r="Y5019">
        <v>-0.33513039999999999</v>
      </c>
      <c r="Z5019">
        <v>1.6806629999999999E-2</v>
      </c>
      <c r="AA5019">
        <v>0.94202180000000002</v>
      </c>
      <c r="AB5019">
        <v>21</v>
      </c>
      <c r="AC5019">
        <v>22.2378</v>
      </c>
      <c r="AD5019">
        <v>-1.1096754421899999</v>
      </c>
      <c r="AE5019">
        <v>-61.978810000000003</v>
      </c>
      <c r="AF5019">
        <v>-22.1272097551511</v>
      </c>
      <c r="AG5019">
        <v>-1.1096754421899999</v>
      </c>
      <c r="AH5019">
        <v>61.9985283362441</v>
      </c>
      <c r="AI5019">
        <v>90.965742929088094</v>
      </c>
      <c r="AJ5019">
        <v>109.641429190263</v>
      </c>
      <c r="AK5019">
        <v>65.838152366204199</v>
      </c>
      <c r="AL5019">
        <v>91.381727114891603</v>
      </c>
      <c r="AM5019">
        <v>88.265357287948106</v>
      </c>
      <c r="AN5019">
        <v>0.99999999551933605</v>
      </c>
    </row>
    <row r="5020" spans="1:40" x14ac:dyDescent="0.25">
      <c r="A5020" t="str">
        <f>"20190312161416955"</f>
        <v>20190312161416955</v>
      </c>
      <c r="B5020" t="str">
        <f>"1552378456951378"</f>
        <v>1552378456951378</v>
      </c>
      <c r="C5020" t="s">
        <v>40</v>
      </c>
      <c r="D5020">
        <v>5.2325939999999997</v>
      </c>
      <c r="E5020">
        <v>0.3524236</v>
      </c>
      <c r="F5020" t="s">
        <v>42</v>
      </c>
      <c r="G5020">
        <v>-399.30509999999998</v>
      </c>
      <c r="H5020">
        <v>1.7921400000000001E-2</v>
      </c>
      <c r="I5020">
        <v>9.6163240000000005</v>
      </c>
      <c r="J5020">
        <v>-421.95150000000001</v>
      </c>
      <c r="K5020">
        <v>1.1096839999999999</v>
      </c>
      <c r="L5020">
        <v>72.556489999999997</v>
      </c>
      <c r="M5020">
        <v>1.8023119999999999E-3</v>
      </c>
      <c r="N5020">
        <v>0</v>
      </c>
      <c r="O5020">
        <v>-0.99995880000000004</v>
      </c>
      <c r="P5020">
        <v>-2.820601E-2</v>
      </c>
      <c r="Q5020">
        <v>-3.2094659999999997E-2</v>
      </c>
      <c r="R5020">
        <v>-0.9990869</v>
      </c>
      <c r="S5020">
        <v>1.087372</v>
      </c>
      <c r="T5020">
        <v>-5.2419540000000001E-2</v>
      </c>
      <c r="U5020">
        <v>-3.032257</v>
      </c>
      <c r="V5020">
        <v>3.00098E-2</v>
      </c>
      <c r="W5020">
        <v>-2.3176909999999998E-2</v>
      </c>
      <c r="X5020">
        <v>0.99928090000000003</v>
      </c>
      <c r="Y5020">
        <v>-0.3358119</v>
      </c>
      <c r="Z5020">
        <v>1.6275540000000002E-2</v>
      </c>
      <c r="AA5020">
        <v>0.94178839999999997</v>
      </c>
      <c r="AB5020">
        <v>21</v>
      </c>
      <c r="AC5020">
        <v>22.6464</v>
      </c>
      <c r="AD5020">
        <v>-1.0917626</v>
      </c>
      <c r="AE5020">
        <v>-62.940165999999998</v>
      </c>
      <c r="AF5020">
        <v>-22.526919810213698</v>
      </c>
      <c r="AG5020">
        <v>-1.0917626</v>
      </c>
      <c r="AH5020">
        <v>62.964107823707401</v>
      </c>
      <c r="AI5020">
        <v>90.935328638705499</v>
      </c>
      <c r="AJ5020">
        <v>109.685888034903</v>
      </c>
      <c r="AK5020">
        <v>66.881484251966199</v>
      </c>
      <c r="AL5020">
        <v>91.328057992507397</v>
      </c>
      <c r="AM5020">
        <v>88.279844783499001</v>
      </c>
      <c r="AN5020">
        <v>1.0000000371789901</v>
      </c>
    </row>
    <row r="5021" spans="1:40" x14ac:dyDescent="0.25">
      <c r="A5021" t="str">
        <f>"20190312161416977"</f>
        <v>20190312161416977</v>
      </c>
      <c r="B5021" t="str">
        <f>"1552378456970901"</f>
        <v>1552378456970901</v>
      </c>
      <c r="C5021" t="s">
        <v>40</v>
      </c>
      <c r="D5021">
        <v>5.2682089999999997</v>
      </c>
      <c r="E5021">
        <v>0.35214000000000001</v>
      </c>
      <c r="F5021" t="s">
        <v>42</v>
      </c>
      <c r="G5021">
        <v>-399.30360000000002</v>
      </c>
      <c r="H5021">
        <v>3.2452429999999997E-2</v>
      </c>
      <c r="I5021">
        <v>9.6163240000000005</v>
      </c>
      <c r="J5021">
        <v>-421.95100000000002</v>
      </c>
      <c r="K5021">
        <v>1.109683</v>
      </c>
      <c r="L5021">
        <v>72.340180000000004</v>
      </c>
      <c r="M5021">
        <v>1.9238650000000001E-3</v>
      </c>
      <c r="N5021">
        <v>0</v>
      </c>
      <c r="O5021">
        <v>-0.99995849999999997</v>
      </c>
      <c r="P5021">
        <v>-2.8240910000000001E-2</v>
      </c>
      <c r="Q5021">
        <v>-3.1644850000000002E-2</v>
      </c>
      <c r="R5021">
        <v>-0.99910049999999995</v>
      </c>
      <c r="S5021">
        <v>1.090973</v>
      </c>
      <c r="T5021">
        <v>-5.1891329999999999E-2</v>
      </c>
      <c r="U5021">
        <v>-3.0318909999999999</v>
      </c>
      <c r="V5021">
        <v>3.0166140000000001E-2</v>
      </c>
      <c r="W5021">
        <v>-2.2708929999999999E-2</v>
      </c>
      <c r="X5021">
        <v>0.99928689999999998</v>
      </c>
      <c r="Y5021">
        <v>-0.3367251</v>
      </c>
      <c r="Z5021">
        <v>1.610756E-2</v>
      </c>
      <c r="AA5021">
        <v>0.9414652</v>
      </c>
      <c r="AB5021">
        <v>21</v>
      </c>
      <c r="AC5021">
        <v>22.647399999999902</v>
      </c>
      <c r="AD5021">
        <v>-1.07723057</v>
      </c>
      <c r="AE5021">
        <v>-62.723855999999998</v>
      </c>
      <c r="AF5021">
        <v>-22.520804607633501</v>
      </c>
      <c r="AG5021">
        <v>-1.07723057</v>
      </c>
      <c r="AH5021">
        <v>62.750938277941003</v>
      </c>
      <c r="AI5021">
        <v>90.925686930614603</v>
      </c>
      <c r="AJ5021">
        <v>109.74265218820599</v>
      </c>
      <c r="AK5021">
        <v>66.678537181300797</v>
      </c>
      <c r="AL5021">
        <v>91.301237702998407</v>
      </c>
      <c r="AM5021">
        <v>88.2708992104223</v>
      </c>
      <c r="AN5021">
        <v>1.0000000000079201</v>
      </c>
    </row>
    <row r="5022" spans="1:40" x14ac:dyDescent="0.25">
      <c r="A5022" t="str">
        <f>"20190312161417000"</f>
        <v>20190312161417000</v>
      </c>
      <c r="B5022" t="str">
        <f>"1552378456991394"</f>
        <v>1552378456991394</v>
      </c>
      <c r="C5022" t="s">
        <v>40</v>
      </c>
      <c r="D5022">
        <v>5.235392</v>
      </c>
      <c r="E5022">
        <v>0.35181190000000001</v>
      </c>
      <c r="F5022" t="s">
        <v>42</v>
      </c>
      <c r="G5022">
        <v>-399.31810000000002</v>
      </c>
      <c r="H5022">
        <v>7.8095330000000004E-2</v>
      </c>
      <c r="I5022">
        <v>9.5882149999999999</v>
      </c>
      <c r="J5022">
        <v>-421.9504</v>
      </c>
      <c r="K5022">
        <v>1.1096820000000001</v>
      </c>
      <c r="L5022">
        <v>72.125460000000004</v>
      </c>
      <c r="M5022">
        <v>2.0444370000000001E-3</v>
      </c>
      <c r="N5022">
        <v>0</v>
      </c>
      <c r="O5022">
        <v>-0.99995780000000001</v>
      </c>
      <c r="P5022">
        <v>-2.8559439999999998E-2</v>
      </c>
      <c r="Q5022">
        <v>-3.2160569999999999E-2</v>
      </c>
      <c r="R5022">
        <v>-0.99907460000000003</v>
      </c>
      <c r="S5022">
        <v>1.093567</v>
      </c>
      <c r="T5022">
        <v>-4.984367E-2</v>
      </c>
      <c r="U5022">
        <v>-3.0320130000000001</v>
      </c>
      <c r="V5022">
        <v>3.0605170000000001E-2</v>
      </c>
      <c r="W5022">
        <v>-2.3202670000000002E-2</v>
      </c>
      <c r="X5022">
        <v>0.99926219999999999</v>
      </c>
      <c r="Y5022">
        <v>-0.3373159</v>
      </c>
      <c r="Z5022">
        <v>1.5467669999999999E-2</v>
      </c>
      <c r="AA5022">
        <v>0.94126449999999995</v>
      </c>
      <c r="AB5022">
        <v>21</v>
      </c>
      <c r="AC5022">
        <v>22.632299999999901</v>
      </c>
      <c r="AD5022">
        <v>-1.03158667</v>
      </c>
      <c r="AE5022">
        <v>-62.537244999999999</v>
      </c>
      <c r="AF5022">
        <v>-22.498981027602699</v>
      </c>
      <c r="AG5022">
        <v>-1.03158667</v>
      </c>
      <c r="AH5022">
        <v>62.568332996271202</v>
      </c>
      <c r="AI5022">
        <v>90.888859733324495</v>
      </c>
      <c r="AJ5022">
        <v>109.778105246245</v>
      </c>
      <c r="AK5022">
        <v>66.498606092687695</v>
      </c>
      <c r="AL5022">
        <v>91.329534388377397</v>
      </c>
      <c r="AM5022">
        <v>88.245706612515704</v>
      </c>
      <c r="AN5022">
        <v>0.99999999233734804</v>
      </c>
    </row>
    <row r="5023" spans="1:40" x14ac:dyDescent="0.25">
      <c r="A5023" t="str">
        <f>"20190312161417021"</f>
        <v>20190312161417021</v>
      </c>
      <c r="B5023" t="str">
        <f>"1552378457010914"</f>
        <v>1552378457010914</v>
      </c>
      <c r="C5023" t="s">
        <v>40</v>
      </c>
      <c r="D5023">
        <v>5.2848899999999999</v>
      </c>
      <c r="E5023">
        <v>0.3516572</v>
      </c>
      <c r="F5023" t="s">
        <v>42</v>
      </c>
      <c r="G5023">
        <v>-399.37740000000002</v>
      </c>
      <c r="H5023">
        <v>4.8823800000000001E-2</v>
      </c>
      <c r="I5023">
        <v>9.6163240000000005</v>
      </c>
      <c r="J5023">
        <v>-421.94990000000001</v>
      </c>
      <c r="K5023">
        <v>1.1096809999999999</v>
      </c>
      <c r="L5023">
        <v>71.920469999999995</v>
      </c>
      <c r="M5023">
        <v>2.1592489999999998E-3</v>
      </c>
      <c r="N5023">
        <v>0</v>
      </c>
      <c r="O5023">
        <v>-0.99995730000000005</v>
      </c>
      <c r="P5023">
        <v>-2.8948870000000002E-2</v>
      </c>
      <c r="Q5023">
        <v>-3.2737179999999998E-2</v>
      </c>
      <c r="R5023">
        <v>-0.99904470000000001</v>
      </c>
      <c r="S5023">
        <v>1.095062</v>
      </c>
      <c r="T5023">
        <v>-5.1464320000000001E-2</v>
      </c>
      <c r="U5023">
        <v>-3.0324399999999998</v>
      </c>
      <c r="V5023">
        <v>3.1109339999999999E-2</v>
      </c>
      <c r="W5023">
        <v>-2.3758680000000001E-2</v>
      </c>
      <c r="X5023">
        <v>0.9992335</v>
      </c>
      <c r="Y5023">
        <v>-0.33757340000000002</v>
      </c>
      <c r="Z5023">
        <v>1.5966279999999999E-2</v>
      </c>
      <c r="AA5023">
        <v>0.94116379999999999</v>
      </c>
      <c r="AB5023">
        <v>21</v>
      </c>
      <c r="AC5023">
        <v>22.572499999999899</v>
      </c>
      <c r="AD5023">
        <v>-1.0608571999999901</v>
      </c>
      <c r="AE5023">
        <v>-62.304146000000003</v>
      </c>
      <c r="AF5023">
        <v>-22.432162816538799</v>
      </c>
      <c r="AG5023">
        <v>-1.0608571999999901</v>
      </c>
      <c r="AH5023">
        <v>62.336766561893697</v>
      </c>
      <c r="AI5023">
        <v>90.917394166200097</v>
      </c>
      <c r="AJ5023">
        <v>109.79149337425601</v>
      </c>
      <c r="AK5023">
        <v>66.258582930957203</v>
      </c>
      <c r="AL5023">
        <v>91.361400290446298</v>
      </c>
      <c r="AM5023">
        <v>88.216774828128393</v>
      </c>
      <c r="AN5023">
        <v>0.99999992671641103</v>
      </c>
    </row>
    <row r="5024" spans="1:40" x14ac:dyDescent="0.25">
      <c r="A5024" t="str">
        <f>"20190312161417045"</f>
        <v>20190312161417045</v>
      </c>
      <c r="B5024" t="str">
        <f>"1552378457041171"</f>
        <v>1552378457041171</v>
      </c>
      <c r="C5024" t="s">
        <v>40</v>
      </c>
      <c r="D5024">
        <v>5.2073809999999998</v>
      </c>
      <c r="E5024">
        <v>0.35108660000000003</v>
      </c>
      <c r="F5024" t="s">
        <v>42</v>
      </c>
      <c r="G5024">
        <v>-399.90989999999999</v>
      </c>
      <c r="H5024" s="1">
        <v>-2.3418569999999998E-6</v>
      </c>
      <c r="I5024">
        <v>10.885579999999999</v>
      </c>
      <c r="J5024">
        <v>-421.94929999999999</v>
      </c>
      <c r="K5024">
        <v>1.1096809999999999</v>
      </c>
      <c r="L5024">
        <v>71.704899999999995</v>
      </c>
      <c r="M5024">
        <v>2.2805479999999999E-3</v>
      </c>
      <c r="N5024">
        <v>0</v>
      </c>
      <c r="O5024">
        <v>-0.99995679999999998</v>
      </c>
      <c r="P5024">
        <v>-2.8594689999999999E-2</v>
      </c>
      <c r="Q5024">
        <v>-3.2778870000000002E-2</v>
      </c>
      <c r="R5024">
        <v>-0.99905370000000004</v>
      </c>
      <c r="S5024">
        <v>1.095154</v>
      </c>
      <c r="T5024">
        <v>-5.5139300000000002E-2</v>
      </c>
      <c r="U5024">
        <v>-3.0327760000000001</v>
      </c>
      <c r="V5024">
        <v>3.087637E-2</v>
      </c>
      <c r="W5024">
        <v>-2.3780920000000001E-2</v>
      </c>
      <c r="X5024">
        <v>0.99924029999999997</v>
      </c>
      <c r="Y5024">
        <v>-0.33744469999999999</v>
      </c>
      <c r="Z5024">
        <v>1.71045999999999E-2</v>
      </c>
      <c r="AA5024">
        <v>0.94118990000000002</v>
      </c>
      <c r="AB5024">
        <v>21</v>
      </c>
      <c r="AC5024">
        <v>22.039400000000001</v>
      </c>
      <c r="AD5024">
        <v>-1.109683341857</v>
      </c>
      <c r="AE5024">
        <v>-60.819319999999898</v>
      </c>
      <c r="AF5024">
        <v>-21.894193087710601</v>
      </c>
      <c r="AG5024">
        <v>-1.109683341857</v>
      </c>
      <c r="AH5024">
        <v>60.851519611661601</v>
      </c>
      <c r="AI5024">
        <v>90.983045012777694</v>
      </c>
      <c r="AJ5024">
        <v>109.78857815632399</v>
      </c>
      <c r="AK5024">
        <v>64.6799391398105</v>
      </c>
      <c r="AL5024">
        <v>91.3626747683644</v>
      </c>
      <c r="AM5024">
        <v>88.230132462851302</v>
      </c>
      <c r="AN5024">
        <v>1.00000002976225</v>
      </c>
    </row>
    <row r="5025" spans="1:40" x14ac:dyDescent="0.25">
      <c r="A5025" t="str">
        <f>"20190312161417067"</f>
        <v>20190312161417067</v>
      </c>
      <c r="B5025" t="str">
        <f>"1552378457061666"</f>
        <v>1552378457061666</v>
      </c>
      <c r="C5025" t="s">
        <v>40</v>
      </c>
      <c r="D5025">
        <v>5.2056990000000001</v>
      </c>
      <c r="E5025">
        <v>0.35079440000000001</v>
      </c>
      <c r="F5025" t="s">
        <v>42</v>
      </c>
      <c r="G5025">
        <v>-399.44369999999998</v>
      </c>
      <c r="H5025" s="1">
        <v>-2.8373459999999999E-6</v>
      </c>
      <c r="I5025">
        <v>9.6961960000000005</v>
      </c>
      <c r="J5025">
        <v>-421.9486</v>
      </c>
      <c r="K5025">
        <v>1.1096779999999999</v>
      </c>
      <c r="L5025">
        <v>71.484589999999997</v>
      </c>
      <c r="M5025">
        <v>2.4043670000000001E-3</v>
      </c>
      <c r="N5025">
        <v>0</v>
      </c>
      <c r="O5025">
        <v>-0.99995659999999997</v>
      </c>
      <c r="P5025">
        <v>-2.812452E-2</v>
      </c>
      <c r="Q5025">
        <v>-3.272576E-2</v>
      </c>
      <c r="R5025">
        <v>-0.99906879999999998</v>
      </c>
      <c r="S5025">
        <v>1.1006469999999999</v>
      </c>
      <c r="T5025">
        <v>-5.426955E-2</v>
      </c>
      <c r="U5025">
        <v>-3.032562</v>
      </c>
      <c r="V5025">
        <v>3.052995E-2</v>
      </c>
      <c r="W5025">
        <v>-2.3709560000000001E-2</v>
      </c>
      <c r="X5025">
        <v>0.99925260000000005</v>
      </c>
      <c r="Y5025">
        <v>-0.33885779999999999</v>
      </c>
      <c r="Z5025">
        <v>1.6826549999999999E-2</v>
      </c>
      <c r="AA5025">
        <v>0.9406871</v>
      </c>
      <c r="AB5025">
        <v>21</v>
      </c>
      <c r="AC5025">
        <v>22.504899999999999</v>
      </c>
      <c r="AD5025">
        <v>-1.1096808373459901</v>
      </c>
      <c r="AE5025">
        <v>-61.788393999999997</v>
      </c>
      <c r="AF5025">
        <v>-22.349902537066701</v>
      </c>
      <c r="AG5025">
        <v>-1.1096808373459901</v>
      </c>
      <c r="AH5025">
        <v>61.8247222568314</v>
      </c>
      <c r="AI5025">
        <v>90.967044411434202</v>
      </c>
      <c r="AJ5025">
        <v>109.875140796924</v>
      </c>
      <c r="AK5025">
        <v>65.749873133805295</v>
      </c>
      <c r="AL5025">
        <v>91.358585042754996</v>
      </c>
      <c r="AM5025">
        <v>88.249998749081101</v>
      </c>
      <c r="AN5025">
        <v>0.99999998984457805</v>
      </c>
    </row>
    <row r="5026" spans="1:40" x14ac:dyDescent="0.25">
      <c r="A5026" t="str">
        <f>"20190312161417090"</f>
        <v>20190312161417090</v>
      </c>
      <c r="B5026" t="str">
        <f>"1552378457081186"</f>
        <v>1552378457081186</v>
      </c>
      <c r="C5026" t="s">
        <v>40</v>
      </c>
      <c r="D5026">
        <v>5.1956009999999999</v>
      </c>
      <c r="E5026">
        <v>0.3504835</v>
      </c>
      <c r="F5026" t="s">
        <v>42</v>
      </c>
      <c r="G5026">
        <v>-399.41149999999999</v>
      </c>
      <c r="H5026">
        <v>7.5116159999999996E-3</v>
      </c>
      <c r="I5026">
        <v>9.6163229999999995</v>
      </c>
      <c r="J5026">
        <v>-421.94799999999998</v>
      </c>
      <c r="K5026">
        <v>1.1096790000000001</v>
      </c>
      <c r="L5026">
        <v>71.269260000000003</v>
      </c>
      <c r="M5026">
        <v>2.5253860000000001E-3</v>
      </c>
      <c r="N5026">
        <v>0</v>
      </c>
      <c r="O5026">
        <v>-0.99995610000000001</v>
      </c>
      <c r="P5026">
        <v>-2.7641200000000001E-2</v>
      </c>
      <c r="Q5026">
        <v>-3.2757639999999998E-2</v>
      </c>
      <c r="R5026">
        <v>-0.99908129999999995</v>
      </c>
      <c r="S5026">
        <v>1.1045229999999999</v>
      </c>
      <c r="T5026">
        <v>-5.4016109999999999E-2</v>
      </c>
      <c r="U5026">
        <v>-3.0321039999999999</v>
      </c>
      <c r="V5026">
        <v>3.0167579999999999E-2</v>
      </c>
      <c r="W5026">
        <v>-2.372465E-2</v>
      </c>
      <c r="X5026">
        <v>0.99926329999999997</v>
      </c>
      <c r="Y5026">
        <v>-0.33985179999999998</v>
      </c>
      <c r="Z5026">
        <v>1.6743729999999998E-2</v>
      </c>
      <c r="AA5026">
        <v>0.94032990000000005</v>
      </c>
      <c r="AB5026">
        <v>21</v>
      </c>
      <c r="AC5026">
        <v>22.5365</v>
      </c>
      <c r="AD5026">
        <v>-1.1021673839999999</v>
      </c>
      <c r="AE5026">
        <v>-61.652937000000001</v>
      </c>
      <c r="AF5026">
        <v>-22.374416605663299</v>
      </c>
      <c r="AG5026">
        <v>-1.1021673839999999</v>
      </c>
      <c r="AH5026">
        <v>61.692263985492701</v>
      </c>
      <c r="AI5026">
        <v>90.962198361760102</v>
      </c>
      <c r="AJ5026">
        <v>109.93458581524099</v>
      </c>
      <c r="AK5026">
        <v>65.633564028184907</v>
      </c>
      <c r="AL5026">
        <v>91.359449808004001</v>
      </c>
      <c r="AM5026">
        <v>88.270775906781907</v>
      </c>
      <c r="AN5026">
        <v>1.00000004231378</v>
      </c>
    </row>
    <row r="5027" spans="1:40" x14ac:dyDescent="0.25">
      <c r="A5027" t="str">
        <f>"20190312161417112"</f>
        <v>20190312161417112</v>
      </c>
      <c r="B5027" t="str">
        <f>"1552378457101682"</f>
        <v>1552378457101682</v>
      </c>
      <c r="C5027" t="s">
        <v>40</v>
      </c>
      <c r="D5027">
        <v>5.1915360000000002</v>
      </c>
      <c r="E5027">
        <v>0.35015960000000002</v>
      </c>
      <c r="F5027" t="s">
        <v>42</v>
      </c>
      <c r="G5027">
        <v>-399.77659999999997</v>
      </c>
      <c r="H5027" s="1">
        <v>-2.4586200000000002E-6</v>
      </c>
      <c r="I5027">
        <v>10.639150000000001</v>
      </c>
      <c r="J5027">
        <v>-421.94729999999998</v>
      </c>
      <c r="K5027">
        <v>1.1096790000000001</v>
      </c>
      <c r="L5027">
        <v>71.051789999999997</v>
      </c>
      <c r="M5027">
        <v>2.6476389999999998E-3</v>
      </c>
      <c r="N5027">
        <v>0</v>
      </c>
      <c r="O5027">
        <v>-0.9999557</v>
      </c>
      <c r="P5027">
        <v>-2.741269E-2</v>
      </c>
      <c r="Q5027">
        <v>-3.254021E-2</v>
      </c>
      <c r="R5027">
        <v>-0.9990945</v>
      </c>
      <c r="S5027">
        <v>1.1086119999999999</v>
      </c>
      <c r="T5027">
        <v>-5.548608E-2</v>
      </c>
      <c r="U5027">
        <v>-3.0316160000000001</v>
      </c>
      <c r="V5027">
        <v>3.0061230000000001E-2</v>
      </c>
      <c r="W5027">
        <v>-2.3491620000000001E-2</v>
      </c>
      <c r="X5027">
        <v>0.99927200000000005</v>
      </c>
      <c r="Y5027">
        <v>-0.34090189999999998</v>
      </c>
      <c r="Z5027">
        <v>1.7194620000000001E-2</v>
      </c>
      <c r="AA5027">
        <v>0.93994160000000004</v>
      </c>
      <c r="AB5027">
        <v>22</v>
      </c>
      <c r="AC5027">
        <v>22.1707</v>
      </c>
      <c r="AD5027">
        <v>-1.1096814586199999</v>
      </c>
      <c r="AE5027">
        <v>-60.412640000000003</v>
      </c>
      <c r="AF5027">
        <v>-22.004121977285301</v>
      </c>
      <c r="AG5027">
        <v>-1.1096814586199999</v>
      </c>
      <c r="AH5027">
        <v>60.453154908714602</v>
      </c>
      <c r="AI5027">
        <v>90.988194643232603</v>
      </c>
      <c r="AJ5027">
        <v>110.00081432199801</v>
      </c>
      <c r="AK5027">
        <v>64.342806243960993</v>
      </c>
      <c r="AL5027">
        <v>91.346094464814598</v>
      </c>
      <c r="AM5027">
        <v>88.276883265194698</v>
      </c>
      <c r="AN5027">
        <v>1.00000003187166</v>
      </c>
    </row>
    <row r="5028" spans="1:40" x14ac:dyDescent="0.25">
      <c r="A5028" t="str">
        <f>"20190312161417134"</f>
        <v>20190312161417134</v>
      </c>
      <c r="B5028" t="str">
        <f>"1552378457130962"</f>
        <v>1552378457130962</v>
      </c>
      <c r="C5028" t="s">
        <v>40</v>
      </c>
      <c r="D5028">
        <v>5.1425179999999999</v>
      </c>
      <c r="E5028">
        <v>0.34954479999999999</v>
      </c>
      <c r="F5028" t="s">
        <v>42</v>
      </c>
      <c r="G5028">
        <v>-399.41399999999999</v>
      </c>
      <c r="H5028">
        <v>1.7398319999999998E-2</v>
      </c>
      <c r="I5028">
        <v>9.6163229999999995</v>
      </c>
      <c r="J5028">
        <v>-421.94659999999999</v>
      </c>
      <c r="K5028">
        <v>1.109683</v>
      </c>
      <c r="L5028">
        <v>70.840850000000003</v>
      </c>
      <c r="M5028">
        <v>2.7664930000000001E-3</v>
      </c>
      <c r="N5028">
        <v>0</v>
      </c>
      <c r="O5028">
        <v>-0.99995520000000004</v>
      </c>
      <c r="P5028">
        <v>-2.705254E-2</v>
      </c>
      <c r="Q5028">
        <v>-3.2397059999999998E-2</v>
      </c>
      <c r="R5028">
        <v>-0.99910900000000002</v>
      </c>
      <c r="S5028">
        <v>1.111877</v>
      </c>
      <c r="T5028">
        <v>-5.3897380000000002E-2</v>
      </c>
      <c r="U5028">
        <v>-3.0314640000000002</v>
      </c>
      <c r="V5028">
        <v>2.981984E-2</v>
      </c>
      <c r="W5028">
        <v>-2.333495E-2</v>
      </c>
      <c r="X5028">
        <v>0.99928289999999997</v>
      </c>
      <c r="Y5028">
        <v>-0.34170109999999998</v>
      </c>
      <c r="Z5028">
        <v>1.6697730000000001E-2</v>
      </c>
      <c r="AA5028">
        <v>0.93966039999999995</v>
      </c>
      <c r="AB5028">
        <v>22</v>
      </c>
      <c r="AC5028">
        <v>22.532599999999999</v>
      </c>
      <c r="AD5028">
        <v>-1.0922846799999999</v>
      </c>
      <c r="AE5028">
        <v>-61.224527000000002</v>
      </c>
      <c r="AF5028">
        <v>-22.356862531173</v>
      </c>
      <c r="AG5028">
        <v>-1.0922846799999999</v>
      </c>
      <c r="AH5028">
        <v>61.269456487006899</v>
      </c>
      <c r="AI5028">
        <v>90.959468207389705</v>
      </c>
      <c r="AJ5028">
        <v>110.04672712926001</v>
      </c>
      <c r="AK5028">
        <v>65.230121004587701</v>
      </c>
      <c r="AL5028">
        <v>91.337115478439202</v>
      </c>
      <c r="AM5028">
        <v>88.290730188690503</v>
      </c>
      <c r="AN5028">
        <v>1.00000002849076</v>
      </c>
    </row>
    <row r="5029" spans="1:40" x14ac:dyDescent="0.25">
      <c r="A5029" t="str">
        <f>"20190312161417157"</f>
        <v>20190312161417157</v>
      </c>
      <c r="B5029" t="str">
        <f>"1552378457151458"</f>
        <v>1552378457151458</v>
      </c>
      <c r="C5029" t="s">
        <v>40</v>
      </c>
      <c r="D5029">
        <v>5.1555070000000001</v>
      </c>
      <c r="E5029">
        <v>0.34916619999999998</v>
      </c>
      <c r="F5029" t="s">
        <v>42</v>
      </c>
      <c r="G5029">
        <v>-399.37419999999997</v>
      </c>
      <c r="H5029">
        <v>5.1991469999999998E-2</v>
      </c>
      <c r="I5029">
        <v>9.6143190000000001</v>
      </c>
      <c r="J5029">
        <v>-421.94589999999999</v>
      </c>
      <c r="K5029">
        <v>1.109691</v>
      </c>
      <c r="L5029">
        <v>70.621250000000003</v>
      </c>
      <c r="M5029">
        <v>2.8895800000000001E-3</v>
      </c>
      <c r="N5029">
        <v>0</v>
      </c>
      <c r="O5029">
        <v>-0.99995469999999997</v>
      </c>
      <c r="P5029">
        <v>-2.6207459999999998E-2</v>
      </c>
      <c r="Q5029">
        <v>-3.1585490000000001E-2</v>
      </c>
      <c r="R5029">
        <v>-0.99915750000000003</v>
      </c>
      <c r="S5029">
        <v>1.117523</v>
      </c>
      <c r="T5029">
        <v>-5.2364470000000003E-2</v>
      </c>
      <c r="U5029">
        <v>-3.0312190000000001</v>
      </c>
      <c r="V5029">
        <v>2.9097789999999998E-2</v>
      </c>
      <c r="W5029">
        <v>-2.251071E-2</v>
      </c>
      <c r="X5029">
        <v>0.99932310000000002</v>
      </c>
      <c r="Y5029">
        <v>-0.34315380000000001</v>
      </c>
      <c r="Z5029">
        <v>1.6214699999999999E-2</v>
      </c>
      <c r="AA5029">
        <v>0.93913919999999995</v>
      </c>
      <c r="AB5029">
        <v>22</v>
      </c>
      <c r="AC5029">
        <v>22.5717</v>
      </c>
      <c r="AD5029">
        <v>-1.0576995300000001</v>
      </c>
      <c r="AE5029">
        <v>-61.006931000000002</v>
      </c>
      <c r="AF5029">
        <v>-22.389394528579899</v>
      </c>
      <c r="AG5029">
        <v>-1.0576995300000001</v>
      </c>
      <c r="AH5029">
        <v>61.055759056913999</v>
      </c>
      <c r="AI5029">
        <v>90.931800959908998</v>
      </c>
      <c r="AJ5029">
        <v>110.13819180884801</v>
      </c>
      <c r="AK5029">
        <v>65.040060191147603</v>
      </c>
      <c r="AL5029">
        <v>91.289877583334601</v>
      </c>
      <c r="AM5029">
        <v>88.332161401584301</v>
      </c>
      <c r="AN5029">
        <v>1.00000003582059</v>
      </c>
    </row>
    <row r="5030" spans="1:40" x14ac:dyDescent="0.25">
      <c r="A5030" t="str">
        <f>"20190312161417179"</f>
        <v>20190312161417179</v>
      </c>
      <c r="B5030" t="str">
        <f>"1552378457170978"</f>
        <v>1552378457170978</v>
      </c>
      <c r="C5030" t="s">
        <v>40</v>
      </c>
      <c r="D5030">
        <v>5.3070490000000001</v>
      </c>
      <c r="E5030">
        <v>0.34901399999999999</v>
      </c>
      <c r="F5030" t="s">
        <v>42</v>
      </c>
      <c r="G5030">
        <v>-398.23129999999998</v>
      </c>
      <c r="H5030">
        <v>7.9985929999999997E-2</v>
      </c>
      <c r="I5030">
        <v>6.6448299999999998</v>
      </c>
      <c r="J5030">
        <v>-421.94510000000002</v>
      </c>
      <c r="K5030">
        <v>1.109691</v>
      </c>
      <c r="L5030">
        <v>70.401519999999906</v>
      </c>
      <c r="M5030">
        <v>3.0125799999999999E-3</v>
      </c>
      <c r="N5030">
        <v>0</v>
      </c>
      <c r="O5030">
        <v>-0.99995420000000002</v>
      </c>
      <c r="P5030">
        <v>-2.61587E-2</v>
      </c>
      <c r="Q5030">
        <v>-3.1129500000000001E-2</v>
      </c>
      <c r="R5030">
        <v>-0.99917299999999998</v>
      </c>
      <c r="S5030">
        <v>1.1233219999999999</v>
      </c>
      <c r="T5030">
        <v>-4.8775430000000002E-2</v>
      </c>
      <c r="U5030">
        <v>-3.0304570000000002</v>
      </c>
      <c r="V5030">
        <v>2.9171929999999999E-2</v>
      </c>
      <c r="W5030">
        <v>-2.2043400000000001E-2</v>
      </c>
      <c r="X5030">
        <v>0.99933130000000003</v>
      </c>
      <c r="Y5030">
        <v>-0.34470139999999999</v>
      </c>
      <c r="Z5030">
        <v>1.5097930000000001E-2</v>
      </c>
      <c r="AA5030">
        <v>0.93859090000000001</v>
      </c>
      <c r="AB5030">
        <v>22</v>
      </c>
      <c r="AC5030">
        <v>23.713799999999999</v>
      </c>
      <c r="AD5030">
        <v>-1.0297050699999999</v>
      </c>
      <c r="AE5030">
        <v>-63.756689999999899</v>
      </c>
      <c r="AF5030">
        <v>-23.516223808401801</v>
      </c>
      <c r="AG5030">
        <v>-1.0297050699999999</v>
      </c>
      <c r="AH5030">
        <v>63.813221134589902</v>
      </c>
      <c r="AI5030">
        <v>90.867440828986702</v>
      </c>
      <c r="AJ5030">
        <v>110.22967356549999</v>
      </c>
      <c r="AK5030">
        <v>68.016176504638196</v>
      </c>
      <c r="AL5030">
        <v>91.263096117530196</v>
      </c>
      <c r="AM5030">
        <v>88.327927937684294</v>
      </c>
      <c r="AN5030">
        <v>0.99999998007158697</v>
      </c>
    </row>
    <row r="5031" spans="1:40" x14ac:dyDescent="0.25">
      <c r="A5031" t="str">
        <f>"20190312161417201"</f>
        <v>20190312161417201</v>
      </c>
      <c r="B5031" t="str">
        <f>"1552378457191474"</f>
        <v>1552378457191474</v>
      </c>
      <c r="C5031" t="s">
        <v>40</v>
      </c>
      <c r="D5031">
        <v>5.2389359999999998</v>
      </c>
      <c r="E5031">
        <v>0.3821272</v>
      </c>
      <c r="F5031" t="s">
        <v>41</v>
      </c>
      <c r="G5031">
        <v>-393.69459999999998</v>
      </c>
      <c r="H5031">
        <v>-0.05</v>
      </c>
      <c r="I5031">
        <v>-5.7277979999999999</v>
      </c>
      <c r="J5031">
        <v>-421.9443</v>
      </c>
      <c r="K5031">
        <v>1.1096900000000001</v>
      </c>
      <c r="L5031">
        <v>70.18777</v>
      </c>
      <c r="M5031">
        <v>3.132325E-3</v>
      </c>
      <c r="N5031">
        <v>0</v>
      </c>
      <c r="O5031">
        <v>-0.99995400000000001</v>
      </c>
      <c r="P5031">
        <v>-2.635765E-2</v>
      </c>
      <c r="Q5031">
        <v>-3.1272620000000001E-2</v>
      </c>
      <c r="R5031">
        <v>-0.99916360000000004</v>
      </c>
      <c r="S5031">
        <v>1.124573</v>
      </c>
      <c r="T5031">
        <v>-4.6163919999999997E-2</v>
      </c>
      <c r="U5031">
        <v>-3.0304869999999999</v>
      </c>
      <c r="V5031">
        <v>2.9490539999999999E-2</v>
      </c>
      <c r="W5031">
        <v>-2.2176640000000001E-2</v>
      </c>
      <c r="X5031">
        <v>0.99931899999999996</v>
      </c>
      <c r="Y5031">
        <v>-0.34493069999999998</v>
      </c>
      <c r="Z5031">
        <v>1.428798E-2</v>
      </c>
      <c r="AA5031">
        <v>0.9385194</v>
      </c>
      <c r="AB5031">
        <v>22</v>
      </c>
      <c r="AC5031">
        <v>28.249700000000001</v>
      </c>
      <c r="AD5031">
        <v>-1.1596899999999899</v>
      </c>
      <c r="AE5031">
        <v>-75.915567999999993</v>
      </c>
      <c r="AF5031">
        <v>-28.006018886584201</v>
      </c>
      <c r="AG5031">
        <v>-1.1596899999999899</v>
      </c>
      <c r="AH5031">
        <v>75.988110819762994</v>
      </c>
      <c r="AI5031">
        <v>90.820411245582505</v>
      </c>
      <c r="AJ5031">
        <v>110.231763057199</v>
      </c>
      <c r="AK5031">
        <v>80.993055015404806</v>
      </c>
      <c r="AL5031">
        <v>91.270732074689107</v>
      </c>
      <c r="AM5031">
        <v>88.309655644333603</v>
      </c>
      <c r="AN5031">
        <v>0.99999997953608999</v>
      </c>
    </row>
    <row r="5032" spans="1:40" x14ac:dyDescent="0.25">
      <c r="A5032" t="str">
        <f>"20190312161417223"</f>
        <v>20190312161417223</v>
      </c>
      <c r="B5032" t="str">
        <f>"1552378457210994"</f>
        <v>1552378457210994</v>
      </c>
      <c r="C5032" t="s">
        <v>40</v>
      </c>
      <c r="D5032">
        <v>5.2200709999999999</v>
      </c>
      <c r="E5032">
        <v>0.39595710000000001</v>
      </c>
      <c r="F5032" t="s">
        <v>77</v>
      </c>
      <c r="G5032">
        <v>-411.51990000000001</v>
      </c>
      <c r="H5032" s="1">
        <v>-5.5383879999999999E-6</v>
      </c>
      <c r="I5032">
        <v>33.58972</v>
      </c>
      <c r="J5032">
        <v>-421.94349999999997</v>
      </c>
      <c r="K5032">
        <v>1.1096919999999999</v>
      </c>
      <c r="L5032">
        <v>69.975099999999998</v>
      </c>
      <c r="M5032">
        <v>3.2518429999999999E-3</v>
      </c>
      <c r="N5032">
        <v>0</v>
      </c>
      <c r="O5032">
        <v>-0.99995350000000005</v>
      </c>
      <c r="P5032">
        <v>-2.7041969999999999E-2</v>
      </c>
      <c r="Q5032">
        <v>-3.1391049999999997E-2</v>
      </c>
      <c r="R5032">
        <v>-0.99914179999999997</v>
      </c>
      <c r="S5032">
        <v>0.86087039999999904</v>
      </c>
      <c r="T5032">
        <v>-9.1640830000000006E-2</v>
      </c>
      <c r="U5032">
        <v>-3.0223390000000001</v>
      </c>
      <c r="V5032">
        <v>3.029422E-2</v>
      </c>
      <c r="W5032">
        <v>-2.2286279999999999E-2</v>
      </c>
      <c r="X5032">
        <v>0.99929259999999998</v>
      </c>
      <c r="Y5032">
        <v>-0.2706945</v>
      </c>
      <c r="Z5032">
        <v>2.9161820000000001E-2</v>
      </c>
      <c r="AA5032">
        <v>0.96222350000000001</v>
      </c>
      <c r="AB5032">
        <v>22</v>
      </c>
      <c r="AC5032">
        <v>10.423599999999899</v>
      </c>
      <c r="AD5032">
        <v>-1.1096975383879999</v>
      </c>
      <c r="AE5032">
        <v>-36.385379999999998</v>
      </c>
      <c r="AF5032">
        <v>-10.2963696254492</v>
      </c>
      <c r="AG5032">
        <v>-1.1096975383879999</v>
      </c>
      <c r="AH5032">
        <v>36.387805677007798</v>
      </c>
      <c r="AI5032">
        <v>91.680820443229294</v>
      </c>
      <c r="AJ5032">
        <v>105.79950214212199</v>
      </c>
      <c r="AK5032">
        <v>37.832777562297203</v>
      </c>
      <c r="AL5032">
        <v>91.277015435256104</v>
      </c>
      <c r="AM5032">
        <v>88.263572143412006</v>
      </c>
      <c r="AN5032">
        <v>1.0000000592281999</v>
      </c>
    </row>
    <row r="5033" spans="1:40" x14ac:dyDescent="0.25">
      <c r="A5033" t="str">
        <f>"20190312161417246"</f>
        <v>20190312161417246</v>
      </c>
      <c r="B5033" t="str">
        <f>"1552378457241250"</f>
        <v>1552378457241250</v>
      </c>
      <c r="C5033" t="s">
        <v>40</v>
      </c>
      <c r="D5033">
        <v>5.1674179999999996</v>
      </c>
      <c r="E5033">
        <v>0.40363060000000001</v>
      </c>
      <c r="F5033" t="s">
        <v>77</v>
      </c>
      <c r="G5033">
        <v>-413.56299999999999</v>
      </c>
      <c r="H5033" s="1">
        <v>-3.7418739999999998E-6</v>
      </c>
      <c r="I5033">
        <v>36.175150000000002</v>
      </c>
      <c r="J5033">
        <v>-421.9427</v>
      </c>
      <c r="K5033">
        <v>1.1096919999999999</v>
      </c>
      <c r="L5033">
        <v>69.757019999999997</v>
      </c>
      <c r="M5033">
        <v>3.3738739999999998E-3</v>
      </c>
      <c r="N5033">
        <v>0</v>
      </c>
      <c r="O5033">
        <v>-0.99995299999999998</v>
      </c>
      <c r="P5033">
        <v>-2.7499139999999998E-2</v>
      </c>
      <c r="Q5033">
        <v>-3.0829909999999999E-2</v>
      </c>
      <c r="R5033">
        <v>-0.99914630000000004</v>
      </c>
      <c r="S5033">
        <v>0.74871829999999995</v>
      </c>
      <c r="T5033">
        <v>-9.9141119999999999E-2</v>
      </c>
      <c r="U5033">
        <v>-3.019714</v>
      </c>
      <c r="V5033">
        <v>3.0873270000000001E-2</v>
      </c>
      <c r="W5033">
        <v>-2.1716840000000001E-2</v>
      </c>
      <c r="X5033">
        <v>0.99928740000000005</v>
      </c>
      <c r="Y5033">
        <v>-0.2372581</v>
      </c>
      <c r="Z5033">
        <v>3.1862979999999999E-2</v>
      </c>
      <c r="AA5033">
        <v>0.97092400000000001</v>
      </c>
      <c r="AB5033">
        <v>22</v>
      </c>
      <c r="AC5033">
        <v>8.37969999999995</v>
      </c>
      <c r="AD5033">
        <v>-1.1096957418740001</v>
      </c>
      <c r="AE5033">
        <v>-33.581869999999903</v>
      </c>
      <c r="AF5033">
        <v>-8.2578580951124305</v>
      </c>
      <c r="AG5033">
        <v>-1.1096957418740001</v>
      </c>
      <c r="AH5033">
        <v>33.575438753034199</v>
      </c>
      <c r="AI5033">
        <v>91.838240348283506</v>
      </c>
      <c r="AJ5033">
        <v>103.817604281092</v>
      </c>
      <c r="AK5033">
        <v>34.593839515400703</v>
      </c>
      <c r="AL5033">
        <v>91.244381047574393</v>
      </c>
      <c r="AM5033">
        <v>88.2303934040672</v>
      </c>
      <c r="AN5033">
        <v>1.0000000438694101</v>
      </c>
    </row>
    <row r="5034" spans="1:40" x14ac:dyDescent="0.25">
      <c r="A5034" t="str">
        <f>"20190312161417268"</f>
        <v>20190312161417268</v>
      </c>
      <c r="B5034" t="str">
        <f>"1552378457261750"</f>
        <v>1552378457261750</v>
      </c>
      <c r="C5034" t="s">
        <v>40</v>
      </c>
      <c r="D5034">
        <v>5.1991959999999997</v>
      </c>
      <c r="E5034">
        <v>0.4057849</v>
      </c>
      <c r="F5034" t="s">
        <v>77</v>
      </c>
      <c r="G5034">
        <v>-414.35390000000001</v>
      </c>
      <c r="H5034" s="1">
        <v>-3.4550649999999998E-6</v>
      </c>
      <c r="I5034">
        <v>36.378909999999998</v>
      </c>
      <c r="J5034">
        <v>-421.9418</v>
      </c>
      <c r="K5034">
        <v>1.1096950000000001</v>
      </c>
      <c r="L5034">
        <v>69.533779999999993</v>
      </c>
      <c r="M5034">
        <v>3.4990759999999998E-3</v>
      </c>
      <c r="N5034">
        <v>0</v>
      </c>
      <c r="O5034">
        <v>-0.99995230000000002</v>
      </c>
      <c r="P5034">
        <v>-2.7927420000000001E-2</v>
      </c>
      <c r="Q5034">
        <v>-3.0365710000000001E-2</v>
      </c>
      <c r="R5034">
        <v>-0.99914860000000005</v>
      </c>
      <c r="S5034">
        <v>0.68624879999999999</v>
      </c>
      <c r="T5034">
        <v>-0.10034940000000001</v>
      </c>
      <c r="U5034">
        <v>-3.0183719999999998</v>
      </c>
      <c r="V5034">
        <v>3.1426589999999997E-2</v>
      </c>
      <c r="W5034">
        <v>-2.1245030000000002E-2</v>
      </c>
      <c r="X5034">
        <v>0.99928030000000001</v>
      </c>
      <c r="Y5034">
        <v>-0.21816949999999999</v>
      </c>
      <c r="Z5034">
        <v>3.2414180000000001E-2</v>
      </c>
      <c r="AA5034">
        <v>0.97537240000000003</v>
      </c>
      <c r="AB5034">
        <v>22</v>
      </c>
      <c r="AC5034">
        <v>7.5878999999999897</v>
      </c>
      <c r="AD5034">
        <v>-1.109698455065</v>
      </c>
      <c r="AE5034">
        <v>-33.154870000000003</v>
      </c>
      <c r="AF5034">
        <v>-7.4638920364397299</v>
      </c>
      <c r="AG5034">
        <v>-1.109698455065</v>
      </c>
      <c r="AH5034">
        <v>33.145935081899999</v>
      </c>
      <c r="AI5034">
        <v>91.870691243839701</v>
      </c>
      <c r="AJ5034">
        <v>102.690348085709</v>
      </c>
      <c r="AK5034">
        <v>33.994030761978301</v>
      </c>
      <c r="AL5034">
        <v>91.217342080397799</v>
      </c>
      <c r="AM5034">
        <v>88.198685904366897</v>
      </c>
      <c r="AN5034">
        <v>1.0000000499134001</v>
      </c>
    </row>
    <row r="5035" spans="1:40" x14ac:dyDescent="0.25">
      <c r="A5035" t="str">
        <f>"20190312161417291"</f>
        <v>20190312161417291</v>
      </c>
      <c r="B5035" t="str">
        <f>"1552378457281266"</f>
        <v>1552378457281266</v>
      </c>
      <c r="C5035" t="s">
        <v>40</v>
      </c>
      <c r="D5035">
        <v>5.1599779999999997</v>
      </c>
      <c r="E5035">
        <v>0.40694710000000001</v>
      </c>
      <c r="F5035" t="s">
        <v>77</v>
      </c>
      <c r="G5035">
        <v>-414.53410000000002</v>
      </c>
      <c r="H5035" s="1">
        <v>-3.5973709999999999E-6</v>
      </c>
      <c r="I5035">
        <v>36.04569</v>
      </c>
      <c r="J5035">
        <v>-421.9409</v>
      </c>
      <c r="K5035">
        <v>1.109693</v>
      </c>
      <c r="L5035">
        <v>69.31241</v>
      </c>
      <c r="M5035">
        <v>3.6231940000000002E-3</v>
      </c>
      <c r="N5035">
        <v>0</v>
      </c>
      <c r="O5035">
        <v>-0.99995179999999995</v>
      </c>
      <c r="P5035">
        <v>-2.8102490000000001E-2</v>
      </c>
      <c r="Q5035">
        <v>-3.0487380000000001E-2</v>
      </c>
      <c r="R5035">
        <v>-0.99914009999999998</v>
      </c>
      <c r="S5035">
        <v>0.66763309999999998</v>
      </c>
      <c r="T5035">
        <v>-0.10001409999999999</v>
      </c>
      <c r="U5035">
        <v>-3.0181879999999999</v>
      </c>
      <c r="V5035">
        <v>3.1725669999999997E-2</v>
      </c>
      <c r="W5035">
        <v>-2.1360029999999999E-2</v>
      </c>
      <c r="X5035">
        <v>0.99926839999999995</v>
      </c>
      <c r="Y5035">
        <v>-0.21232999999999999</v>
      </c>
      <c r="Z5035">
        <v>3.2350450000000003E-2</v>
      </c>
      <c r="AA5035">
        <v>0.97666240000000004</v>
      </c>
      <c r="AB5035">
        <v>22</v>
      </c>
      <c r="AC5035">
        <v>7.4067999999999703</v>
      </c>
      <c r="AD5035">
        <v>-1.109696597371</v>
      </c>
      <c r="AE5035">
        <v>-33.266719999999999</v>
      </c>
      <c r="AF5035">
        <v>-7.2784981248632903</v>
      </c>
      <c r="AG5035">
        <v>-1.109696597371</v>
      </c>
      <c r="AH5035">
        <v>33.258079752277901</v>
      </c>
      <c r="AI5035">
        <v>91.866883099310897</v>
      </c>
      <c r="AJ5035">
        <v>102.344501450498</v>
      </c>
      <c r="AK5035">
        <v>34.063291536502099</v>
      </c>
      <c r="AL5035">
        <v>91.223932587553904</v>
      </c>
      <c r="AM5035">
        <v>88.181533005644397</v>
      </c>
      <c r="AN5035">
        <v>1.0000000521285499</v>
      </c>
    </row>
    <row r="5036" spans="1:40" x14ac:dyDescent="0.25">
      <c r="A5036" t="str">
        <f>"20190312161417313"</f>
        <v>20190312161417313</v>
      </c>
      <c r="B5036" t="str">
        <f>"1552378457301762"</f>
        <v>1552378457301762</v>
      </c>
      <c r="C5036" t="s">
        <v>40</v>
      </c>
      <c r="D5036">
        <v>5.2040129999999998</v>
      </c>
      <c r="E5036">
        <v>0.40775689999999998</v>
      </c>
      <c r="F5036" t="s">
        <v>77</v>
      </c>
      <c r="G5036">
        <v>-414.76069999999999</v>
      </c>
      <c r="H5036" s="1">
        <v>-3.3730970000000001E-6</v>
      </c>
      <c r="I5036">
        <v>36.363860000000003</v>
      </c>
      <c r="J5036">
        <v>-421.93990000000002</v>
      </c>
      <c r="K5036">
        <v>1.1096919999999999</v>
      </c>
      <c r="L5036">
        <v>69.0946</v>
      </c>
      <c r="M5036">
        <v>3.7452050000000001E-3</v>
      </c>
      <c r="N5036">
        <v>0</v>
      </c>
      <c r="O5036">
        <v>-0.99995160000000005</v>
      </c>
      <c r="P5036">
        <v>-2.7667859999999999E-2</v>
      </c>
      <c r="Q5036">
        <v>-3.1043939999999999E-2</v>
      </c>
      <c r="R5036">
        <v>-0.99913540000000001</v>
      </c>
      <c r="S5036">
        <v>0.6576843</v>
      </c>
      <c r="T5036">
        <v>-0.1016455</v>
      </c>
      <c r="U5036">
        <v>-3.018005</v>
      </c>
      <c r="V5036">
        <v>3.141302E-2</v>
      </c>
      <c r="W5036">
        <v>-2.1910639999999999E-2</v>
      </c>
      <c r="X5036">
        <v>0.99926630000000005</v>
      </c>
      <c r="Y5036">
        <v>-0.20914679999999999</v>
      </c>
      <c r="Z5036">
        <v>3.290237E-2</v>
      </c>
      <c r="AA5036">
        <v>0.97733060000000005</v>
      </c>
      <c r="AB5036">
        <v>22</v>
      </c>
      <c r="AC5036">
        <v>7.17920000000003</v>
      </c>
      <c r="AD5036">
        <v>-1.1096953730969901</v>
      </c>
      <c r="AE5036">
        <v>-32.730739999999997</v>
      </c>
      <c r="AF5036">
        <v>-7.0488307715268004</v>
      </c>
      <c r="AG5036">
        <v>-1.1096953730969901</v>
      </c>
      <c r="AH5036">
        <v>32.7215133558947</v>
      </c>
      <c r="AI5036">
        <v>91.898821009210295</v>
      </c>
      <c r="AJ5036">
        <v>102.156816212358</v>
      </c>
      <c r="AK5036">
        <v>33.490519186281603</v>
      </c>
      <c r="AL5036">
        <v>91.255487671887394</v>
      </c>
      <c r="AM5036">
        <v>88.199437990193999</v>
      </c>
      <c r="AN5036">
        <v>0.99999999614321</v>
      </c>
    </row>
    <row r="5037" spans="1:40" x14ac:dyDescent="0.25">
      <c r="A5037" t="str">
        <f>"20190312161417334"</f>
        <v>20190312161417334</v>
      </c>
      <c r="B5037" t="str">
        <f>"1552378457332018"</f>
        <v>1552378457332018</v>
      </c>
      <c r="C5037" t="s">
        <v>40</v>
      </c>
      <c r="D5037">
        <v>5.2631860000000001</v>
      </c>
      <c r="E5037">
        <v>0.4087983</v>
      </c>
      <c r="F5037" t="s">
        <v>77</v>
      </c>
      <c r="G5037">
        <v>-415.00659999999999</v>
      </c>
      <c r="H5037" s="1">
        <v>-2.9402459999999998E-6</v>
      </c>
      <c r="I5037">
        <v>37.055619999999998</v>
      </c>
      <c r="J5037">
        <v>-421.93900000000002</v>
      </c>
      <c r="K5037">
        <v>1.109688</v>
      </c>
      <c r="L5037">
        <v>68.879580000000004</v>
      </c>
      <c r="M5037">
        <v>3.8656749999999998E-3</v>
      </c>
      <c r="N5037">
        <v>0</v>
      </c>
      <c r="O5037">
        <v>-0.99995060000000002</v>
      </c>
      <c r="P5037">
        <v>-2.7220640000000001E-2</v>
      </c>
      <c r="Q5037">
        <v>-3.110367E-2</v>
      </c>
      <c r="R5037">
        <v>-0.99914539999999996</v>
      </c>
      <c r="S5037">
        <v>0.65298459999999903</v>
      </c>
      <c r="T5037">
        <v>-0.1045109</v>
      </c>
      <c r="U5037">
        <v>-3.0174259999999999</v>
      </c>
      <c r="V5037">
        <v>3.1086229999999999E-2</v>
      </c>
      <c r="W5037">
        <v>-2.1964870000000001E-2</v>
      </c>
      <c r="X5037">
        <v>0.99927529999999998</v>
      </c>
      <c r="Y5037">
        <v>-0.2076075</v>
      </c>
      <c r="Z5037">
        <v>3.3846290000000001E-2</v>
      </c>
      <c r="AA5037">
        <v>0.97762649999999995</v>
      </c>
      <c r="AB5037">
        <v>22</v>
      </c>
      <c r="AC5037">
        <v>6.9324000000000296</v>
      </c>
      <c r="AD5037">
        <v>-1.109690940246</v>
      </c>
      <c r="AE5037">
        <v>-31.8239599999999</v>
      </c>
      <c r="AF5037">
        <v>-6.8014267862519899</v>
      </c>
      <c r="AG5037">
        <v>-1.109690940246</v>
      </c>
      <c r="AH5037">
        <v>31.813592177467999</v>
      </c>
      <c r="AI5037">
        <v>91.953614105303799</v>
      </c>
      <c r="AJ5037">
        <v>102.067597046969</v>
      </c>
      <c r="AK5037">
        <v>32.551428041575399</v>
      </c>
      <c r="AL5037">
        <v>91.258595606407994</v>
      </c>
      <c r="AM5037">
        <v>88.218173156528394</v>
      </c>
      <c r="AN5037">
        <v>0.99999996719990902</v>
      </c>
    </row>
    <row r="5038" spans="1:40" x14ac:dyDescent="0.25">
      <c r="A5038" t="str">
        <f>"20190312161417358"</f>
        <v>20190312161417358</v>
      </c>
      <c r="B5038" t="str">
        <f>"1552378457351539"</f>
        <v>1552378457351539</v>
      </c>
      <c r="C5038" t="s">
        <v>40</v>
      </c>
      <c r="D5038">
        <v>5.2196879999999997</v>
      </c>
      <c r="E5038">
        <v>0.4091477</v>
      </c>
      <c r="F5038" t="s">
        <v>77</v>
      </c>
      <c r="G5038">
        <v>-415.43810000000002</v>
      </c>
      <c r="H5038" s="1">
        <v>-1.9015510000000001E-6</v>
      </c>
      <c r="I5038">
        <v>38.514150000000001</v>
      </c>
      <c r="J5038">
        <v>-421.93790000000001</v>
      </c>
      <c r="K5038">
        <v>1.1096839999999999</v>
      </c>
      <c r="L5038">
        <v>68.645049999999998</v>
      </c>
      <c r="M5038">
        <v>3.9970939999999996E-3</v>
      </c>
      <c r="N5038">
        <v>0</v>
      </c>
      <c r="O5038">
        <v>-0.99995020000000001</v>
      </c>
      <c r="P5038">
        <v>-2.6755629999999999E-2</v>
      </c>
      <c r="Q5038">
        <v>-3.1335839999999997E-2</v>
      </c>
      <c r="R5038">
        <v>-0.99915089999999995</v>
      </c>
      <c r="S5038">
        <v>0.64584350000000001</v>
      </c>
      <c r="T5038">
        <v>-0.1102448</v>
      </c>
      <c r="U5038">
        <v>-3.016724</v>
      </c>
      <c r="V5038">
        <v>3.075259E-2</v>
      </c>
      <c r="W5038">
        <v>-2.2191559999999999E-2</v>
      </c>
      <c r="X5038">
        <v>0.99928059999999996</v>
      </c>
      <c r="Y5038">
        <v>-0.20530000000000001</v>
      </c>
      <c r="Z5038">
        <v>3.5726519999999998E-2</v>
      </c>
      <c r="AA5038">
        <v>0.97804679999999999</v>
      </c>
      <c r="AB5038">
        <v>22</v>
      </c>
      <c r="AC5038">
        <v>6.4997999999999898</v>
      </c>
      <c r="AD5038">
        <v>-1.1096859015510001</v>
      </c>
      <c r="AE5038">
        <v>-30.1309</v>
      </c>
      <c r="AF5038">
        <v>-6.3710497868849103</v>
      </c>
      <c r="AG5038">
        <v>-1.1096859015510001</v>
      </c>
      <c r="AH5038">
        <v>30.1176067025207</v>
      </c>
      <c r="AI5038">
        <v>92.0644687142414</v>
      </c>
      <c r="AJ5038">
        <v>101.94420923625999</v>
      </c>
      <c r="AK5038">
        <v>30.804089203785701</v>
      </c>
      <c r="AL5038">
        <v>91.271587172764399</v>
      </c>
      <c r="AM5038">
        <v>88.237294229463004</v>
      </c>
      <c r="AN5038">
        <v>0.99999995233164896</v>
      </c>
    </row>
    <row r="5039" spans="1:40" x14ac:dyDescent="0.25">
      <c r="A5039" t="str">
        <f>"20190312161417379"</f>
        <v>20190312161417379</v>
      </c>
      <c r="B5039" t="str">
        <f>"1552378457372034"</f>
        <v>1552378457372034</v>
      </c>
      <c r="C5039" t="s">
        <v>40</v>
      </c>
      <c r="D5039">
        <v>5.2731879999999904</v>
      </c>
      <c r="E5039">
        <v>0.40945389999999998</v>
      </c>
      <c r="F5039" t="s">
        <v>77</v>
      </c>
      <c r="G5039">
        <v>-415.5247</v>
      </c>
      <c r="H5039" s="1">
        <v>-1.8090839999999999E-6</v>
      </c>
      <c r="I5039">
        <v>38.623390000000001</v>
      </c>
      <c r="J5039">
        <v>-421.93700000000001</v>
      </c>
      <c r="K5039">
        <v>1.1096820000000001</v>
      </c>
      <c r="L5039">
        <v>68.433229999999995</v>
      </c>
      <c r="M5039">
        <v>4.1157609999999999E-3</v>
      </c>
      <c r="N5039">
        <v>0</v>
      </c>
      <c r="O5039">
        <v>-0.99994989999999995</v>
      </c>
      <c r="P5039">
        <v>-2.6567250000000001E-2</v>
      </c>
      <c r="Q5039">
        <v>-3.1858419999999998E-2</v>
      </c>
      <c r="R5039">
        <v>-0.99913969999999996</v>
      </c>
      <c r="S5039">
        <v>0.64434809999999998</v>
      </c>
      <c r="T5039">
        <v>-0.11149199999999999</v>
      </c>
      <c r="U5039">
        <v>-3.016327</v>
      </c>
      <c r="V5039">
        <v>3.0682810000000001E-2</v>
      </c>
      <c r="W5039">
        <v>-2.270966E-2</v>
      </c>
      <c r="X5039">
        <v>0.99927120000000003</v>
      </c>
      <c r="Y5039">
        <v>-0.20474339999999999</v>
      </c>
      <c r="Z5039">
        <v>3.6138780000000002E-2</v>
      </c>
      <c r="AA5039">
        <v>0.97814829999999997</v>
      </c>
      <c r="AB5039">
        <v>22</v>
      </c>
      <c r="AC5039">
        <v>6.4122999999999504</v>
      </c>
      <c r="AD5039">
        <v>-1.109683809084</v>
      </c>
      <c r="AE5039">
        <v>-29.809840000000001</v>
      </c>
      <c r="AF5039">
        <v>-6.2812312333627496</v>
      </c>
      <c r="AG5039">
        <v>-1.109683809084</v>
      </c>
      <c r="AH5039">
        <v>29.7965161409901</v>
      </c>
      <c r="AI5039">
        <v>92.087001893075296</v>
      </c>
      <c r="AJ5039">
        <v>101.90390395406</v>
      </c>
      <c r="AK5039">
        <v>30.471587390606999</v>
      </c>
      <c r="AL5039">
        <v>91.301279478132301</v>
      </c>
      <c r="AM5039">
        <v>88.241274896631893</v>
      </c>
      <c r="AN5039">
        <v>1.0000000473181201</v>
      </c>
    </row>
    <row r="5040" spans="1:40" x14ac:dyDescent="0.25">
      <c r="A5040" t="str">
        <f>"20190312161417402"</f>
        <v>20190312161417402</v>
      </c>
      <c r="B5040" t="str">
        <f>"1552378457391554"</f>
        <v>1552378457391554</v>
      </c>
      <c r="C5040" t="s">
        <v>40</v>
      </c>
      <c r="D5040">
        <v>5.3064450000000001</v>
      </c>
      <c r="E5040">
        <v>0.40971109999999999</v>
      </c>
      <c r="F5040" t="s">
        <v>77</v>
      </c>
      <c r="G5040">
        <v>-415.69049999999999</v>
      </c>
      <c r="H5040" s="1">
        <v>-1.449446E-6</v>
      </c>
      <c r="I5040">
        <v>39.119799999999998</v>
      </c>
      <c r="J5040">
        <v>-421.9359</v>
      </c>
      <c r="K5040">
        <v>1.109677</v>
      </c>
      <c r="L5040">
        <v>68.214780000000005</v>
      </c>
      <c r="M5040">
        <v>4.2381229999999999E-3</v>
      </c>
      <c r="N5040">
        <v>0</v>
      </c>
      <c r="O5040">
        <v>-0.99994919999999998</v>
      </c>
      <c r="P5040">
        <v>-2.6519109999999999E-2</v>
      </c>
      <c r="Q5040">
        <v>-3.2227829999999999E-2</v>
      </c>
      <c r="R5040">
        <v>-0.99912889999999999</v>
      </c>
      <c r="S5040">
        <v>0.64270019999999894</v>
      </c>
      <c r="T5040">
        <v>-0.1141751</v>
      </c>
      <c r="U5040">
        <v>-3.0160520000000002</v>
      </c>
      <c r="V5040">
        <v>3.0756950000000002E-2</v>
      </c>
      <c r="W5040">
        <v>-2.3077919999999998E-2</v>
      </c>
      <c r="X5040">
        <v>0.99926040000000005</v>
      </c>
      <c r="Y5040">
        <v>-0.2041239</v>
      </c>
      <c r="Z5040">
        <v>3.7015020000000003E-2</v>
      </c>
      <c r="AA5040">
        <v>0.97824500000000003</v>
      </c>
      <c r="AB5040">
        <v>22</v>
      </c>
      <c r="AC5040">
        <v>6.2454000000000098</v>
      </c>
      <c r="AD5040">
        <v>-1.1096784494459999</v>
      </c>
      <c r="AE5040">
        <v>-29.09498</v>
      </c>
      <c r="AF5040">
        <v>-6.1135293224063503</v>
      </c>
      <c r="AG5040">
        <v>-1.1096784494459999</v>
      </c>
      <c r="AH5040">
        <v>29.080749587315701</v>
      </c>
      <c r="AI5040">
        <v>92.138561013030099</v>
      </c>
      <c r="AJ5040">
        <v>101.872179836318</v>
      </c>
      <c r="AK5040">
        <v>29.737125341855901</v>
      </c>
      <c r="AL5040">
        <v>91.322384863261703</v>
      </c>
      <c r="AM5040">
        <v>88.237008861023</v>
      </c>
      <c r="AN5040">
        <v>0.99999996368649302</v>
      </c>
    </row>
    <row r="5041" spans="1:40" x14ac:dyDescent="0.25">
      <c r="A5041" t="str">
        <f>"20190312161417423"</f>
        <v>20190312161417423</v>
      </c>
      <c r="B5041" t="str">
        <f>"1552378457421810"</f>
        <v>1552378457421810</v>
      </c>
      <c r="C5041" t="s">
        <v>40</v>
      </c>
      <c r="D5041">
        <v>5.240926</v>
      </c>
      <c r="E5041">
        <v>0.4098482</v>
      </c>
      <c r="F5041" t="s">
        <v>42</v>
      </c>
      <c r="G5041">
        <v>-415.86720000000003</v>
      </c>
      <c r="H5041" s="1">
        <v>-1.1042210000000001E-6</v>
      </c>
      <c r="I5041">
        <v>39.66151</v>
      </c>
      <c r="J5041">
        <v>-421.9348</v>
      </c>
      <c r="K5041">
        <v>1.109674</v>
      </c>
      <c r="L5041">
        <v>67.994690000000006</v>
      </c>
      <c r="M5041">
        <v>4.3613619999999997E-3</v>
      </c>
      <c r="N5041">
        <v>0</v>
      </c>
      <c r="O5041">
        <v>-0.99994870000000002</v>
      </c>
      <c r="P5041">
        <v>-2.637231E-2</v>
      </c>
      <c r="Q5041">
        <v>-3.2251120000000001E-2</v>
      </c>
      <c r="R5041">
        <v>-0.99913189999999996</v>
      </c>
      <c r="S5041">
        <v>0.64099119999999998</v>
      </c>
      <c r="T5041">
        <v>-0.1172059</v>
      </c>
      <c r="U5041">
        <v>-3.0158390000000002</v>
      </c>
      <c r="V5041">
        <v>3.073331E-2</v>
      </c>
      <c r="W5041">
        <v>-2.3105569999999999E-2</v>
      </c>
      <c r="X5041">
        <v>0.9992605</v>
      </c>
      <c r="Y5041">
        <v>-0.2034793</v>
      </c>
      <c r="Z5041">
        <v>3.8003540000000002E-2</v>
      </c>
      <c r="AA5041">
        <v>0.97834140000000003</v>
      </c>
      <c r="AB5041">
        <v>22</v>
      </c>
      <c r="AC5041">
        <v>6.0675999999999704</v>
      </c>
      <c r="AD5041">
        <v>-1.109675104221</v>
      </c>
      <c r="AE5041">
        <v>-28.333179999999999</v>
      </c>
      <c r="AF5041">
        <v>-5.93526090638297</v>
      </c>
      <c r="AG5041">
        <v>-1.109675104221</v>
      </c>
      <c r="AH5041">
        <v>28.317842191960601</v>
      </c>
      <c r="AI5041">
        <v>92.196392040236205</v>
      </c>
      <c r="AJ5041">
        <v>101.83751923889901</v>
      </c>
      <c r="AK5041">
        <v>28.954427766277</v>
      </c>
      <c r="AL5041">
        <v>91.323969498811806</v>
      </c>
      <c r="AM5041">
        <v>88.238363229978802</v>
      </c>
      <c r="AN5041">
        <v>0.99999997528441498</v>
      </c>
    </row>
    <row r="5042" spans="1:40" x14ac:dyDescent="0.25">
      <c r="A5042" t="str">
        <f>"20190312161417447"</f>
        <v>20190312161417447</v>
      </c>
      <c r="B5042" t="str">
        <f>"1552378457441330"</f>
        <v>1552378457441330</v>
      </c>
      <c r="C5042" t="s">
        <v>40</v>
      </c>
      <c r="D5042">
        <v>5.2110969999999996</v>
      </c>
      <c r="E5042">
        <v>0.40995419999999999</v>
      </c>
      <c r="F5042" t="s">
        <v>42</v>
      </c>
      <c r="G5042">
        <v>-415.96870000000001</v>
      </c>
      <c r="H5042" s="1">
        <v>-1.1508169999999999E-6</v>
      </c>
      <c r="I5042">
        <v>39.87782</v>
      </c>
      <c r="J5042">
        <v>-421.93369999999999</v>
      </c>
      <c r="K5042">
        <v>1.109667</v>
      </c>
      <c r="L5042">
        <v>67.767209999999906</v>
      </c>
      <c r="M5042">
        <v>4.4887629999999998E-3</v>
      </c>
      <c r="N5042">
        <v>0</v>
      </c>
      <c r="O5042">
        <v>-0.99994850000000002</v>
      </c>
      <c r="P5042">
        <v>-2.6147779999999999E-2</v>
      </c>
      <c r="Q5042">
        <v>-3.2320509999999997E-2</v>
      </c>
      <c r="R5042">
        <v>-0.99913589999999997</v>
      </c>
      <c r="S5042">
        <v>0.63989259999999903</v>
      </c>
      <c r="T5042">
        <v>-0.1190175</v>
      </c>
      <c r="U5042">
        <v>-3.0156559999999999</v>
      </c>
      <c r="V5042">
        <v>3.0636099999999999E-2</v>
      </c>
      <c r="W5042">
        <v>-2.3186080000000001E-2</v>
      </c>
      <c r="X5042">
        <v>0.99926159999999997</v>
      </c>
      <c r="Y5042">
        <v>-0.2030209</v>
      </c>
      <c r="Z5042">
        <v>3.8595610000000002E-2</v>
      </c>
      <c r="AA5042">
        <v>0.97841350000000005</v>
      </c>
      <c r="AB5042">
        <v>22</v>
      </c>
      <c r="AC5042">
        <v>5.9649999999999697</v>
      </c>
      <c r="AD5042">
        <v>-1.1096681508170001</v>
      </c>
      <c r="AE5042">
        <v>-27.889389999999899</v>
      </c>
      <c r="AF5042">
        <v>-5.8309187240055298</v>
      </c>
      <c r="AG5042">
        <v>-1.1096681508170001</v>
      </c>
      <c r="AH5042">
        <v>27.873689038645399</v>
      </c>
      <c r="AI5042">
        <v>92.231521852327901</v>
      </c>
      <c r="AJ5042">
        <v>101.815365285686</v>
      </c>
      <c r="AK5042">
        <v>28.498658164797799</v>
      </c>
      <c r="AL5042">
        <v>91.328583645106306</v>
      </c>
      <c r="AM5042">
        <v>88.243933755572201</v>
      </c>
      <c r="AN5042">
        <v>0.99999995508176698</v>
      </c>
    </row>
    <row r="5043" spans="1:40" x14ac:dyDescent="0.25">
      <c r="A5043" t="str">
        <f>"20190312161417469"</f>
        <v>20190312161417469</v>
      </c>
      <c r="B5043" t="str">
        <f>"1552378457461826"</f>
        <v>1552378457461826</v>
      </c>
      <c r="C5043" t="s">
        <v>40</v>
      </c>
      <c r="D5043">
        <v>5.2292560000000003</v>
      </c>
      <c r="E5043">
        <v>0.41018450000000001</v>
      </c>
      <c r="F5043" t="s">
        <v>42</v>
      </c>
      <c r="G5043">
        <v>-415.9744</v>
      </c>
      <c r="H5043" s="1">
        <v>-1.0893000000000001E-6</v>
      </c>
      <c r="I5043">
        <v>39.701540000000001</v>
      </c>
      <c r="J5043">
        <v>-421.9325</v>
      </c>
      <c r="K5043">
        <v>1.109667</v>
      </c>
      <c r="L5043">
        <v>67.543980000000005</v>
      </c>
      <c r="M5043">
        <v>4.6137779999999998E-3</v>
      </c>
      <c r="N5043">
        <v>0</v>
      </c>
      <c r="O5043">
        <v>-0.99994799999999995</v>
      </c>
      <c r="P5043">
        <v>-2.5668590000000002E-2</v>
      </c>
      <c r="Q5043">
        <v>-3.2479210000000001E-2</v>
      </c>
      <c r="R5043">
        <v>-0.99914309999999995</v>
      </c>
      <c r="S5043">
        <v>0.64028929999999995</v>
      </c>
      <c r="T5043">
        <v>-0.11922779999999999</v>
      </c>
      <c r="U5043">
        <v>-3.0155029999999998</v>
      </c>
      <c r="V5043">
        <v>3.0281889999999999E-2</v>
      </c>
      <c r="W5043">
        <v>-2.336007E-2</v>
      </c>
      <c r="X5043">
        <v>0.99926839999999995</v>
      </c>
      <c r="Y5043">
        <v>-0.2030312</v>
      </c>
      <c r="Z5043">
        <v>3.8665030000000003E-2</v>
      </c>
      <c r="AA5043">
        <v>0.97840859999999996</v>
      </c>
      <c r="AB5043">
        <v>22</v>
      </c>
      <c r="AC5043">
        <v>5.9581</v>
      </c>
      <c r="AD5043">
        <v>-1.1096680892999999</v>
      </c>
      <c r="AE5043">
        <v>-27.84244</v>
      </c>
      <c r="AF5043">
        <v>-5.8207313896547603</v>
      </c>
      <c r="AG5043">
        <v>-1.1096680892999999</v>
      </c>
      <c r="AH5043">
        <v>27.827367462337001</v>
      </c>
      <c r="AI5043">
        <v>92.235240563681401</v>
      </c>
      <c r="AJ5043">
        <v>101.814384308691</v>
      </c>
      <c r="AK5043">
        <v>28.451268109925302</v>
      </c>
      <c r="AL5043">
        <v>91.338555164922994</v>
      </c>
      <c r="AM5043">
        <v>88.264236442113599</v>
      </c>
      <c r="AN5043">
        <v>1.0000000104854601</v>
      </c>
    </row>
    <row r="5044" spans="1:40" x14ac:dyDescent="0.25">
      <c r="A5044" t="str">
        <f>"20190312161417492"</f>
        <v>20190312161417492</v>
      </c>
      <c r="B5044" t="str">
        <f>"1552378457481346"</f>
        <v>1552378457481346</v>
      </c>
      <c r="C5044" t="s">
        <v>40</v>
      </c>
      <c r="D5044">
        <v>5.1479780000000002</v>
      </c>
      <c r="E5044">
        <v>0.44256699999999999</v>
      </c>
      <c r="F5044" t="s">
        <v>77</v>
      </c>
      <c r="G5044">
        <v>-415.9984</v>
      </c>
      <c r="H5044" s="1">
        <v>-1.079192E-6</v>
      </c>
      <c r="I5044">
        <v>39.573410000000003</v>
      </c>
      <c r="J5044">
        <v>-421.93130000000002</v>
      </c>
      <c r="K5044">
        <v>1.109667</v>
      </c>
      <c r="L5044">
        <v>67.320099999999996</v>
      </c>
      <c r="M5044">
        <v>4.7390890000000001E-3</v>
      </c>
      <c r="N5044">
        <v>0</v>
      </c>
      <c r="O5044">
        <v>-0.99994749999999999</v>
      </c>
      <c r="P5044">
        <v>-2.5418989999999999E-2</v>
      </c>
      <c r="Q5044">
        <v>-3.2348679999999998E-2</v>
      </c>
      <c r="R5044">
        <v>-0.99915359999999998</v>
      </c>
      <c r="S5044">
        <v>0.639679</v>
      </c>
      <c r="T5044">
        <v>-0.1196175</v>
      </c>
      <c r="U5044">
        <v>-3.0151059999999998</v>
      </c>
      <c r="V5044">
        <v>3.015754E-2</v>
      </c>
      <c r="W5044">
        <v>-2.3244750000000002E-2</v>
      </c>
      <c r="X5044">
        <v>0.99927480000000002</v>
      </c>
      <c r="Y5044">
        <v>-0.20274400000000001</v>
      </c>
      <c r="Z5044">
        <v>3.879813E-2</v>
      </c>
      <c r="AA5044">
        <v>0.97846290000000002</v>
      </c>
      <c r="AB5044">
        <v>22</v>
      </c>
      <c r="AC5044">
        <v>5.9329000000000098</v>
      </c>
      <c r="AD5044">
        <v>-1.1096680791919999</v>
      </c>
      <c r="AE5044">
        <v>-27.746690000000001</v>
      </c>
      <c r="AF5044">
        <v>-5.79247434763999</v>
      </c>
      <c r="AG5044">
        <v>-1.1096680791919999</v>
      </c>
      <c r="AH5044">
        <v>27.732080004912302</v>
      </c>
      <c r="AI5044">
        <v>92.243047721410505</v>
      </c>
      <c r="AJ5044">
        <v>101.797903515515</v>
      </c>
      <c r="AK5044">
        <v>28.352290625501499</v>
      </c>
      <c r="AL5044">
        <v>91.331946087294</v>
      </c>
      <c r="AM5044">
        <v>88.271370938295306</v>
      </c>
      <c r="AN5044">
        <v>0.99999996076822595</v>
      </c>
    </row>
    <row r="5045" spans="1:40" x14ac:dyDescent="0.25">
      <c r="A5045" t="str">
        <f>"20190312161417514"</f>
        <v>20190312161417514</v>
      </c>
      <c r="B5045" t="str">
        <f>"1552378457501842"</f>
        <v>1552378457501842</v>
      </c>
      <c r="C5045" t="s">
        <v>40</v>
      </c>
      <c r="D5045">
        <v>5.1872150000000001</v>
      </c>
      <c r="E5045">
        <v>0.44707350000000001</v>
      </c>
      <c r="F5045" t="s">
        <v>42</v>
      </c>
      <c r="G5045">
        <v>-418.4554</v>
      </c>
      <c r="H5045" s="1">
        <v>-5.2102979999999996E-7</v>
      </c>
      <c r="I5045">
        <v>39.971420000000002</v>
      </c>
      <c r="J5045">
        <v>-421.93009999999998</v>
      </c>
      <c r="K5045">
        <v>1.109666</v>
      </c>
      <c r="L5045">
        <v>67.092039999999997</v>
      </c>
      <c r="M5045">
        <v>4.8665669999999996E-3</v>
      </c>
      <c r="N5045">
        <v>0</v>
      </c>
      <c r="O5045">
        <v>-0.99994709999999998</v>
      </c>
      <c r="P5045">
        <v>-2.4918820000000001E-2</v>
      </c>
      <c r="Q5045">
        <v>-3.2426669999999998E-2</v>
      </c>
      <c r="R5045">
        <v>-0.99916380000000005</v>
      </c>
      <c r="S5045">
        <v>0.38235469999999999</v>
      </c>
      <c r="T5045">
        <v>-0.1220624</v>
      </c>
      <c r="U5045">
        <v>-3.0083310000000001</v>
      </c>
      <c r="V5045">
        <v>2.978482E-2</v>
      </c>
      <c r="W5045">
        <v>-2.3336679999999999E-2</v>
      </c>
      <c r="X5045">
        <v>0.9992839</v>
      </c>
      <c r="Y5045">
        <v>-0.1211528</v>
      </c>
      <c r="Z5045">
        <v>4.0229859999999999E-2</v>
      </c>
      <c r="AA5045">
        <v>0.99181830000000004</v>
      </c>
      <c r="AB5045">
        <v>22</v>
      </c>
      <c r="AC5045">
        <v>3.4746999999999799</v>
      </c>
      <c r="AD5045">
        <v>-1.1096665210298</v>
      </c>
      <c r="AE5045">
        <v>-27.120619999999899</v>
      </c>
      <c r="AF5045">
        <v>-3.3371725253915301</v>
      </c>
      <c r="AG5045">
        <v>-1.1096665210298</v>
      </c>
      <c r="AH5045">
        <v>27.092585707992999</v>
      </c>
      <c r="AI5045">
        <v>92.327853734158793</v>
      </c>
      <c r="AJ5045">
        <v>97.022127383535803</v>
      </c>
      <c r="AK5045">
        <v>27.3198880048412</v>
      </c>
      <c r="AL5045">
        <v>91.337214632515796</v>
      </c>
      <c r="AM5045">
        <v>88.292738049875695</v>
      </c>
      <c r="AN5045">
        <v>1.00000002446753</v>
      </c>
    </row>
    <row r="5046" spans="1:40" x14ac:dyDescent="0.25">
      <c r="A5046" t="str">
        <f>"20190312161417536"</f>
        <v>20190312161417536</v>
      </c>
      <c r="B5046" t="str">
        <f>"1552378457532098"</f>
        <v>1552378457532098</v>
      </c>
      <c r="C5046" t="s">
        <v>40</v>
      </c>
      <c r="D5046">
        <v>5.0260860000000003</v>
      </c>
      <c r="E5046">
        <v>0.44947219999999999</v>
      </c>
      <c r="F5046" t="s">
        <v>77</v>
      </c>
      <c r="G5046">
        <v>-418.2466</v>
      </c>
      <c r="H5046" s="1">
        <v>-3.2392770000000001E-6</v>
      </c>
      <c r="I5046">
        <v>35.19538</v>
      </c>
      <c r="J5046">
        <v>-421.9289</v>
      </c>
      <c r="K5046">
        <v>1.109667</v>
      </c>
      <c r="L5046">
        <v>66.868560000000002</v>
      </c>
      <c r="M5046">
        <v>4.991405E-3</v>
      </c>
      <c r="N5046">
        <v>0</v>
      </c>
      <c r="O5046">
        <v>-0.99994660000000002</v>
      </c>
      <c r="P5046">
        <v>-2.4639959999999999E-2</v>
      </c>
      <c r="Q5046">
        <v>-3.2623020000000003E-2</v>
      </c>
      <c r="R5046">
        <v>-0.99916419999999995</v>
      </c>
      <c r="S5046">
        <v>0.34735110000000002</v>
      </c>
      <c r="T5046">
        <v>-0.1046393</v>
      </c>
      <c r="U5046">
        <v>-3.0077820000000002</v>
      </c>
      <c r="V5046">
        <v>2.9630750000000001E-2</v>
      </c>
      <c r="W5046">
        <v>-2.3545699999999999E-2</v>
      </c>
      <c r="X5046">
        <v>0.99928360000000005</v>
      </c>
      <c r="Y5046">
        <v>-0.1096931</v>
      </c>
      <c r="Z5046">
        <v>3.4548280000000001E-2</v>
      </c>
      <c r="AA5046">
        <v>0.9933649</v>
      </c>
      <c r="AB5046">
        <v>22</v>
      </c>
      <c r="AC5046">
        <v>3.6822999999999899</v>
      </c>
      <c r="AD5046">
        <v>-1.1096702392769999</v>
      </c>
      <c r="AE5046">
        <v>-31.673179999999999</v>
      </c>
      <c r="AF5046">
        <v>-3.5198911037038898</v>
      </c>
      <c r="AG5046">
        <v>-1.1096702392769999</v>
      </c>
      <c r="AH5046">
        <v>31.652831813176</v>
      </c>
      <c r="AI5046">
        <v>91.995535902609205</v>
      </c>
      <c r="AJ5046">
        <v>96.345394564234397</v>
      </c>
      <c r="AK5046">
        <v>31.8672678969359</v>
      </c>
      <c r="AL5046">
        <v>91.349193856981202</v>
      </c>
      <c r="AM5046">
        <v>88.3015636263044</v>
      </c>
      <c r="AN5046">
        <v>1.0000000472815</v>
      </c>
    </row>
    <row r="5047" spans="1:40" x14ac:dyDescent="0.25">
      <c r="A5047" t="str">
        <f>"20190312161417558"</f>
        <v>20190312161417558</v>
      </c>
      <c r="B5047" t="str">
        <f>"1552378457551619"</f>
        <v>1552378457551619</v>
      </c>
      <c r="C5047" t="s">
        <v>40</v>
      </c>
      <c r="D5047">
        <v>5.056883</v>
      </c>
      <c r="E5047">
        <v>0.4497005</v>
      </c>
      <c r="F5047" t="s">
        <v>77</v>
      </c>
      <c r="G5047">
        <v>-417.76240000000001</v>
      </c>
      <c r="H5047" s="1">
        <v>-7.9617499999999903E-6</v>
      </c>
      <c r="I5047">
        <v>28.76473</v>
      </c>
      <c r="J5047">
        <v>-421.92759999999998</v>
      </c>
      <c r="K5047">
        <v>1.109664</v>
      </c>
      <c r="L5047">
        <v>66.643039999999999</v>
      </c>
      <c r="M5047">
        <v>5.117791E-3</v>
      </c>
      <c r="N5047">
        <v>0</v>
      </c>
      <c r="O5047">
        <v>-0.99994609999999995</v>
      </c>
      <c r="P5047">
        <v>-2.4265109999999999E-2</v>
      </c>
      <c r="Q5047">
        <v>-3.2646210000000002E-2</v>
      </c>
      <c r="R5047">
        <v>-0.99917259999999997</v>
      </c>
      <c r="S5047">
        <v>0.32888790000000001</v>
      </c>
      <c r="T5047">
        <v>-8.7592959999999997E-2</v>
      </c>
      <c r="U5047">
        <v>-3.0077509999999998</v>
      </c>
      <c r="V5047">
        <v>2.9382229999999999E-2</v>
      </c>
      <c r="W5047">
        <v>-2.358087E-2</v>
      </c>
      <c r="X5047">
        <v>0.99929000000000001</v>
      </c>
      <c r="Y5047">
        <v>-0.1035643</v>
      </c>
      <c r="Z5047">
        <v>2.8945039999999998E-2</v>
      </c>
      <c r="AA5047">
        <v>0.99420149999999996</v>
      </c>
      <c r="AB5047">
        <v>23</v>
      </c>
      <c r="AC5047">
        <v>4.1651999999999703</v>
      </c>
      <c r="AD5047">
        <v>-1.1096719617499999</v>
      </c>
      <c r="AE5047">
        <v>-37.878309999999999</v>
      </c>
      <c r="AF5047">
        <v>-3.9679195279749502</v>
      </c>
      <c r="AG5047">
        <v>-1.1096719617499999</v>
      </c>
      <c r="AH5047">
        <v>37.867020735813497</v>
      </c>
      <c r="AI5047">
        <v>91.669405724051202</v>
      </c>
      <c r="AJ5047">
        <v>95.981943976665093</v>
      </c>
      <c r="AK5047">
        <v>38.090510847843802</v>
      </c>
      <c r="AL5047">
        <v>91.351209656137101</v>
      </c>
      <c r="AM5047">
        <v>88.3158113489865</v>
      </c>
      <c r="AN5047">
        <v>0.99999993848486202</v>
      </c>
    </row>
    <row r="5048" spans="1:40" x14ac:dyDescent="0.25">
      <c r="A5048" t="str">
        <f>"20190312161417580"</f>
        <v>20190312161417580</v>
      </c>
      <c r="B5048" t="str">
        <f>"1552378457571139"</f>
        <v>1552378457571139</v>
      </c>
      <c r="C5048" t="s">
        <v>40</v>
      </c>
      <c r="D5048">
        <v>5.0587589999999896</v>
      </c>
      <c r="E5048">
        <v>0.45020890000000002</v>
      </c>
      <c r="F5048" t="s">
        <v>77</v>
      </c>
      <c r="G5048">
        <v>-417.55419999999998</v>
      </c>
      <c r="H5048" s="1">
        <v>-7.7845349999999903E-6</v>
      </c>
      <c r="I5048">
        <v>26.539490000000001</v>
      </c>
      <c r="J5048">
        <v>-421.92630000000003</v>
      </c>
      <c r="K5048">
        <v>1.1096619999999999</v>
      </c>
      <c r="L5048">
        <v>66.419250000000005</v>
      </c>
      <c r="M5048">
        <v>5.2429779999999997E-3</v>
      </c>
      <c r="N5048">
        <v>0</v>
      </c>
      <c r="O5048">
        <v>-0.99994539999999998</v>
      </c>
      <c r="P5048">
        <v>-2.4218259999999998E-2</v>
      </c>
      <c r="Q5048">
        <v>-3.2730969999999998E-2</v>
      </c>
      <c r="R5048">
        <v>-0.99917080000000003</v>
      </c>
      <c r="S5048">
        <v>0.32800289999999999</v>
      </c>
      <c r="T5048">
        <v>-8.3224179999999995E-2</v>
      </c>
      <c r="U5048">
        <v>-3.0077210000000001</v>
      </c>
      <c r="V5048">
        <v>2.9460480000000001E-2</v>
      </c>
      <c r="W5048">
        <v>-2.3676409999999998E-2</v>
      </c>
      <c r="X5048">
        <v>0.99928550000000005</v>
      </c>
      <c r="Y5048">
        <v>-0.1031561</v>
      </c>
      <c r="Z5048">
        <v>2.7503779999999999E-2</v>
      </c>
      <c r="AA5048">
        <v>0.99428490000000003</v>
      </c>
      <c r="AB5048">
        <v>23</v>
      </c>
      <c r="AC5048">
        <v>4.3721000000000396</v>
      </c>
      <c r="AD5048">
        <v>-1.1096697845350001</v>
      </c>
      <c r="AE5048">
        <v>-39.879759999999997</v>
      </c>
      <c r="AF5048">
        <v>-4.1597602027663099</v>
      </c>
      <c r="AG5048">
        <v>-1.1096697845350001</v>
      </c>
      <c r="AH5048">
        <v>39.871631523914203</v>
      </c>
      <c r="AI5048">
        <v>91.585589388666705</v>
      </c>
      <c r="AJ5048">
        <v>95.956053780261001</v>
      </c>
      <c r="AK5048">
        <v>40.103391033103698</v>
      </c>
      <c r="AL5048">
        <v>91.3566851386434</v>
      </c>
      <c r="AM5048">
        <v>88.311321054526999</v>
      </c>
      <c r="AN5048">
        <v>1.00000000139128</v>
      </c>
    </row>
    <row r="5049" spans="1:40" x14ac:dyDescent="0.25">
      <c r="A5049" t="str">
        <f>"20190312161417603"</f>
        <v>20190312161417603</v>
      </c>
      <c r="B5049" t="str">
        <f>"1552378457591634"</f>
        <v>1552378457591634</v>
      </c>
      <c r="C5049" t="s">
        <v>40</v>
      </c>
      <c r="D5049">
        <v>5.0742799999999999</v>
      </c>
      <c r="E5049">
        <v>0.45027119999999998</v>
      </c>
      <c r="F5049" t="s">
        <v>77</v>
      </c>
      <c r="G5049">
        <v>-417.48430000000002</v>
      </c>
      <c r="H5049" s="1">
        <v>-7.6592549999999999E-6</v>
      </c>
      <c r="I5049">
        <v>25.20749</v>
      </c>
      <c r="J5049">
        <v>-421.92500000000001</v>
      </c>
      <c r="K5049">
        <v>1.109659</v>
      </c>
      <c r="L5049">
        <v>66.195679999999996</v>
      </c>
      <c r="M5049">
        <v>5.3680480000000003E-3</v>
      </c>
      <c r="N5049">
        <v>0</v>
      </c>
      <c r="O5049">
        <v>-0.99994470000000002</v>
      </c>
      <c r="P5049">
        <v>-2.4007190000000001E-2</v>
      </c>
      <c r="Q5049">
        <v>-3.2656980000000002E-2</v>
      </c>
      <c r="R5049">
        <v>-0.99917840000000002</v>
      </c>
      <c r="S5049">
        <v>0.32418819999999998</v>
      </c>
      <c r="T5049">
        <v>-8.0985189999999999E-2</v>
      </c>
      <c r="U5049">
        <v>-3.0076900000000002</v>
      </c>
      <c r="V5049">
        <v>2.9374419999999998E-2</v>
      </c>
      <c r="W5049">
        <v>-2.361166E-2</v>
      </c>
      <c r="X5049">
        <v>0.9992896</v>
      </c>
      <c r="Y5049">
        <v>-0.1017884</v>
      </c>
      <c r="Z5049">
        <v>2.6768340000000002E-2</v>
      </c>
      <c r="AA5049">
        <v>0.99444589999999999</v>
      </c>
      <c r="AB5049">
        <v>23</v>
      </c>
      <c r="AC5049">
        <v>4.4406999999999899</v>
      </c>
      <c r="AD5049">
        <v>-1.109666659255</v>
      </c>
      <c r="AE5049">
        <v>-40.988190000000003</v>
      </c>
      <c r="AF5049">
        <v>-4.2175451051794299</v>
      </c>
      <c r="AG5049">
        <v>-1.109666659255</v>
      </c>
      <c r="AH5049">
        <v>40.981749628369002</v>
      </c>
      <c r="AI5049">
        <v>91.5428793320838</v>
      </c>
      <c r="AJ5049">
        <v>95.875781725959001</v>
      </c>
      <c r="AK5049">
        <v>41.213139281195303</v>
      </c>
      <c r="AL5049">
        <v>91.352974152862203</v>
      </c>
      <c r="AM5049">
        <v>88.316258086670402</v>
      </c>
      <c r="AN5049">
        <v>1.0000000358532199</v>
      </c>
    </row>
    <row r="5050" spans="1:40" x14ac:dyDescent="0.25">
      <c r="A5050" t="str">
        <f>"20190312161417625"</f>
        <v>20190312161417625</v>
      </c>
      <c r="B5050" t="str">
        <f>"1552378457621890"</f>
        <v>1552378457621890</v>
      </c>
      <c r="C5050" t="s">
        <v>40</v>
      </c>
      <c r="D5050">
        <v>4.9955360000000004</v>
      </c>
      <c r="E5050">
        <v>0.45062390000000002</v>
      </c>
      <c r="F5050" t="s">
        <v>77</v>
      </c>
      <c r="G5050">
        <v>-417.5575</v>
      </c>
      <c r="H5050" s="1">
        <v>-7.6859409999999992E-6</v>
      </c>
      <c r="I5050">
        <v>25.673249999999999</v>
      </c>
      <c r="J5050">
        <v>-421.92360000000002</v>
      </c>
      <c r="K5050">
        <v>1.1096549999999901</v>
      </c>
      <c r="L5050">
        <v>65.967320000000001</v>
      </c>
      <c r="M5050">
        <v>5.4953040000000003E-3</v>
      </c>
      <c r="N5050">
        <v>0</v>
      </c>
      <c r="O5050">
        <v>-0.99994419999999995</v>
      </c>
      <c r="P5050">
        <v>-2.402522E-2</v>
      </c>
      <c r="Q5050">
        <v>-3.2533949999999999E-2</v>
      </c>
      <c r="R5050">
        <v>-0.99918209999999996</v>
      </c>
      <c r="S5050">
        <v>0.32415769999999999</v>
      </c>
      <c r="T5050">
        <v>-8.2359310000000005E-2</v>
      </c>
      <c r="U5050">
        <v>-3.007568</v>
      </c>
      <c r="V5050">
        <v>2.9519630000000002E-2</v>
      </c>
      <c r="W5050">
        <v>-2.349658E-2</v>
      </c>
      <c r="X5050">
        <v>0.99928799999999995</v>
      </c>
      <c r="Y5050">
        <v>-0.1016548</v>
      </c>
      <c r="Z5050">
        <v>2.7223460000000001E-2</v>
      </c>
      <c r="AA5050">
        <v>0.99444719999999998</v>
      </c>
      <c r="AB5050">
        <v>23</v>
      </c>
      <c r="AC5050">
        <v>4.3661000000000101</v>
      </c>
      <c r="AD5050">
        <v>-1.1096626859409999</v>
      </c>
      <c r="AE5050">
        <v>-40.294069999999998</v>
      </c>
      <c r="AF5050">
        <v>-4.1414924248482201</v>
      </c>
      <c r="AG5050">
        <v>-1.1096626859409999</v>
      </c>
      <c r="AH5050">
        <v>40.287256181319897</v>
      </c>
      <c r="AI5050">
        <v>91.569475663644397</v>
      </c>
      <c r="AJ5050">
        <v>95.869335704120303</v>
      </c>
      <c r="AK5050">
        <v>40.514766707966402</v>
      </c>
      <c r="AL5050">
        <v>91.346378770043003</v>
      </c>
      <c r="AM5050">
        <v>88.307936767772304</v>
      </c>
      <c r="AN5050">
        <v>1.00000000238551</v>
      </c>
    </row>
    <row r="5051" spans="1:40" x14ac:dyDescent="0.25">
      <c r="A5051" t="str">
        <f>"20190312161417648"</f>
        <v>20190312161417648</v>
      </c>
      <c r="B5051" t="str">
        <f>"1552378457641410"</f>
        <v>1552378457641410</v>
      </c>
      <c r="C5051" t="s">
        <v>40</v>
      </c>
      <c r="D5051">
        <v>5.0499280000000004</v>
      </c>
      <c r="E5051">
        <v>0.45062550000000001</v>
      </c>
      <c r="F5051" t="s">
        <v>77</v>
      </c>
      <c r="G5051">
        <v>-417.45049999999998</v>
      </c>
      <c r="H5051" s="1">
        <v>-7.5432430000000002E-6</v>
      </c>
      <c r="I5051">
        <v>24.070730000000001</v>
      </c>
      <c r="J5051">
        <v>-421.92219999999998</v>
      </c>
      <c r="K5051">
        <v>1.109656</v>
      </c>
      <c r="L5051">
        <v>65.734470000000002</v>
      </c>
      <c r="M5051">
        <v>5.6247689999999999E-3</v>
      </c>
      <c r="N5051">
        <v>0</v>
      </c>
      <c r="O5051">
        <v>-0.99994369999999999</v>
      </c>
      <c r="P5051">
        <v>-2.3953840000000001E-2</v>
      </c>
      <c r="Q5051">
        <v>-3.2611710000000002E-2</v>
      </c>
      <c r="R5051">
        <v>-0.99918130000000005</v>
      </c>
      <c r="S5051">
        <v>0.321106</v>
      </c>
      <c r="T5051">
        <v>-7.965767E-2</v>
      </c>
      <c r="U5051">
        <v>-3.007568</v>
      </c>
      <c r="V5051">
        <v>2.957765E-2</v>
      </c>
      <c r="W5051">
        <v>-2.3581120000000001E-2</v>
      </c>
      <c r="X5051">
        <v>0.99928430000000001</v>
      </c>
      <c r="Y5051">
        <v>-0.10053090000000001</v>
      </c>
      <c r="Z5051">
        <v>2.633398E-2</v>
      </c>
      <c r="AA5051">
        <v>0.99458539999999995</v>
      </c>
      <c r="AB5051">
        <v>23</v>
      </c>
      <c r="AC5051">
        <v>4.4716999999999896</v>
      </c>
      <c r="AD5051">
        <v>-1.109663543243</v>
      </c>
      <c r="AE5051">
        <v>-41.663739999999997</v>
      </c>
      <c r="AF5051">
        <v>-4.2343014216388601</v>
      </c>
      <c r="AG5051">
        <v>-1.109663543243</v>
      </c>
      <c r="AH5051">
        <v>41.659019490893201</v>
      </c>
      <c r="AI5051">
        <v>91.517998767824395</v>
      </c>
      <c r="AJ5051">
        <v>95.803719789609602</v>
      </c>
      <c r="AK5051">
        <v>41.8883583666288</v>
      </c>
      <c r="AL5051">
        <v>91.351223888209105</v>
      </c>
      <c r="AM5051">
        <v>88.304606730484494</v>
      </c>
      <c r="AN5051">
        <v>1.00000000941323</v>
      </c>
    </row>
    <row r="5052" spans="1:40" x14ac:dyDescent="0.25">
      <c r="A5052" t="str">
        <f>"20190312161417670"</f>
        <v>20190312161417670</v>
      </c>
      <c r="B5052" t="str">
        <f>"1552378457661906"</f>
        <v>1552378457661906</v>
      </c>
      <c r="C5052" t="s">
        <v>40</v>
      </c>
      <c r="D5052">
        <v>5.0803640000000003</v>
      </c>
      <c r="E5052">
        <v>0.45078469999999998</v>
      </c>
      <c r="F5052" t="s">
        <v>77</v>
      </c>
      <c r="G5052">
        <v>-417.41320000000002</v>
      </c>
      <c r="H5052" s="1">
        <v>-7.4932020000000002E-6</v>
      </c>
      <c r="I5052">
        <v>23.50956</v>
      </c>
      <c r="J5052">
        <v>-421.92079999999999</v>
      </c>
      <c r="K5052">
        <v>1.1096569999999999</v>
      </c>
      <c r="L5052">
        <v>65.501859999999994</v>
      </c>
      <c r="M5052">
        <v>5.7544469999999898E-3</v>
      </c>
      <c r="N5052">
        <v>0</v>
      </c>
      <c r="O5052">
        <v>-0.99994300000000003</v>
      </c>
      <c r="P5052">
        <v>-2.448854E-2</v>
      </c>
      <c r="Q5052">
        <v>-3.244416E-2</v>
      </c>
      <c r="R5052">
        <v>-0.99917370000000005</v>
      </c>
      <c r="S5052">
        <v>0.32116699999999998</v>
      </c>
      <c r="T5052">
        <v>-7.9039219999999993E-2</v>
      </c>
      <c r="U5052">
        <v>-3.0075989999999999</v>
      </c>
      <c r="V5052">
        <v>3.0241859999999999E-2</v>
      </c>
      <c r="W5052">
        <v>-2.341911E-2</v>
      </c>
      <c r="X5052">
        <v>0.99926820000000005</v>
      </c>
      <c r="Y5052">
        <v>-0.10042130000000001</v>
      </c>
      <c r="Z5052">
        <v>2.6129489999999998E-2</v>
      </c>
      <c r="AA5052">
        <v>0.99460179999999998</v>
      </c>
      <c r="AB5052">
        <v>23</v>
      </c>
      <c r="AC5052">
        <v>4.5075999999999601</v>
      </c>
      <c r="AD5052">
        <v>-1.1096644932019999</v>
      </c>
      <c r="AE5052">
        <v>-41.992299999999901</v>
      </c>
      <c r="AF5052">
        <v>-4.2629302160900897</v>
      </c>
      <c r="AG5052">
        <v>-1.1096644932019999</v>
      </c>
      <c r="AH5052">
        <v>41.988557730597101</v>
      </c>
      <c r="AI5052">
        <v>91.506109417533906</v>
      </c>
      <c r="AJ5052">
        <v>95.797147547158403</v>
      </c>
      <c r="AK5052">
        <v>42.218987548381698</v>
      </c>
      <c r="AL5052">
        <v>91.341938874082302</v>
      </c>
      <c r="AM5052">
        <v>88.266529221542896</v>
      </c>
      <c r="AN5052">
        <v>0.99999998017034497</v>
      </c>
    </row>
    <row r="5053" spans="1:40" x14ac:dyDescent="0.25">
      <c r="A5053" t="str">
        <f>"20190312161417693"</f>
        <v>20190312161417693</v>
      </c>
      <c r="B5053" t="str">
        <f>"1552378457681427"</f>
        <v>1552378457681427</v>
      </c>
      <c r="C5053" t="s">
        <v>40</v>
      </c>
      <c r="D5053">
        <v>5.095377</v>
      </c>
      <c r="E5053">
        <v>0.45090029999999998</v>
      </c>
      <c r="F5053" t="s">
        <v>77</v>
      </c>
      <c r="G5053">
        <v>-417.43740000000003</v>
      </c>
      <c r="H5053" s="1">
        <v>-7.445542E-6</v>
      </c>
      <c r="I5053">
        <v>23.161249999999999</v>
      </c>
      <c r="J5053">
        <v>-421.91930000000002</v>
      </c>
      <c r="K5053">
        <v>1.109658</v>
      </c>
      <c r="L5053">
        <v>65.278169999999903</v>
      </c>
      <c r="M5053">
        <v>5.8793350000000003E-3</v>
      </c>
      <c r="N5053">
        <v>0</v>
      </c>
      <c r="O5053">
        <v>-0.99994179999999999</v>
      </c>
      <c r="P5053">
        <v>-2.4728119999999999E-2</v>
      </c>
      <c r="Q5053">
        <v>-3.2440829999999997E-2</v>
      </c>
      <c r="R5053">
        <v>-0.99916760000000004</v>
      </c>
      <c r="S5053">
        <v>0.31848140000000003</v>
      </c>
      <c r="T5053">
        <v>-7.8826430000000003E-2</v>
      </c>
      <c r="U5053">
        <v>-3.0077210000000001</v>
      </c>
      <c r="V5053">
        <v>3.060618E-2</v>
      </c>
      <c r="W5053">
        <v>-2.3420110000000001E-2</v>
      </c>
      <c r="X5053">
        <v>0.99925710000000001</v>
      </c>
      <c r="Y5053">
        <v>-9.9414820000000001E-2</v>
      </c>
      <c r="Z5053">
        <v>2.6060659999999999E-2</v>
      </c>
      <c r="AA5053">
        <v>0.9947047</v>
      </c>
      <c r="AB5053">
        <v>23</v>
      </c>
      <c r="AC5053">
        <v>4.4818999999999898</v>
      </c>
      <c r="AD5053">
        <v>-1.1096654455419901</v>
      </c>
      <c r="AE5053">
        <v>-42.116919999999901</v>
      </c>
      <c r="AF5053">
        <v>-4.2312885393163198</v>
      </c>
      <c r="AG5053">
        <v>-1.1096654455419901</v>
      </c>
      <c r="AH5053">
        <v>42.113636671541599</v>
      </c>
      <c r="AI5053">
        <v>91.501797568161706</v>
      </c>
      <c r="AJ5053">
        <v>95.737431355794598</v>
      </c>
      <c r="AK5053">
        <v>42.340212018914002</v>
      </c>
      <c r="AL5053">
        <v>91.341996164531594</v>
      </c>
      <c r="AM5053">
        <v>88.245639807078902</v>
      </c>
      <c r="AN5053">
        <v>0.99999999585350696</v>
      </c>
    </row>
    <row r="5054" spans="1:40" x14ac:dyDescent="0.25">
      <c r="A5054" t="str">
        <f>"20190312161417715"</f>
        <v>20190312161417715</v>
      </c>
      <c r="B5054" t="str">
        <f>"1552378457711682"</f>
        <v>1552378457711682</v>
      </c>
      <c r="C5054" t="s">
        <v>40</v>
      </c>
      <c r="D5054">
        <v>5.0170960000000004</v>
      </c>
      <c r="E5054">
        <v>0.4510093</v>
      </c>
      <c r="F5054" t="s">
        <v>77</v>
      </c>
      <c r="G5054">
        <v>-417.3974</v>
      </c>
      <c r="H5054" s="1">
        <v>-7.3710820000000004E-6</v>
      </c>
      <c r="I5054">
        <v>22.374269999999999</v>
      </c>
      <c r="J5054">
        <v>-421.9178</v>
      </c>
      <c r="K5054">
        <v>1.109659</v>
      </c>
      <c r="L5054">
        <v>65.045590000000004</v>
      </c>
      <c r="M5054">
        <v>6.0096910000000002E-3</v>
      </c>
      <c r="N5054">
        <v>0</v>
      </c>
      <c r="O5054">
        <v>-0.99994159999999999</v>
      </c>
      <c r="P5054">
        <v>-2.4703610000000001E-2</v>
      </c>
      <c r="Q5054">
        <v>-3.2092950000000002E-2</v>
      </c>
      <c r="R5054">
        <v>-0.99917999999999996</v>
      </c>
      <c r="S5054">
        <v>0.31701659999999998</v>
      </c>
      <c r="T5054">
        <v>-7.7793959999999995E-2</v>
      </c>
      <c r="U5054">
        <v>-3.0078130000000001</v>
      </c>
      <c r="V5054">
        <v>3.071192E-2</v>
      </c>
      <c r="W5054">
        <v>-2.3075709999999999E-2</v>
      </c>
      <c r="X5054">
        <v>0.99926190000000004</v>
      </c>
      <c r="Y5054">
        <v>-9.8803749999999996E-2</v>
      </c>
      <c r="Z5054">
        <v>2.5720179999999999E-2</v>
      </c>
      <c r="AA5054">
        <v>0.99477450000000001</v>
      </c>
      <c r="AB5054">
        <v>23</v>
      </c>
      <c r="AC5054">
        <v>4.5203999999999898</v>
      </c>
      <c r="AD5054">
        <v>-1.1096663710820001</v>
      </c>
      <c r="AE5054">
        <v>-42.671320000000001</v>
      </c>
      <c r="AF5054">
        <v>-4.2610169991837896</v>
      </c>
      <c r="AG5054">
        <v>-1.1096663710820001</v>
      </c>
      <c r="AH5054">
        <v>42.669181503183999</v>
      </c>
      <c r="AI5054">
        <v>91.482344299334798</v>
      </c>
      <c r="AJ5054">
        <v>95.7027474748879</v>
      </c>
      <c r="AK5054">
        <v>42.895765239404497</v>
      </c>
      <c r="AL5054">
        <v>91.322258121320601</v>
      </c>
      <c r="AM5054">
        <v>88.239591000264397</v>
      </c>
      <c r="AN5054">
        <v>1.0000000276068499</v>
      </c>
    </row>
    <row r="5055" spans="1:40" x14ac:dyDescent="0.25">
      <c r="A5055" t="str">
        <f>"20190312161417749"</f>
        <v>20190312161417749</v>
      </c>
      <c r="B5055" t="str">
        <f>"1552378457741938"</f>
        <v>1552378457741938</v>
      </c>
      <c r="C5055" t="s">
        <v>40</v>
      </c>
      <c r="D5055">
        <v>5.089696</v>
      </c>
      <c r="E5055">
        <v>0.45109500000000002</v>
      </c>
      <c r="F5055" t="s">
        <v>77</v>
      </c>
      <c r="G5055">
        <v>-417.36939999999998</v>
      </c>
      <c r="H5055" s="1">
        <v>-7.3225349999999997E-6</v>
      </c>
      <c r="I5055">
        <v>21.81137</v>
      </c>
      <c r="J5055">
        <v>-421.91550000000001</v>
      </c>
      <c r="K5055">
        <v>1.109659</v>
      </c>
      <c r="L5055">
        <v>64.696169999999995</v>
      </c>
      <c r="M5055">
        <v>6.2051980000000003E-3</v>
      </c>
      <c r="N5055">
        <v>0</v>
      </c>
      <c r="O5055">
        <v>-0.99994019999999995</v>
      </c>
      <c r="P5055">
        <v>-2.422672E-2</v>
      </c>
      <c r="Q5055">
        <v>-3.2321719999999998E-2</v>
      </c>
      <c r="R5055">
        <v>-0.99918399999999996</v>
      </c>
      <c r="S5055">
        <v>0.31643680000000002</v>
      </c>
      <c r="T5055">
        <v>-7.7199699999999996E-2</v>
      </c>
      <c r="U5055">
        <v>-3.0078130000000001</v>
      </c>
      <c r="V5055">
        <v>3.0430450000000001E-2</v>
      </c>
      <c r="W5055">
        <v>-2.330813E-2</v>
      </c>
      <c r="X5055">
        <v>0.99926510000000002</v>
      </c>
      <c r="Y5055">
        <v>-9.8420049999999995E-2</v>
      </c>
      <c r="Z5055">
        <v>2.552453E-2</v>
      </c>
      <c r="AA5055">
        <v>0.99481759999999997</v>
      </c>
      <c r="AB5055">
        <v>23</v>
      </c>
      <c r="AC5055">
        <v>4.5461000000000196</v>
      </c>
      <c r="AD5055">
        <v>-1.1096663225350001</v>
      </c>
      <c r="AE5055">
        <v>-42.884799999999998</v>
      </c>
      <c r="AF5055">
        <v>-4.2770611535411103</v>
      </c>
      <c r="AG5055">
        <v>-1.1096663225350001</v>
      </c>
      <c r="AH5055">
        <v>42.883791450184198</v>
      </c>
      <c r="AI5055">
        <v>91.474947497359096</v>
      </c>
      <c r="AJ5055">
        <v>95.695620828392194</v>
      </c>
      <c r="AK5055">
        <v>43.110835999796898</v>
      </c>
      <c r="AL5055">
        <v>91.335578411451394</v>
      </c>
      <c r="AM5055">
        <v>88.255720446157298</v>
      </c>
      <c r="AN5055">
        <v>1.0000000106446501</v>
      </c>
    </row>
    <row r="5056" spans="1:40" x14ac:dyDescent="0.25">
      <c r="A5056" t="str">
        <f>"20190312161417815"</f>
        <v>20190312161417815</v>
      </c>
      <c r="B5056" t="str">
        <f>"1552378457811234"</f>
        <v>1552378457811234</v>
      </c>
      <c r="C5056" t="s">
        <v>40</v>
      </c>
      <c r="D5056">
        <v>4.6669419999999997</v>
      </c>
      <c r="E5056">
        <v>0.44944109999999998</v>
      </c>
      <c r="F5056" t="s">
        <v>77</v>
      </c>
      <c r="G5056">
        <v>-417.55869999999999</v>
      </c>
      <c r="H5056" s="1">
        <v>-7.4253059999999996E-6</v>
      </c>
      <c r="I5056">
        <v>23.359749999999998</v>
      </c>
      <c r="J5056">
        <v>-421.91079999999999</v>
      </c>
      <c r="K5056">
        <v>1.1096619999999999</v>
      </c>
      <c r="L5056">
        <v>64.013310000000004</v>
      </c>
      <c r="M5056">
        <v>6.5848180000000001E-3</v>
      </c>
      <c r="N5056">
        <v>0</v>
      </c>
      <c r="O5056">
        <v>-0.99993779999999999</v>
      </c>
      <c r="P5056">
        <v>-2.380699E-2</v>
      </c>
      <c r="Q5056">
        <v>-3.1820569999999999E-2</v>
      </c>
      <c r="R5056">
        <v>-0.99921009999999999</v>
      </c>
      <c r="S5056">
        <v>0.31698609999999999</v>
      </c>
      <c r="T5056">
        <v>-8.0735799999999996E-2</v>
      </c>
      <c r="U5056">
        <v>-3.0075069999999999</v>
      </c>
      <c r="V5056">
        <v>3.0390190000000001E-2</v>
      </c>
      <c r="W5056">
        <v>-2.280923E-2</v>
      </c>
      <c r="X5056">
        <v>0.99927779999999999</v>
      </c>
      <c r="Y5056">
        <v>-9.8229250000000004E-2</v>
      </c>
      <c r="Z5056">
        <v>2.6695449999999999E-2</v>
      </c>
      <c r="AA5056">
        <v>0.99480570000000001</v>
      </c>
      <c r="AB5056">
        <v>23</v>
      </c>
      <c r="AC5056">
        <v>4.3521000000000001</v>
      </c>
      <c r="AD5056">
        <v>-1.109669425306</v>
      </c>
      <c r="AE5056">
        <v>-40.653559999999999</v>
      </c>
      <c r="AF5056">
        <v>-4.0812921519692704</v>
      </c>
      <c r="AG5056">
        <v>-1.109669425306</v>
      </c>
      <c r="AH5056">
        <v>40.651393032087597</v>
      </c>
      <c r="AI5056">
        <v>91.555808911951701</v>
      </c>
      <c r="AJ5056">
        <v>95.733133341639601</v>
      </c>
      <c r="AK5056">
        <v>40.870821710756502</v>
      </c>
      <c r="AL5056">
        <v>91.306985993785304</v>
      </c>
      <c r="AM5056">
        <v>88.258048860145294</v>
      </c>
      <c r="AN5056">
        <v>0.99999997309713395</v>
      </c>
    </row>
    <row r="5057" spans="1:40" x14ac:dyDescent="0.25">
      <c r="A5057" t="str">
        <f>"20190312161417838"</f>
        <v>20190312161417838</v>
      </c>
      <c r="B5057" t="str">
        <f>"1552378457831730"</f>
        <v>1552378457831730</v>
      </c>
      <c r="C5057" t="s">
        <v>40</v>
      </c>
      <c r="D5057">
        <v>4.9355729999999998</v>
      </c>
      <c r="E5057">
        <v>0.45196599999999998</v>
      </c>
      <c r="F5057" t="s">
        <v>77</v>
      </c>
      <c r="G5057">
        <v>-417.77330000000001</v>
      </c>
      <c r="H5057" s="1">
        <v>-7.7031370000000004E-6</v>
      </c>
      <c r="I5057">
        <v>26.499780000000001</v>
      </c>
      <c r="J5057">
        <v>-421.90899999999999</v>
      </c>
      <c r="K5057">
        <v>1.1096539999999999</v>
      </c>
      <c r="L5057">
        <v>63.77411</v>
      </c>
      <c r="M5057">
        <v>6.7180690000000001E-3</v>
      </c>
      <c r="N5057">
        <v>0</v>
      </c>
      <c r="O5057">
        <v>-0.99993710000000002</v>
      </c>
      <c r="P5057">
        <v>-2.3815200000000002E-2</v>
      </c>
      <c r="Q5057">
        <v>-3.1897139999999997E-2</v>
      </c>
      <c r="R5057">
        <v>-0.99920770000000003</v>
      </c>
      <c r="S5057">
        <v>0.33169559999999998</v>
      </c>
      <c r="T5057">
        <v>-8.896184E-2</v>
      </c>
      <c r="U5057">
        <v>-3.0074459999999998</v>
      </c>
      <c r="V5057">
        <v>3.0531530000000001E-2</v>
      </c>
      <c r="W5057">
        <v>-2.2885539999999999E-2</v>
      </c>
      <c r="X5057">
        <v>0.99927180000000004</v>
      </c>
      <c r="Y5057">
        <v>-0.102899</v>
      </c>
      <c r="Z5057">
        <v>2.9399060000000001E-2</v>
      </c>
      <c r="AA5057">
        <v>0.99425730000000001</v>
      </c>
      <c r="AB5057">
        <v>23</v>
      </c>
      <c r="AC5057">
        <v>4.1356999999999804</v>
      </c>
      <c r="AD5057">
        <v>-1.109661703137</v>
      </c>
      <c r="AE5057">
        <v>-37.274329999999999</v>
      </c>
      <c r="AF5057">
        <v>-3.8817866049719898</v>
      </c>
      <c r="AG5057">
        <v>-1.109661703137</v>
      </c>
      <c r="AH5057">
        <v>37.2686457535847</v>
      </c>
      <c r="AI5057">
        <v>91.696288178942496</v>
      </c>
      <c r="AJ5057">
        <v>95.946309465424704</v>
      </c>
      <c r="AK5057">
        <v>37.486685271548602</v>
      </c>
      <c r="AL5057">
        <v>91.311359306705995</v>
      </c>
      <c r="AM5057">
        <v>88.249941843869905</v>
      </c>
      <c r="AN5057">
        <v>1.00000002627023</v>
      </c>
    </row>
    <row r="5058" spans="1:40" x14ac:dyDescent="0.25">
      <c r="A5058" t="str">
        <f>"20190312161417860"</f>
        <v>20190312161417860</v>
      </c>
      <c r="B5058" t="str">
        <f>"1552378457851250"</f>
        <v>1552378457851250</v>
      </c>
      <c r="C5058" t="s">
        <v>40</v>
      </c>
      <c r="D5058">
        <v>5.0099989999999996</v>
      </c>
      <c r="E5058">
        <v>0.45442759999999999</v>
      </c>
      <c r="F5058" t="s">
        <v>77</v>
      </c>
      <c r="G5058">
        <v>-418.11709999999999</v>
      </c>
      <c r="H5058" s="1">
        <v>-7.6562729999999993E-6</v>
      </c>
      <c r="I5058">
        <v>27.155940000000001</v>
      </c>
      <c r="J5058">
        <v>-421.90730000000002</v>
      </c>
      <c r="K5058">
        <v>1.109659</v>
      </c>
      <c r="L5058">
        <v>63.545099999999998</v>
      </c>
      <c r="M5058">
        <v>6.8458449999999997E-3</v>
      </c>
      <c r="N5058">
        <v>0</v>
      </c>
      <c r="O5058">
        <v>-0.99993589999999999</v>
      </c>
      <c r="P5058">
        <v>-2.3808940000000001E-2</v>
      </c>
      <c r="Q5058">
        <v>-3.157447E-2</v>
      </c>
      <c r="R5058">
        <v>-0.99921789999999999</v>
      </c>
      <c r="S5058">
        <v>0.3113708</v>
      </c>
      <c r="T5058">
        <v>-9.1119770000000003E-2</v>
      </c>
      <c r="U5058">
        <v>-3.0068969999999999</v>
      </c>
      <c r="V5058">
        <v>3.065298E-2</v>
      </c>
      <c r="W5058">
        <v>-2.256213E-2</v>
      </c>
      <c r="X5058">
        <v>0.99927540000000004</v>
      </c>
      <c r="Y5058">
        <v>-9.6142549999999993E-2</v>
      </c>
      <c r="Z5058">
        <v>3.013797E-2</v>
      </c>
      <c r="AA5058">
        <v>0.9949112</v>
      </c>
      <c r="AB5058">
        <v>23</v>
      </c>
      <c r="AC5058">
        <v>3.79020000000002</v>
      </c>
      <c r="AD5058">
        <v>-1.109666656273</v>
      </c>
      <c r="AE5058">
        <v>-36.389159999999997</v>
      </c>
      <c r="AF5058">
        <v>-3.5377320306381299</v>
      </c>
      <c r="AG5058">
        <v>-1.109666656273</v>
      </c>
      <c r="AH5058">
        <v>36.380787616282397</v>
      </c>
      <c r="AI5058">
        <v>91.738865608041607</v>
      </c>
      <c r="AJ5058">
        <v>95.554080312937103</v>
      </c>
      <c r="AK5058">
        <v>36.569230448420697</v>
      </c>
      <c r="AL5058">
        <v>91.292824539945101</v>
      </c>
      <c r="AM5058">
        <v>88.242991046972904</v>
      </c>
      <c r="AN5058">
        <v>0.99999998996908801</v>
      </c>
    </row>
    <row r="5059" spans="1:40" x14ac:dyDescent="0.25">
      <c r="A5059" t="str">
        <f>"20190312161417881"</f>
        <v>20190312161417881</v>
      </c>
      <c r="B5059" t="str">
        <f>"1552378457871746"</f>
        <v>1552378457871746</v>
      </c>
      <c r="C5059" t="s">
        <v>40</v>
      </c>
      <c r="D5059">
        <v>4.9606700000000004</v>
      </c>
      <c r="E5059">
        <v>0.45615820000000001</v>
      </c>
      <c r="F5059" t="s">
        <v>77</v>
      </c>
      <c r="G5059">
        <v>-418.33780000000002</v>
      </c>
      <c r="H5059" s="1">
        <v>-7.5361489999999996E-6</v>
      </c>
      <c r="I5059">
        <v>26.776610000000002</v>
      </c>
      <c r="J5059">
        <v>-421.90559999999999</v>
      </c>
      <c r="K5059">
        <v>1.1096549999999901</v>
      </c>
      <c r="L5059">
        <v>63.317500000000003</v>
      </c>
      <c r="M5059">
        <v>6.973239E-3</v>
      </c>
      <c r="N5059">
        <v>0</v>
      </c>
      <c r="O5059">
        <v>-0.99993489999999996</v>
      </c>
      <c r="P5059">
        <v>-2.3612589999999999E-2</v>
      </c>
      <c r="Q5059">
        <v>-3.0931230000000001E-2</v>
      </c>
      <c r="R5059">
        <v>-0.99924250000000003</v>
      </c>
      <c r="S5059">
        <v>0.29187010000000002</v>
      </c>
      <c r="T5059">
        <v>-9.0733770000000005E-2</v>
      </c>
      <c r="U5059">
        <v>-3.0064389999999999</v>
      </c>
      <c r="V5059">
        <v>3.0583969999999999E-2</v>
      </c>
      <c r="W5059">
        <v>-2.1917699999999998E-2</v>
      </c>
      <c r="X5059">
        <v>0.99929179999999995</v>
      </c>
      <c r="Y5059">
        <v>-8.9640570000000003E-2</v>
      </c>
      <c r="Z5059">
        <v>3.0033730000000002E-2</v>
      </c>
      <c r="AA5059">
        <v>0.9955212</v>
      </c>
      <c r="AB5059">
        <v>23</v>
      </c>
      <c r="AC5059">
        <v>3.5677999999999699</v>
      </c>
      <c r="AD5059">
        <v>-1.10966253614899</v>
      </c>
      <c r="AE5059">
        <v>-36.540889999999997</v>
      </c>
      <c r="AF5059">
        <v>-3.3098709674268698</v>
      </c>
      <c r="AG5059">
        <v>-1.10966253614899</v>
      </c>
      <c r="AH5059">
        <v>36.531510528463997</v>
      </c>
      <c r="AI5059">
        <v>91.732759245716096</v>
      </c>
      <c r="AJ5059">
        <v>95.177044603887893</v>
      </c>
      <c r="AK5059">
        <v>36.697927165664602</v>
      </c>
      <c r="AL5059">
        <v>91.255892356355304</v>
      </c>
      <c r="AM5059">
        <v>88.246972936979503</v>
      </c>
      <c r="AN5059">
        <v>0.99999993317074298</v>
      </c>
    </row>
    <row r="5060" spans="1:40" x14ac:dyDescent="0.25">
      <c r="A5060" t="str">
        <f>"20190312161417904"</f>
        <v>20190312161417904</v>
      </c>
      <c r="B5060" t="str">
        <f>"1552378457902002"</f>
        <v>1552378457902002</v>
      </c>
      <c r="C5060" t="s">
        <v>40</v>
      </c>
      <c r="D5060">
        <v>4.9019199999999996</v>
      </c>
      <c r="E5060">
        <v>0.4586827</v>
      </c>
      <c r="F5060" t="s">
        <v>77</v>
      </c>
      <c r="G5060">
        <v>-418.55360000000002</v>
      </c>
      <c r="H5060" s="1">
        <v>-7.5040859999999999E-6</v>
      </c>
      <c r="I5060">
        <v>27.164960000000001</v>
      </c>
      <c r="J5060">
        <v>-421.90379999999999</v>
      </c>
      <c r="K5060">
        <v>1.1096469999999901</v>
      </c>
      <c r="L5060">
        <v>63.0777</v>
      </c>
      <c r="M5060">
        <v>7.1072720000000004E-3</v>
      </c>
      <c r="N5060">
        <v>0</v>
      </c>
      <c r="O5060">
        <v>-0.9999342</v>
      </c>
      <c r="P5060">
        <v>-2.2974000000000001E-2</v>
      </c>
      <c r="Q5060">
        <v>-3.097799E-2</v>
      </c>
      <c r="R5060">
        <v>-0.99925600000000003</v>
      </c>
      <c r="S5060">
        <v>0.27871699999999999</v>
      </c>
      <c r="T5060">
        <v>-9.2266200000000007E-2</v>
      </c>
      <c r="U5060">
        <v>-3.0060120000000001</v>
      </c>
      <c r="V5060">
        <v>3.0079419999999999E-2</v>
      </c>
      <c r="W5060">
        <v>-2.1962929999999999E-2</v>
      </c>
      <c r="X5060">
        <v>0.99930620000000003</v>
      </c>
      <c r="Y5060">
        <v>-8.5201230000000003E-2</v>
      </c>
      <c r="Z5060">
        <v>3.0557029999999999E-2</v>
      </c>
      <c r="AA5060">
        <v>0.99589510000000003</v>
      </c>
      <c r="AB5060">
        <v>23</v>
      </c>
      <c r="AC5060">
        <v>3.3501999999999699</v>
      </c>
      <c r="AD5060">
        <v>-1.10965450408599</v>
      </c>
      <c r="AE5060">
        <v>-35.912739999999999</v>
      </c>
      <c r="AF5060">
        <v>-3.0919369343512</v>
      </c>
      <c r="AG5060">
        <v>-1.10965450408599</v>
      </c>
      <c r="AH5060">
        <v>35.901664112208202</v>
      </c>
      <c r="AI5060">
        <v>91.763818771252502</v>
      </c>
      <c r="AJ5060">
        <v>94.922303470246405</v>
      </c>
      <c r="AK5060">
        <v>36.051642031261999</v>
      </c>
      <c r="AL5060">
        <v>91.258484369910605</v>
      </c>
      <c r="AM5060">
        <v>88.275900210836994</v>
      </c>
      <c r="AN5060">
        <v>1.00000001158008</v>
      </c>
    </row>
    <row r="5061" spans="1:40" x14ac:dyDescent="0.25">
      <c r="A5061" t="str">
        <f>"20190312161417928"</f>
        <v>20190312161417928</v>
      </c>
      <c r="B5061" t="str">
        <f>"1552378457921522"</f>
        <v>1552378457921522</v>
      </c>
      <c r="C5061" t="s">
        <v>40</v>
      </c>
      <c r="D5061">
        <v>4.9789700000000003</v>
      </c>
      <c r="E5061">
        <v>0.46013660000000001</v>
      </c>
      <c r="F5061" t="s">
        <v>77</v>
      </c>
      <c r="G5061">
        <v>-419.01780000000002</v>
      </c>
      <c r="H5061" s="1">
        <v>-5.791258E-6</v>
      </c>
      <c r="I5061">
        <v>29.827159999999999</v>
      </c>
      <c r="J5061">
        <v>-421.90190000000001</v>
      </c>
      <c r="K5061">
        <v>1.109645</v>
      </c>
      <c r="L5061">
        <v>62.836089999999999</v>
      </c>
      <c r="M5061">
        <v>7.2420309999999899E-3</v>
      </c>
      <c r="N5061">
        <v>0</v>
      </c>
      <c r="O5061">
        <v>-0.99993299999999996</v>
      </c>
      <c r="P5061">
        <v>-2.276744E-2</v>
      </c>
      <c r="Q5061">
        <v>-3.08072E-2</v>
      </c>
      <c r="R5061">
        <v>-0.99926610000000005</v>
      </c>
      <c r="S5061">
        <v>0.2608337</v>
      </c>
      <c r="T5061">
        <v>-0.1002885</v>
      </c>
      <c r="U5061">
        <v>-3.0051269999999999</v>
      </c>
      <c r="V5061">
        <v>3.0007559999999999E-2</v>
      </c>
      <c r="W5061">
        <v>-2.179033E-2</v>
      </c>
      <c r="X5061">
        <v>0.99931210000000004</v>
      </c>
      <c r="Y5061">
        <v>-7.9205899999999996E-2</v>
      </c>
      <c r="Z5061">
        <v>3.3237790000000003E-2</v>
      </c>
      <c r="AA5061">
        <v>0.99630399999999997</v>
      </c>
      <c r="AB5061">
        <v>23</v>
      </c>
      <c r="AC5061">
        <v>2.8840999999999801</v>
      </c>
      <c r="AD5061">
        <v>-1.109650791258</v>
      </c>
      <c r="AE5061">
        <v>-33.008929999999999</v>
      </c>
      <c r="AF5061">
        <v>-2.6419998646505398</v>
      </c>
      <c r="AG5061">
        <v>-1.109650791258</v>
      </c>
      <c r="AH5061">
        <v>32.991950778817497</v>
      </c>
      <c r="AI5061">
        <v>91.920216690483002</v>
      </c>
      <c r="AJ5061">
        <v>94.578483416879195</v>
      </c>
      <c r="AK5061">
        <v>33.116163792856099</v>
      </c>
      <c r="AL5061">
        <v>91.248592799773306</v>
      </c>
      <c r="AM5061">
        <v>88.280026772205801</v>
      </c>
      <c r="AN5061">
        <v>0.99999997267253504</v>
      </c>
    </row>
    <row r="5062" spans="1:40" x14ac:dyDescent="0.25">
      <c r="A5062" t="str">
        <f>"20190312161417949"</f>
        <v>20190312161417949</v>
      </c>
      <c r="B5062" t="str">
        <f>"1552378457942019"</f>
        <v>1552378457942019</v>
      </c>
      <c r="C5062" t="s">
        <v>40</v>
      </c>
      <c r="D5062">
        <v>4.9826389999999998</v>
      </c>
      <c r="E5062">
        <v>0.46151180000000003</v>
      </c>
      <c r="F5062" t="s">
        <v>77</v>
      </c>
      <c r="G5062">
        <v>-419.255</v>
      </c>
      <c r="H5062" s="1">
        <v>-5.174747E-6</v>
      </c>
      <c r="I5062">
        <v>31.00055</v>
      </c>
      <c r="J5062">
        <v>-421.90010000000001</v>
      </c>
      <c r="K5062">
        <v>1.109645</v>
      </c>
      <c r="L5062">
        <v>62.605620000000002</v>
      </c>
      <c r="M5062">
        <v>7.3703850000000001E-3</v>
      </c>
      <c r="N5062">
        <v>0</v>
      </c>
      <c r="O5062">
        <v>-0.9999323</v>
      </c>
      <c r="P5062">
        <v>-2.2802280000000001E-2</v>
      </c>
      <c r="Q5062">
        <v>-3.0311769999999998E-2</v>
      </c>
      <c r="R5062">
        <v>-0.99928050000000002</v>
      </c>
      <c r="S5062">
        <v>0.24981690000000001</v>
      </c>
      <c r="T5062">
        <v>-0.1047299</v>
      </c>
      <c r="U5062">
        <v>-3.0046689999999998</v>
      </c>
      <c r="V5062">
        <v>3.017069E-2</v>
      </c>
      <c r="W5062">
        <v>-2.1292829999999999E-2</v>
      </c>
      <c r="X5062">
        <v>0.99931789999999998</v>
      </c>
      <c r="Y5062">
        <v>-7.5459460000000006E-2</v>
      </c>
      <c r="Z5062">
        <v>3.4723650000000002E-2</v>
      </c>
      <c r="AA5062">
        <v>0.99654410000000004</v>
      </c>
      <c r="AB5062">
        <v>23</v>
      </c>
      <c r="AC5062">
        <v>2.64510000000001</v>
      </c>
      <c r="AD5062">
        <v>-1.109650174747</v>
      </c>
      <c r="AE5062">
        <v>-31.605069999999898</v>
      </c>
      <c r="AF5062">
        <v>-2.4091280875608798</v>
      </c>
      <c r="AG5062">
        <v>-1.109650174747</v>
      </c>
      <c r="AH5062">
        <v>31.5850435029034</v>
      </c>
      <c r="AI5062">
        <v>92.006273031834994</v>
      </c>
      <c r="AJ5062">
        <v>94.361751817590701</v>
      </c>
      <c r="AK5062">
        <v>31.696217356853399</v>
      </c>
      <c r="AL5062">
        <v>91.220081547661394</v>
      </c>
      <c r="AM5062">
        <v>88.270692180372606</v>
      </c>
      <c r="AN5062">
        <v>0.99999996020244597</v>
      </c>
    </row>
    <row r="5063" spans="1:40" x14ac:dyDescent="0.25">
      <c r="A5063" t="str">
        <f>"20190312161417971"</f>
        <v>20190312161417971</v>
      </c>
      <c r="B5063" t="str">
        <f>"1552378457961539"</f>
        <v>1552378457961539</v>
      </c>
      <c r="C5063" t="s">
        <v>40</v>
      </c>
      <c r="D5063">
        <v>5.0138509999999998</v>
      </c>
      <c r="E5063">
        <v>0.46258120000000003</v>
      </c>
      <c r="F5063" t="s">
        <v>77</v>
      </c>
      <c r="G5063">
        <v>-419.38440000000003</v>
      </c>
      <c r="H5063" s="1">
        <v>-5.1386850000000003E-6</v>
      </c>
      <c r="I5063">
        <v>31.015029999999999</v>
      </c>
      <c r="J5063">
        <v>-421.89830000000001</v>
      </c>
      <c r="K5063">
        <v>1.1096490000000001</v>
      </c>
      <c r="L5063">
        <v>62.37576</v>
      </c>
      <c r="M5063">
        <v>7.4982879999999997E-3</v>
      </c>
      <c r="N5063">
        <v>0</v>
      </c>
      <c r="O5063">
        <v>-0.99993109999999996</v>
      </c>
      <c r="P5063">
        <v>-2.2855259999999999E-2</v>
      </c>
      <c r="Q5063">
        <v>-3.0148319999999999E-2</v>
      </c>
      <c r="R5063">
        <v>-0.99928410000000001</v>
      </c>
      <c r="S5063">
        <v>0.23925779999999999</v>
      </c>
      <c r="T5063">
        <v>-0.1055334</v>
      </c>
      <c r="U5063">
        <v>-3.0044249999999999</v>
      </c>
      <c r="V5063">
        <v>3.0351489999999998E-2</v>
      </c>
      <c r="W5063">
        <v>-2.1127190000000001E-2</v>
      </c>
      <c r="X5063">
        <v>0.99931599999999998</v>
      </c>
      <c r="Y5063">
        <v>-7.1858030000000003E-2</v>
      </c>
      <c r="Z5063">
        <v>3.5002140000000001E-2</v>
      </c>
      <c r="AA5063">
        <v>0.99680049999999998</v>
      </c>
      <c r="AB5063">
        <v>24</v>
      </c>
      <c r="AC5063">
        <v>2.5138999999999698</v>
      </c>
      <c r="AD5063">
        <v>-1.1096541386849901</v>
      </c>
      <c r="AE5063">
        <v>-31.36073</v>
      </c>
      <c r="AF5063">
        <v>-2.2758367989082799</v>
      </c>
      <c r="AG5063">
        <v>-1.1096541386849901</v>
      </c>
      <c r="AH5063">
        <v>31.339712336319401</v>
      </c>
      <c r="AI5063">
        <v>92.022519538349101</v>
      </c>
      <c r="AJ5063">
        <v>94.153431720974396</v>
      </c>
      <c r="AK5063">
        <v>31.441824609364101</v>
      </c>
      <c r="AL5063">
        <v>91.210588867149397</v>
      </c>
      <c r="AM5063">
        <v>88.260332224007101</v>
      </c>
      <c r="AN5063">
        <v>1.00000001947925</v>
      </c>
    </row>
    <row r="5064" spans="1:40" x14ac:dyDescent="0.25">
      <c r="A5064" t="str">
        <f>"20190312161417993"</f>
        <v>20190312161417993</v>
      </c>
      <c r="B5064" t="str">
        <f>"1552378457982035"</f>
        <v>1552378457982035</v>
      </c>
      <c r="C5064" t="s">
        <v>40</v>
      </c>
      <c r="D5064">
        <v>4.9848460000000001</v>
      </c>
      <c r="E5064">
        <v>0.46358359999999899</v>
      </c>
      <c r="F5064" t="s">
        <v>77</v>
      </c>
      <c r="G5064">
        <v>-419.52659999999997</v>
      </c>
      <c r="H5064" s="1">
        <v>-4.8823230000000002E-6</v>
      </c>
      <c r="I5064">
        <v>31.45627</v>
      </c>
      <c r="J5064">
        <v>-421.8963</v>
      </c>
      <c r="K5064">
        <v>1.1096520000000001</v>
      </c>
      <c r="L5064">
        <v>62.136899999999997</v>
      </c>
      <c r="M5064">
        <v>7.63115199999999E-3</v>
      </c>
      <c r="N5064">
        <v>0</v>
      </c>
      <c r="O5064">
        <v>-0.99993010000000004</v>
      </c>
      <c r="P5064">
        <v>-2.3168859999999999E-2</v>
      </c>
      <c r="Q5064">
        <v>-2.9768180000000002E-2</v>
      </c>
      <c r="R5064">
        <v>-0.99928830000000002</v>
      </c>
      <c r="S5064">
        <v>0.23043820000000001</v>
      </c>
      <c r="T5064">
        <v>-0.10781549999999999</v>
      </c>
      <c r="U5064">
        <v>-3.004181</v>
      </c>
      <c r="V5064">
        <v>3.079782E-2</v>
      </c>
      <c r="W5064">
        <v>-2.0744559999999999E-2</v>
      </c>
      <c r="X5064">
        <v>0.99931029999999998</v>
      </c>
      <c r="Y5064">
        <v>-6.8820909999999999E-2</v>
      </c>
      <c r="Z5064">
        <v>3.5768849999999998E-2</v>
      </c>
      <c r="AA5064">
        <v>0.99698759999999997</v>
      </c>
      <c r="AB5064">
        <v>24</v>
      </c>
      <c r="AC5064">
        <v>2.3697000000000199</v>
      </c>
      <c r="AD5064">
        <v>-1.109656882323</v>
      </c>
      <c r="AE5064">
        <v>-30.680630000000001</v>
      </c>
      <c r="AF5064">
        <v>-2.1327195780680999</v>
      </c>
      <c r="AG5064">
        <v>-1.109656882323</v>
      </c>
      <c r="AH5064">
        <v>30.657954285197601</v>
      </c>
      <c r="AI5064">
        <v>92.067908115964897</v>
      </c>
      <c r="AJ5064">
        <v>93.979368175276605</v>
      </c>
      <c r="AK5064">
        <v>30.752072973190401</v>
      </c>
      <c r="AL5064">
        <v>91.188661048981899</v>
      </c>
      <c r="AM5064">
        <v>88.234755765405694</v>
      </c>
      <c r="AN5064">
        <v>0.99999995908621697</v>
      </c>
    </row>
    <row r="5065" spans="1:40" x14ac:dyDescent="0.25">
      <c r="A5065" t="str">
        <f>"20190312161418017"</f>
        <v>20190312161418017</v>
      </c>
      <c r="B5065" t="str">
        <f>"1552378458011314"</f>
        <v>1552378458011314</v>
      </c>
      <c r="C5065" t="s">
        <v>40</v>
      </c>
      <c r="D5065">
        <v>4.9934960000000004</v>
      </c>
      <c r="E5065">
        <v>0.4648061</v>
      </c>
      <c r="F5065" t="s">
        <v>77</v>
      </c>
      <c r="G5065">
        <v>-419.66329999999999</v>
      </c>
      <c r="H5065" s="1">
        <v>-4.6653519999999998E-6</v>
      </c>
      <c r="I5065">
        <v>31.822600000000001</v>
      </c>
      <c r="J5065">
        <v>-421.89440000000002</v>
      </c>
      <c r="K5065">
        <v>1.1096549999999901</v>
      </c>
      <c r="L5065">
        <v>61.89978</v>
      </c>
      <c r="M5065">
        <v>7.763069E-3</v>
      </c>
      <c r="N5065">
        <v>0</v>
      </c>
      <c r="O5065">
        <v>-0.99992939999999997</v>
      </c>
      <c r="P5065">
        <v>-2.378984E-2</v>
      </c>
      <c r="Q5065">
        <v>-2.9483550000000001E-2</v>
      </c>
      <c r="R5065">
        <v>-0.99928249999999996</v>
      </c>
      <c r="S5065">
        <v>0.22128300000000001</v>
      </c>
      <c r="T5065">
        <v>-0.1099615</v>
      </c>
      <c r="U5065">
        <v>-3.0039980000000002</v>
      </c>
      <c r="V5065">
        <v>3.1550500000000002E-2</v>
      </c>
      <c r="W5065">
        <v>-2.0457349999999999E-2</v>
      </c>
      <c r="X5065">
        <v>0.99929279999999998</v>
      </c>
      <c r="Y5065">
        <v>-6.5670240000000005E-2</v>
      </c>
      <c r="Z5065">
        <v>3.6490059999999998E-2</v>
      </c>
      <c r="AA5065">
        <v>0.997174</v>
      </c>
      <c r="AB5065">
        <v>24</v>
      </c>
      <c r="AC5065">
        <v>2.2311000000000201</v>
      </c>
      <c r="AD5065">
        <v>-1.1096596653519999</v>
      </c>
      <c r="AE5065">
        <v>-30.077179999999998</v>
      </c>
      <c r="AF5065">
        <v>-1.9948316900155301</v>
      </c>
      <c r="AG5065">
        <v>-1.1096596653519999</v>
      </c>
      <c r="AH5065">
        <v>30.052911887957301</v>
      </c>
      <c r="AI5065">
        <v>92.109963065603495</v>
      </c>
      <c r="AJ5065">
        <v>93.797569417889605</v>
      </c>
      <c r="AK5065">
        <v>30.1394792753579</v>
      </c>
      <c r="AL5065">
        <v>91.172201564504206</v>
      </c>
      <c r="AM5065">
        <v>88.191610924854203</v>
      </c>
      <c r="AN5065">
        <v>1.00000001867555</v>
      </c>
    </row>
    <row r="5066" spans="1:40" x14ac:dyDescent="0.25">
      <c r="A5066" t="str">
        <f>"20190312161418039"</f>
        <v>20190312161418039</v>
      </c>
      <c r="B5066" t="str">
        <f>"1552378458031810"</f>
        <v>1552378458031810</v>
      </c>
      <c r="C5066" t="s">
        <v>40</v>
      </c>
      <c r="D5066">
        <v>5.0350359999999998</v>
      </c>
      <c r="E5066">
        <v>0.46554469999999998</v>
      </c>
      <c r="F5066" t="s">
        <v>77</v>
      </c>
      <c r="G5066">
        <v>-419.8349</v>
      </c>
      <c r="H5066" s="1">
        <v>-4.3086090000000002E-6</v>
      </c>
      <c r="I5066">
        <v>32.448079999999997</v>
      </c>
      <c r="J5066">
        <v>-421.89240000000001</v>
      </c>
      <c r="K5066">
        <v>1.109659</v>
      </c>
      <c r="L5066">
        <v>61.657620000000001</v>
      </c>
      <c r="M5066">
        <v>7.8977939999999996E-3</v>
      </c>
      <c r="N5066">
        <v>0</v>
      </c>
      <c r="O5066">
        <v>-0.99992800000000004</v>
      </c>
      <c r="P5066">
        <v>-2.4032789999999998E-2</v>
      </c>
      <c r="Q5066">
        <v>-2.8716909999999998E-2</v>
      </c>
      <c r="R5066">
        <v>-0.99929860000000004</v>
      </c>
      <c r="S5066">
        <v>0.2100525</v>
      </c>
      <c r="T5066">
        <v>-0.1131755</v>
      </c>
      <c r="U5066">
        <v>-3.0038149999999999</v>
      </c>
      <c r="V5066">
        <v>3.1928079999999998E-2</v>
      </c>
      <c r="W5066">
        <v>-1.9687730000000001E-2</v>
      </c>
      <c r="X5066">
        <v>0.99929619999999997</v>
      </c>
      <c r="Y5066">
        <v>-6.182795E-2</v>
      </c>
      <c r="Z5066">
        <v>3.7566969999999998E-2</v>
      </c>
      <c r="AA5066">
        <v>0.99737960000000003</v>
      </c>
      <c r="AB5066">
        <v>24</v>
      </c>
      <c r="AC5066">
        <v>2.0575000000000001</v>
      </c>
      <c r="AD5066">
        <v>-1.109663308609</v>
      </c>
      <c r="AE5066">
        <v>-29.209540000000001</v>
      </c>
      <c r="AF5066">
        <v>-1.82411587481352</v>
      </c>
      <c r="AG5066">
        <v>-1.109663308609</v>
      </c>
      <c r="AH5066">
        <v>29.182969761530298</v>
      </c>
      <c r="AI5066">
        <v>92.173347959198395</v>
      </c>
      <c r="AJ5066">
        <v>93.576686916746894</v>
      </c>
      <c r="AK5066">
        <v>29.260971882109601</v>
      </c>
      <c r="AL5066">
        <v>91.1280967754725</v>
      </c>
      <c r="AM5066">
        <v>88.169989914421606</v>
      </c>
      <c r="AN5066">
        <v>0.99999995216973803</v>
      </c>
    </row>
    <row r="5067" spans="1:40" x14ac:dyDescent="0.25">
      <c r="A5067" t="str">
        <f>"20190312161418061"</f>
        <v>20190312161418061</v>
      </c>
      <c r="B5067" t="str">
        <f>"1552378458051331"</f>
        <v>1552378458051331</v>
      </c>
      <c r="C5067" t="s">
        <v>40</v>
      </c>
      <c r="D5067">
        <v>5.0715250000000003</v>
      </c>
      <c r="E5067">
        <v>0.46615139999999999</v>
      </c>
      <c r="F5067" t="s">
        <v>77</v>
      </c>
      <c r="G5067">
        <v>-419.8854</v>
      </c>
      <c r="H5067" s="1">
        <v>-4.5250179999999999E-6</v>
      </c>
      <c r="I5067">
        <v>32.001370000000001</v>
      </c>
      <c r="J5067">
        <v>-421.8904</v>
      </c>
      <c r="K5067">
        <v>1.109669</v>
      </c>
      <c r="L5067">
        <v>61.430239999999998</v>
      </c>
      <c r="M5067">
        <v>8.0243380000000007E-3</v>
      </c>
      <c r="N5067">
        <v>0</v>
      </c>
      <c r="O5067">
        <v>-0.99992729999999996</v>
      </c>
      <c r="P5067">
        <v>-2.431848E-2</v>
      </c>
      <c r="Q5067">
        <v>-2.8271439999999998E-2</v>
      </c>
      <c r="R5067">
        <v>-0.999305</v>
      </c>
      <c r="S5067">
        <v>0.2032776</v>
      </c>
      <c r="T5067">
        <v>-0.11239300000000001</v>
      </c>
      <c r="U5067">
        <v>-3.0037539999999998</v>
      </c>
      <c r="V5067">
        <v>3.2340170000000001E-2</v>
      </c>
      <c r="W5067">
        <v>-1.9239429999999998E-2</v>
      </c>
      <c r="X5067">
        <v>0.9992917</v>
      </c>
      <c r="Y5067">
        <v>-5.9464549999999998E-2</v>
      </c>
      <c r="Z5067">
        <v>3.7313859999999997E-2</v>
      </c>
      <c r="AA5067">
        <v>0.9975328</v>
      </c>
      <c r="AB5067">
        <v>24</v>
      </c>
      <c r="AC5067">
        <v>2.0049999999999901</v>
      </c>
      <c r="AD5067">
        <v>-1.1096735250180001</v>
      </c>
      <c r="AE5067">
        <v>-29.42887</v>
      </c>
      <c r="AF5067">
        <v>-1.7662789579057101</v>
      </c>
      <c r="AG5067">
        <v>-1.1096735250180001</v>
      </c>
      <c r="AH5067">
        <v>29.402400254162899</v>
      </c>
      <c r="AI5067">
        <v>92.157483718452795</v>
      </c>
      <c r="AJ5067">
        <v>93.437775734576803</v>
      </c>
      <c r="AK5067">
        <v>29.476299927149402</v>
      </c>
      <c r="AL5067">
        <v>91.102406187583796</v>
      </c>
      <c r="AM5067">
        <v>88.146378333583499</v>
      </c>
      <c r="AN5067">
        <v>0.99999997197562096</v>
      </c>
    </row>
    <row r="5068" spans="1:40" x14ac:dyDescent="0.25">
      <c r="A5068" t="str">
        <f>"20190312161418083"</f>
        <v>20190312161418083</v>
      </c>
      <c r="B5068" t="str">
        <f>"1552378458071787"</f>
        <v>1552378458071787</v>
      </c>
      <c r="C5068" t="s">
        <v>40</v>
      </c>
      <c r="D5068">
        <v>5.2148519999999996</v>
      </c>
      <c r="E5068">
        <v>0.4669336</v>
      </c>
      <c r="F5068" t="s">
        <v>77</v>
      </c>
      <c r="G5068">
        <v>-419.9828</v>
      </c>
      <c r="H5068" s="1">
        <v>-4.2906150000000003E-6</v>
      </c>
      <c r="I5068">
        <v>32.432749999999999</v>
      </c>
      <c r="J5068">
        <v>-421.88830000000002</v>
      </c>
      <c r="K5068">
        <v>1.109669</v>
      </c>
      <c r="L5068">
        <v>61.18665</v>
      </c>
      <c r="M5068">
        <v>8.1598620000000004E-3</v>
      </c>
      <c r="N5068">
        <v>0</v>
      </c>
      <c r="O5068">
        <v>-0.99992610000000004</v>
      </c>
      <c r="P5068">
        <v>-2.3939419999999999E-2</v>
      </c>
      <c r="Q5068">
        <v>-2.783031E-2</v>
      </c>
      <c r="R5068">
        <v>-0.99932609999999999</v>
      </c>
      <c r="S5068">
        <v>0.19760130000000001</v>
      </c>
      <c r="T5068">
        <v>-0.1149439</v>
      </c>
      <c r="U5068">
        <v>-3.0036619999999998</v>
      </c>
      <c r="V5068">
        <v>3.2096640000000003E-2</v>
      </c>
      <c r="W5068">
        <v>-1.8795070000000001E-2</v>
      </c>
      <c r="X5068">
        <v>0.99930799999999997</v>
      </c>
      <c r="Y5068">
        <v>-5.7452299999999998E-2</v>
      </c>
      <c r="Z5068">
        <v>3.8165240000000003E-2</v>
      </c>
      <c r="AA5068">
        <v>0.99761849999999996</v>
      </c>
      <c r="AB5068">
        <v>24</v>
      </c>
      <c r="AC5068">
        <v>1.90550000000001</v>
      </c>
      <c r="AD5068">
        <v>-1.109673290615</v>
      </c>
      <c r="AE5068">
        <v>-28.753900000000002</v>
      </c>
      <c r="AF5068">
        <v>-1.66832531679142</v>
      </c>
      <c r="AG5068">
        <v>-1.109673290615</v>
      </c>
      <c r="AH5068">
        <v>28.7258960426126</v>
      </c>
      <c r="AI5068">
        <v>92.208502106563799</v>
      </c>
      <c r="AJ5068">
        <v>93.323856079970199</v>
      </c>
      <c r="AK5068">
        <v>28.795690434951101</v>
      </c>
      <c r="AL5068">
        <v>91.076941637644296</v>
      </c>
      <c r="AM5068">
        <v>88.160356952032004</v>
      </c>
      <c r="AN5068">
        <v>0.99999996390979595</v>
      </c>
    </row>
    <row r="5069" spans="1:40" x14ac:dyDescent="0.25">
      <c r="A5069" t="str">
        <f>"20190312161418105"</f>
        <v>20190312161418105</v>
      </c>
      <c r="B5069" t="str">
        <f>"1552378458102042"</f>
        <v>1552378458102042</v>
      </c>
      <c r="C5069" t="s">
        <v>40</v>
      </c>
      <c r="D5069">
        <v>5.0864010000000004</v>
      </c>
      <c r="E5069">
        <v>0.46794000000000002</v>
      </c>
      <c r="F5069" t="s">
        <v>77</v>
      </c>
      <c r="G5069">
        <v>-420.06369999999998</v>
      </c>
      <c r="H5069" s="1">
        <v>-4.1536590000000001E-6</v>
      </c>
      <c r="I5069">
        <v>32.710749999999997</v>
      </c>
      <c r="J5069">
        <v>-421.88619999999997</v>
      </c>
      <c r="K5069">
        <v>1.109667</v>
      </c>
      <c r="L5069">
        <v>60.946750000000002</v>
      </c>
      <c r="M5069">
        <v>8.2932749999999993E-3</v>
      </c>
      <c r="N5069">
        <v>0</v>
      </c>
      <c r="O5069">
        <v>-0.9999247</v>
      </c>
      <c r="P5069">
        <v>-2.3806979999999998E-2</v>
      </c>
      <c r="Q5069">
        <v>-2.8062030000000002E-2</v>
      </c>
      <c r="R5069">
        <v>-0.99932259999999995</v>
      </c>
      <c r="S5069">
        <v>0.1924438</v>
      </c>
      <c r="T5069">
        <v>-0.1170374</v>
      </c>
      <c r="U5069">
        <v>-3.0033569999999998</v>
      </c>
      <c r="V5069">
        <v>3.2097559999999997E-2</v>
      </c>
      <c r="W5069">
        <v>-1.9023600000000002E-2</v>
      </c>
      <c r="X5069">
        <v>0.99930370000000002</v>
      </c>
      <c r="Y5069">
        <v>-5.5617949999999999E-2</v>
      </c>
      <c r="Z5069">
        <v>3.886738E-2</v>
      </c>
      <c r="AA5069">
        <v>0.99769529999999995</v>
      </c>
      <c r="AB5069">
        <v>24</v>
      </c>
      <c r="AC5069">
        <v>1.82249999999999</v>
      </c>
      <c r="AD5069">
        <v>-1.109671153659</v>
      </c>
      <c r="AE5069">
        <v>-28.236000000000001</v>
      </c>
      <c r="AF5069">
        <v>-1.58581972153512</v>
      </c>
      <c r="AG5069">
        <v>-1.109671153659</v>
      </c>
      <c r="AH5069">
        <v>28.2067599716882</v>
      </c>
      <c r="AI5069">
        <v>92.249340732720896</v>
      </c>
      <c r="AJ5069">
        <v>93.217853681459204</v>
      </c>
      <c r="AK5069">
        <v>28.273087952307399</v>
      </c>
      <c r="AL5069">
        <v>91.090037725474005</v>
      </c>
      <c r="AM5069">
        <v>88.160296347010998</v>
      </c>
      <c r="AN5069">
        <v>1.0000000177743</v>
      </c>
    </row>
    <row r="5070" spans="1:40" x14ac:dyDescent="0.25">
      <c r="A5070" t="str">
        <f>"20190312161418129"</f>
        <v>20190312161418129</v>
      </c>
      <c r="B5070" t="str">
        <f>"1552378458121563"</f>
        <v>1552378458121563</v>
      </c>
      <c r="C5070" t="s">
        <v>40</v>
      </c>
      <c r="D5070">
        <v>5.1750530000000001</v>
      </c>
      <c r="E5070">
        <v>0.46846009999999999</v>
      </c>
      <c r="F5070" t="s">
        <v>77</v>
      </c>
      <c r="G5070">
        <v>-420.20299999999997</v>
      </c>
      <c r="H5070" s="1">
        <v>-3.6830749999999999E-6</v>
      </c>
      <c r="I5070">
        <v>33.650179999999999</v>
      </c>
      <c r="J5070">
        <v>-421.88400000000001</v>
      </c>
      <c r="K5070">
        <v>1.109666</v>
      </c>
      <c r="L5070">
        <v>60.698090000000001</v>
      </c>
      <c r="M5070">
        <v>8.4315169999999995E-3</v>
      </c>
      <c r="N5070">
        <v>0</v>
      </c>
      <c r="O5070">
        <v>-0.99992369999999997</v>
      </c>
      <c r="P5070">
        <v>-2.3850880000000001E-2</v>
      </c>
      <c r="Q5070">
        <v>-2.8505229999999999E-2</v>
      </c>
      <c r="R5070">
        <v>-0.99930920000000001</v>
      </c>
      <c r="S5070">
        <v>0.1851807</v>
      </c>
      <c r="T5070">
        <v>-0.12207999999999999</v>
      </c>
      <c r="U5070">
        <v>-3.0030209999999999</v>
      </c>
      <c r="V5070">
        <v>3.2279549999999997E-2</v>
      </c>
      <c r="W5070">
        <v>-1.9463609999999999E-2</v>
      </c>
      <c r="X5070">
        <v>0.99928930000000005</v>
      </c>
      <c r="Y5070">
        <v>-5.3079199999999903E-2</v>
      </c>
      <c r="Z5070">
        <v>4.0549590000000003E-2</v>
      </c>
      <c r="AA5070">
        <v>0.99776670000000001</v>
      </c>
      <c r="AB5070">
        <v>24</v>
      </c>
      <c r="AC5070">
        <v>1.6809999999999801</v>
      </c>
      <c r="AD5070">
        <v>-1.1096696830749999</v>
      </c>
      <c r="AE5070">
        <v>-27.047909999999899</v>
      </c>
      <c r="AF5070">
        <v>-1.45044412926985</v>
      </c>
      <c r="AG5070">
        <v>-1.1096696830749999</v>
      </c>
      <c r="AH5070">
        <v>27.015826001234299</v>
      </c>
      <c r="AI5070">
        <v>92.348711762304802</v>
      </c>
      <c r="AJ5070">
        <v>93.073184441182505</v>
      </c>
      <c r="AK5070">
        <v>27.077481594613602</v>
      </c>
      <c r="AL5070">
        <v>91.115253182377998</v>
      </c>
      <c r="AM5070">
        <v>88.149845995407304</v>
      </c>
      <c r="AN5070">
        <v>0.99999995327846103</v>
      </c>
    </row>
    <row r="5071" spans="1:40" x14ac:dyDescent="0.25">
      <c r="A5071" t="str">
        <f>"20190312161418151"</f>
        <v>20190312161418151</v>
      </c>
      <c r="B5071" t="str">
        <f>"1552378458142059"</f>
        <v>1552378458142059</v>
      </c>
      <c r="C5071" t="s">
        <v>40</v>
      </c>
      <c r="D5071">
        <v>5.1946450000000004</v>
      </c>
      <c r="E5071">
        <v>0.46911530000000001</v>
      </c>
      <c r="F5071" t="s">
        <v>77</v>
      </c>
      <c r="G5071">
        <v>-420.28059999999999</v>
      </c>
      <c r="H5071" s="1">
        <v>-3.4870199999999999E-6</v>
      </c>
      <c r="I5071">
        <v>34.043799999999997</v>
      </c>
      <c r="J5071">
        <v>-421.8818</v>
      </c>
      <c r="K5071">
        <v>1.1096649999999999</v>
      </c>
      <c r="L5071">
        <v>60.459229999999998</v>
      </c>
      <c r="M5071">
        <v>8.5642740000000002E-3</v>
      </c>
      <c r="N5071">
        <v>0</v>
      </c>
      <c r="O5071">
        <v>-0.99992250000000005</v>
      </c>
      <c r="P5071">
        <v>-2.3730190000000002E-2</v>
      </c>
      <c r="Q5071">
        <v>-2.8359269999999999E-2</v>
      </c>
      <c r="R5071">
        <v>-0.99931610000000004</v>
      </c>
      <c r="S5071">
        <v>0.1806335</v>
      </c>
      <c r="T5071">
        <v>-0.1250126</v>
      </c>
      <c r="U5071">
        <v>-3.0028079999999999</v>
      </c>
      <c r="V5071">
        <v>3.2291559999999997E-2</v>
      </c>
      <c r="W5071">
        <v>-1.9314330000000001E-2</v>
      </c>
      <c r="X5071">
        <v>0.99929179999999995</v>
      </c>
      <c r="Y5071">
        <v>-5.144319E-2</v>
      </c>
      <c r="Z5071">
        <v>4.1528599999999999E-2</v>
      </c>
      <c r="AA5071">
        <v>0.99781209999999998</v>
      </c>
      <c r="AB5071">
        <v>24</v>
      </c>
      <c r="AC5071">
        <v>1.6012</v>
      </c>
      <c r="AD5071">
        <v>-1.10966848702</v>
      </c>
      <c r="AE5071">
        <v>-26.415430000000001</v>
      </c>
      <c r="AF5071">
        <v>-1.37248988871452</v>
      </c>
      <c r="AG5071">
        <v>-1.10966848702</v>
      </c>
      <c r="AH5071">
        <v>26.381789299412201</v>
      </c>
      <c r="AI5071">
        <v>92.405301311645502</v>
      </c>
      <c r="AJ5071">
        <v>92.978078832267101</v>
      </c>
      <c r="AK5071">
        <v>26.440762078357199</v>
      </c>
      <c r="AL5071">
        <v>91.106698469163703</v>
      </c>
      <c r="AM5071">
        <v>88.149162728913495</v>
      </c>
      <c r="AN5071">
        <v>0.99999994486890897</v>
      </c>
    </row>
    <row r="5072" spans="1:40" x14ac:dyDescent="0.25">
      <c r="A5072" t="str">
        <f>"20190312161418174"</f>
        <v>20190312161418174</v>
      </c>
      <c r="B5072" t="str">
        <f>"1552378458161382"</f>
        <v>1552378458161382</v>
      </c>
      <c r="C5072" t="s">
        <v>40</v>
      </c>
      <c r="D5072">
        <v>5.2172749999999999</v>
      </c>
      <c r="E5072">
        <v>0.46956249999999999</v>
      </c>
      <c r="F5072" t="s">
        <v>77</v>
      </c>
      <c r="G5072">
        <v>-420.34750000000003</v>
      </c>
      <c r="H5072" s="1">
        <v>-3.369107E-6</v>
      </c>
      <c r="I5072">
        <v>34.282829999999997</v>
      </c>
      <c r="J5072">
        <v>-421.87970000000001</v>
      </c>
      <c r="K5072">
        <v>1.1096629999999901</v>
      </c>
      <c r="L5072">
        <v>60.222230000000003</v>
      </c>
      <c r="M5072">
        <v>8.6960809999999996E-3</v>
      </c>
      <c r="N5072">
        <v>0</v>
      </c>
      <c r="O5072">
        <v>-0.99992130000000001</v>
      </c>
      <c r="P5072">
        <v>-2.3696950000000001E-2</v>
      </c>
      <c r="Q5072">
        <v>-2.828638E-2</v>
      </c>
      <c r="R5072">
        <v>-0.99931899999999996</v>
      </c>
      <c r="S5072">
        <v>0.17599489999999901</v>
      </c>
      <c r="T5072">
        <v>-0.12728709999999999</v>
      </c>
      <c r="U5072">
        <v>-3.0026250000000001</v>
      </c>
      <c r="V5072">
        <v>3.2390049999999997E-2</v>
      </c>
      <c r="W5072">
        <v>-1.9237879999999999E-2</v>
      </c>
      <c r="X5072">
        <v>0.99929020000000002</v>
      </c>
      <c r="Y5072">
        <v>-4.9777160000000001E-2</v>
      </c>
      <c r="Z5072">
        <v>4.2289050000000002E-2</v>
      </c>
      <c r="AA5072">
        <v>0.99786470000000005</v>
      </c>
      <c r="AB5072">
        <v>24</v>
      </c>
      <c r="AC5072">
        <v>1.53219999999998</v>
      </c>
      <c r="AD5072">
        <v>-1.1096663691069999</v>
      </c>
      <c r="AE5072">
        <v>-25.939399999999999</v>
      </c>
      <c r="AF5072">
        <v>-1.30418328025495</v>
      </c>
      <c r="AG5072">
        <v>-1.1096663691069999</v>
      </c>
      <c r="AH5072">
        <v>25.9045018635817</v>
      </c>
      <c r="AI5072">
        <v>92.449770176269197</v>
      </c>
      <c r="AJ5072">
        <v>92.882169261631105</v>
      </c>
      <c r="AK5072">
        <v>25.961037542431299</v>
      </c>
      <c r="AL5072">
        <v>91.102317268296503</v>
      </c>
      <c r="AM5072">
        <v>88.143518606553101</v>
      </c>
      <c r="AN5072">
        <v>1.00000005759096</v>
      </c>
    </row>
    <row r="5073" spans="1:40" x14ac:dyDescent="0.25">
      <c r="A5073" t="str">
        <f>"20190312161418195"</f>
        <v>20190312161418195</v>
      </c>
      <c r="B5073" t="str">
        <f>"1552378458181878"</f>
        <v>1552378458181878</v>
      </c>
      <c r="C5073" t="s">
        <v>40</v>
      </c>
      <c r="D5073">
        <v>5.3817469999999998</v>
      </c>
      <c r="E5073">
        <v>0.4700281</v>
      </c>
      <c r="F5073" t="s">
        <v>77</v>
      </c>
      <c r="G5073">
        <v>-420.40530000000001</v>
      </c>
      <c r="H5073" s="1">
        <v>-3.262595E-6</v>
      </c>
      <c r="I5073">
        <v>34.547969999999999</v>
      </c>
      <c r="J5073">
        <v>-421.87740000000002</v>
      </c>
      <c r="K5073">
        <v>1.1096619999999999</v>
      </c>
      <c r="L5073">
        <v>59.988069999999901</v>
      </c>
      <c r="M5073">
        <v>8.8265059999999996E-3</v>
      </c>
      <c r="N5073">
        <v>0</v>
      </c>
      <c r="O5073">
        <v>-0.99992009999999998</v>
      </c>
      <c r="P5073">
        <v>-2.3759039999999999E-2</v>
      </c>
      <c r="Q5073">
        <v>-2.892335E-2</v>
      </c>
      <c r="R5073">
        <v>-0.99929939999999995</v>
      </c>
      <c r="S5073">
        <v>0.1724243</v>
      </c>
      <c r="T5073">
        <v>-0.12976969999999999</v>
      </c>
      <c r="U5073">
        <v>-3.002472</v>
      </c>
      <c r="V5073">
        <v>3.2582399999999997E-2</v>
      </c>
      <c r="W5073">
        <v>-1.9871380000000001E-2</v>
      </c>
      <c r="X5073">
        <v>0.99927149999999998</v>
      </c>
      <c r="Y5073">
        <v>-4.8465099999999997E-2</v>
      </c>
      <c r="Z5073">
        <v>4.3117290000000003E-2</v>
      </c>
      <c r="AA5073">
        <v>0.99789380000000005</v>
      </c>
      <c r="AB5073">
        <v>24</v>
      </c>
      <c r="AC5073">
        <v>1.47210000000001</v>
      </c>
      <c r="AD5073">
        <v>-1.1096652625949901</v>
      </c>
      <c r="AE5073">
        <v>-25.440099999999902</v>
      </c>
      <c r="AF5073">
        <v>-1.24512519783774</v>
      </c>
      <c r="AG5073">
        <v>-1.1096652625949901</v>
      </c>
      <c r="AH5073">
        <v>25.403930854671401</v>
      </c>
      <c r="AI5073">
        <v>92.498143334610901</v>
      </c>
      <c r="AJ5073">
        <v>92.805997811107204</v>
      </c>
      <c r="AK5073">
        <v>25.458621263183701</v>
      </c>
      <c r="AL5073">
        <v>91.138621141692099</v>
      </c>
      <c r="AM5073">
        <v>88.132466655710402</v>
      </c>
      <c r="AN5073">
        <v>1.0000000076225499</v>
      </c>
    </row>
    <row r="5074" spans="1:40" x14ac:dyDescent="0.25">
      <c r="A5074" t="str">
        <f>"20190312161418218"</f>
        <v>20190312161418218</v>
      </c>
      <c r="B5074" t="str">
        <f>"1552378458211158"</f>
        <v>1552378458211158</v>
      </c>
      <c r="C5074" t="s">
        <v>40</v>
      </c>
      <c r="D5074">
        <v>5.2758500000000002</v>
      </c>
      <c r="E5074">
        <v>0.4705858</v>
      </c>
      <c r="F5074" t="s">
        <v>77</v>
      </c>
      <c r="G5074">
        <v>-420.47609999999997</v>
      </c>
      <c r="H5074" s="1">
        <v>-2.99047E-6</v>
      </c>
      <c r="I5074">
        <v>35.022629999999999</v>
      </c>
      <c r="J5074">
        <v>-421.87509999999997</v>
      </c>
      <c r="K5074">
        <v>1.1096569999999999</v>
      </c>
      <c r="L5074">
        <v>59.738039999999998</v>
      </c>
      <c r="M5074">
        <v>8.9654820000000003E-3</v>
      </c>
      <c r="N5074">
        <v>0</v>
      </c>
      <c r="O5074">
        <v>-0.99991890000000005</v>
      </c>
      <c r="P5074">
        <v>-2.3734149999999999E-2</v>
      </c>
      <c r="Q5074">
        <v>-2.8504410000000001E-2</v>
      </c>
      <c r="R5074">
        <v>-0.99931210000000004</v>
      </c>
      <c r="S5074">
        <v>0.1685181</v>
      </c>
      <c r="T5074">
        <v>-0.13344449999999999</v>
      </c>
      <c r="U5074">
        <v>-3.0022579999999999</v>
      </c>
      <c r="V5074">
        <v>3.2696419999999997E-2</v>
      </c>
      <c r="W5074">
        <v>-1.9448380000000001E-2</v>
      </c>
      <c r="X5074">
        <v>0.9992761</v>
      </c>
      <c r="Y5074">
        <v>-4.703309E-2</v>
      </c>
      <c r="Z5074">
        <v>4.4342140000000002E-2</v>
      </c>
      <c r="AA5074">
        <v>0.99790869999999998</v>
      </c>
      <c r="AB5074">
        <v>24</v>
      </c>
      <c r="AC5074">
        <v>1.399</v>
      </c>
      <c r="AD5074">
        <v>-1.10965999047</v>
      </c>
      <c r="AE5074">
        <v>-24.715409999999999</v>
      </c>
      <c r="AF5074">
        <v>-1.17498818121558</v>
      </c>
      <c r="AG5074">
        <v>-1.10965999047</v>
      </c>
      <c r="AH5074">
        <v>24.677374402816099</v>
      </c>
      <c r="AI5074">
        <v>92.5717578627916</v>
      </c>
      <c r="AJ5074">
        <v>92.726021691250807</v>
      </c>
      <c r="AK5074">
        <v>24.730239585115399</v>
      </c>
      <c r="AL5074">
        <v>91.114380339529205</v>
      </c>
      <c r="AM5074">
        <v>88.125944616526496</v>
      </c>
      <c r="AN5074">
        <v>1.0000000096983199</v>
      </c>
    </row>
    <row r="5075" spans="1:40" x14ac:dyDescent="0.25">
      <c r="A5075" t="str">
        <f>"20190312161418239"</f>
        <v>20190312161418239</v>
      </c>
      <c r="B5075" t="str">
        <f>"1552378458231654"</f>
        <v>1552378458231654</v>
      </c>
      <c r="C5075" t="s">
        <v>40</v>
      </c>
      <c r="D5075">
        <v>5.2596999999999996</v>
      </c>
      <c r="E5075">
        <v>0.47095019999999999</v>
      </c>
      <c r="F5075" t="s">
        <v>77</v>
      </c>
      <c r="G5075">
        <v>-420.51319999999998</v>
      </c>
      <c r="H5075" s="1">
        <v>-3.109498E-6</v>
      </c>
      <c r="I5075">
        <v>34.84348</v>
      </c>
      <c r="J5075">
        <v>-421.87290000000002</v>
      </c>
      <c r="K5075">
        <v>1.109661</v>
      </c>
      <c r="L5075">
        <v>59.502780000000001</v>
      </c>
      <c r="M5075">
        <v>9.0961960000000008E-3</v>
      </c>
      <c r="N5075">
        <v>0</v>
      </c>
      <c r="O5075">
        <v>-0.99991770000000002</v>
      </c>
      <c r="P5075">
        <v>-2.3665149999999999E-2</v>
      </c>
      <c r="Q5075">
        <v>-2.8497890000000001E-2</v>
      </c>
      <c r="R5075">
        <v>-0.99931369999999997</v>
      </c>
      <c r="S5075">
        <v>0.16424559999999999</v>
      </c>
      <c r="T5075">
        <v>-0.1338184</v>
      </c>
      <c r="U5075">
        <v>-3.0021360000000001</v>
      </c>
      <c r="V5075">
        <v>3.2758049999999997E-2</v>
      </c>
      <c r="W5075">
        <v>-1.943814E-2</v>
      </c>
      <c r="X5075">
        <v>0.99927429999999995</v>
      </c>
      <c r="Y5075">
        <v>-4.5488599999999997E-2</v>
      </c>
      <c r="Z5075">
        <v>4.4471179999999999E-2</v>
      </c>
      <c r="AA5075">
        <v>0.99797449999999999</v>
      </c>
      <c r="AB5075">
        <v>24</v>
      </c>
      <c r="AC5075">
        <v>1.3597000000000301</v>
      </c>
      <c r="AD5075">
        <v>-1.109664109498</v>
      </c>
      <c r="AE5075">
        <v>-24.659300000000002</v>
      </c>
      <c r="AF5075">
        <v>-1.13304130048074</v>
      </c>
      <c r="AG5075">
        <v>-1.109664109498</v>
      </c>
      <c r="AH5075">
        <v>24.620942444191598</v>
      </c>
      <c r="AI5075">
        <v>92.577845781106802</v>
      </c>
      <c r="AJ5075">
        <v>92.634859124380498</v>
      </c>
      <c r="AK5075">
        <v>24.671966761178599</v>
      </c>
      <c r="AL5075">
        <v>91.113793498450505</v>
      </c>
      <c r="AM5075">
        <v>88.122411326173903</v>
      </c>
      <c r="AN5075">
        <v>1.0000000288834701</v>
      </c>
    </row>
    <row r="5076" spans="1:40" x14ac:dyDescent="0.25">
      <c r="A5076" t="str">
        <f>"20190312161418261"</f>
        <v>20190312161418261</v>
      </c>
      <c r="B5076" t="str">
        <f>"1552378458251174"</f>
        <v>1552378458251174</v>
      </c>
      <c r="C5076" t="s">
        <v>40</v>
      </c>
      <c r="D5076">
        <v>5.2647950000000003</v>
      </c>
      <c r="E5076">
        <v>0.471279</v>
      </c>
      <c r="F5076" t="s">
        <v>77</v>
      </c>
      <c r="G5076">
        <v>-420.5444</v>
      </c>
      <c r="H5076" s="1">
        <v>-3.1333589999999999E-6</v>
      </c>
      <c r="I5076">
        <v>34.81279</v>
      </c>
      <c r="J5076">
        <v>-421.87049999999999</v>
      </c>
      <c r="K5076">
        <v>1.109658</v>
      </c>
      <c r="L5076">
        <v>59.260590000000001</v>
      </c>
      <c r="M5076">
        <v>9.2306109999999997E-3</v>
      </c>
      <c r="N5076">
        <v>0</v>
      </c>
      <c r="O5076">
        <v>-0.99991629999999998</v>
      </c>
      <c r="P5076">
        <v>-2.321668E-2</v>
      </c>
      <c r="Q5076">
        <v>-2.9038209999999998E-2</v>
      </c>
      <c r="R5076">
        <v>-0.99930859999999999</v>
      </c>
      <c r="S5076">
        <v>0.16152949999999999</v>
      </c>
      <c r="T5076">
        <v>-0.1349236</v>
      </c>
      <c r="U5076">
        <v>-3.0020449999999999</v>
      </c>
      <c r="V5076">
        <v>3.2443979999999997E-2</v>
      </c>
      <c r="W5076">
        <v>-1.997465E-2</v>
      </c>
      <c r="X5076">
        <v>0.999274</v>
      </c>
      <c r="Y5076">
        <v>-4.4454800000000003E-2</v>
      </c>
      <c r="Z5076">
        <v>4.4841150000000003E-2</v>
      </c>
      <c r="AA5076">
        <v>0.99800460000000002</v>
      </c>
      <c r="AB5076">
        <v>24</v>
      </c>
      <c r="AC5076">
        <v>1.3260999999999901</v>
      </c>
      <c r="AD5076">
        <v>-1.1096611333589901</v>
      </c>
      <c r="AE5076">
        <v>-24.447800000000001</v>
      </c>
      <c r="AF5076">
        <v>-1.0981104458065301</v>
      </c>
      <c r="AG5076">
        <v>-1.1096611333589901</v>
      </c>
      <c r="AH5076">
        <v>24.408860913760599</v>
      </c>
      <c r="AI5076">
        <v>92.600327961523504</v>
      </c>
      <c r="AJ5076">
        <v>92.575896471762405</v>
      </c>
      <c r="AK5076">
        <v>24.4587343394826</v>
      </c>
      <c r="AL5076">
        <v>91.144539188307405</v>
      </c>
      <c r="AM5076">
        <v>88.140399575222403</v>
      </c>
      <c r="AN5076">
        <v>1.00000006277842</v>
      </c>
    </row>
    <row r="5077" spans="1:40" x14ac:dyDescent="0.25">
      <c r="A5077" t="str">
        <f>"20190312161418284"</f>
        <v>20190312161418284</v>
      </c>
      <c r="B5077" t="str">
        <f>"1552378458271670"</f>
        <v>1552378458271670</v>
      </c>
      <c r="C5077" t="s">
        <v>40</v>
      </c>
      <c r="D5077">
        <v>5.2370289999999997</v>
      </c>
      <c r="E5077">
        <v>0.471136</v>
      </c>
      <c r="F5077" t="s">
        <v>77</v>
      </c>
      <c r="G5077">
        <v>-420.57350000000002</v>
      </c>
      <c r="H5077" s="1">
        <v>-2.975457E-6</v>
      </c>
      <c r="I5077">
        <v>35.067599999999999</v>
      </c>
      <c r="J5077">
        <v>-421.86810000000003</v>
      </c>
      <c r="K5077">
        <v>1.109656</v>
      </c>
      <c r="L5077">
        <v>59.02075</v>
      </c>
      <c r="M5077">
        <v>9.3636629999999995E-3</v>
      </c>
      <c r="N5077">
        <v>0</v>
      </c>
      <c r="O5077">
        <v>-0.99991509999999995</v>
      </c>
      <c r="P5077">
        <v>-2.282008E-2</v>
      </c>
      <c r="Q5077">
        <v>-2.9358189999999999E-2</v>
      </c>
      <c r="R5077">
        <v>-0.9993088</v>
      </c>
      <c r="S5077">
        <v>0.16091920000000001</v>
      </c>
      <c r="T5077">
        <v>-0.13768359999999999</v>
      </c>
      <c r="U5077">
        <v>-3.0018009999999999</v>
      </c>
      <c r="V5077">
        <v>3.2180399999999998E-2</v>
      </c>
      <c r="W5077">
        <v>-2.0290760000000001E-2</v>
      </c>
      <c r="X5077">
        <v>0.9992761</v>
      </c>
      <c r="Y5077">
        <v>-4.412166E-2</v>
      </c>
      <c r="Z5077">
        <v>4.5760750000000003E-2</v>
      </c>
      <c r="AA5077">
        <v>0.99797760000000002</v>
      </c>
      <c r="AB5077">
        <v>24</v>
      </c>
      <c r="AC5077">
        <v>1.2946</v>
      </c>
      <c r="AD5077">
        <v>-1.1096589754570001</v>
      </c>
      <c r="AE5077">
        <v>-23.953150000000001</v>
      </c>
      <c r="AF5077">
        <v>-1.0679595137345299</v>
      </c>
      <c r="AG5077">
        <v>-1.1096589754570001</v>
      </c>
      <c r="AH5077">
        <v>23.9130517232343</v>
      </c>
      <c r="AI5077">
        <v>92.654200151574599</v>
      </c>
      <c r="AJ5077">
        <v>92.557136611612606</v>
      </c>
      <c r="AK5077">
        <v>23.962594251934998</v>
      </c>
      <c r="AL5077">
        <v>91.162654690854893</v>
      </c>
      <c r="AM5077">
        <v>88.1555006567486</v>
      </c>
      <c r="AN5077">
        <v>1.00000000855837</v>
      </c>
    </row>
    <row r="5078" spans="1:40" x14ac:dyDescent="0.25">
      <c r="A5078" t="str">
        <f>"20190312161418307"</f>
        <v>20190312161418307</v>
      </c>
      <c r="B5078" t="str">
        <f>"1552378458301930"</f>
        <v>1552378458301930</v>
      </c>
      <c r="C5078" t="s">
        <v>40</v>
      </c>
      <c r="D5078">
        <v>5.2320830000000003</v>
      </c>
      <c r="E5078">
        <v>0.4707847</v>
      </c>
      <c r="F5078" t="s">
        <v>77</v>
      </c>
      <c r="G5078">
        <v>-420.5675</v>
      </c>
      <c r="H5078" s="1">
        <v>-3.0138720000000001E-6</v>
      </c>
      <c r="I5078">
        <v>35.005830000000003</v>
      </c>
      <c r="J5078">
        <v>-421.86559999999997</v>
      </c>
      <c r="K5078">
        <v>1.109659</v>
      </c>
      <c r="L5078">
        <v>58.77026</v>
      </c>
      <c r="M5078">
        <v>9.5025920000000007E-3</v>
      </c>
      <c r="N5078">
        <v>0</v>
      </c>
      <c r="O5078">
        <v>-0.99991370000000002</v>
      </c>
      <c r="P5078">
        <v>-2.237105E-2</v>
      </c>
      <c r="Q5078">
        <v>-2.9316729999999999E-2</v>
      </c>
      <c r="R5078">
        <v>-0.99931990000000004</v>
      </c>
      <c r="S5078">
        <v>0.16256709999999999</v>
      </c>
      <c r="T5078">
        <v>-0.13870009999999999</v>
      </c>
      <c r="U5078">
        <v>-3.001709</v>
      </c>
      <c r="V5078">
        <v>3.1870320000000001E-2</v>
      </c>
      <c r="W5078">
        <v>-2.024521E-2</v>
      </c>
      <c r="X5078">
        <v>0.99928689999999998</v>
      </c>
      <c r="Y5078">
        <v>-4.4529939999999997E-2</v>
      </c>
      <c r="Z5078">
        <v>4.6098090000000001E-2</v>
      </c>
      <c r="AA5078">
        <v>0.99794389999999999</v>
      </c>
      <c r="AB5078">
        <v>24</v>
      </c>
      <c r="AC5078">
        <v>1.2980999999999701</v>
      </c>
      <c r="AD5078">
        <v>-1.1096620138719999</v>
      </c>
      <c r="AE5078">
        <v>-23.764430000000001</v>
      </c>
      <c r="AF5078">
        <v>-1.06988262894341</v>
      </c>
      <c r="AG5078">
        <v>-1.1096620138719999</v>
      </c>
      <c r="AH5078">
        <v>23.7241197008453</v>
      </c>
      <c r="AI5078">
        <v>92.675261907143806</v>
      </c>
      <c r="AJ5078">
        <v>92.582108631122793</v>
      </c>
      <c r="AK5078">
        <v>23.774142554565099</v>
      </c>
      <c r="AL5078">
        <v>91.160044403133895</v>
      </c>
      <c r="AM5078">
        <v>88.173281289314602</v>
      </c>
      <c r="AN5078">
        <v>0.99999994716822604</v>
      </c>
    </row>
    <row r="5079" spans="1:40" x14ac:dyDescent="0.25">
      <c r="A5079" t="str">
        <f>"20190312161418331"</f>
        <v>20190312161418331</v>
      </c>
      <c r="B5079" t="str">
        <f>"1552378458321446"</f>
        <v>1552378458321446</v>
      </c>
      <c r="C5079" t="s">
        <v>40</v>
      </c>
      <c r="D5079">
        <v>5.4796779999999998</v>
      </c>
      <c r="E5079">
        <v>0.47058169999999999</v>
      </c>
      <c r="F5079" t="s">
        <v>77</v>
      </c>
      <c r="G5079">
        <v>-420.52820000000003</v>
      </c>
      <c r="H5079" s="1">
        <v>-3.1830510000000002E-6</v>
      </c>
      <c r="I5079">
        <v>34.731059999999999</v>
      </c>
      <c r="J5079">
        <v>-421.863</v>
      </c>
      <c r="K5079">
        <v>1.1096569999999999</v>
      </c>
      <c r="L5079">
        <v>58.51614</v>
      </c>
      <c r="M5079">
        <v>9.6435489999999995E-3</v>
      </c>
      <c r="N5079">
        <v>0</v>
      </c>
      <c r="O5079">
        <v>-0.99991229999999998</v>
      </c>
      <c r="P5079">
        <v>-2.2002799999999999E-2</v>
      </c>
      <c r="Q5079">
        <v>-2.961927E-2</v>
      </c>
      <c r="R5079">
        <v>-0.99931899999999996</v>
      </c>
      <c r="S5079">
        <v>0.16699220000000001</v>
      </c>
      <c r="T5079">
        <v>-0.1385604</v>
      </c>
      <c r="U5079">
        <v>-3.001709</v>
      </c>
      <c r="V5079">
        <v>3.1643009999999999E-2</v>
      </c>
      <c r="W5079">
        <v>-2.0543680000000002E-2</v>
      </c>
      <c r="X5079">
        <v>0.99928810000000001</v>
      </c>
      <c r="Y5079">
        <v>-4.5855920000000001E-2</v>
      </c>
      <c r="Z5079">
        <v>4.604842E-2</v>
      </c>
      <c r="AA5079">
        <v>0.99788619999999995</v>
      </c>
      <c r="AB5079">
        <v>24</v>
      </c>
      <c r="AC5079">
        <v>1.33480000000002</v>
      </c>
      <c r="AD5079">
        <v>-1.109660183051</v>
      </c>
      <c r="AE5079">
        <v>-23.785079999999901</v>
      </c>
      <c r="AF5079">
        <v>-1.1029627635169099</v>
      </c>
      <c r="AG5079">
        <v>-1.109660183051</v>
      </c>
      <c r="AH5079">
        <v>23.745325756325101</v>
      </c>
      <c r="AI5079">
        <v>92.672706869548307</v>
      </c>
      <c r="AJ5079">
        <v>92.659459017508894</v>
      </c>
      <c r="AK5079">
        <v>23.796814237488899</v>
      </c>
      <c r="AL5079">
        <v>91.177148953309995</v>
      </c>
      <c r="AM5079">
        <v>88.186303514127005</v>
      </c>
      <c r="AN5079">
        <v>1.0000000148357</v>
      </c>
    </row>
    <row r="5080" spans="1:40" x14ac:dyDescent="0.25">
      <c r="A5080" t="str">
        <f>"20190312161418352"</f>
        <v>20190312161418352</v>
      </c>
      <c r="B5080" t="str">
        <f>"1552378458341942"</f>
        <v>1552378458341942</v>
      </c>
      <c r="C5080" t="s">
        <v>40</v>
      </c>
      <c r="D5080">
        <v>5.2866010000000001</v>
      </c>
      <c r="E5080">
        <v>0.47039920000000002</v>
      </c>
      <c r="F5080" t="s">
        <v>77</v>
      </c>
      <c r="G5080">
        <v>-420.51600000000002</v>
      </c>
      <c r="H5080" s="1">
        <v>-3.222873E-6</v>
      </c>
      <c r="I5080">
        <v>34.665730000000003</v>
      </c>
      <c r="J5080">
        <v>-421.86059999999998</v>
      </c>
      <c r="K5080">
        <v>1.1096569999999999</v>
      </c>
      <c r="L5080">
        <v>58.280059999999999</v>
      </c>
      <c r="M5080">
        <v>9.7745179999999994E-3</v>
      </c>
      <c r="N5080">
        <v>0</v>
      </c>
      <c r="O5080">
        <v>-0.99991129999999995</v>
      </c>
      <c r="P5080">
        <v>-2.1911569999999998E-2</v>
      </c>
      <c r="Q5080">
        <v>-2.9686839999999999E-2</v>
      </c>
      <c r="R5080">
        <v>-0.99931939999999997</v>
      </c>
      <c r="S5080">
        <v>0.16952509999999901</v>
      </c>
      <c r="T5080">
        <v>-0.13965420000000001</v>
      </c>
      <c r="U5080">
        <v>-3.0016479999999999</v>
      </c>
      <c r="V5080">
        <v>3.168265E-2</v>
      </c>
      <c r="W5080">
        <v>-2.0607449999999999E-2</v>
      </c>
      <c r="X5080">
        <v>0.99928550000000005</v>
      </c>
      <c r="Y5080">
        <v>-4.6564679999999997E-2</v>
      </c>
      <c r="Z5080">
        <v>4.6410119999999999E-2</v>
      </c>
      <c r="AA5080">
        <v>0.99783659999999996</v>
      </c>
      <c r="AB5080">
        <v>24</v>
      </c>
      <c r="AC5080">
        <v>1.34460000000001</v>
      </c>
      <c r="AD5080">
        <v>-1.1096602228729999</v>
      </c>
      <c r="AE5080">
        <v>-23.614329999999999</v>
      </c>
      <c r="AF5080">
        <v>-1.1112617165513301</v>
      </c>
      <c r="AG5080">
        <v>-1.1096602228729999</v>
      </c>
      <c r="AH5080">
        <v>23.574457430071</v>
      </c>
      <c r="AI5080">
        <v>92.691963986166499</v>
      </c>
      <c r="AJ5080">
        <v>92.698832411767398</v>
      </c>
      <c r="AK5080">
        <v>23.626707166575901</v>
      </c>
      <c r="AL5080">
        <v>91.180803515300795</v>
      </c>
      <c r="AM5080">
        <v>88.184028249221299</v>
      </c>
      <c r="AN5080">
        <v>0.99999998390838696</v>
      </c>
    </row>
    <row r="5081" spans="1:40" x14ac:dyDescent="0.25">
      <c r="A5081" t="str">
        <f>"20190312161418374"</f>
        <v>20190312161418374</v>
      </c>
      <c r="B5081" t="str">
        <f>"1552378458361462"</f>
        <v>1552378458361462</v>
      </c>
      <c r="C5081" t="s">
        <v>40</v>
      </c>
      <c r="D5081">
        <v>5.3077930000000002</v>
      </c>
      <c r="E5081">
        <v>0.47020410000000001</v>
      </c>
      <c r="F5081" t="s">
        <v>77</v>
      </c>
      <c r="G5081">
        <v>-420.51780000000002</v>
      </c>
      <c r="H5081" s="1">
        <v>-3.1987270000000001E-6</v>
      </c>
      <c r="I5081">
        <v>34.704120000000003</v>
      </c>
      <c r="J5081">
        <v>-421.858</v>
      </c>
      <c r="K5081">
        <v>1.109648</v>
      </c>
      <c r="L5081">
        <v>58.041600000000003</v>
      </c>
      <c r="M5081">
        <v>9.9067649999999997E-3</v>
      </c>
      <c r="N5081">
        <v>0</v>
      </c>
      <c r="O5081">
        <v>-0.99990990000000002</v>
      </c>
      <c r="P5081">
        <v>-2.1681140000000002E-2</v>
      </c>
      <c r="Q5081">
        <v>-2.9824340000000001E-2</v>
      </c>
      <c r="R5081">
        <v>-0.99932010000000004</v>
      </c>
      <c r="S5081">
        <v>0.17095949999999999</v>
      </c>
      <c r="T5081">
        <v>-0.14127709999999999</v>
      </c>
      <c r="U5081">
        <v>-3.0015869999999998</v>
      </c>
      <c r="V5081">
        <v>3.1584420000000002E-2</v>
      </c>
      <c r="W5081">
        <v>-2.0741220000000001E-2</v>
      </c>
      <c r="X5081">
        <v>0.99928589999999995</v>
      </c>
      <c r="Y5081">
        <v>-4.6907570000000003E-2</v>
      </c>
      <c r="Z5081">
        <v>4.6948120000000003E-2</v>
      </c>
      <c r="AA5081">
        <v>0.99779530000000005</v>
      </c>
      <c r="AB5081">
        <v>25</v>
      </c>
      <c r="AC5081">
        <v>1.3401999999999801</v>
      </c>
      <c r="AD5081">
        <v>-1.1096511987269999</v>
      </c>
      <c r="AE5081">
        <v>-23.337479999999999</v>
      </c>
      <c r="AF5081">
        <v>-1.1064325940597799</v>
      </c>
      <c r="AG5081">
        <v>-1.1096511987269999</v>
      </c>
      <c r="AH5081">
        <v>23.297114910417399</v>
      </c>
      <c r="AI5081">
        <v>92.723895162827404</v>
      </c>
      <c r="AJ5081">
        <v>92.719062880868705</v>
      </c>
      <c r="AK5081">
        <v>23.349755502300798</v>
      </c>
      <c r="AL5081">
        <v>91.188469541491699</v>
      </c>
      <c r="AM5081">
        <v>88.189655523576803</v>
      </c>
      <c r="AN5081">
        <v>1.00000004186631</v>
      </c>
    </row>
    <row r="5082" spans="1:40" x14ac:dyDescent="0.25">
      <c r="A5082" t="str">
        <f>"20190312161418396"</f>
        <v>20190312161418396</v>
      </c>
      <c r="B5082" t="str">
        <f>"1552378458391718"</f>
        <v>1552378458391718</v>
      </c>
      <c r="C5082" t="s">
        <v>40</v>
      </c>
      <c r="D5082">
        <v>5.2283220000000004</v>
      </c>
      <c r="E5082">
        <v>0.46994160000000001</v>
      </c>
      <c r="F5082" t="s">
        <v>77</v>
      </c>
      <c r="G5082">
        <v>-420.51159999999999</v>
      </c>
      <c r="H5082" s="1">
        <v>-3.1729000000000001E-6</v>
      </c>
      <c r="I5082">
        <v>34.743400000000001</v>
      </c>
      <c r="J5082">
        <v>-421.85550000000001</v>
      </c>
      <c r="K5082">
        <v>1.10965</v>
      </c>
      <c r="L5082">
        <v>57.797089999999997</v>
      </c>
      <c r="M5082">
        <v>1.0042290000000001E-2</v>
      </c>
      <c r="N5082">
        <v>0</v>
      </c>
      <c r="O5082">
        <v>-0.99990820000000002</v>
      </c>
      <c r="P5082">
        <v>-2.0795330000000001E-2</v>
      </c>
      <c r="Q5082">
        <v>-2.9820599999999999E-2</v>
      </c>
      <c r="R5082">
        <v>-0.99933890000000003</v>
      </c>
      <c r="S5082">
        <v>0.1734619</v>
      </c>
      <c r="T5082">
        <v>-0.14295720000000001</v>
      </c>
      <c r="U5082">
        <v>-3.0015260000000001</v>
      </c>
      <c r="V5082">
        <v>3.0834279999999999E-2</v>
      </c>
      <c r="W5082">
        <v>-2.073355E-2</v>
      </c>
      <c r="X5082">
        <v>0.99930940000000001</v>
      </c>
      <c r="Y5082">
        <v>-4.7600969999999999E-2</v>
      </c>
      <c r="Z5082">
        <v>4.7504159999999997E-2</v>
      </c>
      <c r="AA5082">
        <v>0.99773619999999996</v>
      </c>
      <c r="AB5082">
        <v>25</v>
      </c>
      <c r="AC5082">
        <v>1.3439000000000101</v>
      </c>
      <c r="AD5082">
        <v>-1.1096531729000001</v>
      </c>
      <c r="AE5082">
        <v>-23.05369</v>
      </c>
      <c r="AF5082">
        <v>-1.1097484212892601</v>
      </c>
      <c r="AG5082">
        <v>-1.1096531729000001</v>
      </c>
      <c r="AH5082">
        <v>23.0128875004538</v>
      </c>
      <c r="AI5082">
        <v>92.757394666226304</v>
      </c>
      <c r="AJ5082">
        <v>92.760830533429299</v>
      </c>
      <c r="AK5082">
        <v>23.066336138000398</v>
      </c>
      <c r="AL5082">
        <v>91.188030091664004</v>
      </c>
      <c r="AM5082">
        <v>88.232665714815596</v>
      </c>
      <c r="AN5082">
        <v>0.99999995492353899</v>
      </c>
    </row>
    <row r="5083" spans="1:40" x14ac:dyDescent="0.25">
      <c r="A5083" t="str">
        <f>"20190312161418420"</f>
        <v>20190312161418420</v>
      </c>
      <c r="B5083" t="str">
        <f>"1552378458411238"</f>
        <v>1552378458411238</v>
      </c>
      <c r="C5083" t="s">
        <v>40</v>
      </c>
      <c r="D5083">
        <v>5.3104649999999998</v>
      </c>
      <c r="E5083">
        <v>0.46983039999999998</v>
      </c>
      <c r="F5083" t="s">
        <v>77</v>
      </c>
      <c r="G5083">
        <v>-420.49529999999999</v>
      </c>
      <c r="H5083" s="1">
        <v>-3.0589250000000001E-6</v>
      </c>
      <c r="I5083">
        <v>34.919139999999999</v>
      </c>
      <c r="J5083">
        <v>-421.85270000000003</v>
      </c>
      <c r="K5083">
        <v>1.1096459999999999</v>
      </c>
      <c r="L5083">
        <v>57.53275</v>
      </c>
      <c r="M5083">
        <v>1.018878E-2</v>
      </c>
      <c r="N5083">
        <v>0</v>
      </c>
      <c r="O5083">
        <v>-0.99990679999999998</v>
      </c>
      <c r="P5083">
        <v>-2.024163E-2</v>
      </c>
      <c r="Q5083">
        <v>-3.0098969999999999E-2</v>
      </c>
      <c r="R5083">
        <v>-0.99934199999999995</v>
      </c>
      <c r="S5083">
        <v>0.17843629999999999</v>
      </c>
      <c r="T5083">
        <v>-0.1455746</v>
      </c>
      <c r="U5083">
        <v>-3.0013429999999999</v>
      </c>
      <c r="V5083">
        <v>3.042709E-2</v>
      </c>
      <c r="W5083">
        <v>-2.1007709999999999E-2</v>
      </c>
      <c r="X5083">
        <v>0.99931619999999999</v>
      </c>
      <c r="Y5083">
        <v>-4.9103569999999999E-2</v>
      </c>
      <c r="Z5083">
        <v>4.8370599999999903E-2</v>
      </c>
      <c r="AA5083">
        <v>0.99762169999999895</v>
      </c>
      <c r="AB5083">
        <v>25</v>
      </c>
      <c r="AC5083">
        <v>1.3574000000000399</v>
      </c>
      <c r="AD5083">
        <v>-1.1096490589250001</v>
      </c>
      <c r="AE5083">
        <v>-22.613609999999898</v>
      </c>
      <c r="AF5083">
        <v>-1.1242176822951</v>
      </c>
      <c r="AG5083">
        <v>-1.1096490589250001</v>
      </c>
      <c r="AH5083">
        <v>22.572111529036899</v>
      </c>
      <c r="AI5083">
        <v>92.810926431440805</v>
      </c>
      <c r="AJ5083">
        <v>92.851294910093102</v>
      </c>
      <c r="AK5083">
        <v>22.6273154684872</v>
      </c>
      <c r="AL5083">
        <v>91.203741671739905</v>
      </c>
      <c r="AM5083">
        <v>88.256002051836603</v>
      </c>
      <c r="AN5083">
        <v>0.99999999963387598</v>
      </c>
    </row>
    <row r="5084" spans="1:40" x14ac:dyDescent="0.25">
      <c r="A5084" t="str">
        <f>"20190312161418440"</f>
        <v>20190312161418440</v>
      </c>
      <c r="B5084" t="str">
        <f>"1552378458431734"</f>
        <v>1552378458431734</v>
      </c>
      <c r="C5084" t="s">
        <v>40</v>
      </c>
      <c r="D5084">
        <v>5.2679919999999996</v>
      </c>
      <c r="E5084">
        <v>0.4696862</v>
      </c>
      <c r="F5084" t="s">
        <v>77</v>
      </c>
      <c r="G5084">
        <v>-420.4984</v>
      </c>
      <c r="H5084" s="1">
        <v>-2.944801E-6</v>
      </c>
      <c r="I5084">
        <v>35.099350000000001</v>
      </c>
      <c r="J5084">
        <v>-421.85019999999997</v>
      </c>
      <c r="K5084">
        <v>1.1096459999999999</v>
      </c>
      <c r="L5084">
        <v>57.302520000000001</v>
      </c>
      <c r="M5084">
        <v>1.031634E-2</v>
      </c>
      <c r="N5084">
        <v>0</v>
      </c>
      <c r="O5084">
        <v>-0.99990559999999995</v>
      </c>
      <c r="P5084">
        <v>-2.0185740000000001E-2</v>
      </c>
      <c r="Q5084">
        <v>-3.0325540000000002E-2</v>
      </c>
      <c r="R5084">
        <v>-0.99933640000000001</v>
      </c>
      <c r="S5084">
        <v>0.18118290000000001</v>
      </c>
      <c r="T5084">
        <v>-0.14845129999999901</v>
      </c>
      <c r="U5084">
        <v>-3.0011899999999998</v>
      </c>
      <c r="V5084">
        <v>3.0498649999999999E-2</v>
      </c>
      <c r="W5084">
        <v>-2.1230639999999999E-2</v>
      </c>
      <c r="X5084">
        <v>0.99930929999999996</v>
      </c>
      <c r="Y5084">
        <v>-4.9886060000000003E-2</v>
      </c>
      <c r="Z5084">
        <v>4.9324270000000003E-2</v>
      </c>
      <c r="AA5084">
        <v>0.99753619999999998</v>
      </c>
      <c r="AB5084">
        <v>25</v>
      </c>
      <c r="AC5084">
        <v>1.3517999999999599</v>
      </c>
      <c r="AD5084">
        <v>-1.1096489448009901</v>
      </c>
      <c r="AE5084">
        <v>-22.20317</v>
      </c>
      <c r="AF5084">
        <v>-1.1198763823815101</v>
      </c>
      <c r="AG5084">
        <v>-1.1096489448009901</v>
      </c>
      <c r="AH5084">
        <v>22.160787859790901</v>
      </c>
      <c r="AI5084">
        <v>92.862909176803896</v>
      </c>
      <c r="AJ5084">
        <v>92.892932125998797</v>
      </c>
      <c r="AK5084">
        <v>22.216794603613899</v>
      </c>
      <c r="AL5084">
        <v>91.2165174781491</v>
      </c>
      <c r="AM5084">
        <v>88.251890906682405</v>
      </c>
      <c r="AN5084">
        <v>0.99999999239656101</v>
      </c>
    </row>
    <row r="5085" spans="1:40" x14ac:dyDescent="0.25">
      <c r="A5085" t="str">
        <f>"20190312161418462"</f>
        <v>20190312161418462</v>
      </c>
      <c r="B5085" t="str">
        <f>"1552378458451254"</f>
        <v>1552378458451254</v>
      </c>
      <c r="C5085" t="s">
        <v>40</v>
      </c>
      <c r="D5085">
        <v>5.1679529999999998</v>
      </c>
      <c r="E5085">
        <v>0.46956039999999999</v>
      </c>
      <c r="F5085" t="s">
        <v>77</v>
      </c>
      <c r="G5085">
        <v>-420.50330000000002</v>
      </c>
      <c r="H5085" s="1">
        <v>-2.9140470000000002E-6</v>
      </c>
      <c r="I5085">
        <v>35.148820000000001</v>
      </c>
      <c r="J5085">
        <v>-421.84750000000003</v>
      </c>
      <c r="K5085">
        <v>1.1096440000000001</v>
      </c>
      <c r="L5085">
        <v>57.058410000000002</v>
      </c>
      <c r="M5085">
        <v>1.045158E-2</v>
      </c>
      <c r="N5085">
        <v>0</v>
      </c>
      <c r="O5085">
        <v>-0.99990420000000002</v>
      </c>
      <c r="P5085">
        <v>-2.0008749999999999E-2</v>
      </c>
      <c r="Q5085">
        <v>-3.030857E-2</v>
      </c>
      <c r="R5085">
        <v>-0.99934049999999996</v>
      </c>
      <c r="S5085">
        <v>0.1824646</v>
      </c>
      <c r="T5085">
        <v>-0.15032239999999999</v>
      </c>
      <c r="U5085">
        <v>-3.0011290000000002</v>
      </c>
      <c r="V5085">
        <v>3.0456850000000001E-2</v>
      </c>
      <c r="W5085">
        <v>-2.1209780000000001E-2</v>
      </c>
      <c r="X5085">
        <v>0.99931099999999995</v>
      </c>
      <c r="Y5085">
        <v>-5.0174799999999999E-2</v>
      </c>
      <c r="Z5085">
        <v>4.994432E-2</v>
      </c>
      <c r="AA5085">
        <v>0.99749089999999996</v>
      </c>
      <c r="AB5085">
        <v>25</v>
      </c>
      <c r="AC5085">
        <v>1.3442000000000001</v>
      </c>
      <c r="AD5085">
        <v>-1.109646914047</v>
      </c>
      <c r="AE5085">
        <v>-21.909589999999898</v>
      </c>
      <c r="AF5085">
        <v>-1.1122849101775001</v>
      </c>
      <c r="AG5085">
        <v>-1.109646914047</v>
      </c>
      <c r="AH5085">
        <v>21.866563630900298</v>
      </c>
      <c r="AI5085">
        <v>92.901311451059101</v>
      </c>
      <c r="AJ5085">
        <v>92.911950498457301</v>
      </c>
      <c r="AK5085">
        <v>21.922935456263001</v>
      </c>
      <c r="AL5085">
        <v>91.2153220406245</v>
      </c>
      <c r="AM5085">
        <v>88.254288266324096</v>
      </c>
      <c r="AN5085">
        <v>0.999999974600285</v>
      </c>
    </row>
    <row r="5086" spans="1:40" x14ac:dyDescent="0.25">
      <c r="A5086" t="str">
        <f>"20190312161418485"</f>
        <v>20190312161418485</v>
      </c>
      <c r="B5086" t="str">
        <f>"1552378458481511"</f>
        <v>1552378458481511</v>
      </c>
      <c r="C5086" t="s">
        <v>40</v>
      </c>
      <c r="D5086">
        <v>5.2196449999999999</v>
      </c>
      <c r="E5086">
        <v>0.46932879999999899</v>
      </c>
      <c r="F5086" t="s">
        <v>77</v>
      </c>
      <c r="G5086">
        <v>-420.50510000000003</v>
      </c>
      <c r="H5086" s="1">
        <v>-2.9056499999999999E-6</v>
      </c>
      <c r="I5086">
        <v>35.162419999999997</v>
      </c>
      <c r="J5086">
        <v>-421.84469999999999</v>
      </c>
      <c r="K5086">
        <v>1.109645</v>
      </c>
      <c r="L5086">
        <v>56.8123199999999</v>
      </c>
      <c r="M5086">
        <v>1.0587890000000001E-2</v>
      </c>
      <c r="N5086">
        <v>0</v>
      </c>
      <c r="O5086">
        <v>-0.99990250000000003</v>
      </c>
      <c r="P5086">
        <v>-2.0185749999999999E-2</v>
      </c>
      <c r="Q5086">
        <v>-2.9896809999999999E-2</v>
      </c>
      <c r="R5086">
        <v>-0.99934920000000005</v>
      </c>
      <c r="S5086">
        <v>0.1839905</v>
      </c>
      <c r="T5086">
        <v>-0.15208840000000001</v>
      </c>
      <c r="U5086">
        <v>-3.0010680000000001</v>
      </c>
      <c r="V5086">
        <v>3.0770079999999998E-2</v>
      </c>
      <c r="W5086">
        <v>-2.0794110000000001E-2</v>
      </c>
      <c r="X5086">
        <v>0.99931020000000004</v>
      </c>
      <c r="Y5086">
        <v>-5.0543350000000001E-2</v>
      </c>
      <c r="Z5086">
        <v>5.0529240000000003E-2</v>
      </c>
      <c r="AA5086">
        <v>0.99744279999999996</v>
      </c>
      <c r="AB5086">
        <v>25</v>
      </c>
      <c r="AC5086">
        <v>1.3395999999999599</v>
      </c>
      <c r="AD5086">
        <v>-1.1096479056499999</v>
      </c>
      <c r="AE5086">
        <v>-21.649899999999899</v>
      </c>
      <c r="AF5086">
        <v>-1.1073906344440101</v>
      </c>
      <c r="AG5086">
        <v>-1.1096479056499999</v>
      </c>
      <c r="AH5086">
        <v>21.606327326966898</v>
      </c>
      <c r="AI5086">
        <v>92.936140342502497</v>
      </c>
      <c r="AJ5086">
        <v>92.934017367009005</v>
      </c>
      <c r="AK5086">
        <v>21.6631256528647</v>
      </c>
      <c r="AL5086">
        <v>91.191500577830993</v>
      </c>
      <c r="AM5086">
        <v>88.2363445630359</v>
      </c>
      <c r="AN5086">
        <v>1.0000000343289599</v>
      </c>
    </row>
    <row r="5087" spans="1:40" x14ac:dyDescent="0.25">
      <c r="A5087" t="str">
        <f>"20190312161418507"</f>
        <v>20190312161418507</v>
      </c>
      <c r="B5087" t="str">
        <f>"1552378458502007"</f>
        <v>1552378458502007</v>
      </c>
      <c r="C5087" t="s">
        <v>40</v>
      </c>
      <c r="D5087">
        <v>5.2007459999999996</v>
      </c>
      <c r="E5087">
        <v>0.46903549999999999</v>
      </c>
      <c r="F5087" t="s">
        <v>77</v>
      </c>
      <c r="G5087">
        <v>-420.48320000000001</v>
      </c>
      <c r="H5087" s="1">
        <v>-3.1717949999999999E-6</v>
      </c>
      <c r="I5087">
        <v>34.738909999999997</v>
      </c>
      <c r="J5087">
        <v>-421.84190000000001</v>
      </c>
      <c r="K5087">
        <v>1.109645</v>
      </c>
      <c r="L5087">
        <v>56.557619999999901</v>
      </c>
      <c r="M5087">
        <v>1.07289E-2</v>
      </c>
      <c r="N5087">
        <v>0</v>
      </c>
      <c r="O5087">
        <v>-0.99990129999999999</v>
      </c>
      <c r="P5087">
        <v>-2.034236E-2</v>
      </c>
      <c r="Q5087">
        <v>-2.986902E-2</v>
      </c>
      <c r="R5087">
        <v>-0.99934719999999999</v>
      </c>
      <c r="S5087">
        <v>0.1851196</v>
      </c>
      <c r="T5087">
        <v>-0.15087229999999999</v>
      </c>
      <c r="U5087">
        <v>-3.0011899999999998</v>
      </c>
      <c r="V5087">
        <v>3.1067549999999999E-2</v>
      </c>
      <c r="W5087">
        <v>-2.0762369999999999E-2</v>
      </c>
      <c r="X5087">
        <v>0.99930160000000001</v>
      </c>
      <c r="Y5087">
        <v>-5.0775149999999998E-2</v>
      </c>
      <c r="Z5087">
        <v>5.0123229999999998E-2</v>
      </c>
      <c r="AA5087">
        <v>0.99745150000000005</v>
      </c>
      <c r="AB5087">
        <v>25</v>
      </c>
      <c r="AC5087">
        <v>1.35869999999999</v>
      </c>
      <c r="AD5087">
        <v>-1.109648171795</v>
      </c>
      <c r="AE5087">
        <v>-21.818709999999999</v>
      </c>
      <c r="AF5087">
        <v>-1.12163150964136</v>
      </c>
      <c r="AG5087">
        <v>-1.109648171795</v>
      </c>
      <c r="AH5087">
        <v>21.7759261870061</v>
      </c>
      <c r="AI5087">
        <v>92.913274882767595</v>
      </c>
      <c r="AJ5087">
        <v>92.948577647727703</v>
      </c>
      <c r="AK5087">
        <v>21.8330102736779</v>
      </c>
      <c r="AL5087">
        <v>91.189681683919702</v>
      </c>
      <c r="AM5087">
        <v>88.219290019447399</v>
      </c>
      <c r="AN5087">
        <v>0.99999997821678899</v>
      </c>
    </row>
    <row r="5088" spans="1:40" x14ac:dyDescent="0.25">
      <c r="A5088" t="str">
        <f>"20190312161418954"</f>
        <v>20190312161418954</v>
      </c>
      <c r="B5088" t="str">
        <f>"1552378458951942"</f>
        <v>1552378458951942</v>
      </c>
      <c r="C5088" t="s">
        <v>40</v>
      </c>
      <c r="D5088">
        <v>5.3353619999999999</v>
      </c>
      <c r="E5088">
        <v>0.42289660000000001</v>
      </c>
      <c r="F5088" t="s">
        <v>77</v>
      </c>
      <c r="G5088">
        <v>-420.45159999999998</v>
      </c>
      <c r="H5088" s="1">
        <v>-3.3632650000000001E-6</v>
      </c>
      <c r="I5088">
        <v>34.306150000000002</v>
      </c>
      <c r="J5088">
        <v>-421.77760000000001</v>
      </c>
      <c r="K5088">
        <v>1.1096349999999999</v>
      </c>
      <c r="L5088">
        <v>51.482480000000002</v>
      </c>
      <c r="M5088">
        <v>1.353205E-2</v>
      </c>
      <c r="N5088">
        <v>0</v>
      </c>
      <c r="O5088">
        <v>-0.99986620000000004</v>
      </c>
      <c r="P5088">
        <v>-1.7177830000000002E-2</v>
      </c>
      <c r="Q5088">
        <v>-3.2392740000000003E-2</v>
      </c>
      <c r="R5088">
        <v>-0.99932770000000004</v>
      </c>
      <c r="S5088">
        <v>0.18753049999999999</v>
      </c>
      <c r="T5088">
        <v>-0.1496711</v>
      </c>
      <c r="U5088">
        <v>-3.001312</v>
      </c>
      <c r="V5088">
        <v>3.070467E-2</v>
      </c>
      <c r="W5088">
        <v>-2.3205170000000001E-2</v>
      </c>
      <c r="X5088">
        <v>0.99925909999999996</v>
      </c>
      <c r="Y5088">
        <v>-4.877211E-2</v>
      </c>
      <c r="Z5088">
        <v>4.9721840000000003E-2</v>
      </c>
      <c r="AA5088">
        <v>0.9975716</v>
      </c>
      <c r="AB5088">
        <v>26</v>
      </c>
      <c r="AC5088">
        <v>1.3260000000000201</v>
      </c>
      <c r="AD5088">
        <v>-1.109638363265</v>
      </c>
      <c r="AE5088">
        <v>-17.176329999999901</v>
      </c>
      <c r="AF5088">
        <v>-1.08892010263184</v>
      </c>
      <c r="AG5088">
        <v>-1.109638363265</v>
      </c>
      <c r="AH5088">
        <v>17.121667194920299</v>
      </c>
      <c r="AI5088">
        <v>93.700641331399794</v>
      </c>
      <c r="AJ5088">
        <v>93.639050411169507</v>
      </c>
      <c r="AK5088">
        <v>17.192106671980401</v>
      </c>
      <c r="AL5088">
        <v>91.329677652485103</v>
      </c>
      <c r="AM5088">
        <v>88.240001380745596</v>
      </c>
      <c r="AN5088">
        <v>1.00000000280367</v>
      </c>
    </row>
    <row r="5089" spans="1:40" x14ac:dyDescent="0.25">
      <c r="A5089" t="str">
        <f>"20190312161418999"</f>
        <v>20190312161418999</v>
      </c>
      <c r="B5089" t="str">
        <f>"1552378458991959"</f>
        <v>1552378458991959</v>
      </c>
      <c r="C5089" t="s">
        <v>40</v>
      </c>
      <c r="D5089">
        <v>5.3631190000000002</v>
      </c>
      <c r="E5089">
        <v>0.42357909999999999</v>
      </c>
      <c r="F5089" t="s">
        <v>77</v>
      </c>
      <c r="G5089">
        <v>-417.10840000000002</v>
      </c>
      <c r="H5089" s="1">
        <v>-7.9452350000000005E-6</v>
      </c>
      <c r="I5089">
        <v>26.57694</v>
      </c>
      <c r="J5089">
        <v>-421.77019999999999</v>
      </c>
      <c r="K5089">
        <v>1.1096269999999999</v>
      </c>
      <c r="L5089">
        <v>50.964480000000002</v>
      </c>
      <c r="M5089">
        <v>1.3817289999999999E-2</v>
      </c>
      <c r="N5089">
        <v>0</v>
      </c>
      <c r="O5089">
        <v>-0.99986240000000004</v>
      </c>
      <c r="P5089">
        <v>-1.6027409999999999E-2</v>
      </c>
      <c r="Q5089">
        <v>-3.181407E-2</v>
      </c>
      <c r="R5089">
        <v>-0.99936570000000002</v>
      </c>
      <c r="S5089">
        <v>0.56381230000000004</v>
      </c>
      <c r="T5089">
        <v>-0.1339899</v>
      </c>
      <c r="U5089">
        <v>-3.007355</v>
      </c>
      <c r="V5089">
        <v>2.983976E-2</v>
      </c>
      <c r="W5089">
        <v>-2.2617870000000002E-2</v>
      </c>
      <c r="X5089">
        <v>0.99929880000000004</v>
      </c>
      <c r="Y5089">
        <v>-0.170491899999999</v>
      </c>
      <c r="Z5089">
        <v>4.3796979999999999E-2</v>
      </c>
      <c r="AA5089">
        <v>0.98438530000000002</v>
      </c>
      <c r="AB5089">
        <v>26</v>
      </c>
      <c r="AC5089">
        <v>4.6617999999999702</v>
      </c>
      <c r="AD5089">
        <v>-1.1096349452350001</v>
      </c>
      <c r="AE5089">
        <v>-24.387540000000001</v>
      </c>
      <c r="AF5089">
        <v>-4.3157512743079396</v>
      </c>
      <c r="AG5089">
        <v>-1.1096349452350001</v>
      </c>
      <c r="AH5089">
        <v>24.4008925263992</v>
      </c>
      <c r="AI5089">
        <v>92.564000957258202</v>
      </c>
      <c r="AJ5089">
        <v>100.03009299599999</v>
      </c>
      <c r="AK5089">
        <v>24.804446271954198</v>
      </c>
      <c r="AL5089">
        <v>91.296018962896596</v>
      </c>
      <c r="AM5089">
        <v>88.2896162530363</v>
      </c>
      <c r="AN5089">
        <v>1.0000000355008101</v>
      </c>
    </row>
    <row r="5090" spans="1:40" x14ac:dyDescent="0.25">
      <c r="A5090" t="str">
        <f>"20190312161419111"</f>
        <v>20190312161419111</v>
      </c>
      <c r="B5090" t="str">
        <f>"1552378459101271"</f>
        <v>1552378459101271</v>
      </c>
      <c r="C5090" t="s">
        <v>40</v>
      </c>
      <c r="D5090">
        <v>4.8408470000000001</v>
      </c>
      <c r="E5090">
        <v>0.42357909999999999</v>
      </c>
      <c r="F5090" t="s">
        <v>77</v>
      </c>
      <c r="G5090">
        <v>-416.77390000000003</v>
      </c>
      <c r="H5090" s="1">
        <v>-7.7981030000000006E-6</v>
      </c>
      <c r="I5090">
        <v>24.22514</v>
      </c>
      <c r="J5090">
        <v>-421.75099999999998</v>
      </c>
      <c r="K5090">
        <v>1.109658</v>
      </c>
      <c r="L5090">
        <v>49.660400000000003</v>
      </c>
      <c r="M5090">
        <v>1.460435E-2</v>
      </c>
      <c r="N5090">
        <v>0</v>
      </c>
      <c r="O5090">
        <v>-0.99985069999999998</v>
      </c>
      <c r="P5090">
        <v>-1.542106E-2</v>
      </c>
      <c r="Q5090">
        <v>-3.1064939999999999E-2</v>
      </c>
      <c r="R5090">
        <v>-0.99939860000000003</v>
      </c>
      <c r="S5090">
        <v>0.56185909999999994</v>
      </c>
      <c r="T5090">
        <v>-0.1247834</v>
      </c>
      <c r="U5090">
        <v>-3.006958</v>
      </c>
      <c r="V5090">
        <v>3.0021590000000001E-2</v>
      </c>
      <c r="W5090">
        <v>-2.1844949999999998E-2</v>
      </c>
      <c r="X5090">
        <v>0.99931049999999999</v>
      </c>
      <c r="Y5090">
        <v>-0.16914509999999999</v>
      </c>
      <c r="Z5090">
        <v>4.0804710000000001E-2</v>
      </c>
      <c r="AA5090">
        <v>0.98474609999999996</v>
      </c>
      <c r="AB5090">
        <v>26</v>
      </c>
      <c r="AC5090">
        <v>4.9770999999999503</v>
      </c>
      <c r="AD5090">
        <v>-1.109665798103</v>
      </c>
      <c r="AE5090">
        <v>-25.43526</v>
      </c>
      <c r="AF5090">
        <v>-4.5966615854844202</v>
      </c>
      <c r="AG5090">
        <v>-1.109665798103</v>
      </c>
      <c r="AH5090">
        <v>25.458568631976998</v>
      </c>
      <c r="AI5090">
        <v>92.456114807340697</v>
      </c>
      <c r="AJ5090">
        <v>100.23474954550601</v>
      </c>
      <c r="AK5090">
        <v>25.894002639685301</v>
      </c>
      <c r="AL5090">
        <v>91.251723023052804</v>
      </c>
      <c r="AM5090">
        <v>88.279220330596601</v>
      </c>
      <c r="AN5090">
        <v>0.99999998655844002</v>
      </c>
    </row>
    <row r="5091" spans="1:40" x14ac:dyDescent="0.25">
      <c r="A5091" t="str">
        <f>"20190312161419134"</f>
        <v>20190312161419134</v>
      </c>
      <c r="B5091" t="str">
        <f>"1552378459121767"</f>
        <v>1552378459121767</v>
      </c>
      <c r="C5091" t="s">
        <v>40</v>
      </c>
      <c r="D5091">
        <v>5.3723109999999998</v>
      </c>
      <c r="E5091">
        <v>0.39928130000000001</v>
      </c>
      <c r="F5091" t="s">
        <v>77</v>
      </c>
      <c r="G5091">
        <v>-416.64499999999998</v>
      </c>
      <c r="H5091" s="1">
        <v>-7.6468200000000008E-6</v>
      </c>
      <c r="I5091">
        <v>22.420970000000001</v>
      </c>
      <c r="J5091">
        <v>-421.74680000000001</v>
      </c>
      <c r="K5091">
        <v>1.1096839999999999</v>
      </c>
      <c r="L5091">
        <v>49.39349</v>
      </c>
      <c r="M5091">
        <v>1.481888E-2</v>
      </c>
      <c r="N5091">
        <v>0</v>
      </c>
      <c r="O5091">
        <v>-0.99984770000000001</v>
      </c>
      <c r="P5091">
        <v>-1.5567930000000001E-2</v>
      </c>
      <c r="Q5091">
        <v>-3.0825390000000001E-2</v>
      </c>
      <c r="R5091">
        <v>-0.99940370000000001</v>
      </c>
      <c r="S5091">
        <v>0.56359859999999995</v>
      </c>
      <c r="T5091">
        <v>-0.1224847</v>
      </c>
      <c r="U5091">
        <v>-3.0066830000000002</v>
      </c>
      <c r="V5091">
        <v>3.0383830000000001E-2</v>
      </c>
      <c r="W5091">
        <v>-2.1599400000000001E-2</v>
      </c>
      <c r="X5091">
        <v>0.99930490000000005</v>
      </c>
      <c r="Y5091">
        <v>-0.16950589999999999</v>
      </c>
      <c r="Z5091">
        <v>4.0054289999999999E-2</v>
      </c>
      <c r="AA5091">
        <v>0.98471489999999995</v>
      </c>
      <c r="AB5091">
        <v>26</v>
      </c>
      <c r="AC5091">
        <v>5.1018000000000203</v>
      </c>
      <c r="AD5091">
        <v>-1.10969164682</v>
      </c>
      <c r="AE5091">
        <v>-26.972519999999999</v>
      </c>
      <c r="AF5091">
        <v>-4.6938497101717296</v>
      </c>
      <c r="AG5091">
        <v>-1.10969164682</v>
      </c>
      <c r="AH5091">
        <v>27.0010400921913</v>
      </c>
      <c r="AI5091">
        <v>92.318687655445899</v>
      </c>
      <c r="AJ5091">
        <v>99.861721812827497</v>
      </c>
      <c r="AK5091">
        <v>27.428448857214299</v>
      </c>
      <c r="AL5091">
        <v>91.237650710595602</v>
      </c>
      <c r="AM5091">
        <v>88.258460388514806</v>
      </c>
      <c r="AN5091">
        <v>0.99999999718491905</v>
      </c>
    </row>
    <row r="5092" spans="1:40" x14ac:dyDescent="0.25">
      <c r="A5092" t="str">
        <f>"20190312161419155"</f>
        <v>20190312161419155</v>
      </c>
      <c r="B5092" t="str">
        <f>"1552378459152023"</f>
        <v>1552378459152023</v>
      </c>
      <c r="C5092" t="s">
        <v>40</v>
      </c>
      <c r="D5092">
        <v>5.3894599999999997</v>
      </c>
      <c r="E5092">
        <v>0.41074729999999998</v>
      </c>
      <c r="F5092" t="s">
        <v>77</v>
      </c>
      <c r="G5092">
        <v>-418.88029999999998</v>
      </c>
      <c r="H5092" s="1">
        <v>-1.275857E-6</v>
      </c>
      <c r="I5092">
        <v>38.057630000000003</v>
      </c>
      <c r="J5092">
        <v>-421.74270000000001</v>
      </c>
      <c r="K5092">
        <v>1.1097140000000001</v>
      </c>
      <c r="L5092">
        <v>49.13129</v>
      </c>
      <c r="M5092">
        <v>1.5063780000000001E-2</v>
      </c>
      <c r="N5092">
        <v>0</v>
      </c>
      <c r="O5092">
        <v>-0.99984390000000001</v>
      </c>
      <c r="P5092">
        <v>-1.517076E-2</v>
      </c>
      <c r="Q5092">
        <v>-3.023605E-2</v>
      </c>
      <c r="R5092">
        <v>-0.99942770000000003</v>
      </c>
      <c r="S5092">
        <v>0.75976560000000004</v>
      </c>
      <c r="T5092">
        <v>-0.29411959999999998</v>
      </c>
      <c r="U5092">
        <v>-3.0045470000000001</v>
      </c>
      <c r="V5092">
        <v>3.023284E-2</v>
      </c>
      <c r="W5092">
        <v>-2.100366E-2</v>
      </c>
      <c r="X5092">
        <v>0.99932220000000005</v>
      </c>
      <c r="Y5092">
        <v>-0.2294233</v>
      </c>
      <c r="Z5092">
        <v>9.4634889999999999E-2</v>
      </c>
      <c r="AA5092">
        <v>0.96871529999999995</v>
      </c>
      <c r="AB5092">
        <v>26</v>
      </c>
      <c r="AC5092">
        <v>2.8624000000000298</v>
      </c>
      <c r="AD5092">
        <v>-1.1097152758569999</v>
      </c>
      <c r="AE5092">
        <v>-11.07366</v>
      </c>
      <c r="AF5092">
        <v>-2.6701216951286102</v>
      </c>
      <c r="AG5092">
        <v>-1.1097152758569999</v>
      </c>
      <c r="AH5092">
        <v>11.0118635830132</v>
      </c>
      <c r="AI5092">
        <v>95.593512940426095</v>
      </c>
      <c r="AJ5092">
        <v>103.62984023790101</v>
      </c>
      <c r="AK5092">
        <v>11.385172700980901</v>
      </c>
      <c r="AL5092">
        <v>91.203509549454907</v>
      </c>
      <c r="AM5092">
        <v>88.267139520725095</v>
      </c>
      <c r="AN5092">
        <v>1.00000001888035</v>
      </c>
    </row>
    <row r="5093" spans="1:40" x14ac:dyDescent="0.25">
      <c r="A5093" t="str">
        <f>"20190312161419178"</f>
        <v>20190312161419178</v>
      </c>
      <c r="B5093" t="str">
        <f>"1552378459171543"</f>
        <v>1552378459171543</v>
      </c>
      <c r="C5093" t="s">
        <v>40</v>
      </c>
      <c r="D5093">
        <v>5.551558</v>
      </c>
      <c r="E5093">
        <v>0.41550680000000001</v>
      </c>
      <c r="F5093" t="s">
        <v>77</v>
      </c>
      <c r="G5093">
        <v>-418.89980000000003</v>
      </c>
      <c r="H5093" s="1">
        <v>-2.3418359999999999E-6</v>
      </c>
      <c r="I5093">
        <v>36.372430000000001</v>
      </c>
      <c r="J5093">
        <v>-421.73840000000001</v>
      </c>
      <c r="K5093">
        <v>1.1097509999999999</v>
      </c>
      <c r="L5093">
        <v>48.864930000000001</v>
      </c>
      <c r="M5093">
        <v>1.536438E-2</v>
      </c>
      <c r="N5093">
        <v>0</v>
      </c>
      <c r="O5093">
        <v>-0.99983960000000005</v>
      </c>
      <c r="P5093">
        <v>-1.4211430000000001E-2</v>
      </c>
      <c r="Q5093">
        <v>-2.9510049999999999E-2</v>
      </c>
      <c r="R5093">
        <v>-0.99946360000000001</v>
      </c>
      <c r="S5093">
        <v>0.66934199999999999</v>
      </c>
      <c r="T5093">
        <v>-0.26127349999999999</v>
      </c>
      <c r="U5093">
        <v>-3.0039669999999998</v>
      </c>
      <c r="V5093">
        <v>2.9575919999999999E-2</v>
      </c>
      <c r="W5093">
        <v>-2.0270529999999998E-2</v>
      </c>
      <c r="X5093">
        <v>0.99935700000000005</v>
      </c>
      <c r="Y5093">
        <v>-0.20168159999999999</v>
      </c>
      <c r="Z5093">
        <v>8.4712689999999993E-2</v>
      </c>
      <c r="AA5093">
        <v>0.9757808</v>
      </c>
      <c r="AB5093">
        <v>26</v>
      </c>
      <c r="AC5093">
        <v>2.83859999999998</v>
      </c>
      <c r="AD5093">
        <v>-1.1097533418359999</v>
      </c>
      <c r="AE5093">
        <v>-12.4925</v>
      </c>
      <c r="AF5093">
        <v>-2.6266072863912999</v>
      </c>
      <c r="AG5093">
        <v>-1.1097533418359999</v>
      </c>
      <c r="AH5093">
        <v>12.4412814928535</v>
      </c>
      <c r="AI5093">
        <v>94.987877505052396</v>
      </c>
      <c r="AJ5093">
        <v>101.92124346520301</v>
      </c>
      <c r="AK5093">
        <v>12.7638592714375</v>
      </c>
      <c r="AL5093">
        <v>91.161495343837899</v>
      </c>
      <c r="AM5093">
        <v>88.304829091580004</v>
      </c>
      <c r="AN5093">
        <v>1.00000002143966</v>
      </c>
    </row>
    <row r="5094" spans="1:40" x14ac:dyDescent="0.25">
      <c r="A5094" t="str">
        <f>"20190312161419200"</f>
        <v>20190312161419200</v>
      </c>
      <c r="B5094" t="str">
        <f>"1552378459191063"</f>
        <v>1552378459191063</v>
      </c>
      <c r="C5094" t="s">
        <v>40</v>
      </c>
      <c r="D5094">
        <v>5.5704029999999998</v>
      </c>
      <c r="E5094">
        <v>0.41902489999999998</v>
      </c>
      <c r="F5094" t="s">
        <v>77</v>
      </c>
      <c r="G5094">
        <v>-418.88290000000001</v>
      </c>
      <c r="H5094" s="1">
        <v>-3.005727E-6</v>
      </c>
      <c r="I5094">
        <v>35.33502</v>
      </c>
      <c r="J5094">
        <v>-421.73399999999998</v>
      </c>
      <c r="K5094">
        <v>1.1097870000000001</v>
      </c>
      <c r="L5094">
        <v>48.603270000000002</v>
      </c>
      <c r="M5094">
        <v>1.5725090000000001E-2</v>
      </c>
      <c r="N5094">
        <v>0</v>
      </c>
      <c r="O5094">
        <v>-0.99983370000000005</v>
      </c>
      <c r="P5094">
        <v>-1.318244E-2</v>
      </c>
      <c r="Q5094">
        <v>-2.9448430000000001E-2</v>
      </c>
      <c r="R5094">
        <v>-0.99947949999999997</v>
      </c>
      <c r="S5094">
        <v>0.63385009999999997</v>
      </c>
      <c r="T5094">
        <v>-0.24634220000000001</v>
      </c>
      <c r="U5094">
        <v>-3.0033569999999998</v>
      </c>
      <c r="V5094">
        <v>2.8909899999999999E-2</v>
      </c>
      <c r="W5094">
        <v>-2.0201319999999998E-2</v>
      </c>
      <c r="X5094">
        <v>0.99937779999999998</v>
      </c>
      <c r="Y5094">
        <v>-0.19042290000000001</v>
      </c>
      <c r="Z5094">
        <v>8.0108460000000006E-2</v>
      </c>
      <c r="AA5094">
        <v>0.97842819999999997</v>
      </c>
      <c r="AB5094">
        <v>26</v>
      </c>
      <c r="AC5094">
        <v>2.8511000000000299</v>
      </c>
      <c r="AD5094">
        <v>-1.109790005727</v>
      </c>
      <c r="AE5094">
        <v>-13.26825</v>
      </c>
      <c r="AF5094">
        <v>-2.6245430261855698</v>
      </c>
      <c r="AG5094">
        <v>-1.109790005727</v>
      </c>
      <c r="AH5094">
        <v>13.223018787988901</v>
      </c>
      <c r="AI5094">
        <v>94.706133173084496</v>
      </c>
      <c r="AJ5094">
        <v>101.226327549785</v>
      </c>
      <c r="AK5094">
        <v>13.5265696250239</v>
      </c>
      <c r="AL5094">
        <v>91.157529195112105</v>
      </c>
      <c r="AM5094">
        <v>88.343015578611698</v>
      </c>
      <c r="AN5094">
        <v>0.99999993139029297</v>
      </c>
    </row>
    <row r="5095" spans="1:40" x14ac:dyDescent="0.25">
      <c r="A5095" t="str">
        <f>"20190312161419222"</f>
        <v>20190312161419222</v>
      </c>
      <c r="B5095" t="str">
        <f>"1552378459211559"</f>
        <v>1552378459211559</v>
      </c>
      <c r="C5095" t="s">
        <v>40</v>
      </c>
      <c r="D5095">
        <v>5.5861190000000001</v>
      </c>
      <c r="E5095">
        <v>0.42085430000000001</v>
      </c>
      <c r="F5095" t="s">
        <v>77</v>
      </c>
      <c r="G5095">
        <v>-419.00330000000002</v>
      </c>
      <c r="H5095" s="1">
        <v>-3.1047340000000002E-6</v>
      </c>
      <c r="I5095">
        <v>35.128860000000003</v>
      </c>
      <c r="J5095">
        <v>-421.72949999999997</v>
      </c>
      <c r="K5095">
        <v>1.109839</v>
      </c>
      <c r="L5095">
        <v>48.34366</v>
      </c>
      <c r="M5095">
        <v>1.6157009999999999E-2</v>
      </c>
      <c r="N5095">
        <v>0</v>
      </c>
      <c r="O5095">
        <v>-0.99982680000000002</v>
      </c>
      <c r="P5095">
        <v>-1.188168E-2</v>
      </c>
      <c r="Q5095">
        <v>-2.9449800000000002E-2</v>
      </c>
      <c r="R5095">
        <v>-0.99949569999999999</v>
      </c>
      <c r="S5095">
        <v>0.608429</v>
      </c>
      <c r="T5095">
        <v>-0.24727679999999999</v>
      </c>
      <c r="U5095">
        <v>-3.0022890000000002</v>
      </c>
      <c r="V5095">
        <v>2.8043809999999999E-2</v>
      </c>
      <c r="W5095">
        <v>-2.0194589999999998E-2</v>
      </c>
      <c r="X5095">
        <v>0.99940269999999998</v>
      </c>
      <c r="Y5095">
        <v>-0.18211050000000001</v>
      </c>
      <c r="Z5095">
        <v>8.056924E-2</v>
      </c>
      <c r="AA5095">
        <v>0.97997160000000005</v>
      </c>
      <c r="AB5095">
        <v>26</v>
      </c>
      <c r="AC5095">
        <v>2.72619999999994</v>
      </c>
      <c r="AD5095">
        <v>-1.1098421047339999</v>
      </c>
      <c r="AE5095">
        <v>-13.2148</v>
      </c>
      <c r="AF5095">
        <v>-2.49544042218389</v>
      </c>
      <c r="AG5095">
        <v>-1.1098421047339999</v>
      </c>
      <c r="AH5095">
        <v>13.1680355479655</v>
      </c>
      <c r="AI5095">
        <v>94.733816478496294</v>
      </c>
      <c r="AJ5095">
        <v>100.730725129295</v>
      </c>
      <c r="AK5095">
        <v>13.448276194018099</v>
      </c>
      <c r="AL5095">
        <v>91.157143417017394</v>
      </c>
      <c r="AM5095">
        <v>88.392669514889903</v>
      </c>
      <c r="AN5095">
        <v>1.00000001675593</v>
      </c>
    </row>
    <row r="5096" spans="1:40" x14ac:dyDescent="0.25">
      <c r="A5096" t="str">
        <f>"20190312161419244"</f>
        <v>20190312161419244</v>
      </c>
      <c r="B5096" t="str">
        <f>"1552378459241815"</f>
        <v>1552378459241815</v>
      </c>
      <c r="C5096" t="s">
        <v>40</v>
      </c>
      <c r="D5096">
        <v>5.5920529999999999</v>
      </c>
      <c r="E5096">
        <v>0.42339080000000001</v>
      </c>
      <c r="F5096" t="s">
        <v>77</v>
      </c>
      <c r="G5096">
        <v>-419.08240000000001</v>
      </c>
      <c r="H5096" s="1">
        <v>-3.1290320000000001E-6</v>
      </c>
      <c r="I5096">
        <v>35.05753</v>
      </c>
      <c r="J5096">
        <v>-421.72449999999998</v>
      </c>
      <c r="K5096">
        <v>1.1099019999999999</v>
      </c>
      <c r="L5096">
        <v>48.076259999999998</v>
      </c>
      <c r="M5096">
        <v>1.6686090000000001E-2</v>
      </c>
      <c r="N5096">
        <v>0</v>
      </c>
      <c r="O5096">
        <v>-0.99981810000000004</v>
      </c>
      <c r="P5096">
        <v>-1.043404E-2</v>
      </c>
      <c r="Q5096">
        <v>-3.0308100000000001E-2</v>
      </c>
      <c r="R5096">
        <v>-0.99948610000000004</v>
      </c>
      <c r="S5096">
        <v>0.59796139999999998</v>
      </c>
      <c r="T5096">
        <v>-0.25070619999999999</v>
      </c>
      <c r="U5096">
        <v>-3.0012509999999999</v>
      </c>
      <c r="V5096">
        <v>2.712877E-2</v>
      </c>
      <c r="W5096">
        <v>-2.1044469999999999E-2</v>
      </c>
      <c r="X5096">
        <v>0.99941040000000003</v>
      </c>
      <c r="Y5096">
        <v>-0.1783507</v>
      </c>
      <c r="Z5096">
        <v>8.1761550000000002E-2</v>
      </c>
      <c r="AA5096">
        <v>0.9805642</v>
      </c>
      <c r="AB5096">
        <v>26</v>
      </c>
      <c r="AC5096">
        <v>2.6420999999999699</v>
      </c>
      <c r="AD5096">
        <v>-1.1099051290319999</v>
      </c>
      <c r="AE5096">
        <v>-13.0187299999999</v>
      </c>
      <c r="AF5096">
        <v>-2.4076835814757098</v>
      </c>
      <c r="AG5096">
        <v>-1.1099051290319999</v>
      </c>
      <c r="AH5096">
        <v>12.970461244823399</v>
      </c>
      <c r="AI5096">
        <v>94.809224706114193</v>
      </c>
      <c r="AJ5096">
        <v>100.51601722191</v>
      </c>
      <c r="AK5096">
        <v>13.2386439837101</v>
      </c>
      <c r="AL5096">
        <v>91.205848337411993</v>
      </c>
      <c r="AM5096">
        <v>88.4451008102629</v>
      </c>
      <c r="AN5096">
        <v>0.99999999375372695</v>
      </c>
    </row>
    <row r="5097" spans="1:40" x14ac:dyDescent="0.25">
      <c r="A5097" t="str">
        <f>"20190312161419268"</f>
        <v>20190312161419268</v>
      </c>
      <c r="B5097" t="str">
        <f>"1552378459261335"</f>
        <v>1552378459261335</v>
      </c>
      <c r="C5097" t="s">
        <v>40</v>
      </c>
      <c r="D5097">
        <v>5.5927150000000001</v>
      </c>
      <c r="E5097">
        <v>0.424238</v>
      </c>
      <c r="F5097" t="s">
        <v>77</v>
      </c>
      <c r="G5097">
        <v>-419.18950000000001</v>
      </c>
      <c r="H5097" s="1">
        <v>-3.12337E-6</v>
      </c>
      <c r="I5097">
        <v>35.021630000000002</v>
      </c>
      <c r="J5097">
        <v>-421.71940000000001</v>
      </c>
      <c r="K5097">
        <v>1.1099680000000001</v>
      </c>
      <c r="L5097">
        <v>47.802799999999998</v>
      </c>
      <c r="M5097">
        <v>1.7322400000000002E-2</v>
      </c>
      <c r="N5097">
        <v>0</v>
      </c>
      <c r="O5097">
        <v>-0.99980709999999995</v>
      </c>
      <c r="P5097">
        <v>-9.4828519999999999E-3</v>
      </c>
      <c r="Q5097">
        <v>-3.0713870000000001E-2</v>
      </c>
      <c r="R5097">
        <v>-0.99948309999999996</v>
      </c>
      <c r="S5097">
        <v>0.58255000000000001</v>
      </c>
      <c r="T5097">
        <v>-0.25504959999999999</v>
      </c>
      <c r="U5097">
        <v>-2.9998779999999998</v>
      </c>
      <c r="V5097">
        <v>2.6817509999999999E-2</v>
      </c>
      <c r="W5097">
        <v>-2.1440899999999999E-2</v>
      </c>
      <c r="X5097">
        <v>0.99941040000000003</v>
      </c>
      <c r="Y5097">
        <v>-0.17293410000000001</v>
      </c>
      <c r="Z5097">
        <v>8.3285029999999996E-2</v>
      </c>
      <c r="AA5097">
        <v>0.98140579999999999</v>
      </c>
      <c r="AB5097">
        <v>27</v>
      </c>
      <c r="AC5097">
        <v>2.5298999999999898</v>
      </c>
      <c r="AD5097">
        <v>-1.10997112337</v>
      </c>
      <c r="AE5097">
        <v>-12.7811699999999</v>
      </c>
      <c r="AF5097">
        <v>-2.29147976647555</v>
      </c>
      <c r="AG5097">
        <v>-1.10997112337</v>
      </c>
      <c r="AH5097">
        <v>12.7306840661641</v>
      </c>
      <c r="AI5097">
        <v>94.904517309867003</v>
      </c>
      <c r="AJ5097">
        <v>100.20378467601</v>
      </c>
      <c r="AK5097">
        <v>12.982805251846299</v>
      </c>
      <c r="AL5097">
        <v>91.228567198693597</v>
      </c>
      <c r="AM5097">
        <v>88.462932226947999</v>
      </c>
      <c r="AN5097">
        <v>1.00000001933178</v>
      </c>
    </row>
    <row r="5098" spans="1:40" x14ac:dyDescent="0.25">
      <c r="A5098" t="str">
        <f>"20190312161419290"</f>
        <v>20190312161419290</v>
      </c>
      <c r="B5098" t="str">
        <f>"1552378459281831"</f>
        <v>1552378459281831</v>
      </c>
      <c r="C5098" t="s">
        <v>40</v>
      </c>
      <c r="D5098">
        <v>5.5869489999999997</v>
      </c>
      <c r="E5098">
        <v>0.42476910000000001</v>
      </c>
      <c r="F5098" t="s">
        <v>77</v>
      </c>
      <c r="G5098">
        <v>-419.15940000000001</v>
      </c>
      <c r="H5098" s="1">
        <v>-3.396484E-6</v>
      </c>
      <c r="I5098">
        <v>34.532130000000002</v>
      </c>
      <c r="J5098">
        <v>-421.71409999999997</v>
      </c>
      <c r="K5098">
        <v>1.1100319999999999</v>
      </c>
      <c r="L5098">
        <v>47.540190000000003</v>
      </c>
      <c r="M5098">
        <v>1.8036159999999999E-2</v>
      </c>
      <c r="N5098">
        <v>0</v>
      </c>
      <c r="O5098">
        <v>-0.99979479999999998</v>
      </c>
      <c r="P5098">
        <v>-8.3114739999999993E-3</v>
      </c>
      <c r="Q5098">
        <v>-3.1045329999999999E-2</v>
      </c>
      <c r="R5098">
        <v>-0.99948380000000003</v>
      </c>
      <c r="S5098">
        <v>0.57858279999999995</v>
      </c>
      <c r="T5098">
        <v>-0.2508667</v>
      </c>
      <c r="U5098">
        <v>-2.9993289999999999</v>
      </c>
      <c r="V5098">
        <v>2.6363580000000001E-2</v>
      </c>
      <c r="W5098">
        <v>-2.1763330000000001E-2</v>
      </c>
      <c r="X5098">
        <v>0.99941550000000001</v>
      </c>
      <c r="Y5098">
        <v>-0.17103389999999999</v>
      </c>
      <c r="Z5098">
        <v>8.1965419999999997E-2</v>
      </c>
      <c r="AA5098">
        <v>0.98184979999999999</v>
      </c>
      <c r="AB5098">
        <v>27</v>
      </c>
      <c r="AC5098">
        <v>2.55469999999996</v>
      </c>
      <c r="AD5098">
        <v>-1.110035396484</v>
      </c>
      <c r="AE5098">
        <v>-13.00806</v>
      </c>
      <c r="AF5098">
        <v>-2.3035078670187201</v>
      </c>
      <c r="AG5098">
        <v>-1.110035396484</v>
      </c>
      <c r="AH5098">
        <v>12.9611453799968</v>
      </c>
      <c r="AI5098">
        <v>94.819891259895002</v>
      </c>
      <c r="AJ5098">
        <v>100.077616542057</v>
      </c>
      <c r="AK5098">
        <v>13.210965772277101</v>
      </c>
      <c r="AL5098">
        <v>91.2470453986097</v>
      </c>
      <c r="AM5098">
        <v>88.488945141704804</v>
      </c>
      <c r="AN5098">
        <v>1.00000001126167</v>
      </c>
    </row>
    <row r="5099" spans="1:40" x14ac:dyDescent="0.25">
      <c r="A5099" t="str">
        <f>"20190312161419312"</f>
        <v>20190312161419312</v>
      </c>
      <c r="B5099" t="str">
        <f>"1552378459301351"</f>
        <v>1552378459301351</v>
      </c>
      <c r="C5099" t="s">
        <v>40</v>
      </c>
      <c r="D5099">
        <v>5.5851110000000004</v>
      </c>
      <c r="E5099">
        <v>0.42524000000000001</v>
      </c>
      <c r="F5099" t="s">
        <v>77</v>
      </c>
      <c r="G5099">
        <v>-419.14420000000001</v>
      </c>
      <c r="H5099" s="1">
        <v>-3.5663609999999998E-6</v>
      </c>
      <c r="I5099">
        <v>34.205350000000003</v>
      </c>
      <c r="J5099">
        <v>-421.70859999999999</v>
      </c>
      <c r="K5099">
        <v>1.110096</v>
      </c>
      <c r="L5099">
        <v>47.28058</v>
      </c>
      <c r="M5099">
        <v>1.883485E-2</v>
      </c>
      <c r="N5099">
        <v>0</v>
      </c>
      <c r="O5099">
        <v>-0.9997798</v>
      </c>
      <c r="P5099">
        <v>-7.516801E-3</v>
      </c>
      <c r="Q5099">
        <v>-3.1382119999999999E-2</v>
      </c>
      <c r="R5099">
        <v>-0.99947929999999996</v>
      </c>
      <c r="S5099">
        <v>0.57788090000000003</v>
      </c>
      <c r="T5099">
        <v>-0.2496128</v>
      </c>
      <c r="U5099">
        <v>-2.998596</v>
      </c>
      <c r="V5099">
        <v>2.6371180000000001E-2</v>
      </c>
      <c r="W5099">
        <v>-2.2090740000000001E-2</v>
      </c>
      <c r="X5099">
        <v>0.99940810000000002</v>
      </c>
      <c r="Y5099">
        <v>-0.1700757</v>
      </c>
      <c r="Z5099">
        <v>8.1584729999999994E-2</v>
      </c>
      <c r="AA5099">
        <v>0.98204800000000003</v>
      </c>
      <c r="AB5099">
        <v>27</v>
      </c>
      <c r="AC5099">
        <v>2.5643999999999698</v>
      </c>
      <c r="AD5099">
        <v>-1.110099566361</v>
      </c>
      <c r="AE5099">
        <v>-13.0752299999999</v>
      </c>
      <c r="AF5099">
        <v>-2.3016880989739699</v>
      </c>
      <c r="AG5099">
        <v>-1.110099566361</v>
      </c>
      <c r="AH5099">
        <v>13.0307636973731</v>
      </c>
      <c r="AI5099">
        <v>94.795429634020095</v>
      </c>
      <c r="AJ5099">
        <v>100.017111534549</v>
      </c>
      <c r="AK5099">
        <v>13.2789642551281</v>
      </c>
      <c r="AL5099">
        <v>91.265809141359796</v>
      </c>
      <c r="AM5099">
        <v>88.488498555712596</v>
      </c>
      <c r="AN5099">
        <v>0.99999999513697402</v>
      </c>
    </row>
    <row r="5100" spans="1:40" x14ac:dyDescent="0.25">
      <c r="A5100" t="str">
        <f>"20190312161419334"</f>
        <v>20190312161419334</v>
      </c>
      <c r="B5100" t="str">
        <f>"1552378459321847"</f>
        <v>1552378459321847</v>
      </c>
      <c r="C5100" t="s">
        <v>40</v>
      </c>
      <c r="D5100">
        <v>5.5785369999999999</v>
      </c>
      <c r="E5100">
        <v>0.4255892</v>
      </c>
      <c r="F5100" t="s">
        <v>77</v>
      </c>
      <c r="G5100">
        <v>-419.13729999999998</v>
      </c>
      <c r="H5100" s="1">
        <v>-3.7221400000000002E-6</v>
      </c>
      <c r="I5100">
        <v>33.902610000000003</v>
      </c>
      <c r="J5100">
        <v>-421.70269999999999</v>
      </c>
      <c r="K5100">
        <v>1.1101540000000001</v>
      </c>
      <c r="L5100">
        <v>47.016390000000001</v>
      </c>
      <c r="M5100">
        <v>1.9725159999999999E-2</v>
      </c>
      <c r="N5100">
        <v>0</v>
      </c>
      <c r="O5100">
        <v>-0.99976259999999995</v>
      </c>
      <c r="P5100">
        <v>-7.0052029999999998E-3</v>
      </c>
      <c r="Q5100">
        <v>-3.1937779999999999E-2</v>
      </c>
      <c r="R5100">
        <v>-0.99946520000000005</v>
      </c>
      <c r="S5100">
        <v>0.57623290000000005</v>
      </c>
      <c r="T5100">
        <v>-0.24877949999999999</v>
      </c>
      <c r="U5100">
        <v>-2.9980769999999999</v>
      </c>
      <c r="V5100">
        <v>2.6753269999999999E-2</v>
      </c>
      <c r="W5100">
        <v>-2.2636989999999999E-2</v>
      </c>
      <c r="X5100">
        <v>0.99938570000000004</v>
      </c>
      <c r="Y5100">
        <v>-0.1687129</v>
      </c>
      <c r="Z5100">
        <v>8.1339599999999998E-2</v>
      </c>
      <c r="AA5100">
        <v>0.98230329999999999</v>
      </c>
      <c r="AB5100">
        <v>27</v>
      </c>
      <c r="AC5100">
        <v>2.5654000000000101</v>
      </c>
      <c r="AD5100">
        <v>-1.1101577221400001</v>
      </c>
      <c r="AE5100">
        <v>-13.11378</v>
      </c>
      <c r="AF5100">
        <v>-2.29040890610628</v>
      </c>
      <c r="AG5100">
        <v>-1.1101577221400001</v>
      </c>
      <c r="AH5100">
        <v>13.07160731037</v>
      </c>
      <c r="AI5100">
        <v>94.781913640334693</v>
      </c>
      <c r="AJ5100">
        <v>99.938483527669604</v>
      </c>
      <c r="AK5100">
        <v>13.317107073299301</v>
      </c>
      <c r="AL5100">
        <v>91.297114818415594</v>
      </c>
      <c r="AM5100">
        <v>88.466574555864696</v>
      </c>
      <c r="AN5100">
        <v>0.99999997406822105</v>
      </c>
    </row>
    <row r="5101" spans="1:40" x14ac:dyDescent="0.25">
      <c r="A5101" t="str">
        <f>"20190312161419357"</f>
        <v>20190312161419357</v>
      </c>
      <c r="B5101" t="str">
        <f>"1552378459351127"</f>
        <v>1552378459351127</v>
      </c>
      <c r="C5101" t="s">
        <v>40</v>
      </c>
      <c r="D5101">
        <v>5.5569189999999997</v>
      </c>
      <c r="E5101">
        <v>0.42598340000000001</v>
      </c>
      <c r="F5101" t="s">
        <v>77</v>
      </c>
      <c r="G5101">
        <v>-419.13130000000001</v>
      </c>
      <c r="H5101" s="1">
        <v>-3.8713170000000004E-6</v>
      </c>
      <c r="I5101">
        <v>33.612450000000003</v>
      </c>
      <c r="J5101">
        <v>-421.69600000000003</v>
      </c>
      <c r="K5101">
        <v>1.110209</v>
      </c>
      <c r="L5101">
        <v>46.736179999999997</v>
      </c>
      <c r="M5101">
        <v>2.0755369999999999E-2</v>
      </c>
      <c r="N5101">
        <v>0</v>
      </c>
      <c r="O5101">
        <v>-0.99974180000000001</v>
      </c>
      <c r="P5101">
        <v>-5.4517790000000003E-3</v>
      </c>
      <c r="Q5101">
        <v>-3.2352270000000002E-2</v>
      </c>
      <c r="R5101">
        <v>-0.99946170000000001</v>
      </c>
      <c r="S5101">
        <v>0.57507319999999995</v>
      </c>
      <c r="T5101">
        <v>-0.24828030000000001</v>
      </c>
      <c r="U5101">
        <v>-2.9977109999999998</v>
      </c>
      <c r="V5101">
        <v>2.6233659999999999E-2</v>
      </c>
      <c r="W5101">
        <v>-2.3043000000000001E-2</v>
      </c>
      <c r="X5101">
        <v>0.99939020000000001</v>
      </c>
      <c r="Y5101">
        <v>-0.16735510000000001</v>
      </c>
      <c r="Z5101">
        <v>8.1196959999999999E-2</v>
      </c>
      <c r="AA5101">
        <v>0.98254730000000001</v>
      </c>
      <c r="AB5101">
        <v>27</v>
      </c>
      <c r="AC5101">
        <v>2.5646999999999598</v>
      </c>
      <c r="AD5101">
        <v>-1.1102128713169901</v>
      </c>
      <c r="AE5101">
        <v>-13.123729999999901</v>
      </c>
      <c r="AF5101">
        <v>-2.2760586282951398</v>
      </c>
      <c r="AG5101">
        <v>-1.1102128713169901</v>
      </c>
      <c r="AH5101">
        <v>13.083946037802299</v>
      </c>
      <c r="AI5101">
        <v>94.778678130432894</v>
      </c>
      <c r="AJ5101">
        <v>99.868313683078199</v>
      </c>
      <c r="AK5101">
        <v>13.3267647769141</v>
      </c>
      <c r="AL5101">
        <v>91.320383543053396</v>
      </c>
      <c r="AM5101">
        <v>88.496350161960606</v>
      </c>
      <c r="AN5101">
        <v>0.99999997831101695</v>
      </c>
    </row>
    <row r="5102" spans="1:40" x14ac:dyDescent="0.25">
      <c r="A5102" t="str">
        <f>"20190312161419379"</f>
        <v>20190312161419379</v>
      </c>
      <c r="B5102" t="str">
        <f>"1552378459371623"</f>
        <v>1552378459371623</v>
      </c>
      <c r="C5102" t="s">
        <v>40</v>
      </c>
      <c r="D5102">
        <v>5.5592180000000004</v>
      </c>
      <c r="E5102">
        <v>0.42630469999999998</v>
      </c>
      <c r="F5102" t="s">
        <v>77</v>
      </c>
      <c r="G5102">
        <v>-419.1155</v>
      </c>
      <c r="H5102" s="1">
        <v>-4.030253E-6</v>
      </c>
      <c r="I5102">
        <v>33.30742</v>
      </c>
      <c r="J5102">
        <v>-421.68939999999998</v>
      </c>
      <c r="K5102">
        <v>1.110266</v>
      </c>
      <c r="L5102">
        <v>46.469360000000002</v>
      </c>
      <c r="M5102">
        <v>2.182429E-2</v>
      </c>
      <c r="N5102">
        <v>0</v>
      </c>
      <c r="O5102">
        <v>-0.99971869999999996</v>
      </c>
      <c r="P5102">
        <v>-3.3475470000000002E-3</v>
      </c>
      <c r="Q5102">
        <v>-3.2854899999999999E-2</v>
      </c>
      <c r="R5102">
        <v>-0.99945459999999997</v>
      </c>
      <c r="S5102">
        <v>0.57586669999999995</v>
      </c>
      <c r="T5102">
        <v>-0.2477529</v>
      </c>
      <c r="U5102">
        <v>-2.9967350000000001</v>
      </c>
      <c r="V5102">
        <v>2.52023E-2</v>
      </c>
      <c r="W5102">
        <v>-2.3538380000000001E-2</v>
      </c>
      <c r="X5102">
        <v>0.99940519999999999</v>
      </c>
      <c r="Y5102">
        <v>-0.1666135</v>
      </c>
      <c r="Z5102">
        <v>8.1051780000000004E-2</v>
      </c>
      <c r="AA5102">
        <v>0.98268540000000004</v>
      </c>
      <c r="AB5102">
        <v>27</v>
      </c>
      <c r="AC5102">
        <v>2.5738999999999801</v>
      </c>
      <c r="AD5102">
        <v>-1.110270030253</v>
      </c>
      <c r="AE5102">
        <v>-13.1619399999999</v>
      </c>
      <c r="AF5102">
        <v>-2.2704636718815498</v>
      </c>
      <c r="AG5102">
        <v>-1.110270030253</v>
      </c>
      <c r="AH5102">
        <v>13.1250271258463</v>
      </c>
      <c r="AI5102">
        <v>94.7648093460582</v>
      </c>
      <c r="AJ5102">
        <v>99.814317715540199</v>
      </c>
      <c r="AK5102">
        <v>13.366152845138799</v>
      </c>
      <c r="AL5102">
        <v>91.348774422984903</v>
      </c>
      <c r="AM5102">
        <v>88.555461330284999</v>
      </c>
      <c r="AN5102">
        <v>0.99999998252267697</v>
      </c>
    </row>
    <row r="5103" spans="1:40" x14ac:dyDescent="0.25">
      <c r="A5103" t="str">
        <f>"20190312161419400"</f>
        <v>20190312161419400</v>
      </c>
      <c r="B5103" t="str">
        <f>"1552378459392119"</f>
        <v>1552378459392119</v>
      </c>
      <c r="C5103" t="s">
        <v>40</v>
      </c>
      <c r="D5103">
        <v>5.5214439999999998</v>
      </c>
      <c r="E5103">
        <v>0.42653059999999998</v>
      </c>
      <c r="F5103" t="s">
        <v>77</v>
      </c>
      <c r="G5103">
        <v>-419.11</v>
      </c>
      <c r="H5103" s="1">
        <v>-4.1159540000000001E-6</v>
      </c>
      <c r="I5103">
        <v>33.141620000000003</v>
      </c>
      <c r="J5103">
        <v>-421.6825</v>
      </c>
      <c r="K5103">
        <v>1.110328</v>
      </c>
      <c r="L5103">
        <v>46.208680000000001</v>
      </c>
      <c r="M5103">
        <v>2.2958760000000002E-2</v>
      </c>
      <c r="N5103">
        <v>0</v>
      </c>
      <c r="O5103">
        <v>-0.99969350000000001</v>
      </c>
      <c r="P5103">
        <v>-9.1612780000000003E-4</v>
      </c>
      <c r="Q5103">
        <v>-3.3494540000000003E-2</v>
      </c>
      <c r="R5103">
        <v>-0.99943879999999996</v>
      </c>
      <c r="S5103">
        <v>0.57971189999999995</v>
      </c>
      <c r="T5103">
        <v>-0.2495291</v>
      </c>
      <c r="U5103">
        <v>-2.9953609999999999</v>
      </c>
      <c r="V5103">
        <v>2.3910020000000001E-2</v>
      </c>
      <c r="W5103">
        <v>-2.417103E-2</v>
      </c>
      <c r="X5103">
        <v>0.99942189999999997</v>
      </c>
      <c r="Y5103">
        <v>-0.16678509999999999</v>
      </c>
      <c r="Z5103">
        <v>8.1651379999999996E-2</v>
      </c>
      <c r="AA5103">
        <v>0.9826066</v>
      </c>
      <c r="AB5103">
        <v>27</v>
      </c>
      <c r="AC5103">
        <v>2.57249999999999</v>
      </c>
      <c r="AD5103">
        <v>-1.1103321159540001</v>
      </c>
      <c r="AE5103">
        <v>-13.0670599999999</v>
      </c>
      <c r="AF5103">
        <v>-2.2561235949601799</v>
      </c>
      <c r="AG5103">
        <v>-1.1103321159540001</v>
      </c>
      <c r="AH5103">
        <v>13.0320956214444</v>
      </c>
      <c r="AI5103">
        <v>94.798789141438803</v>
      </c>
      <c r="AJ5103">
        <v>99.821727701332705</v>
      </c>
      <c r="AK5103">
        <v>13.272469527933501</v>
      </c>
      <c r="AL5103">
        <v>91.385032849875103</v>
      </c>
      <c r="AM5103">
        <v>88.6295257676733</v>
      </c>
      <c r="AN5103">
        <v>1.0000000309736301</v>
      </c>
    </row>
    <row r="5104" spans="1:40" x14ac:dyDescent="0.25">
      <c r="A5104" t="str">
        <f>"20190312161419423"</f>
        <v>20190312161419423</v>
      </c>
      <c r="B5104" t="str">
        <f>"1552378459411640"</f>
        <v>1552378459411640</v>
      </c>
      <c r="C5104" t="s">
        <v>40</v>
      </c>
      <c r="D5104">
        <v>5.4733970000000003</v>
      </c>
      <c r="E5104">
        <v>0.42659049999999998</v>
      </c>
      <c r="F5104" t="s">
        <v>77</v>
      </c>
      <c r="G5104">
        <v>-419.0822</v>
      </c>
      <c r="H5104" s="1">
        <v>-4.2471270000000001E-6</v>
      </c>
      <c r="I5104">
        <v>32.896250000000002</v>
      </c>
      <c r="J5104">
        <v>-421.67520000000002</v>
      </c>
      <c r="K5104">
        <v>1.1103959999999999</v>
      </c>
      <c r="L5104">
        <v>45.946199999999997</v>
      </c>
      <c r="M5104">
        <v>2.4197360000000001E-2</v>
      </c>
      <c r="N5104">
        <v>0</v>
      </c>
      <c r="O5104">
        <v>-0.9996642</v>
      </c>
      <c r="P5104">
        <v>1.1918530000000001E-3</v>
      </c>
      <c r="Q5104">
        <v>-3.4330300000000001E-2</v>
      </c>
      <c r="R5104">
        <v>-0.99941000000000002</v>
      </c>
      <c r="S5104">
        <v>0.58477780000000001</v>
      </c>
      <c r="T5104">
        <v>-0.24970539999999999</v>
      </c>
      <c r="U5104">
        <v>-2.9938660000000001</v>
      </c>
      <c r="V5104">
        <v>2.3046179999999999E-2</v>
      </c>
      <c r="W5104">
        <v>-2.4998510000000002E-2</v>
      </c>
      <c r="X5104">
        <v>0.99942180000000003</v>
      </c>
      <c r="Y5104">
        <v>-0.16725599999999999</v>
      </c>
      <c r="Z5104">
        <v>8.1728620000000002E-2</v>
      </c>
      <c r="AA5104">
        <v>0.98252019999999995</v>
      </c>
      <c r="AB5104">
        <v>27</v>
      </c>
      <c r="AC5104">
        <v>2.5930000000000102</v>
      </c>
      <c r="AD5104">
        <v>-1.110400247127</v>
      </c>
      <c r="AE5104">
        <v>-13.0499499999999</v>
      </c>
      <c r="AF5104">
        <v>-2.2607068342276699</v>
      </c>
      <c r="AG5104">
        <v>-1.110400247127</v>
      </c>
      <c r="AH5104">
        <v>13.018202545783801</v>
      </c>
      <c r="AI5104">
        <v>94.803747801680302</v>
      </c>
      <c r="AJ5104">
        <v>99.851587458044307</v>
      </c>
      <c r="AK5104">
        <v>13.259614686038001</v>
      </c>
      <c r="AL5104">
        <v>91.432458350030203</v>
      </c>
      <c r="AM5104">
        <v>88.679021333252095</v>
      </c>
      <c r="AN5104">
        <v>0.99999999311502596</v>
      </c>
    </row>
    <row r="5105" spans="1:40" x14ac:dyDescent="0.25">
      <c r="A5105" t="str">
        <f>"20190312161419602"</f>
        <v>20190312161419602</v>
      </c>
      <c r="B5105" t="str">
        <f>"1552378459591748"</f>
        <v>1552378459591748</v>
      </c>
      <c r="C5105" t="s">
        <v>40</v>
      </c>
      <c r="D5105">
        <v>4.5623449999999997</v>
      </c>
      <c r="E5105">
        <v>0.41436980000000001</v>
      </c>
      <c r="F5105" t="s">
        <v>77</v>
      </c>
      <c r="G5105">
        <v>-419.06400000000002</v>
      </c>
      <c r="H5105" s="1">
        <v>-4.3378009999999996E-6</v>
      </c>
      <c r="I5105">
        <v>32.726230000000001</v>
      </c>
      <c r="J5105">
        <v>-421.5949</v>
      </c>
      <c r="K5105">
        <v>1.1111040000000001</v>
      </c>
      <c r="L5105">
        <v>43.775669999999998</v>
      </c>
      <c r="M5105">
        <v>3.8817839999999999E-2</v>
      </c>
      <c r="N5105">
        <v>0</v>
      </c>
      <c r="O5105">
        <v>-0.9992027</v>
      </c>
      <c r="P5105">
        <v>1.4121949999999999E-2</v>
      </c>
      <c r="Q5105">
        <v>-3.8936150000000003E-2</v>
      </c>
      <c r="R5105">
        <v>-0.99914219999999998</v>
      </c>
      <c r="S5105">
        <v>0.59106449999999999</v>
      </c>
      <c r="T5105">
        <v>-0.25134689999999998</v>
      </c>
      <c r="U5105">
        <v>-2.992432</v>
      </c>
      <c r="V5105">
        <v>2.4790969999999999E-2</v>
      </c>
      <c r="W5105">
        <v>-2.95021E-2</v>
      </c>
      <c r="X5105">
        <v>0.99925730000000001</v>
      </c>
      <c r="Y5105">
        <v>-0.1548889</v>
      </c>
      <c r="Z5105">
        <v>8.2310969999999997E-2</v>
      </c>
      <c r="AA5105">
        <v>0.98449699999999996</v>
      </c>
      <c r="AB5105">
        <v>27</v>
      </c>
      <c r="AC5105">
        <v>2.5308999999999702</v>
      </c>
      <c r="AD5105">
        <v>-1.111108337801</v>
      </c>
      <c r="AE5105">
        <v>-11.049439999999899</v>
      </c>
      <c r="AF5105">
        <v>-2.08007326168662</v>
      </c>
      <c r="AG5105">
        <v>-1.111108337801</v>
      </c>
      <c r="AH5105">
        <v>11.033353287058199</v>
      </c>
      <c r="AI5105">
        <v>95.651658366825004</v>
      </c>
      <c r="AJ5105">
        <v>100.676430177049</v>
      </c>
      <c r="AK5105">
        <v>11.282559606284099</v>
      </c>
      <c r="AL5105">
        <v>91.690591018822005</v>
      </c>
      <c r="AM5105">
        <v>88.578817854725301</v>
      </c>
      <c r="AN5105">
        <v>1.0000000588506099</v>
      </c>
    </row>
    <row r="5106" spans="1:40" x14ac:dyDescent="0.25">
      <c r="A5106" t="str">
        <f>"20190312161419624"</f>
        <v>20190312161419624</v>
      </c>
      <c r="B5106" t="str">
        <f>"1552378459622004"</f>
        <v>1552378459622004</v>
      </c>
      <c r="C5106" t="s">
        <v>40</v>
      </c>
      <c r="D5106">
        <v>4.9766760000000003</v>
      </c>
      <c r="E5106">
        <v>0.4132304</v>
      </c>
      <c r="F5106" t="s">
        <v>77</v>
      </c>
      <c r="G5106">
        <v>-420.48820000000001</v>
      </c>
      <c r="H5106" s="1">
        <v>-2.861757E-7</v>
      </c>
      <c r="I5106">
        <v>39.279800000000002</v>
      </c>
      <c r="J5106">
        <v>-421.58179999999999</v>
      </c>
      <c r="K5106">
        <v>1.111219</v>
      </c>
      <c r="L5106">
        <v>43.503999999999998</v>
      </c>
      <c r="M5106">
        <v>4.1227560000000003E-2</v>
      </c>
      <c r="N5106">
        <v>0</v>
      </c>
      <c r="O5106">
        <v>-0.99910589999999999</v>
      </c>
      <c r="P5106">
        <v>1.8717749999999998E-2</v>
      </c>
      <c r="Q5106">
        <v>-3.8922079999999998E-2</v>
      </c>
      <c r="R5106">
        <v>-0.99906689999999998</v>
      </c>
      <c r="S5106">
        <v>0.72955319999999901</v>
      </c>
      <c r="T5106">
        <v>-0.73245000000000005</v>
      </c>
      <c r="U5106">
        <v>-2.9637150000000001</v>
      </c>
      <c r="V5106">
        <v>2.261297E-2</v>
      </c>
      <c r="W5106">
        <v>-2.9481170000000001E-2</v>
      </c>
      <c r="X5106">
        <v>0.99930949999999996</v>
      </c>
      <c r="Y5106">
        <v>-0.1921522</v>
      </c>
      <c r="Z5106">
        <v>0.23410420000000001</v>
      </c>
      <c r="AA5106">
        <v>0.95303340000000003</v>
      </c>
      <c r="AB5106">
        <v>27</v>
      </c>
      <c r="AC5106">
        <v>1.0935999999999799</v>
      </c>
      <c r="AD5106">
        <v>-1.1112192861757</v>
      </c>
      <c r="AE5106">
        <v>-4.22419999999999</v>
      </c>
      <c r="AF5106">
        <v>-0.862568064191784</v>
      </c>
      <c r="AG5106">
        <v>-1.1112192861757</v>
      </c>
      <c r="AH5106">
        <v>4.0058982380825299</v>
      </c>
      <c r="AI5106">
        <v>105.172594029911</v>
      </c>
      <c r="AJ5106">
        <v>102.15165039710899</v>
      </c>
      <c r="AK5106">
        <v>4.2457099125122904</v>
      </c>
      <c r="AL5106">
        <v>91.689391427442999</v>
      </c>
      <c r="AM5106">
        <v>88.703698235951506</v>
      </c>
      <c r="AN5106">
        <v>0.99999998129351897</v>
      </c>
    </row>
    <row r="5107" spans="1:40" x14ac:dyDescent="0.25">
      <c r="A5107" t="str">
        <f>"20190312161419647"</f>
        <v>20190312161419647</v>
      </c>
      <c r="B5107" t="str">
        <f>"1552378459641523"</f>
        <v>1552378459641523</v>
      </c>
      <c r="C5107" t="s">
        <v>40</v>
      </c>
      <c r="D5107">
        <v>4.8345089999999997</v>
      </c>
      <c r="E5107">
        <v>0.41856729999999998</v>
      </c>
      <c r="F5107" t="s">
        <v>77</v>
      </c>
      <c r="G5107">
        <v>-420.06479999999999</v>
      </c>
      <c r="H5107" s="1">
        <v>-1.355745E-6</v>
      </c>
      <c r="I5107">
        <v>37.504359999999998</v>
      </c>
      <c r="J5107">
        <v>-421.56779999999998</v>
      </c>
      <c r="K5107">
        <v>1.1113379999999999</v>
      </c>
      <c r="L5107">
        <v>43.229219999999998</v>
      </c>
      <c r="M5107">
        <v>4.3810000000000002E-2</v>
      </c>
      <c r="N5107">
        <v>0</v>
      </c>
      <c r="O5107">
        <v>-0.99899629999999995</v>
      </c>
      <c r="P5107">
        <v>2.4532189999999999E-2</v>
      </c>
      <c r="Q5107">
        <v>-3.864331E-2</v>
      </c>
      <c r="R5107">
        <v>-0.99895230000000002</v>
      </c>
      <c r="S5107">
        <v>0.75030520000000001</v>
      </c>
      <c r="T5107">
        <v>-0.54959609999999903</v>
      </c>
      <c r="U5107">
        <v>-2.967346</v>
      </c>
      <c r="V5107">
        <v>1.9388590000000001E-2</v>
      </c>
      <c r="W5107">
        <v>-2.920008E-2</v>
      </c>
      <c r="X5107">
        <v>0.99938550000000004</v>
      </c>
      <c r="Y5107">
        <v>-0.19854559999999999</v>
      </c>
      <c r="Z5107">
        <v>0.1773526</v>
      </c>
      <c r="AA5107">
        <v>0.96391170000000004</v>
      </c>
      <c r="AB5107">
        <v>27</v>
      </c>
      <c r="AC5107">
        <v>1.5029999999999799</v>
      </c>
      <c r="AD5107">
        <v>-1.111339355745</v>
      </c>
      <c r="AE5107">
        <v>-5.7248599999999996</v>
      </c>
      <c r="AF5107">
        <v>-1.2081470489858099</v>
      </c>
      <c r="AG5107">
        <v>-1.111339355745</v>
      </c>
      <c r="AH5107">
        <v>5.5882024812052498</v>
      </c>
      <c r="AI5107">
        <v>101.00006755606201</v>
      </c>
      <c r="AJ5107">
        <v>102.19936239893499</v>
      </c>
      <c r="AK5107">
        <v>5.8243198252284598</v>
      </c>
      <c r="AL5107">
        <v>91.673279238805094</v>
      </c>
      <c r="AM5107">
        <v>88.888571989811496</v>
      </c>
      <c r="AN5107">
        <v>0.99999996985222095</v>
      </c>
    </row>
    <row r="5108" spans="1:40" x14ac:dyDescent="0.25">
      <c r="A5108" t="str">
        <f>"20190312161419669"</f>
        <v>20190312161419669</v>
      </c>
      <c r="B5108" t="str">
        <f>"1552378459662019"</f>
        <v>1552378459662019</v>
      </c>
      <c r="C5108" t="s">
        <v>40</v>
      </c>
      <c r="D5108">
        <v>4.8894570000000002</v>
      </c>
      <c r="E5108">
        <v>0.42033169999999997</v>
      </c>
      <c r="F5108" t="s">
        <v>77</v>
      </c>
      <c r="G5108">
        <v>-419.64139999999998</v>
      </c>
      <c r="H5108" s="1">
        <v>-2.8041739999999999E-6</v>
      </c>
      <c r="I5108">
        <v>35.334629999999997</v>
      </c>
      <c r="J5108">
        <v>-421.553</v>
      </c>
      <c r="K5108">
        <v>1.111459</v>
      </c>
      <c r="L5108">
        <v>42.956850000000003</v>
      </c>
      <c r="M5108">
        <v>4.6526129999999999E-2</v>
      </c>
      <c r="N5108">
        <v>0</v>
      </c>
      <c r="O5108">
        <v>-0.99887329999999996</v>
      </c>
      <c r="P5108">
        <v>2.9991339999999998E-2</v>
      </c>
      <c r="Q5108">
        <v>-3.8742770000000003E-2</v>
      </c>
      <c r="R5108">
        <v>-0.9987994</v>
      </c>
      <c r="S5108">
        <v>0.72454830000000003</v>
      </c>
      <c r="T5108">
        <v>-0.41797859999999998</v>
      </c>
      <c r="U5108">
        <v>-2.9691770000000002</v>
      </c>
      <c r="V5108">
        <v>1.665374E-2</v>
      </c>
      <c r="W5108">
        <v>-2.9296820000000001E-2</v>
      </c>
      <c r="X5108">
        <v>0.99943199999999999</v>
      </c>
      <c r="Y5108">
        <v>-0.18940870000000001</v>
      </c>
      <c r="Z5108">
        <v>0.13595839999999901</v>
      </c>
      <c r="AA5108">
        <v>0.97244010000000003</v>
      </c>
      <c r="AB5108">
        <v>27</v>
      </c>
      <c r="AC5108">
        <v>1.9116000000000699</v>
      </c>
      <c r="AD5108">
        <v>-1.1114618041740001</v>
      </c>
      <c r="AE5108">
        <v>-7.6222200000000004</v>
      </c>
      <c r="AF5108">
        <v>-1.52438669275535</v>
      </c>
      <c r="AG5108">
        <v>-1.1114618041740001</v>
      </c>
      <c r="AH5108">
        <v>7.5518350310887703</v>
      </c>
      <c r="AI5108">
        <v>98.209299672878799</v>
      </c>
      <c r="AJ5108">
        <v>101.412172186807</v>
      </c>
      <c r="AK5108">
        <v>7.78391382711595</v>
      </c>
      <c r="AL5108">
        <v>91.678824376814902</v>
      </c>
      <c r="AM5108">
        <v>89.045357047118998</v>
      </c>
      <c r="AN5108">
        <v>0.99999998667104895</v>
      </c>
    </row>
    <row r="5109" spans="1:40" x14ac:dyDescent="0.25">
      <c r="A5109" t="str">
        <f>"20190312161419691"</f>
        <v>20190312161419691</v>
      </c>
      <c r="B5109" t="str">
        <f>"1552378459681540"</f>
        <v>1552378459681540</v>
      </c>
      <c r="C5109" t="s">
        <v>40</v>
      </c>
      <c r="D5109">
        <v>5.0092739999999996</v>
      </c>
      <c r="E5109">
        <v>0.42333399999999999</v>
      </c>
      <c r="F5109" t="s">
        <v>77</v>
      </c>
      <c r="G5109">
        <v>-419.28250000000003</v>
      </c>
      <c r="H5109" s="1">
        <v>-3.8015949999999998E-6</v>
      </c>
      <c r="I5109">
        <v>33.683489999999999</v>
      </c>
      <c r="J5109">
        <v>-421.53739999999999</v>
      </c>
      <c r="K5109">
        <v>1.111577</v>
      </c>
      <c r="L5109">
        <v>42.686219999999999</v>
      </c>
      <c r="M5109">
        <v>4.9380309999999997E-2</v>
      </c>
      <c r="N5109">
        <v>0</v>
      </c>
      <c r="O5109">
        <v>-0.99873610000000002</v>
      </c>
      <c r="P5109">
        <v>3.5541620000000003E-2</v>
      </c>
      <c r="Q5109">
        <v>-3.8809940000000001E-2</v>
      </c>
      <c r="R5109">
        <v>-0.99861469999999997</v>
      </c>
      <c r="S5109">
        <v>0.72668459999999901</v>
      </c>
      <c r="T5109">
        <v>-0.35572949999999998</v>
      </c>
      <c r="U5109">
        <v>-2.9679869999999999</v>
      </c>
      <c r="V5109">
        <v>1.3964799999999999E-2</v>
      </c>
      <c r="W5109">
        <v>-2.9362650000000001E-2</v>
      </c>
      <c r="X5109">
        <v>0.9994712</v>
      </c>
      <c r="Y5109">
        <v>-0.18795510000000001</v>
      </c>
      <c r="Z5109">
        <v>0.11603910000000001</v>
      </c>
      <c r="AA5109">
        <v>0.97529880000000002</v>
      </c>
      <c r="AB5109">
        <v>28</v>
      </c>
      <c r="AC5109">
        <v>2.2548999999999602</v>
      </c>
      <c r="AD5109">
        <v>-1.1115808015949999</v>
      </c>
      <c r="AE5109">
        <v>-9.0027299999999997</v>
      </c>
      <c r="AF5109">
        <v>-1.7820083771858799</v>
      </c>
      <c r="AG5109">
        <v>-1.1115808015949999</v>
      </c>
      <c r="AH5109">
        <v>8.9743590446695691</v>
      </c>
      <c r="AI5109">
        <v>96.926912761630007</v>
      </c>
      <c r="AJ5109">
        <v>101.230944285981</v>
      </c>
      <c r="AK5109">
        <v>9.21684794262538</v>
      </c>
      <c r="AL5109">
        <v>91.682597876359793</v>
      </c>
      <c r="AM5109">
        <v>89.199504657510104</v>
      </c>
      <c r="AN5109">
        <v>0.99999993024174805</v>
      </c>
    </row>
    <row r="5110" spans="1:40" x14ac:dyDescent="0.25">
      <c r="A5110" t="str">
        <f>"20190312161419713"</f>
        <v>20190312161419713</v>
      </c>
      <c r="B5110" t="str">
        <f>"1552378459702036"</f>
        <v>1552378459702036</v>
      </c>
      <c r="C5110" t="s">
        <v>40</v>
      </c>
      <c r="D5110">
        <v>5.0057299999999998</v>
      </c>
      <c r="E5110">
        <v>0.42572409999999999</v>
      </c>
      <c r="F5110" t="s">
        <v>77</v>
      </c>
      <c r="G5110">
        <v>-419.03390000000002</v>
      </c>
      <c r="H5110" s="1">
        <v>-4.5343900000000003E-6</v>
      </c>
      <c r="I5110">
        <v>32.353520000000003</v>
      </c>
      <c r="J5110">
        <v>-421.52080000000001</v>
      </c>
      <c r="K5110">
        <v>1.111685</v>
      </c>
      <c r="L5110">
        <v>42.414180000000002</v>
      </c>
      <c r="M5110">
        <v>5.2372580000000002E-2</v>
      </c>
      <c r="N5110">
        <v>0</v>
      </c>
      <c r="O5110">
        <v>-0.99858360000000002</v>
      </c>
      <c r="P5110">
        <v>4.0454700000000003E-2</v>
      </c>
      <c r="Q5110">
        <v>-3.8586629999999997E-2</v>
      </c>
      <c r="R5110">
        <v>-0.9984364</v>
      </c>
      <c r="S5110">
        <v>0.71868900000000002</v>
      </c>
      <c r="T5110">
        <v>-0.31909969999999999</v>
      </c>
      <c r="U5110">
        <v>-2.9661870000000001</v>
      </c>
      <c r="V5110">
        <v>1.2048939999999999E-2</v>
      </c>
      <c r="W5110">
        <v>-2.9136080000000002E-2</v>
      </c>
      <c r="X5110">
        <v>0.99950280000000002</v>
      </c>
      <c r="Y5110">
        <v>-0.1829702</v>
      </c>
      <c r="Z5110">
        <v>0.104349</v>
      </c>
      <c r="AA5110">
        <v>0.97756489999999996</v>
      </c>
      <c r="AB5110">
        <v>28</v>
      </c>
      <c r="AC5110">
        <v>2.4868999999999901</v>
      </c>
      <c r="AD5110">
        <v>-1.11168953439</v>
      </c>
      <c r="AE5110">
        <v>-10.06066</v>
      </c>
      <c r="AF5110">
        <v>-1.93430309636423</v>
      </c>
      <c r="AG5110">
        <v>-1.11168953439</v>
      </c>
      <c r="AH5110">
        <v>10.0613285715883</v>
      </c>
      <c r="AI5110">
        <v>96.192613712839204</v>
      </c>
      <c r="AJ5110">
        <v>100.88240900702399</v>
      </c>
      <c r="AK5110">
        <v>10.3057127223175</v>
      </c>
      <c r="AL5110">
        <v>91.669610751599905</v>
      </c>
      <c r="AM5110">
        <v>89.309336630698397</v>
      </c>
      <c r="AN5110">
        <v>0.99999996766036403</v>
      </c>
    </row>
    <row r="5111" spans="1:40" x14ac:dyDescent="0.25">
      <c r="A5111" t="str">
        <f>"20190312161419737"</f>
        <v>20190312161419737</v>
      </c>
      <c r="B5111" t="str">
        <f>"1552378459731316"</f>
        <v>1552378459731316</v>
      </c>
      <c r="C5111" t="s">
        <v>40</v>
      </c>
      <c r="D5111">
        <v>4.9283789999999996</v>
      </c>
      <c r="E5111">
        <v>0.42839850000000002</v>
      </c>
      <c r="F5111" t="s">
        <v>77</v>
      </c>
      <c r="G5111">
        <v>-418.80340000000001</v>
      </c>
      <c r="H5111" s="1">
        <v>-5.2061860000000003E-6</v>
      </c>
      <c r="I5111">
        <v>31.135359999999999</v>
      </c>
      <c r="J5111">
        <v>-421.5027</v>
      </c>
      <c r="K5111">
        <v>1.111774</v>
      </c>
      <c r="L5111">
        <v>42.133540000000004</v>
      </c>
      <c r="M5111">
        <v>5.5584370000000001E-2</v>
      </c>
      <c r="N5111">
        <v>0</v>
      </c>
      <c r="O5111">
        <v>-0.99840969999999996</v>
      </c>
      <c r="P5111">
        <v>4.4507339999999999E-2</v>
      </c>
      <c r="Q5111">
        <v>-3.8081039999999997E-2</v>
      </c>
      <c r="R5111">
        <v>-0.99828300000000003</v>
      </c>
      <c r="S5111">
        <v>0.71423340000000002</v>
      </c>
      <c r="T5111">
        <v>-0.2921919</v>
      </c>
      <c r="U5111">
        <v>-2.9644780000000002</v>
      </c>
      <c r="V5111">
        <v>1.1211809999999999E-2</v>
      </c>
      <c r="W5111">
        <v>-2.862263E-2</v>
      </c>
      <c r="X5111">
        <v>0.99952739999999995</v>
      </c>
      <c r="Y5111">
        <v>-0.17875060000000001</v>
      </c>
      <c r="Z5111">
        <v>9.5717620000000003E-2</v>
      </c>
      <c r="AA5111">
        <v>0.97922739999999997</v>
      </c>
      <c r="AB5111">
        <v>28</v>
      </c>
      <c r="AC5111">
        <v>2.6992999999999898</v>
      </c>
      <c r="AD5111">
        <v>-1.1117792061859999</v>
      </c>
      <c r="AE5111">
        <v>-10.99818</v>
      </c>
      <c r="AF5111">
        <v>-2.0638806089811501</v>
      </c>
      <c r="AG5111">
        <v>-1.1117792061859999</v>
      </c>
      <c r="AH5111">
        <v>11.024960794485301</v>
      </c>
      <c r="AI5111">
        <v>95.660677706698294</v>
      </c>
      <c r="AJ5111">
        <v>100.603089316593</v>
      </c>
      <c r="AK5111">
        <v>11.2714425293027</v>
      </c>
      <c r="AL5111">
        <v>91.640179917781296</v>
      </c>
      <c r="AM5111">
        <v>89.357333822806794</v>
      </c>
      <c r="AN5111">
        <v>0.99999999149117602</v>
      </c>
    </row>
    <row r="5112" spans="1:40" x14ac:dyDescent="0.25">
      <c r="A5112" t="str">
        <f>"20190312161419759"</f>
        <v>20190312161419759</v>
      </c>
      <c r="B5112" t="str">
        <f>"1552378459751811"</f>
        <v>1552378459751811</v>
      </c>
      <c r="C5112" t="s">
        <v>40</v>
      </c>
      <c r="D5112">
        <v>5.0464180000000001</v>
      </c>
      <c r="E5112">
        <v>0.42970730000000001</v>
      </c>
      <c r="F5112" t="s">
        <v>77</v>
      </c>
      <c r="G5112">
        <v>-418.51229999999998</v>
      </c>
      <c r="H5112" s="1">
        <v>-7.7881999999999994E-6</v>
      </c>
      <c r="I5112">
        <v>29.562090000000001</v>
      </c>
      <c r="J5112">
        <v>-421.48379999999997</v>
      </c>
      <c r="K5112">
        <v>1.111864</v>
      </c>
      <c r="L5112">
        <v>41.856569999999998</v>
      </c>
      <c r="M5112">
        <v>5.887175E-2</v>
      </c>
      <c r="N5112">
        <v>0</v>
      </c>
      <c r="O5112">
        <v>-0.99822129999999998</v>
      </c>
      <c r="P5112">
        <v>4.8498489999999998E-2</v>
      </c>
      <c r="Q5112">
        <v>-3.7367980000000002E-2</v>
      </c>
      <c r="R5112">
        <v>-0.99812440000000002</v>
      </c>
      <c r="S5112">
        <v>0.70498660000000002</v>
      </c>
      <c r="T5112">
        <v>-0.26210470000000002</v>
      </c>
      <c r="U5112">
        <v>-2.9637449999999999</v>
      </c>
      <c r="V5112">
        <v>1.051041E-2</v>
      </c>
      <c r="W5112">
        <v>-2.7901550000000001E-2</v>
      </c>
      <c r="X5112">
        <v>0.99955539999999998</v>
      </c>
      <c r="Y5112">
        <v>-0.17287820000000001</v>
      </c>
      <c r="Z5112">
        <v>8.6011989999999997E-2</v>
      </c>
      <c r="AA5112">
        <v>0.98118039999999995</v>
      </c>
      <c r="AB5112">
        <v>28</v>
      </c>
      <c r="AC5112">
        <v>2.97149999999999</v>
      </c>
      <c r="AD5112">
        <v>-1.1118717882</v>
      </c>
      <c r="AE5112">
        <v>-12.294479999999901</v>
      </c>
      <c r="AF5112">
        <v>-2.22532019589352</v>
      </c>
      <c r="AG5112">
        <v>-1.1118717882</v>
      </c>
      <c r="AH5112">
        <v>12.352645453570799</v>
      </c>
      <c r="AI5112">
        <v>95.062323517932896</v>
      </c>
      <c r="AJ5112">
        <v>100.212258246996</v>
      </c>
      <c r="AK5112">
        <v>12.600641195957801</v>
      </c>
      <c r="AL5112">
        <v>91.598848581996904</v>
      </c>
      <c r="AM5112">
        <v>89.397552210852197</v>
      </c>
      <c r="AN5112">
        <v>0.99999998143996505</v>
      </c>
    </row>
    <row r="5113" spans="1:40" x14ac:dyDescent="0.25">
      <c r="A5113" t="str">
        <f>"20190312161419781"</f>
        <v>20190312161419781</v>
      </c>
      <c r="B5113" t="str">
        <f>"1552378459771841"</f>
        <v>1552378459771841</v>
      </c>
      <c r="C5113" t="s">
        <v>40</v>
      </c>
      <c r="D5113">
        <v>5.0382369999999996</v>
      </c>
      <c r="E5113">
        <v>0.43093350000000002</v>
      </c>
      <c r="F5113" t="s">
        <v>77</v>
      </c>
      <c r="G5113">
        <v>-418.33530000000002</v>
      </c>
      <c r="H5113" s="1">
        <v>-7.7470140000000005E-6</v>
      </c>
      <c r="I5113">
        <v>28.6434</v>
      </c>
      <c r="J5113">
        <v>-421.464</v>
      </c>
      <c r="K5113">
        <v>1.111953</v>
      </c>
      <c r="L5113">
        <v>41.580539999999999</v>
      </c>
      <c r="M5113">
        <v>6.225729E-2</v>
      </c>
      <c r="N5113">
        <v>0</v>
      </c>
      <c r="O5113">
        <v>-0.99801580000000001</v>
      </c>
      <c r="P5113">
        <v>5.287741E-2</v>
      </c>
      <c r="Q5113">
        <v>-3.6592310000000003E-2</v>
      </c>
      <c r="R5113">
        <v>-0.9979306</v>
      </c>
      <c r="S5113">
        <v>0.70581050000000001</v>
      </c>
      <c r="T5113">
        <v>-0.2492492</v>
      </c>
      <c r="U5113">
        <v>-2.9620060000000001</v>
      </c>
      <c r="V5113">
        <v>9.5183820000000006E-3</v>
      </c>
      <c r="W5113">
        <v>-2.7119589999999999E-2</v>
      </c>
      <c r="X5113">
        <v>0.99958689999999994</v>
      </c>
      <c r="Y5113">
        <v>-0.17000599999999999</v>
      </c>
      <c r="Z5113">
        <v>8.1861980000000001E-2</v>
      </c>
      <c r="AA5113">
        <v>0.98203689999999999</v>
      </c>
      <c r="AB5113">
        <v>28</v>
      </c>
      <c r="AC5113">
        <v>3.1286999999999798</v>
      </c>
      <c r="AD5113">
        <v>-1.1119607470140001</v>
      </c>
      <c r="AE5113">
        <v>-12.937139999999999</v>
      </c>
      <c r="AF5113">
        <v>-2.3011029969856098</v>
      </c>
      <c r="AG5113">
        <v>-1.1119607470140001</v>
      </c>
      <c r="AH5113">
        <v>13.0159908172319</v>
      </c>
      <c r="AI5113">
        <v>94.808730696096404</v>
      </c>
      <c r="AJ5113">
        <v>100.025752591249</v>
      </c>
      <c r="AK5113">
        <v>13.2645221798563</v>
      </c>
      <c r="AL5113">
        <v>91.554028546667794</v>
      </c>
      <c r="AM5113">
        <v>89.454427990421294</v>
      </c>
      <c r="AN5113">
        <v>1.0000000212046301</v>
      </c>
    </row>
    <row r="5114" spans="1:40" x14ac:dyDescent="0.25">
      <c r="A5114" t="str">
        <f>"20190312161419814"</f>
        <v>20190312161419814</v>
      </c>
      <c r="B5114" t="str">
        <f>"1552378459802096"</f>
        <v>1552378459802096</v>
      </c>
      <c r="C5114" t="s">
        <v>40</v>
      </c>
      <c r="D5114">
        <v>4.9924419999999996</v>
      </c>
      <c r="E5114">
        <v>0.43271280000000001</v>
      </c>
      <c r="F5114" t="s">
        <v>77</v>
      </c>
      <c r="G5114">
        <v>-418.12200000000001</v>
      </c>
      <c r="H5114" s="1">
        <v>-7.7074470000000003E-6</v>
      </c>
      <c r="I5114">
        <v>27.62604</v>
      </c>
      <c r="J5114">
        <v>-421.43279999999999</v>
      </c>
      <c r="K5114">
        <v>1.1120829999999999</v>
      </c>
      <c r="L5114">
        <v>41.173490000000001</v>
      </c>
      <c r="M5114">
        <v>6.743304E-2</v>
      </c>
      <c r="N5114">
        <v>0</v>
      </c>
      <c r="O5114">
        <v>-0.99767930000000005</v>
      </c>
      <c r="P5114">
        <v>5.7883690000000002E-2</v>
      </c>
      <c r="Q5114">
        <v>-3.6342930000000002E-2</v>
      </c>
      <c r="R5114">
        <v>-0.99766160000000004</v>
      </c>
      <c r="S5114">
        <v>0.70889279999999999</v>
      </c>
      <c r="T5114">
        <v>-0.2358662</v>
      </c>
      <c r="U5114">
        <v>-2.959991</v>
      </c>
      <c r="V5114">
        <v>9.6951220000000005E-3</v>
      </c>
      <c r="W5114">
        <v>-2.6851380000000001E-2</v>
      </c>
      <c r="X5114">
        <v>0.99959240000000005</v>
      </c>
      <c r="Y5114">
        <v>-0.1660925</v>
      </c>
      <c r="Z5114">
        <v>7.7522779999999999E-2</v>
      </c>
      <c r="AA5114">
        <v>0.98305819999999999</v>
      </c>
      <c r="AB5114">
        <v>28</v>
      </c>
      <c r="AC5114">
        <v>3.3108000000000199</v>
      </c>
      <c r="AD5114">
        <v>-1.1120907074469999</v>
      </c>
      <c r="AE5114">
        <v>-13.5474499999999</v>
      </c>
      <c r="AF5114">
        <v>-2.37457762287772</v>
      </c>
      <c r="AG5114">
        <v>-1.1120907074469999</v>
      </c>
      <c r="AH5114">
        <v>13.6530612623203</v>
      </c>
      <c r="AI5114">
        <v>94.588090787119896</v>
      </c>
      <c r="AJ5114">
        <v>99.866345381897204</v>
      </c>
      <c r="AK5114">
        <v>13.9025697790492</v>
      </c>
      <c r="AL5114">
        <v>91.538655712355606</v>
      </c>
      <c r="AM5114">
        <v>89.444301342462893</v>
      </c>
      <c r="AN5114">
        <v>0.99999997906812899</v>
      </c>
    </row>
    <row r="5115" spans="1:40" x14ac:dyDescent="0.25">
      <c r="A5115" t="str">
        <f>"20190312161419837"</f>
        <v>20190312161419837</v>
      </c>
      <c r="B5115" t="str">
        <f>"1552378459831376"</f>
        <v>1552378459831376</v>
      </c>
      <c r="C5115" t="s">
        <v>40</v>
      </c>
      <c r="D5115">
        <v>5.0731529999999996</v>
      </c>
      <c r="E5115">
        <v>0.4341525</v>
      </c>
      <c r="F5115" t="s">
        <v>77</v>
      </c>
      <c r="G5115">
        <v>-417.904</v>
      </c>
      <c r="H5115" s="1">
        <v>-7.6536370000000003E-6</v>
      </c>
      <c r="I5115">
        <v>26.46733</v>
      </c>
      <c r="J5115">
        <v>-421.41030000000001</v>
      </c>
      <c r="K5115">
        <v>1.1121730000000001</v>
      </c>
      <c r="L5115">
        <v>40.897030000000001</v>
      </c>
      <c r="M5115">
        <v>7.1064000000000002E-2</v>
      </c>
      <c r="N5115">
        <v>0</v>
      </c>
      <c r="O5115">
        <v>-0.99742710000000001</v>
      </c>
      <c r="P5115">
        <v>6.1433740000000001E-2</v>
      </c>
      <c r="Q5115">
        <v>-3.616743E-2</v>
      </c>
      <c r="R5115">
        <v>-0.9974558</v>
      </c>
      <c r="S5115">
        <v>0.70971680000000004</v>
      </c>
      <c r="T5115">
        <v>-0.2236638</v>
      </c>
      <c r="U5115">
        <v>-2.957703</v>
      </c>
      <c r="V5115">
        <v>9.7808870000000003E-3</v>
      </c>
      <c r="W5115">
        <v>-2.6663409999999999E-2</v>
      </c>
      <c r="X5115">
        <v>0.99959659999999995</v>
      </c>
      <c r="Y5115">
        <v>-0.1630037</v>
      </c>
      <c r="Z5115">
        <v>7.3578740000000004E-2</v>
      </c>
      <c r="AA5115">
        <v>0.98387800000000003</v>
      </c>
      <c r="AB5115">
        <v>28</v>
      </c>
      <c r="AC5115">
        <v>3.5063</v>
      </c>
      <c r="AD5115">
        <v>-1.11218065363699</v>
      </c>
      <c r="AE5115">
        <v>-14.4297</v>
      </c>
      <c r="AF5115">
        <v>-2.4581675425390599</v>
      </c>
      <c r="AG5115">
        <v>-1.11218065363699</v>
      </c>
      <c r="AH5115">
        <v>14.560719890122799</v>
      </c>
      <c r="AI5115">
        <v>94.307185970179802</v>
      </c>
      <c r="AJ5115">
        <v>99.582425105846298</v>
      </c>
      <c r="AK5115">
        <v>14.808581876470599</v>
      </c>
      <c r="AL5115">
        <v>91.527881961029095</v>
      </c>
      <c r="AM5115">
        <v>89.439388188075199</v>
      </c>
      <c r="AN5115">
        <v>0.99999998295744696</v>
      </c>
    </row>
    <row r="5116" spans="1:40" x14ac:dyDescent="0.25">
      <c r="A5116" t="str">
        <f>"20190312161419859"</f>
        <v>20190312161419859</v>
      </c>
      <c r="B5116" t="str">
        <f>"1552378459851871"</f>
        <v>1552378459851871</v>
      </c>
      <c r="C5116" t="s">
        <v>40</v>
      </c>
      <c r="D5116">
        <v>5.0672030000000001</v>
      </c>
      <c r="E5116">
        <v>0.43521159999999998</v>
      </c>
      <c r="F5116" t="s">
        <v>77</v>
      </c>
      <c r="G5116">
        <v>-417.75510000000003</v>
      </c>
      <c r="H5116" s="1">
        <v>-7.6134790000000001E-6</v>
      </c>
      <c r="I5116">
        <v>25.645569999999999</v>
      </c>
      <c r="J5116">
        <v>-421.38659999999999</v>
      </c>
      <c r="K5116">
        <v>1.112239</v>
      </c>
      <c r="L5116">
        <v>40.619599999999998</v>
      </c>
      <c r="M5116">
        <v>7.4789649999999999E-2</v>
      </c>
      <c r="N5116">
        <v>0</v>
      </c>
      <c r="O5116">
        <v>-0.99715450000000005</v>
      </c>
      <c r="P5116">
        <v>6.4939899999999995E-2</v>
      </c>
      <c r="Q5116">
        <v>-3.6231859999999998E-2</v>
      </c>
      <c r="R5116">
        <v>-0.99723110000000004</v>
      </c>
      <c r="S5116">
        <v>0.70849609999999996</v>
      </c>
      <c r="T5116">
        <v>-0.21557509999999999</v>
      </c>
      <c r="U5116">
        <v>-2.956207</v>
      </c>
      <c r="V5116">
        <v>1.000617E-2</v>
      </c>
      <c r="W5116">
        <v>-2.6714829999999998E-2</v>
      </c>
      <c r="X5116">
        <v>0.99959299999999995</v>
      </c>
      <c r="Y5116">
        <v>-0.1590898</v>
      </c>
      <c r="Z5116">
        <v>7.0963490000000004E-2</v>
      </c>
      <c r="AA5116">
        <v>0.98471050000000004</v>
      </c>
      <c r="AB5116">
        <v>28</v>
      </c>
      <c r="AC5116">
        <v>3.63149999999996</v>
      </c>
      <c r="AD5116">
        <v>-1.1122466134789999</v>
      </c>
      <c r="AE5116">
        <v>-14.9740299999999</v>
      </c>
      <c r="AF5116">
        <v>-2.4884093309420798</v>
      </c>
      <c r="AG5116">
        <v>-1.1122466134789999</v>
      </c>
      <c r="AH5116">
        <v>15.1248869703475</v>
      </c>
      <c r="AI5116">
        <v>94.150223226278797</v>
      </c>
      <c r="AJ5116">
        <v>99.342842051826594</v>
      </c>
      <c r="AK5116">
        <v>15.3685223555585</v>
      </c>
      <c r="AL5116">
        <v>91.530829155839001</v>
      </c>
      <c r="AM5116">
        <v>89.426474413395596</v>
      </c>
      <c r="AN5116">
        <v>0.99999998561449799</v>
      </c>
    </row>
    <row r="5117" spans="1:40" x14ac:dyDescent="0.25">
      <c r="A5117" t="str">
        <f>"20190312161419881"</f>
        <v>20190312161419881</v>
      </c>
      <c r="B5117" t="str">
        <f>"1552378459871392"</f>
        <v>1552378459871392</v>
      </c>
      <c r="C5117" t="s">
        <v>40</v>
      </c>
      <c r="D5117">
        <v>4.95547</v>
      </c>
      <c r="E5117">
        <v>0.43521159999999998</v>
      </c>
      <c r="F5117" t="s">
        <v>77</v>
      </c>
      <c r="G5117">
        <v>-417.70409999999998</v>
      </c>
      <c r="H5117" s="1">
        <v>-7.5937709999999999E-6</v>
      </c>
      <c r="I5117">
        <v>25.311340000000001</v>
      </c>
      <c r="J5117">
        <v>-421.36219999999997</v>
      </c>
      <c r="K5117">
        <v>1.1123099999999999</v>
      </c>
      <c r="L5117">
        <v>40.346890000000002</v>
      </c>
      <c r="M5117">
        <v>7.8539490000000003E-2</v>
      </c>
      <c r="N5117">
        <v>0</v>
      </c>
      <c r="O5117">
        <v>-0.99686620000000004</v>
      </c>
      <c r="P5117">
        <v>6.8512459999999997E-2</v>
      </c>
      <c r="Q5117">
        <v>-3.6249530000000002E-2</v>
      </c>
      <c r="R5117">
        <v>-0.99699159999999998</v>
      </c>
      <c r="S5117">
        <v>0.71066280000000004</v>
      </c>
      <c r="T5117">
        <v>-0.21464610000000001</v>
      </c>
      <c r="U5117">
        <v>-2.9542540000000002</v>
      </c>
      <c r="V5117">
        <v>1.018898E-2</v>
      </c>
      <c r="W5117">
        <v>-2.6720020000000001E-2</v>
      </c>
      <c r="X5117">
        <v>0.99959109999999995</v>
      </c>
      <c r="Y5117">
        <v>-0.15621119999999999</v>
      </c>
      <c r="Z5117">
        <v>7.0684239999999995E-2</v>
      </c>
      <c r="AA5117">
        <v>0.98519129999999999</v>
      </c>
      <c r="AB5117">
        <v>28</v>
      </c>
      <c r="AC5117">
        <v>3.6580999999999899</v>
      </c>
      <c r="AD5117">
        <v>-1.1123175937709999</v>
      </c>
      <c r="AE5117">
        <v>-15.035550000000001</v>
      </c>
      <c r="AF5117">
        <v>-2.4531861873809402</v>
      </c>
      <c r="AG5117">
        <v>-1.1123175937709999</v>
      </c>
      <c r="AH5117">
        <v>15.1978907633034</v>
      </c>
      <c r="AI5117">
        <v>94.132650736074993</v>
      </c>
      <c r="AJ5117">
        <v>99.169377800296601</v>
      </c>
      <c r="AK5117">
        <v>15.4347418686763</v>
      </c>
      <c r="AL5117">
        <v>91.531126496375606</v>
      </c>
      <c r="AM5117">
        <v>89.415995866397495</v>
      </c>
      <c r="AN5117">
        <v>1.00000007099072</v>
      </c>
    </row>
    <row r="5118" spans="1:40" x14ac:dyDescent="0.25">
      <c r="A5118" t="str">
        <f>"20190312161419903"</f>
        <v>20190312161419903</v>
      </c>
      <c r="B5118" t="str">
        <f>"1552378459891888"</f>
        <v>1552378459891888</v>
      </c>
      <c r="C5118" t="s">
        <v>40</v>
      </c>
      <c r="D5118">
        <v>4.9902870000000004</v>
      </c>
      <c r="E5118">
        <v>0.45153140000000003</v>
      </c>
      <c r="F5118" t="s">
        <v>77</v>
      </c>
      <c r="G5118">
        <v>-417.6318</v>
      </c>
      <c r="H5118" s="1">
        <v>-7.5928969999999999E-6</v>
      </c>
      <c r="I5118">
        <v>25.078040000000001</v>
      </c>
      <c r="J5118">
        <v>-421.3365</v>
      </c>
      <c r="K5118">
        <v>1.1123890000000001</v>
      </c>
      <c r="L5118">
        <v>40.073030000000003</v>
      </c>
      <c r="M5118">
        <v>8.2395789999999997E-2</v>
      </c>
      <c r="N5118">
        <v>0</v>
      </c>
      <c r="O5118">
        <v>-0.99655470000000002</v>
      </c>
      <c r="P5118">
        <v>7.2535020000000006E-2</v>
      </c>
      <c r="Q5118">
        <v>-3.5984049999999997E-2</v>
      </c>
      <c r="R5118">
        <v>-0.99671639999999995</v>
      </c>
      <c r="S5118">
        <v>0.72113039999999995</v>
      </c>
      <c r="T5118">
        <v>-0.2150271</v>
      </c>
      <c r="U5118">
        <v>-2.9516909999999998</v>
      </c>
      <c r="V5118">
        <v>1.0026530000000001E-2</v>
      </c>
      <c r="W5118">
        <v>-2.6443879999999999E-2</v>
      </c>
      <c r="X5118">
        <v>0.99960000000000004</v>
      </c>
      <c r="Y5118">
        <v>-0.15588189999999999</v>
      </c>
      <c r="Z5118">
        <v>7.0808159999999995E-2</v>
      </c>
      <c r="AA5118">
        <v>0.98523450000000001</v>
      </c>
      <c r="AB5118">
        <v>28</v>
      </c>
      <c r="AC5118">
        <v>3.7046999999999999</v>
      </c>
      <c r="AD5118">
        <v>-1.1123965928970001</v>
      </c>
      <c r="AE5118">
        <v>-14.9949899999999</v>
      </c>
      <c r="AF5118">
        <v>-2.4438466637704401</v>
      </c>
      <c r="AG5118">
        <v>-1.1123965928970001</v>
      </c>
      <c r="AH5118">
        <v>15.170577137022899</v>
      </c>
      <c r="AI5118">
        <v>94.1405692324374</v>
      </c>
      <c r="AJ5118">
        <v>99.151227778547195</v>
      </c>
      <c r="AK5118">
        <v>15.4063695712609</v>
      </c>
      <c r="AL5118">
        <v>91.5152993784004</v>
      </c>
      <c r="AM5118">
        <v>89.425311537703294</v>
      </c>
      <c r="AN5118">
        <v>0.999999985046647</v>
      </c>
    </row>
    <row r="5119" spans="1:40" x14ac:dyDescent="0.25">
      <c r="A5119" t="str">
        <f>"20190312161419926"</f>
        <v>20190312161419926</v>
      </c>
      <c r="B5119" t="str">
        <f>"1552378459922143"</f>
        <v>1552378459922143</v>
      </c>
      <c r="C5119" t="s">
        <v>40</v>
      </c>
      <c r="D5119">
        <v>5.103281</v>
      </c>
      <c r="E5119">
        <v>0.45164290000000001</v>
      </c>
      <c r="F5119" t="s">
        <v>77</v>
      </c>
      <c r="G5119">
        <v>-419.09230000000002</v>
      </c>
      <c r="H5119" s="1">
        <v>-7.5307749999999999E-6</v>
      </c>
      <c r="I5119">
        <v>29.08351</v>
      </c>
      <c r="J5119">
        <v>-421.30900000000003</v>
      </c>
      <c r="K5119">
        <v>1.1124700000000001</v>
      </c>
      <c r="L5119">
        <v>39.791020000000003</v>
      </c>
      <c r="M5119">
        <v>8.6462049999999999E-2</v>
      </c>
      <c r="N5119">
        <v>0</v>
      </c>
      <c r="O5119">
        <v>-0.99621000000000004</v>
      </c>
      <c r="P5119">
        <v>7.6824080000000003E-2</v>
      </c>
      <c r="Q5119">
        <v>-3.5700929999999999E-2</v>
      </c>
      <c r="R5119">
        <v>-0.99640569999999895</v>
      </c>
      <c r="S5119">
        <v>0.6034851</v>
      </c>
      <c r="T5119">
        <v>-0.29913220000000001</v>
      </c>
      <c r="U5119">
        <v>-2.9551699999999999</v>
      </c>
      <c r="V5119">
        <v>9.8077700000000004E-3</v>
      </c>
      <c r="W5119">
        <v>-2.614961E-2</v>
      </c>
      <c r="X5119">
        <v>0.99960990000000005</v>
      </c>
      <c r="Y5119">
        <v>-0.1136356</v>
      </c>
      <c r="Z5119">
        <v>9.8812159999999996E-2</v>
      </c>
      <c r="AA5119">
        <v>0.98859660000000005</v>
      </c>
      <c r="AB5119">
        <v>28</v>
      </c>
      <c r="AC5119">
        <v>2.2166999999999999</v>
      </c>
      <c r="AD5119">
        <v>-1.1124775307749999</v>
      </c>
      <c r="AE5119">
        <v>-10.707509999999999</v>
      </c>
      <c r="AF5119">
        <v>-1.26942339061931</v>
      </c>
      <c r="AG5119">
        <v>-1.1124775307749999</v>
      </c>
      <c r="AH5119">
        <v>10.747827157469199</v>
      </c>
      <c r="AI5119">
        <v>95.868975261012494</v>
      </c>
      <c r="AJ5119">
        <v>96.73598485366</v>
      </c>
      <c r="AK5119">
        <v>10.8795602212573</v>
      </c>
      <c r="AL5119">
        <v>91.4984331339531</v>
      </c>
      <c r="AM5119">
        <v>89.437854911023194</v>
      </c>
      <c r="AN5119">
        <v>0.99999997331676704</v>
      </c>
    </row>
    <row r="5120" spans="1:40" x14ac:dyDescent="0.25">
      <c r="A5120" t="str">
        <f>"20190312161419949"</f>
        <v>20190312161419949</v>
      </c>
      <c r="B5120" t="str">
        <f>"1552378459941667"</f>
        <v>1552378459941667</v>
      </c>
      <c r="C5120" t="s">
        <v>40</v>
      </c>
      <c r="D5120">
        <v>5.1363979999999998</v>
      </c>
      <c r="E5120">
        <v>0.45171549999999999</v>
      </c>
      <c r="F5120" t="s">
        <v>77</v>
      </c>
      <c r="G5120">
        <v>-418.59219999999999</v>
      </c>
      <c r="H5120" s="1">
        <v>-7.4440170000000001E-6</v>
      </c>
      <c r="I5120">
        <v>26.751460000000002</v>
      </c>
      <c r="J5120">
        <v>-421.28019999999998</v>
      </c>
      <c r="K5120">
        <v>1.112557</v>
      </c>
      <c r="L5120">
        <v>39.509830000000001</v>
      </c>
      <c r="M5120">
        <v>9.0613429999999995E-2</v>
      </c>
      <c r="N5120">
        <v>0</v>
      </c>
      <c r="O5120">
        <v>-0.99584079999999997</v>
      </c>
      <c r="P5120">
        <v>8.1654240000000003E-2</v>
      </c>
      <c r="Q5120">
        <v>-3.5487570000000003E-2</v>
      </c>
      <c r="R5120">
        <v>-0.9960291</v>
      </c>
      <c r="S5120">
        <v>0.61553959999999996</v>
      </c>
      <c r="T5120">
        <v>-0.25205179999999999</v>
      </c>
      <c r="U5120">
        <v>-2.9543460000000001</v>
      </c>
      <c r="V5120">
        <v>9.1319539999999994E-3</v>
      </c>
      <c r="W5120">
        <v>-2.5928150000000001E-2</v>
      </c>
      <c r="X5120">
        <v>0.99962209999999996</v>
      </c>
      <c r="Y5120">
        <v>-0.11370760000000001</v>
      </c>
      <c r="Z5120">
        <v>8.3321939999999997E-2</v>
      </c>
      <c r="AA5120">
        <v>0.99001410000000001</v>
      </c>
      <c r="AB5120">
        <v>28</v>
      </c>
      <c r="AC5120">
        <v>2.6879999999999802</v>
      </c>
      <c r="AD5120">
        <v>-1.1125644440169999</v>
      </c>
      <c r="AE5120">
        <v>-12.758369999999999</v>
      </c>
      <c r="AF5120">
        <v>-1.50981592936328</v>
      </c>
      <c r="AG5120">
        <v>-1.1125644440169999</v>
      </c>
      <c r="AH5120">
        <v>12.8558540441643</v>
      </c>
      <c r="AI5120">
        <v>94.912541934918906</v>
      </c>
      <c r="AJ5120">
        <v>96.698242290238795</v>
      </c>
      <c r="AK5120">
        <v>12.9919331505172</v>
      </c>
      <c r="AL5120">
        <v>91.485740063554701</v>
      </c>
      <c r="AM5120">
        <v>89.476594336652099</v>
      </c>
      <c r="AN5120">
        <v>1.0000000021773401</v>
      </c>
    </row>
    <row r="5121" spans="1:40" x14ac:dyDescent="0.25">
      <c r="A5121" t="str">
        <f>"20190312161419971"</f>
        <v>20190312161419971</v>
      </c>
      <c r="B5121" t="str">
        <f>"1552378459962159"</f>
        <v>1552378459962159</v>
      </c>
      <c r="C5121" t="s">
        <v>40</v>
      </c>
      <c r="D5121">
        <v>5.1174350000000004</v>
      </c>
      <c r="E5121">
        <v>0.45174019999999998</v>
      </c>
      <c r="F5121" t="s">
        <v>77</v>
      </c>
      <c r="G5121">
        <v>-418.32380000000001</v>
      </c>
      <c r="H5121" s="1">
        <v>-7.4127369999999997E-6</v>
      </c>
      <c r="I5121">
        <v>25.635739999999998</v>
      </c>
      <c r="J5121">
        <v>-421.24979999999999</v>
      </c>
      <c r="K5121">
        <v>1.1126309999999999</v>
      </c>
      <c r="L5121">
        <v>39.225520000000003</v>
      </c>
      <c r="M5121">
        <v>9.49126E-2</v>
      </c>
      <c r="N5121">
        <v>0</v>
      </c>
      <c r="O5121">
        <v>-0.99544010000000005</v>
      </c>
      <c r="P5121">
        <v>8.6743280000000006E-2</v>
      </c>
      <c r="Q5121">
        <v>-3.498938E-2</v>
      </c>
      <c r="R5121">
        <v>-0.99561630000000001</v>
      </c>
      <c r="S5121">
        <v>0.62902829999999998</v>
      </c>
      <c r="T5121">
        <v>-0.2367184</v>
      </c>
      <c r="U5121">
        <v>-2.951965</v>
      </c>
      <c r="V5121">
        <v>8.3431089999999996E-3</v>
      </c>
      <c r="W5121">
        <v>-2.5422730000000001E-2</v>
      </c>
      <c r="X5121">
        <v>0.99964200000000003</v>
      </c>
      <c r="Y5121">
        <v>-0.1139942</v>
      </c>
      <c r="Z5121">
        <v>7.8262280000000004E-2</v>
      </c>
      <c r="AA5121">
        <v>0.99039410000000005</v>
      </c>
      <c r="AB5121">
        <v>28</v>
      </c>
      <c r="AC5121">
        <v>2.9259999999999802</v>
      </c>
      <c r="AD5121">
        <v>-1.1126384127369999</v>
      </c>
      <c r="AE5121">
        <v>-13.589779999999999</v>
      </c>
      <c r="AF5121">
        <v>-1.6125594647800301</v>
      </c>
      <c r="AG5121">
        <v>-1.1126384127369999</v>
      </c>
      <c r="AH5121">
        <v>13.718269220768301</v>
      </c>
      <c r="AI5121">
        <v>94.605330027881493</v>
      </c>
      <c r="AJ5121">
        <v>96.704256513028497</v>
      </c>
      <c r="AK5121">
        <v>13.8574609030092</v>
      </c>
      <c r="AL5121">
        <v>91.456772046736106</v>
      </c>
      <c r="AM5121">
        <v>89.521814974893601</v>
      </c>
      <c r="AN5121">
        <v>1.00000002541621</v>
      </c>
    </row>
    <row r="5122" spans="1:40" x14ac:dyDescent="0.25">
      <c r="A5122" t="str">
        <f>"20190312161419994"</f>
        <v>20190312161419994</v>
      </c>
      <c r="B5122" t="str">
        <f>"1552378459981680"</f>
        <v>1552378459981680</v>
      </c>
      <c r="C5122" t="s">
        <v>40</v>
      </c>
      <c r="D5122">
        <v>5.1257359999999998</v>
      </c>
      <c r="E5122">
        <v>0.45210529999999999</v>
      </c>
      <c r="F5122" t="s">
        <v>77</v>
      </c>
      <c r="G5122">
        <v>-418.07089999999999</v>
      </c>
      <c r="H5122" s="1">
        <v>-7.3919649999999998E-6</v>
      </c>
      <c r="I5122">
        <v>24.661899999999999</v>
      </c>
      <c r="J5122">
        <v>-421.21859999999998</v>
      </c>
      <c r="K5122">
        <v>1.1127069999999999</v>
      </c>
      <c r="L5122">
        <v>38.946620000000003</v>
      </c>
      <c r="M5122">
        <v>9.9203689999999997E-2</v>
      </c>
      <c r="N5122">
        <v>0</v>
      </c>
      <c r="O5122">
        <v>-0.99502159999999995</v>
      </c>
      <c r="P5122">
        <v>9.1849509999999995E-2</v>
      </c>
      <c r="Q5122">
        <v>-3.4599009999999999E-2</v>
      </c>
      <c r="R5122">
        <v>-0.99517199999999995</v>
      </c>
      <c r="S5122">
        <v>0.64373780000000003</v>
      </c>
      <c r="T5122">
        <v>-0.22531580000000001</v>
      </c>
      <c r="U5122">
        <v>-2.9492189999999998</v>
      </c>
      <c r="V5122">
        <v>7.5281239999999998E-3</v>
      </c>
      <c r="W5122">
        <v>-2.5026650000000001E-2</v>
      </c>
      <c r="X5122">
        <v>0.99965850000000001</v>
      </c>
      <c r="Y5122">
        <v>-0.1146804</v>
      </c>
      <c r="Z5122">
        <v>7.449327E-2</v>
      </c>
      <c r="AA5122">
        <v>0.99060550000000003</v>
      </c>
      <c r="AB5122">
        <v>28</v>
      </c>
      <c r="AC5122">
        <v>3.14769999999998</v>
      </c>
      <c r="AD5122">
        <v>-1.112714391965</v>
      </c>
      <c r="AE5122">
        <v>-14.28472</v>
      </c>
      <c r="AF5122">
        <v>-1.7051431027414501</v>
      </c>
      <c r="AG5122">
        <v>-1.112714391965</v>
      </c>
      <c r="AH5122">
        <v>14.4429495140699</v>
      </c>
      <c r="AI5122">
        <v>94.375214860798593</v>
      </c>
      <c r="AJ5122">
        <v>96.733205664602494</v>
      </c>
      <c r="AK5122">
        <v>14.585761446866099</v>
      </c>
      <c r="AL5122">
        <v>91.434071060146707</v>
      </c>
      <c r="AM5122">
        <v>89.568531074001001</v>
      </c>
      <c r="AN5122">
        <v>1.0000000612417099</v>
      </c>
    </row>
    <row r="5123" spans="1:40" x14ac:dyDescent="0.25">
      <c r="A5123" t="str">
        <f>"20190312161420016"</f>
        <v>20190312161420016</v>
      </c>
      <c r="B5123" t="str">
        <f>"1552378460011936"</f>
        <v>1552378460011936</v>
      </c>
      <c r="C5123" t="s">
        <v>40</v>
      </c>
      <c r="D5123">
        <v>4.9376980000000001</v>
      </c>
      <c r="E5123">
        <v>0.45235449999999999</v>
      </c>
      <c r="F5123" t="s">
        <v>77</v>
      </c>
      <c r="G5123">
        <v>-417.9085</v>
      </c>
      <c r="H5123" s="1">
        <v>-7.3836649999999901E-6</v>
      </c>
      <c r="I5123">
        <v>24.081240000000001</v>
      </c>
      <c r="J5123">
        <v>-421.18680000000001</v>
      </c>
      <c r="K5123">
        <v>1.112771</v>
      </c>
      <c r="L5123">
        <v>38.672969999999999</v>
      </c>
      <c r="M5123">
        <v>0.1034823</v>
      </c>
      <c r="N5123">
        <v>0</v>
      </c>
      <c r="O5123">
        <v>-0.99458590000000002</v>
      </c>
      <c r="P5123">
        <v>9.7112110000000001E-2</v>
      </c>
      <c r="Q5123">
        <v>-3.4228450000000001E-2</v>
      </c>
      <c r="R5123">
        <v>-0.99468509999999999</v>
      </c>
      <c r="S5123">
        <v>0.65606690000000001</v>
      </c>
      <c r="T5123">
        <v>-0.2205423</v>
      </c>
      <c r="U5123">
        <v>-2.9463499999999998</v>
      </c>
      <c r="V5123">
        <v>6.5423369999999996E-3</v>
      </c>
      <c r="W5123">
        <v>-2.4652919999999998E-2</v>
      </c>
      <c r="X5123">
        <v>0.99967470000000003</v>
      </c>
      <c r="Y5123">
        <v>-0.1145872</v>
      </c>
      <c r="Z5123">
        <v>7.2912939999999996E-2</v>
      </c>
      <c r="AA5123">
        <v>0.9907338</v>
      </c>
      <c r="AB5123">
        <v>28</v>
      </c>
      <c r="AC5123">
        <v>3.2783000000000002</v>
      </c>
      <c r="AD5123">
        <v>-1.112778383665</v>
      </c>
      <c r="AE5123">
        <v>-14.591729999999901</v>
      </c>
      <c r="AF5123">
        <v>-1.74100553229142</v>
      </c>
      <c r="AG5123">
        <v>-1.112778383665</v>
      </c>
      <c r="AH5123">
        <v>14.770869950481099</v>
      </c>
      <c r="AI5123">
        <v>94.278788624407397</v>
      </c>
      <c r="AJ5123">
        <v>96.722294480368802</v>
      </c>
      <c r="AK5123">
        <v>14.914689909235401</v>
      </c>
      <c r="AL5123">
        <v>91.412651334409702</v>
      </c>
      <c r="AM5123">
        <v>89.625035077109203</v>
      </c>
      <c r="AN5123">
        <v>1.0000000372290101</v>
      </c>
    </row>
    <row r="5124" spans="1:40" x14ac:dyDescent="0.25">
      <c r="A5124" t="str">
        <f>"20190312161420039"</f>
        <v>20190312161420039</v>
      </c>
      <c r="B5124" t="str">
        <f>"1552378460031459"</f>
        <v>1552378460031459</v>
      </c>
      <c r="C5124" t="s">
        <v>40</v>
      </c>
      <c r="D5124">
        <v>5.1741630000000001</v>
      </c>
      <c r="E5124">
        <v>0.45247549999999997</v>
      </c>
      <c r="F5124" t="s">
        <v>77</v>
      </c>
      <c r="G5124">
        <v>-417.68020000000001</v>
      </c>
      <c r="H5124" s="1">
        <v>-7.3722839999999899E-6</v>
      </c>
      <c r="I5124">
        <v>23.26764</v>
      </c>
      <c r="J5124">
        <v>-421.15249999999997</v>
      </c>
      <c r="K5124">
        <v>1.1128279999999999</v>
      </c>
      <c r="L5124">
        <v>38.389400000000002</v>
      </c>
      <c r="M5124">
        <v>0.1079859</v>
      </c>
      <c r="N5124">
        <v>0</v>
      </c>
      <c r="O5124">
        <v>-0.99410670000000001</v>
      </c>
      <c r="P5124">
        <v>0.1020441</v>
      </c>
      <c r="Q5124">
        <v>-3.4152639999999998E-2</v>
      </c>
      <c r="R5124">
        <v>-0.9941934</v>
      </c>
      <c r="S5124">
        <v>0.6699524</v>
      </c>
      <c r="T5124">
        <v>-0.2126043</v>
      </c>
      <c r="U5124">
        <v>-2.943298</v>
      </c>
      <c r="V5124">
        <v>6.115494E-3</v>
      </c>
      <c r="W5124">
        <v>-2.456976E-2</v>
      </c>
      <c r="X5124">
        <v>0.9996794</v>
      </c>
      <c r="Y5124">
        <v>-0.114796</v>
      </c>
      <c r="Z5124">
        <v>7.0285410000000006E-2</v>
      </c>
      <c r="AA5124">
        <v>0.99089950000000004</v>
      </c>
      <c r="AB5124">
        <v>28</v>
      </c>
      <c r="AC5124">
        <v>3.4722999999999602</v>
      </c>
      <c r="AD5124">
        <v>-1.1128353722840001</v>
      </c>
      <c r="AE5124">
        <v>-15.12176</v>
      </c>
      <c r="AF5124">
        <v>-1.80967269229269</v>
      </c>
      <c r="AG5124">
        <v>-1.1128353722840001</v>
      </c>
      <c r="AH5124">
        <v>15.329440790686199</v>
      </c>
      <c r="AI5124">
        <v>94.123549129427303</v>
      </c>
      <c r="AJ5124">
        <v>96.732726115254493</v>
      </c>
      <c r="AK5124">
        <v>15.475951433569101</v>
      </c>
      <c r="AL5124">
        <v>91.407885243783895</v>
      </c>
      <c r="AM5124">
        <v>89.649500004702503</v>
      </c>
      <c r="AN5124">
        <v>0.99999998757884001</v>
      </c>
    </row>
    <row r="5125" spans="1:40" x14ac:dyDescent="0.25">
      <c r="A5125" t="str">
        <f>"20190312161420059"</f>
        <v>20190312161420059</v>
      </c>
      <c r="B5125" t="str">
        <f>"1552378460051952"</f>
        <v>1552378460051952</v>
      </c>
      <c r="C5125" t="s">
        <v>40</v>
      </c>
      <c r="D5125">
        <v>5.1172950000000004</v>
      </c>
      <c r="E5125">
        <v>0.45323400000000003</v>
      </c>
      <c r="F5125" t="s">
        <v>77</v>
      </c>
      <c r="G5125">
        <v>-417.56450000000001</v>
      </c>
      <c r="H5125" s="1">
        <v>-7.3774899999999901E-6</v>
      </c>
      <c r="I5125">
        <v>22.952780000000001</v>
      </c>
      <c r="J5125">
        <v>-421.1189</v>
      </c>
      <c r="K5125">
        <v>1.112887</v>
      </c>
      <c r="L5125">
        <v>38.122160000000001</v>
      </c>
      <c r="M5125">
        <v>0.1122905</v>
      </c>
      <c r="N5125">
        <v>0</v>
      </c>
      <c r="O5125">
        <v>-0.99362969999999895</v>
      </c>
      <c r="P5125">
        <v>0.1063017</v>
      </c>
      <c r="Q5125">
        <v>-3.3619499999999997E-2</v>
      </c>
      <c r="R5125">
        <v>-0.99376560000000003</v>
      </c>
      <c r="S5125">
        <v>0.68338009999999905</v>
      </c>
      <c r="T5125">
        <v>-0.21195320000000001</v>
      </c>
      <c r="U5125">
        <v>-2.9400940000000002</v>
      </c>
      <c r="V5125">
        <v>6.1639659999999999E-3</v>
      </c>
      <c r="W5125">
        <v>-2.4025939999999999E-2</v>
      </c>
      <c r="X5125">
        <v>0.99969229999999998</v>
      </c>
      <c r="Y5125">
        <v>-0.1150288</v>
      </c>
      <c r="Z5125">
        <v>7.0058789999999996E-2</v>
      </c>
      <c r="AA5125">
        <v>0.99088849999999995</v>
      </c>
      <c r="AB5125">
        <v>28</v>
      </c>
      <c r="AC5125">
        <v>3.5543999999999798</v>
      </c>
      <c r="AD5125">
        <v>-1.11289437749</v>
      </c>
      <c r="AE5125">
        <v>-15.16938</v>
      </c>
      <c r="AF5125">
        <v>-1.8191813386901501</v>
      </c>
      <c r="AG5125">
        <v>-1.11289437749</v>
      </c>
      <c r="AH5125">
        <v>15.394030989208501</v>
      </c>
      <c r="AI5125">
        <v>94.106465519717702</v>
      </c>
      <c r="AJ5125">
        <v>96.739640456400394</v>
      </c>
      <c r="AK5125">
        <v>15.5410470926254</v>
      </c>
      <c r="AL5125">
        <v>91.376717478015095</v>
      </c>
      <c r="AM5125">
        <v>89.646726536371602</v>
      </c>
      <c r="AN5125">
        <v>0.99999996747451003</v>
      </c>
    </row>
    <row r="5126" spans="1:40" x14ac:dyDescent="0.25">
      <c r="A5126" t="str">
        <f>"20190312161420082"</f>
        <v>20190312161420082</v>
      </c>
      <c r="B5126" t="str">
        <f>"1552378460071472"</f>
        <v>1552378460071472</v>
      </c>
      <c r="C5126" t="s">
        <v>40</v>
      </c>
      <c r="D5126">
        <v>5.1170679999999997</v>
      </c>
      <c r="E5126">
        <v>0.45413599999999998</v>
      </c>
      <c r="F5126" t="s">
        <v>77</v>
      </c>
      <c r="G5126">
        <v>-417.49090000000001</v>
      </c>
      <c r="H5126" s="1">
        <v>-7.3719090000000001E-6</v>
      </c>
      <c r="I5126">
        <v>22.673459999999999</v>
      </c>
      <c r="J5126">
        <v>-421.08330000000001</v>
      </c>
      <c r="K5126">
        <v>1.1129420000000001</v>
      </c>
      <c r="L5126">
        <v>37.84863</v>
      </c>
      <c r="M5126">
        <v>0.1167501</v>
      </c>
      <c r="N5126">
        <v>0</v>
      </c>
      <c r="O5126">
        <v>-0.99311539999999998</v>
      </c>
      <c r="P5126">
        <v>0.1107973</v>
      </c>
      <c r="Q5126">
        <v>-3.3257979999999999E-2</v>
      </c>
      <c r="R5126">
        <v>-0.99328660000000002</v>
      </c>
      <c r="S5126">
        <v>0.68994140000000004</v>
      </c>
      <c r="T5126">
        <v>-0.2116381</v>
      </c>
      <c r="U5126">
        <v>-2.9378660000000001</v>
      </c>
      <c r="V5126">
        <v>6.1299029999999999E-3</v>
      </c>
      <c r="W5126">
        <v>-2.3654270000000002E-2</v>
      </c>
      <c r="X5126">
        <v>0.99970139999999996</v>
      </c>
      <c r="Y5126">
        <v>-0.1128349</v>
      </c>
      <c r="Z5126">
        <v>6.9943850000000002E-2</v>
      </c>
      <c r="AA5126">
        <v>0.9911489</v>
      </c>
      <c r="AB5126">
        <v>28</v>
      </c>
      <c r="AC5126">
        <v>3.5923999999999898</v>
      </c>
      <c r="AD5126">
        <v>-1.112949371909</v>
      </c>
      <c r="AE5126">
        <v>-15.1751699999999</v>
      </c>
      <c r="AF5126">
        <v>-1.78694553408308</v>
      </c>
      <c r="AG5126">
        <v>-1.112949371909</v>
      </c>
      <c r="AH5126">
        <v>15.412314372925</v>
      </c>
      <c r="AI5126">
        <v>94.102866332660199</v>
      </c>
      <c r="AJ5126">
        <v>96.613499124551794</v>
      </c>
      <c r="AK5126">
        <v>15.555425580037401</v>
      </c>
      <c r="AL5126">
        <v>91.355416263815698</v>
      </c>
      <c r="AM5126">
        <v>89.648681927311202</v>
      </c>
      <c r="AN5126">
        <v>0.99999999468099099</v>
      </c>
    </row>
    <row r="5127" spans="1:40" x14ac:dyDescent="0.25">
      <c r="A5127" t="str">
        <f>"20190312161420105"</f>
        <v>20190312161420105</v>
      </c>
      <c r="B5127" t="str">
        <f>"1552378460101727"</f>
        <v>1552378460101727</v>
      </c>
      <c r="C5127" t="s">
        <v>40</v>
      </c>
      <c r="D5127">
        <v>5.1795929999999997</v>
      </c>
      <c r="E5127">
        <v>0.41897079999999998</v>
      </c>
      <c r="F5127" t="s">
        <v>77</v>
      </c>
      <c r="G5127">
        <v>-417.46620000000001</v>
      </c>
      <c r="H5127" s="1">
        <v>-7.3720779999999999E-6</v>
      </c>
      <c r="I5127">
        <v>22.597930000000002</v>
      </c>
      <c r="J5127">
        <v>-421.04419999999999</v>
      </c>
      <c r="K5127">
        <v>1.113</v>
      </c>
      <c r="L5127">
        <v>37.558439999999997</v>
      </c>
      <c r="M5127">
        <v>0.1215372</v>
      </c>
      <c r="N5127">
        <v>0</v>
      </c>
      <c r="O5127">
        <v>-0.99254089999999995</v>
      </c>
      <c r="P5127">
        <v>0.1153367</v>
      </c>
      <c r="Q5127">
        <v>-3.3078320000000001E-2</v>
      </c>
      <c r="R5127">
        <v>-0.99277550000000003</v>
      </c>
      <c r="S5127">
        <v>0.69622799999999996</v>
      </c>
      <c r="T5127">
        <v>-0.21422060000000001</v>
      </c>
      <c r="U5127">
        <v>-2.9354550000000001</v>
      </c>
      <c r="V5127">
        <v>6.3825499999999999E-3</v>
      </c>
      <c r="W5127">
        <v>-2.3461559999999999E-2</v>
      </c>
      <c r="X5127">
        <v>0.99970440000000005</v>
      </c>
      <c r="Y5127">
        <v>-0.1102216</v>
      </c>
      <c r="Z5127">
        <v>7.0781440000000001E-2</v>
      </c>
      <c r="AA5127">
        <v>0.99138349999999997</v>
      </c>
      <c r="AB5127">
        <v>28</v>
      </c>
      <c r="AC5127">
        <v>3.5779999999999701</v>
      </c>
      <c r="AD5127">
        <v>-1.113007372078</v>
      </c>
      <c r="AE5127">
        <v>-14.960509999999999</v>
      </c>
      <c r="AF5127">
        <v>-1.72410562419289</v>
      </c>
      <c r="AG5127">
        <v>-1.113007372078</v>
      </c>
      <c r="AH5127">
        <v>15.204872704748</v>
      </c>
      <c r="AI5127">
        <v>94.160059788790804</v>
      </c>
      <c r="AJ5127">
        <v>96.469231078421998</v>
      </c>
      <c r="AK5127">
        <v>15.342733771439301</v>
      </c>
      <c r="AL5127">
        <v>91.344371675299101</v>
      </c>
      <c r="AM5127">
        <v>89.634203661627495</v>
      </c>
      <c r="AN5127">
        <v>1.00000003456074</v>
      </c>
    </row>
    <row r="5128" spans="1:40" x14ac:dyDescent="0.25">
      <c r="A5128" t="str">
        <f>"20190312161420128"</f>
        <v>20190312161420128</v>
      </c>
      <c r="B5128" t="str">
        <f>"1552378460121247"</f>
        <v>1552378460121247</v>
      </c>
      <c r="C5128" t="s">
        <v>40</v>
      </c>
      <c r="D5128">
        <v>5.1167600000000002</v>
      </c>
      <c r="E5128">
        <v>0.36468669999999997</v>
      </c>
      <c r="F5128" t="s">
        <v>77</v>
      </c>
      <c r="G5128">
        <v>-414.84469999999999</v>
      </c>
      <c r="H5128" s="1">
        <v>-1.135867E-5</v>
      </c>
      <c r="I5128">
        <v>19.359950000000001</v>
      </c>
      <c r="J5128">
        <v>-421.00450000000001</v>
      </c>
      <c r="K5128">
        <v>1.1130610000000001</v>
      </c>
      <c r="L5128">
        <v>37.274569999999997</v>
      </c>
      <c r="M5128">
        <v>0.1262769</v>
      </c>
      <c r="N5128">
        <v>0</v>
      </c>
      <c r="O5128">
        <v>-0.99194910000000003</v>
      </c>
      <c r="P5128">
        <v>0.1198137</v>
      </c>
      <c r="Q5128">
        <v>-3.2851190000000002E-2</v>
      </c>
      <c r="R5128">
        <v>-0.99225289999999999</v>
      </c>
      <c r="S5128">
        <v>0.98828130000000003</v>
      </c>
      <c r="T5128">
        <v>-0.17742939999999999</v>
      </c>
      <c r="U5128">
        <v>-2.9010929999999999</v>
      </c>
      <c r="V5128">
        <v>6.6505660000000001E-3</v>
      </c>
      <c r="W5128">
        <v>-2.3221479999999999E-2</v>
      </c>
      <c r="X5128">
        <v>0.99970820000000005</v>
      </c>
      <c r="Y5128">
        <v>-0.19979630000000001</v>
      </c>
      <c r="Z5128">
        <v>5.8071049999999999E-2</v>
      </c>
      <c r="AA5128">
        <v>0.97811510000000002</v>
      </c>
      <c r="AB5128">
        <v>28</v>
      </c>
      <c r="AC5128">
        <v>6.1598000000000104</v>
      </c>
      <c r="AD5128">
        <v>-1.11307235867</v>
      </c>
      <c r="AE5128">
        <v>-17.914619999999999</v>
      </c>
      <c r="AF5128">
        <v>-3.83494157564389</v>
      </c>
      <c r="AG5128">
        <v>-1.11307235867</v>
      </c>
      <c r="AH5128">
        <v>18.485261188382399</v>
      </c>
      <c r="AI5128">
        <v>93.374175098778807</v>
      </c>
      <c r="AJ5128">
        <v>101.720291898036</v>
      </c>
      <c r="AK5128">
        <v>18.911652179726499</v>
      </c>
      <c r="AL5128">
        <v>91.330612433994503</v>
      </c>
      <c r="AM5128">
        <v>89.6188450368807</v>
      </c>
      <c r="AN5128">
        <v>0.99999997615437497</v>
      </c>
    </row>
    <row r="5129" spans="1:40" x14ac:dyDescent="0.25">
      <c r="A5129" t="str">
        <f>"20190312161420150"</f>
        <v>20190312161420150</v>
      </c>
      <c r="B5129" t="str">
        <f>"1552378460141744"</f>
        <v>1552378460141744</v>
      </c>
      <c r="C5129" t="s">
        <v>40</v>
      </c>
      <c r="D5129">
        <v>5.1285780000000001</v>
      </c>
      <c r="E5129">
        <v>0.36131479999999999</v>
      </c>
      <c r="F5129" t="s">
        <v>77</v>
      </c>
      <c r="G5129">
        <v>-406.78100000000001</v>
      </c>
      <c r="H5129">
        <v>7.9986559999999998E-2</v>
      </c>
      <c r="I5129">
        <v>8.9696429999999996</v>
      </c>
      <c r="J5129">
        <v>-420.96370000000002</v>
      </c>
      <c r="K5129">
        <v>1.11312099999999</v>
      </c>
      <c r="L5129">
        <v>36.994599999999998</v>
      </c>
      <c r="M5129">
        <v>0.13101930000000001</v>
      </c>
      <c r="N5129">
        <v>0</v>
      </c>
      <c r="O5129">
        <v>-0.99133380000000004</v>
      </c>
      <c r="P5129">
        <v>0.1238981</v>
      </c>
      <c r="Q5129">
        <v>-3.2709229999999999E-2</v>
      </c>
      <c r="R5129">
        <v>-0.99175630000000004</v>
      </c>
      <c r="S5129">
        <v>1.4307559999999999</v>
      </c>
      <c r="T5129">
        <v>-0.10391830000000001</v>
      </c>
      <c r="U5129">
        <v>-2.847229</v>
      </c>
      <c r="V5129">
        <v>7.3178459999999898E-3</v>
      </c>
      <c r="W5129">
        <v>-2.3062880000000001E-2</v>
      </c>
      <c r="X5129">
        <v>0.99970720000000002</v>
      </c>
      <c r="Y5129">
        <v>-0.32781440000000001</v>
      </c>
      <c r="Z5129">
        <v>3.3034000000000001E-2</v>
      </c>
      <c r="AA5129">
        <v>0.94416440000000001</v>
      </c>
      <c r="AB5129">
        <v>28</v>
      </c>
      <c r="AC5129">
        <v>14.182700000000001</v>
      </c>
      <c r="AD5129">
        <v>-1.03313443999999</v>
      </c>
      <c r="AE5129">
        <v>-28.024957000000001</v>
      </c>
      <c r="AF5129">
        <v>-10.3772262229293</v>
      </c>
      <c r="AG5129">
        <v>-1.03313443999999</v>
      </c>
      <c r="AH5129">
        <v>29.6096115467349</v>
      </c>
      <c r="AI5129">
        <v>91.885963432157496</v>
      </c>
      <c r="AJ5129">
        <v>109.31393927728</v>
      </c>
      <c r="AK5129">
        <v>31.392408107717699</v>
      </c>
      <c r="AL5129">
        <v>91.321522901547795</v>
      </c>
      <c r="AM5129">
        <v>89.580602998074895</v>
      </c>
      <c r="AN5129">
        <v>0.99999996651790601</v>
      </c>
    </row>
    <row r="5130" spans="1:40" x14ac:dyDescent="0.25">
      <c r="A5130" t="str">
        <f>"20190312161420172"</f>
        <v>20190312161420172</v>
      </c>
      <c r="B5130" t="str">
        <f>"1552378460161265"</f>
        <v>1552378460161265</v>
      </c>
      <c r="C5130" t="s">
        <v>40</v>
      </c>
      <c r="D5130">
        <v>4.9743250000000003</v>
      </c>
      <c r="E5130">
        <v>0.36099239999999999</v>
      </c>
      <c r="F5130" t="s">
        <v>41</v>
      </c>
      <c r="G5130">
        <v>-401.89170000000001</v>
      </c>
      <c r="H5130">
        <v>-0.05</v>
      </c>
      <c r="I5130">
        <v>0.14909359999999999</v>
      </c>
      <c r="J5130">
        <v>-420.92110000000002</v>
      </c>
      <c r="K5130">
        <v>1.1131799999999901</v>
      </c>
      <c r="L5130">
        <v>36.710819999999998</v>
      </c>
      <c r="M5130">
        <v>0.13589599999999999</v>
      </c>
      <c r="N5130">
        <v>0</v>
      </c>
      <c r="O5130">
        <v>-0.99067660000000002</v>
      </c>
      <c r="P5130">
        <v>0.12814919999999999</v>
      </c>
      <c r="Q5130">
        <v>-3.2412419999999997E-2</v>
      </c>
      <c r="R5130">
        <v>-0.99122529999999998</v>
      </c>
      <c r="S5130">
        <v>1.4692379999999901</v>
      </c>
      <c r="T5130">
        <v>-8.9602470000000004E-2</v>
      </c>
      <c r="U5130">
        <v>-2.8384399999999999</v>
      </c>
      <c r="V5130">
        <v>7.9529939999999997E-3</v>
      </c>
      <c r="W5130">
        <v>-2.27488E-2</v>
      </c>
      <c r="X5130">
        <v>0.99970959999999998</v>
      </c>
      <c r="Y5130">
        <v>-0.33454650000000002</v>
      </c>
      <c r="Z5130">
        <v>2.8419659999999999E-2</v>
      </c>
      <c r="AA5130">
        <v>0.94195059999999997</v>
      </c>
      <c r="AB5130">
        <v>29</v>
      </c>
      <c r="AC5130">
        <v>19.029399999999999</v>
      </c>
      <c r="AD5130">
        <v>-1.1631800000000001</v>
      </c>
      <c r="AE5130">
        <v>-36.561726399999998</v>
      </c>
      <c r="AF5130">
        <v>-13.872980199771</v>
      </c>
      <c r="AG5130">
        <v>-1.1631800000000001</v>
      </c>
      <c r="AH5130">
        <v>38.777771671316401</v>
      </c>
      <c r="AI5130">
        <v>91.617777441160797</v>
      </c>
      <c r="AJ5130">
        <v>109.68497409529699</v>
      </c>
      <c r="AK5130">
        <v>41.201069684273797</v>
      </c>
      <c r="AL5130">
        <v>91.303522648419403</v>
      </c>
      <c r="AM5130">
        <v>89.544204258563795</v>
      </c>
      <c r="AN5130">
        <v>1.00000002117358</v>
      </c>
    </row>
    <row r="5131" spans="1:40" x14ac:dyDescent="0.25">
      <c r="A5131" t="str">
        <f>"20190312161420195"</f>
        <v>20190312161420195</v>
      </c>
      <c r="B5131" t="str">
        <f>"1552378460191520"</f>
        <v>1552378460191520</v>
      </c>
      <c r="C5131" t="s">
        <v>40</v>
      </c>
      <c r="D5131">
        <v>5.0034919999999996</v>
      </c>
      <c r="E5131">
        <v>0.36075030000000002</v>
      </c>
      <c r="F5131" t="s">
        <v>93</v>
      </c>
      <c r="G5131">
        <v>-402.0324</v>
      </c>
      <c r="H5131">
        <v>0.17636749999999901</v>
      </c>
      <c r="I5131">
        <v>0.66011430000000004</v>
      </c>
      <c r="J5131">
        <v>-420.87869999999998</v>
      </c>
      <c r="K5131">
        <v>1.113237</v>
      </c>
      <c r="L5131">
        <v>36.43835</v>
      </c>
      <c r="M5131">
        <v>0.14063589999999901</v>
      </c>
      <c r="N5131">
        <v>0</v>
      </c>
      <c r="O5131">
        <v>-0.99001490000000003</v>
      </c>
      <c r="P5131">
        <v>0.132546</v>
      </c>
      <c r="Q5131">
        <v>-3.2807459999999997E-2</v>
      </c>
      <c r="R5131">
        <v>-0.99063369999999995</v>
      </c>
      <c r="S5131">
        <v>1.483978</v>
      </c>
      <c r="T5131">
        <v>-7.3602199999999895E-2</v>
      </c>
      <c r="U5131">
        <v>-2.832306</v>
      </c>
      <c r="V5131">
        <v>8.3068310000000006E-3</v>
      </c>
      <c r="W5131">
        <v>-2.3129630000000002E-2</v>
      </c>
      <c r="X5131">
        <v>0.99969799999999998</v>
      </c>
      <c r="Y5131">
        <v>-0.33478459999999899</v>
      </c>
      <c r="Z5131">
        <v>2.33417E-2</v>
      </c>
      <c r="AA5131">
        <v>0.9420056</v>
      </c>
      <c r="AB5131">
        <v>29</v>
      </c>
      <c r="AC5131">
        <v>18.8462999999999</v>
      </c>
      <c r="AD5131">
        <v>-0.93686950000000002</v>
      </c>
      <c r="AE5131">
        <v>-35.778235700000003</v>
      </c>
      <c r="AF5131">
        <v>-13.6197302163642</v>
      </c>
      <c r="AG5131">
        <v>-0.93686950000000002</v>
      </c>
      <c r="AH5131">
        <v>38.052780263030897</v>
      </c>
      <c r="AI5131">
        <v>91.327892492911403</v>
      </c>
      <c r="AJ5131">
        <v>109.693142987651</v>
      </c>
      <c r="AK5131">
        <v>40.4275755069865</v>
      </c>
      <c r="AL5131">
        <v>91.325348321716106</v>
      </c>
      <c r="AM5131">
        <v>89.523920820132801</v>
      </c>
      <c r="AN5131">
        <v>1.0000000372145901</v>
      </c>
    </row>
    <row r="5132" spans="1:40" x14ac:dyDescent="0.25">
      <c r="A5132" t="str">
        <f>"20190312161420217"</f>
        <v>20190312161420217</v>
      </c>
      <c r="B5132" t="str">
        <f>"1552378460212016"</f>
        <v>1552378460212016</v>
      </c>
      <c r="C5132" t="s">
        <v>40</v>
      </c>
      <c r="D5132">
        <v>4.9170239999999996</v>
      </c>
      <c r="E5132">
        <v>0.36084909999999998</v>
      </c>
      <c r="F5132" t="s">
        <v>93</v>
      </c>
      <c r="G5132">
        <v>-401.90839999999997</v>
      </c>
      <c r="H5132">
        <v>0.2309573</v>
      </c>
      <c r="I5132">
        <v>0.66137889999999999</v>
      </c>
      <c r="J5132">
        <v>-420.83300000000003</v>
      </c>
      <c r="K5132">
        <v>1.113297</v>
      </c>
      <c r="L5132">
        <v>36.15466</v>
      </c>
      <c r="M5132">
        <v>0.1456382</v>
      </c>
      <c r="N5132">
        <v>0</v>
      </c>
      <c r="O5132">
        <v>-0.98929129999999998</v>
      </c>
      <c r="P5132">
        <v>0.1369831</v>
      </c>
      <c r="Q5132">
        <v>-3.4182280000000002E-2</v>
      </c>
      <c r="R5132">
        <v>-0.98998359999999996</v>
      </c>
      <c r="S5132">
        <v>1.49823</v>
      </c>
      <c r="T5132">
        <v>-6.9682599999999997E-2</v>
      </c>
      <c r="U5132">
        <v>-2.8255919999999999</v>
      </c>
      <c r="V5132">
        <v>8.8900200000000002E-3</v>
      </c>
      <c r="W5132">
        <v>-2.4488099999999999E-2</v>
      </c>
      <c r="X5132">
        <v>0.99966060000000001</v>
      </c>
      <c r="Y5132">
        <v>-0.3346711</v>
      </c>
      <c r="Z5132">
        <v>2.2097209999999999E-2</v>
      </c>
      <c r="AA5132">
        <v>0.94207589999999997</v>
      </c>
      <c r="AB5132">
        <v>29</v>
      </c>
      <c r="AC5132">
        <v>18.924600000000002</v>
      </c>
      <c r="AD5132">
        <v>-0.88233969999999995</v>
      </c>
      <c r="AE5132">
        <v>-35.493281099999997</v>
      </c>
      <c r="AF5132">
        <v>-13.5468710355448</v>
      </c>
      <c r="AG5132">
        <v>-0.88233969999999995</v>
      </c>
      <c r="AH5132">
        <v>37.852871093078598</v>
      </c>
      <c r="AI5132">
        <v>91.2572453001236</v>
      </c>
      <c r="AJ5132">
        <v>109.691387510539</v>
      </c>
      <c r="AK5132">
        <v>40.213630626804999</v>
      </c>
      <c r="AL5132">
        <v>91.403205034457699</v>
      </c>
      <c r="AM5132">
        <v>89.4904798702308</v>
      </c>
      <c r="AN5132">
        <v>1.0000000073447799</v>
      </c>
    </row>
    <row r="5133" spans="1:40" x14ac:dyDescent="0.25">
      <c r="A5133" t="str">
        <f>"20190312161420239"</f>
        <v>20190312161420239</v>
      </c>
      <c r="B5133" t="str">
        <f>"1552378460231536"</f>
        <v>1552378460231536</v>
      </c>
      <c r="C5133" t="s">
        <v>40</v>
      </c>
      <c r="D5133">
        <v>4.9404620000000001</v>
      </c>
      <c r="E5133">
        <v>0.36131760000000002</v>
      </c>
      <c r="F5133" t="s">
        <v>93</v>
      </c>
      <c r="G5133">
        <v>-401.82240000000002</v>
      </c>
      <c r="H5133">
        <v>0.30676530000000002</v>
      </c>
      <c r="I5133">
        <v>0.66225049999999996</v>
      </c>
      <c r="J5133">
        <v>-420.78750000000002</v>
      </c>
      <c r="K5133">
        <v>1.11337</v>
      </c>
      <c r="L5133">
        <v>35.881039999999999</v>
      </c>
      <c r="M5133">
        <v>0.1505388</v>
      </c>
      <c r="N5133">
        <v>0</v>
      </c>
      <c r="O5133">
        <v>-0.98855729999999997</v>
      </c>
      <c r="P5133">
        <v>0.14170759999999999</v>
      </c>
      <c r="Q5133">
        <v>-3.3766780000000003E-2</v>
      </c>
      <c r="R5133">
        <v>-0.98933260000000001</v>
      </c>
      <c r="S5133">
        <v>1.51004</v>
      </c>
      <c r="T5133">
        <v>-6.4066049999999999E-2</v>
      </c>
      <c r="U5133">
        <v>-2.8192140000000001</v>
      </c>
      <c r="V5133">
        <v>9.0735309999999993E-3</v>
      </c>
      <c r="W5133">
        <v>-2.4059170000000001E-2</v>
      </c>
      <c r="X5133">
        <v>0.99966940000000004</v>
      </c>
      <c r="Y5133">
        <v>-0.33397310000000002</v>
      </c>
      <c r="Z5133">
        <v>2.0318409999999999E-2</v>
      </c>
      <c r="AA5133">
        <v>0.94236359999999997</v>
      </c>
      <c r="AB5133">
        <v>29</v>
      </c>
      <c r="AC5133">
        <v>18.9651</v>
      </c>
      <c r="AD5133">
        <v>-0.80660469999999995</v>
      </c>
      <c r="AE5133">
        <v>-35.2187895</v>
      </c>
      <c r="AF5133">
        <v>-13.4414503133811</v>
      </c>
      <c r="AG5133">
        <v>-0.80660469999999995</v>
      </c>
      <c r="AH5133">
        <v>37.657205635481603</v>
      </c>
      <c r="AI5133">
        <v>91.155675396000504</v>
      </c>
      <c r="AJ5133">
        <v>109.64363320333401</v>
      </c>
      <c r="AK5133">
        <v>39.992353443403502</v>
      </c>
      <c r="AL5133">
        <v>91.378621866019799</v>
      </c>
      <c r="AM5133">
        <v>89.479967321271999</v>
      </c>
      <c r="AN5133">
        <v>1.0000000409611201</v>
      </c>
    </row>
    <row r="5134" spans="1:40" x14ac:dyDescent="0.25">
      <c r="A5134" t="str">
        <f>"20190312161420260"</f>
        <v>20190312161420260</v>
      </c>
      <c r="B5134" t="str">
        <f>"1552378460252032"</f>
        <v>1552378460252032</v>
      </c>
      <c r="C5134" t="s">
        <v>40</v>
      </c>
      <c r="D5134">
        <v>4.9999379999999896</v>
      </c>
      <c r="E5134">
        <v>0.36195359999999999</v>
      </c>
      <c r="F5134" t="s">
        <v>93</v>
      </c>
      <c r="G5134">
        <v>-401.75749999999999</v>
      </c>
      <c r="H5134">
        <v>0.37271670000000001</v>
      </c>
      <c r="I5134">
        <v>0.66291429999999996</v>
      </c>
      <c r="J5134">
        <v>-420.74</v>
      </c>
      <c r="K5134">
        <v>1.1134470000000001</v>
      </c>
      <c r="L5134">
        <v>35.603819999999999</v>
      </c>
      <c r="M5134">
        <v>0.15559149999999999</v>
      </c>
      <c r="N5134">
        <v>0</v>
      </c>
      <c r="O5134">
        <v>-0.98777459999999995</v>
      </c>
      <c r="P5134">
        <v>0.14750839999999901</v>
      </c>
      <c r="Q5134">
        <v>-3.2901930000000003E-2</v>
      </c>
      <c r="R5134">
        <v>-0.98851389999999995</v>
      </c>
      <c r="S5134">
        <v>1.519806</v>
      </c>
      <c r="T5134">
        <v>-5.9153440000000002E-2</v>
      </c>
      <c r="U5134">
        <v>-2.8126530000000001</v>
      </c>
      <c r="V5134">
        <v>8.3220640000000005E-3</v>
      </c>
      <c r="W5134">
        <v>-2.3188239999999999E-2</v>
      </c>
      <c r="X5134">
        <v>0.99969649999999999</v>
      </c>
      <c r="Y5134">
        <v>-0.33261839999999998</v>
      </c>
      <c r="Z5134">
        <v>1.8767140000000002E-2</v>
      </c>
      <c r="AA5134">
        <v>0.94287480000000001</v>
      </c>
      <c r="AB5134">
        <v>29</v>
      </c>
      <c r="AC5134">
        <v>18.982500000000002</v>
      </c>
      <c r="AD5134">
        <v>-0.74073029999999895</v>
      </c>
      <c r="AE5134">
        <v>-34.940905700000002</v>
      </c>
      <c r="AF5134">
        <v>-13.3099214791153</v>
      </c>
      <c r="AG5134">
        <v>-0.74073029999999895</v>
      </c>
      <c r="AH5134">
        <v>37.455992788457003</v>
      </c>
      <c r="AI5134">
        <v>91.067553016415502</v>
      </c>
      <c r="AJ5134">
        <v>109.562580448689</v>
      </c>
      <c r="AK5134">
        <v>39.757440648594297</v>
      </c>
      <c r="AL5134">
        <v>91.328707348788896</v>
      </c>
      <c r="AM5134">
        <v>89.523047114636199</v>
      </c>
      <c r="AN5134">
        <v>1.0000000216678799</v>
      </c>
    </row>
    <row r="5135" spans="1:40" x14ac:dyDescent="0.25">
      <c r="A5135" t="str">
        <f>"20190312161420496"</f>
        <v>20190312161420496</v>
      </c>
      <c r="B5135" t="str">
        <f>"1552378460492129"</f>
        <v>1552378460492129</v>
      </c>
      <c r="C5135" t="s">
        <v>40</v>
      </c>
      <c r="D5135">
        <v>4.6004849999999999</v>
      </c>
      <c r="E5135">
        <v>0.36339169999999998</v>
      </c>
      <c r="F5135" t="s">
        <v>93</v>
      </c>
      <c r="G5135">
        <v>-401.66090000000003</v>
      </c>
      <c r="H5135">
        <v>0.37117650000000002</v>
      </c>
      <c r="I5135">
        <v>0.66389469999999995</v>
      </c>
      <c r="J5135">
        <v>-420.12610000000001</v>
      </c>
      <c r="K5135">
        <v>1.1147</v>
      </c>
      <c r="L5135">
        <v>32.64725</v>
      </c>
      <c r="M5135">
        <v>0.2173493</v>
      </c>
      <c r="N5135">
        <v>0</v>
      </c>
      <c r="O5135">
        <v>-0.97604440000000003</v>
      </c>
      <c r="P5135">
        <v>0.21603330000000001</v>
      </c>
      <c r="Q5135">
        <v>-2.9722999999999999E-2</v>
      </c>
      <c r="R5135">
        <v>-0.97593370000000002</v>
      </c>
      <c r="S5135">
        <v>1.531342</v>
      </c>
      <c r="T5135">
        <v>-5.9578899999999997E-2</v>
      </c>
      <c r="U5135">
        <v>-2.8043819999999999</v>
      </c>
      <c r="V5135">
        <v>1.510333E-3</v>
      </c>
      <c r="W5135">
        <v>-1.9865500000000001E-2</v>
      </c>
      <c r="X5135">
        <v>0.99980150000000001</v>
      </c>
      <c r="Y5135">
        <v>-0.27694170000000001</v>
      </c>
      <c r="Z5135">
        <v>1.8769609999999999E-2</v>
      </c>
      <c r="AA5135">
        <v>0.96070339999999999</v>
      </c>
      <c r="AB5135">
        <v>29</v>
      </c>
      <c r="AC5135">
        <v>18.4651999999999</v>
      </c>
      <c r="AD5135">
        <v>-0.7435235</v>
      </c>
      <c r="AE5135">
        <v>-31.983355299999999</v>
      </c>
      <c r="AF5135">
        <v>-11.067344100387301</v>
      </c>
      <c r="AG5135">
        <v>-0.7435235</v>
      </c>
      <c r="AH5135">
        <v>35.218000217595304</v>
      </c>
      <c r="AI5135">
        <v>91.153834625295801</v>
      </c>
      <c r="AJ5135">
        <v>107.44545568438301</v>
      </c>
      <c r="AK5135">
        <v>36.923521933287702</v>
      </c>
      <c r="AL5135">
        <v>91.138284208239497</v>
      </c>
      <c r="AM5135">
        <v>89.913447178530603</v>
      </c>
      <c r="AN5135">
        <v>0.99999997929913498</v>
      </c>
    </row>
    <row r="5136" spans="1:40" x14ac:dyDescent="0.25">
      <c r="A5136" t="str">
        <f>"20190312161420509"</f>
        <v>20190312161420509</v>
      </c>
      <c r="B5136" t="str">
        <f>"1552378460501888"</f>
        <v>1552378460501888</v>
      </c>
      <c r="C5136" t="s">
        <v>40</v>
      </c>
      <c r="D5136">
        <v>4.6502359999999996</v>
      </c>
      <c r="E5136">
        <v>0.36424689999999998</v>
      </c>
      <c r="F5136" t="s">
        <v>93</v>
      </c>
      <c r="G5136">
        <v>-399.81279999999998</v>
      </c>
      <c r="H5136">
        <v>0.51970890000000003</v>
      </c>
      <c r="I5136">
        <v>0.68269349999999995</v>
      </c>
      <c r="J5136">
        <v>-420.08249999999998</v>
      </c>
      <c r="K5136">
        <v>1.1147819999999999</v>
      </c>
      <c r="L5136">
        <v>32.470209999999902</v>
      </c>
      <c r="M5136">
        <v>0.22155540000000001</v>
      </c>
      <c r="N5136">
        <v>0</v>
      </c>
      <c r="O5136">
        <v>-0.97509809999999997</v>
      </c>
      <c r="P5136">
        <v>0.22071370000000001</v>
      </c>
      <c r="Q5136">
        <v>-2.9267939999999999E-2</v>
      </c>
      <c r="R5136">
        <v>-0.97489979999999998</v>
      </c>
      <c r="S5136">
        <v>1.7117309999999999</v>
      </c>
      <c r="T5136">
        <v>-5.0139900000000001E-2</v>
      </c>
      <c r="U5136">
        <v>-2.6935419999999999</v>
      </c>
      <c r="V5136">
        <v>1.0244799999999999E-3</v>
      </c>
      <c r="W5136">
        <v>-1.9389190000000001E-2</v>
      </c>
      <c r="X5136">
        <v>0.99981149999999996</v>
      </c>
      <c r="Y5136">
        <v>-0.3359531</v>
      </c>
      <c r="Z5136">
        <v>1.5920690000000001E-2</v>
      </c>
      <c r="AA5136">
        <v>0.94174409999999997</v>
      </c>
      <c r="AB5136">
        <v>29</v>
      </c>
      <c r="AC5136">
        <v>20.2697</v>
      </c>
      <c r="AD5136">
        <v>-0.59507309999999902</v>
      </c>
      <c r="AE5136">
        <v>-31.787516499999899</v>
      </c>
      <c r="AF5136">
        <v>-12.7196974096312</v>
      </c>
      <c r="AG5136">
        <v>-0.59507309999999902</v>
      </c>
      <c r="AH5136">
        <v>35.479688298161001</v>
      </c>
      <c r="AI5136">
        <v>90.904526134845199</v>
      </c>
      <c r="AJ5136">
        <v>109.723084648572</v>
      </c>
      <c r="AK5136">
        <v>37.695531511328802</v>
      </c>
      <c r="AL5136">
        <v>91.110988359226496</v>
      </c>
      <c r="AM5136">
        <v>89.941290573621103</v>
      </c>
      <c r="AN5136">
        <v>1.00000001289018</v>
      </c>
    </row>
    <row r="5137" spans="1:40" x14ac:dyDescent="0.25">
      <c r="A5137" t="str">
        <f>"20190312161420523"</f>
        <v>20190312161420523</v>
      </c>
      <c r="B5137" t="str">
        <f>"1552378460511648"</f>
        <v>1552378460511648</v>
      </c>
      <c r="C5137" t="s">
        <v>40</v>
      </c>
      <c r="D5137">
        <v>4.7155269999999998</v>
      </c>
      <c r="E5137">
        <v>0.36488300000000001</v>
      </c>
      <c r="F5137" t="s">
        <v>93</v>
      </c>
      <c r="G5137">
        <v>-399.75529999999998</v>
      </c>
      <c r="H5137">
        <v>0.52308250000000001</v>
      </c>
      <c r="I5137">
        <v>0.68327519999999997</v>
      </c>
      <c r="J5137">
        <v>-420.03710000000001</v>
      </c>
      <c r="K5137">
        <v>1.114873</v>
      </c>
      <c r="L5137">
        <v>32.290439999999997</v>
      </c>
      <c r="M5137">
        <v>0.2259111</v>
      </c>
      <c r="N5137">
        <v>0</v>
      </c>
      <c r="O5137">
        <v>-0.97409749999999995</v>
      </c>
      <c r="P5137">
        <v>0.22523750000000001</v>
      </c>
      <c r="Q5137">
        <v>-2.9000270000000002E-2</v>
      </c>
      <c r="R5137">
        <v>-0.97387219999999997</v>
      </c>
      <c r="S5137">
        <v>1.71814</v>
      </c>
      <c r="T5137">
        <v>-5.0015089999999998E-2</v>
      </c>
      <c r="U5137">
        <v>-2.6867679999999998</v>
      </c>
      <c r="V5137">
        <v>8.5294419999999997E-4</v>
      </c>
      <c r="W5137">
        <v>-1.9086909999999999E-2</v>
      </c>
      <c r="X5137">
        <v>0.99981750000000003</v>
      </c>
      <c r="Y5137">
        <v>-0.33441359999999998</v>
      </c>
      <c r="Z5137">
        <v>1.588552E-2</v>
      </c>
      <c r="AA5137">
        <v>0.94229249999999998</v>
      </c>
      <c r="AB5137">
        <v>29</v>
      </c>
      <c r="AC5137">
        <v>20.2818</v>
      </c>
      <c r="AD5137">
        <v>-0.5917905</v>
      </c>
      <c r="AE5137">
        <v>-31.6071648</v>
      </c>
      <c r="AF5137">
        <v>-12.613528883324101</v>
      </c>
      <c r="AG5137">
        <v>-0.5917905</v>
      </c>
      <c r="AH5137">
        <v>35.363300126804702</v>
      </c>
      <c r="AI5137">
        <v>90.903018898301497</v>
      </c>
      <c r="AJ5137">
        <v>109.63051210375799</v>
      </c>
      <c r="AK5137">
        <v>37.550157426365203</v>
      </c>
      <c r="AL5137">
        <v>91.093665760586305</v>
      </c>
      <c r="AM5137">
        <v>89.951120988615799</v>
      </c>
      <c r="AN5137">
        <v>1.0000000354767</v>
      </c>
    </row>
    <row r="5138" spans="1:40" x14ac:dyDescent="0.25">
      <c r="A5138" t="str">
        <f>"20190312161420539"</f>
        <v>20190312161420539</v>
      </c>
      <c r="B5138" t="str">
        <f>"1552378460532145"</f>
        <v>1552378460532145</v>
      </c>
      <c r="C5138" t="s">
        <v>40</v>
      </c>
      <c r="D5138">
        <v>4.8569209999999998</v>
      </c>
      <c r="E5138">
        <v>0.36686780000000002</v>
      </c>
      <c r="F5138" t="s">
        <v>93</v>
      </c>
      <c r="G5138">
        <v>-399.68729999999999</v>
      </c>
      <c r="H5138">
        <v>0.52876829999999997</v>
      </c>
      <c r="I5138">
        <v>0.68396569999999901</v>
      </c>
      <c r="J5138">
        <v>-419.98410000000001</v>
      </c>
      <c r="K5138">
        <v>1.1149830000000001</v>
      </c>
      <c r="L5138">
        <v>32.084589999999999</v>
      </c>
      <c r="M5138">
        <v>0.23098450000000001</v>
      </c>
      <c r="N5138">
        <v>0</v>
      </c>
      <c r="O5138">
        <v>-0.97290650000000001</v>
      </c>
      <c r="P5138">
        <v>0.23063249999999999</v>
      </c>
      <c r="Q5138">
        <v>-2.889096E-2</v>
      </c>
      <c r="R5138">
        <v>-0.97261200000000003</v>
      </c>
      <c r="S5138">
        <v>1.7254640000000001</v>
      </c>
      <c r="T5138">
        <v>-4.9698350000000002E-2</v>
      </c>
      <c r="U5138">
        <v>-2.679932</v>
      </c>
      <c r="V5138">
        <v>5.2489080000000003E-4</v>
      </c>
      <c r="W5138">
        <v>-1.8929040000000001E-2</v>
      </c>
      <c r="X5138">
        <v>0.99982070000000001</v>
      </c>
      <c r="Y5138">
        <v>-0.33241510000000002</v>
      </c>
      <c r="Z5138">
        <v>1.5784969999999999E-2</v>
      </c>
      <c r="AA5138">
        <v>0.94300110000000004</v>
      </c>
      <c r="AB5138">
        <v>29</v>
      </c>
      <c r="AC5138">
        <v>20.296800000000001</v>
      </c>
      <c r="AD5138">
        <v>-0.58621469999999998</v>
      </c>
      <c r="AE5138">
        <v>-31.4006243</v>
      </c>
      <c r="AF5138">
        <v>-12.49137963704</v>
      </c>
      <c r="AG5138">
        <v>-0.58621469999999998</v>
      </c>
      <c r="AH5138">
        <v>35.231203349139903</v>
      </c>
      <c r="AI5138">
        <v>90.898469252891701</v>
      </c>
      <c r="AJ5138">
        <v>109.522187705593</v>
      </c>
      <c r="AK5138">
        <v>37.384701447779399</v>
      </c>
      <c r="AL5138">
        <v>91.084618871387704</v>
      </c>
      <c r="AM5138">
        <v>89.969920581978002</v>
      </c>
      <c r="AN5138">
        <v>1.0000000081070799</v>
      </c>
    </row>
    <row r="5139" spans="1:40" x14ac:dyDescent="0.25">
      <c r="A5139" t="str">
        <f>"20190312161420554"</f>
        <v>20190312161420554</v>
      </c>
      <c r="B5139" t="str">
        <f>"1552378460551665"</f>
        <v>1552378460551665</v>
      </c>
      <c r="C5139" t="s">
        <v>40</v>
      </c>
      <c r="D5139">
        <v>4.931794</v>
      </c>
      <c r="E5139">
        <v>0.36891659999999998</v>
      </c>
      <c r="F5139" t="s">
        <v>93</v>
      </c>
      <c r="G5139">
        <v>-399.73219999999998</v>
      </c>
      <c r="H5139">
        <v>0.51217250000000003</v>
      </c>
      <c r="I5139">
        <v>0.68351169999999895</v>
      </c>
      <c r="J5139">
        <v>-419.93799999999999</v>
      </c>
      <c r="K5139">
        <v>1.115083</v>
      </c>
      <c r="L5139">
        <v>31.909300000000002</v>
      </c>
      <c r="M5139">
        <v>0.23537759999999999</v>
      </c>
      <c r="N5139">
        <v>0</v>
      </c>
      <c r="O5139">
        <v>-0.97185239999999995</v>
      </c>
      <c r="P5139">
        <v>0.23529929999999999</v>
      </c>
      <c r="Q5139">
        <v>-2.9080979999999999E-2</v>
      </c>
      <c r="R5139">
        <v>-0.97148789999999996</v>
      </c>
      <c r="S5139">
        <v>1.7245790000000001</v>
      </c>
      <c r="T5139">
        <v>-5.1335449999999998E-2</v>
      </c>
      <c r="U5139">
        <v>-2.6740110000000001</v>
      </c>
      <c r="V5139">
        <v>2.4684449999999998E-4</v>
      </c>
      <c r="W5139">
        <v>-1.9064979999999999E-2</v>
      </c>
      <c r="X5139">
        <v>0.99981819999999999</v>
      </c>
      <c r="Y5139">
        <v>-0.32887640000000001</v>
      </c>
      <c r="Z5139">
        <v>1.632057E-2</v>
      </c>
      <c r="AA5139">
        <v>0.94423190000000001</v>
      </c>
      <c r="AB5139">
        <v>29</v>
      </c>
      <c r="AC5139">
        <v>20.2058</v>
      </c>
      <c r="AD5139">
        <v>-0.60291049999999902</v>
      </c>
      <c r="AE5139">
        <v>-31.225788300000001</v>
      </c>
      <c r="AF5139">
        <v>-12.284592286872799</v>
      </c>
      <c r="AG5139">
        <v>-0.60291049999999902</v>
      </c>
      <c r="AH5139">
        <v>35.095388375893201</v>
      </c>
      <c r="AI5139">
        <v>90.928944015542299</v>
      </c>
      <c r="AJ5139">
        <v>109.29180073309701</v>
      </c>
      <c r="AK5139">
        <v>37.188183526228997</v>
      </c>
      <c r="AL5139">
        <v>91.092409092052506</v>
      </c>
      <c r="AM5139">
        <v>89.985854280549503</v>
      </c>
      <c r="AN5139">
        <v>0.99999998372292298</v>
      </c>
    </row>
    <row r="5140" spans="1:40" x14ac:dyDescent="0.25">
      <c r="A5140" t="str">
        <f>"20190312161420574"</f>
        <v>20190312161420574</v>
      </c>
      <c r="B5140" t="str">
        <f>"1552378460561424"</f>
        <v>1552378460561424</v>
      </c>
      <c r="C5140" t="s">
        <v>40</v>
      </c>
      <c r="D5140">
        <v>4.9511129999999897</v>
      </c>
      <c r="E5140">
        <v>0.3699789</v>
      </c>
      <c r="F5140" t="s">
        <v>93</v>
      </c>
      <c r="G5140">
        <v>-399.79820000000001</v>
      </c>
      <c r="H5140">
        <v>0.48215940000000002</v>
      </c>
      <c r="I5140">
        <v>0.68283839999999996</v>
      </c>
      <c r="J5140">
        <v>-419.87189999999998</v>
      </c>
      <c r="K5140">
        <v>1.115248</v>
      </c>
      <c r="L5140">
        <v>31.663820000000001</v>
      </c>
      <c r="M5140">
        <v>0.24165829999999999</v>
      </c>
      <c r="N5140">
        <v>0</v>
      </c>
      <c r="O5140">
        <v>-0.97030859999999997</v>
      </c>
      <c r="P5140">
        <v>0.2417012</v>
      </c>
      <c r="Q5140">
        <v>-2.9154159999999998E-2</v>
      </c>
      <c r="R5140">
        <v>-0.96991289999999997</v>
      </c>
      <c r="S5140">
        <v>1.7216800000000001</v>
      </c>
      <c r="T5140">
        <v>-5.4108499999999997E-2</v>
      </c>
      <c r="U5140">
        <v>-2.6694339999999999</v>
      </c>
      <c r="V5140">
        <v>1.2549539999999999E-4</v>
      </c>
      <c r="W5140">
        <v>-1.9030999999999999E-2</v>
      </c>
      <c r="X5140">
        <v>0.99981889999999995</v>
      </c>
      <c r="Y5140">
        <v>-0.32276640000000001</v>
      </c>
      <c r="Z5140">
        <v>1.720942E-2</v>
      </c>
      <c r="AA5140">
        <v>0.9463222</v>
      </c>
      <c r="AB5140">
        <v>29</v>
      </c>
      <c r="AC5140">
        <v>20.073699999999899</v>
      </c>
      <c r="AD5140">
        <v>-0.6330886</v>
      </c>
      <c r="AE5140">
        <v>-30.9809816</v>
      </c>
      <c r="AF5140">
        <v>-11.9879611585123</v>
      </c>
      <c r="AG5140">
        <v>-0.6330886</v>
      </c>
      <c r="AH5140">
        <v>34.903612864529698</v>
      </c>
      <c r="AI5140">
        <v>90.982788840201806</v>
      </c>
      <c r="AJ5140">
        <v>108.95549710462301</v>
      </c>
      <c r="AK5140">
        <v>36.910353627544801</v>
      </c>
      <c r="AL5140">
        <v>91.090461795390596</v>
      </c>
      <c r="AM5140">
        <v>89.992808340859895</v>
      </c>
      <c r="AN5140">
        <v>1.00000001375365</v>
      </c>
    </row>
    <row r="5141" spans="1:40" x14ac:dyDescent="0.25">
      <c r="A5141" t="str">
        <f>"20190312161420597"</f>
        <v>20190312161420597</v>
      </c>
      <c r="B5141" t="str">
        <f>"1552378460591680"</f>
        <v>1552378460591680</v>
      </c>
      <c r="C5141" t="s">
        <v>40</v>
      </c>
      <c r="D5141">
        <v>4.9822689999999996</v>
      </c>
      <c r="E5141">
        <v>0.37184499999999998</v>
      </c>
      <c r="F5141" t="s">
        <v>93</v>
      </c>
      <c r="G5141">
        <v>-399.71050000000002</v>
      </c>
      <c r="H5141">
        <v>0.4758251</v>
      </c>
      <c r="I5141">
        <v>0.68373109999999904</v>
      </c>
      <c r="J5141">
        <v>-419.79149999999998</v>
      </c>
      <c r="K5141">
        <v>1.1154599999999999</v>
      </c>
      <c r="L5141">
        <v>31.374569999999999</v>
      </c>
      <c r="M5141">
        <v>0.249254</v>
      </c>
      <c r="N5141">
        <v>0</v>
      </c>
      <c r="O5141">
        <v>-0.96838340000000001</v>
      </c>
      <c r="P5141">
        <v>0.24939330000000001</v>
      </c>
      <c r="Q5141">
        <v>-2.8824679999999998E-2</v>
      </c>
      <c r="R5141">
        <v>-0.96797339999999998</v>
      </c>
      <c r="S5141">
        <v>1.7311099999999999</v>
      </c>
      <c r="T5141">
        <v>-5.4904700000000001E-2</v>
      </c>
      <c r="U5141">
        <v>-2.660034</v>
      </c>
      <c r="V5141" s="1">
        <v>2.677901E-5</v>
      </c>
      <c r="W5141">
        <v>-1.8529549999999999E-2</v>
      </c>
      <c r="X5141">
        <v>0.9998283</v>
      </c>
      <c r="Y5141">
        <v>-0.31922699999999998</v>
      </c>
      <c r="Z5141">
        <v>1.7458020000000001E-2</v>
      </c>
      <c r="AA5141">
        <v>0.94751750000000001</v>
      </c>
      <c r="AB5141">
        <v>29</v>
      </c>
      <c r="AC5141">
        <v>20.0809999999999</v>
      </c>
      <c r="AD5141">
        <v>-0.63963490000000001</v>
      </c>
      <c r="AE5141">
        <v>-30.690838899999999</v>
      </c>
      <c r="AF5141">
        <v>-11.7933312256141</v>
      </c>
      <c r="AG5141">
        <v>-0.63963490000000001</v>
      </c>
      <c r="AH5141">
        <v>34.717050559318203</v>
      </c>
      <c r="AI5141">
        <v>90.999432680177406</v>
      </c>
      <c r="AJ5141">
        <v>108.762548962362</v>
      </c>
      <c r="AK5141">
        <v>36.671042986811798</v>
      </c>
      <c r="AL5141">
        <v>91.061725787003596</v>
      </c>
      <c r="AM5141">
        <v>89.998465412259094</v>
      </c>
      <c r="AN5141">
        <v>0.99999998721060301</v>
      </c>
    </row>
    <row r="5142" spans="1:40" x14ac:dyDescent="0.25">
      <c r="A5142" t="str">
        <f>"20190312161420619"</f>
        <v>20190312161420619</v>
      </c>
      <c r="B5142" t="str">
        <f>"1552378460612176"</f>
        <v>1552378460612176</v>
      </c>
      <c r="C5142" t="s">
        <v>40</v>
      </c>
      <c r="D5142">
        <v>5.0035100000000003</v>
      </c>
      <c r="E5142">
        <v>0.39906370000000002</v>
      </c>
      <c r="F5142" t="s">
        <v>93</v>
      </c>
      <c r="G5142">
        <v>-399.66460000000001</v>
      </c>
      <c r="H5142">
        <v>0.46312550000000002</v>
      </c>
      <c r="I5142">
        <v>0.68419839999999998</v>
      </c>
      <c r="J5142">
        <v>-419.71319999999997</v>
      </c>
      <c r="K5142">
        <v>1.115661</v>
      </c>
      <c r="L5142">
        <v>31.101289999999999</v>
      </c>
      <c r="M5142">
        <v>0.25661400000000001</v>
      </c>
      <c r="N5142">
        <v>0</v>
      </c>
      <c r="O5142">
        <v>-0.96645720000000002</v>
      </c>
      <c r="P5142">
        <v>0.25715120000000002</v>
      </c>
      <c r="Q5142">
        <v>-2.9072899999999999E-2</v>
      </c>
      <c r="R5142">
        <v>-0.96593410000000002</v>
      </c>
      <c r="S5142">
        <v>1.7377929999999999</v>
      </c>
      <c r="T5142">
        <v>-5.6326029999999999E-2</v>
      </c>
      <c r="U5142">
        <v>-2.6498719999999998</v>
      </c>
      <c r="V5142">
        <v>-3.8122919999999998E-4</v>
      </c>
      <c r="W5142">
        <v>-1.857114E-2</v>
      </c>
      <c r="X5142">
        <v>0.99982740000000003</v>
      </c>
      <c r="Y5142">
        <v>-0.31534190000000001</v>
      </c>
      <c r="Z5142">
        <v>1.7914900000000001E-2</v>
      </c>
      <c r="AA5142">
        <v>0.94880900000000001</v>
      </c>
      <c r="AB5142">
        <v>29</v>
      </c>
      <c r="AC5142">
        <v>20.048599999999901</v>
      </c>
      <c r="AD5142">
        <v>-0.65253549999999905</v>
      </c>
      <c r="AE5142">
        <v>-30.417091599999999</v>
      </c>
      <c r="AF5142">
        <v>-11.5675858310174</v>
      </c>
      <c r="AG5142">
        <v>-0.65253549999999905</v>
      </c>
      <c r="AH5142">
        <v>34.532384596442597</v>
      </c>
      <c r="AI5142">
        <v>91.026503184428705</v>
      </c>
      <c r="AJ5142">
        <v>108.519711232232</v>
      </c>
      <c r="AK5142">
        <v>36.424173709960002</v>
      </c>
      <c r="AL5142">
        <v>91.064109188237296</v>
      </c>
      <c r="AM5142">
        <v>90.021846593850697</v>
      </c>
      <c r="AN5142">
        <v>0.99999993118367903</v>
      </c>
    </row>
    <row r="5143" spans="1:40" x14ac:dyDescent="0.25">
      <c r="A5143" t="str">
        <f>"20190312161420640"</f>
        <v>20190312161420640</v>
      </c>
      <c r="B5143" t="str">
        <f>"1552378460631697"</f>
        <v>1552378460631697</v>
      </c>
      <c r="C5143" t="s">
        <v>40</v>
      </c>
      <c r="D5143">
        <v>5.0580540000000003</v>
      </c>
      <c r="E5143">
        <v>0.39998319999999998</v>
      </c>
      <c r="F5143" t="s">
        <v>41</v>
      </c>
      <c r="G5143">
        <v>-401.48230000000001</v>
      </c>
      <c r="H5143">
        <v>-0.05</v>
      </c>
      <c r="I5143">
        <v>-0.5513458</v>
      </c>
      <c r="J5143">
        <v>-419.63369999999998</v>
      </c>
      <c r="K5143">
        <v>1.1158650000000001</v>
      </c>
      <c r="L5143">
        <v>30.832730000000002</v>
      </c>
      <c r="M5143">
        <v>0.2640284</v>
      </c>
      <c r="N5143">
        <v>0</v>
      </c>
      <c r="O5143">
        <v>-0.96445460000000005</v>
      </c>
      <c r="P5143">
        <v>0.26474510000000001</v>
      </c>
      <c r="Q5143">
        <v>-2.9530399999999998E-2</v>
      </c>
      <c r="R5143">
        <v>-0.96386620000000001</v>
      </c>
      <c r="S5143">
        <v>1.5495300000000001</v>
      </c>
      <c r="T5143">
        <v>-9.9075079999999996E-2</v>
      </c>
      <c r="U5143">
        <v>-2.6903079999999999</v>
      </c>
      <c r="V5143">
        <v>-5.6477769999999897E-4</v>
      </c>
      <c r="W5143">
        <v>-1.8757759999999998E-2</v>
      </c>
      <c r="X5143">
        <v>0.99982389999999999</v>
      </c>
      <c r="Y5143">
        <v>-0.25232270000000001</v>
      </c>
      <c r="Z5143">
        <v>3.1844589999999999E-2</v>
      </c>
      <c r="AA5143">
        <v>0.96711899999999995</v>
      </c>
      <c r="AB5143">
        <v>29</v>
      </c>
      <c r="AC5143">
        <v>18.151399999999899</v>
      </c>
      <c r="AD5143">
        <v>-1.1658649999999999</v>
      </c>
      <c r="AE5143">
        <v>-31.384075800000002</v>
      </c>
      <c r="AF5143">
        <v>-9.21092530770213</v>
      </c>
      <c r="AG5143">
        <v>-1.1658649999999999</v>
      </c>
      <c r="AH5143">
        <v>35.026819999567302</v>
      </c>
      <c r="AI5143">
        <v>91.843743518346002</v>
      </c>
      <c r="AJ5143">
        <v>104.73337540255299</v>
      </c>
      <c r="AK5143">
        <v>36.236425120372701</v>
      </c>
      <c r="AL5143">
        <v>91.074803514405701</v>
      </c>
      <c r="AM5143">
        <v>90.032365074620898</v>
      </c>
      <c r="AN5143">
        <v>1.00000000177263</v>
      </c>
    </row>
    <row r="5144" spans="1:40" x14ac:dyDescent="0.25">
      <c r="A5144" t="str">
        <f>"20190312161420663"</f>
        <v>20190312161420663</v>
      </c>
      <c r="B5144" t="str">
        <f>"1552378460651216"</f>
        <v>1552378460651216</v>
      </c>
      <c r="C5144" t="s">
        <v>40</v>
      </c>
      <c r="D5144">
        <v>5.125604</v>
      </c>
      <c r="E5144">
        <v>0.40100350000000001</v>
      </c>
      <c r="F5144" t="s">
        <v>41</v>
      </c>
      <c r="G5144">
        <v>-402.11450000000002</v>
      </c>
      <c r="H5144">
        <v>-0.05</v>
      </c>
      <c r="I5144">
        <v>0.80541989999999997</v>
      </c>
      <c r="J5144">
        <v>-419.54969999999997</v>
      </c>
      <c r="K5144">
        <v>1.1160779999999999</v>
      </c>
      <c r="L5144">
        <v>30.557130000000001</v>
      </c>
      <c r="M5144">
        <v>0.27184130000000001</v>
      </c>
      <c r="N5144">
        <v>0</v>
      </c>
      <c r="O5144">
        <v>-0.96227770000000001</v>
      </c>
      <c r="P5144">
        <v>0.2724586</v>
      </c>
      <c r="Q5144">
        <v>-3.0373049999999999E-2</v>
      </c>
      <c r="R5144">
        <v>-0.96168830000000005</v>
      </c>
      <c r="S5144">
        <v>1.5635380000000001</v>
      </c>
      <c r="T5144">
        <v>-0.10404969999999999</v>
      </c>
      <c r="U5144">
        <v>-2.67984</v>
      </c>
      <c r="V5144">
        <v>-4.5750400000000002E-4</v>
      </c>
      <c r="W5144">
        <v>-1.9251560000000001E-2</v>
      </c>
      <c r="X5144">
        <v>0.9998146</v>
      </c>
      <c r="Y5144">
        <v>-0.24985879999999999</v>
      </c>
      <c r="Z5144">
        <v>3.3412730000000002E-2</v>
      </c>
      <c r="AA5144">
        <v>0.96770560000000005</v>
      </c>
      <c r="AB5144">
        <v>29</v>
      </c>
      <c r="AC5144">
        <v>17.435199999999899</v>
      </c>
      <c r="AD5144">
        <v>-1.1660779999999999</v>
      </c>
      <c r="AE5144">
        <v>-29.7517101</v>
      </c>
      <c r="AF5144">
        <v>-8.6803735390761094</v>
      </c>
      <c r="AG5144">
        <v>-1.1660779999999999</v>
      </c>
      <c r="AH5144">
        <v>33.332967908981402</v>
      </c>
      <c r="AI5144">
        <v>91.938930823823597</v>
      </c>
      <c r="AJ5144">
        <v>104.596435714468</v>
      </c>
      <c r="AK5144">
        <v>34.464407325546198</v>
      </c>
      <c r="AL5144">
        <v>91.103101246694607</v>
      </c>
      <c r="AM5144">
        <v>90.026217907280795</v>
      </c>
      <c r="AN5144">
        <v>1.0000000331227501</v>
      </c>
    </row>
    <row r="5145" spans="1:40" x14ac:dyDescent="0.25">
      <c r="A5145" t="str">
        <f>"20190312161420686"</f>
        <v>20190312161420686</v>
      </c>
      <c r="B5145" t="str">
        <f>"1552378460681476"</f>
        <v>1552378460681476</v>
      </c>
      <c r="C5145" t="s">
        <v>40</v>
      </c>
      <c r="D5145">
        <v>5.1438670000000002</v>
      </c>
      <c r="E5145">
        <v>0.40248529999999999</v>
      </c>
      <c r="F5145" t="s">
        <v>77</v>
      </c>
      <c r="G5145">
        <v>-404.78579999999999</v>
      </c>
      <c r="H5145">
        <v>7.9986589999999996E-2</v>
      </c>
      <c r="I5145">
        <v>5.569763</v>
      </c>
      <c r="J5145">
        <v>-419.4606</v>
      </c>
      <c r="K5145">
        <v>1.1163110000000001</v>
      </c>
      <c r="L5145">
        <v>30.274229999999999</v>
      </c>
      <c r="M5145">
        <v>0.28009529999999999</v>
      </c>
      <c r="N5145">
        <v>0</v>
      </c>
      <c r="O5145">
        <v>-0.95990310000000001</v>
      </c>
      <c r="P5145">
        <v>0.28058899999999998</v>
      </c>
      <c r="Q5145">
        <v>-3.1154870000000001E-2</v>
      </c>
      <c r="R5145">
        <v>-0.95932260000000003</v>
      </c>
      <c r="S5145">
        <v>1.577118</v>
      </c>
      <c r="T5145">
        <v>-0.1106782</v>
      </c>
      <c r="U5145">
        <v>-2.6692200000000001</v>
      </c>
      <c r="V5145">
        <v>-3.259189E-4</v>
      </c>
      <c r="W5145">
        <v>-1.9640060000000001E-2</v>
      </c>
      <c r="X5145">
        <v>0.99980709999999995</v>
      </c>
      <c r="Y5145">
        <v>-0.24683459999999999</v>
      </c>
      <c r="Z5145">
        <v>3.5501970000000001E-2</v>
      </c>
      <c r="AA5145">
        <v>0.96840709999999997</v>
      </c>
      <c r="AB5145">
        <v>29</v>
      </c>
      <c r="AC5145">
        <v>14.674799999999999</v>
      </c>
      <c r="AD5145">
        <v>-1.03632441</v>
      </c>
      <c r="AE5145">
        <v>-24.704467000000001</v>
      </c>
      <c r="AF5145">
        <v>-7.15794572634218</v>
      </c>
      <c r="AG5145">
        <v>-1.03632441</v>
      </c>
      <c r="AH5145">
        <v>27.789935314899999</v>
      </c>
      <c r="AI5145">
        <v>92.068204469529903</v>
      </c>
      <c r="AJ5145">
        <v>104.443904412132</v>
      </c>
      <c r="AK5145">
        <v>28.715686655734899</v>
      </c>
      <c r="AL5145">
        <v>91.125364861066998</v>
      </c>
      <c r="AM5145">
        <v>90.018677379638603</v>
      </c>
      <c r="AN5145">
        <v>1.0000000376951701</v>
      </c>
    </row>
    <row r="5146" spans="1:40" x14ac:dyDescent="0.25">
      <c r="A5146" t="str">
        <f>"20190312161420708"</f>
        <v>20190312161420708</v>
      </c>
      <c r="B5146" t="str">
        <f>"1552378460701968"</f>
        <v>1552378460701968</v>
      </c>
      <c r="C5146" t="s">
        <v>40</v>
      </c>
      <c r="D5146">
        <v>5.1745419999999998</v>
      </c>
      <c r="E5146">
        <v>0.4088195</v>
      </c>
      <c r="F5146" t="s">
        <v>77</v>
      </c>
      <c r="G5146">
        <v>-405.47669999999999</v>
      </c>
      <c r="H5146">
        <v>7.9986570000000007E-2</v>
      </c>
      <c r="I5146">
        <v>6.8634000000000004</v>
      </c>
      <c r="J5146">
        <v>-419.37110000000001</v>
      </c>
      <c r="K5146">
        <v>1.1165389999999999</v>
      </c>
      <c r="L5146">
        <v>29.999110000000002</v>
      </c>
      <c r="M5146">
        <v>0.28836240000000002</v>
      </c>
      <c r="N5146">
        <v>0</v>
      </c>
      <c r="O5146">
        <v>-0.95744739999999995</v>
      </c>
      <c r="P5146">
        <v>0.28921619999999998</v>
      </c>
      <c r="Q5146">
        <v>-3.1821750000000003E-2</v>
      </c>
      <c r="R5146">
        <v>-0.95673470000000005</v>
      </c>
      <c r="S5146">
        <v>1.5881959999999999</v>
      </c>
      <c r="T5146">
        <v>-0.1176987</v>
      </c>
      <c r="U5146">
        <v>-2.6588440000000002</v>
      </c>
      <c r="V5146">
        <v>-6.9920629999999995E-4</v>
      </c>
      <c r="W5146">
        <v>-1.9936679999999998E-2</v>
      </c>
      <c r="X5146">
        <v>0.99980100000000005</v>
      </c>
      <c r="Y5146">
        <v>-0.24306440000000001</v>
      </c>
      <c r="Z5146">
        <v>3.771538E-2</v>
      </c>
      <c r="AA5146">
        <v>0.96927669999999999</v>
      </c>
      <c r="AB5146">
        <v>29</v>
      </c>
      <c r="AC5146">
        <v>13.894399999999999</v>
      </c>
      <c r="AD5146">
        <v>-1.03655243</v>
      </c>
      <c r="AE5146">
        <v>-23.13571</v>
      </c>
      <c r="AF5146">
        <v>-6.62238825482902</v>
      </c>
      <c r="AG5146">
        <v>-1.03655243</v>
      </c>
      <c r="AH5146">
        <v>26.1211651028174</v>
      </c>
      <c r="AI5146">
        <v>92.202826599599106</v>
      </c>
      <c r="AJ5146">
        <v>104.22621337305399</v>
      </c>
      <c r="AK5146">
        <v>26.967494015322998</v>
      </c>
      <c r="AL5146">
        <v>91.142363306285901</v>
      </c>
      <c r="AM5146">
        <v>90.040069537305698</v>
      </c>
      <c r="AN5146">
        <v>0.99999999984993604</v>
      </c>
    </row>
    <row r="5147" spans="1:40" x14ac:dyDescent="0.25">
      <c r="A5147" t="str">
        <f>"20190312161420720"</f>
        <v>20190312161420720</v>
      </c>
      <c r="B5147" t="str">
        <f>"1552378460711729"</f>
        <v>1552378460711729</v>
      </c>
      <c r="C5147" t="s">
        <v>40</v>
      </c>
      <c r="D5147">
        <v>5.201568</v>
      </c>
      <c r="E5147">
        <v>0.40891690000000003</v>
      </c>
      <c r="F5147" t="s">
        <v>77</v>
      </c>
      <c r="G5147">
        <v>-408.41230000000002</v>
      </c>
      <c r="H5147" s="1">
        <v>-2.6171509999999998E-6</v>
      </c>
      <c r="I5147">
        <v>11.37946</v>
      </c>
      <c r="J5147">
        <v>-419.31810000000002</v>
      </c>
      <c r="K5147">
        <v>1.1166659999999999</v>
      </c>
      <c r="L5147">
        <v>29.84113</v>
      </c>
      <c r="M5147">
        <v>0.293242</v>
      </c>
      <c r="N5147">
        <v>0</v>
      </c>
      <c r="O5147">
        <v>-0.95596150000000002</v>
      </c>
      <c r="P5147">
        <v>0.29463709999999999</v>
      </c>
      <c r="Q5147">
        <v>-3.198724E-2</v>
      </c>
      <c r="R5147">
        <v>-0.95507370000000003</v>
      </c>
      <c r="S5147">
        <v>1.564117</v>
      </c>
      <c r="T5147">
        <v>-0.1593609</v>
      </c>
      <c r="U5147">
        <v>-2.6575319999999998</v>
      </c>
      <c r="V5147">
        <v>-1.2660530000000001E-3</v>
      </c>
      <c r="W5147">
        <v>-1.9905829999999999E-2</v>
      </c>
      <c r="X5147">
        <v>0.99980100000000005</v>
      </c>
      <c r="Y5147">
        <v>-0.23150000000000001</v>
      </c>
      <c r="Z5147">
        <v>5.1121369999999999E-2</v>
      </c>
      <c r="AA5147">
        <v>0.97149079999999999</v>
      </c>
      <c r="AB5147">
        <v>29</v>
      </c>
      <c r="AC5147">
        <v>10.905799999999999</v>
      </c>
      <c r="AD5147">
        <v>-1.1166686171510001</v>
      </c>
      <c r="AE5147">
        <v>-18.461670000000002</v>
      </c>
      <c r="AF5147">
        <v>-4.9985988683510598</v>
      </c>
      <c r="AG5147">
        <v>-1.1166686171510001</v>
      </c>
      <c r="AH5147">
        <v>20.791824201498802</v>
      </c>
      <c r="AI5147">
        <v>92.989225863166894</v>
      </c>
      <c r="AJ5147">
        <v>103.518037937145</v>
      </c>
      <c r="AK5147">
        <v>21.4133811686347</v>
      </c>
      <c r="AL5147">
        <v>91.140595446319594</v>
      </c>
      <c r="AM5147">
        <v>90.072553892991493</v>
      </c>
      <c r="AN5147">
        <v>0.99999994227959199</v>
      </c>
    </row>
    <row r="5148" spans="1:40" x14ac:dyDescent="0.25">
      <c r="A5148" t="str">
        <f>"20190312161420734"</f>
        <v>20190312161420734</v>
      </c>
      <c r="B5148" t="str">
        <f>"1552378460731249"</f>
        <v>1552378460731249</v>
      </c>
      <c r="C5148" t="s">
        <v>40</v>
      </c>
      <c r="D5148">
        <v>5.248456</v>
      </c>
      <c r="E5148">
        <v>0.4099621</v>
      </c>
      <c r="F5148" t="s">
        <v>77</v>
      </c>
      <c r="G5148">
        <v>-408.00220000000002</v>
      </c>
      <c r="H5148" s="1">
        <v>-2.7412169999999999E-6</v>
      </c>
      <c r="I5148">
        <v>10.84563</v>
      </c>
      <c r="J5148">
        <v>-419.26679999999999</v>
      </c>
      <c r="K5148">
        <v>1.1167849999999999</v>
      </c>
      <c r="L5148">
        <v>29.690249999999999</v>
      </c>
      <c r="M5148">
        <v>0.2979427</v>
      </c>
      <c r="N5148">
        <v>0</v>
      </c>
      <c r="O5148">
        <v>-0.95450460000000004</v>
      </c>
      <c r="P5148">
        <v>0.29989450000000001</v>
      </c>
      <c r="Q5148">
        <v>-3.1693270000000003E-2</v>
      </c>
      <c r="R5148">
        <v>-0.95344600000000002</v>
      </c>
      <c r="S5148">
        <v>1.5780940000000001</v>
      </c>
      <c r="T5148">
        <v>-0.1557287</v>
      </c>
      <c r="U5148">
        <v>-2.6490779999999998</v>
      </c>
      <c r="V5148">
        <v>-1.853417E-3</v>
      </c>
      <c r="W5148">
        <v>-1.9431029999999998E-2</v>
      </c>
      <c r="X5148">
        <v>0.99980950000000002</v>
      </c>
      <c r="Y5148">
        <v>-0.23189019999999999</v>
      </c>
      <c r="Z5148">
        <v>4.9919089999999999E-2</v>
      </c>
      <c r="AA5148">
        <v>0.9714602</v>
      </c>
      <c r="AB5148">
        <v>29</v>
      </c>
      <c r="AC5148">
        <v>11.2645999999999</v>
      </c>
      <c r="AD5148">
        <v>-1.116787741217</v>
      </c>
      <c r="AE5148">
        <v>-18.844619999999999</v>
      </c>
      <c r="AF5148">
        <v>-5.12462368975181</v>
      </c>
      <c r="AG5148">
        <v>-1.116787741217</v>
      </c>
      <c r="AH5148">
        <v>21.2900062641218</v>
      </c>
      <c r="AI5148">
        <v>92.919517144476103</v>
      </c>
      <c r="AJ5148">
        <v>103.533953128147</v>
      </c>
      <c r="AK5148">
        <v>21.926544405054901</v>
      </c>
      <c r="AL5148">
        <v>91.113386060427203</v>
      </c>
      <c r="AM5148">
        <v>90.106213083727695</v>
      </c>
      <c r="AN5148">
        <v>1.0000000181858399</v>
      </c>
    </row>
    <row r="5149" spans="1:40" x14ac:dyDescent="0.25">
      <c r="A5149" t="str">
        <f>"20190312161420752"</f>
        <v>20190312161420752</v>
      </c>
      <c r="B5149" t="str">
        <f>"1552378460741984"</f>
        <v>1552378460741984</v>
      </c>
      <c r="C5149" t="s">
        <v>40</v>
      </c>
      <c r="D5149">
        <v>5.2309130000000001</v>
      </c>
      <c r="E5149">
        <v>0.4101495</v>
      </c>
      <c r="F5149" t="s">
        <v>77</v>
      </c>
      <c r="G5149">
        <v>-407.81229999999999</v>
      </c>
      <c r="H5149" s="1">
        <v>-2.796743E-6</v>
      </c>
      <c r="I5149">
        <v>10.589930000000001</v>
      </c>
      <c r="J5149">
        <v>-419.18759999999997</v>
      </c>
      <c r="K5149">
        <v>1.116954</v>
      </c>
      <c r="L5149">
        <v>29.462589999999999</v>
      </c>
      <c r="M5149">
        <v>0.30515239999999999</v>
      </c>
      <c r="N5149">
        <v>0</v>
      </c>
      <c r="O5149">
        <v>-0.95222070000000003</v>
      </c>
      <c r="P5149">
        <v>0.30873129999999999</v>
      </c>
      <c r="Q5149">
        <v>-3.1595400000000003E-2</v>
      </c>
      <c r="R5149">
        <v>-0.95062460000000004</v>
      </c>
      <c r="S5149">
        <v>1.5849</v>
      </c>
      <c r="T5149">
        <v>-0.15452479999999999</v>
      </c>
      <c r="U5149">
        <v>-2.6428219999999998</v>
      </c>
      <c r="V5149">
        <v>-3.5697239999999998E-3</v>
      </c>
      <c r="W5149">
        <v>-1.9089729999999999E-2</v>
      </c>
      <c r="X5149">
        <v>0.99981140000000002</v>
      </c>
      <c r="Y5149">
        <v>-0.22739480000000001</v>
      </c>
      <c r="Z5149">
        <v>4.945679E-2</v>
      </c>
      <c r="AA5149">
        <v>0.97254589999999996</v>
      </c>
      <c r="AB5149">
        <v>29</v>
      </c>
      <c r="AC5149">
        <v>11.3752999999999</v>
      </c>
      <c r="AD5149">
        <v>-1.1169567967430001</v>
      </c>
      <c r="AE5149">
        <v>-18.87266</v>
      </c>
      <c r="AF5149">
        <v>-5.0601576814404501</v>
      </c>
      <c r="AG5149">
        <v>-1.1169567967430001</v>
      </c>
      <c r="AH5149">
        <v>21.388874405965002</v>
      </c>
      <c r="AI5149">
        <v>92.9091889318493</v>
      </c>
      <c r="AJ5149">
        <v>103.31025417177401</v>
      </c>
      <c r="AK5149">
        <v>22.007651773893901</v>
      </c>
      <c r="AL5149">
        <v>91.093827404961601</v>
      </c>
      <c r="AM5149">
        <v>90.2045678316275</v>
      </c>
      <c r="AN5149">
        <v>0.99999999814543405</v>
      </c>
    </row>
    <row r="5150" spans="1:40" x14ac:dyDescent="0.25">
      <c r="A5150" t="str">
        <f>"20190312161420766"</f>
        <v>20190312161420766</v>
      </c>
      <c r="B5150" t="str">
        <f>"1552378460761505"</f>
        <v>1552378460761505</v>
      </c>
      <c r="C5150" t="s">
        <v>40</v>
      </c>
      <c r="D5150">
        <v>5.2541159999999998</v>
      </c>
      <c r="E5150">
        <v>0.41081010000000001</v>
      </c>
      <c r="F5150" t="s">
        <v>77</v>
      </c>
      <c r="G5150">
        <v>-407.58019999999999</v>
      </c>
      <c r="H5150" s="1">
        <v>-2.9115009999999998E-6</v>
      </c>
      <c r="I5150">
        <v>10.48821</v>
      </c>
      <c r="J5150">
        <v>-419.12709999999998</v>
      </c>
      <c r="K5150">
        <v>1.1170690000000001</v>
      </c>
      <c r="L5150">
        <v>29.29233</v>
      </c>
      <c r="M5150">
        <v>0.31063839999999998</v>
      </c>
      <c r="N5150">
        <v>0</v>
      </c>
      <c r="O5150">
        <v>-0.95044240000000002</v>
      </c>
      <c r="P5150">
        <v>0.31595859999999998</v>
      </c>
      <c r="Q5150">
        <v>-3.1458949999999999E-2</v>
      </c>
      <c r="R5150">
        <v>-0.94825119999999896</v>
      </c>
      <c r="S5150">
        <v>1.6079410000000001</v>
      </c>
      <c r="T5150">
        <v>-0.15472959999999999</v>
      </c>
      <c r="U5150">
        <v>-2.628479</v>
      </c>
      <c r="V5150">
        <v>-5.4128519999999897E-3</v>
      </c>
      <c r="W5150">
        <v>-1.879347E-2</v>
      </c>
      <c r="X5150">
        <v>0.99980869999999999</v>
      </c>
      <c r="Y5150">
        <v>-0.23034160000000001</v>
      </c>
      <c r="Z5150">
        <v>4.9494169999999997E-2</v>
      </c>
      <c r="AA5150">
        <v>0.97185029999999994</v>
      </c>
      <c r="AB5150">
        <v>29</v>
      </c>
      <c r="AC5150">
        <v>11.5468999999999</v>
      </c>
      <c r="AD5150">
        <v>-1.1170719115009999</v>
      </c>
      <c r="AE5150">
        <v>-18.804120000000001</v>
      </c>
      <c r="AF5150">
        <v>-5.12067728334232</v>
      </c>
      <c r="AG5150">
        <v>-1.1170719115009999</v>
      </c>
      <c r="AH5150">
        <v>21.406035466363299</v>
      </c>
      <c r="AI5150">
        <v>92.905436757754302</v>
      </c>
      <c r="AJ5150">
        <v>103.453280419138</v>
      </c>
      <c r="AK5150">
        <v>22.038319806255799</v>
      </c>
      <c r="AL5150">
        <v>91.076849946983202</v>
      </c>
      <c r="AM5150">
        <v>90.3101898840834</v>
      </c>
      <c r="AN5150">
        <v>0.99999996503855104</v>
      </c>
    </row>
    <row r="5151" spans="1:40" x14ac:dyDescent="0.25">
      <c r="A5151" t="str">
        <f>"20190312161420798"</f>
        <v>20190312161420798</v>
      </c>
      <c r="B5151" t="str">
        <f>"1552378460791760"</f>
        <v>1552378460791760</v>
      </c>
      <c r="C5151" t="s">
        <v>40</v>
      </c>
      <c r="D5151">
        <v>5.3108559999999896</v>
      </c>
      <c r="E5151">
        <v>0.41678159999999997</v>
      </c>
      <c r="F5151" t="s">
        <v>77</v>
      </c>
      <c r="G5151">
        <v>-407.49369999999999</v>
      </c>
      <c r="H5151" s="1">
        <v>-2.971651E-6</v>
      </c>
      <c r="I5151">
        <v>10.52843</v>
      </c>
      <c r="J5151">
        <v>-418.98750000000001</v>
      </c>
      <c r="K5151">
        <v>1.117292</v>
      </c>
      <c r="L5151">
        <v>28.913150000000002</v>
      </c>
      <c r="M5151">
        <v>0.32322339999999999</v>
      </c>
      <c r="N5151">
        <v>0</v>
      </c>
      <c r="O5151">
        <v>-0.9462313</v>
      </c>
      <c r="P5151">
        <v>0.33166289999999998</v>
      </c>
      <c r="Q5151">
        <v>-3.2888849999999997E-2</v>
      </c>
      <c r="R5151">
        <v>-0.94282449999999995</v>
      </c>
      <c r="S5151">
        <v>1.622986</v>
      </c>
      <c r="T5151">
        <v>-0.1558436</v>
      </c>
      <c r="U5151">
        <v>-2.6177670000000002</v>
      </c>
      <c r="V5151">
        <v>-8.7345949999999995E-3</v>
      </c>
      <c r="W5151">
        <v>-1.9898639999999999E-2</v>
      </c>
      <c r="X5151">
        <v>0.99976379999999998</v>
      </c>
      <c r="Y5151">
        <v>-0.2232278</v>
      </c>
      <c r="Z5151">
        <v>4.9671020000000003E-2</v>
      </c>
      <c r="AA5151">
        <v>0.97350000000000003</v>
      </c>
      <c r="AB5151">
        <v>29</v>
      </c>
      <c r="AC5151">
        <v>11.4938</v>
      </c>
      <c r="AD5151">
        <v>-1.1172949716509999</v>
      </c>
      <c r="AE5151">
        <v>-18.384720000000002</v>
      </c>
      <c r="AF5151">
        <v>-4.9207813490725396</v>
      </c>
      <c r="AG5151">
        <v>-1.1172949716509999</v>
      </c>
      <c r="AH5151">
        <v>21.057171995845898</v>
      </c>
      <c r="AI5151">
        <v>92.957730370190006</v>
      </c>
      <c r="AJ5151">
        <v>103.153222643842</v>
      </c>
      <c r="AK5151">
        <v>21.653335299710601</v>
      </c>
      <c r="AL5151">
        <v>91.140183396480396</v>
      </c>
      <c r="AM5151">
        <v>90.5005609292092</v>
      </c>
      <c r="AN5151">
        <v>0.99999995240704997</v>
      </c>
    </row>
    <row r="5152" spans="1:40" x14ac:dyDescent="0.25">
      <c r="A5152" t="str">
        <f>"20190312161420820"</f>
        <v>20190312161420820</v>
      </c>
      <c r="B5152" t="str">
        <f>"1552378460811280"</f>
        <v>1552378460811280</v>
      </c>
      <c r="C5152" t="s">
        <v>40</v>
      </c>
      <c r="D5152">
        <v>5.3934220000000002</v>
      </c>
      <c r="E5152">
        <v>0.41636260000000003</v>
      </c>
      <c r="F5152" t="s">
        <v>77</v>
      </c>
      <c r="G5152">
        <v>-408.58629999999999</v>
      </c>
      <c r="H5152" s="1">
        <v>-2.6959680000000001E-6</v>
      </c>
      <c r="I5152">
        <v>12.19711</v>
      </c>
      <c r="J5152">
        <v>-418.88850000000002</v>
      </c>
      <c r="K5152">
        <v>1.117432</v>
      </c>
      <c r="L5152">
        <v>28.653659999999999</v>
      </c>
      <c r="M5152">
        <v>0.33207680000000001</v>
      </c>
      <c r="N5152">
        <v>0</v>
      </c>
      <c r="O5152">
        <v>-0.94315729999999998</v>
      </c>
      <c r="P5152">
        <v>0.34143659999999998</v>
      </c>
      <c r="Q5152">
        <v>-3.3792889999999999E-2</v>
      </c>
      <c r="R5152">
        <v>-0.93929720000000005</v>
      </c>
      <c r="S5152">
        <v>1.621246</v>
      </c>
      <c r="T5152">
        <v>-0.1741549</v>
      </c>
      <c r="U5152">
        <v>-2.6055600000000001</v>
      </c>
      <c r="V5152">
        <v>-9.7384380000000003E-3</v>
      </c>
      <c r="W5152">
        <v>-2.0585969999999999E-2</v>
      </c>
      <c r="X5152">
        <v>0.99974070000000004</v>
      </c>
      <c r="Y5152">
        <v>-0.2154848</v>
      </c>
      <c r="Z5152">
        <v>5.5501719999999997E-2</v>
      </c>
      <c r="AA5152">
        <v>0.97492869999999998</v>
      </c>
      <c r="AB5152">
        <v>29</v>
      </c>
      <c r="AC5152">
        <v>10.302199999999999</v>
      </c>
      <c r="AD5152">
        <v>-1.1174346959679999</v>
      </c>
      <c r="AE5152">
        <v>-16.45655</v>
      </c>
      <c r="AF5152">
        <v>-4.2380991785653803</v>
      </c>
      <c r="AG5152">
        <v>-1.1174346959679999</v>
      </c>
      <c r="AH5152">
        <v>18.8813906135492</v>
      </c>
      <c r="AI5152">
        <v>93.304876070750495</v>
      </c>
      <c r="AJ5152">
        <v>102.650879912864</v>
      </c>
      <c r="AK5152">
        <v>19.3834222068378</v>
      </c>
      <c r="AL5152">
        <v>91.179572470754493</v>
      </c>
      <c r="AM5152">
        <v>90.558098464425001</v>
      </c>
      <c r="AN5152">
        <v>1.0000000432859999</v>
      </c>
    </row>
    <row r="5153" spans="1:40" x14ac:dyDescent="0.25">
      <c r="A5153" t="str">
        <f>"20190312161420842"</f>
        <v>20190312161420842</v>
      </c>
      <c r="B5153" t="str">
        <f>"1552378460831776"</f>
        <v>1552378460831776</v>
      </c>
      <c r="C5153" t="s">
        <v>40</v>
      </c>
      <c r="D5153">
        <v>5.2669309999999996</v>
      </c>
      <c r="E5153">
        <v>0.4162689</v>
      </c>
      <c r="F5153" t="s">
        <v>77</v>
      </c>
      <c r="G5153">
        <v>-408.65219999999999</v>
      </c>
      <c r="H5153" s="1">
        <v>-2.7503420000000001E-6</v>
      </c>
      <c r="I5153">
        <v>12.61693</v>
      </c>
      <c r="J5153">
        <v>-418.78449999999998</v>
      </c>
      <c r="K5153">
        <v>1.117572</v>
      </c>
      <c r="L5153">
        <v>28.38907</v>
      </c>
      <c r="M5153">
        <v>0.34130189999999999</v>
      </c>
      <c r="N5153">
        <v>0</v>
      </c>
      <c r="O5153">
        <v>-0.93985540000000001</v>
      </c>
      <c r="P5153">
        <v>0.35098249999999998</v>
      </c>
      <c r="Q5153">
        <v>-3.3305179999999997E-2</v>
      </c>
      <c r="R5153">
        <v>-0.9357898</v>
      </c>
      <c r="S5153">
        <v>1.65136699999999</v>
      </c>
      <c r="T5153">
        <v>-0.1802704</v>
      </c>
      <c r="U5153">
        <v>-2.5871279999999999</v>
      </c>
      <c r="V5153">
        <v>-1.0121379999999999E-2</v>
      </c>
      <c r="W5153">
        <v>-1.9888340000000001E-2</v>
      </c>
      <c r="X5153">
        <v>0.99975099999999995</v>
      </c>
      <c r="Y5153">
        <v>-0.2170734</v>
      </c>
      <c r="Z5153">
        <v>5.7318260000000003E-2</v>
      </c>
      <c r="AA5153">
        <v>0.97447099999999998</v>
      </c>
      <c r="AB5153">
        <v>29</v>
      </c>
      <c r="AC5153">
        <v>10.132299999999899</v>
      </c>
      <c r="AD5153">
        <v>-1.1175747503419999</v>
      </c>
      <c r="AE5153">
        <v>-15.77214</v>
      </c>
      <c r="AF5153">
        <v>-4.1255558020754499</v>
      </c>
      <c r="AG5153">
        <v>-1.1175747503419999</v>
      </c>
      <c r="AH5153">
        <v>18.218644296797301</v>
      </c>
      <c r="AI5153">
        <v>93.423788786484707</v>
      </c>
      <c r="AJ5153">
        <v>102.759266449276</v>
      </c>
      <c r="AK5153">
        <v>18.713315687281799</v>
      </c>
      <c r="AL5153">
        <v>91.139593050146701</v>
      </c>
      <c r="AM5153">
        <v>90.580036974882802</v>
      </c>
      <c r="AN5153">
        <v>1.0000000252010199</v>
      </c>
    </row>
    <row r="5154" spans="1:40" x14ac:dyDescent="0.25">
      <c r="A5154" t="str">
        <f>"20190312161420864"</f>
        <v>20190312161420864</v>
      </c>
      <c r="B5154" t="str">
        <f>"1552378460862034"</f>
        <v>1552378460862034</v>
      </c>
      <c r="C5154" t="s">
        <v>40</v>
      </c>
      <c r="D5154">
        <v>5.2974329999999998</v>
      </c>
      <c r="E5154">
        <v>0.41905799999999999</v>
      </c>
      <c r="F5154" t="s">
        <v>77</v>
      </c>
      <c r="G5154">
        <v>-407.779</v>
      </c>
      <c r="H5154" s="1">
        <v>-3.0270139999999999E-6</v>
      </c>
      <c r="I5154">
        <v>11.53678</v>
      </c>
      <c r="J5154">
        <v>-418.6789</v>
      </c>
      <c r="K5154">
        <v>1.11771</v>
      </c>
      <c r="L5154">
        <v>28.128509999999999</v>
      </c>
      <c r="M5154">
        <v>0.35058889999999998</v>
      </c>
      <c r="N5154">
        <v>0</v>
      </c>
      <c r="O5154">
        <v>-0.93642769999999997</v>
      </c>
      <c r="P5154">
        <v>0.36014770000000002</v>
      </c>
      <c r="Q5154">
        <v>-3.281237E-2</v>
      </c>
      <c r="R5154">
        <v>-0.93231810000000004</v>
      </c>
      <c r="S5154">
        <v>1.6784969999999999</v>
      </c>
      <c r="T5154">
        <v>-0.1704465</v>
      </c>
      <c r="U5154">
        <v>-2.5702210000000001</v>
      </c>
      <c r="V5154">
        <v>-1.003427E-2</v>
      </c>
      <c r="W5154">
        <v>-1.920229E-2</v>
      </c>
      <c r="X5154">
        <v>0.99976529999999997</v>
      </c>
      <c r="Y5154">
        <v>-0.2176603</v>
      </c>
      <c r="Z5154">
        <v>5.4067650000000002E-2</v>
      </c>
      <c r="AA5154">
        <v>0.97452589999999994</v>
      </c>
      <c r="AB5154">
        <v>29</v>
      </c>
      <c r="AC5154">
        <v>10.899900000000001</v>
      </c>
      <c r="AD5154">
        <v>-1.1177130270140001</v>
      </c>
      <c r="AE5154">
        <v>-16.591729999999998</v>
      </c>
      <c r="AF5154">
        <v>-4.3766363118840701</v>
      </c>
      <c r="AG5154">
        <v>-1.1177130270140001</v>
      </c>
      <c r="AH5154">
        <v>19.299006318853699</v>
      </c>
      <c r="AI5154">
        <v>93.232710138860199</v>
      </c>
      <c r="AJ5154">
        <v>102.77744024198699</v>
      </c>
      <c r="AK5154">
        <v>19.8205921382893</v>
      </c>
      <c r="AL5154">
        <v>91.100277759951993</v>
      </c>
      <c r="AM5154">
        <v>90.575036979160402</v>
      </c>
      <c r="AN5154">
        <v>1.0000000347998801</v>
      </c>
    </row>
    <row r="5155" spans="1:40" x14ac:dyDescent="0.25">
      <c r="A5155" t="str">
        <f>"20190312161420888"</f>
        <v>20190312161420888</v>
      </c>
      <c r="B5155" t="str">
        <f>"1552378460881552"</f>
        <v>1552378460881552</v>
      </c>
      <c r="C5155" t="s">
        <v>40</v>
      </c>
      <c r="D5155">
        <v>5.3295539999999999</v>
      </c>
      <c r="E5155">
        <v>0.41965200000000003</v>
      </c>
      <c r="F5155" t="s">
        <v>77</v>
      </c>
      <c r="G5155">
        <v>-407.74770000000001</v>
      </c>
      <c r="H5155" s="1">
        <v>-3.034796E-6</v>
      </c>
      <c r="I5155">
        <v>11.48851</v>
      </c>
      <c r="J5155">
        <v>-418.56720000000001</v>
      </c>
      <c r="K5155">
        <v>1.1178520000000001</v>
      </c>
      <c r="L5155">
        <v>27.86084</v>
      </c>
      <c r="M5155">
        <v>0.3603403</v>
      </c>
      <c r="N5155">
        <v>0</v>
      </c>
      <c r="O5155">
        <v>-0.93271630000000005</v>
      </c>
      <c r="P5155">
        <v>0.36982379999999998</v>
      </c>
      <c r="Q5155">
        <v>-3.3532569999999998E-2</v>
      </c>
      <c r="R5155">
        <v>-0.92849680000000001</v>
      </c>
      <c r="S5155">
        <v>1.6828000000000001</v>
      </c>
      <c r="T5155">
        <v>-0.17206649999999901</v>
      </c>
      <c r="U5155">
        <v>-2.5616460000000001</v>
      </c>
      <c r="V5155">
        <v>-9.9917430000000008E-3</v>
      </c>
      <c r="W5155">
        <v>-1.9744749999999998E-2</v>
      </c>
      <c r="X5155">
        <v>0.99975510000000001</v>
      </c>
      <c r="Y5155">
        <v>-0.2100921</v>
      </c>
      <c r="Z5155">
        <v>5.443891E-2</v>
      </c>
      <c r="AA5155">
        <v>0.97616480000000005</v>
      </c>
      <c r="AB5155">
        <v>29</v>
      </c>
      <c r="AC5155">
        <v>10.8195</v>
      </c>
      <c r="AD5155">
        <v>-1.1178550347959999</v>
      </c>
      <c r="AE5155">
        <v>-16.372330000000002</v>
      </c>
      <c r="AF5155">
        <v>-4.1787638056728102</v>
      </c>
      <c r="AG5155">
        <v>-1.1178550347959999</v>
      </c>
      <c r="AH5155">
        <v>19.109307017013201</v>
      </c>
      <c r="AI5155">
        <v>93.270753507307106</v>
      </c>
      <c r="AJ5155">
        <v>102.335089549001</v>
      </c>
      <c r="AK5155">
        <v>19.5927864657606</v>
      </c>
      <c r="AL5155">
        <v>91.131364390289207</v>
      </c>
      <c r="AM5155">
        <v>90.572605875542607</v>
      </c>
      <c r="AN5155">
        <v>0.99999997502837501</v>
      </c>
    </row>
    <row r="5156" spans="1:40" x14ac:dyDescent="0.25">
      <c r="A5156" t="str">
        <f>"20190312161420909"</f>
        <v>20190312161420909</v>
      </c>
      <c r="B5156" t="str">
        <f>"1552378460902048"</f>
        <v>1552378460902048</v>
      </c>
      <c r="C5156" t="s">
        <v>40</v>
      </c>
      <c r="D5156">
        <v>5.1970939999999999</v>
      </c>
      <c r="E5156">
        <v>0.42051070000000002</v>
      </c>
      <c r="F5156" t="s">
        <v>77</v>
      </c>
      <c r="G5156">
        <v>-407.20530000000002</v>
      </c>
      <c r="H5156" s="1">
        <v>-3.2248379999999998E-6</v>
      </c>
      <c r="I5156">
        <v>10.89927</v>
      </c>
      <c r="J5156">
        <v>-418.45650000000001</v>
      </c>
      <c r="K5156">
        <v>1.1179920000000001</v>
      </c>
      <c r="L5156">
        <v>27.604430000000001</v>
      </c>
      <c r="M5156">
        <v>0.36990590000000001</v>
      </c>
      <c r="N5156">
        <v>0</v>
      </c>
      <c r="O5156">
        <v>-0.92896179999999995</v>
      </c>
      <c r="P5156">
        <v>0.38039319999999999</v>
      </c>
      <c r="Q5156">
        <v>-3.4219060000000003E-2</v>
      </c>
      <c r="R5156">
        <v>-0.92419200000000001</v>
      </c>
      <c r="S5156">
        <v>1.70529199999999</v>
      </c>
      <c r="T5156">
        <v>-0.16777790000000001</v>
      </c>
      <c r="U5156">
        <v>-2.5457459999999998</v>
      </c>
      <c r="V5156">
        <v>-1.111524E-2</v>
      </c>
      <c r="W5156">
        <v>-2.0300809999999999E-2</v>
      </c>
      <c r="X5156">
        <v>0.99973210000000001</v>
      </c>
      <c r="Y5156">
        <v>-0.20886070000000001</v>
      </c>
      <c r="Z5156">
        <v>5.2937739999999997E-2</v>
      </c>
      <c r="AA5156">
        <v>0.97651149999999998</v>
      </c>
      <c r="AB5156">
        <v>29</v>
      </c>
      <c r="AC5156">
        <v>11.2511999999999</v>
      </c>
      <c r="AD5156">
        <v>-1.1179952248379901</v>
      </c>
      <c r="AE5156">
        <v>-16.705159999999999</v>
      </c>
      <c r="AF5156">
        <v>-4.2598984310857197</v>
      </c>
      <c r="AG5156">
        <v>-1.1179952248379901</v>
      </c>
      <c r="AH5156">
        <v>19.621845411792801</v>
      </c>
      <c r="AI5156">
        <v>93.186938936761095</v>
      </c>
      <c r="AJ5156">
        <v>102.24882370291</v>
      </c>
      <c r="AK5156">
        <v>20.1100339465209</v>
      </c>
      <c r="AL5156">
        <v>91.163230675053796</v>
      </c>
      <c r="AM5156">
        <v>90.637000753103194</v>
      </c>
      <c r="AN5156">
        <v>0.99999997160866105</v>
      </c>
    </row>
    <row r="5157" spans="1:40" x14ac:dyDescent="0.25">
      <c r="A5157" t="str">
        <f>"20190312161420931"</f>
        <v>20190312161420931</v>
      </c>
      <c r="B5157" t="str">
        <f>"1552378460921569"</f>
        <v>1552378460921569</v>
      </c>
      <c r="C5157" t="s">
        <v>40</v>
      </c>
      <c r="D5157">
        <v>5.2767419999999996</v>
      </c>
      <c r="E5157">
        <v>0.4215237</v>
      </c>
      <c r="F5157" t="s">
        <v>77</v>
      </c>
      <c r="G5157">
        <v>-406.90359999999998</v>
      </c>
      <c r="H5157" s="1">
        <v>-3.3569029999999999E-6</v>
      </c>
      <c r="I5157">
        <v>10.69009</v>
      </c>
      <c r="J5157">
        <v>-418.34559999999999</v>
      </c>
      <c r="K5157">
        <v>1.1181319999999999</v>
      </c>
      <c r="L5157">
        <v>27.355070000000001</v>
      </c>
      <c r="M5157">
        <v>0.3794129</v>
      </c>
      <c r="N5157">
        <v>0</v>
      </c>
      <c r="O5157">
        <v>-0.92511730000000003</v>
      </c>
      <c r="P5157">
        <v>0.39128289999999999</v>
      </c>
      <c r="Q5157">
        <v>-3.392974E-2</v>
      </c>
      <c r="R5157">
        <v>-0.91964500000000005</v>
      </c>
      <c r="S5157">
        <v>1.727325</v>
      </c>
      <c r="T5157">
        <v>-0.167156</v>
      </c>
      <c r="U5157">
        <v>-2.528931</v>
      </c>
      <c r="V5157">
        <v>-1.266749E-2</v>
      </c>
      <c r="W5157">
        <v>-1.9907910000000001E-2</v>
      </c>
      <c r="X5157">
        <v>0.99972159999999999</v>
      </c>
      <c r="Y5157">
        <v>-0.20766100000000001</v>
      </c>
      <c r="Z5157">
        <v>5.260198E-2</v>
      </c>
      <c r="AA5157">
        <v>0.97678549999999997</v>
      </c>
      <c r="AB5157">
        <v>29</v>
      </c>
      <c r="AC5157">
        <v>11.442</v>
      </c>
      <c r="AD5157">
        <v>-1.1181353569029999</v>
      </c>
      <c r="AE5157">
        <v>-16.66498</v>
      </c>
      <c r="AF5157">
        <v>-4.2497163181384199</v>
      </c>
      <c r="AG5157">
        <v>-1.1181353569029999</v>
      </c>
      <c r="AH5157">
        <v>19.700045907120799</v>
      </c>
      <c r="AI5157">
        <v>93.175614267115904</v>
      </c>
      <c r="AJ5157">
        <v>102.17336692026301</v>
      </c>
      <c r="AK5157">
        <v>20.1842048197019</v>
      </c>
      <c r="AL5157">
        <v>91.140714540704707</v>
      </c>
      <c r="AM5157">
        <v>90.725956980994795</v>
      </c>
      <c r="AN5157">
        <v>1.0000000338450099</v>
      </c>
    </row>
    <row r="5158" spans="1:40" x14ac:dyDescent="0.25">
      <c r="A5158" t="str">
        <f>"20190312161420953"</f>
        <v>20190312161420953</v>
      </c>
      <c r="B5158" t="str">
        <f>"1552378460942065"</f>
        <v>1552378460942065</v>
      </c>
      <c r="C5158" t="s">
        <v>40</v>
      </c>
      <c r="D5158">
        <v>5.2772769999999998</v>
      </c>
      <c r="E5158">
        <v>0.42198160000000001</v>
      </c>
      <c r="F5158" t="s">
        <v>77</v>
      </c>
      <c r="G5158">
        <v>-406.42930000000001</v>
      </c>
      <c r="H5158" s="1">
        <v>-3.5394010000000002E-6</v>
      </c>
      <c r="I5158">
        <v>10.248089999999999</v>
      </c>
      <c r="J5158">
        <v>-418.22739999999999</v>
      </c>
      <c r="K5158">
        <v>1.1182719999999999</v>
      </c>
      <c r="L5158">
        <v>27.097049999999999</v>
      </c>
      <c r="M5158">
        <v>0.38943339999999999</v>
      </c>
      <c r="N5158">
        <v>0</v>
      </c>
      <c r="O5158">
        <v>-0.92094189999999998</v>
      </c>
      <c r="P5158">
        <v>0.40257979999999999</v>
      </c>
      <c r="Q5158">
        <v>-3.3898480000000002E-2</v>
      </c>
      <c r="R5158">
        <v>-0.9147573</v>
      </c>
      <c r="S5158">
        <v>1.749573</v>
      </c>
      <c r="T5158">
        <v>-0.16416539999999999</v>
      </c>
      <c r="U5158">
        <v>-2.5116580000000002</v>
      </c>
      <c r="V5158">
        <v>-1.4122890000000001E-2</v>
      </c>
      <c r="W5158">
        <v>-1.9781480000000001E-2</v>
      </c>
      <c r="X5158">
        <v>0.99970460000000005</v>
      </c>
      <c r="Y5158">
        <v>-0.20604549999999999</v>
      </c>
      <c r="Z5158">
        <v>5.1505719999999998E-2</v>
      </c>
      <c r="AA5158">
        <v>0.977186</v>
      </c>
      <c r="AB5158">
        <v>29</v>
      </c>
      <c r="AC5158">
        <v>11.7980999999999</v>
      </c>
      <c r="AD5158">
        <v>-1.118275539401</v>
      </c>
      <c r="AE5158">
        <v>-16.848959999999899</v>
      </c>
      <c r="AF5158">
        <v>-4.2915787778203098</v>
      </c>
      <c r="AG5158">
        <v>-1.118275539401</v>
      </c>
      <c r="AH5158">
        <v>20.054299622632801</v>
      </c>
      <c r="AI5158">
        <v>93.121122256294001</v>
      </c>
      <c r="AJ5158">
        <v>102.078991689592</v>
      </c>
      <c r="AK5158">
        <v>20.5388198770667</v>
      </c>
      <c r="AL5158">
        <v>91.133469218645899</v>
      </c>
      <c r="AM5158">
        <v>90.809367254520694</v>
      </c>
      <c r="AN5158">
        <v>1.00000002511705</v>
      </c>
    </row>
    <row r="5159" spans="1:40" x14ac:dyDescent="0.25">
      <c r="A5159" t="str">
        <f>"20190312161420977"</f>
        <v>20190312161420977</v>
      </c>
      <c r="B5159" t="str">
        <f>"1552378460971345"</f>
        <v>1552378460971345</v>
      </c>
      <c r="C5159" t="s">
        <v>40</v>
      </c>
      <c r="D5159">
        <v>5.2737679999999996</v>
      </c>
      <c r="E5159">
        <v>0.43266359999999898</v>
      </c>
      <c r="F5159" t="s">
        <v>77</v>
      </c>
      <c r="G5159">
        <v>-405.82560000000001</v>
      </c>
      <c r="H5159" s="1">
        <v>-3.778111E-6</v>
      </c>
      <c r="I5159">
        <v>9.7146629999999998</v>
      </c>
      <c r="J5159">
        <v>-418.1035</v>
      </c>
      <c r="K5159">
        <v>1.1184050000000001</v>
      </c>
      <c r="L5159">
        <v>26.834810000000001</v>
      </c>
      <c r="M5159">
        <v>0.39980749999999998</v>
      </c>
      <c r="N5159">
        <v>0</v>
      </c>
      <c r="O5159">
        <v>-0.91648390000000002</v>
      </c>
      <c r="P5159">
        <v>0.41380280000000003</v>
      </c>
      <c r="Q5159">
        <v>-3.3998489999999999E-2</v>
      </c>
      <c r="R5159">
        <v>-0.90973159999999997</v>
      </c>
      <c r="S5159">
        <v>1.777496</v>
      </c>
      <c r="T5159">
        <v>-0.160277</v>
      </c>
      <c r="U5159">
        <v>-2.491333</v>
      </c>
      <c r="V5159">
        <v>-1.5127760000000001E-2</v>
      </c>
      <c r="W5159">
        <v>-1.9790309999999998E-2</v>
      </c>
      <c r="X5159">
        <v>0.99968970000000001</v>
      </c>
      <c r="Y5159">
        <v>-0.2060631</v>
      </c>
      <c r="Z5159">
        <v>5.0121289999999999E-2</v>
      </c>
      <c r="AA5159">
        <v>0.97725419999999996</v>
      </c>
      <c r="AB5159">
        <v>29</v>
      </c>
      <c r="AC5159">
        <v>12.277899999999899</v>
      </c>
      <c r="AD5159">
        <v>-1.1184087781109999</v>
      </c>
      <c r="AE5159">
        <v>-17.1201469999999</v>
      </c>
      <c r="AF5159">
        <v>-4.3958119028837404</v>
      </c>
      <c r="AG5159">
        <v>-1.1184087781109999</v>
      </c>
      <c r="AH5159">
        <v>20.543416431937999</v>
      </c>
      <c r="AI5159">
        <v>93.047328978245503</v>
      </c>
      <c r="AJ5159">
        <v>102.077826621448</v>
      </c>
      <c r="AK5159">
        <v>21.0382023751201</v>
      </c>
      <c r="AL5159">
        <v>91.133975266902198</v>
      </c>
      <c r="AM5159">
        <v>90.866959668263405</v>
      </c>
      <c r="AN5159">
        <v>1.0000000008893</v>
      </c>
    </row>
    <row r="5160" spans="1:40" x14ac:dyDescent="0.25">
      <c r="A5160" t="str">
        <f>"20190312161421000"</f>
        <v>20190312161421000</v>
      </c>
      <c r="B5160" t="str">
        <f>"1552378460991841"</f>
        <v>1552378460991841</v>
      </c>
      <c r="C5160" t="s">
        <v>40</v>
      </c>
      <c r="D5160">
        <v>5.2673009999999998</v>
      </c>
      <c r="E5160">
        <v>0.43434309999999998</v>
      </c>
      <c r="F5160" t="s">
        <v>77</v>
      </c>
      <c r="G5160">
        <v>-406.09160000000003</v>
      </c>
      <c r="H5160">
        <v>7.9986559999999998E-2</v>
      </c>
      <c r="I5160">
        <v>9.4437660000000001</v>
      </c>
      <c r="J5160">
        <v>-417.97649999999999</v>
      </c>
      <c r="K5160">
        <v>1.1185309999999999</v>
      </c>
      <c r="L5160">
        <v>26.573730000000001</v>
      </c>
      <c r="M5160">
        <v>0.41033219999999998</v>
      </c>
      <c r="N5160">
        <v>0</v>
      </c>
      <c r="O5160">
        <v>-0.91181889999999999</v>
      </c>
      <c r="P5160">
        <v>0.42468529999999999</v>
      </c>
      <c r="Q5160">
        <v>-3.3583309999999998E-2</v>
      </c>
      <c r="R5160">
        <v>-0.90471829999999998</v>
      </c>
      <c r="S5160">
        <v>1.7302249999999999</v>
      </c>
      <c r="T5160">
        <v>-0.1495755</v>
      </c>
      <c r="U5160">
        <v>-2.5050349999999999</v>
      </c>
      <c r="V5160">
        <v>-1.5606979999999999E-2</v>
      </c>
      <c r="W5160">
        <v>-1.9285500000000001E-2</v>
      </c>
      <c r="X5160">
        <v>0.99969220000000003</v>
      </c>
      <c r="Y5160">
        <v>-0.17992130000000001</v>
      </c>
      <c r="Z5160">
        <v>4.6580789999999997E-2</v>
      </c>
      <c r="AA5160">
        <v>0.98257749999999999</v>
      </c>
      <c r="AB5160">
        <v>29</v>
      </c>
      <c r="AC5160">
        <v>11.884899999999901</v>
      </c>
      <c r="AD5160">
        <v>-1.0385444399999999</v>
      </c>
      <c r="AE5160">
        <v>-17.129963999999902</v>
      </c>
      <c r="AF5160">
        <v>-3.7988816702567099</v>
      </c>
      <c r="AG5160">
        <v>-1.0385444399999999</v>
      </c>
      <c r="AH5160">
        <v>20.447637169680899</v>
      </c>
      <c r="AI5160">
        <v>92.858744256248897</v>
      </c>
      <c r="AJ5160">
        <v>100.524747939085</v>
      </c>
      <c r="AK5160">
        <v>20.823446936599701</v>
      </c>
      <c r="AL5160">
        <v>91.105046261389901</v>
      </c>
      <c r="AM5160">
        <v>90.894416748753002</v>
      </c>
      <c r="AN5160">
        <v>1.0000000015379</v>
      </c>
    </row>
    <row r="5161" spans="1:40" x14ac:dyDescent="0.25">
      <c r="A5161" t="str">
        <f>"20190312161421023"</f>
        <v>20190312161421023</v>
      </c>
      <c r="B5161" t="str">
        <f>"1552378461011361"</f>
        <v>1552378461011361</v>
      </c>
      <c r="C5161" t="s">
        <v>40</v>
      </c>
      <c r="D5161">
        <v>5.2713380000000001</v>
      </c>
      <c r="E5161">
        <v>0.44126729999999997</v>
      </c>
      <c r="F5161" t="s">
        <v>77</v>
      </c>
      <c r="G5161">
        <v>-405.83580000000001</v>
      </c>
      <c r="H5161">
        <v>7.9986559999999998E-2</v>
      </c>
      <c r="I5161">
        <v>9.2828160000000004</v>
      </c>
      <c r="J5161">
        <v>-417.84859999999998</v>
      </c>
      <c r="K5161">
        <v>1.1186499999999999</v>
      </c>
      <c r="L5161">
        <v>26.318909999999999</v>
      </c>
      <c r="M5161">
        <v>0.42079810000000001</v>
      </c>
      <c r="N5161">
        <v>0</v>
      </c>
      <c r="O5161">
        <v>-0.90703500000000004</v>
      </c>
      <c r="P5161">
        <v>0.43499409999999999</v>
      </c>
      <c r="Q5161">
        <v>-3.3674379999999997E-2</v>
      </c>
      <c r="R5161">
        <v>-0.89980360000000004</v>
      </c>
      <c r="S5161">
        <v>1.7481690000000001</v>
      </c>
      <c r="T5161">
        <v>-0.1495435</v>
      </c>
      <c r="U5161">
        <v>-2.4897770000000001</v>
      </c>
      <c r="V5161">
        <v>-1.5520229999999999E-2</v>
      </c>
      <c r="W5161">
        <v>-1.9286230000000001E-2</v>
      </c>
      <c r="X5161">
        <v>0.99969350000000001</v>
      </c>
      <c r="Y5161">
        <v>-0.17617249999999901</v>
      </c>
      <c r="Z5161">
        <v>4.6377790000000002E-2</v>
      </c>
      <c r="AA5161">
        <v>0.98326619999999998</v>
      </c>
      <c r="AB5161">
        <v>29</v>
      </c>
      <c r="AC5161">
        <v>12.012799999999899</v>
      </c>
      <c r="AD5161">
        <v>-1.0386634400000001</v>
      </c>
      <c r="AE5161">
        <v>-17.036093999999999</v>
      </c>
      <c r="AF5161">
        <v>-3.7184457628233898</v>
      </c>
      <c r="AG5161">
        <v>-1.0386634400000001</v>
      </c>
      <c r="AH5161">
        <v>20.458724029011499</v>
      </c>
      <c r="AI5161">
        <v>92.859570096780004</v>
      </c>
      <c r="AJ5161">
        <v>100.301261911842</v>
      </c>
      <c r="AK5161">
        <v>20.8198234749458</v>
      </c>
      <c r="AL5161">
        <v>91.105088135389707</v>
      </c>
      <c r="AM5161">
        <v>90.889444857853604</v>
      </c>
      <c r="AN5161">
        <v>0.99999996507455702</v>
      </c>
    </row>
    <row r="5162" spans="1:40" x14ac:dyDescent="0.25">
      <c r="A5162" t="str">
        <f>"20190312161421043"</f>
        <v>20190312161421043</v>
      </c>
      <c r="B5162" t="str">
        <f>"1552378461031856"</f>
        <v>1552378461031856</v>
      </c>
      <c r="C5162" t="s">
        <v>40</v>
      </c>
      <c r="D5162">
        <v>5.250705</v>
      </c>
      <c r="E5162">
        <v>0.44063970000000002</v>
      </c>
      <c r="F5162" t="s">
        <v>77</v>
      </c>
      <c r="G5162">
        <v>-407.44459999999998</v>
      </c>
      <c r="H5162" s="1">
        <v>-3.1725819999999998E-6</v>
      </c>
      <c r="I5162">
        <v>11.301310000000001</v>
      </c>
      <c r="J5162">
        <v>-417.73</v>
      </c>
      <c r="K5162">
        <v>1.1187640000000001</v>
      </c>
      <c r="L5162">
        <v>26.089230000000001</v>
      </c>
      <c r="M5162">
        <v>0.43040390000000001</v>
      </c>
      <c r="N5162">
        <v>0</v>
      </c>
      <c r="O5162">
        <v>-0.90251499999999996</v>
      </c>
      <c r="P5162">
        <v>0.4450076</v>
      </c>
      <c r="Q5162">
        <v>-3.294834E-2</v>
      </c>
      <c r="R5162">
        <v>-0.89492070000000001</v>
      </c>
      <c r="S5162">
        <v>1.72668499999999</v>
      </c>
      <c r="T5162">
        <v>-0.1856554</v>
      </c>
      <c r="U5162">
        <v>-2.4923709999999999</v>
      </c>
      <c r="V5162">
        <v>-1.6061510000000001E-2</v>
      </c>
      <c r="W5162">
        <v>-1.8497389999999999E-2</v>
      </c>
      <c r="X5162">
        <v>0.99969989999999997</v>
      </c>
      <c r="Y5162">
        <v>-0.1591534</v>
      </c>
      <c r="Z5162">
        <v>5.7283269999999997E-2</v>
      </c>
      <c r="AA5162">
        <v>0.98559059999999998</v>
      </c>
      <c r="AB5162">
        <v>29</v>
      </c>
      <c r="AC5162">
        <v>10.285399999999999</v>
      </c>
      <c r="AD5162">
        <v>-1.1187671725820001</v>
      </c>
      <c r="AE5162">
        <v>-14.78792</v>
      </c>
      <c r="AF5162">
        <v>-2.9070552698385201</v>
      </c>
      <c r="AG5162">
        <v>-1.1187671725820001</v>
      </c>
      <c r="AH5162">
        <v>17.706840235040001</v>
      </c>
      <c r="AI5162">
        <v>93.567664201048302</v>
      </c>
      <c r="AJ5162">
        <v>99.323472350490604</v>
      </c>
      <c r="AK5162">
        <v>17.978731919620301</v>
      </c>
      <c r="AL5162">
        <v>91.0598828170248</v>
      </c>
      <c r="AM5162">
        <v>90.920453795012705</v>
      </c>
      <c r="AN5162">
        <v>1.0000000078001501</v>
      </c>
    </row>
    <row r="5163" spans="1:40" x14ac:dyDescent="0.25">
      <c r="A5163" t="str">
        <f>"20190312161421066"</f>
        <v>20190312161421066</v>
      </c>
      <c r="B5163" t="str">
        <f>"1552378461062112"</f>
        <v>1552378461062112</v>
      </c>
      <c r="C5163" t="s">
        <v>40</v>
      </c>
      <c r="D5163">
        <v>5.3054680000000003</v>
      </c>
      <c r="E5163">
        <v>0.44040269999999998</v>
      </c>
      <c r="F5163" t="s">
        <v>77</v>
      </c>
      <c r="G5163">
        <v>-406.07339999999999</v>
      </c>
      <c r="H5163" s="1">
        <v>-3.6307350000000001E-6</v>
      </c>
      <c r="I5163">
        <v>9.7115519999999993</v>
      </c>
      <c r="J5163">
        <v>-417.59710000000001</v>
      </c>
      <c r="K5163">
        <v>1.1188940000000001</v>
      </c>
      <c r="L5163">
        <v>25.83896</v>
      </c>
      <c r="M5163">
        <v>0.4410521</v>
      </c>
      <c r="N5163">
        <v>0</v>
      </c>
      <c r="O5163">
        <v>-0.89735810000000005</v>
      </c>
      <c r="P5163">
        <v>0.45638079999999998</v>
      </c>
      <c r="Q5163">
        <v>-3.298152E-2</v>
      </c>
      <c r="R5163">
        <v>-0.8891732</v>
      </c>
      <c r="S5163">
        <v>1.758972</v>
      </c>
      <c r="T5163">
        <v>-0.1688209</v>
      </c>
      <c r="U5163">
        <v>-2.4713750000000001</v>
      </c>
      <c r="V5163">
        <v>-1.6972939999999999E-2</v>
      </c>
      <c r="W5163">
        <v>-1.8475800000000001E-2</v>
      </c>
      <c r="X5163">
        <v>0.99968520000000005</v>
      </c>
      <c r="Y5163">
        <v>-0.160167</v>
      </c>
      <c r="Z5163">
        <v>5.185443E-2</v>
      </c>
      <c r="AA5163">
        <v>0.98572700000000002</v>
      </c>
      <c r="AB5163">
        <v>28</v>
      </c>
      <c r="AC5163">
        <v>11.5237</v>
      </c>
      <c r="AD5163">
        <v>-1.118897630735</v>
      </c>
      <c r="AE5163">
        <v>-16.127407999999999</v>
      </c>
      <c r="AF5163">
        <v>-3.21796192807671</v>
      </c>
      <c r="AG5163">
        <v>-1.118897630735</v>
      </c>
      <c r="AH5163">
        <v>19.4946588792025</v>
      </c>
      <c r="AI5163">
        <v>93.241127816848106</v>
      </c>
      <c r="AJ5163">
        <v>99.373228194791807</v>
      </c>
      <c r="AK5163">
        <v>19.790122174839698</v>
      </c>
      <c r="AL5163">
        <v>91.058645632403497</v>
      </c>
      <c r="AM5163">
        <v>90.972690604238295</v>
      </c>
      <c r="AN5163">
        <v>0.99999996748846098</v>
      </c>
    </row>
    <row r="5164" spans="1:40" x14ac:dyDescent="0.25">
      <c r="A5164" t="str">
        <f>"20190312161421089"</f>
        <v>20190312161421089</v>
      </c>
      <c r="B5164" t="str">
        <f>"1552378461081637"</f>
        <v>1552378461081637</v>
      </c>
      <c r="C5164" t="s">
        <v>40</v>
      </c>
      <c r="D5164">
        <v>5.2140069999999996</v>
      </c>
      <c r="E5164">
        <v>0.44111250000000002</v>
      </c>
      <c r="F5164" t="s">
        <v>77</v>
      </c>
      <c r="G5164">
        <v>-405.17360000000002</v>
      </c>
      <c r="H5164">
        <v>7.9986559999999998E-2</v>
      </c>
      <c r="I5164">
        <v>8.8638110000000001</v>
      </c>
      <c r="J5164">
        <v>-417.46129999999999</v>
      </c>
      <c r="K5164">
        <v>1.119027</v>
      </c>
      <c r="L5164">
        <v>25.59103</v>
      </c>
      <c r="M5164">
        <v>0.45179130000000001</v>
      </c>
      <c r="N5164">
        <v>0</v>
      </c>
      <c r="O5164">
        <v>-0.89199839999999997</v>
      </c>
      <c r="P5164">
        <v>0.46788190000000002</v>
      </c>
      <c r="Q5164">
        <v>-3.3162980000000002E-2</v>
      </c>
      <c r="R5164">
        <v>-0.88316890000000003</v>
      </c>
      <c r="S5164">
        <v>1.7920229999999999</v>
      </c>
      <c r="T5164">
        <v>-0.14985699999999999</v>
      </c>
      <c r="U5164">
        <v>-2.4485779999999999</v>
      </c>
      <c r="V5164">
        <v>-1.7941519999999999E-2</v>
      </c>
      <c r="W5164">
        <v>-1.86108E-2</v>
      </c>
      <c r="X5164">
        <v>0.99966580000000005</v>
      </c>
      <c r="Y5164">
        <v>-0.16155120000000001</v>
      </c>
      <c r="Z5164">
        <v>4.5824259999999999E-2</v>
      </c>
      <c r="AA5164">
        <v>0.9857998</v>
      </c>
      <c r="AB5164">
        <v>28</v>
      </c>
      <c r="AC5164">
        <v>12.2876999999999</v>
      </c>
      <c r="AD5164">
        <v>-1.03904044</v>
      </c>
      <c r="AE5164">
        <v>-16.727218999999899</v>
      </c>
      <c r="AF5164">
        <v>-3.3952681244233101</v>
      </c>
      <c r="AG5164">
        <v>-1.03904044</v>
      </c>
      <c r="AH5164">
        <v>20.423233360006801</v>
      </c>
      <c r="AI5164">
        <v>92.873071174143504</v>
      </c>
      <c r="AJ5164">
        <v>99.438834852674901</v>
      </c>
      <c r="AK5164">
        <v>20.729590240763901</v>
      </c>
      <c r="AL5164">
        <v>91.066381873495601</v>
      </c>
      <c r="AM5164">
        <v>91.028206647370297</v>
      </c>
      <c r="AN5164">
        <v>0.99999998585309502</v>
      </c>
    </row>
    <row r="5165" spans="1:40" x14ac:dyDescent="0.25">
      <c r="A5165" t="str">
        <f>"20190312161421109"</f>
        <v>20190312161421109</v>
      </c>
      <c r="B5165" t="str">
        <f>"1552378461102129"</f>
        <v>1552378461102129</v>
      </c>
      <c r="C5165" t="s">
        <v>40</v>
      </c>
      <c r="D5165">
        <v>5.2590960000000004</v>
      </c>
      <c r="E5165">
        <v>0.44130839999999999</v>
      </c>
      <c r="F5165" t="s">
        <v>77</v>
      </c>
      <c r="G5165">
        <v>-404.86430000000001</v>
      </c>
      <c r="H5165">
        <v>7.9986580000000002E-2</v>
      </c>
      <c r="I5165">
        <v>8.7769049999999993</v>
      </c>
      <c r="J5165">
        <v>-417.32740000000001</v>
      </c>
      <c r="K5165">
        <v>1.1191530000000001</v>
      </c>
      <c r="L5165">
        <v>25.353909999999999</v>
      </c>
      <c r="M5165">
        <v>0.46225579999999999</v>
      </c>
      <c r="N5165">
        <v>0</v>
      </c>
      <c r="O5165">
        <v>-0.88661959999999995</v>
      </c>
      <c r="P5165">
        <v>0.4787959</v>
      </c>
      <c r="Q5165">
        <v>-3.282065E-2</v>
      </c>
      <c r="R5165">
        <v>-0.8773126</v>
      </c>
      <c r="S5165">
        <v>1.8187869999999999</v>
      </c>
      <c r="T5165">
        <v>-0.15001979999999901</v>
      </c>
      <c r="U5165">
        <v>-2.427673</v>
      </c>
      <c r="V5165">
        <v>-1.8569909999999999E-2</v>
      </c>
      <c r="W5165">
        <v>-1.82224E-2</v>
      </c>
      <c r="X5165">
        <v>0.99966149999999998</v>
      </c>
      <c r="Y5165">
        <v>-0.160972</v>
      </c>
      <c r="Z5165">
        <v>4.565694E-2</v>
      </c>
      <c r="AA5165">
        <v>0.98590239999999996</v>
      </c>
      <c r="AB5165">
        <v>28</v>
      </c>
      <c r="AC5165">
        <v>12.463099999999899</v>
      </c>
      <c r="AD5165">
        <v>-1.0391664199999999</v>
      </c>
      <c r="AE5165">
        <v>-16.577005</v>
      </c>
      <c r="AF5165">
        <v>-3.3791100597243502</v>
      </c>
      <c r="AG5165">
        <v>-1.0391664199999999</v>
      </c>
      <c r="AH5165">
        <v>20.409702203422999</v>
      </c>
      <c r="AI5165">
        <v>92.875636612936006</v>
      </c>
      <c r="AJ5165">
        <v>99.400835483668601</v>
      </c>
      <c r="AK5165">
        <v>20.713623431852699</v>
      </c>
      <c r="AL5165">
        <v>91.044124396375196</v>
      </c>
      <c r="AM5165">
        <v>91.064215347109695</v>
      </c>
      <c r="AN5165">
        <v>1.0000000060006999</v>
      </c>
    </row>
    <row r="5166" spans="1:40" x14ac:dyDescent="0.25">
      <c r="A5166" t="str">
        <f>"20190312161421133"</f>
        <v>20190312161421133</v>
      </c>
      <c r="B5166" t="str">
        <f>"1552378461121649"</f>
        <v>1552378461121649</v>
      </c>
      <c r="C5166" t="s">
        <v>40</v>
      </c>
      <c r="D5166">
        <v>6.2706589999999904</v>
      </c>
      <c r="E5166">
        <v>0.46172479999999999</v>
      </c>
      <c r="F5166" t="s">
        <v>77</v>
      </c>
      <c r="G5166">
        <v>-404.35090000000002</v>
      </c>
      <c r="H5166">
        <v>7.9986660000000001E-2</v>
      </c>
      <c r="I5166">
        <v>8.4542310000000001</v>
      </c>
      <c r="J5166">
        <v>-417.18770000000001</v>
      </c>
      <c r="K5166">
        <v>1.11927</v>
      </c>
      <c r="L5166">
        <v>25.11392</v>
      </c>
      <c r="M5166">
        <v>0.473001</v>
      </c>
      <c r="N5166">
        <v>0</v>
      </c>
      <c r="O5166">
        <v>-0.88093299999999997</v>
      </c>
      <c r="P5166">
        <v>0.48991879999999999</v>
      </c>
      <c r="Q5166">
        <v>-3.2451099999999997E-2</v>
      </c>
      <c r="R5166">
        <v>-0.87116399999999905</v>
      </c>
      <c r="S5166">
        <v>1.847321</v>
      </c>
      <c r="T5166">
        <v>-0.14793480000000001</v>
      </c>
      <c r="U5166">
        <v>-2.4058229999999998</v>
      </c>
      <c r="V5166">
        <v>-1.9131579999999999E-2</v>
      </c>
      <c r="W5166">
        <v>-1.7809510000000001E-2</v>
      </c>
      <c r="X5166">
        <v>0.9996583</v>
      </c>
      <c r="Y5166">
        <v>-0.16067699999999999</v>
      </c>
      <c r="Z5166">
        <v>4.4788380000000003E-2</v>
      </c>
      <c r="AA5166">
        <v>0.98599029999999999</v>
      </c>
      <c r="AB5166">
        <v>28</v>
      </c>
      <c r="AC5166">
        <v>12.836799999999901</v>
      </c>
      <c r="AD5166">
        <v>-1.0392833400000001</v>
      </c>
      <c r="AE5166">
        <v>-16.659689</v>
      </c>
      <c r="AF5166">
        <v>-3.4203484826561898</v>
      </c>
      <c r="AG5166">
        <v>-1.0392833400000001</v>
      </c>
      <c r="AH5166">
        <v>20.699699397289201</v>
      </c>
      <c r="AI5166">
        <v>92.835883609007794</v>
      </c>
      <c r="AJ5166">
        <v>99.382582927392207</v>
      </c>
      <c r="AK5166">
        <v>21.006105035007</v>
      </c>
      <c r="AL5166">
        <v>91.020463752445593</v>
      </c>
      <c r="AM5166">
        <v>91.096399629416695</v>
      </c>
      <c r="AN5166">
        <v>0.99999995637931205</v>
      </c>
    </row>
    <row r="5167" spans="1:40" x14ac:dyDescent="0.25">
      <c r="A5167" t="str">
        <f>"20190312161421155"</f>
        <v>20190312161421155</v>
      </c>
      <c r="B5167" t="str">
        <f>"1552378461151906"</f>
        <v>1552378461151906</v>
      </c>
      <c r="C5167" t="s">
        <v>40</v>
      </c>
      <c r="D5167">
        <v>5.3708109999999998</v>
      </c>
      <c r="E5167">
        <v>0.56415159999999998</v>
      </c>
      <c r="F5167" t="s">
        <v>77</v>
      </c>
      <c r="G5167">
        <v>-409.19659999999999</v>
      </c>
      <c r="H5167" s="1">
        <v>-2.6898550000000001E-6</v>
      </c>
      <c r="I5167">
        <v>13.79405</v>
      </c>
      <c r="J5167">
        <v>-417.04329999999999</v>
      </c>
      <c r="K5167">
        <v>1.1193740000000001</v>
      </c>
      <c r="L5167">
        <v>24.87265</v>
      </c>
      <c r="M5167">
        <v>0.48395480000000002</v>
      </c>
      <c r="N5167">
        <v>0</v>
      </c>
      <c r="O5167">
        <v>-0.87496200000000002</v>
      </c>
      <c r="P5167">
        <v>0.50124629999999903</v>
      </c>
      <c r="Q5167">
        <v>-3.1913839999999999E-2</v>
      </c>
      <c r="R5167">
        <v>-0.86471569999999998</v>
      </c>
      <c r="S5167">
        <v>1.7355959999999999</v>
      </c>
      <c r="T5167">
        <v>-0.24309430000000001</v>
      </c>
      <c r="U5167">
        <v>-2.4585569999999999</v>
      </c>
      <c r="V5167">
        <v>-1.9705210000000001E-2</v>
      </c>
      <c r="W5167">
        <v>-1.7234619999999999E-2</v>
      </c>
      <c r="X5167">
        <v>0.99965729999999997</v>
      </c>
      <c r="Y5167">
        <v>-0.1075178</v>
      </c>
      <c r="Z5167">
        <v>7.2587090000000007E-2</v>
      </c>
      <c r="AA5167">
        <v>0.99154980000000004</v>
      </c>
      <c r="AB5167">
        <v>28</v>
      </c>
      <c r="AC5167">
        <v>7.8466999999999896</v>
      </c>
      <c r="AD5167">
        <v>-1.1193766898549999</v>
      </c>
      <c r="AE5167">
        <v>-11.0786</v>
      </c>
      <c r="AF5167">
        <v>-1.4940378955201199</v>
      </c>
      <c r="AG5167">
        <v>-1.1193766898549999</v>
      </c>
      <c r="AH5167">
        <v>13.4012405097802</v>
      </c>
      <c r="AI5167">
        <v>94.745445343156405</v>
      </c>
      <c r="AJ5167">
        <v>96.361354407229499</v>
      </c>
      <c r="AK5167">
        <v>13.530646718025499</v>
      </c>
      <c r="AL5167">
        <v>90.987519856990602</v>
      </c>
      <c r="AM5167">
        <v>91.129266169059093</v>
      </c>
      <c r="AN5167">
        <v>1.0000000224354799</v>
      </c>
    </row>
    <row r="5168" spans="1:40" x14ac:dyDescent="0.25">
      <c r="A5168" t="str">
        <f>"20190312161421178"</f>
        <v>20190312161421178</v>
      </c>
      <c r="B5168" t="str">
        <f>"1552378461171425"</f>
        <v>1552378461171425</v>
      </c>
      <c r="C5168" t="s">
        <v>40</v>
      </c>
      <c r="D5168">
        <v>5.2525360000000001</v>
      </c>
      <c r="E5168">
        <v>0.56437289999999996</v>
      </c>
      <c r="F5168" t="s">
        <v>43</v>
      </c>
      <c r="G5168">
        <v>-416.75229999999999</v>
      </c>
      <c r="H5168">
        <v>0.90710389999999996</v>
      </c>
      <c r="I5168">
        <v>24.096060000000001</v>
      </c>
      <c r="J5168">
        <v>-416.89909999999998</v>
      </c>
      <c r="K5168">
        <v>1.1194660000000001</v>
      </c>
      <c r="L5168">
        <v>24.638639999999999</v>
      </c>
      <c r="M5168">
        <v>0.49472310000000003</v>
      </c>
      <c r="N5168">
        <v>0</v>
      </c>
      <c r="O5168">
        <v>-0.86891810000000003</v>
      </c>
      <c r="P5168">
        <v>0.51169179999999903</v>
      </c>
      <c r="Q5168">
        <v>-3.1364599999999902E-2</v>
      </c>
      <c r="R5168">
        <v>-0.8585969</v>
      </c>
      <c r="S5168">
        <v>1.0595699999999999</v>
      </c>
      <c r="T5168">
        <v>-0.77332909999999999</v>
      </c>
      <c r="U5168">
        <v>-2.8266300000000002</v>
      </c>
      <c r="V5168">
        <v>-1.9477560000000001E-2</v>
      </c>
      <c r="W5168">
        <v>-1.6635259999999999E-2</v>
      </c>
      <c r="X5168">
        <v>0.99967189999999995</v>
      </c>
      <c r="Y5168">
        <v>0.16685520000000001</v>
      </c>
      <c r="Z5168">
        <v>0.20603859999999999</v>
      </c>
      <c r="AA5168">
        <v>0.9642134</v>
      </c>
      <c r="AB5168">
        <v>28</v>
      </c>
      <c r="AC5168">
        <v>0.146799999999984</v>
      </c>
      <c r="AD5168">
        <v>-0.2123621</v>
      </c>
      <c r="AE5168">
        <v>-0.54257999999999695</v>
      </c>
      <c r="AF5168">
        <v>0.12328783958744199</v>
      </c>
      <c r="AG5168">
        <v>-0.2123621</v>
      </c>
      <c r="AH5168">
        <v>0.47617633732729397</v>
      </c>
      <c r="AI5168">
        <v>113.35166825097799</v>
      </c>
      <c r="AJ5168">
        <v>75.484181771313203</v>
      </c>
      <c r="AK5168">
        <v>0.53576250068195896</v>
      </c>
      <c r="AL5168">
        <v>90.953174147742004</v>
      </c>
      <c r="AM5168">
        <v>91.116207024893299</v>
      </c>
      <c r="AN5168">
        <v>1.0000000074342099</v>
      </c>
    </row>
    <row r="5169" spans="1:40" x14ac:dyDescent="0.25">
      <c r="A5169" t="str">
        <f>"20190312161421200"</f>
        <v>20190312161421200</v>
      </c>
      <c r="B5169" t="str">
        <f>"1552378461191916"</f>
        <v>1552378461191916</v>
      </c>
      <c r="C5169" t="s">
        <v>40</v>
      </c>
      <c r="D5169">
        <v>5.2945859999999998</v>
      </c>
      <c r="E5169">
        <v>0.56338540000000004</v>
      </c>
      <c r="F5169" t="s">
        <v>43</v>
      </c>
      <c r="G5169">
        <v>-416.608</v>
      </c>
      <c r="H5169">
        <v>0.91607950000000005</v>
      </c>
      <c r="I5169">
        <v>23.887799999999999</v>
      </c>
      <c r="J5169">
        <v>-416.74829999999997</v>
      </c>
      <c r="K5169">
        <v>1.119556</v>
      </c>
      <c r="L5169">
        <v>24.400700000000001</v>
      </c>
      <c r="M5169">
        <v>0.50582179999999999</v>
      </c>
      <c r="N5169">
        <v>0</v>
      </c>
      <c r="O5169">
        <v>-0.86250369999999998</v>
      </c>
      <c r="P5169">
        <v>0.52191449999999995</v>
      </c>
      <c r="Q5169">
        <v>-3.1472159999999999E-2</v>
      </c>
      <c r="R5169">
        <v>-0.85241739999999999</v>
      </c>
      <c r="S5169">
        <v>1.092041</v>
      </c>
      <c r="T5169">
        <v>-0.763845199999999</v>
      </c>
      <c r="U5169">
        <v>-2.8153990000000002</v>
      </c>
      <c r="V5169">
        <v>-1.8604260000000001E-2</v>
      </c>
      <c r="W5169">
        <v>-1.667973E-2</v>
      </c>
      <c r="X5169">
        <v>0.99968780000000002</v>
      </c>
      <c r="Y5169">
        <v>0.1682322</v>
      </c>
      <c r="Z5169">
        <v>0.20171739999999999</v>
      </c>
      <c r="AA5169">
        <v>0.96488759999999996</v>
      </c>
      <c r="AB5169">
        <v>28</v>
      </c>
      <c r="AC5169">
        <v>0.14029999999996701</v>
      </c>
      <c r="AD5169">
        <v>-0.20347649999999901</v>
      </c>
      <c r="AE5169">
        <v>-0.51290000000000102</v>
      </c>
      <c r="AF5169">
        <v>0.120760072949678</v>
      </c>
      <c r="AG5169">
        <v>-0.20347649999999901</v>
      </c>
      <c r="AH5169">
        <v>0.447829492287936</v>
      </c>
      <c r="AI5169">
        <v>113.686665619303</v>
      </c>
      <c r="AJ5169">
        <v>74.908777517795599</v>
      </c>
      <c r="AK5169">
        <v>0.50649475360948404</v>
      </c>
      <c r="AL5169">
        <v>90.9557224376817</v>
      </c>
      <c r="AM5169">
        <v>91.066155400261707</v>
      </c>
      <c r="AN5169">
        <v>1.00000001467593</v>
      </c>
    </row>
    <row r="5170" spans="1:40" x14ac:dyDescent="0.25">
      <c r="A5170" t="str">
        <f>"20190312161421223"</f>
        <v>20190312161421223</v>
      </c>
      <c r="B5170" t="str">
        <f>"1552378461211436"</f>
        <v>1552378461211436</v>
      </c>
      <c r="C5170" t="s">
        <v>40</v>
      </c>
      <c r="D5170">
        <v>5.2696110000000003</v>
      </c>
      <c r="E5170">
        <v>0.56363809999999903</v>
      </c>
      <c r="F5170" t="s">
        <v>43</v>
      </c>
      <c r="G5170">
        <v>-416.45710000000003</v>
      </c>
      <c r="H5170">
        <v>0.93057659999999998</v>
      </c>
      <c r="I5170">
        <v>23.6815</v>
      </c>
      <c r="J5170">
        <v>-416.59890000000001</v>
      </c>
      <c r="K5170">
        <v>1.1196459999999999</v>
      </c>
      <c r="L5170">
        <v>24.171880000000002</v>
      </c>
      <c r="M5170">
        <v>0.51663210000000004</v>
      </c>
      <c r="N5170">
        <v>0</v>
      </c>
      <c r="O5170">
        <v>-0.85607140000000004</v>
      </c>
      <c r="P5170">
        <v>0.53153329999999999</v>
      </c>
      <c r="Q5170">
        <v>-3.064325E-2</v>
      </c>
      <c r="R5170">
        <v>-0.84648319999999999</v>
      </c>
      <c r="S5170">
        <v>1.1333310000000001</v>
      </c>
      <c r="T5170">
        <v>-0.73629960000000005</v>
      </c>
      <c r="U5170">
        <v>-2.79834</v>
      </c>
      <c r="V5170">
        <v>-1.734985E-2</v>
      </c>
      <c r="W5170">
        <v>-1.5781259999999998E-2</v>
      </c>
      <c r="X5170">
        <v>0.99972490000000003</v>
      </c>
      <c r="Y5170">
        <v>0.16570319999999999</v>
      </c>
      <c r="Z5170">
        <v>0.19329479999999999</v>
      </c>
      <c r="AA5170">
        <v>0.96704690000000004</v>
      </c>
      <c r="AB5170">
        <v>28</v>
      </c>
      <c r="AC5170">
        <v>0.14179999999998899</v>
      </c>
      <c r="AD5170">
        <v>-0.189069399999999</v>
      </c>
      <c r="AE5170">
        <v>-0.49037999999999798</v>
      </c>
      <c r="AF5170">
        <v>0.116050317421695</v>
      </c>
      <c r="AG5170">
        <v>-0.189069399999999</v>
      </c>
      <c r="AH5170">
        <v>0.43362939994333999</v>
      </c>
      <c r="AI5170">
        <v>112.840498348474</v>
      </c>
      <c r="AJ5170">
        <v>75.017301248800806</v>
      </c>
      <c r="AK5170">
        <v>0.48708250911447998</v>
      </c>
      <c r="AL5170">
        <v>90.904237155760299</v>
      </c>
      <c r="AM5170">
        <v>90.994246916233905</v>
      </c>
      <c r="AN5170">
        <v>0.99999997057110901</v>
      </c>
    </row>
    <row r="5171" spans="1:40" x14ac:dyDescent="0.25">
      <c r="A5171" t="str">
        <f>"20190312161421244"</f>
        <v>20190312161421244</v>
      </c>
      <c r="B5171" t="str">
        <f>"1552378461241693"</f>
        <v>1552378461241693</v>
      </c>
      <c r="C5171" t="s">
        <v>40</v>
      </c>
      <c r="D5171">
        <v>5.2842859999999998</v>
      </c>
      <c r="E5171">
        <v>0.56247440000000004</v>
      </c>
      <c r="F5171" t="s">
        <v>43</v>
      </c>
      <c r="G5171">
        <v>-416.30900000000003</v>
      </c>
      <c r="H5171">
        <v>0.93813530000000001</v>
      </c>
      <c r="I5171">
        <v>23.477460000000001</v>
      </c>
      <c r="J5171">
        <v>-416.45139999999998</v>
      </c>
      <c r="K5171">
        <v>1.119739</v>
      </c>
      <c r="L5171">
        <v>23.952120000000001</v>
      </c>
      <c r="M5171">
        <v>0.5271439</v>
      </c>
      <c r="N5171">
        <v>0</v>
      </c>
      <c r="O5171">
        <v>-0.84963789999999995</v>
      </c>
      <c r="P5171">
        <v>0.54205219999999998</v>
      </c>
      <c r="Q5171">
        <v>-2.9523500000000001E-2</v>
      </c>
      <c r="R5171">
        <v>-0.83982599999999996</v>
      </c>
      <c r="S5171">
        <v>1.163483</v>
      </c>
      <c r="T5171">
        <v>-0.72802639999999996</v>
      </c>
      <c r="U5171">
        <v>-2.78714</v>
      </c>
      <c r="V5171">
        <v>-1.7502710000000001E-2</v>
      </c>
      <c r="W5171">
        <v>-1.462805E-2</v>
      </c>
      <c r="X5171">
        <v>0.99973979999999996</v>
      </c>
      <c r="Y5171">
        <v>0.1672941</v>
      </c>
      <c r="Z5171">
        <v>0.18937029999999999</v>
      </c>
      <c r="AA5171">
        <v>0.96754929999999995</v>
      </c>
      <c r="AB5171">
        <v>28</v>
      </c>
      <c r="AC5171">
        <v>0.14239999999995201</v>
      </c>
      <c r="AD5171">
        <v>-0.18160369999999901</v>
      </c>
      <c r="AE5171">
        <v>-0.47466000000000003</v>
      </c>
      <c r="AF5171">
        <v>0.113939469815474</v>
      </c>
      <c r="AG5171">
        <v>-0.18160369999999901</v>
      </c>
      <c r="AH5171">
        <v>0.42176946458555797</v>
      </c>
      <c r="AI5171">
        <v>112.571436284406</v>
      </c>
      <c r="AJ5171">
        <v>74.882611143880993</v>
      </c>
      <c r="AK5171">
        <v>0.47312956776374598</v>
      </c>
      <c r="AL5171">
        <v>90.838155423895302</v>
      </c>
      <c r="AM5171">
        <v>91.002989952471097</v>
      </c>
      <c r="AN5171">
        <v>0.99999999620409297</v>
      </c>
    </row>
    <row r="5172" spans="1:40" x14ac:dyDescent="0.25">
      <c r="A5172" t="str">
        <f>"20190312161421267"</f>
        <v>20190312161421267</v>
      </c>
      <c r="B5172" t="str">
        <f>"1552378461261212"</f>
        <v>1552378461261212</v>
      </c>
      <c r="C5172" t="s">
        <v>40</v>
      </c>
      <c r="D5172">
        <v>5.3067159999999998</v>
      </c>
      <c r="E5172">
        <v>0.56324059999999998</v>
      </c>
      <c r="F5172" t="s">
        <v>43</v>
      </c>
      <c r="G5172">
        <v>-416.15710000000001</v>
      </c>
      <c r="H5172">
        <v>0.94648429999999995</v>
      </c>
      <c r="I5172">
        <v>23.276289999999999</v>
      </c>
      <c r="J5172">
        <v>-416.2903</v>
      </c>
      <c r="K5172">
        <v>1.119831</v>
      </c>
      <c r="L5172">
        <v>23.718630000000001</v>
      </c>
      <c r="M5172">
        <v>0.53844019999999904</v>
      </c>
      <c r="N5172">
        <v>0</v>
      </c>
      <c r="O5172">
        <v>-0.84252380000000004</v>
      </c>
      <c r="P5172">
        <v>0.55340749999999905</v>
      </c>
      <c r="Q5172">
        <v>-2.8772349999999999E-2</v>
      </c>
      <c r="R5172">
        <v>-0.83241339999999997</v>
      </c>
      <c r="S5172">
        <v>1.206512</v>
      </c>
      <c r="T5172">
        <v>-0.71101740000000002</v>
      </c>
      <c r="U5172">
        <v>-2.7684630000000001</v>
      </c>
      <c r="V5172">
        <v>-1.773363E-2</v>
      </c>
      <c r="W5172">
        <v>-1.384548E-2</v>
      </c>
      <c r="X5172">
        <v>0.99974689999999999</v>
      </c>
      <c r="Y5172">
        <v>0.1649921</v>
      </c>
      <c r="Z5172">
        <v>0.1834905</v>
      </c>
      <c r="AA5172">
        <v>0.9690763</v>
      </c>
      <c r="AB5172">
        <v>28</v>
      </c>
      <c r="AC5172">
        <v>0.13319999999998799</v>
      </c>
      <c r="AD5172">
        <v>-0.17334669999999899</v>
      </c>
      <c r="AE5172">
        <v>-0.44233999999999801</v>
      </c>
      <c r="AF5172">
        <v>0.110416903383555</v>
      </c>
      <c r="AG5172">
        <v>-0.17334669999999899</v>
      </c>
      <c r="AH5172">
        <v>0.38959685147966899</v>
      </c>
      <c r="AI5172">
        <v>113.17472126596699</v>
      </c>
      <c r="AJ5172">
        <v>74.176568403359099</v>
      </c>
      <c r="AK5172">
        <v>0.44048459409674601</v>
      </c>
      <c r="AL5172">
        <v>90.793312899641506</v>
      </c>
      <c r="AM5172">
        <v>91.016212813124696</v>
      </c>
      <c r="AN5172">
        <v>1.0000000215045</v>
      </c>
    </row>
    <row r="5173" spans="1:40" x14ac:dyDescent="0.25">
      <c r="A5173" t="str">
        <f>"20190312161421289"</f>
        <v>20190312161421289</v>
      </c>
      <c r="B5173" t="str">
        <f>"1552378461281472"</f>
        <v>1552378461281472</v>
      </c>
      <c r="C5173" t="s">
        <v>40</v>
      </c>
      <c r="D5173">
        <v>5.3266629999999999</v>
      </c>
      <c r="E5173">
        <v>0.56263180000000002</v>
      </c>
      <c r="F5173" t="s">
        <v>43</v>
      </c>
      <c r="G5173">
        <v>-416.00240000000002</v>
      </c>
      <c r="H5173">
        <v>0.95391389999999998</v>
      </c>
      <c r="I5173">
        <v>23.07826</v>
      </c>
      <c r="J5173">
        <v>-416.1327</v>
      </c>
      <c r="K5173">
        <v>1.1199110000000001</v>
      </c>
      <c r="L5173">
        <v>23.49719</v>
      </c>
      <c r="M5173">
        <v>0.54929059999999996</v>
      </c>
      <c r="N5173">
        <v>0</v>
      </c>
      <c r="O5173">
        <v>-0.835489699999999</v>
      </c>
      <c r="P5173">
        <v>0.56475909999999996</v>
      </c>
      <c r="Q5173">
        <v>-2.946756E-2</v>
      </c>
      <c r="R5173">
        <v>-0.82472969999999901</v>
      </c>
      <c r="S5173">
        <v>1.2392270000000001</v>
      </c>
      <c r="T5173">
        <v>-0.71503809999999901</v>
      </c>
      <c r="U5173">
        <v>-2.7554020000000001</v>
      </c>
      <c r="V5173">
        <v>-1.8494770000000001E-2</v>
      </c>
      <c r="W5173">
        <v>-1.452708E-2</v>
      </c>
      <c r="X5173">
        <v>0.99972340000000004</v>
      </c>
      <c r="Y5173">
        <v>0.16644489999999901</v>
      </c>
      <c r="Z5173">
        <v>0.18250420000000001</v>
      </c>
      <c r="AA5173">
        <v>0.96901409999999999</v>
      </c>
      <c r="AB5173">
        <v>28</v>
      </c>
      <c r="AC5173">
        <v>0.13029999999997699</v>
      </c>
      <c r="AD5173">
        <v>-0.16599710000000001</v>
      </c>
      <c r="AE5173">
        <v>-0.41892999999999903</v>
      </c>
      <c r="AF5173">
        <v>0.106078428309595</v>
      </c>
      <c r="AG5173">
        <v>-0.16599710000000001</v>
      </c>
      <c r="AH5173">
        <v>0.368832949208108</v>
      </c>
      <c r="AI5173">
        <v>113.389789977627</v>
      </c>
      <c r="AJ5173">
        <v>73.954467387048695</v>
      </c>
      <c r="AK5173">
        <v>0.41814520753273599</v>
      </c>
      <c r="AL5173">
        <v>90.832369663937399</v>
      </c>
      <c r="AM5173">
        <v>91.059844552418397</v>
      </c>
      <c r="AN5173">
        <v>0.99999998453911898</v>
      </c>
    </row>
    <row r="5174" spans="1:40" x14ac:dyDescent="0.25">
      <c r="A5174" t="str">
        <f>"20190312161421311"</f>
        <v>20190312161421311</v>
      </c>
      <c r="B5174" t="str">
        <f>"1552378461301964"</f>
        <v>1552378461301964</v>
      </c>
      <c r="C5174" t="s">
        <v>40</v>
      </c>
      <c r="D5174">
        <v>5.2572749999999999</v>
      </c>
      <c r="E5174">
        <v>0.5620347</v>
      </c>
      <c r="F5174" t="s">
        <v>43</v>
      </c>
      <c r="G5174">
        <v>-415.74970000000002</v>
      </c>
      <c r="H5174">
        <v>0.90681100000000003</v>
      </c>
      <c r="I5174">
        <v>22.679539999999999</v>
      </c>
      <c r="J5174">
        <v>-415.97300000000001</v>
      </c>
      <c r="K5174">
        <v>1.1199779999999999</v>
      </c>
      <c r="L5174">
        <v>23.27908</v>
      </c>
      <c r="M5174">
        <v>0.56009759999999997</v>
      </c>
      <c r="N5174">
        <v>0</v>
      </c>
      <c r="O5174">
        <v>-0.82828299999999999</v>
      </c>
      <c r="P5174">
        <v>0.57595980000000002</v>
      </c>
      <c r="Q5174">
        <v>-2.8815770000000001E-2</v>
      </c>
      <c r="R5174">
        <v>-0.81697030000000004</v>
      </c>
      <c r="S5174">
        <v>1.2810969999999999</v>
      </c>
      <c r="T5174">
        <v>-0.71266130000000005</v>
      </c>
      <c r="U5174">
        <v>-2.7348020000000002</v>
      </c>
      <c r="V5174">
        <v>-1.914946E-2</v>
      </c>
      <c r="W5174">
        <v>-1.3860829999999999E-2</v>
      </c>
      <c r="X5174">
        <v>0.99972059999999996</v>
      </c>
      <c r="Y5174">
        <v>0.16417490000000001</v>
      </c>
      <c r="Z5174">
        <v>0.18030640000000001</v>
      </c>
      <c r="AA5174">
        <v>0.96981249999999997</v>
      </c>
      <c r="AB5174">
        <v>28</v>
      </c>
      <c r="AC5174">
        <v>0.223299999999994</v>
      </c>
      <c r="AD5174">
        <v>-0.213167</v>
      </c>
      <c r="AE5174">
        <v>-0.59954000000000096</v>
      </c>
      <c r="AF5174">
        <v>0.13578854116814401</v>
      </c>
      <c r="AG5174">
        <v>-0.213167</v>
      </c>
      <c r="AH5174">
        <v>0.55960709645261297</v>
      </c>
      <c r="AI5174">
        <v>110.313572815551</v>
      </c>
      <c r="AJ5174">
        <v>76.360800480034996</v>
      </c>
      <c r="AK5174">
        <v>0.61403485259527202</v>
      </c>
      <c r="AL5174">
        <v>90.794192450620102</v>
      </c>
      <c r="AM5174">
        <v>91.097355680661494</v>
      </c>
      <c r="AN5174">
        <v>1.0000000512454601</v>
      </c>
    </row>
    <row r="5175" spans="1:40" x14ac:dyDescent="0.25">
      <c r="A5175" t="str">
        <f>"20190312161421322"</f>
        <v>20190312161421322</v>
      </c>
      <c r="B5175" t="str">
        <f>"1552378461311726"</f>
        <v>1552378461311726</v>
      </c>
      <c r="C5175" t="s">
        <v>40</v>
      </c>
      <c r="D5175">
        <v>5.2617180000000001</v>
      </c>
      <c r="E5175">
        <v>0.56168280000000004</v>
      </c>
      <c r="F5175" t="s">
        <v>43</v>
      </c>
      <c r="G5175">
        <v>-415.58780000000002</v>
      </c>
      <c r="H5175">
        <v>0.91388000000000003</v>
      </c>
      <c r="I5175">
        <v>22.48874</v>
      </c>
      <c r="J5175">
        <v>-415.88990000000001</v>
      </c>
      <c r="K5175">
        <v>1.1200110000000001</v>
      </c>
      <c r="L5175">
        <v>23.168150000000001</v>
      </c>
      <c r="M5175">
        <v>0.56563339999999995</v>
      </c>
      <c r="N5175">
        <v>0</v>
      </c>
      <c r="O5175">
        <v>-0.82451240000000003</v>
      </c>
      <c r="P5175">
        <v>0.58173809999999904</v>
      </c>
      <c r="Q5175">
        <v>-2.841751E-2</v>
      </c>
      <c r="R5175">
        <v>-0.81288009999999999</v>
      </c>
      <c r="S5175">
        <v>1.323242</v>
      </c>
      <c r="T5175">
        <v>-0.70893809999999902</v>
      </c>
      <c r="U5175">
        <v>-2.7142029999999999</v>
      </c>
      <c r="V5175">
        <v>-1.9541889999999999E-2</v>
      </c>
      <c r="W5175">
        <v>-1.345757E-2</v>
      </c>
      <c r="X5175">
        <v>0.99971849999999995</v>
      </c>
      <c r="Y5175">
        <v>0.15564909999999901</v>
      </c>
      <c r="Z5175">
        <v>0.17904249999999999</v>
      </c>
      <c r="AA5175">
        <v>0.97145099999999995</v>
      </c>
      <c r="AB5175">
        <v>28</v>
      </c>
      <c r="AC5175">
        <v>0.30209999999999498</v>
      </c>
      <c r="AD5175">
        <v>-0.20613100000000001</v>
      </c>
      <c r="AE5175">
        <v>-0.67940999999999996</v>
      </c>
      <c r="AF5175">
        <v>0.12557675107064001</v>
      </c>
      <c r="AG5175">
        <v>-0.20613100000000001</v>
      </c>
      <c r="AH5175">
        <v>0.67896531420370299</v>
      </c>
      <c r="AI5175">
        <v>106.62208237933</v>
      </c>
      <c r="AJ5175">
        <v>79.521379193206698</v>
      </c>
      <c r="AK5175">
        <v>0.72059240036388905</v>
      </c>
      <c r="AL5175">
        <v>90.771085212079001</v>
      </c>
      <c r="AM5175">
        <v>91.119840479923496</v>
      </c>
      <c r="AN5175">
        <v>1.00000003544866</v>
      </c>
    </row>
    <row r="5176" spans="1:40" x14ac:dyDescent="0.25">
      <c r="A5176" t="str">
        <f>"20190312161421334"</f>
        <v>20190312161421334</v>
      </c>
      <c r="B5176" t="str">
        <f>"1552378461321484"</f>
        <v>1552378461321484</v>
      </c>
      <c r="C5176" t="s">
        <v>40</v>
      </c>
      <c r="D5176">
        <v>5.2352189999999998</v>
      </c>
      <c r="E5176">
        <v>0.56103269999999905</v>
      </c>
      <c r="F5176" t="s">
        <v>43</v>
      </c>
      <c r="G5176">
        <v>-415.55520000000001</v>
      </c>
      <c r="H5176">
        <v>0.94447020000000004</v>
      </c>
      <c r="I5176">
        <v>22.49521</v>
      </c>
      <c r="J5176">
        <v>-415.8107</v>
      </c>
      <c r="K5176">
        <v>1.1200380000000001</v>
      </c>
      <c r="L5176">
        <v>23.06372</v>
      </c>
      <c r="M5176">
        <v>0.5708628</v>
      </c>
      <c r="N5176">
        <v>0</v>
      </c>
      <c r="O5176">
        <v>-0.82090010000000002</v>
      </c>
      <c r="P5176">
        <v>0.58703260000000002</v>
      </c>
      <c r="Q5176">
        <v>-2.812257E-2</v>
      </c>
      <c r="R5176">
        <v>-0.80907519999999999</v>
      </c>
      <c r="S5176">
        <v>1.345032</v>
      </c>
      <c r="T5176">
        <v>-0.70651980000000003</v>
      </c>
      <c r="U5176">
        <v>-2.7033079999999998</v>
      </c>
      <c r="V5176">
        <v>-1.9714539999999999E-2</v>
      </c>
      <c r="W5176">
        <v>-1.315388E-2</v>
      </c>
      <c r="X5176">
        <v>0.99971909999999997</v>
      </c>
      <c r="Y5176">
        <v>0.15400359999999999</v>
      </c>
      <c r="Z5176">
        <v>0.1776713</v>
      </c>
      <c r="AA5176">
        <v>0.97196490000000002</v>
      </c>
      <c r="AB5176">
        <v>28</v>
      </c>
      <c r="AC5176">
        <v>0.25549999999998302</v>
      </c>
      <c r="AD5176">
        <v>-0.175567799999999</v>
      </c>
      <c r="AE5176">
        <v>-0.56850999999999896</v>
      </c>
      <c r="AF5176">
        <v>0.106374693068088</v>
      </c>
      <c r="AG5176">
        <v>-0.175567799999999</v>
      </c>
      <c r="AH5176">
        <v>0.56758383185157502</v>
      </c>
      <c r="AI5176">
        <v>106.910919000455</v>
      </c>
      <c r="AJ5176">
        <v>79.384955016651901</v>
      </c>
      <c r="AK5176">
        <v>0.60356526896557505</v>
      </c>
      <c r="AL5176">
        <v>90.753683556186502</v>
      </c>
      <c r="AM5176">
        <v>91.129730890938305</v>
      </c>
      <c r="AN5176">
        <v>0.99999998327563699</v>
      </c>
    </row>
    <row r="5177" spans="1:40" x14ac:dyDescent="0.25">
      <c r="A5177" t="str">
        <f>"20190312161421344"</f>
        <v>20190312161421344</v>
      </c>
      <c r="B5177" t="str">
        <f>"1552378461341981"</f>
        <v>1552378461341981</v>
      </c>
      <c r="C5177" t="s">
        <v>40</v>
      </c>
      <c r="D5177">
        <v>5.2931660000000003</v>
      </c>
      <c r="E5177">
        <v>0.56028990000000001</v>
      </c>
      <c r="F5177" t="s">
        <v>43</v>
      </c>
      <c r="G5177">
        <v>-415.42329999999998</v>
      </c>
      <c r="H5177">
        <v>0.92032860000000005</v>
      </c>
      <c r="I5177">
        <v>22.30114</v>
      </c>
      <c r="J5177">
        <v>-415.726</v>
      </c>
      <c r="K5177">
        <v>1.1200619999999999</v>
      </c>
      <c r="L5177">
        <v>22.953399999999998</v>
      </c>
      <c r="M5177">
        <v>0.57640380000000002</v>
      </c>
      <c r="N5177">
        <v>0</v>
      </c>
      <c r="O5177">
        <v>-0.81701869999999999</v>
      </c>
      <c r="P5177">
        <v>0.59265639999999997</v>
      </c>
      <c r="Q5177">
        <v>-2.7865319999999999E-2</v>
      </c>
      <c r="R5177">
        <v>-0.80497319999999895</v>
      </c>
      <c r="S5177">
        <v>1.367157</v>
      </c>
      <c r="T5177">
        <v>-0.70557019999999904</v>
      </c>
      <c r="U5177">
        <v>-2.6914669999999998</v>
      </c>
      <c r="V5177">
        <v>-1.9918160000000001E-2</v>
      </c>
      <c r="W5177">
        <v>-1.288859E-2</v>
      </c>
      <c r="X5177">
        <v>0.99971849999999995</v>
      </c>
      <c r="Y5177">
        <v>0.15255779999999999</v>
      </c>
      <c r="Z5177">
        <v>0.17660629999999999</v>
      </c>
      <c r="AA5177">
        <v>0.972387</v>
      </c>
      <c r="AB5177">
        <v>28</v>
      </c>
      <c r="AC5177">
        <v>0.30270000000001501</v>
      </c>
      <c r="AD5177">
        <v>-0.19973340000000001</v>
      </c>
      <c r="AE5177">
        <v>-0.65225999999999795</v>
      </c>
      <c r="AF5177">
        <v>0.119452843748883</v>
      </c>
      <c r="AG5177">
        <v>-0.19973340000000001</v>
      </c>
      <c r="AH5177">
        <v>0.65679690861953099</v>
      </c>
      <c r="AI5177">
        <v>106.65687814643999</v>
      </c>
      <c r="AJ5177">
        <v>79.692179116929395</v>
      </c>
      <c r="AK5177">
        <v>0.69681029852279597</v>
      </c>
      <c r="AL5177">
        <v>90.738482283978897</v>
      </c>
      <c r="AM5177">
        <v>91.141396837051701</v>
      </c>
      <c r="AN5177">
        <v>0.99999996404611102</v>
      </c>
    </row>
    <row r="5178" spans="1:40" x14ac:dyDescent="0.25">
      <c r="A5178" t="str">
        <f>"20190312161421356"</f>
        <v>20190312161421356</v>
      </c>
      <c r="B5178" t="str">
        <f>"1552378461351739"</f>
        <v>1552378461351739</v>
      </c>
      <c r="C5178" t="s">
        <v>40</v>
      </c>
      <c r="D5178">
        <v>5.1943799999999998</v>
      </c>
      <c r="E5178">
        <v>0.55966470000000001</v>
      </c>
      <c r="F5178" t="s">
        <v>43</v>
      </c>
      <c r="G5178">
        <v>-415.39080000000001</v>
      </c>
      <c r="H5178">
        <v>0.95100189999999996</v>
      </c>
      <c r="I5178">
        <v>22.307600000000001</v>
      </c>
      <c r="J5178">
        <v>-415.64010000000002</v>
      </c>
      <c r="K5178">
        <v>1.120082</v>
      </c>
      <c r="L5178">
        <v>22.843540000000001</v>
      </c>
      <c r="M5178">
        <v>0.58195469999999905</v>
      </c>
      <c r="N5178">
        <v>0</v>
      </c>
      <c r="O5178">
        <v>-0.81307410000000002</v>
      </c>
      <c r="P5178">
        <v>0.59810830000000004</v>
      </c>
      <c r="Q5178">
        <v>-2.8113409999999998E-2</v>
      </c>
      <c r="R5178">
        <v>-0.80092259999999904</v>
      </c>
      <c r="S5178">
        <v>1.390717</v>
      </c>
      <c r="T5178">
        <v>-0.70197679999999996</v>
      </c>
      <c r="U5178">
        <v>-2.6786189999999999</v>
      </c>
      <c r="V5178">
        <v>-1.9895690000000001E-2</v>
      </c>
      <c r="W5178">
        <v>-1.312441E-2</v>
      </c>
      <c r="X5178">
        <v>0.99971589999999999</v>
      </c>
      <c r="Y5178">
        <v>0.15053150000000001</v>
      </c>
      <c r="Z5178">
        <v>0.17494100000000001</v>
      </c>
      <c r="AA5178">
        <v>0.97300359999999997</v>
      </c>
      <c r="AB5178">
        <v>28</v>
      </c>
      <c r="AC5178">
        <v>0.24930000000000499</v>
      </c>
      <c r="AD5178">
        <v>-0.16908009999999901</v>
      </c>
      <c r="AE5178">
        <v>-0.53593999999999997</v>
      </c>
      <c r="AF5178">
        <v>0.100946572815347</v>
      </c>
      <c r="AG5178">
        <v>-0.16908009999999901</v>
      </c>
      <c r="AH5178">
        <v>0.53697216232082701</v>
      </c>
      <c r="AI5178">
        <v>107.194999251846</v>
      </c>
      <c r="AJ5178">
        <v>79.353104489127503</v>
      </c>
      <c r="AK5178">
        <v>0.57194177490954301</v>
      </c>
      <c r="AL5178">
        <v>90.751994902722302</v>
      </c>
      <c r="AM5178">
        <v>91.140112513136501</v>
      </c>
      <c r="AN5178">
        <v>0.99999998466561602</v>
      </c>
    </row>
    <row r="5179" spans="1:40" x14ac:dyDescent="0.25">
      <c r="A5179" t="str">
        <f>"20190312161421369"</f>
        <v>20190312161421369</v>
      </c>
      <c r="B5179" t="str">
        <f>"1552378461361500"</f>
        <v>1552378461361500</v>
      </c>
      <c r="C5179" t="s">
        <v>40</v>
      </c>
      <c r="D5179">
        <v>5.2858169999999998</v>
      </c>
      <c r="E5179">
        <v>0.55888179999999998</v>
      </c>
      <c r="F5179" t="s">
        <v>43</v>
      </c>
      <c r="G5179">
        <v>-415.25479999999999</v>
      </c>
      <c r="H5179">
        <v>0.92918060000000002</v>
      </c>
      <c r="I5179">
        <v>22.116219999999998</v>
      </c>
      <c r="J5179">
        <v>-415.54930000000002</v>
      </c>
      <c r="K5179">
        <v>1.1201000000000001</v>
      </c>
      <c r="L5179">
        <v>22.728210000000001</v>
      </c>
      <c r="M5179">
        <v>0.58777939999999995</v>
      </c>
      <c r="N5179">
        <v>0</v>
      </c>
      <c r="O5179">
        <v>-0.80887279999999995</v>
      </c>
      <c r="P5179">
        <v>0.60366330000000001</v>
      </c>
      <c r="Q5179">
        <v>-2.8150910000000001E-2</v>
      </c>
      <c r="R5179">
        <v>-0.79674199999999995</v>
      </c>
      <c r="S5179">
        <v>1.4127809999999901</v>
      </c>
      <c r="T5179">
        <v>-0.7007504</v>
      </c>
      <c r="U5179">
        <v>-2.6660460000000001</v>
      </c>
      <c r="V5179">
        <v>-1.966735E-2</v>
      </c>
      <c r="W5179">
        <v>-1.314442E-2</v>
      </c>
      <c r="X5179">
        <v>0.99972019999999995</v>
      </c>
      <c r="Y5179">
        <v>0.14938129999999999</v>
      </c>
      <c r="Z5179">
        <v>0.173737</v>
      </c>
      <c r="AA5179">
        <v>0.9733965</v>
      </c>
      <c r="AB5179">
        <v>28</v>
      </c>
      <c r="AC5179">
        <v>0.29450000000002702</v>
      </c>
      <c r="AD5179">
        <v>-0.19091939999999999</v>
      </c>
      <c r="AE5179">
        <v>-0.61198999999999804</v>
      </c>
      <c r="AF5179">
        <v>0.112617331359398</v>
      </c>
      <c r="AG5179">
        <v>-0.19091939999999999</v>
      </c>
      <c r="AH5179">
        <v>0.61926712020595398</v>
      </c>
      <c r="AI5179">
        <v>106.873812244666</v>
      </c>
      <c r="AJ5179">
        <v>79.693065917628402</v>
      </c>
      <c r="AK5179">
        <v>0.65774208226861097</v>
      </c>
      <c r="AL5179">
        <v>90.753141456529207</v>
      </c>
      <c r="AM5179">
        <v>91.127026152464595</v>
      </c>
      <c r="AN5179">
        <v>1.00000002936059</v>
      </c>
    </row>
    <row r="5180" spans="1:40" x14ac:dyDescent="0.25">
      <c r="A5180" t="str">
        <f>"20190312161421381"</f>
        <v>20190312161421381</v>
      </c>
      <c r="B5180" t="str">
        <f>"1552378461371261"</f>
        <v>1552378461371261</v>
      </c>
      <c r="C5180" t="s">
        <v>40</v>
      </c>
      <c r="D5180">
        <v>5.3462909999999999</v>
      </c>
      <c r="E5180">
        <v>0.55870620000000004</v>
      </c>
      <c r="F5180" t="s">
        <v>43</v>
      </c>
      <c r="G5180">
        <v>-415.11470000000003</v>
      </c>
      <c r="H5180">
        <v>0.90986069999999997</v>
      </c>
      <c r="I5180">
        <v>21.925470000000001</v>
      </c>
      <c r="J5180">
        <v>-415.45319999999998</v>
      </c>
      <c r="K5180">
        <v>1.120115</v>
      </c>
      <c r="L5180">
        <v>22.60913</v>
      </c>
      <c r="M5180">
        <v>0.59384669999999995</v>
      </c>
      <c r="N5180">
        <v>0</v>
      </c>
      <c r="O5180">
        <v>-0.80442880000000005</v>
      </c>
      <c r="P5180">
        <v>0.60909460000000004</v>
      </c>
      <c r="Q5180">
        <v>-2.8543300000000001E-2</v>
      </c>
      <c r="R5180">
        <v>-0.79258359999999894</v>
      </c>
      <c r="S5180">
        <v>1.4364619999999999</v>
      </c>
      <c r="T5180">
        <v>-0.69524629999999998</v>
      </c>
      <c r="U5180">
        <v>-2.652374</v>
      </c>
      <c r="V5180">
        <v>-1.8978890000000002E-2</v>
      </c>
      <c r="W5180">
        <v>-1.3508829999999999E-2</v>
      </c>
      <c r="X5180">
        <v>0.99972859999999997</v>
      </c>
      <c r="Y5180">
        <v>0.1478274</v>
      </c>
      <c r="Z5180">
        <v>0.17149519999999999</v>
      </c>
      <c r="AA5180">
        <v>0.97403099999999998</v>
      </c>
      <c r="AB5180">
        <v>28</v>
      </c>
      <c r="AC5180">
        <v>0.33849999999995301</v>
      </c>
      <c r="AD5180">
        <v>-0.21025429999999901</v>
      </c>
      <c r="AE5180">
        <v>-0.68365999999999905</v>
      </c>
      <c r="AF5180">
        <v>0.12426681259818</v>
      </c>
      <c r="AG5180">
        <v>-0.21025429999999901</v>
      </c>
      <c r="AH5180">
        <v>0.69803985849912698</v>
      </c>
      <c r="AI5180">
        <v>106.517425028635</v>
      </c>
      <c r="AJ5180">
        <v>79.905809663165797</v>
      </c>
      <c r="AK5180">
        <v>0.73953279537508099</v>
      </c>
      <c r="AL5180">
        <v>90.774022503398001</v>
      </c>
      <c r="AM5180">
        <v>91.087574860901995</v>
      </c>
      <c r="AN5180">
        <v>0.99999998020577996</v>
      </c>
    </row>
    <row r="5181" spans="1:40" x14ac:dyDescent="0.25">
      <c r="A5181" t="str">
        <f>"20190312161421391"</f>
        <v>20190312161421391</v>
      </c>
      <c r="B5181" t="str">
        <f>"1552378461381996"</f>
        <v>1552378461381996</v>
      </c>
      <c r="C5181" t="s">
        <v>40</v>
      </c>
      <c r="D5181">
        <v>5.191357</v>
      </c>
      <c r="E5181">
        <v>0.55870620000000004</v>
      </c>
      <c r="F5181" t="s">
        <v>43</v>
      </c>
      <c r="G5181">
        <v>-415.0806</v>
      </c>
      <c r="H5181">
        <v>0.94342079999999995</v>
      </c>
      <c r="I5181">
        <v>21.9328</v>
      </c>
      <c r="J5181">
        <v>-415.375</v>
      </c>
      <c r="K5181">
        <v>1.120123</v>
      </c>
      <c r="L5181">
        <v>22.512969999999999</v>
      </c>
      <c r="M5181">
        <v>0.598742</v>
      </c>
      <c r="N5181">
        <v>0</v>
      </c>
      <c r="O5181">
        <v>-0.80079180000000005</v>
      </c>
      <c r="P5181">
        <v>0.61341009999999996</v>
      </c>
      <c r="Q5181">
        <v>-2.8846610000000002E-2</v>
      </c>
      <c r="R5181">
        <v>-0.78923769999999904</v>
      </c>
      <c r="S5181">
        <v>1.455597</v>
      </c>
      <c r="T5181">
        <v>-0.69088640000000001</v>
      </c>
      <c r="U5181">
        <v>-2.6416019999999998</v>
      </c>
      <c r="V5181">
        <v>-1.833574E-2</v>
      </c>
      <c r="W5181">
        <v>-1.378774E-2</v>
      </c>
      <c r="X5181">
        <v>0.99973679999999998</v>
      </c>
      <c r="Y5181">
        <v>0.14662849999999999</v>
      </c>
      <c r="Z5181">
        <v>0.16967779999999999</v>
      </c>
      <c r="AA5181">
        <v>0.97453040000000002</v>
      </c>
      <c r="AB5181">
        <v>28</v>
      </c>
      <c r="AC5181">
        <v>0.294399999999996</v>
      </c>
      <c r="AD5181">
        <v>-0.176702199999999</v>
      </c>
      <c r="AE5181">
        <v>-0.58017000000000196</v>
      </c>
      <c r="AF5181">
        <v>0.103963302891436</v>
      </c>
      <c r="AG5181">
        <v>-0.176702199999999</v>
      </c>
      <c r="AH5181">
        <v>0.59690931233204103</v>
      </c>
      <c r="AI5181">
        <v>106.258700669372</v>
      </c>
      <c r="AJ5181">
        <v>80.1199398964621</v>
      </c>
      <c r="AK5181">
        <v>0.63113608911362895</v>
      </c>
      <c r="AL5181">
        <v>90.790004354265406</v>
      </c>
      <c r="AM5181">
        <v>91.050719294745406</v>
      </c>
      <c r="AN5181">
        <v>0.99999998520494704</v>
      </c>
    </row>
    <row r="5182" spans="1:40" x14ac:dyDescent="0.25">
      <c r="A5182" t="str">
        <f>"20190312161421404"</f>
        <v>20190312161421404</v>
      </c>
      <c r="B5182" t="str">
        <f>"1552378461391757"</f>
        <v>1552378461391757</v>
      </c>
      <c r="C5182" t="s">
        <v>40</v>
      </c>
      <c r="D5182">
        <v>5.0733470000000001</v>
      </c>
      <c r="E5182">
        <v>0.58040190000000003</v>
      </c>
      <c r="F5182" t="s">
        <v>43</v>
      </c>
      <c r="G5182">
        <v>-414.9452</v>
      </c>
      <c r="H5182">
        <v>0.91808100000000004</v>
      </c>
      <c r="I5182">
        <v>21.742909999999998</v>
      </c>
      <c r="J5182">
        <v>-415.27269999999999</v>
      </c>
      <c r="K5182">
        <v>1.120131</v>
      </c>
      <c r="L5182">
        <v>22.389399999999998</v>
      </c>
      <c r="M5182">
        <v>0.60505850000000005</v>
      </c>
      <c r="N5182">
        <v>0</v>
      </c>
      <c r="O5182">
        <v>-0.79602969999999995</v>
      </c>
      <c r="P5182">
        <v>0.61904630000000005</v>
      </c>
      <c r="Q5182">
        <v>-2.9161360000000001E-2</v>
      </c>
      <c r="R5182">
        <v>-0.78481309999999904</v>
      </c>
      <c r="S5182">
        <v>1.470154</v>
      </c>
      <c r="T5182">
        <v>-0.69199440000000001</v>
      </c>
      <c r="U5182">
        <v>-2.6332399999999998</v>
      </c>
      <c r="V5182">
        <v>-1.758579E-2</v>
      </c>
      <c r="W5182">
        <v>-1.40737E-2</v>
      </c>
      <c r="X5182">
        <v>0.99974629999999998</v>
      </c>
      <c r="Y5182">
        <v>0.14897820000000001</v>
      </c>
      <c r="Z5182">
        <v>0.168631</v>
      </c>
      <c r="AA5182">
        <v>0.97435570000000005</v>
      </c>
      <c r="AB5182">
        <v>28</v>
      </c>
      <c r="AC5182">
        <v>0.32749999999998602</v>
      </c>
      <c r="AD5182">
        <v>-0.20205000000000001</v>
      </c>
      <c r="AE5182">
        <v>-0.64648999999999601</v>
      </c>
      <c r="AF5182">
        <v>0.121069533330099</v>
      </c>
      <c r="AG5182">
        <v>-0.20205000000000001</v>
      </c>
      <c r="AH5182">
        <v>0.66145306618049005</v>
      </c>
      <c r="AI5182">
        <v>106.724056647906</v>
      </c>
      <c r="AJ5182">
        <v>79.6276409533655</v>
      </c>
      <c r="AK5182">
        <v>0.70214114902940905</v>
      </c>
      <c r="AL5182">
        <v>90.806390236441899</v>
      </c>
      <c r="AM5182">
        <v>91.007743308188907</v>
      </c>
      <c r="AN5182">
        <v>0.99999999670265205</v>
      </c>
    </row>
    <row r="5183" spans="1:40" x14ac:dyDescent="0.25">
      <c r="A5183" t="str">
        <f>"20190312161421418"</f>
        <v>20190312161421418</v>
      </c>
      <c r="B5183" t="str">
        <f>"1552378461411276"</f>
        <v>1552378461411276</v>
      </c>
      <c r="C5183" t="s">
        <v>40</v>
      </c>
      <c r="D5183">
        <v>5.0960449999999904</v>
      </c>
      <c r="E5183">
        <v>0.58105269999999898</v>
      </c>
      <c r="F5183" t="s">
        <v>43</v>
      </c>
      <c r="G5183">
        <v>-414.94450000000001</v>
      </c>
      <c r="H5183">
        <v>0.944573</v>
      </c>
      <c r="I5183">
        <v>21.727419999999999</v>
      </c>
      <c r="J5183">
        <v>-415.17509999999999</v>
      </c>
      <c r="K5183">
        <v>1.1201350000000001</v>
      </c>
      <c r="L5183">
        <v>22.273440000000001</v>
      </c>
      <c r="M5183">
        <v>0.61100359999999998</v>
      </c>
      <c r="N5183">
        <v>0</v>
      </c>
      <c r="O5183">
        <v>-0.7914755</v>
      </c>
      <c r="P5183">
        <v>0.62403299999999995</v>
      </c>
      <c r="Q5183">
        <v>-2.9155609999999998E-2</v>
      </c>
      <c r="R5183">
        <v>-0.7808541</v>
      </c>
      <c r="S5183">
        <v>1.3533329999999999</v>
      </c>
      <c r="T5183">
        <v>-0.7248656</v>
      </c>
      <c r="U5183">
        <v>-2.72818</v>
      </c>
      <c r="V5183">
        <v>-1.6466459999999999E-2</v>
      </c>
      <c r="W5183">
        <v>-1.4031389999999999E-2</v>
      </c>
      <c r="X5183">
        <v>0.99976589999999999</v>
      </c>
      <c r="Y5183">
        <v>0.2036171</v>
      </c>
      <c r="Z5183">
        <v>0.16950570000000001</v>
      </c>
      <c r="AA5183">
        <v>0.9642655</v>
      </c>
      <c r="AB5183">
        <v>28</v>
      </c>
      <c r="AC5183">
        <v>0.23059999999998099</v>
      </c>
      <c r="AD5183">
        <v>-0.175562</v>
      </c>
      <c r="AE5183">
        <v>-0.54601999999999795</v>
      </c>
      <c r="AF5183">
        <v>0.138934914128405</v>
      </c>
      <c r="AG5183">
        <v>-0.175562</v>
      </c>
      <c r="AH5183">
        <v>0.52690112045076198</v>
      </c>
      <c r="AI5183">
        <v>107.858155994477</v>
      </c>
      <c r="AJ5183">
        <v>75.228298406554899</v>
      </c>
      <c r="AK5183">
        <v>0.57249429424242804</v>
      </c>
      <c r="AL5183">
        <v>90.803965858597095</v>
      </c>
      <c r="AM5183">
        <v>90.943594259734297</v>
      </c>
      <c r="AN5183">
        <v>0.99999993950653498</v>
      </c>
    </row>
    <row r="5184" spans="1:40" x14ac:dyDescent="0.25">
      <c r="A5184" t="str">
        <f>"20190312161421430"</f>
        <v>20190312161421430</v>
      </c>
      <c r="B5184" t="str">
        <f>"1552378461422012"</f>
        <v>1552378461422012</v>
      </c>
      <c r="C5184" t="s">
        <v>40</v>
      </c>
      <c r="D5184">
        <v>5.0293640000000002</v>
      </c>
      <c r="E5184">
        <v>0.58158240000000005</v>
      </c>
      <c r="F5184" t="s">
        <v>43</v>
      </c>
      <c r="G5184">
        <v>-414.80549999999999</v>
      </c>
      <c r="H5184">
        <v>0.92396040000000002</v>
      </c>
      <c r="I5184">
        <v>21.536999999999999</v>
      </c>
      <c r="J5184">
        <v>-415.07240000000002</v>
      </c>
      <c r="K5184">
        <v>1.1201350000000001</v>
      </c>
      <c r="L5184">
        <v>22.152740000000001</v>
      </c>
      <c r="M5184">
        <v>0.61719139999999995</v>
      </c>
      <c r="N5184">
        <v>0</v>
      </c>
      <c r="O5184">
        <v>-0.78665969999999996</v>
      </c>
      <c r="P5184">
        <v>0.62959679999999996</v>
      </c>
      <c r="Q5184">
        <v>-2.9377E-2</v>
      </c>
      <c r="R5184">
        <v>-0.77636660000000002</v>
      </c>
      <c r="S5184">
        <v>1.3665160000000001</v>
      </c>
      <c r="T5184">
        <v>-0.72588050000000004</v>
      </c>
      <c r="U5184">
        <v>-2.7228089999999998</v>
      </c>
      <c r="V5184">
        <v>-1.577135E-2</v>
      </c>
      <c r="W5184">
        <v>-1.422702E-2</v>
      </c>
      <c r="X5184">
        <v>0.99977439999999995</v>
      </c>
      <c r="Y5184">
        <v>0.2067244</v>
      </c>
      <c r="Z5184">
        <v>0.16819100000000001</v>
      </c>
      <c r="AA5184">
        <v>0.96383439999999998</v>
      </c>
      <c r="AB5184">
        <v>28</v>
      </c>
      <c r="AC5184">
        <v>0.26690000000002101</v>
      </c>
      <c r="AD5184">
        <v>-0.1961746</v>
      </c>
      <c r="AE5184">
        <v>-0.61573999999999796</v>
      </c>
      <c r="AF5184">
        <v>0.15670035172449301</v>
      </c>
      <c r="AG5184">
        <v>-0.1961746</v>
      </c>
      <c r="AH5184">
        <v>0.59807843231720503</v>
      </c>
      <c r="AI5184">
        <v>107.604132492524</v>
      </c>
      <c r="AJ5184">
        <v>75.318159639430803</v>
      </c>
      <c r="AK5184">
        <v>0.64864264824227003</v>
      </c>
      <c r="AL5184">
        <v>90.815175704571701</v>
      </c>
      <c r="AM5184">
        <v>90.903760736256302</v>
      </c>
      <c r="AN5184">
        <v>0.99999999723713096</v>
      </c>
    </row>
    <row r="5185" spans="1:40" x14ac:dyDescent="0.25">
      <c r="A5185" t="str">
        <f>"20190312161421442"</f>
        <v>20190312161421442</v>
      </c>
      <c r="B5185" t="str">
        <f>"1552378461431772"</f>
        <v>1552378461431772</v>
      </c>
      <c r="C5185" t="s">
        <v>40</v>
      </c>
      <c r="D5185">
        <v>5.0381260000000001</v>
      </c>
      <c r="E5185">
        <v>0.58211800000000002</v>
      </c>
      <c r="F5185" t="s">
        <v>43</v>
      </c>
      <c r="G5185">
        <v>-414.66300000000001</v>
      </c>
      <c r="H5185">
        <v>0.90484120000000001</v>
      </c>
      <c r="I5185">
        <v>21.348210000000002</v>
      </c>
      <c r="J5185">
        <v>-414.97410000000002</v>
      </c>
      <c r="K5185">
        <v>1.120134</v>
      </c>
      <c r="L5185">
        <v>22.039639999999999</v>
      </c>
      <c r="M5185">
        <v>0.62301430000000002</v>
      </c>
      <c r="N5185">
        <v>0</v>
      </c>
      <c r="O5185">
        <v>-0.78205609999999903</v>
      </c>
      <c r="P5185">
        <v>0.63471169999999899</v>
      </c>
      <c r="Q5185">
        <v>-2.9425819999999998E-2</v>
      </c>
      <c r="R5185">
        <v>-0.77218880000000001</v>
      </c>
      <c r="S5185">
        <v>1.3823240000000001</v>
      </c>
      <c r="T5185">
        <v>-0.72746420000000001</v>
      </c>
      <c r="U5185">
        <v>-2.7156069999999999</v>
      </c>
      <c r="V5185">
        <v>-1.4954230000000001E-2</v>
      </c>
      <c r="W5185">
        <v>-1.4248719999999999E-2</v>
      </c>
      <c r="X5185">
        <v>0.99978670000000003</v>
      </c>
      <c r="Y5185">
        <v>0.20844979999999999</v>
      </c>
      <c r="Z5185">
        <v>0.16717479999999901</v>
      </c>
      <c r="AA5185">
        <v>0.96363960000000004</v>
      </c>
      <c r="AB5185">
        <v>28</v>
      </c>
      <c r="AC5185">
        <v>0.31110000000000998</v>
      </c>
      <c r="AD5185">
        <v>-0.21529279999999901</v>
      </c>
      <c r="AE5185">
        <v>-0.69142999999999599</v>
      </c>
      <c r="AF5185">
        <v>0.173505935688616</v>
      </c>
      <c r="AG5185">
        <v>-0.21529279999999901</v>
      </c>
      <c r="AH5185">
        <v>0.67983058757201897</v>
      </c>
      <c r="AI5185">
        <v>107.058630154276</v>
      </c>
      <c r="AJ5185">
        <v>75.682647083310698</v>
      </c>
      <c r="AK5185">
        <v>0.73391070795399804</v>
      </c>
      <c r="AL5185">
        <v>90.816419105741502</v>
      </c>
      <c r="AM5185">
        <v>90.856933160527106</v>
      </c>
      <c r="AN5185">
        <v>1.0000000502566999</v>
      </c>
    </row>
    <row r="5186" spans="1:40" x14ac:dyDescent="0.25">
      <c r="A5186" t="str">
        <f>"20190312161421459"</f>
        <v>20190312161421459</v>
      </c>
      <c r="B5186" t="str">
        <f>"1552378461451292"</f>
        <v>1552378461451292</v>
      </c>
      <c r="C5186" t="s">
        <v>40</v>
      </c>
      <c r="D5186">
        <v>4.877847</v>
      </c>
      <c r="E5186">
        <v>0.58106939999999996</v>
      </c>
      <c r="F5186" t="s">
        <v>43</v>
      </c>
      <c r="G5186">
        <v>-414.62470000000002</v>
      </c>
      <c r="H5186">
        <v>0.93768759999999995</v>
      </c>
      <c r="I5186">
        <v>21.36186</v>
      </c>
      <c r="J5186">
        <v>-414.84980000000002</v>
      </c>
      <c r="K5186">
        <v>1.120128</v>
      </c>
      <c r="L5186">
        <v>21.89883</v>
      </c>
      <c r="M5186">
        <v>0.630270199999999</v>
      </c>
      <c r="N5186">
        <v>0</v>
      </c>
      <c r="O5186">
        <v>-0.77622019999999903</v>
      </c>
      <c r="P5186">
        <v>0.6411057</v>
      </c>
      <c r="Q5186">
        <v>-2.9640679999999999E-2</v>
      </c>
      <c r="R5186">
        <v>-0.76688040000000002</v>
      </c>
      <c r="S5186">
        <v>1.3968510000000001</v>
      </c>
      <c r="T5186">
        <v>-0.73015730000000001</v>
      </c>
      <c r="U5186">
        <v>-2.7091059999999998</v>
      </c>
      <c r="V5186">
        <v>-1.395161E-2</v>
      </c>
      <c r="W5186">
        <v>-1.4431370000000001E-2</v>
      </c>
      <c r="X5186">
        <v>0.99979850000000003</v>
      </c>
      <c r="Y5186">
        <v>0.21246619999999999</v>
      </c>
      <c r="Z5186">
        <v>0.1658898</v>
      </c>
      <c r="AA5186">
        <v>0.96298430000000002</v>
      </c>
      <c r="AB5186">
        <v>28</v>
      </c>
      <c r="AC5186">
        <v>0.225099999999997</v>
      </c>
      <c r="AD5186">
        <v>-0.182440399999999</v>
      </c>
      <c r="AE5186">
        <v>-0.53696999999999995</v>
      </c>
      <c r="AF5186">
        <v>0.14909072344379201</v>
      </c>
      <c r="AG5186">
        <v>-0.182440399999999</v>
      </c>
      <c r="AH5186">
        <v>0.50879371782254701</v>
      </c>
      <c r="AI5186">
        <v>108.988609017615</v>
      </c>
      <c r="AJ5186">
        <v>73.667946578358496</v>
      </c>
      <c r="AK5186">
        <v>0.56069919802407697</v>
      </c>
      <c r="AL5186">
        <v>90.826885316740899</v>
      </c>
      <c r="AM5186">
        <v>90.799477585301901</v>
      </c>
      <c r="AN5186">
        <v>0.99999997623195902</v>
      </c>
    </row>
    <row r="5187" spans="1:40" x14ac:dyDescent="0.25">
      <c r="A5187" t="str">
        <f>"20190312161421469"</f>
        <v>20190312161421469</v>
      </c>
      <c r="B5187" t="str">
        <f>"1552378461462029"</f>
        <v>1552378461462029</v>
      </c>
      <c r="C5187" t="s">
        <v>40</v>
      </c>
      <c r="D5187">
        <v>4.9069190000000003</v>
      </c>
      <c r="E5187">
        <v>0.58106939999999996</v>
      </c>
      <c r="F5187" t="s">
        <v>43</v>
      </c>
      <c r="G5187">
        <v>-414.4692</v>
      </c>
      <c r="H5187">
        <v>0.9261296</v>
      </c>
      <c r="I5187">
        <v>21.180440000000001</v>
      </c>
      <c r="J5187">
        <v>-414.75459999999998</v>
      </c>
      <c r="K5187">
        <v>1.120123</v>
      </c>
      <c r="L5187">
        <v>21.79224</v>
      </c>
      <c r="M5187">
        <v>0.6357585</v>
      </c>
      <c r="N5187">
        <v>0</v>
      </c>
      <c r="O5187">
        <v>-0.77173099999999994</v>
      </c>
      <c r="P5187">
        <v>0.64626399999999995</v>
      </c>
      <c r="Q5187">
        <v>-2.9926149999999999E-2</v>
      </c>
      <c r="R5187">
        <v>-0.76252710000000001</v>
      </c>
      <c r="S5187">
        <v>1.4260250000000001</v>
      </c>
      <c r="T5187">
        <v>-0.72662689999999996</v>
      </c>
      <c r="U5187">
        <v>-2.6917420000000001</v>
      </c>
      <c r="V5187">
        <v>-1.3606389999999999E-2</v>
      </c>
      <c r="W5187">
        <v>-1.4703340000000001E-2</v>
      </c>
      <c r="X5187">
        <v>0.99979929999999995</v>
      </c>
      <c r="Y5187">
        <v>0.20859230000000001</v>
      </c>
      <c r="Z5187">
        <v>0.1643503</v>
      </c>
      <c r="AA5187">
        <v>0.96409449999999997</v>
      </c>
      <c r="AB5187">
        <v>28</v>
      </c>
      <c r="AC5187">
        <v>0.285399999999981</v>
      </c>
      <c r="AD5187">
        <v>-0.19399340000000001</v>
      </c>
      <c r="AE5187">
        <v>-0.61179999999999801</v>
      </c>
      <c r="AF5187">
        <v>0.15585578910343001</v>
      </c>
      <c r="AG5187">
        <v>-0.19399340000000001</v>
      </c>
      <c r="AH5187">
        <v>0.603810495039804</v>
      </c>
      <c r="AI5187">
        <v>107.28017616977201</v>
      </c>
      <c r="AJ5187">
        <v>75.526705502707401</v>
      </c>
      <c r="AK5187">
        <v>0.65307854057596104</v>
      </c>
      <c r="AL5187">
        <v>90.842469699806799</v>
      </c>
      <c r="AM5187">
        <v>90.779697083224093</v>
      </c>
      <c r="AN5187">
        <v>0.99999998116823796</v>
      </c>
    </row>
    <row r="5188" spans="1:40" x14ac:dyDescent="0.25">
      <c r="A5188" t="str">
        <f>"20190312161421480"</f>
        <v>20190312161421480</v>
      </c>
      <c r="B5188" t="str">
        <f>"1552378461471789"</f>
        <v>1552378461471789</v>
      </c>
      <c r="C5188" t="s">
        <v>40</v>
      </c>
      <c r="D5188">
        <v>4.9444150000000002</v>
      </c>
      <c r="E5188">
        <v>0.58040459999999905</v>
      </c>
      <c r="F5188" t="s">
        <v>43</v>
      </c>
      <c r="G5188">
        <v>-414.32530000000003</v>
      </c>
      <c r="H5188">
        <v>0.90402300000000002</v>
      </c>
      <c r="I5188">
        <v>20.995039999999999</v>
      </c>
      <c r="J5188">
        <v>-414.66340000000002</v>
      </c>
      <c r="K5188">
        <v>1.1201159999999999</v>
      </c>
      <c r="L5188">
        <v>21.692319999999999</v>
      </c>
      <c r="M5188">
        <v>0.64092930000000004</v>
      </c>
      <c r="N5188">
        <v>0</v>
      </c>
      <c r="O5188">
        <v>-0.76744199999999996</v>
      </c>
      <c r="P5188">
        <v>0.6511536</v>
      </c>
      <c r="Q5188">
        <v>-3.0201169999999999E-2</v>
      </c>
      <c r="R5188">
        <v>-0.75834489999999999</v>
      </c>
      <c r="S5188">
        <v>1.444366</v>
      </c>
      <c r="T5188">
        <v>-0.72770709999999905</v>
      </c>
      <c r="U5188">
        <v>-2.68161</v>
      </c>
      <c r="V5188">
        <v>-1.3318379999999999E-2</v>
      </c>
      <c r="W5188">
        <v>-1.496745E-2</v>
      </c>
      <c r="X5188">
        <v>0.99979929999999995</v>
      </c>
      <c r="Y5188">
        <v>0.20849899999999999</v>
      </c>
      <c r="Z5188">
        <v>0.1634921</v>
      </c>
      <c r="AA5188">
        <v>0.96426060000000002</v>
      </c>
      <c r="AB5188">
        <v>28</v>
      </c>
      <c r="AC5188">
        <v>0.33809999999999701</v>
      </c>
      <c r="AD5188">
        <v>-0.21609300000000001</v>
      </c>
      <c r="AE5188">
        <v>-0.69728000000000201</v>
      </c>
      <c r="AF5188">
        <v>0.17393263274370099</v>
      </c>
      <c r="AG5188">
        <v>-0.21609300000000001</v>
      </c>
      <c r="AH5188">
        <v>0.69766067904255502</v>
      </c>
      <c r="AI5188">
        <v>106.72763570978699</v>
      </c>
      <c r="AJ5188">
        <v>76.001060128533496</v>
      </c>
      <c r="AK5188">
        <v>0.75078570075906104</v>
      </c>
      <c r="AL5188">
        <v>90.857603718916906</v>
      </c>
      <c r="AM5188">
        <v>90.763195005281304</v>
      </c>
      <c r="AN5188">
        <v>1.0000000220428999</v>
      </c>
    </row>
    <row r="5189" spans="1:40" x14ac:dyDescent="0.25">
      <c r="A5189" t="str">
        <f>"20190312161421492"</f>
        <v>20190312161421492</v>
      </c>
      <c r="B5189" t="str">
        <f>"1552378461481549"</f>
        <v>1552378461481549</v>
      </c>
      <c r="C5189" t="s">
        <v>40</v>
      </c>
      <c r="D5189">
        <v>4.9392069999999997</v>
      </c>
      <c r="E5189">
        <v>0.57985299999999995</v>
      </c>
      <c r="F5189" t="s">
        <v>43</v>
      </c>
      <c r="G5189">
        <v>-414.28870000000001</v>
      </c>
      <c r="H5189">
        <v>0.93412249999999997</v>
      </c>
      <c r="I5189">
        <v>21.01005</v>
      </c>
      <c r="J5189">
        <v>-414.57569999999998</v>
      </c>
      <c r="K5189">
        <v>1.120104</v>
      </c>
      <c r="L5189">
        <v>21.597110000000001</v>
      </c>
      <c r="M5189">
        <v>0.64584680000000005</v>
      </c>
      <c r="N5189">
        <v>0</v>
      </c>
      <c r="O5189">
        <v>-0.76330819999999999</v>
      </c>
      <c r="P5189">
        <v>0.65610449999999998</v>
      </c>
      <c r="Q5189">
        <v>-2.9951680000000001E-2</v>
      </c>
      <c r="R5189">
        <v>-0.75407559999999996</v>
      </c>
      <c r="S5189">
        <v>1.465668</v>
      </c>
      <c r="T5189">
        <v>-0.72839500000000001</v>
      </c>
      <c r="U5189">
        <v>-2.6684269999999999</v>
      </c>
      <c r="V5189">
        <v>-1.3440000000000001E-2</v>
      </c>
      <c r="W5189">
        <v>-1.471722E-2</v>
      </c>
      <c r="X5189">
        <v>0.9998013</v>
      </c>
      <c r="Y5189">
        <v>0.20684459999999999</v>
      </c>
      <c r="Z5189">
        <v>0.16276789999999999</v>
      </c>
      <c r="AA5189">
        <v>0.96473929999999997</v>
      </c>
      <c r="AB5189">
        <v>28</v>
      </c>
      <c r="AC5189">
        <v>0.286999999999977</v>
      </c>
      <c r="AD5189">
        <v>-0.18598149999999899</v>
      </c>
      <c r="AE5189">
        <v>-0.58706000000000003</v>
      </c>
      <c r="AF5189">
        <v>0.14810387151953</v>
      </c>
      <c r="AG5189">
        <v>-0.18598149999999899</v>
      </c>
      <c r="AH5189">
        <v>0.58606900770233905</v>
      </c>
      <c r="AI5189">
        <v>107.10131688679201</v>
      </c>
      <c r="AJ5189">
        <v>75.817861582648106</v>
      </c>
      <c r="AK5189">
        <v>0.63245613040789495</v>
      </c>
      <c r="AL5189">
        <v>90.843265090384193</v>
      </c>
      <c r="AM5189">
        <v>90.7701619284759</v>
      </c>
      <c r="AN5189">
        <v>0.99999993482310701</v>
      </c>
    </row>
    <row r="5190" spans="1:40" x14ac:dyDescent="0.25">
      <c r="A5190" t="str">
        <f>"20190312161421502"</f>
        <v>20190312161421502</v>
      </c>
      <c r="B5190" t="str">
        <f>"1552378461491309"</f>
        <v>1552378461491309</v>
      </c>
      <c r="C5190" t="s">
        <v>40</v>
      </c>
      <c r="D5190">
        <v>4.9863410000000004</v>
      </c>
      <c r="E5190">
        <v>0.5799803</v>
      </c>
      <c r="F5190" t="s">
        <v>43</v>
      </c>
      <c r="G5190">
        <v>-414.14460000000003</v>
      </c>
      <c r="H5190">
        <v>0.90959009999999996</v>
      </c>
      <c r="I5190">
        <v>20.826650000000001</v>
      </c>
      <c r="J5190">
        <v>-414.48829999999998</v>
      </c>
      <c r="K5190">
        <v>1.1200939999999999</v>
      </c>
      <c r="L5190">
        <v>21.50348</v>
      </c>
      <c r="M5190">
        <v>0.65069480000000002</v>
      </c>
      <c r="N5190">
        <v>0</v>
      </c>
      <c r="O5190">
        <v>-0.75917959999999995</v>
      </c>
      <c r="P5190">
        <v>0.66096480000000002</v>
      </c>
      <c r="Q5190">
        <v>-3.0030729999999999E-2</v>
      </c>
      <c r="R5190">
        <v>-0.74981580000000003</v>
      </c>
      <c r="S5190">
        <v>1.4864809999999999</v>
      </c>
      <c r="T5190">
        <v>-0.7258308</v>
      </c>
      <c r="U5190">
        <v>-2.6561889999999999</v>
      </c>
      <c r="V5190">
        <v>-1.353534E-2</v>
      </c>
      <c r="W5190">
        <v>-1.479579E-2</v>
      </c>
      <c r="X5190">
        <v>0.99979890000000005</v>
      </c>
      <c r="Y5190">
        <v>0.2053304</v>
      </c>
      <c r="Z5190">
        <v>0.16130340000000001</v>
      </c>
      <c r="AA5190">
        <v>0.96530850000000001</v>
      </c>
      <c r="AB5190">
        <v>28</v>
      </c>
      <c r="AC5190">
        <v>0.34369999999995499</v>
      </c>
      <c r="AD5190">
        <v>-0.21050389999999999</v>
      </c>
      <c r="AE5190">
        <v>-0.67682999999999804</v>
      </c>
      <c r="AF5190">
        <v>0.16668356657303801</v>
      </c>
      <c r="AG5190">
        <v>-0.21050389999999999</v>
      </c>
      <c r="AH5190">
        <v>0.68490008986667905</v>
      </c>
      <c r="AI5190">
        <v>106.62737132169001</v>
      </c>
      <c r="AJ5190">
        <v>76.321881028607095</v>
      </c>
      <c r="AK5190">
        <v>0.73565170860951801</v>
      </c>
      <c r="AL5190">
        <v>90.847767271449598</v>
      </c>
      <c r="AM5190">
        <v>90.775626461217698</v>
      </c>
      <c r="AN5190">
        <v>0.99999998063592399</v>
      </c>
    </row>
    <row r="5191" spans="1:40" x14ac:dyDescent="0.25">
      <c r="A5191" t="str">
        <f>"20190312161421512"</f>
        <v>20190312161421512</v>
      </c>
      <c r="B5191" t="str">
        <f>"1552378461502046"</f>
        <v>1552378461502046</v>
      </c>
      <c r="C5191" t="s">
        <v>40</v>
      </c>
      <c r="D5191">
        <v>4.8554130000000004</v>
      </c>
      <c r="E5191">
        <v>0.57875769999999904</v>
      </c>
      <c r="F5191" t="s">
        <v>43</v>
      </c>
      <c r="G5191">
        <v>-414.11130000000003</v>
      </c>
      <c r="H5191">
        <v>0.93909980000000004</v>
      </c>
      <c r="I5191">
        <v>20.839490000000001</v>
      </c>
      <c r="J5191">
        <v>-414.40320000000003</v>
      </c>
      <c r="K5191">
        <v>1.1200870000000001</v>
      </c>
      <c r="L5191">
        <v>21.413450000000001</v>
      </c>
      <c r="M5191">
        <v>0.65535310000000002</v>
      </c>
      <c r="N5191">
        <v>0</v>
      </c>
      <c r="O5191">
        <v>-0.75516229999999995</v>
      </c>
      <c r="P5191">
        <v>0.66569730000000005</v>
      </c>
      <c r="Q5191">
        <v>-3.0424130000000001E-2</v>
      </c>
      <c r="R5191">
        <v>-0.74560179999999998</v>
      </c>
      <c r="S5191">
        <v>1.5030209999999999</v>
      </c>
      <c r="T5191">
        <v>-0.72163089999999996</v>
      </c>
      <c r="U5191">
        <v>-2.6471559999999998</v>
      </c>
      <c r="V5191">
        <v>-1.371403E-2</v>
      </c>
      <c r="W5191">
        <v>-1.519128E-2</v>
      </c>
      <c r="X5191">
        <v>0.99979050000000003</v>
      </c>
      <c r="Y5191">
        <v>0.20522550000000001</v>
      </c>
      <c r="Z5191">
        <v>0.1593755</v>
      </c>
      <c r="AA5191">
        <v>0.96565100000000004</v>
      </c>
      <c r="AB5191">
        <v>28</v>
      </c>
      <c r="AC5191">
        <v>0.29189999999999799</v>
      </c>
      <c r="AD5191">
        <v>-0.18098719999999999</v>
      </c>
      <c r="AE5191">
        <v>-0.57396000000000302</v>
      </c>
      <c r="AF5191">
        <v>0.14433123298549599</v>
      </c>
      <c r="AG5191">
        <v>-0.18098719999999999</v>
      </c>
      <c r="AH5191">
        <v>0.57906023327039402</v>
      </c>
      <c r="AI5191">
        <v>106.871220365393</v>
      </c>
      <c r="AJ5191">
        <v>76.004163973557596</v>
      </c>
      <c r="AK5191">
        <v>0.62361737077643797</v>
      </c>
      <c r="AL5191">
        <v>90.870429756847003</v>
      </c>
      <c r="AM5191">
        <v>90.785871403835102</v>
      </c>
      <c r="AN5191">
        <v>0.99999994674856296</v>
      </c>
    </row>
    <row r="5192" spans="1:40" x14ac:dyDescent="0.25">
      <c r="A5192" t="str">
        <f>"20190312161421523"</f>
        <v>20190312161421523</v>
      </c>
      <c r="B5192" t="str">
        <f>"1552378461511805"</f>
        <v>1552378461511805</v>
      </c>
      <c r="C5192" t="s">
        <v>40</v>
      </c>
      <c r="D5192">
        <v>4.8729620000000002</v>
      </c>
      <c r="E5192">
        <v>0.57824149999999996</v>
      </c>
      <c r="F5192" t="s">
        <v>43</v>
      </c>
      <c r="G5192">
        <v>-413.96530000000001</v>
      </c>
      <c r="H5192">
        <v>0.91372120000000001</v>
      </c>
      <c r="I5192">
        <v>20.6587</v>
      </c>
      <c r="J5192">
        <v>-414.30930000000001</v>
      </c>
      <c r="K5192">
        <v>1.1200779999999999</v>
      </c>
      <c r="L5192">
        <v>21.315460000000002</v>
      </c>
      <c r="M5192">
        <v>0.66043339999999995</v>
      </c>
      <c r="N5192">
        <v>0</v>
      </c>
      <c r="O5192">
        <v>-0.75072309999999998</v>
      </c>
      <c r="P5192">
        <v>0.67085189999999995</v>
      </c>
      <c r="Q5192">
        <v>-3.009993E-2</v>
      </c>
      <c r="R5192">
        <v>-0.74098039999999998</v>
      </c>
      <c r="S5192">
        <v>1.526886</v>
      </c>
      <c r="T5192">
        <v>-0.72006939999999997</v>
      </c>
      <c r="U5192">
        <v>-2.6309809999999998</v>
      </c>
      <c r="V5192">
        <v>-1.390098E-2</v>
      </c>
      <c r="W5192">
        <v>-1.486913E-2</v>
      </c>
      <c r="X5192">
        <v>0.99979280000000004</v>
      </c>
      <c r="Y5192">
        <v>0.20264670000000001</v>
      </c>
      <c r="Z5192">
        <v>0.15822159999999999</v>
      </c>
      <c r="AA5192">
        <v>0.9663851</v>
      </c>
      <c r="AB5192">
        <v>27</v>
      </c>
      <c r="AC5192">
        <v>0.34399999999999398</v>
      </c>
      <c r="AD5192">
        <v>-0.20635680000000001</v>
      </c>
      <c r="AE5192">
        <v>-0.65676000000000201</v>
      </c>
      <c r="AF5192">
        <v>0.16289893583144499</v>
      </c>
      <c r="AG5192">
        <v>-0.20635680000000001</v>
      </c>
      <c r="AH5192">
        <v>0.66853006676776405</v>
      </c>
      <c r="AI5192">
        <v>106.69387025056</v>
      </c>
      <c r="AJ5192">
        <v>76.305754125179504</v>
      </c>
      <c r="AK5192">
        <v>0.71836734500794797</v>
      </c>
      <c r="AL5192">
        <v>90.851969802078401</v>
      </c>
      <c r="AM5192">
        <v>90.796581219016005</v>
      </c>
      <c r="AN5192">
        <v>0.99999998560187797</v>
      </c>
    </row>
    <row r="5193" spans="1:40" x14ac:dyDescent="0.25">
      <c r="A5193" t="str">
        <f>"20190312161421536"</f>
        <v>20190312161421536</v>
      </c>
      <c r="B5193" t="str">
        <f>"1552378461532301"</f>
        <v>1552378461532301</v>
      </c>
      <c r="C5193" t="s">
        <v>40</v>
      </c>
      <c r="D5193">
        <v>4.90442</v>
      </c>
      <c r="E5193">
        <v>0.57740619999999998</v>
      </c>
      <c r="F5193" t="s">
        <v>43</v>
      </c>
      <c r="G5193">
        <v>-413.92959999999999</v>
      </c>
      <c r="H5193">
        <v>0.94442950000000003</v>
      </c>
      <c r="I5193">
        <v>20.673279999999998</v>
      </c>
      <c r="J5193">
        <v>-414.21600000000001</v>
      </c>
      <c r="K5193">
        <v>1.120069</v>
      </c>
      <c r="L5193">
        <v>21.219449999999998</v>
      </c>
      <c r="M5193">
        <v>0.66541530000000004</v>
      </c>
      <c r="N5193">
        <v>0</v>
      </c>
      <c r="O5193">
        <v>-0.74631119999999995</v>
      </c>
      <c r="P5193">
        <v>0.67555500000000002</v>
      </c>
      <c r="Q5193">
        <v>-3.0269190000000001E-2</v>
      </c>
      <c r="R5193">
        <v>-0.73668880000000003</v>
      </c>
      <c r="S5193">
        <v>1.5483089999999999</v>
      </c>
      <c r="T5193">
        <v>-0.71680259999999996</v>
      </c>
      <c r="U5193">
        <v>-2.6177670000000002</v>
      </c>
      <c r="V5193">
        <v>-1.361157E-2</v>
      </c>
      <c r="W5193">
        <v>-1.5029519999999999E-2</v>
      </c>
      <c r="X5193">
        <v>0.99979439999999997</v>
      </c>
      <c r="Y5193">
        <v>0.20105290000000001</v>
      </c>
      <c r="Z5193">
        <v>0.15656800000000001</v>
      </c>
      <c r="AA5193">
        <v>0.96698720000000005</v>
      </c>
      <c r="AB5193">
        <v>27</v>
      </c>
      <c r="AC5193">
        <v>0.28640000000001398</v>
      </c>
      <c r="AD5193">
        <v>-0.175639499999999</v>
      </c>
      <c r="AE5193">
        <v>-0.54616999999999905</v>
      </c>
      <c r="AF5193">
        <v>0.13847261125461799</v>
      </c>
      <c r="AG5193">
        <v>-0.175639499999999</v>
      </c>
      <c r="AH5193">
        <v>0.55337456495811799</v>
      </c>
      <c r="AI5193">
        <v>107.11378510994</v>
      </c>
      <c r="AJ5193">
        <v>75.951189305972704</v>
      </c>
      <c r="AK5193">
        <v>0.59686456350709005</v>
      </c>
      <c r="AL5193">
        <v>90.861160485391395</v>
      </c>
      <c r="AM5193">
        <v>90.779997702233601</v>
      </c>
      <c r="AN5193">
        <v>1.0000000017903199</v>
      </c>
    </row>
    <row r="5194" spans="1:40" x14ac:dyDescent="0.25">
      <c r="A5194" t="str">
        <f>"20190312161421547"</f>
        <v>20190312161421547</v>
      </c>
      <c r="B5194" t="str">
        <f>"1552378461542061"</f>
        <v>1552378461542061</v>
      </c>
      <c r="C5194" t="s">
        <v>40</v>
      </c>
      <c r="D5194">
        <v>4.8326849999999997</v>
      </c>
      <c r="E5194">
        <v>0.57675619999999905</v>
      </c>
      <c r="F5194" t="s">
        <v>43</v>
      </c>
      <c r="G5194">
        <v>-413.77940000000001</v>
      </c>
      <c r="H5194">
        <v>0.92198840000000004</v>
      </c>
      <c r="I5194">
        <v>20.495419999999999</v>
      </c>
      <c r="J5194">
        <v>-414.10860000000002</v>
      </c>
      <c r="K5194">
        <v>1.120058</v>
      </c>
      <c r="L5194">
        <v>21.109950000000001</v>
      </c>
      <c r="M5194">
        <v>0.67108610000000002</v>
      </c>
      <c r="N5194">
        <v>0</v>
      </c>
      <c r="O5194">
        <v>-0.74121559999999997</v>
      </c>
      <c r="P5194">
        <v>0.68110789999999999</v>
      </c>
      <c r="Q5194">
        <v>-3.0242080000000001E-2</v>
      </c>
      <c r="R5194">
        <v>-0.73155829999999999</v>
      </c>
      <c r="S5194">
        <v>1.5697939999999999</v>
      </c>
      <c r="T5194">
        <v>-0.71198139999999999</v>
      </c>
      <c r="U5194">
        <v>-2.603485</v>
      </c>
      <c r="V5194">
        <v>-1.355198E-2</v>
      </c>
      <c r="W5194">
        <v>-1.499902E-2</v>
      </c>
      <c r="X5194">
        <v>0.99979569999999995</v>
      </c>
      <c r="Y5194">
        <v>0.20016210000000001</v>
      </c>
      <c r="Z5194">
        <v>0.154406399999999</v>
      </c>
      <c r="AA5194">
        <v>0.96751940000000003</v>
      </c>
      <c r="AB5194">
        <v>27</v>
      </c>
      <c r="AC5194">
        <v>0.32920000000001398</v>
      </c>
      <c r="AD5194">
        <v>-0.19806960000000001</v>
      </c>
      <c r="AE5194">
        <v>-0.61452999999999802</v>
      </c>
      <c r="AF5194">
        <v>0.155835741586173</v>
      </c>
      <c r="AG5194">
        <v>-0.19806960000000001</v>
      </c>
      <c r="AH5194">
        <v>0.62597422126078694</v>
      </c>
      <c r="AI5194">
        <v>107.068918762584</v>
      </c>
      <c r="AJ5194">
        <v>76.020438828189597</v>
      </c>
      <c r="AK5194">
        <v>0.67480372737776195</v>
      </c>
      <c r="AL5194">
        <v>90.859412739216694</v>
      </c>
      <c r="AM5194">
        <v>90.7765823650588</v>
      </c>
      <c r="AN5194">
        <v>1.0000000342506801</v>
      </c>
    </row>
    <row r="5195" spans="1:40" x14ac:dyDescent="0.25">
      <c r="A5195" t="str">
        <f>"20190312161421558"</f>
        <v>20190312161421558</v>
      </c>
      <c r="B5195" t="str">
        <f>"1552378461551820"</f>
        <v>1552378461551820</v>
      </c>
      <c r="C5195" t="s">
        <v>40</v>
      </c>
      <c r="D5195">
        <v>4.945532</v>
      </c>
      <c r="E5195">
        <v>0.57689699999999999</v>
      </c>
      <c r="F5195" t="s">
        <v>43</v>
      </c>
      <c r="G5195">
        <v>-413.74009999999998</v>
      </c>
      <c r="H5195">
        <v>0.95539870000000005</v>
      </c>
      <c r="I5195">
        <v>20.511659999999999</v>
      </c>
      <c r="J5195">
        <v>-414.01650000000001</v>
      </c>
      <c r="K5195">
        <v>1.12005</v>
      </c>
      <c r="L5195">
        <v>21.01831</v>
      </c>
      <c r="M5195">
        <v>0.67585890000000004</v>
      </c>
      <c r="N5195">
        <v>0</v>
      </c>
      <c r="O5195">
        <v>-0.73686640000000003</v>
      </c>
      <c r="P5195">
        <v>0.68567369999999905</v>
      </c>
      <c r="Q5195">
        <v>-2.9973880000000001E-2</v>
      </c>
      <c r="R5195">
        <v>-0.72729160000000004</v>
      </c>
      <c r="S5195">
        <v>1.5935360000000001</v>
      </c>
      <c r="T5195">
        <v>-0.71186179999999999</v>
      </c>
      <c r="U5195">
        <v>-2.5877690000000002</v>
      </c>
      <c r="V5195">
        <v>-1.335276E-2</v>
      </c>
      <c r="W5195">
        <v>-1.4724640000000001E-2</v>
      </c>
      <c r="X5195">
        <v>0.99980239999999998</v>
      </c>
      <c r="Y5195">
        <v>0.19740269999999999</v>
      </c>
      <c r="Z5195">
        <v>0.1535598</v>
      </c>
      <c r="AA5195">
        <v>0.96822079999999999</v>
      </c>
      <c r="AB5195">
        <v>27</v>
      </c>
      <c r="AC5195">
        <v>0.27640000000002302</v>
      </c>
      <c r="AD5195">
        <v>-0.1646513</v>
      </c>
      <c r="AE5195">
        <v>-0.50665000000000004</v>
      </c>
      <c r="AF5195">
        <v>0.12832647729345301</v>
      </c>
      <c r="AG5195">
        <v>-0.1646513</v>
      </c>
      <c r="AH5195">
        <v>0.51804539438889896</v>
      </c>
      <c r="AI5195">
        <v>107.145384070369</v>
      </c>
      <c r="AJ5195">
        <v>76.087160797460598</v>
      </c>
      <c r="AK5195">
        <v>0.55852373809336597</v>
      </c>
      <c r="AL5195">
        <v>90.8436902371553</v>
      </c>
      <c r="AM5195">
        <v>90.765162506948997</v>
      </c>
      <c r="AN5195">
        <v>0.99999997513425298</v>
      </c>
    </row>
    <row r="5196" spans="1:40" x14ac:dyDescent="0.25">
      <c r="A5196" t="str">
        <f>"20190312161421570"</f>
        <v>20190312161421570</v>
      </c>
      <c r="B5196" t="str">
        <f>"1552378461561580"</f>
        <v>1552378461561580</v>
      </c>
      <c r="C5196" t="s">
        <v>40</v>
      </c>
      <c r="D5196">
        <v>5.1263949999999996</v>
      </c>
      <c r="E5196">
        <v>0.57689699999999999</v>
      </c>
      <c r="F5196" t="s">
        <v>43</v>
      </c>
      <c r="G5196">
        <v>-413.59039999999999</v>
      </c>
      <c r="H5196">
        <v>0.93132400000000004</v>
      </c>
      <c r="I5196">
        <v>20.335419999999999</v>
      </c>
      <c r="J5196">
        <v>-413.91609999999997</v>
      </c>
      <c r="K5196">
        <v>1.1200369999999999</v>
      </c>
      <c r="L5196">
        <v>20.918849999999999</v>
      </c>
      <c r="M5196">
        <v>0.68101909999999999</v>
      </c>
      <c r="N5196">
        <v>0</v>
      </c>
      <c r="O5196">
        <v>-0.73209969999999902</v>
      </c>
      <c r="P5196">
        <v>0.69043690000000002</v>
      </c>
      <c r="Q5196">
        <v>-2.9722749999999999E-2</v>
      </c>
      <c r="R5196">
        <v>-0.72278199999999904</v>
      </c>
      <c r="S5196">
        <v>1.6093440000000001</v>
      </c>
      <c r="T5196">
        <v>-0.7138774</v>
      </c>
      <c r="U5196">
        <v>-2.5782470000000002</v>
      </c>
      <c r="V5196">
        <v>-1.289657E-2</v>
      </c>
      <c r="W5196">
        <v>-1.446101E-2</v>
      </c>
      <c r="X5196">
        <v>0.99981220000000004</v>
      </c>
      <c r="Y5196">
        <v>0.19837460000000001</v>
      </c>
      <c r="Z5196">
        <v>0.1526865</v>
      </c>
      <c r="AA5196">
        <v>0.96816029999999997</v>
      </c>
      <c r="AB5196">
        <v>27</v>
      </c>
      <c r="AC5196">
        <v>0.325699999999983</v>
      </c>
      <c r="AD5196">
        <v>-0.18871299999999999</v>
      </c>
      <c r="AE5196">
        <v>-0.58342999999999601</v>
      </c>
      <c r="AF5196">
        <v>0.14716300791161299</v>
      </c>
      <c r="AG5196">
        <v>-0.18871299999999999</v>
      </c>
      <c r="AH5196">
        <v>0.60107147302941599</v>
      </c>
      <c r="AI5196">
        <v>106.959291816492</v>
      </c>
      <c r="AJ5196">
        <v>76.242647461559898</v>
      </c>
      <c r="AK5196">
        <v>0.64695939822862603</v>
      </c>
      <c r="AL5196">
        <v>90.828583771938398</v>
      </c>
      <c r="AM5196">
        <v>90.739016841212404</v>
      </c>
      <c r="AN5196">
        <v>0.99999993879840998</v>
      </c>
    </row>
    <row r="5197" spans="1:40" x14ac:dyDescent="0.25">
      <c r="A5197" t="str">
        <f>"20190312161421581"</f>
        <v>20190312161421581</v>
      </c>
      <c r="B5197" t="str">
        <f>"1552378461572317"</f>
        <v>1552378461572317</v>
      </c>
      <c r="C5197" t="s">
        <v>40</v>
      </c>
      <c r="D5197">
        <v>5.0996079999999999</v>
      </c>
      <c r="E5197">
        <v>0.53651059999999995</v>
      </c>
      <c r="F5197" t="s">
        <v>43</v>
      </c>
      <c r="G5197">
        <v>-413.43619999999999</v>
      </c>
      <c r="H5197">
        <v>0.90956760000000003</v>
      </c>
      <c r="I5197">
        <v>20.16085</v>
      </c>
      <c r="J5197">
        <v>-413.82240000000002</v>
      </c>
      <c r="K5197">
        <v>1.120025</v>
      </c>
      <c r="L5197">
        <v>20.827850000000002</v>
      </c>
      <c r="M5197">
        <v>0.68576110000000001</v>
      </c>
      <c r="N5197">
        <v>0</v>
      </c>
      <c r="O5197">
        <v>-0.72765990000000003</v>
      </c>
      <c r="P5197">
        <v>0.6950248</v>
      </c>
      <c r="Q5197">
        <v>-2.9200009999999998E-2</v>
      </c>
      <c r="R5197">
        <v>-0.71839259999999905</v>
      </c>
      <c r="S5197">
        <v>1.62619</v>
      </c>
      <c r="T5197">
        <v>-0.71332069999999903</v>
      </c>
      <c r="U5197">
        <v>-2.567841</v>
      </c>
      <c r="V5197">
        <v>-1.276508E-2</v>
      </c>
      <c r="W5197">
        <v>-1.3934220000000001E-2</v>
      </c>
      <c r="X5197">
        <v>0.99982139999999997</v>
      </c>
      <c r="Y5197">
        <v>0.19835559999999999</v>
      </c>
      <c r="Z5197">
        <v>0.15145020000000001</v>
      </c>
      <c r="AA5197">
        <v>0.96835830000000001</v>
      </c>
      <c r="AB5197">
        <v>27</v>
      </c>
      <c r="AC5197">
        <v>0.38620000000003002</v>
      </c>
      <c r="AD5197">
        <v>-0.21045739999999999</v>
      </c>
      <c r="AE5197">
        <v>-0.66700000000000104</v>
      </c>
      <c r="AF5197">
        <v>0.16416171438506599</v>
      </c>
      <c r="AG5197">
        <v>-0.21045739999999999</v>
      </c>
      <c r="AH5197">
        <v>0.69822095360580905</v>
      </c>
      <c r="AI5197">
        <v>106.352673064529</v>
      </c>
      <c r="AJ5197">
        <v>76.769244066759995</v>
      </c>
      <c r="AK5197">
        <v>0.74749841855271504</v>
      </c>
      <c r="AL5197">
        <v>90.798397858006894</v>
      </c>
      <c r="AM5197">
        <v>90.731476114732899</v>
      </c>
      <c r="AN5197">
        <v>0.99999997082618697</v>
      </c>
    </row>
    <row r="5198" spans="1:40" x14ac:dyDescent="0.25">
      <c r="A5198" t="str">
        <f>"20190312161421591"</f>
        <v>20190312161421591</v>
      </c>
      <c r="B5198" t="str">
        <f>"1552378461582076"</f>
        <v>1552378461582076</v>
      </c>
      <c r="C5198" t="s">
        <v>40</v>
      </c>
      <c r="D5198">
        <v>4.6407619999999996</v>
      </c>
      <c r="E5198">
        <v>0.53651059999999995</v>
      </c>
      <c r="F5198" t="s">
        <v>43</v>
      </c>
      <c r="G5198">
        <v>-413.33920000000001</v>
      </c>
      <c r="H5198">
        <v>0.96103819999999995</v>
      </c>
      <c r="I5198">
        <v>20.225190000000001</v>
      </c>
      <c r="J5198">
        <v>-413.73200000000003</v>
      </c>
      <c r="K5198">
        <v>1.12001</v>
      </c>
      <c r="L5198">
        <v>20.740690000000001</v>
      </c>
      <c r="M5198">
        <v>0.69029169999999995</v>
      </c>
      <c r="N5198">
        <v>0</v>
      </c>
      <c r="O5198">
        <v>-0.72336339999999999</v>
      </c>
      <c r="P5198">
        <v>0.69933089999999998</v>
      </c>
      <c r="Q5198">
        <v>-2.9321880000000002E-2</v>
      </c>
      <c r="R5198">
        <v>-0.71419670000000002</v>
      </c>
      <c r="S5198">
        <v>1.8744510000000001</v>
      </c>
      <c r="T5198">
        <v>-0.61703129999999995</v>
      </c>
      <c r="U5198">
        <v>-2.337402</v>
      </c>
      <c r="V5198">
        <v>-1.253288E-2</v>
      </c>
      <c r="W5198">
        <v>-1.4050099999999999E-2</v>
      </c>
      <c r="X5198">
        <v>0.99982269999999895</v>
      </c>
      <c r="Y5198">
        <v>9.4497899999999996E-2</v>
      </c>
      <c r="Z5198">
        <v>0.13999020000000001</v>
      </c>
      <c r="AA5198">
        <v>0.98563330000000005</v>
      </c>
      <c r="AB5198">
        <v>27</v>
      </c>
      <c r="AC5198">
        <v>0.39279999999996501</v>
      </c>
      <c r="AD5198">
        <v>-0.1589718</v>
      </c>
      <c r="AE5198">
        <v>-0.51550000000000296</v>
      </c>
      <c r="AF5198">
        <v>6.76468324572186E-2</v>
      </c>
      <c r="AG5198">
        <v>-0.1589718</v>
      </c>
      <c r="AH5198">
        <v>0.60756338841098601</v>
      </c>
      <c r="AI5198">
        <v>104.576778827688</v>
      </c>
      <c r="AJ5198">
        <v>83.646786629806599</v>
      </c>
      <c r="AK5198">
        <v>0.63164974319172695</v>
      </c>
      <c r="AL5198">
        <v>90.805037955977298</v>
      </c>
      <c r="AM5198">
        <v>90.718170853974399</v>
      </c>
      <c r="AN5198">
        <v>0.99999995491319504</v>
      </c>
    </row>
    <row r="5199" spans="1:40" x14ac:dyDescent="0.25">
      <c r="A5199" t="str">
        <f>"20190312161421604"</f>
        <v>20190312161421604</v>
      </c>
      <c r="B5199" t="str">
        <f>"1552378461591837"</f>
        <v>1552378461591837</v>
      </c>
      <c r="C5199" t="s">
        <v>40</v>
      </c>
      <c r="D5199">
        <v>4.5822629999999904</v>
      </c>
      <c r="E5199">
        <v>0.44408389999999998</v>
      </c>
      <c r="F5199" t="s">
        <v>43</v>
      </c>
      <c r="G5199">
        <v>-413.17919999999998</v>
      </c>
      <c r="H5199">
        <v>0.93940919999999895</v>
      </c>
      <c r="I5199">
        <v>20.059799999999999</v>
      </c>
      <c r="J5199">
        <v>-413.6234</v>
      </c>
      <c r="K5199">
        <v>1.119998</v>
      </c>
      <c r="L5199">
        <v>20.637730000000001</v>
      </c>
      <c r="M5199">
        <v>0.69565600000000005</v>
      </c>
      <c r="N5199">
        <v>0</v>
      </c>
      <c r="O5199">
        <v>-0.71820609999999996</v>
      </c>
      <c r="P5199">
        <v>0.70435729999999996</v>
      </c>
      <c r="Q5199">
        <v>-2.9156680000000001E-2</v>
      </c>
      <c r="R5199">
        <v>-0.70924659999999995</v>
      </c>
      <c r="S5199">
        <v>1.8886719999999999</v>
      </c>
      <c r="T5199">
        <v>-0.61741590000000002</v>
      </c>
      <c r="U5199">
        <v>-2.3258359999999998</v>
      </c>
      <c r="V5199">
        <v>-1.215341E-2</v>
      </c>
      <c r="W5199">
        <v>-1.3875429999999999E-2</v>
      </c>
      <c r="X5199">
        <v>0.99982990000000005</v>
      </c>
      <c r="Y5199">
        <v>9.5807210000000004E-2</v>
      </c>
      <c r="Z5199">
        <v>0.13889770000000001</v>
      </c>
      <c r="AA5199">
        <v>0.98566140000000002</v>
      </c>
      <c r="AB5199">
        <v>27</v>
      </c>
      <c r="AC5199">
        <v>0.44420000000002302</v>
      </c>
      <c r="AD5199">
        <v>-0.18058879999999999</v>
      </c>
      <c r="AE5199">
        <v>-0.57792999999999795</v>
      </c>
      <c r="AF5199">
        <v>7.8222112015317702E-2</v>
      </c>
      <c r="AG5199">
        <v>-0.18058879999999999</v>
      </c>
      <c r="AH5199">
        <v>0.68229193993714798</v>
      </c>
      <c r="AI5199">
        <v>104.732807260491</v>
      </c>
      <c r="AJ5199">
        <v>83.459816546915803</v>
      </c>
      <c r="AK5199">
        <v>0.71010795291756401</v>
      </c>
      <c r="AL5199">
        <v>90.795029065561394</v>
      </c>
      <c r="AM5199">
        <v>90.696423268321098</v>
      </c>
      <c r="AN5199">
        <v>1.00000003093316</v>
      </c>
    </row>
    <row r="5200" spans="1:40" x14ac:dyDescent="0.25">
      <c r="A5200" t="str">
        <f>"20190312161421617"</f>
        <v>20190312161421617</v>
      </c>
      <c r="B5200" t="str">
        <f>"1552378461612332"</f>
        <v>1552378461612332</v>
      </c>
      <c r="C5200" t="s">
        <v>40</v>
      </c>
      <c r="D5200">
        <v>4.8551690000000001</v>
      </c>
      <c r="E5200">
        <v>0.42776120000000001</v>
      </c>
      <c r="F5200" t="s">
        <v>77</v>
      </c>
      <c r="G5200">
        <v>-402.79520000000002</v>
      </c>
      <c r="H5200" s="1">
        <v>-5.8053010000000004E-6</v>
      </c>
      <c r="I5200">
        <v>12.58259</v>
      </c>
      <c r="J5200">
        <v>-413.51409999999998</v>
      </c>
      <c r="K5200">
        <v>1.1199840000000001</v>
      </c>
      <c r="L5200">
        <v>20.535710000000002</v>
      </c>
      <c r="M5200">
        <v>0.70098019999999905</v>
      </c>
      <c r="N5200">
        <v>0</v>
      </c>
      <c r="O5200">
        <v>-0.71301079999999994</v>
      </c>
      <c r="P5200">
        <v>0.70940209999999904</v>
      </c>
      <c r="Q5200">
        <v>-2.9050779999999998E-2</v>
      </c>
      <c r="R5200">
        <v>-0.70420539999999998</v>
      </c>
      <c r="S5200">
        <v>2.4291990000000001</v>
      </c>
      <c r="T5200">
        <v>-0.25126279999999901</v>
      </c>
      <c r="U5200">
        <v>-1.8070980000000001</v>
      </c>
      <c r="V5200">
        <v>-1.185164E-2</v>
      </c>
      <c r="W5200">
        <v>-1.376233E-2</v>
      </c>
      <c r="X5200">
        <v>0.99983509999999998</v>
      </c>
      <c r="Y5200">
        <v>-0.151454799999999</v>
      </c>
      <c r="Z5200">
        <v>6.3451839999999995E-2</v>
      </c>
      <c r="AA5200">
        <v>0.98642549999999996</v>
      </c>
      <c r="AB5200">
        <v>27</v>
      </c>
      <c r="AC5200">
        <v>10.7188999999999</v>
      </c>
      <c r="AD5200">
        <v>-1.119989805301</v>
      </c>
      <c r="AE5200">
        <v>-7.9531200000000002</v>
      </c>
      <c r="AF5200">
        <v>-2.0535031949575702</v>
      </c>
      <c r="AG5200">
        <v>-1.119989805301</v>
      </c>
      <c r="AH5200">
        <v>13.0937983718498</v>
      </c>
      <c r="AI5200">
        <v>94.830190275862094</v>
      </c>
      <c r="AJ5200">
        <v>98.913107790261805</v>
      </c>
      <c r="AK5200">
        <v>13.301082976146599</v>
      </c>
      <c r="AL5200">
        <v>90.7885482830699</v>
      </c>
      <c r="AM5200">
        <v>90.679129139514203</v>
      </c>
      <c r="AN5200">
        <v>1.0000000451448601</v>
      </c>
    </row>
    <row r="5201" spans="1:40" x14ac:dyDescent="0.25">
      <c r="A5201" t="str">
        <f>"20190312161421630"</f>
        <v>20190312161421630</v>
      </c>
      <c r="B5201" t="str">
        <f>"1552378461622093"</f>
        <v>1552378461622093</v>
      </c>
      <c r="C5201" t="s">
        <v>40</v>
      </c>
      <c r="D5201">
        <v>4.8382639999999997</v>
      </c>
      <c r="E5201">
        <v>0.34434150000000002</v>
      </c>
      <c r="F5201" t="s">
        <v>77</v>
      </c>
      <c r="G5201">
        <v>-401.15809999999999</v>
      </c>
      <c r="H5201" s="1">
        <v>-6.4942480000000001E-6</v>
      </c>
      <c r="I5201">
        <v>12.257440000000001</v>
      </c>
      <c r="J5201">
        <v>-413.3956</v>
      </c>
      <c r="K5201">
        <v>1.119969</v>
      </c>
      <c r="L5201">
        <v>20.426390000000001</v>
      </c>
      <c r="M5201">
        <v>0.70667539999999995</v>
      </c>
      <c r="N5201">
        <v>0</v>
      </c>
      <c r="O5201">
        <v>-0.70736639999999995</v>
      </c>
      <c r="P5201">
        <v>0.71472650000000004</v>
      </c>
      <c r="Q5201">
        <v>-2.8945390000000001E-2</v>
      </c>
      <c r="R5201">
        <v>-0.69880529999999996</v>
      </c>
      <c r="S5201">
        <v>2.534119</v>
      </c>
      <c r="T5201">
        <v>-0.2297024</v>
      </c>
      <c r="U5201">
        <v>-1.6978150000000001</v>
      </c>
      <c r="V5201">
        <v>-1.142258E-2</v>
      </c>
      <c r="W5201">
        <v>-1.364682E-2</v>
      </c>
      <c r="X5201">
        <v>0.9998416</v>
      </c>
      <c r="Y5201">
        <v>-0.19237360000000001</v>
      </c>
      <c r="Z5201">
        <v>5.8323600000000003E-2</v>
      </c>
      <c r="AA5201">
        <v>0.97958699999999999</v>
      </c>
      <c r="AB5201">
        <v>27</v>
      </c>
      <c r="AC5201">
        <v>12.237500000000001</v>
      </c>
      <c r="AD5201">
        <v>-1.119975494248</v>
      </c>
      <c r="AE5201">
        <v>-8.1689499999999899</v>
      </c>
      <c r="AF5201">
        <v>-2.8673367171362099</v>
      </c>
      <c r="AG5201">
        <v>-1.119975494248</v>
      </c>
      <c r="AH5201">
        <v>14.345015730510699</v>
      </c>
      <c r="AI5201">
        <v>94.378010281534202</v>
      </c>
      <c r="AJ5201">
        <v>101.30353240333299</v>
      </c>
      <c r="AK5201">
        <v>14.67158618779</v>
      </c>
      <c r="AL5201">
        <v>90.781929486561296</v>
      </c>
      <c r="AM5201">
        <v>90.654540833754893</v>
      </c>
      <c r="AN5201">
        <v>0.99999996806026303</v>
      </c>
    </row>
    <row r="5202" spans="1:40" x14ac:dyDescent="0.25">
      <c r="A5202" t="str">
        <f>"20190312161421641"</f>
        <v>20190312161421641</v>
      </c>
      <c r="B5202" t="str">
        <f>"1552378461631853"</f>
        <v>1552378461631853</v>
      </c>
      <c r="C5202" t="s">
        <v>40</v>
      </c>
      <c r="D5202">
        <v>4.8396030000000003</v>
      </c>
      <c r="E5202">
        <v>0.33799200000000001</v>
      </c>
      <c r="F5202" t="s">
        <v>94</v>
      </c>
      <c r="G5202">
        <v>-385.37049999999999</v>
      </c>
      <c r="H5202">
        <v>7.9986539999999995E-2</v>
      </c>
      <c r="I5202">
        <v>9.1912760000000002</v>
      </c>
      <c r="J5202">
        <v>-413.28910000000002</v>
      </c>
      <c r="K5202">
        <v>1.1199570000000001</v>
      </c>
      <c r="L5202">
        <v>20.33014</v>
      </c>
      <c r="M5202">
        <v>0.71171049999999902</v>
      </c>
      <c r="N5202">
        <v>0</v>
      </c>
      <c r="O5202">
        <v>-0.70230009999999998</v>
      </c>
      <c r="P5202">
        <v>0.71928979999999998</v>
      </c>
      <c r="Q5202">
        <v>-2.8910640000000001E-2</v>
      </c>
      <c r="R5202">
        <v>-0.69410859999999996</v>
      </c>
      <c r="S5202">
        <v>3.0122070000000001</v>
      </c>
      <c r="T5202">
        <v>-0.1117802</v>
      </c>
      <c r="U5202">
        <v>-1.207581</v>
      </c>
      <c r="V5202">
        <v>-1.083187E-2</v>
      </c>
      <c r="W5202">
        <v>-1.3598549999999999E-2</v>
      </c>
      <c r="X5202">
        <v>0.99984879999999998</v>
      </c>
      <c r="Y5202">
        <v>-0.38654440000000001</v>
      </c>
      <c r="Z5202">
        <v>2.9111910000000001E-2</v>
      </c>
      <c r="AA5202">
        <v>0.92181120000000005</v>
      </c>
      <c r="AB5202">
        <v>27</v>
      </c>
      <c r="AC5202">
        <v>27.918600000000001</v>
      </c>
      <c r="AD5202">
        <v>-1.0399704599999999</v>
      </c>
      <c r="AE5202">
        <v>-11.138864</v>
      </c>
      <c r="AF5202">
        <v>-11.6670411445285</v>
      </c>
      <c r="AG5202">
        <v>-1.0399704599999999</v>
      </c>
      <c r="AH5202">
        <v>27.663034336128501</v>
      </c>
      <c r="AI5202">
        <v>91.983901400788596</v>
      </c>
      <c r="AJ5202">
        <v>112.867860075449</v>
      </c>
      <c r="AK5202">
        <v>30.0407199698612</v>
      </c>
      <c r="AL5202">
        <v>90.779163587194802</v>
      </c>
      <c r="AM5202">
        <v>90.6206900055885</v>
      </c>
      <c r="AN5202">
        <v>0.99999993641561702</v>
      </c>
    </row>
    <row r="5203" spans="1:40" x14ac:dyDescent="0.25">
      <c r="A5203" t="str">
        <f>"20190312161421655"</f>
        <v>20190312161421655</v>
      </c>
      <c r="B5203" t="str">
        <f>"1552378461652349"</f>
        <v>1552378461652349</v>
      </c>
      <c r="C5203" t="s">
        <v>40</v>
      </c>
      <c r="D5203">
        <v>4.8069470000000001</v>
      </c>
      <c r="E5203">
        <v>0.33471289999999998</v>
      </c>
      <c r="F5203" t="s">
        <v>95</v>
      </c>
      <c r="G5203">
        <v>-377.66840000000002</v>
      </c>
      <c r="H5203">
        <v>7.9986059999999998E-2</v>
      </c>
      <c r="I5203">
        <v>6.8993460000000004</v>
      </c>
      <c r="J5203">
        <v>-413.17750000000001</v>
      </c>
      <c r="K5203">
        <v>1.1199429999999999</v>
      </c>
      <c r="L5203">
        <v>20.230589999999999</v>
      </c>
      <c r="M5203">
        <v>0.71691539999999998</v>
      </c>
      <c r="N5203">
        <v>0</v>
      </c>
      <c r="O5203">
        <v>-0.69698609999999905</v>
      </c>
      <c r="P5203">
        <v>0.724058599999999</v>
      </c>
      <c r="Q5203">
        <v>-2.870342E-2</v>
      </c>
      <c r="R5203">
        <v>-0.68914089999999995</v>
      </c>
      <c r="S5203">
        <v>3.0554809999999999</v>
      </c>
      <c r="T5203">
        <v>-8.9206809999999997E-2</v>
      </c>
      <c r="U5203">
        <v>-1.152069</v>
      </c>
      <c r="V5203">
        <v>-1.028744E-2</v>
      </c>
      <c r="W5203">
        <v>-1.337905E-2</v>
      </c>
      <c r="X5203">
        <v>0.99985749999999995</v>
      </c>
      <c r="Y5203">
        <v>-0.39894190000000002</v>
      </c>
      <c r="Z5203">
        <v>2.311351E-2</v>
      </c>
      <c r="AA5203">
        <v>0.91668490000000002</v>
      </c>
      <c r="AB5203">
        <v>27</v>
      </c>
      <c r="AC5203">
        <v>35.509099999999897</v>
      </c>
      <c r="AD5203">
        <v>-1.0399569399999999</v>
      </c>
      <c r="AE5203">
        <v>-13.3312439999999</v>
      </c>
      <c r="AF5203">
        <v>-15.182405090661801</v>
      </c>
      <c r="AG5203">
        <v>-1.0399569399999999</v>
      </c>
      <c r="AH5203">
        <v>34.726823075053403</v>
      </c>
      <c r="AI5203">
        <v>91.571746913783898</v>
      </c>
      <c r="AJ5203">
        <v>113.614724541898</v>
      </c>
      <c r="AK5203">
        <v>37.914893850043498</v>
      </c>
      <c r="AL5203">
        <v>90.7665860269652</v>
      </c>
      <c r="AM5203">
        <v>90.589490098431298</v>
      </c>
      <c r="AN5203">
        <v>0.99999992535344995</v>
      </c>
    </row>
    <row r="5204" spans="1:40" x14ac:dyDescent="0.25">
      <c r="A5204" t="str">
        <f>"20190312161421669"</f>
        <v>20190312161421669</v>
      </c>
      <c r="B5204" t="str">
        <f>"1552378461662108"</f>
        <v>1552378461662108</v>
      </c>
      <c r="C5204" t="s">
        <v>40</v>
      </c>
      <c r="D5204">
        <v>4.7926789999999997</v>
      </c>
      <c r="E5204">
        <v>0.33504850000000003</v>
      </c>
      <c r="F5204" t="s">
        <v>95</v>
      </c>
      <c r="G5204">
        <v>-370.30779999999999</v>
      </c>
      <c r="H5204">
        <v>7.998653E-2</v>
      </c>
      <c r="I5204">
        <v>4.7510159999999999</v>
      </c>
      <c r="J5204">
        <v>-413.04199999999997</v>
      </c>
      <c r="K5204">
        <v>1.119934</v>
      </c>
      <c r="L5204">
        <v>20.1113</v>
      </c>
      <c r="M5204">
        <v>0.72315059999999998</v>
      </c>
      <c r="N5204">
        <v>0</v>
      </c>
      <c r="O5204">
        <v>-0.69051479999999998</v>
      </c>
      <c r="P5204">
        <v>0.72959149999999995</v>
      </c>
      <c r="Q5204">
        <v>-2.800849E-2</v>
      </c>
      <c r="R5204">
        <v>-0.68330950000000001</v>
      </c>
      <c r="S5204">
        <v>3.0813899999999999</v>
      </c>
      <c r="T5204">
        <v>-7.4749949999999996E-2</v>
      </c>
      <c r="U5204">
        <v>-1.1126400000000001</v>
      </c>
      <c r="V5204">
        <v>-9.3597300000000001E-3</v>
      </c>
      <c r="W5204">
        <v>-1.266279E-2</v>
      </c>
      <c r="X5204">
        <v>0.99987599999999999</v>
      </c>
      <c r="Y5204">
        <v>-0.4036825</v>
      </c>
      <c r="Z5204">
        <v>1.923271E-2</v>
      </c>
      <c r="AA5204">
        <v>0.91469699999999998</v>
      </c>
      <c r="AB5204">
        <v>27</v>
      </c>
      <c r="AC5204">
        <v>42.734199999999902</v>
      </c>
      <c r="AD5204">
        <v>-1.03994747</v>
      </c>
      <c r="AE5204">
        <v>-15.360284</v>
      </c>
      <c r="AF5204">
        <v>-18.393384293209699</v>
      </c>
      <c r="AG5204">
        <v>-1.03994747</v>
      </c>
      <c r="AH5204">
        <v>41.493039263597801</v>
      </c>
      <c r="AI5204">
        <v>91.312579483654801</v>
      </c>
      <c r="AJ5204">
        <v>113.907155894189</v>
      </c>
      <c r="AK5204">
        <v>45.399013027030897</v>
      </c>
      <c r="AL5204">
        <v>90.725543826718805</v>
      </c>
      <c r="AM5204">
        <v>90.536323867495696</v>
      </c>
      <c r="AN5204">
        <v>0.99999998308612803</v>
      </c>
    </row>
    <row r="5205" spans="1:40" x14ac:dyDescent="0.25">
      <c r="A5205" t="str">
        <f>"20190312161421680"</f>
        <v>20190312161421680</v>
      </c>
      <c r="B5205" t="str">
        <f>"1552378461671869"</f>
        <v>1552378461671869</v>
      </c>
      <c r="C5205" t="s">
        <v>40</v>
      </c>
      <c r="D5205">
        <v>4.7980749999999999</v>
      </c>
      <c r="E5205">
        <v>0.3355592</v>
      </c>
      <c r="F5205" t="s">
        <v>41</v>
      </c>
      <c r="G5205">
        <v>-362.31889999999999</v>
      </c>
      <c r="H5205">
        <v>-0.05</v>
      </c>
      <c r="I5205">
        <v>2.212723</v>
      </c>
      <c r="J5205">
        <v>-412.94400000000002</v>
      </c>
      <c r="K5205">
        <v>1.1199220000000001</v>
      </c>
      <c r="L5205">
        <v>20.02692</v>
      </c>
      <c r="M5205">
        <v>0.72757859999999996</v>
      </c>
      <c r="N5205">
        <v>0</v>
      </c>
      <c r="O5205">
        <v>-0.6858476</v>
      </c>
      <c r="P5205">
        <v>0.73378369999999904</v>
      </c>
      <c r="Q5205">
        <v>-2.763583E-2</v>
      </c>
      <c r="R5205">
        <v>-0.67882100000000001</v>
      </c>
      <c r="S5205">
        <v>3.0884399999999999</v>
      </c>
      <c r="T5205">
        <v>-7.1235300000000001E-2</v>
      </c>
      <c r="U5205">
        <v>-1.0898129999999999</v>
      </c>
      <c r="V5205">
        <v>-9.0789500000000006E-3</v>
      </c>
      <c r="W5205">
        <v>-1.228452E-2</v>
      </c>
      <c r="X5205">
        <v>0.99988339999999998</v>
      </c>
      <c r="Y5205">
        <v>-0.40448400000000001</v>
      </c>
      <c r="Z5205">
        <v>1.8260530000000001E-2</v>
      </c>
      <c r="AA5205">
        <v>0.91436280000000003</v>
      </c>
      <c r="AB5205">
        <v>27</v>
      </c>
      <c r="AC5205">
        <v>50.625100000000003</v>
      </c>
      <c r="AD5205">
        <v>-1.1699219999999999</v>
      </c>
      <c r="AE5205">
        <v>-17.814197</v>
      </c>
      <c r="AF5205">
        <v>-21.7521763277026</v>
      </c>
      <c r="AG5205">
        <v>-1.1699219999999999</v>
      </c>
      <c r="AH5205">
        <v>49.0342095362412</v>
      </c>
      <c r="AI5205">
        <v>91.249402033212505</v>
      </c>
      <c r="AJ5205">
        <v>113.92266069643</v>
      </c>
      <c r="AK5205">
        <v>53.655191708925599</v>
      </c>
      <c r="AL5205">
        <v>90.703868800589504</v>
      </c>
      <c r="AM5205">
        <v>90.520231881319503</v>
      </c>
      <c r="AN5205">
        <v>1.0000000751801399</v>
      </c>
    </row>
    <row r="5206" spans="1:40" x14ac:dyDescent="0.25">
      <c r="A5206" t="str">
        <f>"20190312161421691"</f>
        <v>20190312161421691</v>
      </c>
      <c r="B5206" t="str">
        <f>"1552378461681630"</f>
        <v>1552378461681630</v>
      </c>
      <c r="C5206" t="s">
        <v>40</v>
      </c>
      <c r="D5206">
        <v>4.8005079999999998</v>
      </c>
      <c r="E5206">
        <v>0.33603889999999997</v>
      </c>
      <c r="F5206" t="s">
        <v>41</v>
      </c>
      <c r="G5206">
        <v>-362.62259999999998</v>
      </c>
      <c r="H5206">
        <v>-0.05</v>
      </c>
      <c r="I5206">
        <v>2.5515439999999998</v>
      </c>
      <c r="J5206">
        <v>-412.8426</v>
      </c>
      <c r="K5206">
        <v>1.119915</v>
      </c>
      <c r="L5206">
        <v>19.940249999999999</v>
      </c>
      <c r="M5206">
        <v>0.73211809999999999</v>
      </c>
      <c r="N5206">
        <v>0</v>
      </c>
      <c r="O5206">
        <v>-0.68099980000000004</v>
      </c>
      <c r="P5206">
        <v>0.73799479999999995</v>
      </c>
      <c r="Q5206">
        <v>-2.7323500000000001E-2</v>
      </c>
      <c r="R5206">
        <v>-0.67425310000000005</v>
      </c>
      <c r="S5206">
        <v>3.0922239999999999</v>
      </c>
      <c r="T5206">
        <v>-7.1891070000000001E-2</v>
      </c>
      <c r="U5206">
        <v>-1.0738529999999999</v>
      </c>
      <c r="V5206">
        <v>-8.66036699999999E-3</v>
      </c>
      <c r="W5206">
        <v>-1.1963329999999999E-2</v>
      </c>
      <c r="X5206">
        <v>0.99989090000000003</v>
      </c>
      <c r="Y5206">
        <v>-0.40296219999999999</v>
      </c>
      <c r="Z5206">
        <v>1.8338799999999999E-2</v>
      </c>
      <c r="AA5206">
        <v>0.91503290000000004</v>
      </c>
      <c r="AB5206">
        <v>27</v>
      </c>
      <c r="AC5206">
        <v>50.22</v>
      </c>
      <c r="AD5206">
        <v>-1.169915</v>
      </c>
      <c r="AE5206">
        <v>-17.388705999999999</v>
      </c>
      <c r="AF5206">
        <v>-21.4614255459364</v>
      </c>
      <c r="AG5206">
        <v>-1.169915</v>
      </c>
      <c r="AH5206">
        <v>48.591020736279198</v>
      </c>
      <c r="AI5206">
        <v>91.261690548302099</v>
      </c>
      <c r="AJ5206">
        <v>113.829835648407</v>
      </c>
      <c r="AK5206">
        <v>53.132370394746303</v>
      </c>
      <c r="AL5206">
        <v>90.685464691583206</v>
      </c>
      <c r="AM5206">
        <v>90.496244210843301</v>
      </c>
      <c r="AN5206">
        <v>0.99999996756203602</v>
      </c>
    </row>
    <row r="5207" spans="1:40" x14ac:dyDescent="0.25">
      <c r="A5207" t="str">
        <f>"20190312161421702"</f>
        <v>20190312161421702</v>
      </c>
      <c r="B5207" t="str">
        <f>"1552378461692366"</f>
        <v>1552378461692366</v>
      </c>
      <c r="C5207" t="s">
        <v>40</v>
      </c>
      <c r="D5207">
        <v>4.8327470000000003</v>
      </c>
      <c r="E5207">
        <v>0.33657819999999999</v>
      </c>
      <c r="F5207" t="s">
        <v>41</v>
      </c>
      <c r="G5207">
        <v>-360.86759999999998</v>
      </c>
      <c r="H5207">
        <v>-0.05</v>
      </c>
      <c r="I5207">
        <v>2.1885219999999999</v>
      </c>
      <c r="J5207">
        <v>-412.7432</v>
      </c>
      <c r="K5207">
        <v>1.119901</v>
      </c>
      <c r="L5207">
        <v>19.856629999999999</v>
      </c>
      <c r="M5207">
        <v>0.73650919999999998</v>
      </c>
      <c r="N5207">
        <v>0</v>
      </c>
      <c r="O5207">
        <v>-0.67624830000000002</v>
      </c>
      <c r="P5207">
        <v>0.74217829999999996</v>
      </c>
      <c r="Q5207">
        <v>-2.7131829999999999E-2</v>
      </c>
      <c r="R5207">
        <v>-0.66965319999999995</v>
      </c>
      <c r="S5207">
        <v>3.0963129999999999</v>
      </c>
      <c r="T5207">
        <v>-6.9695469999999995E-2</v>
      </c>
      <c r="U5207">
        <v>-1.057526</v>
      </c>
      <c r="V5207">
        <v>-8.4148419999999901E-3</v>
      </c>
      <c r="W5207">
        <v>-1.176716E-2</v>
      </c>
      <c r="X5207">
        <v>0.99989530000000004</v>
      </c>
      <c r="Y5207">
        <v>-0.40174300000000002</v>
      </c>
      <c r="Z5207">
        <v>1.7694339999999999E-2</v>
      </c>
      <c r="AA5207">
        <v>0.91558150000000005</v>
      </c>
      <c r="AB5207">
        <v>27</v>
      </c>
      <c r="AC5207">
        <v>51.875599999999999</v>
      </c>
      <c r="AD5207">
        <v>-1.1699010000000001</v>
      </c>
      <c r="AE5207">
        <v>-17.668108</v>
      </c>
      <c r="AF5207">
        <v>-22.060684016480199</v>
      </c>
      <c r="AG5207">
        <v>-1.1699010000000001</v>
      </c>
      <c r="AH5207">
        <v>50.138115937686102</v>
      </c>
      <c r="AI5207">
        <v>91.223512994540798</v>
      </c>
      <c r="AJ5207">
        <v>113.74941120228701</v>
      </c>
      <c r="AK5207">
        <v>54.789352226556197</v>
      </c>
      <c r="AL5207">
        <v>90.674224203228405</v>
      </c>
      <c r="AM5207">
        <v>90.482174033669295</v>
      </c>
      <c r="AN5207">
        <v>0.999999943291218</v>
      </c>
    </row>
    <row r="5208" spans="1:40" x14ac:dyDescent="0.25">
      <c r="A5208" t="str">
        <f>"20190312161421713"</f>
        <v>20190312161421713</v>
      </c>
      <c r="B5208" t="str">
        <f>"1552378461702125"</f>
        <v>1552378461702125</v>
      </c>
      <c r="C5208" t="s">
        <v>40</v>
      </c>
      <c r="D5208">
        <v>4.8565909999999999</v>
      </c>
      <c r="E5208">
        <v>0.33713159999999998</v>
      </c>
      <c r="F5208" t="s">
        <v>41</v>
      </c>
      <c r="G5208">
        <v>-359.06880000000001</v>
      </c>
      <c r="H5208">
        <v>-0.05</v>
      </c>
      <c r="I5208">
        <v>1.8249820000000001</v>
      </c>
      <c r="J5208">
        <v>-412.64510000000001</v>
      </c>
      <c r="K5208">
        <v>1.1198900000000001</v>
      </c>
      <c r="L5208">
        <v>19.775179999999999</v>
      </c>
      <c r="M5208">
        <v>0.74078669999999902</v>
      </c>
      <c r="N5208">
        <v>0</v>
      </c>
      <c r="O5208">
        <v>-0.67155980000000004</v>
      </c>
      <c r="P5208">
        <v>0.74600540000000004</v>
      </c>
      <c r="Q5208">
        <v>-2.7190559999999999E-2</v>
      </c>
      <c r="R5208">
        <v>-0.6653848</v>
      </c>
      <c r="S5208">
        <v>3.1000369999999999</v>
      </c>
      <c r="T5208">
        <v>-6.7569260000000006E-2</v>
      </c>
      <c r="U5208">
        <v>-1.0414429999999999</v>
      </c>
      <c r="V5208">
        <v>-7.8021640000000003E-3</v>
      </c>
      <c r="W5208">
        <v>-1.181282E-2</v>
      </c>
      <c r="X5208">
        <v>0.99989980000000001</v>
      </c>
      <c r="Y5208">
        <v>-0.4005417</v>
      </c>
      <c r="Z5208">
        <v>1.7074450000000001E-2</v>
      </c>
      <c r="AA5208">
        <v>0.91611940000000003</v>
      </c>
      <c r="AB5208">
        <v>27</v>
      </c>
      <c r="AC5208">
        <v>53.576300000000003</v>
      </c>
      <c r="AD5208">
        <v>-1.1698899999999901</v>
      </c>
      <c r="AE5208">
        <v>-17.950198</v>
      </c>
      <c r="AF5208">
        <v>-22.675451418815001</v>
      </c>
      <c r="AG5208">
        <v>-1.1698899999999901</v>
      </c>
      <c r="AH5208">
        <v>51.727341965494801</v>
      </c>
      <c r="AI5208">
        <v>91.1866357666444</v>
      </c>
      <c r="AJ5208">
        <v>113.67095863002901</v>
      </c>
      <c r="AK5208">
        <v>56.491261682444097</v>
      </c>
      <c r="AL5208">
        <v>90.676840463154605</v>
      </c>
      <c r="AM5208">
        <v>90.447066792053704</v>
      </c>
      <c r="AN5208">
        <v>1.00000001325973</v>
      </c>
    </row>
    <row r="5209" spans="1:40" x14ac:dyDescent="0.25">
      <c r="A5209" t="str">
        <f>"20190312161421724"</f>
        <v>20190312161421724</v>
      </c>
      <c r="B5209" t="str">
        <f>"1552378461721645"</f>
        <v>1552378461721645</v>
      </c>
      <c r="C5209" t="s">
        <v>40</v>
      </c>
      <c r="D5209">
        <v>4.8242839999999996</v>
      </c>
      <c r="E5209">
        <v>0.33823409999999998</v>
      </c>
      <c r="F5209" t="s">
        <v>41</v>
      </c>
      <c r="G5209">
        <v>-357.43990000000002</v>
      </c>
      <c r="H5209">
        <v>-0.05</v>
      </c>
      <c r="I5209">
        <v>1.5030059999999901</v>
      </c>
      <c r="J5209">
        <v>-412.53989999999999</v>
      </c>
      <c r="K5209">
        <v>1.11988</v>
      </c>
      <c r="L5209">
        <v>19.68881</v>
      </c>
      <c r="M5209">
        <v>0.74532569999999998</v>
      </c>
      <c r="N5209">
        <v>0</v>
      </c>
      <c r="O5209">
        <v>-0.66651890000000003</v>
      </c>
      <c r="P5209">
        <v>0.75028280000000003</v>
      </c>
      <c r="Q5209">
        <v>-2.736879E-2</v>
      </c>
      <c r="R5209">
        <v>-0.66055050000000004</v>
      </c>
      <c r="S5209">
        <v>3.1029659999999999</v>
      </c>
      <c r="T5209">
        <v>-6.5756919999999996E-2</v>
      </c>
      <c r="U5209">
        <v>-1.027039</v>
      </c>
      <c r="V5209">
        <v>-7.4712569999999898E-3</v>
      </c>
      <c r="W5209">
        <v>-1.1984979999999999E-2</v>
      </c>
      <c r="X5209">
        <v>0.99990029999999996</v>
      </c>
      <c r="Y5209">
        <v>-0.39842490000000003</v>
      </c>
      <c r="Z5209">
        <v>1.6525249999999998E-2</v>
      </c>
      <c r="AA5209">
        <v>0.91705210000000004</v>
      </c>
      <c r="AB5209">
        <v>27</v>
      </c>
      <c r="AC5209">
        <v>55.099999999999902</v>
      </c>
      <c r="AD5209">
        <v>-1.16988</v>
      </c>
      <c r="AE5209">
        <v>-18.185804000000001</v>
      </c>
      <c r="AF5209">
        <v>-23.164233742338901</v>
      </c>
      <c r="AG5209">
        <v>-1.16988</v>
      </c>
      <c r="AH5209">
        <v>53.173453640008297</v>
      </c>
      <c r="AI5209">
        <v>91.155519303192804</v>
      </c>
      <c r="AJ5209">
        <v>113.53964157087</v>
      </c>
      <c r="AK5209">
        <v>58.011779115023003</v>
      </c>
      <c r="AL5209">
        <v>90.686705188093001</v>
      </c>
      <c r="AM5209">
        <v>90.428106209686902</v>
      </c>
      <c r="AN5209">
        <v>1.0000000346834199</v>
      </c>
    </row>
    <row r="5210" spans="1:40" x14ac:dyDescent="0.25">
      <c r="A5210" t="str">
        <f>"20190312161421736"</f>
        <v>20190312161421736</v>
      </c>
      <c r="B5210" t="str">
        <f>"1552378461732381"</f>
        <v>1552378461732381</v>
      </c>
      <c r="C5210" t="s">
        <v>40</v>
      </c>
      <c r="D5210">
        <v>4.8679670000000002</v>
      </c>
      <c r="E5210">
        <v>0.33877269999999998</v>
      </c>
      <c r="F5210" t="s">
        <v>41</v>
      </c>
      <c r="G5210">
        <v>-360.11470000000003</v>
      </c>
      <c r="H5210">
        <v>-0.05</v>
      </c>
      <c r="I5210">
        <v>2.568924</v>
      </c>
      <c r="J5210">
        <v>-412.43650000000002</v>
      </c>
      <c r="K5210">
        <v>1.119869</v>
      </c>
      <c r="L5210">
        <v>19.60547</v>
      </c>
      <c r="M5210">
        <v>0.7497161</v>
      </c>
      <c r="N5210">
        <v>0</v>
      </c>
      <c r="O5210">
        <v>-0.66157659999999996</v>
      </c>
      <c r="P5210">
        <v>0.75421079999999996</v>
      </c>
      <c r="Q5210">
        <v>-2.733143E-2</v>
      </c>
      <c r="R5210">
        <v>-0.65606339999999996</v>
      </c>
      <c r="S5210">
        <v>3.1036380000000001</v>
      </c>
      <c r="T5210">
        <v>-6.9258449999999999E-2</v>
      </c>
      <c r="U5210">
        <v>-1.0135190000000001</v>
      </c>
      <c r="V5210">
        <v>-6.8271180000000001E-3</v>
      </c>
      <c r="W5210">
        <v>-1.1934220000000001E-2</v>
      </c>
      <c r="X5210">
        <v>0.9999055</v>
      </c>
      <c r="Y5210">
        <v>-0.39600449999999998</v>
      </c>
      <c r="Z5210">
        <v>1.7316729999999999E-2</v>
      </c>
      <c r="AA5210">
        <v>0.91808529999999999</v>
      </c>
      <c r="AB5210">
        <v>27</v>
      </c>
      <c r="AC5210">
        <v>52.321800000000003</v>
      </c>
      <c r="AD5210">
        <v>-1.169869</v>
      </c>
      <c r="AE5210">
        <v>-17.036545999999898</v>
      </c>
      <c r="AF5210">
        <v>-21.835081390219202</v>
      </c>
      <c r="AG5210">
        <v>-1.169869</v>
      </c>
      <c r="AH5210">
        <v>50.480773996661597</v>
      </c>
      <c r="AI5210">
        <v>91.218501310816606</v>
      </c>
      <c r="AJ5210">
        <v>113.39053490052601</v>
      </c>
      <c r="AK5210">
        <v>55.013161298880902</v>
      </c>
      <c r="AL5210">
        <v>90.683796655057606</v>
      </c>
      <c r="AM5210">
        <v>90.391195937334103</v>
      </c>
      <c r="AN5210">
        <v>1.00000002203872</v>
      </c>
    </row>
    <row r="5211" spans="1:40" x14ac:dyDescent="0.25">
      <c r="A5211" t="str">
        <f>"20190312161421747"</f>
        <v>20190312161421747</v>
      </c>
      <c r="B5211" t="str">
        <f>"1552378461742141"</f>
        <v>1552378461742141</v>
      </c>
      <c r="C5211" t="s">
        <v>40</v>
      </c>
      <c r="D5211">
        <v>4.8638409999999999</v>
      </c>
      <c r="E5211">
        <v>0.33933000000000002</v>
      </c>
      <c r="F5211" t="s">
        <v>41</v>
      </c>
      <c r="G5211">
        <v>-359.78250000000003</v>
      </c>
      <c r="H5211">
        <v>-0.05</v>
      </c>
      <c r="I5211">
        <v>2.689743</v>
      </c>
      <c r="J5211">
        <v>-412.32839999999999</v>
      </c>
      <c r="K5211">
        <v>1.1198570000000001</v>
      </c>
      <c r="L5211">
        <v>19.518920000000001</v>
      </c>
      <c r="M5211">
        <v>0.75426249999999995</v>
      </c>
      <c r="N5211">
        <v>0</v>
      </c>
      <c r="O5211">
        <v>-0.65638859999999999</v>
      </c>
      <c r="P5211">
        <v>0.75833709999999999</v>
      </c>
      <c r="Q5211">
        <v>-2.6873500000000002E-2</v>
      </c>
      <c r="R5211">
        <v>-0.65130859999999902</v>
      </c>
      <c r="S5211">
        <v>3.1069339999999999</v>
      </c>
      <c r="T5211">
        <v>-6.9029930000000003E-2</v>
      </c>
      <c r="U5211">
        <v>-0.99813839999999998</v>
      </c>
      <c r="V5211">
        <v>-6.2378360000000001E-3</v>
      </c>
      <c r="W5211">
        <v>-1.146402E-2</v>
      </c>
      <c r="X5211">
        <v>0.99991479999999999</v>
      </c>
      <c r="Y5211">
        <v>-0.3940727</v>
      </c>
      <c r="Z5211">
        <v>1.7160720000000001E-2</v>
      </c>
      <c r="AA5211">
        <v>0.91891909999999999</v>
      </c>
      <c r="AB5211">
        <v>27</v>
      </c>
      <c r="AC5211">
        <v>52.545899999999897</v>
      </c>
      <c r="AD5211">
        <v>-1.1698569999999999</v>
      </c>
      <c r="AE5211">
        <v>-16.829176999999898</v>
      </c>
      <c r="AF5211">
        <v>-21.789755861937898</v>
      </c>
      <c r="AG5211">
        <v>-1.1698569999999999</v>
      </c>
      <c r="AH5211">
        <v>50.663241690582701</v>
      </c>
      <c r="AI5211">
        <v>91.215184631992699</v>
      </c>
      <c r="AJ5211">
        <v>113.27205875424799</v>
      </c>
      <c r="AK5211">
        <v>55.1627236865776</v>
      </c>
      <c r="AL5211">
        <v>90.656854369677305</v>
      </c>
      <c r="AM5211">
        <v>90.357427492664399</v>
      </c>
      <c r="AN5211">
        <v>0.99999997080578096</v>
      </c>
    </row>
    <row r="5212" spans="1:40" x14ac:dyDescent="0.25">
      <c r="A5212" t="str">
        <f>"20190312161421759"</f>
        <v>20190312161421759</v>
      </c>
      <c r="B5212" t="str">
        <f>"1552378461751901"</f>
        <v>1552378461751901</v>
      </c>
      <c r="C5212" t="s">
        <v>40</v>
      </c>
      <c r="D5212">
        <v>4.8833979999999997</v>
      </c>
      <c r="E5212">
        <v>0.33989899999999901</v>
      </c>
      <c r="F5212" t="s">
        <v>96</v>
      </c>
      <c r="G5212">
        <v>-365.2516</v>
      </c>
      <c r="H5212">
        <v>7.9986779999999993E-2</v>
      </c>
      <c r="I5212">
        <v>4.6580870000000001</v>
      </c>
      <c r="J5212">
        <v>-412.221</v>
      </c>
      <c r="K5212">
        <v>1.119837</v>
      </c>
      <c r="L5212">
        <v>19.43488</v>
      </c>
      <c r="M5212">
        <v>0.75870590000000004</v>
      </c>
      <c r="N5212">
        <v>0</v>
      </c>
      <c r="O5212">
        <v>-0.65124729999999997</v>
      </c>
      <c r="P5212">
        <v>0.76230600000000004</v>
      </c>
      <c r="Q5212">
        <v>-2.6542719999999999E-2</v>
      </c>
      <c r="R5212">
        <v>-0.64667220000000003</v>
      </c>
      <c r="S5212">
        <v>3.1103209999999999</v>
      </c>
      <c r="T5212">
        <v>-6.870329E-2</v>
      </c>
      <c r="U5212">
        <v>-0.98184199999999999</v>
      </c>
      <c r="V5212">
        <v>-5.5555600000000002E-3</v>
      </c>
      <c r="W5212">
        <v>-1.111914E-2</v>
      </c>
      <c r="X5212">
        <v>0.9999228</v>
      </c>
      <c r="Y5212">
        <v>-0.39249240000000002</v>
      </c>
      <c r="Z5212">
        <v>1.6985159999999999E-2</v>
      </c>
      <c r="AA5212">
        <v>0.91959840000000004</v>
      </c>
      <c r="AB5212">
        <v>27</v>
      </c>
      <c r="AC5212">
        <v>46.9694</v>
      </c>
      <c r="AD5212">
        <v>-1.0398502199999999</v>
      </c>
      <c r="AE5212">
        <v>-14.776793</v>
      </c>
      <c r="AF5212">
        <v>-19.371163708611601</v>
      </c>
      <c r="AG5212">
        <v>-1.0398502199999999</v>
      </c>
      <c r="AH5212">
        <v>45.244613305946302</v>
      </c>
      <c r="AI5212">
        <v>91.210356542020804</v>
      </c>
      <c r="AJ5212">
        <v>113.17784836873599</v>
      </c>
      <c r="AK5212">
        <v>49.228023575098803</v>
      </c>
      <c r="AL5212">
        <v>90.637092888532607</v>
      </c>
      <c r="AM5212">
        <v>90.318331440772894</v>
      </c>
      <c r="AN5212">
        <v>1.0000000527405399</v>
      </c>
    </row>
    <row r="5213" spans="1:40" x14ac:dyDescent="0.25">
      <c r="A5213" t="str">
        <f>"20190312161421770"</f>
        <v>20190312161421770</v>
      </c>
      <c r="B5213" t="str">
        <f>"1552378461761660"</f>
        <v>1552378461761660</v>
      </c>
      <c r="C5213" t="s">
        <v>40</v>
      </c>
      <c r="D5213">
        <v>4.9185650000000001</v>
      </c>
      <c r="E5213">
        <v>0.34050629999999998</v>
      </c>
      <c r="F5213" t="s">
        <v>96</v>
      </c>
      <c r="G5213">
        <v>-365.15170000000001</v>
      </c>
      <c r="H5213">
        <v>7.9986790000000002E-2</v>
      </c>
      <c r="I5213">
        <v>4.8259619999999996</v>
      </c>
      <c r="J5213">
        <v>-412.11720000000003</v>
      </c>
      <c r="K5213">
        <v>1.1198269999999999</v>
      </c>
      <c r="L5213">
        <v>19.354189999999999</v>
      </c>
      <c r="M5213">
        <v>0.76295639999999998</v>
      </c>
      <c r="N5213">
        <v>0</v>
      </c>
      <c r="O5213">
        <v>-0.64626260000000002</v>
      </c>
      <c r="P5213">
        <v>0.76593180000000005</v>
      </c>
      <c r="Q5213">
        <v>-2.631872E-2</v>
      </c>
      <c r="R5213">
        <v>-0.64238300000000004</v>
      </c>
      <c r="S5213">
        <v>3.1133120000000001</v>
      </c>
      <c r="T5213">
        <v>-6.8778870000000006E-2</v>
      </c>
      <c r="U5213">
        <v>-0.96627810000000003</v>
      </c>
      <c r="V5213">
        <v>-4.6281940000000004E-3</v>
      </c>
      <c r="W5213">
        <v>-1.087519E-2</v>
      </c>
      <c r="X5213">
        <v>0.99993010000000004</v>
      </c>
      <c r="Y5213">
        <v>-0.39090760000000002</v>
      </c>
      <c r="Z5213">
        <v>1.691194E-2</v>
      </c>
      <c r="AA5213">
        <v>0.92027460000000005</v>
      </c>
      <c r="AB5213">
        <v>27</v>
      </c>
      <c r="AC5213">
        <v>46.965499999999999</v>
      </c>
      <c r="AD5213">
        <v>-1.0398402099999999</v>
      </c>
      <c r="AE5213">
        <v>-14.528228</v>
      </c>
      <c r="AF5213">
        <v>-19.261357819661999</v>
      </c>
      <c r="AG5213">
        <v>-1.0398402099999999</v>
      </c>
      <c r="AH5213">
        <v>45.206930984886696</v>
      </c>
      <c r="AI5213">
        <v>91.212260203095099</v>
      </c>
      <c r="AJ5213">
        <v>113.077442840201</v>
      </c>
      <c r="AK5213">
        <v>49.150257189476598</v>
      </c>
      <c r="AL5213">
        <v>90.623114804189797</v>
      </c>
      <c r="AM5213">
        <v>90.265192626319504</v>
      </c>
      <c r="AN5213">
        <v>0.99999994741162201</v>
      </c>
    </row>
    <row r="5214" spans="1:40" x14ac:dyDescent="0.25">
      <c r="A5214" t="str">
        <f>"20190312161421781"</f>
        <v>20190312161421781</v>
      </c>
      <c r="B5214" t="str">
        <f>"1552378461771421"</f>
        <v>1552378461771421</v>
      </c>
      <c r="C5214" t="s">
        <v>40</v>
      </c>
      <c r="D5214">
        <v>4.9215629999999999</v>
      </c>
      <c r="E5214">
        <v>0.34111659999999999</v>
      </c>
      <c r="F5214" t="s">
        <v>96</v>
      </c>
      <c r="G5214">
        <v>-364.89670000000001</v>
      </c>
      <c r="H5214">
        <v>7.9985399999999998E-2</v>
      </c>
      <c r="I5214">
        <v>4.9163699999999997</v>
      </c>
      <c r="J5214">
        <v>-412.0104</v>
      </c>
      <c r="K5214">
        <v>1.119815</v>
      </c>
      <c r="L5214">
        <v>19.27271</v>
      </c>
      <c r="M5214">
        <v>0.7672696</v>
      </c>
      <c r="N5214">
        <v>0</v>
      </c>
      <c r="O5214">
        <v>-0.64113629999999999</v>
      </c>
      <c r="P5214">
        <v>0.769756</v>
      </c>
      <c r="Q5214">
        <v>-2.6710129999999999E-2</v>
      </c>
      <c r="R5214">
        <v>-0.63777919999999999</v>
      </c>
      <c r="S5214">
        <v>3.1155089999999999</v>
      </c>
      <c r="T5214">
        <v>-6.8606500000000001E-2</v>
      </c>
      <c r="U5214">
        <v>-0.95257570000000003</v>
      </c>
      <c r="V5214">
        <v>-3.9067709999999999E-3</v>
      </c>
      <c r="W5214">
        <v>-1.1252150000000001E-2</v>
      </c>
      <c r="X5214">
        <v>0.99992910000000002</v>
      </c>
      <c r="Y5214">
        <v>-0.38862239999999998</v>
      </c>
      <c r="Z5214">
        <v>1.6769249999999999E-2</v>
      </c>
      <c r="AA5214">
        <v>0.92124450000000002</v>
      </c>
      <c r="AB5214">
        <v>27</v>
      </c>
      <c r="AC5214">
        <v>47.113700000000001</v>
      </c>
      <c r="AD5214">
        <v>-1.0398296</v>
      </c>
      <c r="AE5214">
        <v>-14.356339999999999</v>
      </c>
      <c r="AF5214">
        <v>-19.184887598385501</v>
      </c>
      <c r="AG5214">
        <v>-1.0398296</v>
      </c>
      <c r="AH5214">
        <v>45.338551669516399</v>
      </c>
      <c r="AI5214">
        <v>91.210001218300803</v>
      </c>
      <c r="AJ5214">
        <v>112.9355224788</v>
      </c>
      <c r="AK5214">
        <v>49.2415010458569</v>
      </c>
      <c r="AL5214">
        <v>90.644714285185302</v>
      </c>
      <c r="AM5214">
        <v>90.223856222258703</v>
      </c>
      <c r="AN5214">
        <v>1.0000000393830299</v>
      </c>
    </row>
    <row r="5215" spans="1:40" x14ac:dyDescent="0.25">
      <c r="A5215" t="str">
        <f>"20190312161421791"</f>
        <v>20190312161421791</v>
      </c>
      <c r="B5215" t="str">
        <f>"1552378461782158"</f>
        <v>1552378461782158</v>
      </c>
      <c r="C5215" t="s">
        <v>40</v>
      </c>
      <c r="D5215">
        <v>4.9426880000000004</v>
      </c>
      <c r="E5215">
        <v>0.3417172</v>
      </c>
      <c r="F5215" t="s">
        <v>96</v>
      </c>
      <c r="G5215">
        <v>-366.90300000000002</v>
      </c>
      <c r="H5215">
        <v>7.998632E-2</v>
      </c>
      <c r="I5215">
        <v>5.7131610000000004</v>
      </c>
      <c r="J5215">
        <v>-411.91500000000002</v>
      </c>
      <c r="K5215">
        <v>1.1198049999999999</v>
      </c>
      <c r="L5215">
        <v>19.200620000000001</v>
      </c>
      <c r="M5215">
        <v>0.77107740000000002</v>
      </c>
      <c r="N5215">
        <v>0</v>
      </c>
      <c r="O5215">
        <v>-0.6365516</v>
      </c>
      <c r="P5215">
        <v>0.77277280000000004</v>
      </c>
      <c r="Q5215">
        <v>-2.667067E-2</v>
      </c>
      <c r="R5215">
        <v>-0.63412230000000003</v>
      </c>
      <c r="S5215">
        <v>3.1181950000000001</v>
      </c>
      <c r="T5215">
        <v>-7.1881529999999999E-2</v>
      </c>
      <c r="U5215">
        <v>-0.93734740000000005</v>
      </c>
      <c r="V5215">
        <v>-2.690923E-3</v>
      </c>
      <c r="W5215">
        <v>-1.1186150000000001E-2</v>
      </c>
      <c r="X5215">
        <v>0.99993379999999998</v>
      </c>
      <c r="Y5215">
        <v>-0.38745420000000003</v>
      </c>
      <c r="Z5215">
        <v>1.7484070000000001E-2</v>
      </c>
      <c r="AA5215">
        <v>0.92172310000000002</v>
      </c>
      <c r="AB5215">
        <v>27</v>
      </c>
      <c r="AC5215">
        <v>45.012</v>
      </c>
      <c r="AD5215">
        <v>-1.03981868</v>
      </c>
      <c r="AE5215">
        <v>-13.487458999999999</v>
      </c>
      <c r="AF5215">
        <v>-18.2458573169265</v>
      </c>
      <c r="AG5215">
        <v>-1.03981868</v>
      </c>
      <c r="AH5215">
        <v>43.277240284190498</v>
      </c>
      <c r="AI5215">
        <v>91.268303532510899</v>
      </c>
      <c r="AJ5215">
        <v>112.860482390895</v>
      </c>
      <c r="AK5215">
        <v>46.977782607659101</v>
      </c>
      <c r="AL5215">
        <v>90.640932559000902</v>
      </c>
      <c r="AM5215">
        <v>90.154188365977802</v>
      </c>
      <c r="AN5215">
        <v>0.99999998770042697</v>
      </c>
    </row>
    <row r="5216" spans="1:40" x14ac:dyDescent="0.25">
      <c r="A5216" t="str">
        <f>"20190312161421803"</f>
        <v>20190312161421803</v>
      </c>
      <c r="B5216" t="str">
        <f>"1552378461791917"</f>
        <v>1552378461791917</v>
      </c>
      <c r="C5216" t="s">
        <v>40</v>
      </c>
      <c r="D5216">
        <v>4.9607799999999997</v>
      </c>
      <c r="E5216">
        <v>0.34227370000000001</v>
      </c>
      <c r="F5216" t="s">
        <v>96</v>
      </c>
      <c r="G5216">
        <v>-368.27710000000002</v>
      </c>
      <c r="H5216">
        <v>7.9985940000000005E-2</v>
      </c>
      <c r="I5216">
        <v>6.2464839999999997</v>
      </c>
      <c r="J5216">
        <v>-411.8014</v>
      </c>
      <c r="K5216">
        <v>1.119791</v>
      </c>
      <c r="L5216">
        <v>19.11609</v>
      </c>
      <c r="M5216">
        <v>0.77555299999999905</v>
      </c>
      <c r="N5216">
        <v>0</v>
      </c>
      <c r="O5216">
        <v>-0.63109130000000002</v>
      </c>
      <c r="P5216">
        <v>0.7767558</v>
      </c>
      <c r="Q5216">
        <v>-2.6466650000000001E-2</v>
      </c>
      <c r="R5216">
        <v>-0.62924590000000002</v>
      </c>
      <c r="S5216">
        <v>3.119659</v>
      </c>
      <c r="T5216">
        <v>-7.4336289999999999E-2</v>
      </c>
      <c r="U5216">
        <v>-0.92608639999999998</v>
      </c>
      <c r="V5216">
        <v>-1.933759E-3</v>
      </c>
      <c r="W5216">
        <v>-1.096689E-2</v>
      </c>
      <c r="X5216">
        <v>0.99993799999999999</v>
      </c>
      <c r="Y5216">
        <v>-0.38410300000000003</v>
      </c>
      <c r="Z5216">
        <v>1.7953489999999999E-2</v>
      </c>
      <c r="AA5216">
        <v>0.92311569999999998</v>
      </c>
      <c r="AB5216">
        <v>27</v>
      </c>
      <c r="AC5216">
        <v>43.524299999999897</v>
      </c>
      <c r="AD5216">
        <v>-1.0398050599999999</v>
      </c>
      <c r="AE5216">
        <v>-12.869605999999999</v>
      </c>
      <c r="AF5216">
        <v>-17.479681538475699</v>
      </c>
      <c r="AG5216">
        <v>-1.0398050599999999</v>
      </c>
      <c r="AH5216">
        <v>41.860380964464397</v>
      </c>
      <c r="AI5216">
        <v>91.313087565125699</v>
      </c>
      <c r="AJ5216">
        <v>112.664000852605</v>
      </c>
      <c r="AK5216">
        <v>45.375235048861498</v>
      </c>
      <c r="AL5216">
        <v>90.628369102742894</v>
      </c>
      <c r="AM5216">
        <v>90.1108029609575</v>
      </c>
      <c r="AN5216">
        <v>1.0000000079720699</v>
      </c>
    </row>
    <row r="5217" spans="1:40" x14ac:dyDescent="0.25">
      <c r="A5217" t="str">
        <f>"20190312161421815"</f>
        <v>20190312161421815</v>
      </c>
      <c r="B5217" t="str">
        <f>"1552378461811437"</f>
        <v>1552378461811437</v>
      </c>
      <c r="C5217" t="s">
        <v>40</v>
      </c>
      <c r="D5217">
        <v>4.9912330000000003</v>
      </c>
      <c r="E5217">
        <v>0.34353479999999997</v>
      </c>
      <c r="F5217" t="s">
        <v>96</v>
      </c>
      <c r="G5217">
        <v>-368.39</v>
      </c>
      <c r="H5217">
        <v>7.9985899999999999E-2</v>
      </c>
      <c r="I5217">
        <v>6.4646379999999999</v>
      </c>
      <c r="J5217">
        <v>-411.69940000000003</v>
      </c>
      <c r="K5217">
        <v>1.1197790000000001</v>
      </c>
      <c r="L5217">
        <v>19.04129</v>
      </c>
      <c r="M5217">
        <v>0.77951910000000002</v>
      </c>
      <c r="N5217">
        <v>0</v>
      </c>
      <c r="O5217">
        <v>-0.62618569999999996</v>
      </c>
      <c r="P5217">
        <v>0.78023759999999998</v>
      </c>
      <c r="Q5217">
        <v>-2.653378E-2</v>
      </c>
      <c r="R5217">
        <v>-0.62492049999999999</v>
      </c>
      <c r="S5217">
        <v>3.122528</v>
      </c>
      <c r="T5217">
        <v>-7.4791910000000003E-2</v>
      </c>
      <c r="U5217">
        <v>-0.91000369999999997</v>
      </c>
      <c r="V5217">
        <v>-1.1780180000000001E-3</v>
      </c>
      <c r="W5217">
        <v>-1.101882E-2</v>
      </c>
      <c r="X5217">
        <v>0.99993860000000001</v>
      </c>
      <c r="Y5217">
        <v>-0.38288369999999999</v>
      </c>
      <c r="Z5217">
        <v>1.7966530000000001E-2</v>
      </c>
      <c r="AA5217">
        <v>0.92362180000000005</v>
      </c>
      <c r="AB5217">
        <v>27</v>
      </c>
      <c r="AC5217">
        <v>43.309399999999997</v>
      </c>
      <c r="AD5217">
        <v>-1.0397931</v>
      </c>
      <c r="AE5217">
        <v>-12.576651999999999</v>
      </c>
      <c r="AF5217">
        <v>-17.308876220946999</v>
      </c>
      <c r="AG5217">
        <v>-1.0397931</v>
      </c>
      <c r="AH5217">
        <v>41.618727652842502</v>
      </c>
      <c r="AI5217">
        <v>91.321481471652902</v>
      </c>
      <c r="AJ5217">
        <v>112.582012191898</v>
      </c>
      <c r="AK5217">
        <v>45.086548516873101</v>
      </c>
      <c r="AL5217">
        <v>90.631344655515804</v>
      </c>
      <c r="AM5217">
        <v>90.067499572838599</v>
      </c>
      <c r="AN5217">
        <v>1.00000000294528</v>
      </c>
    </row>
    <row r="5218" spans="1:40" x14ac:dyDescent="0.25">
      <c r="A5218" t="str">
        <f>"20190312161421826"</f>
        <v>20190312161421826</v>
      </c>
      <c r="B5218" t="str">
        <f>"1552378461822172"</f>
        <v>1552378461822172</v>
      </c>
      <c r="C5218" t="s">
        <v>40</v>
      </c>
      <c r="D5218">
        <v>5.0118210000000003</v>
      </c>
      <c r="E5218">
        <v>0.34413969999999999</v>
      </c>
      <c r="F5218" t="s">
        <v>95</v>
      </c>
      <c r="G5218">
        <v>-371.37729999999999</v>
      </c>
      <c r="H5218">
        <v>7.9986139999999997E-2</v>
      </c>
      <c r="I5218">
        <v>7.4119849999999996</v>
      </c>
      <c r="J5218">
        <v>-411.58760000000001</v>
      </c>
      <c r="K5218">
        <v>1.1197709999999901</v>
      </c>
      <c r="L5218">
        <v>18.96011</v>
      </c>
      <c r="M5218">
        <v>0.78381719999999999</v>
      </c>
      <c r="N5218">
        <v>0</v>
      </c>
      <c r="O5218">
        <v>-0.62079740000000005</v>
      </c>
      <c r="P5218">
        <v>0.78408069999999996</v>
      </c>
      <c r="Q5218">
        <v>-2.6326639999999998E-2</v>
      </c>
      <c r="R5218">
        <v>-0.62010100000000001</v>
      </c>
      <c r="S5218">
        <v>3.1212770000000001</v>
      </c>
      <c r="T5218">
        <v>-8.0488920000000005E-2</v>
      </c>
      <c r="U5218">
        <v>-0.90020750000000005</v>
      </c>
      <c r="V5218">
        <v>-4.5708530000000003E-4</v>
      </c>
      <c r="W5218">
        <v>-1.079741E-2</v>
      </c>
      <c r="X5218">
        <v>0.99994159999999999</v>
      </c>
      <c r="Y5218">
        <v>-0.37905169999999999</v>
      </c>
      <c r="Z5218">
        <v>1.9203850000000001E-2</v>
      </c>
      <c r="AA5218">
        <v>0.9251762</v>
      </c>
      <c r="AB5218">
        <v>27</v>
      </c>
      <c r="AC5218">
        <v>40.210299999999997</v>
      </c>
      <c r="AD5218">
        <v>-1.0397848599999999</v>
      </c>
      <c r="AE5218">
        <v>-11.548125000000001</v>
      </c>
      <c r="AF5218">
        <v>-15.9029261911388</v>
      </c>
      <c r="AG5218">
        <v>-1.0397848599999999</v>
      </c>
      <c r="AH5218">
        <v>38.667351246991998</v>
      </c>
      <c r="AI5218">
        <v>91.424615154226998</v>
      </c>
      <c r="AJ5218">
        <v>112.356154758052</v>
      </c>
      <c r="AK5218">
        <v>41.822819924703097</v>
      </c>
      <c r="AL5218">
        <v>90.618658045127702</v>
      </c>
      <c r="AM5218">
        <v>90.0261905862736</v>
      </c>
      <c r="AN5218">
        <v>0.99999999820011898</v>
      </c>
    </row>
    <row r="5219" spans="1:40" x14ac:dyDescent="0.25">
      <c r="A5219" t="str">
        <f>"20190312161421838"</f>
        <v>20190312161421838</v>
      </c>
      <c r="B5219" t="str">
        <f>"1552378461831933"</f>
        <v>1552378461831933</v>
      </c>
      <c r="C5219" t="s">
        <v>40</v>
      </c>
      <c r="D5219">
        <v>5.0127220000000001</v>
      </c>
      <c r="E5219">
        <v>0.3447559</v>
      </c>
      <c r="F5219" t="s">
        <v>95</v>
      </c>
      <c r="G5219">
        <v>-371.94589999999999</v>
      </c>
      <c r="H5219">
        <v>7.9985979999999998E-2</v>
      </c>
      <c r="I5219">
        <v>7.7327300000000001</v>
      </c>
      <c r="J5219">
        <v>-411.47120000000001</v>
      </c>
      <c r="K5219">
        <v>1.119756</v>
      </c>
      <c r="L5219">
        <v>18.877469999999999</v>
      </c>
      <c r="M5219">
        <v>0.788217099999999</v>
      </c>
      <c r="N5219">
        <v>0</v>
      </c>
      <c r="O5219">
        <v>-0.615201</v>
      </c>
      <c r="P5219">
        <v>0.78812969999999904</v>
      </c>
      <c r="Q5219">
        <v>-2.585223E-2</v>
      </c>
      <c r="R5219">
        <v>-0.61496619999999902</v>
      </c>
      <c r="S5219">
        <v>3.1237180000000002</v>
      </c>
      <c r="T5219">
        <v>-8.1933859999999997E-2</v>
      </c>
      <c r="U5219">
        <v>-0.88470459999999995</v>
      </c>
      <c r="V5219">
        <v>1.095681E-4</v>
      </c>
      <c r="W5219">
        <v>-1.031254E-2</v>
      </c>
      <c r="X5219">
        <v>0.99994680000000002</v>
      </c>
      <c r="Y5219">
        <v>-0.37689230000000001</v>
      </c>
      <c r="Z5219">
        <v>1.9416539999999999E-2</v>
      </c>
      <c r="AA5219">
        <v>0.92605360000000003</v>
      </c>
      <c r="AB5219">
        <v>27</v>
      </c>
      <c r="AC5219">
        <v>39.525300000000001</v>
      </c>
      <c r="AD5219">
        <v>-1.03977002</v>
      </c>
      <c r="AE5219">
        <v>-11.144740000000001</v>
      </c>
      <c r="AF5219">
        <v>-15.523453975310799</v>
      </c>
      <c r="AG5219">
        <v>-1.03977002</v>
      </c>
      <c r="AH5219">
        <v>37.991009205690901</v>
      </c>
      <c r="AI5219">
        <v>91.451302770478193</v>
      </c>
      <c r="AJ5219">
        <v>112.225348261088</v>
      </c>
      <c r="AK5219">
        <v>41.053325388876502</v>
      </c>
      <c r="AL5219">
        <v>90.590875502331897</v>
      </c>
      <c r="AM5219">
        <v>89.993721876329602</v>
      </c>
      <c r="AN5219">
        <v>0.99999998165832904</v>
      </c>
    </row>
    <row r="5220" spans="1:40" x14ac:dyDescent="0.25">
      <c r="A5220" t="str">
        <f>"20190312161421851"</f>
        <v>20190312161421851</v>
      </c>
      <c r="B5220" t="str">
        <f>"1552378461841693"</f>
        <v>1552378461841693</v>
      </c>
      <c r="C5220" t="s">
        <v>40</v>
      </c>
      <c r="D5220">
        <v>4.998068</v>
      </c>
      <c r="E5220">
        <v>0.34506140000000002</v>
      </c>
      <c r="F5220" t="s">
        <v>95</v>
      </c>
      <c r="G5220">
        <v>-372.03579999999999</v>
      </c>
      <c r="H5220">
        <v>7.998595E-2</v>
      </c>
      <c r="I5220">
        <v>7.9286099999999999</v>
      </c>
      <c r="J5220">
        <v>-411.35550000000001</v>
      </c>
      <c r="K5220">
        <v>1.119742</v>
      </c>
      <c r="L5220">
        <v>18.795960000000001</v>
      </c>
      <c r="M5220">
        <v>0.79254159999999996</v>
      </c>
      <c r="N5220">
        <v>0</v>
      </c>
      <c r="O5220">
        <v>-0.60961999999999905</v>
      </c>
      <c r="P5220">
        <v>0.7921165</v>
      </c>
      <c r="Q5220">
        <v>-2.5741279999999998E-2</v>
      </c>
      <c r="R5220">
        <v>-0.60982729999999996</v>
      </c>
      <c r="S5220">
        <v>3.1264949999999998</v>
      </c>
      <c r="T5220">
        <v>-8.2434540000000001E-2</v>
      </c>
      <c r="U5220">
        <v>-0.86804199999999998</v>
      </c>
      <c r="V5220">
        <v>6.6134949999999896E-4</v>
      </c>
      <c r="W5220">
        <v>-1.019163E-2</v>
      </c>
      <c r="X5220">
        <v>0.99994780000000005</v>
      </c>
      <c r="Y5220">
        <v>-0.37514140000000001</v>
      </c>
      <c r="Z5220">
        <v>1.9406119999999999E-2</v>
      </c>
      <c r="AA5220">
        <v>0.92676440000000004</v>
      </c>
      <c r="AB5220">
        <v>27</v>
      </c>
      <c r="AC5220">
        <v>39.319699999999997</v>
      </c>
      <c r="AD5220">
        <v>-1.03975605</v>
      </c>
      <c r="AE5220">
        <v>-10.86735</v>
      </c>
      <c r="AF5220">
        <v>-15.3491300708694</v>
      </c>
      <c r="AG5220">
        <v>-1.03975605</v>
      </c>
      <c r="AH5220">
        <v>37.767475822940099</v>
      </c>
      <c r="AI5220">
        <v>91.460990221335805</v>
      </c>
      <c r="AJ5220">
        <v>112.11738197843199</v>
      </c>
      <c r="AK5220">
        <v>40.7806218271907</v>
      </c>
      <c r="AL5220">
        <v>90.583947521139706</v>
      </c>
      <c r="AM5220">
        <v>89.962105492298704</v>
      </c>
      <c r="AN5220">
        <v>0.99999995471502801</v>
      </c>
    </row>
    <row r="5221" spans="1:40" x14ac:dyDescent="0.25">
      <c r="A5221" t="str">
        <f>"20190312161421862"</f>
        <v>20190312161421862</v>
      </c>
      <c r="B5221" t="str">
        <f>"1552378461851453"</f>
        <v>1552378461851453</v>
      </c>
      <c r="C5221" t="s">
        <v>40</v>
      </c>
      <c r="D5221">
        <v>5.141934</v>
      </c>
      <c r="E5221">
        <v>0.34512130000000002</v>
      </c>
      <c r="F5221" t="s">
        <v>95</v>
      </c>
      <c r="G5221">
        <v>-371.80200000000002</v>
      </c>
      <c r="H5221">
        <v>7.9986009999999996E-2</v>
      </c>
      <c r="I5221">
        <v>8.06142</v>
      </c>
      <c r="J5221">
        <v>-411.24029999999999</v>
      </c>
      <c r="K5221">
        <v>1.1197280000000001</v>
      </c>
      <c r="L5221">
        <v>18.7164</v>
      </c>
      <c r="M5221">
        <v>0.79678190000000004</v>
      </c>
      <c r="N5221">
        <v>0</v>
      </c>
      <c r="O5221">
        <v>-0.60406749999999998</v>
      </c>
      <c r="P5221">
        <v>0.79610389999999998</v>
      </c>
      <c r="Q5221">
        <v>-2.56277E-2</v>
      </c>
      <c r="R5221">
        <v>-0.60461750000000003</v>
      </c>
      <c r="S5221">
        <v>3.1305540000000001</v>
      </c>
      <c r="T5221">
        <v>-8.2293870000000005E-2</v>
      </c>
      <c r="U5221">
        <v>-0.84960939999999996</v>
      </c>
      <c r="V5221">
        <v>1.08266E-3</v>
      </c>
      <c r="W5221">
        <v>-1.007133E-2</v>
      </c>
      <c r="X5221">
        <v>0.99994870000000002</v>
      </c>
      <c r="Y5221">
        <v>-0.37405179999999999</v>
      </c>
      <c r="Z5221">
        <v>1.9246559999999999E-2</v>
      </c>
      <c r="AA5221">
        <v>0.92720809999999998</v>
      </c>
      <c r="AB5221">
        <v>27</v>
      </c>
      <c r="AC5221">
        <v>39.438299999999998</v>
      </c>
      <c r="AD5221">
        <v>-1.03974199</v>
      </c>
      <c r="AE5221">
        <v>-10.65498</v>
      </c>
      <c r="AF5221">
        <v>-15.3256211460359</v>
      </c>
      <c r="AG5221">
        <v>-1.03974199</v>
      </c>
      <c r="AH5221">
        <v>37.840103255478397</v>
      </c>
      <c r="AI5221">
        <v>91.458879310401002</v>
      </c>
      <c r="AJ5221">
        <v>112.048440888279</v>
      </c>
      <c r="AK5221">
        <v>40.839063913156203</v>
      </c>
      <c r="AL5221">
        <v>90.577054456764301</v>
      </c>
      <c r="AM5221">
        <v>89.937964993195905</v>
      </c>
      <c r="AN5221">
        <v>1.00000000323616</v>
      </c>
    </row>
    <row r="5222" spans="1:40" x14ac:dyDescent="0.25">
      <c r="A5222" t="str">
        <f>"20190312161421871"</f>
        <v>20190312161421871</v>
      </c>
      <c r="B5222" t="str">
        <f>"1552378461862189"</f>
        <v>1552378461862189</v>
      </c>
      <c r="C5222" t="s">
        <v>40</v>
      </c>
      <c r="D5222">
        <v>5.146185</v>
      </c>
      <c r="E5222">
        <v>0.34486440000000002</v>
      </c>
      <c r="F5222" t="s">
        <v>95</v>
      </c>
      <c r="G5222">
        <v>-371.47930000000002</v>
      </c>
      <c r="H5222">
        <v>7.9986070000000006E-2</v>
      </c>
      <c r="I5222">
        <v>8.2023010000000003</v>
      </c>
      <c r="J5222">
        <v>-411.15170000000001</v>
      </c>
      <c r="K5222">
        <v>1.1197159999999999</v>
      </c>
      <c r="L5222">
        <v>18.65579</v>
      </c>
      <c r="M5222">
        <v>0.80000729999999998</v>
      </c>
      <c r="N5222">
        <v>0</v>
      </c>
      <c r="O5222">
        <v>-0.59978909999999996</v>
      </c>
      <c r="P5222">
        <v>0.79926339999999996</v>
      </c>
      <c r="Q5222">
        <v>-2.5386929999999999E-2</v>
      </c>
      <c r="R5222">
        <v>-0.60044459999999999</v>
      </c>
      <c r="S5222">
        <v>3.1358640000000002</v>
      </c>
      <c r="T5222">
        <v>-8.2002160000000004E-2</v>
      </c>
      <c r="U5222">
        <v>-0.82922359999999995</v>
      </c>
      <c r="V5222">
        <v>1.1996660000000001E-3</v>
      </c>
      <c r="W5222">
        <v>-9.8300890000000002E-3</v>
      </c>
      <c r="X5222">
        <v>0.99995089999999998</v>
      </c>
      <c r="Y5222">
        <v>-0.37510660000000001</v>
      </c>
      <c r="Z5222">
        <v>1.9098859999999999E-2</v>
      </c>
      <c r="AA5222">
        <v>0.92678490000000002</v>
      </c>
      <c r="AB5222">
        <v>27</v>
      </c>
      <c r="AC5222">
        <v>39.672399999999897</v>
      </c>
      <c r="AD5222">
        <v>-1.03972993</v>
      </c>
      <c r="AE5222">
        <v>-10.453488999999999</v>
      </c>
      <c r="AF5222">
        <v>-15.4241618959303</v>
      </c>
      <c r="AG5222">
        <v>-1.03972993</v>
      </c>
      <c r="AH5222">
        <v>37.988287515129599</v>
      </c>
      <c r="AI5222">
        <v>91.452661226288001</v>
      </c>
      <c r="AJ5222">
        <v>112.098340002486</v>
      </c>
      <c r="AK5222">
        <v>41.013361199142899</v>
      </c>
      <c r="AL5222">
        <v>90.563231719068597</v>
      </c>
      <c r="AM5222">
        <v>89.931260859260803</v>
      </c>
      <c r="AN5222">
        <v>0.99999993612953197</v>
      </c>
    </row>
    <row r="5223" spans="1:40" x14ac:dyDescent="0.25">
      <c r="A5223" t="str">
        <f>"20190312161421881"</f>
        <v>20190312161421881</v>
      </c>
      <c r="B5223" t="str">
        <f>"1552378461871949"</f>
        <v>1552378461871949</v>
      </c>
      <c r="C5223" t="s">
        <v>40</v>
      </c>
      <c r="D5223">
        <v>5.1626629999999896</v>
      </c>
      <c r="E5223">
        <v>0.34486440000000002</v>
      </c>
      <c r="F5223" t="s">
        <v>95</v>
      </c>
      <c r="G5223">
        <v>-370.62830000000002</v>
      </c>
      <c r="H5223">
        <v>7.9986290000000002E-2</v>
      </c>
      <c r="I5223">
        <v>8.1910170000000004</v>
      </c>
      <c r="J5223">
        <v>-411.05</v>
      </c>
      <c r="K5223">
        <v>1.1197029999999999</v>
      </c>
      <c r="L5223">
        <v>18.587309999999999</v>
      </c>
      <c r="M5223">
        <v>0.80366439999999995</v>
      </c>
      <c r="N5223">
        <v>0</v>
      </c>
      <c r="O5223">
        <v>-0.59488019999999997</v>
      </c>
      <c r="P5223">
        <v>0.80267849999999996</v>
      </c>
      <c r="Q5223">
        <v>-2.5293010000000001E-2</v>
      </c>
      <c r="R5223">
        <v>-0.59587519999999905</v>
      </c>
      <c r="S5223">
        <v>3.1414490000000002</v>
      </c>
      <c r="T5223">
        <v>-8.0601809999999996E-2</v>
      </c>
      <c r="U5223">
        <v>-0.81124879999999999</v>
      </c>
      <c r="V5223">
        <v>1.612874E-3</v>
      </c>
      <c r="W5223">
        <v>-9.7293280000000006E-3</v>
      </c>
      <c r="X5223">
        <v>0.99995140000000005</v>
      </c>
      <c r="Y5223">
        <v>-0.3748146</v>
      </c>
      <c r="Z5223">
        <v>1.8660349999999999E-2</v>
      </c>
      <c r="AA5223">
        <v>0.92691199999999996</v>
      </c>
      <c r="AB5223">
        <v>27</v>
      </c>
      <c r="AC5223">
        <v>40.421699999999902</v>
      </c>
      <c r="AD5223">
        <v>-1.03971671</v>
      </c>
      <c r="AE5223">
        <v>-10.396293</v>
      </c>
      <c r="AF5223">
        <v>-15.683097851367201</v>
      </c>
      <c r="AG5223">
        <v>-1.03971671</v>
      </c>
      <c r="AH5223">
        <v>38.650707237638102</v>
      </c>
      <c r="AI5223">
        <v>91.427885839296295</v>
      </c>
      <c r="AJ5223">
        <v>112.085584251844</v>
      </c>
      <c r="AK5223">
        <v>41.724306333625599</v>
      </c>
      <c r="AL5223">
        <v>90.557458209237296</v>
      </c>
      <c r="AM5223">
        <v>89.907584715669799</v>
      </c>
      <c r="AN5223">
        <v>1.0000000317739099</v>
      </c>
    </row>
    <row r="5224" spans="1:40" x14ac:dyDescent="0.25">
      <c r="A5224" t="str">
        <f>"20190312161421892"</f>
        <v>20190312161421892</v>
      </c>
      <c r="B5224" t="str">
        <f>"1552378461881709"</f>
        <v>1552378461881709</v>
      </c>
      <c r="C5224" t="s">
        <v>40</v>
      </c>
      <c r="D5224">
        <v>5.1427239999999896</v>
      </c>
      <c r="E5224">
        <v>0.34393259999999998</v>
      </c>
      <c r="F5224" t="s">
        <v>96</v>
      </c>
      <c r="G5224">
        <v>-369.92939999999999</v>
      </c>
      <c r="H5224">
        <v>7.9985429999999996E-2</v>
      </c>
      <c r="I5224">
        <v>8.2170140000000007</v>
      </c>
      <c r="J5224">
        <v>-410.94549999999998</v>
      </c>
      <c r="K5224">
        <v>1.119688</v>
      </c>
      <c r="L5224">
        <v>18.517790000000002</v>
      </c>
      <c r="M5224">
        <v>0.80737539999999997</v>
      </c>
      <c r="N5224">
        <v>0</v>
      </c>
      <c r="O5224">
        <v>-0.58983379999999996</v>
      </c>
      <c r="P5224">
        <v>0.8059809</v>
      </c>
      <c r="Q5224">
        <v>-2.5456909999999999E-2</v>
      </c>
      <c r="R5224">
        <v>-0.59139379999999997</v>
      </c>
      <c r="S5224">
        <v>3.1459959999999998</v>
      </c>
      <c r="T5224">
        <v>-7.9545260000000007E-2</v>
      </c>
      <c r="U5224">
        <v>-0.79339599999999999</v>
      </c>
      <c r="V5224">
        <v>2.3120480000000001E-3</v>
      </c>
      <c r="W5224">
        <v>-9.8799460000000006E-3</v>
      </c>
      <c r="X5224">
        <v>0.99994850000000002</v>
      </c>
      <c r="Y5224">
        <v>-0.37427850000000001</v>
      </c>
      <c r="Z5224">
        <v>1.8303940000000001E-2</v>
      </c>
      <c r="AA5224">
        <v>0.92713570000000001</v>
      </c>
      <c r="AB5224">
        <v>27</v>
      </c>
      <c r="AC5224">
        <v>41.016100000000002</v>
      </c>
      <c r="AD5224">
        <v>-1.03970257</v>
      </c>
      <c r="AE5224">
        <v>-10.3007759999999</v>
      </c>
      <c r="AF5224">
        <v>-15.8684114381002</v>
      </c>
      <c r="AG5224">
        <v>-1.03970257</v>
      </c>
      <c r="AH5224">
        <v>39.172183492047999</v>
      </c>
      <c r="AI5224">
        <v>91.409194849022398</v>
      </c>
      <c r="AJ5224">
        <v>112.05256783205201</v>
      </c>
      <c r="AK5224">
        <v>42.277031855814798</v>
      </c>
      <c r="AL5224">
        <v>90.566088428384404</v>
      </c>
      <c r="AM5224">
        <v>89.867522821060604</v>
      </c>
      <c r="AN5224">
        <v>0.99999998077558305</v>
      </c>
    </row>
    <row r="5225" spans="1:40" x14ac:dyDescent="0.25">
      <c r="A5225" t="str">
        <f>"20190312161421903"</f>
        <v>20190312161421903</v>
      </c>
      <c r="B5225" t="str">
        <f>"1552378461891469"</f>
        <v>1552378461891469</v>
      </c>
      <c r="C5225" t="s">
        <v>40</v>
      </c>
      <c r="D5225">
        <v>5.14703</v>
      </c>
      <c r="E5225">
        <v>0.34358919999999998</v>
      </c>
      <c r="F5225" t="s">
        <v>96</v>
      </c>
      <c r="G5225">
        <v>-368.51589999999999</v>
      </c>
      <c r="H5225">
        <v>7.9985799999999996E-2</v>
      </c>
      <c r="I5225">
        <v>8.1617890000000006</v>
      </c>
      <c r="J5225">
        <v>-410.83629999999999</v>
      </c>
      <c r="K5225">
        <v>1.1196729999999999</v>
      </c>
      <c r="L5225">
        <v>18.446169999999999</v>
      </c>
      <c r="M5225">
        <v>0.81120400000000004</v>
      </c>
      <c r="N5225">
        <v>0</v>
      </c>
      <c r="O5225">
        <v>-0.5845574</v>
      </c>
      <c r="P5225">
        <v>0.80952179999999996</v>
      </c>
      <c r="Q5225">
        <v>-2.5400280000000001E-2</v>
      </c>
      <c r="R5225">
        <v>-0.58654059999999997</v>
      </c>
      <c r="S5225">
        <v>3.1547239999999999</v>
      </c>
      <c r="T5225">
        <v>-7.730389E-2</v>
      </c>
      <c r="U5225">
        <v>-0.76998900000000003</v>
      </c>
      <c r="V5225">
        <v>2.8205869999999998E-3</v>
      </c>
      <c r="W5225">
        <v>-9.8145019999999993E-3</v>
      </c>
      <c r="X5225">
        <v>0.99994780000000005</v>
      </c>
      <c r="Y5225">
        <v>-0.37533820000000001</v>
      </c>
      <c r="Z5225">
        <v>1.7676399999999998E-2</v>
      </c>
      <c r="AA5225">
        <v>0.92671939999999997</v>
      </c>
      <c r="AB5225">
        <v>27</v>
      </c>
      <c r="AC5225">
        <v>42.320399999999999</v>
      </c>
      <c r="AD5225">
        <v>-1.0396871999999999</v>
      </c>
      <c r="AE5225">
        <v>-10.284381</v>
      </c>
      <c r="AF5225">
        <v>-16.388606109623499</v>
      </c>
      <c r="AG5225">
        <v>-1.0396871999999999</v>
      </c>
      <c r="AH5225">
        <v>40.324165040295902</v>
      </c>
      <c r="AI5225">
        <v>91.368299472889703</v>
      </c>
      <c r="AJ5225">
        <v>112.11788021688101</v>
      </c>
      <c r="AK5225">
        <v>43.539701949913002</v>
      </c>
      <c r="AL5225">
        <v>90.562338603624696</v>
      </c>
      <c r="AM5225">
        <v>89.838384261419804</v>
      </c>
      <c r="AN5225">
        <v>0.999999941442684</v>
      </c>
    </row>
    <row r="5226" spans="1:40" x14ac:dyDescent="0.25">
      <c r="A5226" t="str">
        <f>"20190312161421915"</f>
        <v>20190312161421915</v>
      </c>
      <c r="B5226" t="str">
        <f>"1552378461911965"</f>
        <v>1552378461911965</v>
      </c>
      <c r="C5226" t="s">
        <v>40</v>
      </c>
      <c r="D5226">
        <v>5.1685349999999897</v>
      </c>
      <c r="E5226">
        <v>0.34320990000000001</v>
      </c>
      <c r="F5226" t="s">
        <v>96</v>
      </c>
      <c r="G5226">
        <v>-367.8938</v>
      </c>
      <c r="H5226">
        <v>7.998595E-2</v>
      </c>
      <c r="I5226">
        <v>8.2747770000000003</v>
      </c>
      <c r="J5226">
        <v>-410.72879999999998</v>
      </c>
      <c r="K5226">
        <v>1.1196600000000001</v>
      </c>
      <c r="L5226">
        <v>18.376650000000001</v>
      </c>
      <c r="M5226">
        <v>0.81492759999999997</v>
      </c>
      <c r="N5226">
        <v>0</v>
      </c>
      <c r="O5226">
        <v>-0.57935509999999901</v>
      </c>
      <c r="P5226">
        <v>0.81292489999999995</v>
      </c>
      <c r="Q5226">
        <v>-2.4941620000000001E-2</v>
      </c>
      <c r="R5226">
        <v>-0.58183459999999998</v>
      </c>
      <c r="S5226">
        <v>3.1610109999999998</v>
      </c>
      <c r="T5226">
        <v>-7.6531650000000007E-2</v>
      </c>
      <c r="U5226">
        <v>-0.74871829999999995</v>
      </c>
      <c r="V5226">
        <v>3.3982090000000001E-3</v>
      </c>
      <c r="W5226">
        <v>-9.3453289999999994E-3</v>
      </c>
      <c r="X5226">
        <v>0.99995049999999996</v>
      </c>
      <c r="Y5226">
        <v>-0.37573459999999997</v>
      </c>
      <c r="Z5226">
        <v>1.739255E-2</v>
      </c>
      <c r="AA5226">
        <v>0.9265641</v>
      </c>
      <c r="AB5226">
        <v>27</v>
      </c>
      <c r="AC5226">
        <v>42.834999999999901</v>
      </c>
      <c r="AD5226">
        <v>-1.0396740499999999</v>
      </c>
      <c r="AE5226">
        <v>-10.101872999999999</v>
      </c>
      <c r="AF5226">
        <v>-16.577125434702001</v>
      </c>
      <c r="AG5226">
        <v>-1.0396740499999999</v>
      </c>
      <c r="AH5226">
        <v>40.742164148736897</v>
      </c>
      <c r="AI5226">
        <v>91.354033321107806</v>
      </c>
      <c r="AJ5226">
        <v>112.140368600185</v>
      </c>
      <c r="AK5226">
        <v>43.9977948234989</v>
      </c>
      <c r="AL5226">
        <v>90.535455734742996</v>
      </c>
      <c r="AM5226">
        <v>89.805288077690903</v>
      </c>
      <c r="AN5226">
        <v>0.99999994272438597</v>
      </c>
    </row>
    <row r="5227" spans="1:40" x14ac:dyDescent="0.25">
      <c r="A5227" t="str">
        <f>"20190312161421926"</f>
        <v>20190312161421926</v>
      </c>
      <c r="B5227" t="str">
        <f>"1552378461921726"</f>
        <v>1552378461921726</v>
      </c>
      <c r="C5227" t="s">
        <v>40</v>
      </c>
      <c r="D5227">
        <v>5.1575089999999904</v>
      </c>
      <c r="E5227">
        <v>0.34313559999999999</v>
      </c>
      <c r="F5227" t="s">
        <v>96</v>
      </c>
      <c r="G5227">
        <v>-365.94549999999998</v>
      </c>
      <c r="H5227">
        <v>7.9986450000000001E-2</v>
      </c>
      <c r="I5227">
        <v>8.0816579999999991</v>
      </c>
      <c r="J5227">
        <v>-410.61419999999998</v>
      </c>
      <c r="K5227">
        <v>1.1196469999999901</v>
      </c>
      <c r="L5227">
        <v>18.303380000000001</v>
      </c>
      <c r="M5227">
        <v>0.81884429999999997</v>
      </c>
      <c r="N5227">
        <v>0</v>
      </c>
      <c r="O5227">
        <v>-0.57380580000000003</v>
      </c>
      <c r="P5227">
        <v>0.81644430000000001</v>
      </c>
      <c r="Q5227">
        <v>-2.4866059999999999E-2</v>
      </c>
      <c r="R5227">
        <v>-0.57688809999999902</v>
      </c>
      <c r="S5227">
        <v>3.1670530000000001</v>
      </c>
      <c r="T5227">
        <v>-7.3525309999999997E-2</v>
      </c>
      <c r="U5227">
        <v>-0.72805790000000004</v>
      </c>
      <c r="V5227">
        <v>4.1165519999999999E-3</v>
      </c>
      <c r="W5227">
        <v>-9.2564580000000004E-3</v>
      </c>
      <c r="X5227">
        <v>0.99994870000000002</v>
      </c>
      <c r="Y5227">
        <v>-0.37558900000000001</v>
      </c>
      <c r="Z5227">
        <v>1.659366E-2</v>
      </c>
      <c r="AA5227">
        <v>0.92663779999999996</v>
      </c>
      <c r="AB5227">
        <v>27</v>
      </c>
      <c r="AC5227">
        <v>44.668700000000001</v>
      </c>
      <c r="AD5227">
        <v>-1.03966054999999</v>
      </c>
      <c r="AE5227">
        <v>-10.2217219999999</v>
      </c>
      <c r="AF5227">
        <v>-17.254358003672401</v>
      </c>
      <c r="AG5227">
        <v>-1.03966054999999</v>
      </c>
      <c r="AH5227">
        <v>42.425268062516999</v>
      </c>
      <c r="AI5227">
        <v>91.300398916075807</v>
      </c>
      <c r="AJ5227">
        <v>112.131577263632</v>
      </c>
      <c r="AK5227">
        <v>45.811539314397002</v>
      </c>
      <c r="AL5227">
        <v>90.530363542466304</v>
      </c>
      <c r="AM5227">
        <v>89.7641281764529</v>
      </c>
      <c r="AN5227">
        <v>1.0000000153233799</v>
      </c>
    </row>
    <row r="5228" spans="1:40" x14ac:dyDescent="0.25">
      <c r="A5228" t="str">
        <f>"20190312161421939"</f>
        <v>20190312161421939</v>
      </c>
      <c r="B5228" t="str">
        <f>"1552378461931485"</f>
        <v>1552378461931485</v>
      </c>
      <c r="C5228" t="s">
        <v>40</v>
      </c>
      <c r="D5228">
        <v>5.1263379999999996</v>
      </c>
      <c r="E5228">
        <v>0.34296070000000001</v>
      </c>
      <c r="F5228" t="s">
        <v>96</v>
      </c>
      <c r="G5228">
        <v>-365.34989999999999</v>
      </c>
      <c r="H5228">
        <v>7.9986589999999996E-2</v>
      </c>
      <c r="I5228">
        <v>8.1954259999999994</v>
      </c>
      <c r="J5228">
        <v>-410.49290000000002</v>
      </c>
      <c r="K5228">
        <v>1.1196360000000001</v>
      </c>
      <c r="L5228">
        <v>18.22757</v>
      </c>
      <c r="M5228">
        <v>0.82292469999999995</v>
      </c>
      <c r="N5228">
        <v>0</v>
      </c>
      <c r="O5228">
        <v>-0.56793859999999996</v>
      </c>
      <c r="P5228">
        <v>0.82058639999999905</v>
      </c>
      <c r="Q5228">
        <v>-2.4845260000000001E-2</v>
      </c>
      <c r="R5228">
        <v>-0.57098230000000005</v>
      </c>
      <c r="S5228">
        <v>3.1717529999999998</v>
      </c>
      <c r="T5228">
        <v>-7.2850940000000003E-2</v>
      </c>
      <c r="U5228">
        <v>-0.70828250000000004</v>
      </c>
      <c r="V5228">
        <v>4.0473569999999997E-3</v>
      </c>
      <c r="W5228">
        <v>-9.2409069999999996E-3</v>
      </c>
      <c r="X5228">
        <v>0.99994910000000004</v>
      </c>
      <c r="Y5228">
        <v>-0.37476599999999999</v>
      </c>
      <c r="Z5228">
        <v>1.6318249999999999E-2</v>
      </c>
      <c r="AA5228">
        <v>0.92697580000000002</v>
      </c>
      <c r="AB5228">
        <v>27</v>
      </c>
      <c r="AC5228">
        <v>45.143000000000001</v>
      </c>
      <c r="AD5228">
        <v>-1.03964941</v>
      </c>
      <c r="AE5228">
        <v>-10.032144000000001</v>
      </c>
      <c r="AF5228">
        <v>-17.376063073538401</v>
      </c>
      <c r="AG5228">
        <v>-1.03964941</v>
      </c>
      <c r="AH5228">
        <v>42.830441164045503</v>
      </c>
      <c r="AI5228">
        <v>91.288539243317601</v>
      </c>
      <c r="AJ5228">
        <v>112.08211093909701</v>
      </c>
      <c r="AK5228">
        <v>46.232619752054497</v>
      </c>
      <c r="AL5228">
        <v>90.529472511627006</v>
      </c>
      <c r="AM5228">
        <v>89.768092988006501</v>
      </c>
      <c r="AN5228">
        <v>0.99999998902583898</v>
      </c>
    </row>
    <row r="5229" spans="1:40" x14ac:dyDescent="0.25">
      <c r="A5229" t="str">
        <f>"20190312161421950"</f>
        <v>20190312161421950</v>
      </c>
      <c r="B5229" t="str">
        <f>"1552378461942220"</f>
        <v>1552378461942220</v>
      </c>
      <c r="C5229" t="s">
        <v>40</v>
      </c>
      <c r="D5229">
        <v>5.141133</v>
      </c>
      <c r="E5229">
        <v>0.34289960000000003</v>
      </c>
      <c r="F5229" t="s">
        <v>96</v>
      </c>
      <c r="G5229">
        <v>-364.8433</v>
      </c>
      <c r="H5229">
        <v>7.9985269999999997E-2</v>
      </c>
      <c r="I5229">
        <v>8.3968679999999996</v>
      </c>
      <c r="J5229">
        <v>-410.38600000000002</v>
      </c>
      <c r="K5229">
        <v>1.1196250000000001</v>
      </c>
      <c r="L5229">
        <v>18.161100000000001</v>
      </c>
      <c r="M5229">
        <v>0.82648069999999896</v>
      </c>
      <c r="N5229">
        <v>0</v>
      </c>
      <c r="O5229">
        <v>-0.56275149999999996</v>
      </c>
      <c r="P5229">
        <v>0.82377</v>
      </c>
      <c r="Q5229">
        <v>-2.452176E-2</v>
      </c>
      <c r="R5229">
        <v>-0.56639379999999995</v>
      </c>
      <c r="S5229">
        <v>3.1775820000000001</v>
      </c>
      <c r="T5229">
        <v>-7.236803E-2</v>
      </c>
      <c r="U5229">
        <v>-0.68429569999999995</v>
      </c>
      <c r="V5229">
        <v>4.7425280000000002E-3</v>
      </c>
      <c r="W5229">
        <v>-8.9043839999999996E-3</v>
      </c>
      <c r="X5229">
        <v>0.99994910000000004</v>
      </c>
      <c r="Y5229">
        <v>-0.37597710000000001</v>
      </c>
      <c r="Z5229">
        <v>1.6119749999999999E-2</v>
      </c>
      <c r="AA5229">
        <v>0.9264888</v>
      </c>
      <c r="AB5229">
        <v>27</v>
      </c>
      <c r="AC5229">
        <v>45.542699999999897</v>
      </c>
      <c r="AD5229">
        <v>-1.03963973</v>
      </c>
      <c r="AE5229">
        <v>-9.7642319999999998</v>
      </c>
      <c r="AF5229">
        <v>-17.5526395993965</v>
      </c>
      <c r="AG5229">
        <v>-1.03963973</v>
      </c>
      <c r="AH5229">
        <v>43.118702505868299</v>
      </c>
      <c r="AI5229">
        <v>91.279298927444202</v>
      </c>
      <c r="AJ5229">
        <v>112.15011646847699</v>
      </c>
      <c r="AK5229">
        <v>46.566066115402897</v>
      </c>
      <c r="AL5229">
        <v>90.510190369051898</v>
      </c>
      <c r="AM5229">
        <v>89.728261367248706</v>
      </c>
      <c r="AN5229">
        <v>0.99999999110853</v>
      </c>
    </row>
    <row r="5230" spans="1:40" x14ac:dyDescent="0.25">
      <c r="A5230" t="str">
        <f>"20190312161421960"</f>
        <v>20190312161421960</v>
      </c>
      <c r="B5230" t="str">
        <f>"1552378461951981"</f>
        <v>1552378461951981</v>
      </c>
      <c r="C5230" t="s">
        <v>40</v>
      </c>
      <c r="D5230">
        <v>5.1688780000000003</v>
      </c>
      <c r="E5230">
        <v>0.34291559999999999</v>
      </c>
      <c r="F5230" t="s">
        <v>96</v>
      </c>
      <c r="G5230">
        <v>-363.661</v>
      </c>
      <c r="H5230">
        <v>7.9985539999999994E-2</v>
      </c>
      <c r="I5230">
        <v>8.3789619999999996</v>
      </c>
      <c r="J5230">
        <v>-410.26639999999998</v>
      </c>
      <c r="K5230">
        <v>1.119615</v>
      </c>
      <c r="L5230">
        <v>18.088619999999999</v>
      </c>
      <c r="M5230">
        <v>0.83039149999999995</v>
      </c>
      <c r="N5230">
        <v>0</v>
      </c>
      <c r="O5230">
        <v>-0.55696449999999997</v>
      </c>
      <c r="P5230">
        <v>0.82744430000000002</v>
      </c>
      <c r="Q5230">
        <v>-2.4122970000000001E-2</v>
      </c>
      <c r="R5230">
        <v>-0.56102969999999996</v>
      </c>
      <c r="S5230">
        <v>3.181702</v>
      </c>
      <c r="T5230">
        <v>-7.0793389999999998E-2</v>
      </c>
      <c r="U5230">
        <v>-0.66610719999999901</v>
      </c>
      <c r="V5230">
        <v>5.2145029999999997E-3</v>
      </c>
      <c r="W5230">
        <v>-8.4981629999999996E-3</v>
      </c>
      <c r="X5230">
        <v>0.99995029999999996</v>
      </c>
      <c r="Y5230">
        <v>-0.3748301</v>
      </c>
      <c r="Z5230">
        <v>1.564687E-2</v>
      </c>
      <c r="AA5230">
        <v>0.92696149999999999</v>
      </c>
      <c r="AB5230">
        <v>27</v>
      </c>
      <c r="AC5230">
        <v>46.605399999999896</v>
      </c>
      <c r="AD5230">
        <v>-1.03962946</v>
      </c>
      <c r="AE5230">
        <v>-9.7096579999999992</v>
      </c>
      <c r="AF5230">
        <v>-17.888357041220299</v>
      </c>
      <c r="AG5230">
        <v>-1.03962946</v>
      </c>
      <c r="AH5230">
        <v>44.092939758548397</v>
      </c>
      <c r="AI5230">
        <v>91.251631779933902</v>
      </c>
      <c r="AJ5230">
        <v>112.082228728044</v>
      </c>
      <c r="AK5230">
        <v>47.594763195116897</v>
      </c>
      <c r="AL5230">
        <v>90.486914731373801</v>
      </c>
      <c r="AM5230">
        <v>89.701218844590102</v>
      </c>
      <c r="AN5230">
        <v>1.0000000061430001</v>
      </c>
    </row>
    <row r="5231" spans="1:40" x14ac:dyDescent="0.25">
      <c r="A5231" t="str">
        <f>"20190312161421971"</f>
        <v>20190312161421971</v>
      </c>
      <c r="B5231" t="str">
        <f>"1552378461961741"</f>
        <v>1552378461961741</v>
      </c>
      <c r="C5231" t="s">
        <v>40</v>
      </c>
      <c r="D5231">
        <v>5.1028099999999998</v>
      </c>
      <c r="E5231">
        <v>0.34269809999999901</v>
      </c>
      <c r="F5231" t="s">
        <v>96</v>
      </c>
      <c r="G5231">
        <v>-362.63119999999998</v>
      </c>
      <c r="H5231">
        <v>7.9985790000000001E-2</v>
      </c>
      <c r="I5231">
        <v>8.4370039999999999</v>
      </c>
      <c r="J5231">
        <v>-410.16550000000001</v>
      </c>
      <c r="K5231">
        <v>1.1196060000000001</v>
      </c>
      <c r="L5231">
        <v>18.027889999999999</v>
      </c>
      <c r="M5231">
        <v>0.83365519999999904</v>
      </c>
      <c r="N5231">
        <v>0</v>
      </c>
      <c r="O5231">
        <v>-0.5520678</v>
      </c>
      <c r="P5231">
        <v>0.83050049999999997</v>
      </c>
      <c r="Q5231">
        <v>-2.3752470000000001E-2</v>
      </c>
      <c r="R5231">
        <v>-0.55651149999999905</v>
      </c>
      <c r="S5231">
        <v>3.185883</v>
      </c>
      <c r="T5231">
        <v>-6.9531200000000001E-2</v>
      </c>
      <c r="U5231">
        <v>-0.64550779999999996</v>
      </c>
      <c r="V5231">
        <v>5.6347360000000004E-3</v>
      </c>
      <c r="W5231">
        <v>-8.1208180000000001E-3</v>
      </c>
      <c r="X5231">
        <v>0.99995109999999998</v>
      </c>
      <c r="Y5231">
        <v>-0.37537599999999999</v>
      </c>
      <c r="Z5231">
        <v>1.5282550000000001E-2</v>
      </c>
      <c r="AA5231">
        <v>0.92674659999999998</v>
      </c>
      <c r="AB5231">
        <v>27</v>
      </c>
      <c r="AC5231">
        <v>47.534300000000002</v>
      </c>
      <c r="AD5231">
        <v>-1.0396202099999901</v>
      </c>
      <c r="AE5231">
        <v>-9.5908859999999994</v>
      </c>
      <c r="AF5231">
        <v>-18.2404720065738</v>
      </c>
      <c r="AG5231">
        <v>-1.0396202099999901</v>
      </c>
      <c r="AH5231">
        <v>44.9067903636602</v>
      </c>
      <c r="AI5231">
        <v>91.228735254524096</v>
      </c>
      <c r="AJ5231">
        <v>112.10625968182499</v>
      </c>
      <c r="AK5231">
        <v>48.481083424046602</v>
      </c>
      <c r="AL5231">
        <v>90.465293735052597</v>
      </c>
      <c r="AM5231">
        <v>89.677141037815304</v>
      </c>
      <c r="AN5231">
        <v>0.99999995016299303</v>
      </c>
    </row>
    <row r="5232" spans="1:40" x14ac:dyDescent="0.25">
      <c r="A5232" t="str">
        <f>"20190312161421983"</f>
        <v>20190312161421983</v>
      </c>
      <c r="B5232" t="str">
        <f>"1552378461971501"</f>
        <v>1552378461971501</v>
      </c>
      <c r="C5232" t="s">
        <v>40</v>
      </c>
      <c r="D5232">
        <v>5.1051840000000004</v>
      </c>
      <c r="E5232">
        <v>0.34254800000000002</v>
      </c>
      <c r="F5232" t="s">
        <v>42</v>
      </c>
      <c r="G5232">
        <v>-359.7176</v>
      </c>
      <c r="H5232">
        <v>7.9985509999999996E-2</v>
      </c>
      <c r="I5232">
        <v>8.1164710000000007</v>
      </c>
      <c r="J5232">
        <v>-410.04910000000001</v>
      </c>
      <c r="K5232">
        <v>1.11959599999999</v>
      </c>
      <c r="L5232">
        <v>17.959109999999999</v>
      </c>
      <c r="M5232">
        <v>0.83736739999999998</v>
      </c>
      <c r="N5232">
        <v>0</v>
      </c>
      <c r="O5232">
        <v>-0.54642069999999998</v>
      </c>
      <c r="P5232">
        <v>0.83392670000000002</v>
      </c>
      <c r="Q5232">
        <v>-2.3562619999999999E-2</v>
      </c>
      <c r="R5232">
        <v>-0.55137199999999997</v>
      </c>
      <c r="S5232">
        <v>3.190369</v>
      </c>
      <c r="T5232">
        <v>-6.5746429999999995E-2</v>
      </c>
      <c r="U5232">
        <v>-0.62680049999999998</v>
      </c>
      <c r="V5232">
        <v>6.2101760000000004E-3</v>
      </c>
      <c r="W5232">
        <v>-7.9212039999999994E-3</v>
      </c>
      <c r="X5232">
        <v>0.99994930000000004</v>
      </c>
      <c r="Y5232">
        <v>-0.37461349999999999</v>
      </c>
      <c r="Z5232">
        <v>1.4340810000000001E-2</v>
      </c>
      <c r="AA5232">
        <v>0.92707010000000001</v>
      </c>
      <c r="AB5232">
        <v>27</v>
      </c>
      <c r="AC5232">
        <v>50.331499999999998</v>
      </c>
      <c r="AD5232">
        <v>-1.0396104899999901</v>
      </c>
      <c r="AE5232">
        <v>-9.8426389999999895</v>
      </c>
      <c r="AF5232">
        <v>-19.254670317419802</v>
      </c>
      <c r="AG5232">
        <v>-1.0396104899999901</v>
      </c>
      <c r="AH5232">
        <v>47.5103657889738</v>
      </c>
      <c r="AI5232">
        <v>91.161777507826997</v>
      </c>
      <c r="AJ5232">
        <v>112.061385735185</v>
      </c>
      <c r="AK5232">
        <v>51.274340331256802</v>
      </c>
      <c r="AL5232">
        <v>90.453856323626098</v>
      </c>
      <c r="AM5232">
        <v>89.644169659104705</v>
      </c>
      <c r="AN5232">
        <v>0.99999995716462398</v>
      </c>
    </row>
    <row r="5233" spans="1:40" x14ac:dyDescent="0.25">
      <c r="A5233" t="str">
        <f>"20190312161421997"</f>
        <v>20190312161421997</v>
      </c>
      <c r="B5233" t="str">
        <f>"1552378461991997"</f>
        <v>1552378461991997</v>
      </c>
      <c r="C5233" t="s">
        <v>40</v>
      </c>
      <c r="D5233">
        <v>5.1391429999999998</v>
      </c>
      <c r="E5233">
        <v>0.34232109999999999</v>
      </c>
      <c r="F5233" t="s">
        <v>42</v>
      </c>
      <c r="G5233">
        <v>-357.19630000000001</v>
      </c>
      <c r="H5233">
        <v>7.9986249999999995E-2</v>
      </c>
      <c r="I5233">
        <v>7.9293699999999996</v>
      </c>
      <c r="J5233">
        <v>-409.9049</v>
      </c>
      <c r="K5233">
        <v>1.1195870000000001</v>
      </c>
      <c r="L5233">
        <v>17.87537</v>
      </c>
      <c r="M5233">
        <v>0.84189590000000003</v>
      </c>
      <c r="N5233">
        <v>0</v>
      </c>
      <c r="O5233">
        <v>-0.53941729999999999</v>
      </c>
      <c r="P5233">
        <v>0.83833459999999904</v>
      </c>
      <c r="Q5233">
        <v>-2.2993860000000001E-2</v>
      </c>
      <c r="R5233">
        <v>-0.54467119999999902</v>
      </c>
      <c r="S5233">
        <v>3.1947939999999999</v>
      </c>
      <c r="T5233">
        <v>-6.2841300000000003E-2</v>
      </c>
      <c r="U5233">
        <v>-0.60626219999999997</v>
      </c>
      <c r="V5233">
        <v>6.5149759999999996E-3</v>
      </c>
      <c r="W5233">
        <v>-7.3497639999999999E-3</v>
      </c>
      <c r="X5233">
        <v>0.99995179999999995</v>
      </c>
      <c r="Y5233">
        <v>-0.37288490000000002</v>
      </c>
      <c r="Z5233">
        <v>1.357131E-2</v>
      </c>
      <c r="AA5233">
        <v>0.9277784</v>
      </c>
      <c r="AB5233">
        <v>27</v>
      </c>
      <c r="AC5233">
        <v>52.708599999999898</v>
      </c>
      <c r="AD5233">
        <v>-1.03960075</v>
      </c>
      <c r="AE5233">
        <v>-9.9459999999999997</v>
      </c>
      <c r="AF5233">
        <v>-20.053311346268899</v>
      </c>
      <c r="AG5233">
        <v>-1.03960075</v>
      </c>
      <c r="AH5233">
        <v>49.727495532268101</v>
      </c>
      <c r="AI5233">
        <v>91.110756769515206</v>
      </c>
      <c r="AJ5233">
        <v>111.962448846127</v>
      </c>
      <c r="AK5233">
        <v>53.6287225055897</v>
      </c>
      <c r="AL5233">
        <v>90.421114235085994</v>
      </c>
      <c r="AM5233">
        <v>89.626706660494506</v>
      </c>
      <c r="AN5233">
        <v>1.00000003313318</v>
      </c>
    </row>
    <row r="5234" spans="1:40" x14ac:dyDescent="0.25">
      <c r="A5234" t="str">
        <f>"20190312161422009"</f>
        <v>20190312161422009</v>
      </c>
      <c r="B5234" t="str">
        <f>"1552378462001757"</f>
        <v>1552378462001757</v>
      </c>
      <c r="C5234" t="s">
        <v>40</v>
      </c>
      <c r="D5234">
        <v>5.1510930000000004</v>
      </c>
      <c r="E5234">
        <v>0.34222509999999901</v>
      </c>
      <c r="F5234" t="s">
        <v>42</v>
      </c>
      <c r="G5234">
        <v>-352.67579999999998</v>
      </c>
      <c r="H5234">
        <v>7.9986139999999997E-2</v>
      </c>
      <c r="I5234">
        <v>7.5202559999999998</v>
      </c>
      <c r="J5234">
        <v>-409.78429999999997</v>
      </c>
      <c r="K5234">
        <v>1.1195740000000001</v>
      </c>
      <c r="L5234">
        <v>17.80621</v>
      </c>
      <c r="M5234">
        <v>0.84562309999999996</v>
      </c>
      <c r="N5234">
        <v>0</v>
      </c>
      <c r="O5234">
        <v>-0.53355569999999997</v>
      </c>
      <c r="P5234">
        <v>0.84188719999999995</v>
      </c>
      <c r="Q5234">
        <v>-2.2540170000000002E-2</v>
      </c>
      <c r="R5234">
        <v>-0.53918279999999996</v>
      </c>
      <c r="S5234">
        <v>3.2006839999999999</v>
      </c>
      <c r="T5234">
        <v>-5.814242E-2</v>
      </c>
      <c r="U5234">
        <v>-0.57913210000000004</v>
      </c>
      <c r="V5234">
        <v>6.911721E-3</v>
      </c>
      <c r="W5234">
        <v>-6.8906499999999999E-3</v>
      </c>
      <c r="X5234">
        <v>0.99995239999999996</v>
      </c>
      <c r="Y5234">
        <v>-0.3743783</v>
      </c>
      <c r="Z5234">
        <v>1.247419E-2</v>
      </c>
      <c r="AA5234">
        <v>0.92719220000000002</v>
      </c>
      <c r="AB5234">
        <v>27</v>
      </c>
      <c r="AC5234">
        <v>57.1084999999999</v>
      </c>
      <c r="AD5234">
        <v>-1.0395878599999999</v>
      </c>
      <c r="AE5234">
        <v>-10.285953999999901</v>
      </c>
      <c r="AF5234">
        <v>-21.768150551298</v>
      </c>
      <c r="AG5234">
        <v>-1.0395878599999999</v>
      </c>
      <c r="AH5234">
        <v>53.769589898670802</v>
      </c>
      <c r="AI5234">
        <v>91.0266997193078</v>
      </c>
      <c r="AJ5234">
        <v>112.04013536834501</v>
      </c>
      <c r="AK5234">
        <v>58.018117163640198</v>
      </c>
      <c r="AL5234">
        <v>90.394808276564007</v>
      </c>
      <c r="AM5234">
        <v>89.603975013245503</v>
      </c>
      <c r="AN5234">
        <v>1.0000000276051799</v>
      </c>
    </row>
    <row r="5235" spans="1:40" x14ac:dyDescent="0.25">
      <c r="A5235" t="str">
        <f>"20190312161422021"</f>
        <v>20190312161422021</v>
      </c>
      <c r="B5235" t="str">
        <f>"1552378462011517"</f>
        <v>1552378462011517</v>
      </c>
      <c r="C5235" t="s">
        <v>40</v>
      </c>
      <c r="D5235">
        <v>5.1851820000000002</v>
      </c>
      <c r="E5235">
        <v>0.34228589999999998</v>
      </c>
      <c r="F5235" t="s">
        <v>42</v>
      </c>
      <c r="G5235">
        <v>-349.5034</v>
      </c>
      <c r="H5235">
        <v>7.9985600000000004E-2</v>
      </c>
      <c r="I5235">
        <v>7.3170179999999903</v>
      </c>
      <c r="J5235">
        <v>-409.66500000000002</v>
      </c>
      <c r="K5235">
        <v>1.1195619999999999</v>
      </c>
      <c r="L5235">
        <v>17.739409999999999</v>
      </c>
      <c r="M5235">
        <v>0.84925309999999898</v>
      </c>
      <c r="N5235">
        <v>0</v>
      </c>
      <c r="O5235">
        <v>-0.52775869999999903</v>
      </c>
      <c r="P5235">
        <v>0.84541790000000006</v>
      </c>
      <c r="Q5235">
        <v>-2.214263E-2</v>
      </c>
      <c r="R5235">
        <v>-0.53364650000000002</v>
      </c>
      <c r="S5235">
        <v>3.2048030000000001</v>
      </c>
      <c r="T5235">
        <v>-5.5269119999999998E-2</v>
      </c>
      <c r="U5235">
        <v>-0.55764769999999997</v>
      </c>
      <c r="V5235">
        <v>7.1750570000000003E-3</v>
      </c>
      <c r="W5235">
        <v>-6.4907200000000002E-3</v>
      </c>
      <c r="X5235">
        <v>0.99995319999999999</v>
      </c>
      <c r="Y5235">
        <v>-0.37428420000000001</v>
      </c>
      <c r="Z5235">
        <v>1.1769470000000001E-2</v>
      </c>
      <c r="AA5235">
        <v>0.92723940000000005</v>
      </c>
      <c r="AB5235">
        <v>27</v>
      </c>
      <c r="AC5235">
        <v>60.1616</v>
      </c>
      <c r="AD5235">
        <v>-1.0395764000000001</v>
      </c>
      <c r="AE5235">
        <v>-10.422392</v>
      </c>
      <c r="AF5235">
        <v>-22.8956694899612</v>
      </c>
      <c r="AG5235">
        <v>-1.0395764000000001</v>
      </c>
      <c r="AH5235">
        <v>56.583320771123503</v>
      </c>
      <c r="AI5235">
        <v>90.975713698071303</v>
      </c>
      <c r="AJ5235">
        <v>112.030046533868</v>
      </c>
      <c r="AK5235">
        <v>61.048870505299597</v>
      </c>
      <c r="AL5235">
        <v>90.371893470877893</v>
      </c>
      <c r="AM5235">
        <v>89.588887331185703</v>
      </c>
      <c r="AN5235">
        <v>1.0000000065396499</v>
      </c>
    </row>
    <row r="5236" spans="1:40" x14ac:dyDescent="0.25">
      <c r="A5236" t="str">
        <f>"20190312161422032"</f>
        <v>20190312161422032</v>
      </c>
      <c r="B5236" t="str">
        <f>"1552378462022253"</f>
        <v>1552378462022253</v>
      </c>
      <c r="C5236" t="s">
        <v>40</v>
      </c>
      <c r="D5236">
        <v>5.1920820000000001</v>
      </c>
      <c r="E5236">
        <v>0.34238600000000002</v>
      </c>
      <c r="F5236" t="s">
        <v>42</v>
      </c>
      <c r="G5236">
        <v>-347.30279999999999</v>
      </c>
      <c r="H5236">
        <v>7.9986249999999995E-2</v>
      </c>
      <c r="I5236">
        <v>7.3011280000000003</v>
      </c>
      <c r="J5236">
        <v>-409.55410000000001</v>
      </c>
      <c r="K5236">
        <v>1.1195489999999999</v>
      </c>
      <c r="L5236">
        <v>17.677949999999999</v>
      </c>
      <c r="M5236">
        <v>0.85258349999999905</v>
      </c>
      <c r="N5236">
        <v>0</v>
      </c>
      <c r="O5236">
        <v>-0.52236139999999998</v>
      </c>
      <c r="P5236">
        <v>0.84865859999999904</v>
      </c>
      <c r="Q5236">
        <v>-2.1786150000000001E-2</v>
      </c>
      <c r="R5236">
        <v>-0.52849219999999997</v>
      </c>
      <c r="S5236">
        <v>3.2081909999999998</v>
      </c>
      <c r="T5236">
        <v>-5.3480390000000003E-2</v>
      </c>
      <c r="U5236">
        <v>-0.53698729999999995</v>
      </c>
      <c r="V5236">
        <v>7.4197559999999996E-3</v>
      </c>
      <c r="W5236">
        <v>-6.1319879999999997E-3</v>
      </c>
      <c r="X5236">
        <v>0.99995369999999995</v>
      </c>
      <c r="Y5236">
        <v>-0.37437870000000001</v>
      </c>
      <c r="Z5236">
        <v>1.1311730000000001E-2</v>
      </c>
      <c r="AA5236">
        <v>0.92720689999999995</v>
      </c>
      <c r="AB5236">
        <v>27</v>
      </c>
      <c r="AC5236">
        <v>62.251300000000001</v>
      </c>
      <c r="AD5236">
        <v>-1.03956275</v>
      </c>
      <c r="AE5236">
        <v>-10.376822000000001</v>
      </c>
      <c r="AF5236">
        <v>-23.6669876873611</v>
      </c>
      <c r="AG5236">
        <v>-1.03956275</v>
      </c>
      <c r="AH5236">
        <v>58.486032334693299</v>
      </c>
      <c r="AI5236">
        <v>90.943956572357905</v>
      </c>
      <c r="AJ5236">
        <v>112.031235084657</v>
      </c>
      <c r="AK5236">
        <v>63.101687577747697</v>
      </c>
      <c r="AL5236">
        <v>90.351339224376204</v>
      </c>
      <c r="AM5236">
        <v>89.574867414367802</v>
      </c>
      <c r="AN5236">
        <v>1.00000002809981</v>
      </c>
    </row>
    <row r="5237" spans="1:40" x14ac:dyDescent="0.25">
      <c r="A5237" t="str">
        <f>"20190312161422043"</f>
        <v>20190312161422043</v>
      </c>
      <c r="B5237" t="str">
        <f>"1552378462032013"</f>
        <v>1552378462032013</v>
      </c>
      <c r="C5237" t="s">
        <v>40</v>
      </c>
      <c r="D5237">
        <v>5.2100589999999896</v>
      </c>
      <c r="E5237">
        <v>0.34250380000000002</v>
      </c>
      <c r="F5237" t="s">
        <v>42</v>
      </c>
      <c r="G5237">
        <v>-345.5145</v>
      </c>
      <c r="H5237">
        <v>7.9986790000000002E-2</v>
      </c>
      <c r="I5237">
        <v>7.3437140000000003</v>
      </c>
      <c r="J5237">
        <v>-409.43220000000002</v>
      </c>
      <c r="K5237">
        <v>1.119537</v>
      </c>
      <c r="L5237">
        <v>17.61157</v>
      </c>
      <c r="M5237">
        <v>0.85619080000000003</v>
      </c>
      <c r="N5237">
        <v>0</v>
      </c>
      <c r="O5237">
        <v>-0.51642790000000005</v>
      </c>
      <c r="P5237">
        <v>0.85209259999999998</v>
      </c>
      <c r="Q5237">
        <v>-2.1534089999999999E-2</v>
      </c>
      <c r="R5237">
        <v>-0.52294839999999998</v>
      </c>
      <c r="S5237">
        <v>3.2109679999999998</v>
      </c>
      <c r="T5237">
        <v>-5.212402E-2</v>
      </c>
      <c r="U5237">
        <v>-0.51815800000000001</v>
      </c>
      <c r="V5237">
        <v>7.8358449999999993E-3</v>
      </c>
      <c r="W5237">
        <v>-5.8742780000000001E-3</v>
      </c>
      <c r="X5237">
        <v>0.99995199999999995</v>
      </c>
      <c r="Y5237">
        <v>-0.37337019999999999</v>
      </c>
      <c r="Z5237">
        <v>1.0934350000000001E-2</v>
      </c>
      <c r="AA5237">
        <v>0.92761800000000005</v>
      </c>
      <c r="AB5237">
        <v>27</v>
      </c>
      <c r="AC5237">
        <v>63.917700000000004</v>
      </c>
      <c r="AD5237">
        <v>-1.03955021</v>
      </c>
      <c r="AE5237">
        <v>-10.267856</v>
      </c>
      <c r="AF5237">
        <v>-24.214296893841201</v>
      </c>
      <c r="AG5237">
        <v>-1.03955021</v>
      </c>
      <c r="AH5237">
        <v>60.020068081248901</v>
      </c>
      <c r="AI5237">
        <v>90.920214385224895</v>
      </c>
      <c r="AJ5237">
        <v>111.97095561840899</v>
      </c>
      <c r="AK5237">
        <v>64.728829830145699</v>
      </c>
      <c r="AL5237">
        <v>90.336573287963006</v>
      </c>
      <c r="AM5237">
        <v>89.551026791212706</v>
      </c>
      <c r="AN5237">
        <v>0.99999995495644101</v>
      </c>
    </row>
    <row r="5238" spans="1:40" x14ac:dyDescent="0.25">
      <c r="A5238" t="str">
        <f>"20190312161422057"</f>
        <v>20190312161422057</v>
      </c>
      <c r="B5238" t="str">
        <f>"1552378462051533"</f>
        <v>1552378462051533</v>
      </c>
      <c r="C5238" t="s">
        <v>40</v>
      </c>
      <c r="D5238">
        <v>5.225651</v>
      </c>
      <c r="E5238">
        <v>0.34286139999999998</v>
      </c>
      <c r="F5238" t="s">
        <v>42</v>
      </c>
      <c r="G5238">
        <v>-343.66300000000001</v>
      </c>
      <c r="H5238">
        <v>7.9985860000000006E-2</v>
      </c>
      <c r="I5238">
        <v>7.4192489999999998</v>
      </c>
      <c r="J5238">
        <v>-409.30549999999999</v>
      </c>
      <c r="K5238">
        <v>1.119524</v>
      </c>
      <c r="L5238">
        <v>17.543879999999898</v>
      </c>
      <c r="M5238">
        <v>0.85988009999999904</v>
      </c>
      <c r="N5238">
        <v>0</v>
      </c>
      <c r="O5238">
        <v>-0.51026119999999997</v>
      </c>
      <c r="P5238">
        <v>0.85565800000000003</v>
      </c>
      <c r="Q5238">
        <v>-2.1067579999999999E-2</v>
      </c>
      <c r="R5238">
        <v>-0.51711260000000003</v>
      </c>
      <c r="S5238">
        <v>3.2138369999999998</v>
      </c>
      <c r="T5238">
        <v>-5.0798059999999999E-2</v>
      </c>
      <c r="U5238">
        <v>-0.49804690000000001</v>
      </c>
      <c r="V5238">
        <v>8.1716549999999999E-3</v>
      </c>
      <c r="W5238">
        <v>-5.4040340000000003E-3</v>
      </c>
      <c r="X5238">
        <v>0.99995199999999995</v>
      </c>
      <c r="Y5238">
        <v>-0.37250250000000001</v>
      </c>
      <c r="Z5238">
        <v>1.056556E-2</v>
      </c>
      <c r="AA5238">
        <v>0.92797110000000005</v>
      </c>
      <c r="AB5238">
        <v>27</v>
      </c>
      <c r="AC5238">
        <v>65.642499999999899</v>
      </c>
      <c r="AD5238">
        <v>-1.0395381400000001</v>
      </c>
      <c r="AE5238">
        <v>-10.1246309999999</v>
      </c>
      <c r="AF5238">
        <v>-24.785752263858701</v>
      </c>
      <c r="AG5238">
        <v>-1.0395381400000001</v>
      </c>
      <c r="AH5238">
        <v>61.603181400407102</v>
      </c>
      <c r="AI5238">
        <v>90.896898868177402</v>
      </c>
      <c r="AJ5238">
        <v>111.91715833151</v>
      </c>
      <c r="AK5238">
        <v>66.410587359858198</v>
      </c>
      <c r="AL5238">
        <v>90.309629850420393</v>
      </c>
      <c r="AM5238">
        <v>89.531786604732105</v>
      </c>
      <c r="AN5238">
        <v>0.99999999091645597</v>
      </c>
    </row>
    <row r="5239" spans="1:40" x14ac:dyDescent="0.25">
      <c r="A5239" t="str">
        <f>"20190312161422073"</f>
        <v>20190312161422073</v>
      </c>
      <c r="B5239" t="str">
        <f>"1552378462062269"</f>
        <v>1552378462062269</v>
      </c>
      <c r="C5239" t="s">
        <v>40</v>
      </c>
      <c r="D5239">
        <v>5.2449589999999997</v>
      </c>
      <c r="E5239">
        <v>0.34308250000000001</v>
      </c>
      <c r="F5239" t="s">
        <v>42</v>
      </c>
      <c r="G5239">
        <v>-342.05340000000001</v>
      </c>
      <c r="H5239">
        <v>7.9986329999999994E-2</v>
      </c>
      <c r="I5239">
        <v>7.5369070000000002</v>
      </c>
      <c r="J5239">
        <v>-409.13869999999997</v>
      </c>
      <c r="K5239">
        <v>1.1195109999999999</v>
      </c>
      <c r="L5239">
        <v>17.456209999999999</v>
      </c>
      <c r="M5239">
        <v>0.86465550000000002</v>
      </c>
      <c r="N5239">
        <v>0</v>
      </c>
      <c r="O5239">
        <v>-0.5021272</v>
      </c>
      <c r="P5239">
        <v>0.86030249999999997</v>
      </c>
      <c r="Q5239">
        <v>-2.0267589999999999E-2</v>
      </c>
      <c r="R5239">
        <v>-0.50938159999999999</v>
      </c>
      <c r="S5239">
        <v>3.2156980000000002</v>
      </c>
      <c r="T5239">
        <v>-4.9706100000000003E-2</v>
      </c>
      <c r="U5239">
        <v>-0.4784851</v>
      </c>
      <c r="V5239">
        <v>8.5656139999999992E-3</v>
      </c>
      <c r="W5239">
        <v>-4.6000900000000003E-3</v>
      </c>
      <c r="X5239">
        <v>0.99995270000000003</v>
      </c>
      <c r="Y5239">
        <v>-0.36935079999999998</v>
      </c>
      <c r="Z5239">
        <v>1.0208439999999999E-2</v>
      </c>
      <c r="AA5239">
        <v>0.929234</v>
      </c>
      <c r="AB5239">
        <v>26</v>
      </c>
      <c r="AC5239">
        <v>67.085299999999904</v>
      </c>
      <c r="AD5239">
        <v>-1.03952467</v>
      </c>
      <c r="AE5239">
        <v>-9.9193029999999993</v>
      </c>
      <c r="AF5239">
        <v>-25.105677528144199</v>
      </c>
      <c r="AG5239">
        <v>-1.03952467</v>
      </c>
      <c r="AH5239">
        <v>62.979159587772202</v>
      </c>
      <c r="AI5239">
        <v>90.878419080164605</v>
      </c>
      <c r="AJ5239">
        <v>111.733940934072</v>
      </c>
      <c r="AK5239">
        <v>67.806712042900202</v>
      </c>
      <c r="AL5239">
        <v>90.263566680788799</v>
      </c>
      <c r="AM5239">
        <v>89.509215257993205</v>
      </c>
      <c r="AN5239">
        <v>0.99999996640424704</v>
      </c>
    </row>
    <row r="5240" spans="1:40" x14ac:dyDescent="0.25">
      <c r="A5240" t="str">
        <f>"20190312161422082"</f>
        <v>20190312161422082</v>
      </c>
      <c r="B5240" t="str">
        <f>"1552378462072029"</f>
        <v>1552378462072029</v>
      </c>
      <c r="C5240" t="s">
        <v>40</v>
      </c>
      <c r="D5240">
        <v>5.2295720000000001</v>
      </c>
      <c r="E5240">
        <v>0.34308250000000001</v>
      </c>
      <c r="F5240" t="s">
        <v>42</v>
      </c>
      <c r="G5240">
        <v>-338.47230000000002</v>
      </c>
      <c r="H5240">
        <v>7.9985890000000004E-2</v>
      </c>
      <c r="I5240">
        <v>7.5549229999999996</v>
      </c>
      <c r="J5240">
        <v>-409.0324</v>
      </c>
      <c r="K5240">
        <v>1.1194999999999999</v>
      </c>
      <c r="L5240">
        <v>17.401520000000001</v>
      </c>
      <c r="M5240">
        <v>0.86764540000000001</v>
      </c>
      <c r="N5240">
        <v>0</v>
      </c>
      <c r="O5240">
        <v>-0.49694260000000001</v>
      </c>
      <c r="P5240">
        <v>0.863021699999999</v>
      </c>
      <c r="Q5240">
        <v>-2.0290889999999999E-2</v>
      </c>
      <c r="R5240">
        <v>-0.50475930000000002</v>
      </c>
      <c r="S5240">
        <v>3.2189939999999999</v>
      </c>
      <c r="T5240">
        <v>-4.7352430000000001E-2</v>
      </c>
      <c r="U5240">
        <v>-0.45101930000000001</v>
      </c>
      <c r="V5240">
        <v>9.1877150000000008E-3</v>
      </c>
      <c r="W5240">
        <v>-4.6128100000000002E-3</v>
      </c>
      <c r="X5240">
        <v>0.99994709999999998</v>
      </c>
      <c r="Y5240">
        <v>-0.37170160000000002</v>
      </c>
      <c r="Z5240">
        <v>9.6764940000000008E-3</v>
      </c>
      <c r="AA5240">
        <v>0.92830179999999995</v>
      </c>
      <c r="AB5240">
        <v>26</v>
      </c>
      <c r="AC5240">
        <v>70.560099999999906</v>
      </c>
      <c r="AD5240">
        <v>-1.0395141099999901</v>
      </c>
      <c r="AE5240">
        <v>-9.8465969999999992</v>
      </c>
      <c r="AF5240">
        <v>-26.5184959093462</v>
      </c>
      <c r="AG5240">
        <v>-1.0395141099999901</v>
      </c>
      <c r="AH5240">
        <v>66.108184591534496</v>
      </c>
      <c r="AI5240">
        <v>90.836117642414493</v>
      </c>
      <c r="AJ5240">
        <v>111.85758980521901</v>
      </c>
      <c r="AK5240">
        <v>71.236249795081804</v>
      </c>
      <c r="AL5240">
        <v>90.264295495867898</v>
      </c>
      <c r="AM5240">
        <v>89.473569672132101</v>
      </c>
      <c r="AN5240">
        <v>0.99999994746071197</v>
      </c>
    </row>
    <row r="5241" spans="1:40" x14ac:dyDescent="0.25">
      <c r="A5241" t="str">
        <f>"20190312161422094"</f>
        <v>20190312161422094</v>
      </c>
      <c r="B5241" t="str">
        <f>"1552378462091549"</f>
        <v>1552378462091549</v>
      </c>
      <c r="C5241" t="s">
        <v>40</v>
      </c>
      <c r="D5241">
        <v>5.2268369999999997</v>
      </c>
      <c r="E5241">
        <v>0.35699789999999998</v>
      </c>
      <c r="F5241" t="s">
        <v>42</v>
      </c>
      <c r="G5241">
        <v>-338.29880000000003</v>
      </c>
      <c r="H5241">
        <v>7.9985940000000005E-2</v>
      </c>
      <c r="I5241">
        <v>7.8779830000000004</v>
      </c>
      <c r="J5241">
        <v>-408.91649999999998</v>
      </c>
      <c r="K5241">
        <v>1.1194869999999999</v>
      </c>
      <c r="L5241">
        <v>17.3428</v>
      </c>
      <c r="M5241">
        <v>0.8708591</v>
      </c>
      <c r="N5241">
        <v>0</v>
      </c>
      <c r="O5241">
        <v>-0.49128909999999998</v>
      </c>
      <c r="P5241">
        <v>0.86619249999999903</v>
      </c>
      <c r="Q5241">
        <v>-2.0159710000000001E-2</v>
      </c>
      <c r="R5241">
        <v>-0.49930400000000003</v>
      </c>
      <c r="S5241">
        <v>3.2213440000000002</v>
      </c>
      <c r="T5241">
        <v>-4.7341469999999997E-2</v>
      </c>
      <c r="U5241">
        <v>-0.43371579999999899</v>
      </c>
      <c r="V5241">
        <v>9.3771849999999997E-3</v>
      </c>
      <c r="W5241">
        <v>-4.4810029999999999E-3</v>
      </c>
      <c r="X5241">
        <v>0.999946</v>
      </c>
      <c r="Y5241">
        <v>-0.37065150000000002</v>
      </c>
      <c r="Z5241">
        <v>9.5935719999999999E-3</v>
      </c>
      <c r="AA5241">
        <v>0.92872250000000001</v>
      </c>
      <c r="AB5241">
        <v>26</v>
      </c>
      <c r="AC5241">
        <v>70.6176999999999</v>
      </c>
      <c r="AD5241">
        <v>-1.0395010600000001</v>
      </c>
      <c r="AE5241">
        <v>-9.464817</v>
      </c>
      <c r="AF5241">
        <v>-26.448721847688098</v>
      </c>
      <c r="AG5241">
        <v>-1.0395010600000001</v>
      </c>
      <c r="AH5241">
        <v>66.141870185787894</v>
      </c>
      <c r="AI5241">
        <v>90.836044607190601</v>
      </c>
      <c r="AJ5241">
        <v>111.79541547222099</v>
      </c>
      <c r="AK5241">
        <v>71.241578039117996</v>
      </c>
      <c r="AL5241">
        <v>90.256743417314098</v>
      </c>
      <c r="AM5241">
        <v>89.462713610953102</v>
      </c>
      <c r="AN5241">
        <v>1.0000000069512001</v>
      </c>
    </row>
    <row r="5242" spans="1:40" x14ac:dyDescent="0.25">
      <c r="A5242" t="str">
        <f>"20190312161422105"</f>
        <v>20190312161422105</v>
      </c>
      <c r="B5242" t="str">
        <f>"1552378462102285"</f>
        <v>1552378462102285</v>
      </c>
      <c r="C5242" t="s">
        <v>40</v>
      </c>
      <c r="D5242">
        <v>5.235131</v>
      </c>
      <c r="E5242">
        <v>0.35699789999999998</v>
      </c>
      <c r="F5242" t="s">
        <v>96</v>
      </c>
      <c r="G5242">
        <v>-363.88069999999999</v>
      </c>
      <c r="H5242" s="1">
        <v>-4.8763869999999999E-6</v>
      </c>
      <c r="I5242">
        <v>10.122590000000001</v>
      </c>
      <c r="J5242">
        <v>-408.8</v>
      </c>
      <c r="K5242">
        <v>1.1194710000000001</v>
      </c>
      <c r="L5242">
        <v>17.284549999999999</v>
      </c>
      <c r="M5242">
        <v>0.87404459999999995</v>
      </c>
      <c r="N5242">
        <v>0</v>
      </c>
      <c r="O5242">
        <v>-0.48559930000000001</v>
      </c>
      <c r="P5242">
        <v>0.86904319999999902</v>
      </c>
      <c r="Q5242">
        <v>-2.0426779999999999E-2</v>
      </c>
      <c r="R5242">
        <v>-0.49431429999999998</v>
      </c>
      <c r="S5242">
        <v>3.168793</v>
      </c>
      <c r="T5242">
        <v>-7.8769210000000006E-2</v>
      </c>
      <c r="U5242">
        <v>-0.50802609999999904</v>
      </c>
      <c r="V5242">
        <v>1.015659E-2</v>
      </c>
      <c r="W5242">
        <v>-4.7343619999999998E-3</v>
      </c>
      <c r="X5242">
        <v>0.99993719999999997</v>
      </c>
      <c r="Y5242">
        <v>-0.34092129999999998</v>
      </c>
      <c r="Z5242">
        <v>1.5687840000000002E-2</v>
      </c>
      <c r="AA5242">
        <v>0.93996100000000005</v>
      </c>
      <c r="AB5242">
        <v>26</v>
      </c>
      <c r="AC5242">
        <v>44.9193</v>
      </c>
      <c r="AD5242">
        <v>-1.1194758763870001</v>
      </c>
      <c r="AE5242">
        <v>-7.1619599999999997</v>
      </c>
      <c r="AF5242">
        <v>-15.5453539572494</v>
      </c>
      <c r="AG5242">
        <v>-1.1194758763870001</v>
      </c>
      <c r="AH5242">
        <v>42.718555415865701</v>
      </c>
      <c r="AI5242">
        <v>91.410679745283502</v>
      </c>
      <c r="AJ5242">
        <v>109.99653137803701</v>
      </c>
      <c r="AK5242">
        <v>45.472917574226202</v>
      </c>
      <c r="AL5242">
        <v>90.271259978104297</v>
      </c>
      <c r="AM5242">
        <v>89.418053723714095</v>
      </c>
      <c r="AN5242">
        <v>0.99999998722390704</v>
      </c>
    </row>
    <row r="5243" spans="1:40" x14ac:dyDescent="0.25">
      <c r="A5243" t="str">
        <f>"20190312161422117"</f>
        <v>20190312161422117</v>
      </c>
      <c r="B5243" t="str">
        <f>"1552378462112045"</f>
        <v>1552378462112045</v>
      </c>
      <c r="C5243" t="s">
        <v>40</v>
      </c>
      <c r="D5243">
        <v>5.3595949999999997</v>
      </c>
      <c r="E5243">
        <v>0.3435802</v>
      </c>
      <c r="F5243" t="s">
        <v>96</v>
      </c>
      <c r="G5243">
        <v>-363.93299999999999</v>
      </c>
      <c r="H5243" s="1">
        <v>-4.7943580000000003E-6</v>
      </c>
      <c r="I5243">
        <v>10.35543</v>
      </c>
      <c r="J5243">
        <v>-408.67439999999999</v>
      </c>
      <c r="K5243">
        <v>1.1194569999999999</v>
      </c>
      <c r="L5243">
        <v>17.223210000000002</v>
      </c>
      <c r="M5243">
        <v>0.87742289999999901</v>
      </c>
      <c r="N5243">
        <v>0</v>
      </c>
      <c r="O5243">
        <v>-0.47946850000000002</v>
      </c>
      <c r="P5243">
        <v>0.87219230000000003</v>
      </c>
      <c r="Q5243">
        <v>-2.055011E-2</v>
      </c>
      <c r="R5243">
        <v>-0.48873129999999998</v>
      </c>
      <c r="S5243">
        <v>3.17157</v>
      </c>
      <c r="T5243">
        <v>-7.9133750000000003E-2</v>
      </c>
      <c r="U5243">
        <v>-0.4898071</v>
      </c>
      <c r="V5243">
        <v>1.0748590000000001E-2</v>
      </c>
      <c r="W5243">
        <v>-4.8486149999999997E-3</v>
      </c>
      <c r="X5243">
        <v>0.99993050000000006</v>
      </c>
      <c r="Y5243">
        <v>-0.33973779999999998</v>
      </c>
      <c r="Z5243">
        <v>1.5610300000000001E-2</v>
      </c>
      <c r="AA5243">
        <v>0.94039059999999997</v>
      </c>
      <c r="AB5243">
        <v>26</v>
      </c>
      <c r="AC5243">
        <v>44.741399999999899</v>
      </c>
      <c r="AD5243">
        <v>-1.1194617943580001</v>
      </c>
      <c r="AE5243">
        <v>-6.8677799999999998</v>
      </c>
      <c r="AF5243">
        <v>-15.4185579741251</v>
      </c>
      <c r="AG5243">
        <v>-1.1194617943580001</v>
      </c>
      <c r="AH5243">
        <v>42.5290871551545</v>
      </c>
      <c r="AI5243">
        <v>91.4175623269726</v>
      </c>
      <c r="AJ5243">
        <v>109.9276809583</v>
      </c>
      <c r="AK5243">
        <v>45.251611893514003</v>
      </c>
      <c r="AL5243">
        <v>90.277806258084098</v>
      </c>
      <c r="AM5243">
        <v>89.384132072903</v>
      </c>
      <c r="AN5243">
        <v>1.0000000230423201</v>
      </c>
    </row>
    <row r="5244" spans="1:40" x14ac:dyDescent="0.25">
      <c r="A5244" t="str">
        <f>"20190312161422129"</f>
        <v>20190312161422129</v>
      </c>
      <c r="B5244" t="str">
        <f>"1552378462121805"</f>
        <v>1552378462121805</v>
      </c>
      <c r="C5244" t="s">
        <v>40</v>
      </c>
      <c r="D5244">
        <v>5.3279339999999999</v>
      </c>
      <c r="E5244">
        <v>0.3386094</v>
      </c>
      <c r="F5244" t="s">
        <v>42</v>
      </c>
      <c r="G5244">
        <v>-347.61450000000002</v>
      </c>
      <c r="H5244" s="1">
        <v>-3.332711E-6</v>
      </c>
      <c r="I5244">
        <v>10.08934</v>
      </c>
      <c r="J5244">
        <v>-408.55470000000003</v>
      </c>
      <c r="K5244">
        <v>1.119445</v>
      </c>
      <c r="L5244">
        <v>17.165220000000001</v>
      </c>
      <c r="M5244">
        <v>0.88059599999999905</v>
      </c>
      <c r="N5244">
        <v>0</v>
      </c>
      <c r="O5244">
        <v>-0.47361550000000002</v>
      </c>
      <c r="P5244">
        <v>0.87511000000000005</v>
      </c>
      <c r="Q5244">
        <v>-2.0820450000000001E-2</v>
      </c>
      <c r="R5244">
        <v>-0.48347620000000002</v>
      </c>
      <c r="S5244">
        <v>3.2269589999999999</v>
      </c>
      <c r="T5244">
        <v>-5.91625E-2</v>
      </c>
      <c r="U5244">
        <v>-0.37701420000000002</v>
      </c>
      <c r="V5244">
        <v>1.140071E-2</v>
      </c>
      <c r="W5244">
        <v>-5.1083609999999996E-3</v>
      </c>
      <c r="X5244">
        <v>0.99992199999999998</v>
      </c>
      <c r="Y5244">
        <v>-0.36813980000000002</v>
      </c>
      <c r="Z5244">
        <v>1.1684E-2</v>
      </c>
      <c r="AA5244">
        <v>0.929697</v>
      </c>
      <c r="AB5244">
        <v>26</v>
      </c>
      <c r="AC5244">
        <v>60.940199999999997</v>
      </c>
      <c r="AD5244">
        <v>-1.1194483327110001</v>
      </c>
      <c r="AE5244">
        <v>-7.0758799999999997</v>
      </c>
      <c r="AF5244">
        <v>-22.626403518555001</v>
      </c>
      <c r="AG5244">
        <v>-1.1194483327110001</v>
      </c>
      <c r="AH5244">
        <v>57.002779227630498</v>
      </c>
      <c r="AI5244">
        <v>91.045709731684894</v>
      </c>
      <c r="AJ5244">
        <v>111.64986503013399</v>
      </c>
      <c r="AK5244">
        <v>61.339417509690001</v>
      </c>
      <c r="AL5244">
        <v>90.292688787148094</v>
      </c>
      <c r="AM5244">
        <v>89.346764784101595</v>
      </c>
      <c r="AN5244">
        <v>1.0000000388123</v>
      </c>
    </row>
    <row r="5245" spans="1:40" x14ac:dyDescent="0.25">
      <c r="A5245" t="str">
        <f>"20190312161422140"</f>
        <v>20190312161422140</v>
      </c>
      <c r="B5245" t="str">
        <f>"1552378462131565"</f>
        <v>1552378462131565</v>
      </c>
      <c r="C5245" t="s">
        <v>40</v>
      </c>
      <c r="D5245">
        <v>5.3052330000000003</v>
      </c>
      <c r="E5245">
        <v>0.33460699999999999</v>
      </c>
      <c r="F5245" t="s">
        <v>42</v>
      </c>
      <c r="G5245">
        <v>-332.69080000000002</v>
      </c>
      <c r="H5245">
        <v>5.8323979999999997E-2</v>
      </c>
      <c r="I5245">
        <v>9.6079679999999996</v>
      </c>
      <c r="J5245">
        <v>-408.43020000000001</v>
      </c>
      <c r="K5245">
        <v>1.1194329999999999</v>
      </c>
      <c r="L5245">
        <v>17.106570000000001</v>
      </c>
      <c r="M5245">
        <v>0.88384059999999898</v>
      </c>
      <c r="N5245">
        <v>0</v>
      </c>
      <c r="O5245">
        <v>-0.46753299999999998</v>
      </c>
      <c r="P5245">
        <v>0.87814709999999996</v>
      </c>
      <c r="Q5245">
        <v>-2.077238E-2</v>
      </c>
      <c r="R5245">
        <v>-0.47794009999999998</v>
      </c>
      <c r="S5245">
        <v>3.248291</v>
      </c>
      <c r="T5245">
        <v>-4.543436E-2</v>
      </c>
      <c r="U5245">
        <v>-0.32357789999999997</v>
      </c>
      <c r="V5245">
        <v>1.1977969999999999E-2</v>
      </c>
      <c r="W5245">
        <v>-5.0514949999999996E-3</v>
      </c>
      <c r="X5245">
        <v>0.99991549999999996</v>
      </c>
      <c r="Y5245">
        <v>-0.37758750000000002</v>
      </c>
      <c r="Z5245">
        <v>8.9195869999999997E-3</v>
      </c>
      <c r="AA5245">
        <v>0.92593099999999995</v>
      </c>
      <c r="AB5245">
        <v>26</v>
      </c>
      <c r="AC5245">
        <v>75.739399999999904</v>
      </c>
      <c r="AD5245">
        <v>-1.06110902</v>
      </c>
      <c r="AE5245">
        <v>-7.498602</v>
      </c>
      <c r="AF5245">
        <v>-28.780941419601799</v>
      </c>
      <c r="AG5245">
        <v>-1.06110902</v>
      </c>
      <c r="AH5245">
        <v>70.442117422828005</v>
      </c>
      <c r="AI5245">
        <v>90.798911945678896</v>
      </c>
      <c r="AJ5245">
        <v>112.223734534248</v>
      </c>
      <c r="AK5245">
        <v>76.102302516825105</v>
      </c>
      <c r="AL5245">
        <v>90.289430575174805</v>
      </c>
      <c r="AM5245">
        <v>89.313687702139902</v>
      </c>
      <c r="AN5245">
        <v>0.99999999825365204</v>
      </c>
    </row>
    <row r="5246" spans="1:40" x14ac:dyDescent="0.25">
      <c r="A5246" t="str">
        <f>"20190312161422152"</f>
        <v>20190312161422152</v>
      </c>
      <c r="B5246" t="str">
        <f>"1552378462142302"</f>
        <v>1552378462142302</v>
      </c>
      <c r="C5246" t="s">
        <v>40</v>
      </c>
      <c r="D5246">
        <v>5.3258919999999996</v>
      </c>
      <c r="E5246">
        <v>0.33248729999999999</v>
      </c>
      <c r="F5246" t="s">
        <v>41</v>
      </c>
      <c r="G5246">
        <v>-297.2595</v>
      </c>
      <c r="H5246">
        <v>-0.05</v>
      </c>
      <c r="I5246">
        <v>7.7270199999999898</v>
      </c>
      <c r="J5246">
        <v>-408.31889999999999</v>
      </c>
      <c r="K5246">
        <v>1.1194219999999999</v>
      </c>
      <c r="L5246">
        <v>17.05463</v>
      </c>
      <c r="M5246">
        <v>0.88670059999999995</v>
      </c>
      <c r="N5246">
        <v>0</v>
      </c>
      <c r="O5246">
        <v>-0.462086</v>
      </c>
      <c r="P5246">
        <v>0.88093259999999995</v>
      </c>
      <c r="Q5246">
        <v>-2.0740310000000001E-2</v>
      </c>
      <c r="R5246">
        <v>-0.47278730000000002</v>
      </c>
      <c r="S5246">
        <v>3.2655029999999998</v>
      </c>
      <c r="T5246">
        <v>-3.435063E-2</v>
      </c>
      <c r="U5246">
        <v>-0.2755127</v>
      </c>
      <c r="V5246">
        <v>1.2271270000000001E-2</v>
      </c>
      <c r="W5246">
        <v>-5.0164550000000004E-3</v>
      </c>
      <c r="X5246">
        <v>0.99991209999999997</v>
      </c>
      <c r="Y5246">
        <v>-0.3859049</v>
      </c>
      <c r="Z5246">
        <v>6.7098359999999899E-3</v>
      </c>
      <c r="AA5246">
        <v>0.92251419999999995</v>
      </c>
      <c r="AB5246">
        <v>26</v>
      </c>
      <c r="AC5246">
        <v>111.059399999999</v>
      </c>
      <c r="AD5246">
        <v>-1.169422</v>
      </c>
      <c r="AE5246">
        <v>-9.32761</v>
      </c>
      <c r="AF5246">
        <v>-43.048592985231103</v>
      </c>
      <c r="AG5246">
        <v>-1.169422</v>
      </c>
      <c r="AH5246">
        <v>102.787541242419</v>
      </c>
      <c r="AI5246">
        <v>90.601234758377501</v>
      </c>
      <c r="AJ5246">
        <v>112.724490696348</v>
      </c>
      <c r="AK5246">
        <v>111.44427998100301</v>
      </c>
      <c r="AL5246">
        <v>90.287422911351896</v>
      </c>
      <c r="AM5246">
        <v>89.296881510118297</v>
      </c>
      <c r="AN5246">
        <v>0.99999997830729404</v>
      </c>
    </row>
    <row r="5247" spans="1:40" x14ac:dyDescent="0.25">
      <c r="A5247" t="str">
        <f>"20190312161422162"</f>
        <v>20190312161422162</v>
      </c>
      <c r="B5247" t="str">
        <f>"1552378462152061"</f>
        <v>1552378462152061</v>
      </c>
      <c r="C5247" t="s">
        <v>40</v>
      </c>
      <c r="D5247">
        <v>5.3001379999999996</v>
      </c>
      <c r="E5247">
        <v>0.33146150000000002</v>
      </c>
      <c r="F5247" t="s">
        <v>41</v>
      </c>
      <c r="G5247">
        <v>-266.23579999999998</v>
      </c>
      <c r="H5247">
        <v>-0.05</v>
      </c>
      <c r="I5247">
        <v>6.5635679999999903</v>
      </c>
      <c r="J5247">
        <v>-408.19819999999999</v>
      </c>
      <c r="K5247">
        <v>1.119407</v>
      </c>
      <c r="L5247">
        <v>16.99945</v>
      </c>
      <c r="M5247">
        <v>0.88975439999999995</v>
      </c>
      <c r="N5247">
        <v>0</v>
      </c>
      <c r="O5247">
        <v>-0.45617819999999998</v>
      </c>
      <c r="P5247">
        <v>0.88392610000000005</v>
      </c>
      <c r="Q5247">
        <v>-2.0647160000000001E-2</v>
      </c>
      <c r="R5247">
        <v>-0.4671708</v>
      </c>
      <c r="S5247">
        <v>3.275055</v>
      </c>
      <c r="T5247">
        <v>-2.6955489999999999E-2</v>
      </c>
      <c r="U5247">
        <v>-0.24182129999999999</v>
      </c>
      <c r="V5247">
        <v>1.255445E-2</v>
      </c>
      <c r="W5247">
        <v>-4.9208259999999997E-3</v>
      </c>
      <c r="X5247">
        <v>0.9999091</v>
      </c>
      <c r="Y5247">
        <v>-0.38944010000000001</v>
      </c>
      <c r="Z5247">
        <v>5.2254750000000003E-3</v>
      </c>
      <c r="AA5247">
        <v>0.92103699999999999</v>
      </c>
      <c r="AB5247">
        <v>26</v>
      </c>
      <c r="AC5247">
        <v>141.9624</v>
      </c>
      <c r="AD5247">
        <v>-1.1694069999999901</v>
      </c>
      <c r="AE5247">
        <v>-10.435881999999999</v>
      </c>
      <c r="AF5247">
        <v>-55.477654092212802</v>
      </c>
      <c r="AG5247">
        <v>-1.1694069999999901</v>
      </c>
      <c r="AH5247">
        <v>131.079082216415</v>
      </c>
      <c r="AI5247">
        <v>90.470721714414594</v>
      </c>
      <c r="AJ5247">
        <v>112.939929904528</v>
      </c>
      <c r="AK5247">
        <v>142.34065972519801</v>
      </c>
      <c r="AL5247">
        <v>90.281943694164795</v>
      </c>
      <c r="AM5247">
        <v>89.280655407293096</v>
      </c>
      <c r="AN5247">
        <v>1.00000001850306</v>
      </c>
    </row>
    <row r="5248" spans="1:40" x14ac:dyDescent="0.25">
      <c r="A5248" t="str">
        <f>"20190312161422174"</f>
        <v>20190312161422174</v>
      </c>
      <c r="B5248" t="str">
        <f>"1552378462171581"</f>
        <v>1552378462171581</v>
      </c>
      <c r="C5248" t="s">
        <v>40</v>
      </c>
      <c r="D5248">
        <v>5.2661889999999998</v>
      </c>
      <c r="E5248">
        <v>0.33114959999999999</v>
      </c>
      <c r="F5248" t="s">
        <v>41</v>
      </c>
      <c r="G5248">
        <v>-255.50980000000001</v>
      </c>
      <c r="H5248">
        <v>-0.05</v>
      </c>
      <c r="I5248">
        <v>7.0476070000000002</v>
      </c>
      <c r="J5248">
        <v>-408.08679999999998</v>
      </c>
      <c r="K5248">
        <v>1.1193959999999901</v>
      </c>
      <c r="L5248">
        <v>16.949369999999998</v>
      </c>
      <c r="M5248">
        <v>0.89252980000000004</v>
      </c>
      <c r="N5248">
        <v>0</v>
      </c>
      <c r="O5248">
        <v>-0.45072400000000001</v>
      </c>
      <c r="P5248">
        <v>0.88656869999999999</v>
      </c>
      <c r="Q5248">
        <v>-2.0545919999999999E-2</v>
      </c>
      <c r="R5248">
        <v>-0.46214080000000002</v>
      </c>
      <c r="S5248">
        <v>3.2803650000000002</v>
      </c>
      <c r="T5248">
        <v>-2.5123599999999999E-2</v>
      </c>
      <c r="U5248">
        <v>-0.2138062</v>
      </c>
      <c r="V5248">
        <v>1.298904E-2</v>
      </c>
      <c r="W5248">
        <v>-4.8134220000000004E-3</v>
      </c>
      <c r="X5248">
        <v>0.99990400000000002</v>
      </c>
      <c r="Y5248">
        <v>-0.39174290000000001</v>
      </c>
      <c r="Z5248">
        <v>4.8368909999999899E-3</v>
      </c>
      <c r="AA5248">
        <v>0.92006200000000005</v>
      </c>
      <c r="AB5248">
        <v>26</v>
      </c>
      <c r="AC5248">
        <v>152.576999999999</v>
      </c>
      <c r="AD5248">
        <v>-1.1693960000000001</v>
      </c>
      <c r="AE5248">
        <v>-9.9017630000000008</v>
      </c>
      <c r="AF5248">
        <v>-59.936137413432803</v>
      </c>
      <c r="AG5248">
        <v>-1.1693960000000001</v>
      </c>
      <c r="AH5248">
        <v>140.65102394725699</v>
      </c>
      <c r="AI5248">
        <v>90.438227354457496</v>
      </c>
      <c r="AJ5248">
        <v>113.08048673423001</v>
      </c>
      <c r="AK5248">
        <v>152.89348773724299</v>
      </c>
      <c r="AL5248">
        <v>90.275789845284905</v>
      </c>
      <c r="AM5248">
        <v>89.255753237756394</v>
      </c>
      <c r="AN5248">
        <v>0.99999994670373404</v>
      </c>
    </row>
    <row r="5249" spans="1:40" x14ac:dyDescent="0.25">
      <c r="A5249" t="str">
        <f>"20190312161422185"</f>
        <v>20190312161422185</v>
      </c>
      <c r="B5249" t="str">
        <f>"1552378462182307"</f>
        <v>1552378462182307</v>
      </c>
      <c r="C5249" t="s">
        <v>40</v>
      </c>
      <c r="D5249">
        <v>5.3319640000000001</v>
      </c>
      <c r="E5249">
        <v>0.33167370000000002</v>
      </c>
      <c r="F5249" t="s">
        <v>41</v>
      </c>
      <c r="G5249">
        <v>-260.54790000000003</v>
      </c>
      <c r="H5249">
        <v>-0.05</v>
      </c>
      <c r="I5249">
        <v>8.2795559999999995</v>
      </c>
      <c r="J5249">
        <v>-407.9658</v>
      </c>
      <c r="K5249">
        <v>1.1193839999999999</v>
      </c>
      <c r="L5249">
        <v>16.895779999999998</v>
      </c>
      <c r="M5249">
        <v>0.89549889999999999</v>
      </c>
      <c r="N5249">
        <v>0</v>
      </c>
      <c r="O5249">
        <v>-0.44479570000000002</v>
      </c>
      <c r="P5249">
        <v>0.88939519999999905</v>
      </c>
      <c r="Q5249">
        <v>-2.0589110000000001E-2</v>
      </c>
      <c r="R5249">
        <v>-0.45667540000000001</v>
      </c>
      <c r="S5249">
        <v>3.282715</v>
      </c>
      <c r="T5249">
        <v>-2.6018860000000001E-2</v>
      </c>
      <c r="U5249">
        <v>-0.19290160000000001</v>
      </c>
      <c r="V5249">
        <v>1.346633E-2</v>
      </c>
      <c r="W5249">
        <v>-4.8498320000000001E-3</v>
      </c>
      <c r="X5249">
        <v>0.99989749999999999</v>
      </c>
      <c r="Y5249">
        <v>-0.39151979999999997</v>
      </c>
      <c r="Z5249">
        <v>4.9646289999999999E-3</v>
      </c>
      <c r="AA5249">
        <v>0.92015630000000004</v>
      </c>
      <c r="AB5249">
        <v>26</v>
      </c>
      <c r="AC5249">
        <v>147.41789999999901</v>
      </c>
      <c r="AD5249">
        <v>-1.169384</v>
      </c>
      <c r="AE5249">
        <v>-8.6162239999999901</v>
      </c>
      <c r="AF5249">
        <v>-57.858301250059498</v>
      </c>
      <c r="AG5249">
        <v>-1.169384</v>
      </c>
      <c r="AH5249">
        <v>135.85271021309299</v>
      </c>
      <c r="AI5249">
        <v>90.453740114598602</v>
      </c>
      <c r="AJ5249">
        <v>113.068666510958</v>
      </c>
      <c r="AK5249">
        <v>147.664854839345</v>
      </c>
      <c r="AL5249">
        <v>90.277876011855795</v>
      </c>
      <c r="AM5249">
        <v>89.228403680323197</v>
      </c>
      <c r="AN5249">
        <v>0.99999993671017096</v>
      </c>
    </row>
    <row r="5250" spans="1:40" x14ac:dyDescent="0.25">
      <c r="A5250" t="str">
        <f>"20190312161422205"</f>
        <v>20190312161422205</v>
      </c>
      <c r="B5250" t="str">
        <f>"1552378462201827"</f>
        <v>1552378462201827</v>
      </c>
      <c r="C5250" t="s">
        <v>40</v>
      </c>
      <c r="D5250">
        <v>5.338381</v>
      </c>
      <c r="E5250">
        <v>0.33289819999999998</v>
      </c>
      <c r="F5250" t="s">
        <v>41</v>
      </c>
      <c r="G5250">
        <v>-273.85219999999998</v>
      </c>
      <c r="H5250">
        <v>-0.05</v>
      </c>
      <c r="I5250">
        <v>9.692596</v>
      </c>
      <c r="J5250">
        <v>-407.74959999999999</v>
      </c>
      <c r="K5250">
        <v>1.119364</v>
      </c>
      <c r="L5250">
        <v>16.80255</v>
      </c>
      <c r="M5250">
        <v>0.90068609999999905</v>
      </c>
      <c r="N5250">
        <v>0</v>
      </c>
      <c r="O5250">
        <v>-0.43419590000000002</v>
      </c>
      <c r="P5250">
        <v>0.89442169999999899</v>
      </c>
      <c r="Q5250">
        <v>-2.03663E-2</v>
      </c>
      <c r="R5250">
        <v>-0.44676070000000001</v>
      </c>
      <c r="S5250">
        <v>3.2818909999999999</v>
      </c>
      <c r="T5250">
        <v>-2.8615950000000001E-2</v>
      </c>
      <c r="U5250">
        <v>-0.1762695</v>
      </c>
      <c r="V5250">
        <v>1.414495E-2</v>
      </c>
      <c r="W5250">
        <v>-4.6188619999999996E-3</v>
      </c>
      <c r="X5250">
        <v>0.99988929999999998</v>
      </c>
      <c r="Y5250">
        <v>-0.38528089999999998</v>
      </c>
      <c r="Z5250">
        <v>5.3523529999999998E-3</v>
      </c>
      <c r="AA5250">
        <v>0.92278380000000004</v>
      </c>
      <c r="AB5250">
        <v>26</v>
      </c>
      <c r="AC5250">
        <v>133.8974</v>
      </c>
      <c r="AD5250">
        <v>-1.1693639999999901</v>
      </c>
      <c r="AE5250">
        <v>-7.1099539999999903</v>
      </c>
      <c r="AF5250">
        <v>-51.736100113679299</v>
      </c>
      <c r="AG5250">
        <v>-1.1693639999999901</v>
      </c>
      <c r="AH5250">
        <v>123.69198278509199</v>
      </c>
      <c r="AI5250">
        <v>90.499701687923405</v>
      </c>
      <c r="AJ5250">
        <v>112.697880148889</v>
      </c>
      <c r="AK5250">
        <v>134.08093851269399</v>
      </c>
      <c r="AL5250">
        <v>90.264642236326097</v>
      </c>
      <c r="AM5250">
        <v>89.189518399977302</v>
      </c>
      <c r="AN5250">
        <v>1.0000000128755799</v>
      </c>
    </row>
    <row r="5251" spans="1:40" x14ac:dyDescent="0.25">
      <c r="A5251" t="str">
        <f>"20190312161422218"</f>
        <v>20190312161422218</v>
      </c>
      <c r="B5251" t="str">
        <f>"1552378462211587"</f>
        <v>1552378462211587</v>
      </c>
      <c r="C5251" t="s">
        <v>40</v>
      </c>
      <c r="D5251">
        <v>5.3014729999999997</v>
      </c>
      <c r="E5251">
        <v>0.33336529999999998</v>
      </c>
      <c r="F5251" t="s">
        <v>41</v>
      </c>
      <c r="G5251">
        <v>-292.72969999999998</v>
      </c>
      <c r="H5251">
        <v>-0.05</v>
      </c>
      <c r="I5251">
        <v>11.602600000000001</v>
      </c>
      <c r="J5251">
        <v>-407.6157</v>
      </c>
      <c r="K5251">
        <v>1.1193489999999999</v>
      </c>
      <c r="L5251">
        <v>16.746549999999999</v>
      </c>
      <c r="M5251">
        <v>0.90382359999999995</v>
      </c>
      <c r="N5251">
        <v>0</v>
      </c>
      <c r="O5251">
        <v>-0.42762679999999997</v>
      </c>
      <c r="P5251">
        <v>0.8975244</v>
      </c>
      <c r="Q5251">
        <v>-2.0113410000000002E-2</v>
      </c>
      <c r="R5251">
        <v>-0.44050610000000001</v>
      </c>
      <c r="S5251">
        <v>3.2792970000000001</v>
      </c>
      <c r="T5251">
        <v>-3.3339380000000002E-2</v>
      </c>
      <c r="U5251">
        <v>-0.14825439999999901</v>
      </c>
      <c r="V5251">
        <v>1.4436559999999999E-2</v>
      </c>
      <c r="W5251">
        <v>-4.3637909999999997E-3</v>
      </c>
      <c r="X5251">
        <v>0.99988630000000001</v>
      </c>
      <c r="Y5251">
        <v>-0.38637640000000001</v>
      </c>
      <c r="Z5251">
        <v>6.1886679999999996E-3</v>
      </c>
      <c r="AA5251">
        <v>0.92232040000000004</v>
      </c>
      <c r="AB5251">
        <v>26</v>
      </c>
      <c r="AC5251">
        <v>114.886</v>
      </c>
      <c r="AD5251">
        <v>-1.169349</v>
      </c>
      <c r="AE5251">
        <v>-5.1439499999999896</v>
      </c>
      <c r="AF5251">
        <v>-44.479809162590101</v>
      </c>
      <c r="AG5251">
        <v>-1.169349</v>
      </c>
      <c r="AH5251">
        <v>106.038037818327</v>
      </c>
      <c r="AI5251">
        <v>90.582632508901099</v>
      </c>
      <c r="AJ5251">
        <v>112.756602914057</v>
      </c>
      <c r="AK5251">
        <v>114.995157570156</v>
      </c>
      <c r="AL5251">
        <v>90.250027591779599</v>
      </c>
      <c r="AM5251">
        <v>89.172809459190901</v>
      </c>
      <c r="AN5251">
        <v>1.0000000349321001</v>
      </c>
    </row>
    <row r="5252" spans="1:40" x14ac:dyDescent="0.25">
      <c r="A5252" t="str">
        <f>"20190312161422231"</f>
        <v>20190312161422231</v>
      </c>
      <c r="B5252" t="str">
        <f>"1552378462222324"</f>
        <v>1552378462222324</v>
      </c>
      <c r="C5252" t="s">
        <v>40</v>
      </c>
      <c r="D5252">
        <v>5.2921100000000001</v>
      </c>
      <c r="E5252">
        <v>0.33358320000000002</v>
      </c>
      <c r="F5252" t="s">
        <v>41</v>
      </c>
      <c r="G5252">
        <v>-292.80180000000001</v>
      </c>
      <c r="H5252">
        <v>-0.05</v>
      </c>
      <c r="I5252">
        <v>12.24095</v>
      </c>
      <c r="J5252">
        <v>-407.49299999999999</v>
      </c>
      <c r="K5252">
        <v>1.1193360000000001</v>
      </c>
      <c r="L5252">
        <v>16.695799999999998</v>
      </c>
      <c r="M5252">
        <v>0.90665099999999998</v>
      </c>
      <c r="N5252">
        <v>0</v>
      </c>
      <c r="O5252">
        <v>-0.42159940000000001</v>
      </c>
      <c r="P5252">
        <v>0.90042919999999904</v>
      </c>
      <c r="Q5252">
        <v>-1.998664E-2</v>
      </c>
      <c r="R5252">
        <v>-0.43454290000000001</v>
      </c>
      <c r="S5252">
        <v>3.2786249999999999</v>
      </c>
      <c r="T5252">
        <v>-3.3391949999999997E-2</v>
      </c>
      <c r="U5252">
        <v>-0.1286621</v>
      </c>
      <c r="V5252">
        <v>1.445779E-2</v>
      </c>
      <c r="W5252">
        <v>-4.2404019999999999E-3</v>
      </c>
      <c r="X5252">
        <v>0.99988650000000001</v>
      </c>
      <c r="Y5252">
        <v>-0.38572849999999997</v>
      </c>
      <c r="Z5252">
        <v>6.1423220000000004E-3</v>
      </c>
      <c r="AA5252">
        <v>0.92259190000000002</v>
      </c>
      <c r="AB5252">
        <v>26</v>
      </c>
      <c r="AC5252">
        <v>114.69119999999999</v>
      </c>
      <c r="AD5252">
        <v>-1.1693359999999999</v>
      </c>
      <c r="AE5252">
        <v>-4.4548499999999898</v>
      </c>
      <c r="AF5252">
        <v>-44.315419717759603</v>
      </c>
      <c r="AG5252">
        <v>-1.1693359999999999</v>
      </c>
      <c r="AH5252">
        <v>105.864660550815</v>
      </c>
      <c r="AI5252">
        <v>90.583760273400998</v>
      </c>
      <c r="AJ5252">
        <v>112.714403334989</v>
      </c>
      <c r="AK5252">
        <v>114.771730513142</v>
      </c>
      <c r="AL5252">
        <v>90.242957863525206</v>
      </c>
      <c r="AM5252">
        <v>89.171593351069305</v>
      </c>
      <c r="AN5252">
        <v>1.0000000107915199</v>
      </c>
    </row>
    <row r="5253" spans="1:40" x14ac:dyDescent="0.25">
      <c r="A5253" t="str">
        <f>"20190312161422242"</f>
        <v>20190312161422242</v>
      </c>
      <c r="B5253" t="str">
        <f>"1552378462232084"</f>
        <v>1552378462232084</v>
      </c>
      <c r="C5253" t="s">
        <v>40</v>
      </c>
      <c r="D5253">
        <v>4.9053709999999997</v>
      </c>
      <c r="E5253">
        <v>0.3336209</v>
      </c>
      <c r="F5253" t="s">
        <v>41</v>
      </c>
      <c r="G5253">
        <v>-291.68419999999998</v>
      </c>
      <c r="H5253">
        <v>-0.05</v>
      </c>
      <c r="I5253">
        <v>12.86374</v>
      </c>
      <c r="J5253">
        <v>-407.358</v>
      </c>
      <c r="K5253">
        <v>1.1193219999999999</v>
      </c>
      <c r="L5253">
        <v>16.641479999999898</v>
      </c>
      <c r="M5253">
        <v>0.90970469999999903</v>
      </c>
      <c r="N5253">
        <v>0</v>
      </c>
      <c r="O5253">
        <v>-0.41496929999999999</v>
      </c>
      <c r="P5253">
        <v>0.90367719999999896</v>
      </c>
      <c r="Q5253">
        <v>-1.9671350000000001E-2</v>
      </c>
      <c r="R5253">
        <v>-0.42776249999999999</v>
      </c>
      <c r="S5253">
        <v>3.2786559999999998</v>
      </c>
      <c r="T5253">
        <v>-3.3105019999999999E-2</v>
      </c>
      <c r="U5253">
        <v>-0.10849</v>
      </c>
      <c r="V5253">
        <v>1.423172E-2</v>
      </c>
      <c r="W5253">
        <v>-3.9342969999999998E-3</v>
      </c>
      <c r="X5253">
        <v>0.99989099999999997</v>
      </c>
      <c r="Y5253">
        <v>-0.38466299999999998</v>
      </c>
      <c r="Z5253">
        <v>6.0245949999999998E-3</v>
      </c>
      <c r="AA5253">
        <v>0.92303740000000001</v>
      </c>
      <c r="AB5253">
        <v>26</v>
      </c>
      <c r="AC5253">
        <v>115.6738</v>
      </c>
      <c r="AD5253">
        <v>-1.169322</v>
      </c>
      <c r="AE5253">
        <v>-3.7777399999999899</v>
      </c>
      <c r="AF5253">
        <v>-44.5651993460367</v>
      </c>
      <c r="AG5253">
        <v>-1.169322</v>
      </c>
      <c r="AH5253">
        <v>106.798446262014</v>
      </c>
      <c r="AI5253">
        <v>90.578921686546494</v>
      </c>
      <c r="AJ5253">
        <v>112.649958444449</v>
      </c>
      <c r="AK5253">
        <v>115.729565931407</v>
      </c>
      <c r="AL5253">
        <v>90.2254191913309</v>
      </c>
      <c r="AM5253">
        <v>89.184548681962397</v>
      </c>
      <c r="AN5253">
        <v>1.0000000162140199</v>
      </c>
    </row>
    <row r="5254" spans="1:40" x14ac:dyDescent="0.25">
      <c r="A5254" t="str">
        <f>"20190312161422256"</f>
        <v>20190312161422256</v>
      </c>
      <c r="B5254" t="str">
        <f>"1552378462251604"</f>
        <v>1552378462251604</v>
      </c>
      <c r="C5254" t="s">
        <v>40</v>
      </c>
      <c r="D5254">
        <v>5.3151199999999896</v>
      </c>
      <c r="E5254">
        <v>0.33384760000000002</v>
      </c>
      <c r="F5254" t="s">
        <v>41</v>
      </c>
      <c r="G5254">
        <v>-280.66890000000001</v>
      </c>
      <c r="H5254">
        <v>-0.05</v>
      </c>
      <c r="I5254">
        <v>13.38861</v>
      </c>
      <c r="J5254">
        <v>-407.22030000000001</v>
      </c>
      <c r="K5254">
        <v>1.119308</v>
      </c>
      <c r="L5254">
        <v>16.587219999999999</v>
      </c>
      <c r="M5254">
        <v>0.91275989999999996</v>
      </c>
      <c r="N5254">
        <v>0</v>
      </c>
      <c r="O5254">
        <v>-0.4082057</v>
      </c>
      <c r="P5254">
        <v>0.90691949999999999</v>
      </c>
      <c r="Q5254">
        <v>-1.9559440000000001E-2</v>
      </c>
      <c r="R5254">
        <v>-0.42085030000000001</v>
      </c>
      <c r="S5254">
        <v>3.279236</v>
      </c>
      <c r="T5254">
        <v>-3.0266879999999999E-2</v>
      </c>
      <c r="U5254">
        <v>-8.4197999999999995E-2</v>
      </c>
      <c r="V5254">
        <v>1.401552E-2</v>
      </c>
      <c r="W5254">
        <v>-3.8314080000000001E-3</v>
      </c>
      <c r="X5254">
        <v>0.99989439999999996</v>
      </c>
      <c r="Y5254">
        <v>-0.38465559999999899</v>
      </c>
      <c r="Z5254">
        <v>5.4515379999999997E-3</v>
      </c>
      <c r="AA5254">
        <v>0.92304410000000003</v>
      </c>
      <c r="AB5254">
        <v>26</v>
      </c>
      <c r="AC5254">
        <v>126.5514</v>
      </c>
      <c r="AD5254">
        <v>-1.169308</v>
      </c>
      <c r="AE5254">
        <v>-3.19861</v>
      </c>
      <c r="AF5254">
        <v>-48.741069475432703</v>
      </c>
      <c r="AG5254">
        <v>-1.169308</v>
      </c>
      <c r="AH5254">
        <v>116.820639793708</v>
      </c>
      <c r="AI5254">
        <v>90.529261887936997</v>
      </c>
      <c r="AJ5254">
        <v>112.64735888692201</v>
      </c>
      <c r="AK5254">
        <v>126.586417188493</v>
      </c>
      <c r="AL5254">
        <v>90.219524053247596</v>
      </c>
      <c r="AM5254">
        <v>89.196937638863403</v>
      </c>
      <c r="AN5254">
        <v>0.99999996281974501</v>
      </c>
    </row>
    <row r="5255" spans="1:40" x14ac:dyDescent="0.25">
      <c r="A5255" t="str">
        <f>"20190312161422269"</f>
        <v>20190312161422269</v>
      </c>
      <c r="B5255" t="str">
        <f>"1552378462262340"</f>
        <v>1552378462262340</v>
      </c>
      <c r="C5255" t="s">
        <v>40</v>
      </c>
      <c r="D5255">
        <v>5.3238370000000002</v>
      </c>
      <c r="E5255">
        <v>0.33394210000000002</v>
      </c>
      <c r="F5255" t="s">
        <v>97</v>
      </c>
      <c r="G5255">
        <v>-279.68</v>
      </c>
      <c r="H5255">
        <v>8.6210729999999999E-2</v>
      </c>
      <c r="I5255">
        <v>14.215579999999999</v>
      </c>
      <c r="J5255">
        <v>-407.0795</v>
      </c>
      <c r="K5255">
        <v>1.119294</v>
      </c>
      <c r="L5255">
        <v>16.53256</v>
      </c>
      <c r="M5255">
        <v>0.91582819999999998</v>
      </c>
      <c r="N5255">
        <v>0</v>
      </c>
      <c r="O5255">
        <v>-0.40127489999999999</v>
      </c>
      <c r="P5255">
        <v>0.91006229999999999</v>
      </c>
      <c r="Q5255">
        <v>-1.9311060000000001E-2</v>
      </c>
      <c r="R5255">
        <v>-0.41402240000000001</v>
      </c>
      <c r="S5255">
        <v>3.2790219999999999</v>
      </c>
      <c r="T5255">
        <v>-2.6560540000000001E-2</v>
      </c>
      <c r="U5255">
        <v>-6.097412E-2</v>
      </c>
      <c r="V5255">
        <v>1.407248E-2</v>
      </c>
      <c r="W5255">
        <v>-3.5859680000000001E-3</v>
      </c>
      <c r="X5255">
        <v>0.99989459999999997</v>
      </c>
      <c r="Y5255">
        <v>-0.38419890000000001</v>
      </c>
      <c r="Z5255">
        <v>4.7319789999999999E-3</v>
      </c>
      <c r="AA5255">
        <v>0.92323820000000001</v>
      </c>
      <c r="AB5255">
        <v>26</v>
      </c>
      <c r="AC5255">
        <v>127.3995</v>
      </c>
      <c r="AD5255">
        <v>-1.0330832700000001</v>
      </c>
      <c r="AE5255">
        <v>-2.31698</v>
      </c>
      <c r="AF5255">
        <v>-49.002856386411302</v>
      </c>
      <c r="AG5255">
        <v>-1.0330832700000001</v>
      </c>
      <c r="AH5255">
        <v>117.612017884678</v>
      </c>
      <c r="AI5255">
        <v>90.464555339769404</v>
      </c>
      <c r="AJ5255">
        <v>112.618972047304</v>
      </c>
      <c r="AK5255">
        <v>127.41638021061399</v>
      </c>
      <c r="AL5255">
        <v>90.205461261430401</v>
      </c>
      <c r="AM5255">
        <v>89.1936745316182</v>
      </c>
      <c r="AN5255">
        <v>1.0000000524845001</v>
      </c>
    </row>
    <row r="5256" spans="1:40" x14ac:dyDescent="0.25">
      <c r="A5256" t="str">
        <f>"20190312161422284"</f>
        <v>20190312161422284</v>
      </c>
      <c r="B5256" t="str">
        <f>"1552378462281859"</f>
        <v>1552378462281859</v>
      </c>
      <c r="C5256" t="s">
        <v>40</v>
      </c>
      <c r="D5256">
        <v>4.9928299999999997</v>
      </c>
      <c r="E5256">
        <v>0.33402340000000003</v>
      </c>
      <c r="F5256" t="s">
        <v>97</v>
      </c>
      <c r="G5256">
        <v>-279.68</v>
      </c>
      <c r="H5256">
        <v>0.2037418</v>
      </c>
      <c r="I5256">
        <v>15.09079</v>
      </c>
      <c r="J5256">
        <v>-406.91230000000002</v>
      </c>
      <c r="K5256">
        <v>1.1192740000000001</v>
      </c>
      <c r="L5256">
        <v>16.469729999999998</v>
      </c>
      <c r="M5256">
        <v>0.91938790000000004</v>
      </c>
      <c r="N5256">
        <v>0</v>
      </c>
      <c r="O5256">
        <v>-0.39305010000000001</v>
      </c>
      <c r="P5256">
        <v>0.91372679999999995</v>
      </c>
      <c r="Q5256">
        <v>-1.9826300000000002E-2</v>
      </c>
      <c r="R5256">
        <v>-0.40584559999999997</v>
      </c>
      <c r="S5256">
        <v>3.2791139999999999</v>
      </c>
      <c r="T5256">
        <v>-2.356517E-2</v>
      </c>
      <c r="U5256">
        <v>-3.7109379999999997E-2</v>
      </c>
      <c r="V5256">
        <v>1.4084579999999999E-2</v>
      </c>
      <c r="W5256">
        <v>-4.1064509999999997E-3</v>
      </c>
      <c r="X5256">
        <v>0.99989240000000001</v>
      </c>
      <c r="Y5256">
        <v>-0.38264690000000001</v>
      </c>
      <c r="Z5256">
        <v>4.1389130000000001E-3</v>
      </c>
      <c r="AA5256">
        <v>0.92388539999999997</v>
      </c>
      <c r="AB5256">
        <v>26</v>
      </c>
      <c r="AC5256">
        <v>127.2323</v>
      </c>
      <c r="AD5256">
        <v>-0.91553220000000002</v>
      </c>
      <c r="AE5256">
        <v>-1.3789399999999901</v>
      </c>
      <c r="AF5256">
        <v>-48.744153079179398</v>
      </c>
      <c r="AG5256">
        <v>-0.91553220000000002</v>
      </c>
      <c r="AH5256">
        <v>117.525703193673</v>
      </c>
      <c r="AI5256">
        <v>90.412276291971395</v>
      </c>
      <c r="AJ5256">
        <v>112.526382450602</v>
      </c>
      <c r="AK5256">
        <v>127.236478927165</v>
      </c>
      <c r="AL5256">
        <v>90.2352829664691</v>
      </c>
      <c r="AM5256">
        <v>89.192979541637001</v>
      </c>
      <c r="AN5256">
        <v>1.00000002495567</v>
      </c>
    </row>
    <row r="5257" spans="1:40" x14ac:dyDescent="0.25">
      <c r="A5257" t="str">
        <f>"20190312161422295"</f>
        <v>20190312161422295</v>
      </c>
      <c r="B5257" t="str">
        <f>"1552378462291620"</f>
        <v>1552378462291620</v>
      </c>
      <c r="C5257" t="s">
        <v>40</v>
      </c>
      <c r="D5257">
        <v>5.3506960000000001</v>
      </c>
      <c r="E5257">
        <v>0.33454020000000001</v>
      </c>
      <c r="F5257" t="s">
        <v>97</v>
      </c>
      <c r="G5257">
        <v>-279.68</v>
      </c>
      <c r="H5257">
        <v>0.26305469999999997</v>
      </c>
      <c r="I5257">
        <v>16.141719999999999</v>
      </c>
      <c r="J5257">
        <v>-406.79640000000001</v>
      </c>
      <c r="K5257">
        <v>1.1192629999999999</v>
      </c>
      <c r="L5257">
        <v>16.427219999999998</v>
      </c>
      <c r="M5257">
        <v>0.92180589999999996</v>
      </c>
      <c r="N5257">
        <v>0</v>
      </c>
      <c r="O5257">
        <v>-0.38734560000000001</v>
      </c>
      <c r="P5257">
        <v>0.91620080000000004</v>
      </c>
      <c r="Q5257">
        <v>-2.0144329999999998E-2</v>
      </c>
      <c r="R5257">
        <v>-0.40021289999999998</v>
      </c>
      <c r="S5257">
        <v>3.2790219999999999</v>
      </c>
      <c r="T5257">
        <v>-2.2066349999999998E-2</v>
      </c>
      <c r="U5257">
        <v>-8.4533690000000005E-3</v>
      </c>
      <c r="V5257">
        <v>1.4134900000000001E-2</v>
      </c>
      <c r="W5257">
        <v>-4.4271709999999997E-3</v>
      </c>
      <c r="X5257">
        <v>0.99989030000000001</v>
      </c>
      <c r="Y5257">
        <v>-0.38499640000000002</v>
      </c>
      <c r="Z5257">
        <v>3.849065E-3</v>
      </c>
      <c r="AA5257">
        <v>0.92291000000000001</v>
      </c>
      <c r="AB5257">
        <v>26</v>
      </c>
      <c r="AC5257">
        <v>127.1164</v>
      </c>
      <c r="AD5257">
        <v>-0.85620829999999903</v>
      </c>
      <c r="AE5257">
        <v>-0.28550000000000197</v>
      </c>
      <c r="AF5257">
        <v>-48.978391704452903</v>
      </c>
      <c r="AG5257">
        <v>-0.85620829999999903</v>
      </c>
      <c r="AH5257">
        <v>117.295829933211</v>
      </c>
      <c r="AI5257">
        <v>90.385933537454704</v>
      </c>
      <c r="AJ5257">
        <v>112.663607194554</v>
      </c>
      <c r="AK5257">
        <v>127.113837430583</v>
      </c>
      <c r="AL5257">
        <v>90.253659041177499</v>
      </c>
      <c r="AM5257">
        <v>89.190094981055097</v>
      </c>
      <c r="AN5257">
        <v>1.00000000363758</v>
      </c>
    </row>
    <row r="5258" spans="1:40" x14ac:dyDescent="0.25">
      <c r="A5258" t="str">
        <f>"20190312161422306"</f>
        <v>20190312161422306</v>
      </c>
      <c r="B5258" t="str">
        <f>"1552378462301381"</f>
        <v>1552378462301381</v>
      </c>
      <c r="C5258" t="s">
        <v>40</v>
      </c>
      <c r="D5258">
        <v>5.3712070000000001</v>
      </c>
      <c r="E5258">
        <v>0.33509939999999999</v>
      </c>
      <c r="F5258" t="s">
        <v>97</v>
      </c>
      <c r="G5258">
        <v>-279.68</v>
      </c>
      <c r="H5258">
        <v>0.204761</v>
      </c>
      <c r="I5258">
        <v>16.736149999999999</v>
      </c>
      <c r="J5258">
        <v>-406.67570000000001</v>
      </c>
      <c r="K5258">
        <v>1.119251</v>
      </c>
      <c r="L5258">
        <v>16.38345</v>
      </c>
      <c r="M5258">
        <v>0.92428399999999999</v>
      </c>
      <c r="N5258">
        <v>0</v>
      </c>
      <c r="O5258">
        <v>-0.38139489999999998</v>
      </c>
      <c r="P5258">
        <v>0.91869679999999998</v>
      </c>
      <c r="Q5258">
        <v>-2.0413000000000001E-2</v>
      </c>
      <c r="R5258">
        <v>-0.39443620000000001</v>
      </c>
      <c r="S5258">
        <v>3.277374</v>
      </c>
      <c r="T5258">
        <v>-2.357805E-2</v>
      </c>
      <c r="U5258">
        <v>7.9650880000000004E-3</v>
      </c>
      <c r="V5258">
        <v>1.4293129999999999E-2</v>
      </c>
      <c r="W5258">
        <v>-4.6962109999999996E-3</v>
      </c>
      <c r="X5258">
        <v>0.99988679999999996</v>
      </c>
      <c r="Y5258">
        <v>-0.38366620000000001</v>
      </c>
      <c r="Z5258">
        <v>4.0705869999999996E-3</v>
      </c>
      <c r="AA5258">
        <v>0.92346289999999998</v>
      </c>
      <c r="AB5258">
        <v>26</v>
      </c>
      <c r="AC5258">
        <v>126.9957</v>
      </c>
      <c r="AD5258">
        <v>-0.91448999999999903</v>
      </c>
      <c r="AE5258">
        <v>0.35269999999999802</v>
      </c>
      <c r="AF5258">
        <v>-48.764758349378901</v>
      </c>
      <c r="AG5258">
        <v>-0.91448999999999903</v>
      </c>
      <c r="AH5258">
        <v>117.253392723072</v>
      </c>
      <c r="AI5258">
        <v>90.412596855661306</v>
      </c>
      <c r="AJ5258">
        <v>112.58203957525301</v>
      </c>
      <c r="AK5258">
        <v>126.992897651421</v>
      </c>
      <c r="AL5258">
        <v>90.269074064330397</v>
      </c>
      <c r="AM5258">
        <v>89.181027040806001</v>
      </c>
      <c r="AN5258">
        <v>0.99999998038859605</v>
      </c>
    </row>
    <row r="5259" spans="1:40" x14ac:dyDescent="0.25">
      <c r="A5259" t="str">
        <f>"20190312161422318"</f>
        <v>20190312161422318</v>
      </c>
      <c r="B5259" t="str">
        <f>"1552378462312115"</f>
        <v>1552378462312115</v>
      </c>
      <c r="C5259" t="s">
        <v>40</v>
      </c>
      <c r="D5259">
        <v>5.3769589999999896</v>
      </c>
      <c r="E5259">
        <v>0.33545429999999998</v>
      </c>
      <c r="F5259" t="s">
        <v>97</v>
      </c>
      <c r="G5259">
        <v>-279.68</v>
      </c>
      <c r="H5259">
        <v>0.15862589999999999</v>
      </c>
      <c r="I5259">
        <v>17.334759999999999</v>
      </c>
      <c r="J5259">
        <v>-406.5496</v>
      </c>
      <c r="K5259">
        <v>1.119238</v>
      </c>
      <c r="L5259">
        <v>16.339169999999999</v>
      </c>
      <c r="M5259">
        <v>0.92682240000000005</v>
      </c>
      <c r="N5259">
        <v>0</v>
      </c>
      <c r="O5259">
        <v>-0.37518390000000001</v>
      </c>
      <c r="P5259">
        <v>0.92140699999999998</v>
      </c>
      <c r="Q5259">
        <v>-2.0495659999999999E-2</v>
      </c>
      <c r="R5259">
        <v>-0.38805800000000001</v>
      </c>
      <c r="S5259">
        <v>3.2754819999999998</v>
      </c>
      <c r="T5259">
        <v>-2.477646E-2</v>
      </c>
      <c r="U5259">
        <v>2.453613E-2</v>
      </c>
      <c r="V5259">
        <v>1.4074E-2</v>
      </c>
      <c r="W5259">
        <v>-4.7877570000000001E-3</v>
      </c>
      <c r="X5259">
        <v>0.99988949999999999</v>
      </c>
      <c r="Y5259">
        <v>-0.38213989999999998</v>
      </c>
      <c r="Z5259">
        <v>4.2306660000000001E-3</v>
      </c>
      <c r="AA5259">
        <v>0.92409479999999999</v>
      </c>
      <c r="AB5259">
        <v>26</v>
      </c>
      <c r="AC5259">
        <v>126.86960000000001</v>
      </c>
      <c r="AD5259">
        <v>-0.96061209999999997</v>
      </c>
      <c r="AE5259">
        <v>0.99558999999999598</v>
      </c>
      <c r="AF5259">
        <v>-48.525142359241897</v>
      </c>
      <c r="AG5259">
        <v>-0.96061209999999997</v>
      </c>
      <c r="AH5259">
        <v>117.219246585601</v>
      </c>
      <c r="AI5259">
        <v>90.433826761725001</v>
      </c>
      <c r="AJ5259">
        <v>112.48804200862099</v>
      </c>
      <c r="AK5259">
        <v>126.86987028718499</v>
      </c>
      <c r="AL5259">
        <v>90.2743193157729</v>
      </c>
      <c r="AM5259">
        <v>89.193583337488406</v>
      </c>
      <c r="AN5259">
        <v>1.0000000061516701</v>
      </c>
    </row>
    <row r="5260" spans="1:40" x14ac:dyDescent="0.25">
      <c r="A5260" t="str">
        <f>"20190312161422330"</f>
        <v>20190312161422330</v>
      </c>
      <c r="B5260" t="str">
        <f>"1552378462321875"</f>
        <v>1552378462321875</v>
      </c>
      <c r="C5260" t="s">
        <v>40</v>
      </c>
      <c r="D5260">
        <v>5.4322910000000002</v>
      </c>
      <c r="E5260">
        <v>0.3359839</v>
      </c>
      <c r="F5260" t="s">
        <v>97</v>
      </c>
      <c r="G5260">
        <v>-279.68</v>
      </c>
      <c r="H5260">
        <v>0.1751231</v>
      </c>
      <c r="I5260">
        <v>18.066859999999998</v>
      </c>
      <c r="J5260">
        <v>-406.42189999999999</v>
      </c>
      <c r="K5260">
        <v>1.119221</v>
      </c>
      <c r="L5260">
        <v>16.29477</v>
      </c>
      <c r="M5260">
        <v>0.92934729999999999</v>
      </c>
      <c r="N5260">
        <v>0</v>
      </c>
      <c r="O5260">
        <v>-0.36888520000000002</v>
      </c>
      <c r="P5260">
        <v>0.92389319999999997</v>
      </c>
      <c r="Q5260">
        <v>-2.041302E-2</v>
      </c>
      <c r="R5260">
        <v>-0.38210539999999998</v>
      </c>
      <c r="S5260">
        <v>3.2741090000000002</v>
      </c>
      <c r="T5260">
        <v>-2.4364589999999998E-2</v>
      </c>
      <c r="U5260">
        <v>4.4586180000000003E-2</v>
      </c>
      <c r="V5260">
        <v>1.440637E-2</v>
      </c>
      <c r="W5260">
        <v>-4.701907E-3</v>
      </c>
      <c r="X5260">
        <v>0.99988509999999997</v>
      </c>
      <c r="Y5260">
        <v>-0.38153039999999999</v>
      </c>
      <c r="Z5260">
        <v>4.1163049999999998E-3</v>
      </c>
      <c r="AA5260">
        <v>0.92434720000000004</v>
      </c>
      <c r="AB5260">
        <v>26</v>
      </c>
      <c r="AC5260">
        <v>126.7419</v>
      </c>
      <c r="AD5260">
        <v>-0.94409789999999905</v>
      </c>
      <c r="AE5260">
        <v>1.7720899999999999</v>
      </c>
      <c r="AF5260">
        <v>-48.403156770808003</v>
      </c>
      <c r="AG5260">
        <v>-0.94409789999999905</v>
      </c>
      <c r="AH5260">
        <v>117.14094689663401</v>
      </c>
      <c r="AI5260">
        <v>90.426769196027294</v>
      </c>
      <c r="AJ5260">
        <v>112.450630178724</v>
      </c>
      <c r="AK5260">
        <v>126.75077256594599</v>
      </c>
      <c r="AL5260">
        <v>90.269400437651598</v>
      </c>
      <c r="AM5260">
        <v>89.174538065139501</v>
      </c>
      <c r="AN5260">
        <v>0.99999993231400897</v>
      </c>
    </row>
    <row r="5261" spans="1:40" x14ac:dyDescent="0.25">
      <c r="A5261" t="str">
        <f>"20190312161422341"</f>
        <v>20190312161422341</v>
      </c>
      <c r="B5261" t="str">
        <f>"1552378462331636"</f>
        <v>1552378462331636</v>
      </c>
      <c r="C5261" t="s">
        <v>40</v>
      </c>
      <c r="D5261">
        <v>5.446485</v>
      </c>
      <c r="E5261">
        <v>0.3359839</v>
      </c>
      <c r="F5261" t="s">
        <v>97</v>
      </c>
      <c r="G5261">
        <v>-279.68</v>
      </c>
      <c r="H5261">
        <v>0.16594100000000001</v>
      </c>
      <c r="I5261">
        <v>18.688420000000001</v>
      </c>
      <c r="J5261">
        <v>-406.30099999999999</v>
      </c>
      <c r="K5261">
        <v>1.1192059999999999</v>
      </c>
      <c r="L5261">
        <v>16.254089999999898</v>
      </c>
      <c r="M5261">
        <v>0.93168980000000001</v>
      </c>
      <c r="N5261">
        <v>0</v>
      </c>
      <c r="O5261">
        <v>-0.36292869999999999</v>
      </c>
      <c r="P5261">
        <v>0.92642789999999997</v>
      </c>
      <c r="Q5261">
        <v>-2.0259650000000001E-2</v>
      </c>
      <c r="R5261">
        <v>-0.37592740000000002</v>
      </c>
      <c r="S5261">
        <v>3.2721559999999998</v>
      </c>
      <c r="T5261">
        <v>-2.4611230000000001E-2</v>
      </c>
      <c r="U5261">
        <v>6.1798100000000002E-2</v>
      </c>
      <c r="V5261">
        <v>1.412508E-2</v>
      </c>
      <c r="W5261">
        <v>-4.5584880000000003E-3</v>
      </c>
      <c r="X5261">
        <v>0.9998899</v>
      </c>
      <c r="Y5261">
        <v>-0.38048130000000002</v>
      </c>
      <c r="Z5261">
        <v>4.1146630000000002E-3</v>
      </c>
      <c r="AA5261">
        <v>0.92477949999999998</v>
      </c>
      <c r="AB5261">
        <v>26</v>
      </c>
      <c r="AC5261">
        <v>126.620999999999</v>
      </c>
      <c r="AD5261">
        <v>-0.95326500000000003</v>
      </c>
      <c r="AE5261">
        <v>2.4343300000000001</v>
      </c>
      <c r="AF5261">
        <v>-48.2254154017483</v>
      </c>
      <c r="AG5261">
        <v>-0.95326500000000003</v>
      </c>
      <c r="AH5261">
        <v>117.09524174363899</v>
      </c>
      <c r="AI5261">
        <v>90.431287328023203</v>
      </c>
      <c r="AJ5261">
        <v>112.384204716787</v>
      </c>
      <c r="AK5261">
        <v>126.64081113066401</v>
      </c>
      <c r="AL5261">
        <v>90.261183013580407</v>
      </c>
      <c r="AM5261">
        <v>89.190657251258997</v>
      </c>
      <c r="AN5261">
        <v>1.0000000549099199</v>
      </c>
    </row>
    <row r="5262" spans="1:40" x14ac:dyDescent="0.25">
      <c r="A5262" t="str">
        <f>"20190312161422352"</f>
        <v>20190312161422352</v>
      </c>
      <c r="B5262" t="str">
        <f>"1552378462341396"</f>
        <v>1552378462341396</v>
      </c>
      <c r="C5262" t="s">
        <v>40</v>
      </c>
      <c r="D5262">
        <v>5.4322280000000003</v>
      </c>
      <c r="E5262">
        <v>0.35277809999999998</v>
      </c>
      <c r="F5262" t="s">
        <v>97</v>
      </c>
      <c r="G5262">
        <v>-279.68</v>
      </c>
      <c r="H5262">
        <v>0.17670920000000001</v>
      </c>
      <c r="I5262">
        <v>19.492660000000001</v>
      </c>
      <c r="J5262">
        <v>-406.18540000000002</v>
      </c>
      <c r="K5262">
        <v>1.119194</v>
      </c>
      <c r="L5262">
        <v>16.215699999999998</v>
      </c>
      <c r="M5262">
        <v>0.93389180000000005</v>
      </c>
      <c r="N5262">
        <v>0</v>
      </c>
      <c r="O5262">
        <v>-0.3572245</v>
      </c>
      <c r="P5262">
        <v>0.92866530000000003</v>
      </c>
      <c r="Q5262">
        <v>-1.9948629999999998E-2</v>
      </c>
      <c r="R5262">
        <v>-0.3703824</v>
      </c>
      <c r="S5262">
        <v>3.2716669999999999</v>
      </c>
      <c r="T5262">
        <v>-2.4352430000000001E-2</v>
      </c>
      <c r="U5262">
        <v>8.3679199999999995E-2</v>
      </c>
      <c r="V5262">
        <v>1.425302E-2</v>
      </c>
      <c r="W5262">
        <v>-4.2483159999999898E-3</v>
      </c>
      <c r="X5262">
        <v>0.99988940000000004</v>
      </c>
      <c r="Y5262">
        <v>-0.38101099999999999</v>
      </c>
      <c r="Z5262">
        <v>4.034256E-3</v>
      </c>
      <c r="AA5262">
        <v>0.92456170000000004</v>
      </c>
      <c r="AB5262">
        <v>26</v>
      </c>
      <c r="AC5262">
        <v>126.50539999999999</v>
      </c>
      <c r="AD5262">
        <v>-0.94248480000000001</v>
      </c>
      <c r="AE5262">
        <v>3.2769599999999999</v>
      </c>
      <c r="AF5262">
        <v>-48.254190838021799</v>
      </c>
      <c r="AG5262">
        <v>-0.94248480000000001</v>
      </c>
      <c r="AH5262">
        <v>116.979106489893</v>
      </c>
      <c r="AI5262">
        <v>90.426735058348498</v>
      </c>
      <c r="AJ5262">
        <v>112.41627699006899</v>
      </c>
      <c r="AK5262">
        <v>126.544326487615</v>
      </c>
      <c r="AL5262">
        <v>90.243411307935105</v>
      </c>
      <c r="AM5262">
        <v>89.183327089761505</v>
      </c>
      <c r="AN5262">
        <v>1.00000000450015</v>
      </c>
    </row>
    <row r="5263" spans="1:40" x14ac:dyDescent="0.25">
      <c r="A5263" t="str">
        <f>"20190312161422362"</f>
        <v>20190312161422362</v>
      </c>
      <c r="B5263" t="str">
        <f>"1552378462352132"</f>
        <v>1552378462352132</v>
      </c>
      <c r="C5263" t="s">
        <v>40</v>
      </c>
      <c r="D5263">
        <v>5.4291600000000004</v>
      </c>
      <c r="E5263">
        <v>0.35415770000000002</v>
      </c>
      <c r="F5263" t="s">
        <v>42</v>
      </c>
      <c r="G5263">
        <v>-327.98219999999998</v>
      </c>
      <c r="H5263" s="1">
        <v>-1.7943839999999999E-6</v>
      </c>
      <c r="I5263">
        <v>15.72526</v>
      </c>
      <c r="J5263">
        <v>-406.07150000000001</v>
      </c>
      <c r="K5263">
        <v>1.119181</v>
      </c>
      <c r="L5263">
        <v>16.17877</v>
      </c>
      <c r="M5263">
        <v>0.93602200000000002</v>
      </c>
      <c r="N5263">
        <v>0</v>
      </c>
      <c r="O5263">
        <v>-0.35160520000000001</v>
      </c>
      <c r="P5263">
        <v>0.9308379</v>
      </c>
      <c r="Q5263">
        <v>-2.0034449999999999E-2</v>
      </c>
      <c r="R5263">
        <v>-0.36488350000000003</v>
      </c>
      <c r="S5263">
        <v>3.2214049999999999</v>
      </c>
      <c r="T5263">
        <v>-4.610276E-2</v>
      </c>
      <c r="U5263">
        <v>-2.0202640000000001E-2</v>
      </c>
      <c r="V5263">
        <v>1.435123E-2</v>
      </c>
      <c r="W5263">
        <v>-4.3358679999999997E-3</v>
      </c>
      <c r="X5263">
        <v>0.99988759999999999</v>
      </c>
      <c r="Y5263">
        <v>-0.34569899999999998</v>
      </c>
      <c r="Z5263">
        <v>7.4214210000000001E-3</v>
      </c>
      <c r="AA5263">
        <v>0.93831609999999999</v>
      </c>
      <c r="AB5263">
        <v>26</v>
      </c>
      <c r="AC5263">
        <v>78.089299999999994</v>
      </c>
      <c r="AD5263">
        <v>-1.119182794384</v>
      </c>
      <c r="AE5263">
        <v>-0.45350999999999903</v>
      </c>
      <c r="AF5263">
        <v>-27.0297550960065</v>
      </c>
      <c r="AG5263">
        <v>-1.119182794384</v>
      </c>
      <c r="AH5263">
        <v>73.246381594143202</v>
      </c>
      <c r="AI5263">
        <v>90.821266777849303</v>
      </c>
      <c r="AJ5263">
        <v>110.25532782374999</v>
      </c>
      <c r="AK5263">
        <v>78.082601437914306</v>
      </c>
      <c r="AL5263">
        <v>90.248427719029607</v>
      </c>
      <c r="AM5263">
        <v>89.177699119898406</v>
      </c>
      <c r="AN5263">
        <v>0.99999998509379295</v>
      </c>
    </row>
    <row r="5264" spans="1:40" x14ac:dyDescent="0.25">
      <c r="A5264" t="str">
        <f>"20190312161422373"</f>
        <v>20190312161422373</v>
      </c>
      <c r="B5264" t="str">
        <f>"1552378462361892"</f>
        <v>1552378462361892</v>
      </c>
      <c r="C5264" t="s">
        <v>40</v>
      </c>
      <c r="D5264">
        <v>5.4309440000000002</v>
      </c>
      <c r="E5264">
        <v>0.35469129999999999</v>
      </c>
      <c r="F5264" t="s">
        <v>42</v>
      </c>
      <c r="G5264">
        <v>-337.11649999999997</v>
      </c>
      <c r="H5264" s="1">
        <v>-1.945313E-6</v>
      </c>
      <c r="I5264">
        <v>15.940619999999999</v>
      </c>
      <c r="J5264">
        <v>-405.95690000000002</v>
      </c>
      <c r="K5264">
        <v>1.1191660000000001</v>
      </c>
      <c r="L5264">
        <v>16.14236</v>
      </c>
      <c r="M5264">
        <v>0.93812609999999996</v>
      </c>
      <c r="N5264">
        <v>0</v>
      </c>
      <c r="O5264">
        <v>-0.34595209999999998</v>
      </c>
      <c r="P5264">
        <v>0.93303550000000002</v>
      </c>
      <c r="Q5264">
        <v>-2.0162280000000001E-2</v>
      </c>
      <c r="R5264">
        <v>-0.35921900000000001</v>
      </c>
      <c r="S5264">
        <v>3.2174680000000002</v>
      </c>
      <c r="T5264">
        <v>-5.2221539999999997E-2</v>
      </c>
      <c r="U5264">
        <v>-1.1108399999999999E-2</v>
      </c>
      <c r="V5264">
        <v>1.430969E-2</v>
      </c>
      <c r="W5264">
        <v>-4.4686470000000001E-3</v>
      </c>
      <c r="X5264">
        <v>0.99988759999999999</v>
      </c>
      <c r="Y5264">
        <v>-0.34266249999999998</v>
      </c>
      <c r="Z5264">
        <v>8.3056099999999997E-3</v>
      </c>
      <c r="AA5264">
        <v>0.93942190000000003</v>
      </c>
      <c r="AB5264">
        <v>26</v>
      </c>
      <c r="AC5264">
        <v>68.840400000000002</v>
      </c>
      <c r="AD5264">
        <v>-1.1191679453129999</v>
      </c>
      <c r="AE5264">
        <v>-0.201739999999999</v>
      </c>
      <c r="AF5264">
        <v>-23.622774909606498</v>
      </c>
      <c r="AG5264">
        <v>-1.1191679453129999</v>
      </c>
      <c r="AH5264">
        <v>64.641331946141193</v>
      </c>
      <c r="AI5264">
        <v>90.931642168044704</v>
      </c>
      <c r="AJ5264">
        <v>110.07451816021</v>
      </c>
      <c r="AK5264">
        <v>68.831604856279199</v>
      </c>
      <c r="AL5264">
        <v>90.256035471930502</v>
      </c>
      <c r="AM5264">
        <v>89.1800789652887</v>
      </c>
      <c r="AN5264">
        <v>0.99999997433383303</v>
      </c>
    </row>
    <row r="5265" spans="1:40" x14ac:dyDescent="0.25">
      <c r="A5265" t="str">
        <f>"20190312161422385"</f>
        <v>20190312161422385</v>
      </c>
      <c r="B5265" t="str">
        <f>"1552378462381412"</f>
        <v>1552378462381412</v>
      </c>
      <c r="C5265" t="s">
        <v>40</v>
      </c>
      <c r="D5265">
        <v>5.4699799999999996</v>
      </c>
      <c r="E5265">
        <v>0.35696240000000001</v>
      </c>
      <c r="F5265" t="s">
        <v>42</v>
      </c>
      <c r="G5265">
        <v>-339.80709999999999</v>
      </c>
      <c r="H5265" s="1">
        <v>-9.5099610000000002E-7</v>
      </c>
      <c r="I5265">
        <v>16.236439999999899</v>
      </c>
      <c r="J5265">
        <v>-405.83089999999999</v>
      </c>
      <c r="K5265">
        <v>1.1191450000000001</v>
      </c>
      <c r="L5265">
        <v>16.103120000000001</v>
      </c>
      <c r="M5265">
        <v>0.94039609999999996</v>
      </c>
      <c r="N5265">
        <v>0</v>
      </c>
      <c r="O5265">
        <v>-0.33973300000000001</v>
      </c>
      <c r="P5265">
        <v>0.93544870000000002</v>
      </c>
      <c r="Q5265">
        <v>-2.0398099999999999E-2</v>
      </c>
      <c r="R5265">
        <v>-0.35287299999999999</v>
      </c>
      <c r="S5265">
        <v>3.2159119999999999</v>
      </c>
      <c r="T5265">
        <v>-5.4408909999999998E-2</v>
      </c>
      <c r="U5265">
        <v>4.5776369999999999E-3</v>
      </c>
      <c r="V5265">
        <v>1.414523E-2</v>
      </c>
      <c r="W5265">
        <v>-4.712651E-3</v>
      </c>
      <c r="X5265">
        <v>0.99988880000000002</v>
      </c>
      <c r="Y5265">
        <v>-0.34101559999999997</v>
      </c>
      <c r="Z5265">
        <v>8.5448750000000004E-3</v>
      </c>
      <c r="AA5265">
        <v>0.94001880000000004</v>
      </c>
      <c r="AB5265">
        <v>26</v>
      </c>
      <c r="AC5265">
        <v>66.023799999999994</v>
      </c>
      <c r="AD5265">
        <v>-1.1191459509960999</v>
      </c>
      <c r="AE5265">
        <v>0.133319999999997</v>
      </c>
      <c r="AF5265">
        <v>-22.552027082609701</v>
      </c>
      <c r="AG5265">
        <v>-1.1191459509960999</v>
      </c>
      <c r="AH5265">
        <v>62.032750374307199</v>
      </c>
      <c r="AI5265">
        <v>90.971384367749295</v>
      </c>
      <c r="AJ5265">
        <v>109.978752903474</v>
      </c>
      <c r="AK5265">
        <v>66.014456993869899</v>
      </c>
      <c r="AL5265">
        <v>90.270016024381206</v>
      </c>
      <c r="AM5265">
        <v>89.1895019533534</v>
      </c>
      <c r="AN5265">
        <v>0.99999995448831902</v>
      </c>
    </row>
    <row r="5266" spans="1:40" x14ac:dyDescent="0.25">
      <c r="A5266" t="str">
        <f>"20190312161422397"</f>
        <v>20190312161422397</v>
      </c>
      <c r="B5266" t="str">
        <f>"1552378462392147"</f>
        <v>1552378462392147</v>
      </c>
      <c r="C5266" t="s">
        <v>40</v>
      </c>
      <c r="D5266">
        <v>5.4637039999999999</v>
      </c>
      <c r="E5266">
        <v>0.35749309999999901</v>
      </c>
      <c r="F5266" t="s">
        <v>42</v>
      </c>
      <c r="G5266">
        <v>-346.29860000000002</v>
      </c>
      <c r="H5266" s="1">
        <v>-2.1613599999999999E-6</v>
      </c>
      <c r="I5266">
        <v>16.283619999999999</v>
      </c>
      <c r="J5266">
        <v>-405.70830000000001</v>
      </c>
      <c r="K5266">
        <v>1.1191260000000001</v>
      </c>
      <c r="L5266">
        <v>16.066040000000001</v>
      </c>
      <c r="M5266">
        <v>0.94255699999999998</v>
      </c>
      <c r="N5266">
        <v>0</v>
      </c>
      <c r="O5266">
        <v>-0.33369159999999998</v>
      </c>
      <c r="P5266">
        <v>0.93774800000000003</v>
      </c>
      <c r="Q5266">
        <v>-2.059706E-2</v>
      </c>
      <c r="R5266">
        <v>-0.346705599999999</v>
      </c>
      <c r="S5266">
        <v>3.209381</v>
      </c>
      <c r="T5266">
        <v>-6.0333129999999999E-2</v>
      </c>
      <c r="U5266">
        <v>9.7351069999999998E-3</v>
      </c>
      <c r="V5266">
        <v>1.3982690000000001E-2</v>
      </c>
      <c r="W5266">
        <v>-4.9199120000000002E-3</v>
      </c>
      <c r="X5266">
        <v>0.9998901</v>
      </c>
      <c r="Y5266">
        <v>-0.3364722</v>
      </c>
      <c r="Z5266">
        <v>9.3438389999999996E-3</v>
      </c>
      <c r="AA5266">
        <v>0.94164709999999996</v>
      </c>
      <c r="AB5266">
        <v>26</v>
      </c>
      <c r="AC5266">
        <v>59.409700000000001</v>
      </c>
      <c r="AD5266">
        <v>-1.1191281613599999</v>
      </c>
      <c r="AE5266">
        <v>0.21758000000000099</v>
      </c>
      <c r="AF5266">
        <v>-20.024859765981599</v>
      </c>
      <c r="AG5266">
        <v>-1.1191281613599999</v>
      </c>
      <c r="AH5266">
        <v>55.911190502987601</v>
      </c>
      <c r="AI5266">
        <v>91.079555233642395</v>
      </c>
      <c r="AJ5266">
        <v>109.705227442837</v>
      </c>
      <c r="AK5266">
        <v>59.399568011477598</v>
      </c>
      <c r="AL5266">
        <v>90.281891339815999</v>
      </c>
      <c r="AM5266">
        <v>89.198815044273999</v>
      </c>
      <c r="AN5266">
        <v>0.99999996661586599</v>
      </c>
    </row>
    <row r="5267" spans="1:40" x14ac:dyDescent="0.25">
      <c r="A5267" t="str">
        <f>"20190312161422407"</f>
        <v>20190312161422407</v>
      </c>
      <c r="B5267" t="str">
        <f>"1552378462401908"</f>
        <v>1552378462401908</v>
      </c>
      <c r="C5267" t="s">
        <v>40</v>
      </c>
      <c r="D5267">
        <v>5.489128</v>
      </c>
      <c r="E5267">
        <v>0.35749309999999901</v>
      </c>
      <c r="F5267" t="s">
        <v>42</v>
      </c>
      <c r="G5267">
        <v>-345.71190000000001</v>
      </c>
      <c r="H5267" s="1">
        <v>-2.3626410000000001E-6</v>
      </c>
      <c r="I5267">
        <v>16.567679999999999</v>
      </c>
      <c r="J5267">
        <v>-405.58420000000001</v>
      </c>
      <c r="K5267">
        <v>1.119105</v>
      </c>
      <c r="L5267">
        <v>16.0289</v>
      </c>
      <c r="M5267">
        <v>0.94470330000000002</v>
      </c>
      <c r="N5267">
        <v>0</v>
      </c>
      <c r="O5267">
        <v>-0.32756610000000003</v>
      </c>
      <c r="P5267">
        <v>0.94000379999999994</v>
      </c>
      <c r="Q5267">
        <v>-2.0898610000000001E-2</v>
      </c>
      <c r="R5267">
        <v>-0.34052349999999998</v>
      </c>
      <c r="S5267">
        <v>3.2077939999999998</v>
      </c>
      <c r="T5267">
        <v>-5.983579E-2</v>
      </c>
      <c r="U5267">
        <v>2.682495E-2</v>
      </c>
      <c r="V5267">
        <v>1.389839E-2</v>
      </c>
      <c r="W5267">
        <v>-5.228084E-3</v>
      </c>
      <c r="X5267">
        <v>0.99988969999999999</v>
      </c>
      <c r="Y5267">
        <v>-0.33538030000000002</v>
      </c>
      <c r="Z5267">
        <v>9.1532899999999997E-3</v>
      </c>
      <c r="AA5267">
        <v>0.94203840000000005</v>
      </c>
      <c r="AB5267">
        <v>26</v>
      </c>
      <c r="AC5267">
        <v>59.872300000000003</v>
      </c>
      <c r="AD5267">
        <v>-1.119107362641</v>
      </c>
      <c r="AE5267">
        <v>0.53877999999999904</v>
      </c>
      <c r="AF5267">
        <v>-20.1164714050554</v>
      </c>
      <c r="AG5267">
        <v>-1.119107362641</v>
      </c>
      <c r="AH5267">
        <v>56.372038093054798</v>
      </c>
      <c r="AI5267">
        <v>91.071154093637404</v>
      </c>
      <c r="AJ5267">
        <v>109.63904015388999</v>
      </c>
      <c r="AK5267">
        <v>59.864275672928301</v>
      </c>
      <c r="AL5267">
        <v>90.299548526175698</v>
      </c>
      <c r="AM5267">
        <v>89.2036443520375</v>
      </c>
      <c r="AN5267">
        <v>0.99999995513649498</v>
      </c>
    </row>
    <row r="5268" spans="1:40" x14ac:dyDescent="0.25">
      <c r="A5268" t="str">
        <f>"20190312161422420"</f>
        <v>20190312161422420</v>
      </c>
      <c r="B5268" t="str">
        <f>"1552378462411668"</f>
        <v>1552378462411668</v>
      </c>
      <c r="C5268" t="s">
        <v>40</v>
      </c>
      <c r="D5268">
        <v>5.5045419999999998</v>
      </c>
      <c r="E5268">
        <v>0.36727880000000002</v>
      </c>
      <c r="F5268" t="s">
        <v>42</v>
      </c>
      <c r="G5268">
        <v>-346.62540000000001</v>
      </c>
      <c r="H5268" s="1">
        <v>-1.9100349999999998E-6</v>
      </c>
      <c r="I5268">
        <v>16.91009</v>
      </c>
      <c r="J5268">
        <v>-405.44940000000003</v>
      </c>
      <c r="K5268">
        <v>1.1190800000000001</v>
      </c>
      <c r="L5268">
        <v>15.9902</v>
      </c>
      <c r="M5268">
        <v>0.9469786</v>
      </c>
      <c r="N5268">
        <v>0</v>
      </c>
      <c r="O5268">
        <v>-0.32092859999999901</v>
      </c>
      <c r="P5268">
        <v>0.94249839999999996</v>
      </c>
      <c r="Q5268">
        <v>-2.1078639999999999E-2</v>
      </c>
      <c r="R5268">
        <v>-0.33354590000000001</v>
      </c>
      <c r="S5268">
        <v>3.2074579999999999</v>
      </c>
      <c r="T5268">
        <v>-6.088126E-2</v>
      </c>
      <c r="U5268">
        <v>4.7943119999999999E-2</v>
      </c>
      <c r="V5268">
        <v>1.350788E-2</v>
      </c>
      <c r="W5268">
        <v>-5.4225890000000002E-3</v>
      </c>
      <c r="X5268">
        <v>0.99989410000000001</v>
      </c>
      <c r="Y5268">
        <v>-0.33496900000000002</v>
      </c>
      <c r="Z5268">
        <v>9.190897E-3</v>
      </c>
      <c r="AA5268">
        <v>0.94218429999999997</v>
      </c>
      <c r="AB5268">
        <v>26</v>
      </c>
      <c r="AC5268">
        <v>58.823999999999998</v>
      </c>
      <c r="AD5268">
        <v>-1.11908191003499</v>
      </c>
      <c r="AE5268">
        <v>0.91988999999999999</v>
      </c>
      <c r="AF5268">
        <v>-19.744610302724499</v>
      </c>
      <c r="AG5268">
        <v>-1.11908191003499</v>
      </c>
      <c r="AH5268">
        <v>55.396355545529701</v>
      </c>
      <c r="AI5268">
        <v>91.090138209391299</v>
      </c>
      <c r="AJ5268">
        <v>109.617305535483</v>
      </c>
      <c r="AK5268">
        <v>58.820559229359297</v>
      </c>
      <c r="AL5268">
        <v>90.310692974177798</v>
      </c>
      <c r="AM5268">
        <v>89.226020598262096</v>
      </c>
      <c r="AN5268">
        <v>1.0000000392541799</v>
      </c>
    </row>
    <row r="5269" spans="1:40" x14ac:dyDescent="0.25">
      <c r="A5269" t="str">
        <f>"20190312161422433"</f>
        <v>20190312161422433</v>
      </c>
      <c r="B5269" t="str">
        <f>"1552378462421428"</f>
        <v>1552378462421428</v>
      </c>
      <c r="C5269" t="s">
        <v>40</v>
      </c>
      <c r="D5269">
        <v>5.2931319999999999</v>
      </c>
      <c r="E5269">
        <v>0.36661729999999998</v>
      </c>
      <c r="F5269" t="s">
        <v>96</v>
      </c>
      <c r="G5269">
        <v>-366.33300000000003</v>
      </c>
      <c r="H5269" s="1">
        <v>-2.3780790000000002E-6</v>
      </c>
      <c r="I5269">
        <v>15.98457</v>
      </c>
      <c r="J5269">
        <v>-405.31240000000003</v>
      </c>
      <c r="K5269">
        <v>1.1190599999999999</v>
      </c>
      <c r="L5269">
        <v>15.951510000000001</v>
      </c>
      <c r="M5269">
        <v>0.94923840000000004</v>
      </c>
      <c r="N5269">
        <v>0</v>
      </c>
      <c r="O5269">
        <v>-0.31418239999999997</v>
      </c>
      <c r="P5269">
        <v>0.94483139999999999</v>
      </c>
      <c r="Q5269">
        <v>-2.1169049999999998E-2</v>
      </c>
      <c r="R5269">
        <v>-0.32687250000000001</v>
      </c>
      <c r="S5269">
        <v>3.180847</v>
      </c>
      <c r="T5269">
        <v>-9.1000800000000007E-2</v>
      </c>
      <c r="U5269">
        <v>-4.577637E-4</v>
      </c>
      <c r="V5269">
        <v>1.3554139999999999E-2</v>
      </c>
      <c r="W5269">
        <v>-5.5183799999999998E-3</v>
      </c>
      <c r="X5269">
        <v>0.99989289999999997</v>
      </c>
      <c r="Y5269">
        <v>-0.31382919999999997</v>
      </c>
      <c r="Z5269">
        <v>1.3359070000000001E-2</v>
      </c>
      <c r="AA5269">
        <v>0.94938549999999999</v>
      </c>
      <c r="AB5269">
        <v>26</v>
      </c>
      <c r="AC5269">
        <v>38.979399999999998</v>
      </c>
      <c r="AD5269">
        <v>-1.1190623780790001</v>
      </c>
      <c r="AE5269">
        <v>3.30600000000007E-2</v>
      </c>
      <c r="AF5269">
        <v>-12.269359056520999</v>
      </c>
      <c r="AG5269">
        <v>-1.1190623780790001</v>
      </c>
      <c r="AH5269">
        <v>36.964253509723299</v>
      </c>
      <c r="AI5269">
        <v>91.645810973085901</v>
      </c>
      <c r="AJ5269">
        <v>108.36229466282001</v>
      </c>
      <c r="AK5269">
        <v>38.963386785480502</v>
      </c>
      <c r="AL5269">
        <v>90.316181491884393</v>
      </c>
      <c r="AM5269">
        <v>89.223369368184294</v>
      </c>
      <c r="AN5269">
        <v>0.99999998934968604</v>
      </c>
    </row>
    <row r="5270" spans="1:40" x14ac:dyDescent="0.25">
      <c r="A5270" t="str">
        <f>"20190312161422443"</f>
        <v>20190312161422443</v>
      </c>
      <c r="B5270" t="str">
        <f>"1552378462441923"</f>
        <v>1552378462441923</v>
      </c>
      <c r="C5270" t="s">
        <v>40</v>
      </c>
      <c r="D5270">
        <v>5.5176749999999997</v>
      </c>
      <c r="E5270">
        <v>0.36929230000000002</v>
      </c>
      <c r="F5270" t="s">
        <v>42</v>
      </c>
      <c r="G5270">
        <v>-359.71480000000003</v>
      </c>
      <c r="H5270" s="1">
        <v>-9.577022000000001E-7</v>
      </c>
      <c r="I5270">
        <v>16.3292</v>
      </c>
      <c r="J5270">
        <v>-405.18520000000001</v>
      </c>
      <c r="K5270">
        <v>1.119035</v>
      </c>
      <c r="L5270">
        <v>15.9165299999999</v>
      </c>
      <c r="M5270">
        <v>0.95128710000000005</v>
      </c>
      <c r="N5270">
        <v>0</v>
      </c>
      <c r="O5270">
        <v>-0.30792419999999998</v>
      </c>
      <c r="P5270">
        <v>0.94691340000000002</v>
      </c>
      <c r="Q5270">
        <v>-2.1415989999999999E-2</v>
      </c>
      <c r="R5270">
        <v>-0.32077539999999999</v>
      </c>
      <c r="S5270">
        <v>3.1825559999999999</v>
      </c>
      <c r="T5270">
        <v>-7.8106640000000005E-2</v>
      </c>
      <c r="U5270">
        <v>2.6367189999999999E-2</v>
      </c>
      <c r="V5270">
        <v>1.370063E-2</v>
      </c>
      <c r="W5270">
        <v>-5.7687479999999998E-3</v>
      </c>
      <c r="X5270">
        <v>0.99988949999999999</v>
      </c>
      <c r="Y5270">
        <v>-0.31564639999999999</v>
      </c>
      <c r="Z5270">
        <v>1.1337689999999999E-2</v>
      </c>
      <c r="AA5270">
        <v>0.94880909999999996</v>
      </c>
      <c r="AB5270">
        <v>26</v>
      </c>
      <c r="AC5270">
        <v>45.470399999999898</v>
      </c>
      <c r="AD5270">
        <v>-1.1190359577022</v>
      </c>
      <c r="AE5270">
        <v>0.41267000000000198</v>
      </c>
      <c r="AF5270">
        <v>-14.386986738028799</v>
      </c>
      <c r="AG5270">
        <v>-1.1190359577022</v>
      </c>
      <c r="AH5270">
        <v>43.107307682371101</v>
      </c>
      <c r="AI5270">
        <v>91.4105717918154</v>
      </c>
      <c r="AJ5270">
        <v>108.456339726862</v>
      </c>
      <c r="AK5270">
        <v>45.458526202434903</v>
      </c>
      <c r="AL5270">
        <v>90.330526747071005</v>
      </c>
      <c r="AM5270">
        <v>89.214974100290902</v>
      </c>
      <c r="AN5270">
        <v>0.99999999896306702</v>
      </c>
    </row>
    <row r="5271" spans="1:40" x14ac:dyDescent="0.25">
      <c r="A5271" t="str">
        <f>"20190312161422457"</f>
        <v>20190312161422457</v>
      </c>
      <c r="B5271" t="str">
        <f>"1552378462451684"</f>
        <v>1552378462451684</v>
      </c>
      <c r="C5271" t="s">
        <v>40</v>
      </c>
      <c r="D5271">
        <v>5.528257</v>
      </c>
      <c r="E5271">
        <v>0.37051640000000002</v>
      </c>
      <c r="F5271" t="s">
        <v>96</v>
      </c>
      <c r="G5271">
        <v>-364.0446</v>
      </c>
      <c r="H5271" s="1">
        <v>-3.4097569999999998E-6</v>
      </c>
      <c r="I5271">
        <v>16.266860000000001</v>
      </c>
      <c r="J5271">
        <v>-405.05040000000002</v>
      </c>
      <c r="K5271">
        <v>1.119005</v>
      </c>
      <c r="L5271">
        <v>15.8806799999999</v>
      </c>
      <c r="M5271">
        <v>0.95340170000000002</v>
      </c>
      <c r="N5271">
        <v>0</v>
      </c>
      <c r="O5271">
        <v>-0.30131370000000002</v>
      </c>
      <c r="P5271">
        <v>0.94904929999999998</v>
      </c>
      <c r="Q5271">
        <v>-2.1636860000000001E-2</v>
      </c>
      <c r="R5271">
        <v>-0.31438460000000001</v>
      </c>
      <c r="S5271">
        <v>3.1753230000000001</v>
      </c>
      <c r="T5271">
        <v>-8.6369870000000001E-2</v>
      </c>
      <c r="U5271">
        <v>2.7038570000000001E-2</v>
      </c>
      <c r="V5271">
        <v>1.3906440000000001E-2</v>
      </c>
      <c r="W5271">
        <v>-5.9929450000000004E-3</v>
      </c>
      <c r="X5271">
        <v>0.99988529999999998</v>
      </c>
      <c r="Y5271">
        <v>-0.30923410000000001</v>
      </c>
      <c r="Z5271">
        <v>1.230502E-2</v>
      </c>
      <c r="AA5271">
        <v>0.95090629999999998</v>
      </c>
      <c r="AB5271">
        <v>26</v>
      </c>
      <c r="AC5271">
        <v>41.005800000000001</v>
      </c>
      <c r="AD5271">
        <v>-1.1190084097570001</v>
      </c>
      <c r="AE5271">
        <v>0.38618000000000302</v>
      </c>
      <c r="AF5271">
        <v>-12.7158223860063</v>
      </c>
      <c r="AG5271">
        <v>-1.1190084097570001</v>
      </c>
      <c r="AH5271">
        <v>38.954217544141301</v>
      </c>
      <c r="AI5271">
        <v>91.564252220188294</v>
      </c>
      <c r="AJ5271">
        <v>108.07823220770599</v>
      </c>
      <c r="AK5271">
        <v>40.9923820148312</v>
      </c>
      <c r="AL5271">
        <v>90.343372524911601</v>
      </c>
      <c r="AM5271">
        <v>89.203179653346496</v>
      </c>
      <c r="AN5271">
        <v>0.99999995880966697</v>
      </c>
    </row>
    <row r="5272" spans="1:40" x14ac:dyDescent="0.25">
      <c r="A5272" t="str">
        <f>"20190312161422475"</f>
        <v>20190312161422475</v>
      </c>
      <c r="B5272" t="str">
        <f>"1552378462472179"</f>
        <v>1552378462472179</v>
      </c>
      <c r="C5272" t="s">
        <v>40</v>
      </c>
      <c r="D5272">
        <v>5.5174570000000003</v>
      </c>
      <c r="E5272">
        <v>0.37328319999999998</v>
      </c>
      <c r="F5272" t="s">
        <v>96</v>
      </c>
      <c r="G5272">
        <v>-366.10969999999998</v>
      </c>
      <c r="H5272" s="1">
        <v>-2.4162369999999998E-6</v>
      </c>
      <c r="I5272">
        <v>16.364339999999999</v>
      </c>
      <c r="J5272">
        <v>-404.85359999999997</v>
      </c>
      <c r="K5272">
        <v>1.118957</v>
      </c>
      <c r="L5272">
        <v>15.829829999999999</v>
      </c>
      <c r="M5272">
        <v>0.95639560000000001</v>
      </c>
      <c r="N5272">
        <v>0</v>
      </c>
      <c r="O5272">
        <v>-0.29167120000000002</v>
      </c>
      <c r="P5272">
        <v>0.95198660000000002</v>
      </c>
      <c r="Q5272">
        <v>-2.177716E-2</v>
      </c>
      <c r="R5272">
        <v>-0.30536449999999998</v>
      </c>
      <c r="S5272">
        <v>3.1720280000000001</v>
      </c>
      <c r="T5272">
        <v>-9.1151949999999995E-2</v>
      </c>
      <c r="U5272">
        <v>3.939819E-2</v>
      </c>
      <c r="V5272">
        <v>1.451768E-2</v>
      </c>
      <c r="W5272">
        <v>-6.1322869999999897E-3</v>
      </c>
      <c r="X5272">
        <v>0.99987579999999998</v>
      </c>
      <c r="Y5272">
        <v>-0.30331930000000001</v>
      </c>
      <c r="Z5272">
        <v>1.264813E-2</v>
      </c>
      <c r="AA5272">
        <v>0.95280500000000001</v>
      </c>
      <c r="AB5272">
        <v>26</v>
      </c>
      <c r="AC5272">
        <v>38.743899999999996</v>
      </c>
      <c r="AD5272">
        <v>-1.118959416237</v>
      </c>
      <c r="AE5272">
        <v>0.53450999999999904</v>
      </c>
      <c r="AF5272">
        <v>-11.8032298172817</v>
      </c>
      <c r="AG5272">
        <v>-1.118959416237</v>
      </c>
      <c r="AH5272">
        <v>36.872187929219102</v>
      </c>
      <c r="AI5272">
        <v>91.655516262873604</v>
      </c>
      <c r="AJ5272">
        <v>107.75049248020299</v>
      </c>
      <c r="AK5272">
        <v>38.731467142136601</v>
      </c>
      <c r="AL5272">
        <v>90.351356368924996</v>
      </c>
      <c r="AM5272">
        <v>89.168153337138506</v>
      </c>
      <c r="AN5272">
        <v>0.99999999170103604</v>
      </c>
    </row>
    <row r="5273" spans="1:40" x14ac:dyDescent="0.25">
      <c r="A5273" t="str">
        <f>"20190312161422485"</f>
        <v>20190312161422485</v>
      </c>
      <c r="B5273" t="str">
        <f>"1552378462481940"</f>
        <v>1552378462481940</v>
      </c>
      <c r="C5273" t="s">
        <v>40</v>
      </c>
      <c r="D5273">
        <v>5.5369950000000001</v>
      </c>
      <c r="E5273">
        <v>0.37447390000000003</v>
      </c>
      <c r="F5273" t="s">
        <v>96</v>
      </c>
      <c r="G5273">
        <v>-369.916</v>
      </c>
      <c r="H5273" s="1">
        <v>-8.962925E-7</v>
      </c>
      <c r="I5273">
        <v>16.37058</v>
      </c>
      <c r="J5273">
        <v>-404.72660000000002</v>
      </c>
      <c r="K5273">
        <v>1.1189229999999999</v>
      </c>
      <c r="L5273">
        <v>15.797940000000001</v>
      </c>
      <c r="M5273">
        <v>0.95826800000000001</v>
      </c>
      <c r="N5273">
        <v>0</v>
      </c>
      <c r="O5273">
        <v>-0.28545979999999999</v>
      </c>
      <c r="P5273">
        <v>0.95389219999999997</v>
      </c>
      <c r="Q5273">
        <v>-2.1383739999999998E-2</v>
      </c>
      <c r="R5273">
        <v>-0.29938670000000001</v>
      </c>
      <c r="S5273">
        <v>3.1646420000000002</v>
      </c>
      <c r="T5273">
        <v>-0.1013551</v>
      </c>
      <c r="U5273">
        <v>4.8980709999999997E-2</v>
      </c>
      <c r="V5273">
        <v>1.472154E-2</v>
      </c>
      <c r="W5273">
        <v>-5.7425369999999998E-3</v>
      </c>
      <c r="X5273">
        <v>0.99987510000000002</v>
      </c>
      <c r="Y5273">
        <v>-0.29999340000000002</v>
      </c>
      <c r="Z5273">
        <v>1.385108E-2</v>
      </c>
      <c r="AA5273">
        <v>0.95384069999999999</v>
      </c>
      <c r="AB5273">
        <v>26</v>
      </c>
      <c r="AC5273">
        <v>34.810600000000001</v>
      </c>
      <c r="AD5273">
        <v>-1.1189238962925001</v>
      </c>
      <c r="AE5273">
        <v>0.57264000000000104</v>
      </c>
      <c r="AF5273">
        <v>-10.4761816400502</v>
      </c>
      <c r="AG5273">
        <v>-1.1189238962925001</v>
      </c>
      <c r="AH5273">
        <v>33.164066397696899</v>
      </c>
      <c r="AI5273">
        <v>91.842686703317796</v>
      </c>
      <c r="AJ5273">
        <v>107.530781637191</v>
      </c>
      <c r="AK5273">
        <v>34.797380252999901</v>
      </c>
      <c r="AL5273">
        <v>90.3290249559833</v>
      </c>
      <c r="AM5273">
        <v>89.156473475101095</v>
      </c>
      <c r="AN5273">
        <v>0.99999995803558805</v>
      </c>
    </row>
    <row r="5274" spans="1:40" x14ac:dyDescent="0.25">
      <c r="A5274" t="str">
        <f>"20190312161422497"</f>
        <v>20190312161422497</v>
      </c>
      <c r="B5274" t="str">
        <f>"1552378462491700"</f>
        <v>1552378462491700</v>
      </c>
      <c r="C5274" t="s">
        <v>40</v>
      </c>
      <c r="D5274">
        <v>5.50936</v>
      </c>
      <c r="E5274">
        <v>0.3755502</v>
      </c>
      <c r="F5274" t="s">
        <v>95</v>
      </c>
      <c r="G5274">
        <v>-371.12299999999999</v>
      </c>
      <c r="H5274" s="1">
        <v>-4.7409919999999998E-6</v>
      </c>
      <c r="I5274">
        <v>16.435020000000002</v>
      </c>
      <c r="J5274">
        <v>-404.6105</v>
      </c>
      <c r="K5274">
        <v>1.1188940000000001</v>
      </c>
      <c r="L5274">
        <v>15.769959999999999</v>
      </c>
      <c r="M5274">
        <v>0.95993379999999995</v>
      </c>
      <c r="N5274">
        <v>0</v>
      </c>
      <c r="O5274">
        <v>-0.27980729999999998</v>
      </c>
      <c r="P5274">
        <v>0.95558520000000002</v>
      </c>
      <c r="Q5274">
        <v>-2.1485310000000001E-2</v>
      </c>
      <c r="R5274">
        <v>-0.29393059999999899</v>
      </c>
      <c r="S5274">
        <v>3.161438</v>
      </c>
      <c r="T5274">
        <v>-0.10526919999999999</v>
      </c>
      <c r="U5274">
        <v>5.993652E-2</v>
      </c>
      <c r="V5274">
        <v>1.490286E-2</v>
      </c>
      <c r="W5274">
        <v>-5.8486240000000002E-3</v>
      </c>
      <c r="X5274">
        <v>0.99987190000000004</v>
      </c>
      <c r="Y5274">
        <v>-0.2976705</v>
      </c>
      <c r="Z5274">
        <v>1.417997E-2</v>
      </c>
      <c r="AA5274">
        <v>0.9545633</v>
      </c>
      <c r="AB5274">
        <v>26</v>
      </c>
      <c r="AC5274">
        <v>33.487499999999898</v>
      </c>
      <c r="AD5274">
        <v>-1.1188987409919999</v>
      </c>
      <c r="AE5274">
        <v>0.66505999999999998</v>
      </c>
      <c r="AF5274">
        <v>-9.9984787999429106</v>
      </c>
      <c r="AG5274">
        <v>-1.1188987409919999</v>
      </c>
      <c r="AH5274">
        <v>31.927820141963199</v>
      </c>
      <c r="AI5274">
        <v>91.915435840016301</v>
      </c>
      <c r="AJ5274">
        <v>107.38840798222699</v>
      </c>
      <c r="AK5274">
        <v>33.4754717923893</v>
      </c>
      <c r="AL5274">
        <v>90.335103361844801</v>
      </c>
      <c r="AM5274">
        <v>89.146082853869999</v>
      </c>
      <c r="AN5274">
        <v>1.0000000590242399</v>
      </c>
    </row>
    <row r="5275" spans="1:40" x14ac:dyDescent="0.25">
      <c r="A5275" t="str">
        <f>"20190312161422510"</f>
        <v>20190312161422510</v>
      </c>
      <c r="B5275" t="str">
        <f>"1552378462501459"</f>
        <v>1552378462501459</v>
      </c>
      <c r="C5275" t="s">
        <v>40</v>
      </c>
      <c r="D5275">
        <v>5.5228910000000004</v>
      </c>
      <c r="E5275">
        <v>0.3755502</v>
      </c>
      <c r="F5275" t="s">
        <v>95</v>
      </c>
      <c r="G5275">
        <v>-372.2901</v>
      </c>
      <c r="H5275" s="1">
        <v>-4.180369E-6</v>
      </c>
      <c r="I5275">
        <v>16.485389999999999</v>
      </c>
      <c r="J5275">
        <v>-404.47390000000001</v>
      </c>
      <c r="K5275">
        <v>1.118854</v>
      </c>
      <c r="L5275">
        <v>15.7374299999999</v>
      </c>
      <c r="M5275">
        <v>0.96184939999999997</v>
      </c>
      <c r="N5275">
        <v>0</v>
      </c>
      <c r="O5275">
        <v>-0.27315050000000002</v>
      </c>
      <c r="P5275">
        <v>0.95761229999999997</v>
      </c>
      <c r="Q5275">
        <v>-2.1629969999999998E-2</v>
      </c>
      <c r="R5275">
        <v>-0.28724769999999999</v>
      </c>
      <c r="S5275">
        <v>3.1585079999999999</v>
      </c>
      <c r="T5275">
        <v>-0.1093441</v>
      </c>
      <c r="U5275">
        <v>6.9915770000000002E-2</v>
      </c>
      <c r="V5275">
        <v>1.484794E-2</v>
      </c>
      <c r="W5275">
        <v>-6.0041779999999998E-3</v>
      </c>
      <c r="X5275">
        <v>0.99987170000000003</v>
      </c>
      <c r="Y5275">
        <v>-0.29406729999999998</v>
      </c>
      <c r="Z5275">
        <v>1.4456780000000001E-2</v>
      </c>
      <c r="AA5275">
        <v>0.95567539999999995</v>
      </c>
      <c r="AB5275">
        <v>26</v>
      </c>
      <c r="AC5275">
        <v>32.183799999999998</v>
      </c>
      <c r="AD5275">
        <v>-1.1188581803690001</v>
      </c>
      <c r="AE5275">
        <v>0.74795999999999996</v>
      </c>
      <c r="AF5275">
        <v>-9.5000859896899303</v>
      </c>
      <c r="AG5275">
        <v>-1.1188581803690001</v>
      </c>
      <c r="AH5275">
        <v>30.718164571619599</v>
      </c>
      <c r="AI5275">
        <v>91.992930643552299</v>
      </c>
      <c r="AJ5275">
        <v>107.18506387153801</v>
      </c>
      <c r="AK5275">
        <v>32.173111632050599</v>
      </c>
      <c r="AL5275">
        <v>90.344016138234394</v>
      </c>
      <c r="AM5275">
        <v>89.149229074667005</v>
      </c>
      <c r="AN5275">
        <v>0.99999996396829405</v>
      </c>
    </row>
    <row r="5276" spans="1:40" x14ac:dyDescent="0.25">
      <c r="A5276" t="str">
        <f>"20190312161422521"</f>
        <v>20190312161422521</v>
      </c>
      <c r="B5276" t="str">
        <f>"1552378462512196"</f>
        <v>1552378462512196</v>
      </c>
      <c r="C5276" t="s">
        <v>40</v>
      </c>
      <c r="D5276">
        <v>5.5380129999999896</v>
      </c>
      <c r="E5276">
        <v>0.39018649999999999</v>
      </c>
      <c r="F5276" t="s">
        <v>95</v>
      </c>
      <c r="G5276">
        <v>-372.51990000000001</v>
      </c>
      <c r="H5276" s="1">
        <v>-4.0393660000000001E-6</v>
      </c>
      <c r="I5276">
        <v>16.667850000000001</v>
      </c>
      <c r="J5276">
        <v>-404.33679999999998</v>
      </c>
      <c r="K5276">
        <v>1.118808</v>
      </c>
      <c r="L5276">
        <v>15.70621</v>
      </c>
      <c r="M5276">
        <v>0.96370999999999996</v>
      </c>
      <c r="N5276">
        <v>0</v>
      </c>
      <c r="O5276">
        <v>-0.26651190000000002</v>
      </c>
      <c r="P5276">
        <v>0.95957720000000002</v>
      </c>
      <c r="Q5276">
        <v>-2.181251E-2</v>
      </c>
      <c r="R5276">
        <v>-0.28059889999999998</v>
      </c>
      <c r="S5276">
        <v>3.157867</v>
      </c>
      <c r="T5276">
        <v>-0.110571699999999</v>
      </c>
      <c r="U5276">
        <v>9.1949459999999997E-2</v>
      </c>
      <c r="V5276">
        <v>1.4811909999999999E-2</v>
      </c>
      <c r="W5276">
        <v>-6.1984070000000004E-3</v>
      </c>
      <c r="X5276">
        <v>0.99987110000000001</v>
      </c>
      <c r="Y5276">
        <v>-0.2941415</v>
      </c>
      <c r="Z5276">
        <v>1.439818E-2</v>
      </c>
      <c r="AA5276">
        <v>0.95565339999999999</v>
      </c>
      <c r="AB5276">
        <v>26</v>
      </c>
      <c r="AC5276">
        <v>31.816899999999901</v>
      </c>
      <c r="AD5276">
        <v>-1.1188120393659999</v>
      </c>
      <c r="AE5276">
        <v>0.96164000000000005</v>
      </c>
      <c r="AF5276">
        <v>-9.3958199271316207</v>
      </c>
      <c r="AG5276">
        <v>-1.1188120393659999</v>
      </c>
      <c r="AH5276">
        <v>30.372019948436499</v>
      </c>
      <c r="AI5276">
        <v>92.015489917383903</v>
      </c>
      <c r="AJ5276">
        <v>107.189858443532</v>
      </c>
      <c r="AK5276">
        <v>31.811833776611198</v>
      </c>
      <c r="AL5276">
        <v>90.355144829708607</v>
      </c>
      <c r="AM5276">
        <v>89.151292743195398</v>
      </c>
      <c r="AN5276">
        <v>1.00000001477119</v>
      </c>
    </row>
    <row r="5277" spans="1:40" x14ac:dyDescent="0.25">
      <c r="A5277" t="str">
        <f>"20190312161422532"</f>
        <v>20190312161422532</v>
      </c>
      <c r="B5277" t="str">
        <f>"1552378462521956"</f>
        <v>1552378462521956</v>
      </c>
      <c r="C5277" t="s">
        <v>40</v>
      </c>
      <c r="D5277">
        <v>9.4103940000000001</v>
      </c>
      <c r="E5277">
        <v>0.38964789999999999</v>
      </c>
      <c r="F5277" t="s">
        <v>94</v>
      </c>
      <c r="G5277">
        <v>-381.66849999999999</v>
      </c>
      <c r="H5277" s="1">
        <v>-4.6275699999999898E-6</v>
      </c>
      <c r="I5277">
        <v>15.733219999999999</v>
      </c>
      <c r="J5277">
        <v>-404.22230000000002</v>
      </c>
      <c r="K5277">
        <v>1.118771</v>
      </c>
      <c r="L5277">
        <v>15.680630000000001</v>
      </c>
      <c r="M5277">
        <v>0.96522410000000003</v>
      </c>
      <c r="N5277">
        <v>0</v>
      </c>
      <c r="O5277">
        <v>-0.26097569999999998</v>
      </c>
      <c r="P5277">
        <v>0.96109409999999895</v>
      </c>
      <c r="Q5277">
        <v>-2.2555059999999998E-2</v>
      </c>
      <c r="R5277">
        <v>-0.27529880000000001</v>
      </c>
      <c r="S5277">
        <v>3.123993</v>
      </c>
      <c r="T5277">
        <v>-0.1541874</v>
      </c>
      <c r="U5277">
        <v>3.7231450000000002E-3</v>
      </c>
      <c r="V5277">
        <v>1.5052370000000001E-2</v>
      </c>
      <c r="W5277">
        <v>-6.9456479999999996E-3</v>
      </c>
      <c r="X5277">
        <v>0.99986260000000005</v>
      </c>
      <c r="Y5277">
        <v>-0.26152609999999998</v>
      </c>
      <c r="Z5277">
        <v>1.9211249999999999E-2</v>
      </c>
      <c r="AA5277">
        <v>0.96500520000000001</v>
      </c>
      <c r="AB5277">
        <v>26</v>
      </c>
      <c r="AC5277">
        <v>22.553799999999999</v>
      </c>
      <c r="AD5277">
        <v>-1.11877562757</v>
      </c>
      <c r="AE5277">
        <v>5.25900000000021E-2</v>
      </c>
      <c r="AF5277">
        <v>-5.9228760241223499</v>
      </c>
      <c r="AG5277">
        <v>-1.11877562757</v>
      </c>
      <c r="AH5277">
        <v>21.704886345794499</v>
      </c>
      <c r="AI5277">
        <v>92.846783635545805</v>
      </c>
      <c r="AJ5277">
        <v>105.26337778401199</v>
      </c>
      <c r="AK5277">
        <v>22.526300419417002</v>
      </c>
      <c r="AL5277">
        <v>90.3979595092419</v>
      </c>
      <c r="AM5277">
        <v>89.137509365404398</v>
      </c>
      <c r="AN5277">
        <v>1.00000001737375</v>
      </c>
    </row>
    <row r="5278" spans="1:40" x14ac:dyDescent="0.25">
      <c r="A5278" t="str">
        <f>"20190312161422555"</f>
        <v>20190312161422555</v>
      </c>
      <c r="B5278" t="str">
        <f>"1552378462552212"</f>
        <v>1552378462552212</v>
      </c>
      <c r="C5278" t="s">
        <v>40</v>
      </c>
      <c r="D5278">
        <v>5.5369380000000001</v>
      </c>
      <c r="E5278">
        <v>0.39179340000000001</v>
      </c>
      <c r="F5278" t="s">
        <v>94</v>
      </c>
      <c r="G5278">
        <v>-380.14420000000001</v>
      </c>
      <c r="H5278" s="1">
        <v>-5.3237509999999999E-6</v>
      </c>
      <c r="I5278">
        <v>15.870609999999999</v>
      </c>
      <c r="J5278">
        <v>-403.97980000000001</v>
      </c>
      <c r="K5278">
        <v>1.118692</v>
      </c>
      <c r="L5278">
        <v>15.62894</v>
      </c>
      <c r="M5278">
        <v>0.96830349999999998</v>
      </c>
      <c r="N5278">
        <v>0</v>
      </c>
      <c r="O5278">
        <v>-0.24930930000000001</v>
      </c>
      <c r="P5278">
        <v>0.96404920000000005</v>
      </c>
      <c r="Q5278">
        <v>-2.3272669999999999E-2</v>
      </c>
      <c r="R5278">
        <v>-0.264704299999999</v>
      </c>
      <c r="S5278">
        <v>3.125092</v>
      </c>
      <c r="T5278">
        <v>-0.145206</v>
      </c>
      <c r="U5278">
        <v>2.4658200000000002E-2</v>
      </c>
      <c r="V5278">
        <v>1.613092E-2</v>
      </c>
      <c r="W5278">
        <v>-7.663095E-3</v>
      </c>
      <c r="X5278">
        <v>0.99984050000000002</v>
      </c>
      <c r="Y5278">
        <v>-0.25642999999999999</v>
      </c>
      <c r="Z5278">
        <v>1.744302E-2</v>
      </c>
      <c r="AA5278">
        <v>0.96640539999999997</v>
      </c>
      <c r="AB5278">
        <v>26</v>
      </c>
      <c r="AC5278">
        <v>23.835599999999999</v>
      </c>
      <c r="AD5278">
        <v>-1.1186973237510001</v>
      </c>
      <c r="AE5278">
        <v>0.24167</v>
      </c>
      <c r="AF5278">
        <v>-6.1635912731983202</v>
      </c>
      <c r="AG5278">
        <v>-1.1186973237510001</v>
      </c>
      <c r="AH5278">
        <v>22.9719318334094</v>
      </c>
      <c r="AI5278">
        <v>92.692913336916206</v>
      </c>
      <c r="AJ5278">
        <v>105.01926815079</v>
      </c>
      <c r="AK5278">
        <v>23.810732732195</v>
      </c>
      <c r="AL5278">
        <v>90.439067308675206</v>
      </c>
      <c r="AM5278">
        <v>89.0756991152941</v>
      </c>
      <c r="AN5278">
        <v>0.99999997752263703</v>
      </c>
    </row>
    <row r="5279" spans="1:40" x14ac:dyDescent="0.25">
      <c r="A5279" t="str">
        <f>"20190312161422566"</f>
        <v>20190312161422566</v>
      </c>
      <c r="B5279" t="str">
        <f>"1552378462561972"</f>
        <v>1552378462561972</v>
      </c>
      <c r="C5279" t="s">
        <v>40</v>
      </c>
      <c r="D5279">
        <v>5.5443020000000001</v>
      </c>
      <c r="E5279">
        <v>0.39277210000000001</v>
      </c>
      <c r="F5279" t="s">
        <v>95</v>
      </c>
      <c r="G5279">
        <v>-379.88069999999999</v>
      </c>
      <c r="H5279" s="1">
        <v>-1.0034589999999999E-6</v>
      </c>
      <c r="I5279">
        <v>15.95776</v>
      </c>
      <c r="J5279">
        <v>-403.84840000000003</v>
      </c>
      <c r="K5279">
        <v>1.1186469999999999</v>
      </c>
      <c r="L5279">
        <v>15.601929999999999</v>
      </c>
      <c r="M5279">
        <v>0.96990160000000003</v>
      </c>
      <c r="N5279">
        <v>0</v>
      </c>
      <c r="O5279">
        <v>-0.2430184</v>
      </c>
      <c r="P5279">
        <v>0.96558390000000005</v>
      </c>
      <c r="Q5279">
        <v>-2.3059260000000002E-2</v>
      </c>
      <c r="R5279">
        <v>-0.25906839999999998</v>
      </c>
      <c r="S5279">
        <v>3.1200260000000002</v>
      </c>
      <c r="T5279">
        <v>-0.14483370000000001</v>
      </c>
      <c r="U5279">
        <v>4.2572020000000002E-2</v>
      </c>
      <c r="V5279">
        <v>1.6774569999999999E-2</v>
      </c>
      <c r="W5279">
        <v>-7.4488339999999997E-3</v>
      </c>
      <c r="X5279">
        <v>0.99983160000000004</v>
      </c>
      <c r="Y5279">
        <v>-0.25572499999999998</v>
      </c>
      <c r="Z5279">
        <v>1.7126599999999999E-2</v>
      </c>
      <c r="AA5279">
        <v>0.96659790000000001</v>
      </c>
      <c r="AB5279">
        <v>26</v>
      </c>
      <c r="AC5279">
        <v>23.967700000000001</v>
      </c>
      <c r="AD5279">
        <v>-1.1186480034589901</v>
      </c>
      <c r="AE5279">
        <v>0.35583000000000098</v>
      </c>
      <c r="AF5279">
        <v>-6.1570215212709503</v>
      </c>
      <c r="AG5279">
        <v>-1.1186480034589901</v>
      </c>
      <c r="AH5279">
        <v>23.1121991594162</v>
      </c>
      <c r="AI5279">
        <v>92.677751873217005</v>
      </c>
      <c r="AJ5279">
        <v>104.91699354369599</v>
      </c>
      <c r="AK5279">
        <v>23.944394695910599</v>
      </c>
      <c r="AL5279">
        <v>90.426790676038905</v>
      </c>
      <c r="AM5279">
        <v>89.038816235539798</v>
      </c>
      <c r="AN5279">
        <v>1.0000000498426</v>
      </c>
    </row>
    <row r="5280" spans="1:40" x14ac:dyDescent="0.25">
      <c r="A5280" t="str">
        <f>"20190312161422578"</f>
        <v>20190312161422578</v>
      </c>
      <c r="B5280" t="str">
        <f>"1552378462571732"</f>
        <v>1552378462571732</v>
      </c>
      <c r="C5280" t="s">
        <v>40</v>
      </c>
      <c r="D5280">
        <v>5.5702249999999998</v>
      </c>
      <c r="E5280">
        <v>0.3939028</v>
      </c>
      <c r="F5280" t="s">
        <v>94</v>
      </c>
      <c r="G5280">
        <v>-380.00040000000001</v>
      </c>
      <c r="H5280" s="1">
        <v>-5.3670140000000004E-6</v>
      </c>
      <c r="I5280">
        <v>16.009969999999999</v>
      </c>
      <c r="J5280">
        <v>-403.72609999999997</v>
      </c>
      <c r="K5280">
        <v>1.1186049999999901</v>
      </c>
      <c r="L5280">
        <v>15.57794</v>
      </c>
      <c r="M5280">
        <v>0.97134209999999999</v>
      </c>
      <c r="N5280">
        <v>0</v>
      </c>
      <c r="O5280">
        <v>-0.23719519999999999</v>
      </c>
      <c r="P5280">
        <v>0.96705589999999997</v>
      </c>
      <c r="Q5280">
        <v>-2.2946600000000001E-2</v>
      </c>
      <c r="R5280">
        <v>-0.25352849999999999</v>
      </c>
      <c r="S5280">
        <v>3.117737</v>
      </c>
      <c r="T5280">
        <v>-0.14624570000000001</v>
      </c>
      <c r="U5280">
        <v>5.334473E-2</v>
      </c>
      <c r="V5280">
        <v>1.7037219999999999E-2</v>
      </c>
      <c r="W5280">
        <v>-7.343296E-3</v>
      </c>
      <c r="X5280">
        <v>0.99982789999999999</v>
      </c>
      <c r="Y5280">
        <v>-0.25327139999999998</v>
      </c>
      <c r="Z5280">
        <v>1.6982219999999999E-2</v>
      </c>
      <c r="AA5280">
        <v>0.96724619999999994</v>
      </c>
      <c r="AB5280">
        <v>26</v>
      </c>
      <c r="AC5280">
        <v>23.7256999999999</v>
      </c>
      <c r="AD5280">
        <v>-1.11861036701399</v>
      </c>
      <c r="AE5280">
        <v>0.43203000000000202</v>
      </c>
      <c r="AF5280">
        <v>-6.0345658187812496</v>
      </c>
      <c r="AG5280">
        <v>-1.11861036701399</v>
      </c>
      <c r="AH5280">
        <v>22.895092149547601</v>
      </c>
      <c r="AI5280">
        <v>92.704902650875695</v>
      </c>
      <c r="AJ5280">
        <v>104.76589214939099</v>
      </c>
      <c r="AK5280">
        <v>23.7034284083689</v>
      </c>
      <c r="AL5280">
        <v>90.420743645627695</v>
      </c>
      <c r="AM5280">
        <v>89.023765654539005</v>
      </c>
      <c r="AN5280">
        <v>1.00000001023994</v>
      </c>
    </row>
    <row r="5281" spans="1:40" x14ac:dyDescent="0.25">
      <c r="A5281" t="str">
        <f>"20190312161422591"</f>
        <v>20190312161422591</v>
      </c>
      <c r="B5281" t="str">
        <f>"1552378462581492"</f>
        <v>1552378462581492</v>
      </c>
      <c r="C5281" t="s">
        <v>40</v>
      </c>
      <c r="D5281">
        <v>5.5693659999999996</v>
      </c>
      <c r="E5281">
        <v>0.39477200000000001</v>
      </c>
      <c r="F5281" t="s">
        <v>94</v>
      </c>
      <c r="G5281">
        <v>-380.39080000000001</v>
      </c>
      <c r="H5281" s="1">
        <v>-5.1759419999999997E-6</v>
      </c>
      <c r="I5281">
        <v>16.04682</v>
      </c>
      <c r="J5281">
        <v>-403.58049999999997</v>
      </c>
      <c r="K5281">
        <v>1.1185529999999999</v>
      </c>
      <c r="L5281">
        <v>15.549989999999999</v>
      </c>
      <c r="M5281">
        <v>0.97300489999999995</v>
      </c>
      <c r="N5281">
        <v>0</v>
      </c>
      <c r="O5281">
        <v>-0.23028080000000001</v>
      </c>
      <c r="P5281">
        <v>0.96870579999999995</v>
      </c>
      <c r="Q5281">
        <v>-2.2626130000000001E-2</v>
      </c>
      <c r="R5281">
        <v>-0.24717939999999999</v>
      </c>
      <c r="S5281">
        <v>3.1151119999999999</v>
      </c>
      <c r="T5281">
        <v>-0.1493275</v>
      </c>
      <c r="U5281">
        <v>6.2591549999999996E-2</v>
      </c>
      <c r="V5281">
        <v>1.7580370000000001E-2</v>
      </c>
      <c r="W5281">
        <v>-7.0266080000000002E-3</v>
      </c>
      <c r="X5281">
        <v>0.99982079999999995</v>
      </c>
      <c r="Y5281">
        <v>-0.24926229999999999</v>
      </c>
      <c r="Z5281">
        <v>1.693422E-2</v>
      </c>
      <c r="AA5281">
        <v>0.96828789999999998</v>
      </c>
      <c r="AB5281">
        <v>26</v>
      </c>
      <c r="AC5281">
        <v>23.189699999999899</v>
      </c>
      <c r="AD5281">
        <v>-1.118558175942</v>
      </c>
      <c r="AE5281">
        <v>0.49683000000000099</v>
      </c>
      <c r="AF5281">
        <v>-5.8107237888941201</v>
      </c>
      <c r="AG5281">
        <v>-1.118558175942</v>
      </c>
      <c r="AH5281">
        <v>22.399796258992001</v>
      </c>
      <c r="AI5281">
        <v>92.767307043105205</v>
      </c>
      <c r="AJ5281">
        <v>104.54252999317499</v>
      </c>
      <c r="AK5281">
        <v>23.168222974327101</v>
      </c>
      <c r="AL5281">
        <v>90.402598280622499</v>
      </c>
      <c r="AM5281">
        <v>88.992642269413395</v>
      </c>
      <c r="AN5281">
        <v>1.0000000373709801</v>
      </c>
    </row>
    <row r="5282" spans="1:40" x14ac:dyDescent="0.25">
      <c r="A5282" t="str">
        <f>"20190312161422601"</f>
        <v>20190312161422601</v>
      </c>
      <c r="B5282" t="str">
        <f>"1552378462592228"</f>
        <v>1552378462592228</v>
      </c>
      <c r="C5282" t="s">
        <v>40</v>
      </c>
      <c r="D5282">
        <v>5.5450790000000003</v>
      </c>
      <c r="E5282">
        <v>0.39477200000000001</v>
      </c>
      <c r="F5282" t="s">
        <v>94</v>
      </c>
      <c r="G5282">
        <v>-380.3655</v>
      </c>
      <c r="H5282" s="1">
        <v>-5.1749960000000003E-6</v>
      </c>
      <c r="I5282">
        <v>16.119429999999898</v>
      </c>
      <c r="J5282">
        <v>-403.45409999999998</v>
      </c>
      <c r="K5282">
        <v>1.118503</v>
      </c>
      <c r="L5282">
        <v>15.526759999999999</v>
      </c>
      <c r="M5282">
        <v>0.97439770000000003</v>
      </c>
      <c r="N5282">
        <v>0</v>
      </c>
      <c r="O5282">
        <v>-0.22431490000000001</v>
      </c>
      <c r="P5282">
        <v>0.97014120000000004</v>
      </c>
      <c r="Q5282">
        <v>-2.2679629999999999E-2</v>
      </c>
      <c r="R5282">
        <v>-0.2414791</v>
      </c>
      <c r="S5282">
        <v>3.1128230000000001</v>
      </c>
      <c r="T5282">
        <v>-0.14998410000000001</v>
      </c>
      <c r="U5282">
        <v>7.6354980000000003E-2</v>
      </c>
      <c r="V5282">
        <v>1.7828119999999999E-2</v>
      </c>
      <c r="W5282">
        <v>-7.088825E-3</v>
      </c>
      <c r="X5282">
        <v>0.99981589999999998</v>
      </c>
      <c r="Y5282">
        <v>-0.2476256</v>
      </c>
      <c r="Z5282">
        <v>1.6700400000000001E-2</v>
      </c>
      <c r="AA5282">
        <v>0.96871189999999996</v>
      </c>
      <c r="AB5282">
        <v>25</v>
      </c>
      <c r="AC5282">
        <v>23.0885999999999</v>
      </c>
      <c r="AD5282">
        <v>-1.118508174996</v>
      </c>
      <c r="AE5282">
        <v>0.59266999999999603</v>
      </c>
      <c r="AF5282">
        <v>-5.74381010223488</v>
      </c>
      <c r="AG5282">
        <v>-1.118508174996</v>
      </c>
      <c r="AH5282">
        <v>22.314793456090101</v>
      </c>
      <c r="AI5282">
        <v>92.779058910019003</v>
      </c>
      <c r="AJ5282">
        <v>104.434548993186</v>
      </c>
      <c r="AK5282">
        <v>23.0692960884382</v>
      </c>
      <c r="AL5282">
        <v>90.406163170754596</v>
      </c>
      <c r="AM5282">
        <v>88.978444140737906</v>
      </c>
      <c r="AN5282">
        <v>0.99999996359771104</v>
      </c>
    </row>
    <row r="5283" spans="1:40" x14ac:dyDescent="0.25">
      <c r="A5283" t="str">
        <f>"20190312161422614"</f>
        <v>20190312161422614</v>
      </c>
      <c r="B5283" t="str">
        <f>"1552378462601988"</f>
        <v>1552378462601988</v>
      </c>
      <c r="C5283" t="s">
        <v>40</v>
      </c>
      <c r="D5283">
        <v>5.5417930000000002</v>
      </c>
      <c r="E5283">
        <v>0.40473399999999998</v>
      </c>
      <c r="F5283" t="s">
        <v>94</v>
      </c>
      <c r="G5283">
        <v>-380.33109999999999</v>
      </c>
      <c r="H5283" s="1">
        <v>-5.1717690000000004E-6</v>
      </c>
      <c r="I5283">
        <v>16.229389999999999</v>
      </c>
      <c r="J5283">
        <v>-403.33139999999997</v>
      </c>
      <c r="K5283">
        <v>1.118452</v>
      </c>
      <c r="L5283">
        <v>15.504849999999999</v>
      </c>
      <c r="M5283">
        <v>0.97570809999999997</v>
      </c>
      <c r="N5283">
        <v>0</v>
      </c>
      <c r="O5283">
        <v>-0.21854489999999999</v>
      </c>
      <c r="P5283">
        <v>0.97148109999999999</v>
      </c>
      <c r="Q5283">
        <v>-2.2699159999999999E-2</v>
      </c>
      <c r="R5283">
        <v>-0.2360276</v>
      </c>
      <c r="S5283">
        <v>3.1123660000000002</v>
      </c>
      <c r="T5283">
        <v>-0.15055180000000001</v>
      </c>
      <c r="U5283">
        <v>9.4573969999999993E-2</v>
      </c>
      <c r="V5283">
        <v>1.813012E-2</v>
      </c>
      <c r="W5283">
        <v>-7.1160080000000001E-3</v>
      </c>
      <c r="X5283">
        <v>0.99981030000000004</v>
      </c>
      <c r="Y5283">
        <v>-0.24756520000000001</v>
      </c>
      <c r="Z5283">
        <v>1.6490950000000001E-2</v>
      </c>
      <c r="AA5283">
        <v>0.96873089999999995</v>
      </c>
      <c r="AB5283">
        <v>25</v>
      </c>
      <c r="AC5283">
        <v>23.0002999999999</v>
      </c>
      <c r="AD5283">
        <v>-1.1184571717689999</v>
      </c>
      <c r="AE5283">
        <v>0.72453999999999896</v>
      </c>
      <c r="AF5283">
        <v>-5.7206883634887902</v>
      </c>
      <c r="AG5283">
        <v>-1.1184571717689999</v>
      </c>
      <c r="AH5283">
        <v>22.233295474814501</v>
      </c>
      <c r="AI5283">
        <v>92.789167558765897</v>
      </c>
      <c r="AJ5283">
        <v>104.429366508074</v>
      </c>
      <c r="AK5283">
        <v>22.984704685238899</v>
      </c>
      <c r="AL5283">
        <v>90.407720671563894</v>
      </c>
      <c r="AM5283">
        <v>88.961137406460594</v>
      </c>
      <c r="AN5283">
        <v>0.99999998740357998</v>
      </c>
    </row>
    <row r="5284" spans="1:40" x14ac:dyDescent="0.25">
      <c r="A5284" t="str">
        <f>"20190312161422634"</f>
        <v>20190312161422634</v>
      </c>
      <c r="B5284" t="str">
        <f>"1552378462621508"</f>
        <v>1552378462621508</v>
      </c>
      <c r="C5284" t="s">
        <v>40</v>
      </c>
      <c r="D5284">
        <v>5.443479</v>
      </c>
      <c r="E5284">
        <v>0.40482240000000003</v>
      </c>
      <c r="F5284" t="s">
        <v>94</v>
      </c>
      <c r="G5284">
        <v>-382.6268</v>
      </c>
      <c r="H5284" s="1">
        <v>-4.1728299999999997E-6</v>
      </c>
      <c r="I5284">
        <v>15.74306</v>
      </c>
      <c r="J5284">
        <v>-403.10879999999997</v>
      </c>
      <c r="K5284">
        <v>1.1183590000000001</v>
      </c>
      <c r="L5284">
        <v>15.46698</v>
      </c>
      <c r="M5284">
        <v>0.97797800000000001</v>
      </c>
      <c r="N5284">
        <v>0</v>
      </c>
      <c r="O5284">
        <v>-0.20815330000000001</v>
      </c>
      <c r="P5284">
        <v>0.97375590000000001</v>
      </c>
      <c r="Q5284">
        <v>-2.3177449999999999E-2</v>
      </c>
      <c r="R5284">
        <v>-0.22641169999999999</v>
      </c>
      <c r="S5284">
        <v>3.0928339999999999</v>
      </c>
      <c r="T5284">
        <v>-0.16707469999999999</v>
      </c>
      <c r="U5284">
        <v>3.5583499999999997E-2</v>
      </c>
      <c r="V5284">
        <v>1.8891560000000002E-2</v>
      </c>
      <c r="W5284">
        <v>-7.6055480000000002E-3</v>
      </c>
      <c r="X5284">
        <v>0.99979260000000003</v>
      </c>
      <c r="Y5284">
        <v>-0.2187965</v>
      </c>
      <c r="Z5284">
        <v>1.7083439999999998E-2</v>
      </c>
      <c r="AA5284">
        <v>0.97562099999999996</v>
      </c>
      <c r="AB5284">
        <v>25</v>
      </c>
      <c r="AC5284">
        <v>20.4819999999999</v>
      </c>
      <c r="AD5284">
        <v>-1.1183631728299901</v>
      </c>
      <c r="AE5284">
        <v>0.27607999999999999</v>
      </c>
      <c r="AF5284">
        <v>-4.5204454571884796</v>
      </c>
      <c r="AG5284">
        <v>-1.1183631728299901</v>
      </c>
      <c r="AH5284">
        <v>19.916419989422501</v>
      </c>
      <c r="AI5284">
        <v>93.134388231867405</v>
      </c>
      <c r="AJ5284">
        <v>102.78781461980201</v>
      </c>
      <c r="AK5284">
        <v>20.453580334817399</v>
      </c>
      <c r="AL5284">
        <v>90.435770007195799</v>
      </c>
      <c r="AM5284">
        <v>88.917497625508005</v>
      </c>
      <c r="AN5284">
        <v>0.99999998920718602</v>
      </c>
    </row>
    <row r="5285" spans="1:40" x14ac:dyDescent="0.25">
      <c r="A5285" t="str">
        <f>"20190312161422648"</f>
        <v>20190312161422648</v>
      </c>
      <c r="B5285" t="str">
        <f>"1552378462642004"</f>
        <v>1552378462642004</v>
      </c>
      <c r="C5285" t="s">
        <v>40</v>
      </c>
      <c r="D5285">
        <v>5.4555040000000004</v>
      </c>
      <c r="E5285">
        <v>0.40637590000000001</v>
      </c>
      <c r="F5285" t="s">
        <v>94</v>
      </c>
      <c r="G5285">
        <v>-382.93830000000003</v>
      </c>
      <c r="H5285" s="1">
        <v>-3.9986259999999996E-6</v>
      </c>
      <c r="I5285">
        <v>15.895200000000001</v>
      </c>
      <c r="J5285">
        <v>-402.95800000000003</v>
      </c>
      <c r="K5285">
        <v>1.1182939999999999</v>
      </c>
      <c r="L5285">
        <v>15.442410000000001</v>
      </c>
      <c r="M5285">
        <v>0.97944249999999999</v>
      </c>
      <c r="N5285">
        <v>0</v>
      </c>
      <c r="O5285">
        <v>-0.20115140000000001</v>
      </c>
      <c r="P5285">
        <v>0.97527410000000003</v>
      </c>
      <c r="Q5285">
        <v>-2.3282859999999999E-2</v>
      </c>
      <c r="R5285">
        <v>-0.21976979999999999</v>
      </c>
      <c r="S5285">
        <v>3.0920100000000001</v>
      </c>
      <c r="T5285">
        <v>-0.1714379</v>
      </c>
      <c r="U5285">
        <v>6.5643309999999996E-2</v>
      </c>
      <c r="V5285">
        <v>1.9231660000000001E-2</v>
      </c>
      <c r="W5285">
        <v>-7.7225269999999999E-3</v>
      </c>
      <c r="X5285">
        <v>0.99978520000000004</v>
      </c>
      <c r="Y5285">
        <v>-0.22127450000000001</v>
      </c>
      <c r="Z5285">
        <v>1.7221690000000001E-2</v>
      </c>
      <c r="AA5285">
        <v>0.97505949999999997</v>
      </c>
      <c r="AB5285">
        <v>25</v>
      </c>
      <c r="AC5285">
        <v>20.0197</v>
      </c>
      <c r="AD5285">
        <v>-1.118297998626</v>
      </c>
      <c r="AE5285">
        <v>0.45279000000000003</v>
      </c>
      <c r="AF5285">
        <v>-4.4570873162949001</v>
      </c>
      <c r="AG5285">
        <v>-1.118297998626</v>
      </c>
      <c r="AH5285">
        <v>19.458629216853399</v>
      </c>
      <c r="AI5285">
        <v>93.206344758074493</v>
      </c>
      <c r="AJ5285">
        <v>102.901304560133</v>
      </c>
      <c r="AK5285">
        <v>19.993860776693101</v>
      </c>
      <c r="AL5285">
        <v>90.442472615543906</v>
      </c>
      <c r="AM5285">
        <v>88.898006216433103</v>
      </c>
      <c r="AN5285">
        <v>0.99999997015432995</v>
      </c>
    </row>
    <row r="5286" spans="1:40" x14ac:dyDescent="0.25">
      <c r="A5286" t="str">
        <f>"20190312161422665"</f>
        <v>20190312161422665</v>
      </c>
      <c r="B5286" t="str">
        <f>"1552378462661524"</f>
        <v>1552378462661524</v>
      </c>
      <c r="C5286" t="s">
        <v>40</v>
      </c>
      <c r="D5286">
        <v>5.4303839999999903</v>
      </c>
      <c r="E5286">
        <v>0.40707130000000002</v>
      </c>
      <c r="F5286" t="s">
        <v>94</v>
      </c>
      <c r="G5286">
        <v>-383.0958</v>
      </c>
      <c r="H5286" s="1">
        <v>-3.9192249999999997E-6</v>
      </c>
      <c r="I5286">
        <v>15.92301</v>
      </c>
      <c r="J5286">
        <v>-402.76900000000001</v>
      </c>
      <c r="K5286">
        <v>1.118206</v>
      </c>
      <c r="L5286">
        <v>15.413539999999999</v>
      </c>
      <c r="M5286">
        <v>0.98118910000000004</v>
      </c>
      <c r="N5286">
        <v>0</v>
      </c>
      <c r="O5286">
        <v>-0.19245229999999999</v>
      </c>
      <c r="P5286">
        <v>0.97715339999999995</v>
      </c>
      <c r="Q5286">
        <v>-2.3412209999999999E-2</v>
      </c>
      <c r="R5286">
        <v>-0.2112425</v>
      </c>
      <c r="S5286">
        <v>3.0887449999999999</v>
      </c>
      <c r="T5286">
        <v>-0.17390539999999999</v>
      </c>
      <c r="U5286">
        <v>7.473755E-2</v>
      </c>
      <c r="V5286">
        <v>1.9372360000000002E-2</v>
      </c>
      <c r="W5286">
        <v>-7.8730250000000005E-3</v>
      </c>
      <c r="X5286">
        <v>0.99978129999999998</v>
      </c>
      <c r="Y5286">
        <v>-0.2155118</v>
      </c>
      <c r="Z5286">
        <v>1.6843179999999999E-2</v>
      </c>
      <c r="AA5286">
        <v>0.976356</v>
      </c>
      <c r="AB5286">
        <v>25</v>
      </c>
      <c r="AC5286">
        <v>19.673200000000001</v>
      </c>
      <c r="AD5286">
        <v>-1.1182099192249999</v>
      </c>
      <c r="AE5286">
        <v>0.50947000000000198</v>
      </c>
      <c r="AF5286">
        <v>-4.27273742943812</v>
      </c>
      <c r="AG5286">
        <v>-1.1182099192249999</v>
      </c>
      <c r="AH5286">
        <v>19.145478443386398</v>
      </c>
      <c r="AI5286">
        <v>93.262537588975107</v>
      </c>
      <c r="AJ5286">
        <v>102.580662403483</v>
      </c>
      <c r="AK5286">
        <v>19.648308410409001</v>
      </c>
      <c r="AL5286">
        <v>90.451095782631896</v>
      </c>
      <c r="AM5286">
        <v>88.889941643485102</v>
      </c>
      <c r="AN5286">
        <v>0.99999996034215399</v>
      </c>
    </row>
    <row r="5287" spans="1:40" x14ac:dyDescent="0.25">
      <c r="A5287" t="str">
        <f>"20190312161422677"</f>
        <v>20190312161422677</v>
      </c>
      <c r="B5287" t="str">
        <f>"1552378462672260"</f>
        <v>1552378462672260</v>
      </c>
      <c r="C5287" t="s">
        <v>40</v>
      </c>
      <c r="D5287">
        <v>5.4541659999999998</v>
      </c>
      <c r="E5287">
        <v>0.40773880000000001</v>
      </c>
      <c r="F5287" t="s">
        <v>94</v>
      </c>
      <c r="G5287">
        <v>-383.34739999999999</v>
      </c>
      <c r="H5287" s="1">
        <v>-3.7830539999999998E-6</v>
      </c>
      <c r="I5287">
        <v>16.020119999999999</v>
      </c>
      <c r="J5287">
        <v>-402.63709999999998</v>
      </c>
      <c r="K5287">
        <v>1.1181479999999999</v>
      </c>
      <c r="L5287">
        <v>15.394439999999999</v>
      </c>
      <c r="M5287">
        <v>0.98235110000000003</v>
      </c>
      <c r="N5287">
        <v>0</v>
      </c>
      <c r="O5287">
        <v>-0.18643170000000001</v>
      </c>
      <c r="P5287">
        <v>0.97846730000000004</v>
      </c>
      <c r="Q5287">
        <v>-2.344415E-2</v>
      </c>
      <c r="R5287">
        <v>-0.20506640000000001</v>
      </c>
      <c r="S5287">
        <v>3.0867309999999999</v>
      </c>
      <c r="T5287">
        <v>-0.17772079999999901</v>
      </c>
      <c r="U5287">
        <v>9.6405030000000003E-2</v>
      </c>
      <c r="V5287">
        <v>1.91887E-2</v>
      </c>
      <c r="W5287">
        <v>-7.9254719999999994E-3</v>
      </c>
      <c r="X5287">
        <v>0.99978449999999996</v>
      </c>
      <c r="Y5287">
        <v>-0.216367</v>
      </c>
      <c r="Z5287">
        <v>1.69060999999999E-2</v>
      </c>
      <c r="AA5287">
        <v>0.97616570000000003</v>
      </c>
      <c r="AB5287">
        <v>25</v>
      </c>
      <c r="AC5287">
        <v>19.2896999999999</v>
      </c>
      <c r="AD5287">
        <v>-1.118151783054</v>
      </c>
      <c r="AE5287">
        <v>0.62568000000000201</v>
      </c>
      <c r="AF5287">
        <v>-4.1972440721919098</v>
      </c>
      <c r="AG5287">
        <v>-1.118151783054</v>
      </c>
      <c r="AH5287">
        <v>18.771764716180598</v>
      </c>
      <c r="AI5287">
        <v>93.326874435411995</v>
      </c>
      <c r="AJ5287">
        <v>102.603655563657</v>
      </c>
      <c r="AK5287">
        <v>19.267752120347101</v>
      </c>
      <c r="AL5287">
        <v>90.454100835318002</v>
      </c>
      <c r="AM5287">
        <v>88.900466493705906</v>
      </c>
      <c r="AN5287">
        <v>1.0000000328771801</v>
      </c>
    </row>
    <row r="5288" spans="1:40" x14ac:dyDescent="0.25">
      <c r="A5288" t="str">
        <f>"20190312161422687"</f>
        <v>20190312161422687</v>
      </c>
      <c r="B5288" t="str">
        <f>"1552378462682021"</f>
        <v>1552378462682021</v>
      </c>
      <c r="C5288" t="s">
        <v>40</v>
      </c>
      <c r="D5288">
        <v>5.4649199999999896</v>
      </c>
      <c r="E5288">
        <v>0.40844520000000001</v>
      </c>
      <c r="F5288" t="s">
        <v>94</v>
      </c>
      <c r="G5288">
        <v>-383.41930000000002</v>
      </c>
      <c r="H5288" s="1">
        <v>-3.7376820000000002E-6</v>
      </c>
      <c r="I5288">
        <v>16.08436</v>
      </c>
      <c r="J5288">
        <v>-402.51679999999999</v>
      </c>
      <c r="K5288">
        <v>1.118093</v>
      </c>
      <c r="L5288">
        <v>15.37729</v>
      </c>
      <c r="M5288">
        <v>0.98337680000000005</v>
      </c>
      <c r="N5288">
        <v>0</v>
      </c>
      <c r="O5288">
        <v>-0.18094470000000001</v>
      </c>
      <c r="P5288">
        <v>0.97956659999999995</v>
      </c>
      <c r="Q5288">
        <v>-2.3350610000000001E-2</v>
      </c>
      <c r="R5288">
        <v>-0.19976060000000001</v>
      </c>
      <c r="S5288">
        <v>3.0849000000000002</v>
      </c>
      <c r="T5288">
        <v>-0.1794888</v>
      </c>
      <c r="U5288">
        <v>0.11074829999999999</v>
      </c>
      <c r="V5288">
        <v>1.9348819999999999E-2</v>
      </c>
      <c r="W5288">
        <v>-7.8440880000000008E-3</v>
      </c>
      <c r="X5288">
        <v>0.99978199999999995</v>
      </c>
      <c r="Y5288">
        <v>-0.2154654</v>
      </c>
      <c r="Z5288">
        <v>1.6742480000000001E-2</v>
      </c>
      <c r="AA5288">
        <v>0.97636800000000001</v>
      </c>
      <c r="AB5288">
        <v>25</v>
      </c>
      <c r="AC5288">
        <v>19.097499999999901</v>
      </c>
      <c r="AD5288">
        <v>-1.1180967376819999</v>
      </c>
      <c r="AE5288">
        <v>0.70707000000000098</v>
      </c>
      <c r="AF5288">
        <v>-4.1372213428169102</v>
      </c>
      <c r="AG5288">
        <v>-1.1180967376819999</v>
      </c>
      <c r="AH5288">
        <v>18.5905985011109</v>
      </c>
      <c r="AI5288">
        <v>93.3598037437241</v>
      </c>
      <c r="AJ5288">
        <v>102.546361294912</v>
      </c>
      <c r="AK5288">
        <v>19.078183702433002</v>
      </c>
      <c r="AL5288">
        <v>90.449437755892603</v>
      </c>
      <c r="AM5288">
        <v>88.891290951546907</v>
      </c>
      <c r="AN5288">
        <v>0.99999997703797106</v>
      </c>
    </row>
    <row r="5289" spans="1:40" x14ac:dyDescent="0.25">
      <c r="A5289" t="str">
        <f>"20190312161422699"</f>
        <v>20190312161422699</v>
      </c>
      <c r="B5289" t="str">
        <f>"1552378462691783"</f>
        <v>1552378462691783</v>
      </c>
      <c r="C5289" t="s">
        <v>40</v>
      </c>
      <c r="D5289">
        <v>5.4790229999999998</v>
      </c>
      <c r="E5289">
        <v>0.40834680000000001</v>
      </c>
      <c r="F5289" t="s">
        <v>94</v>
      </c>
      <c r="G5289">
        <v>-383.36439999999999</v>
      </c>
      <c r="H5289" s="1">
        <v>-3.7546710000000001E-6</v>
      </c>
      <c r="I5289">
        <v>16.134820000000001</v>
      </c>
      <c r="J5289">
        <v>-402.39089999999999</v>
      </c>
      <c r="K5289">
        <v>1.118034</v>
      </c>
      <c r="L5289">
        <v>15.360530000000001</v>
      </c>
      <c r="M5289">
        <v>0.98440470000000002</v>
      </c>
      <c r="N5289">
        <v>0</v>
      </c>
      <c r="O5289">
        <v>-0.17526700000000001</v>
      </c>
      <c r="P5289">
        <v>0.98067340000000003</v>
      </c>
      <c r="Q5289">
        <v>-2.3215409999999999E-2</v>
      </c>
      <c r="R5289">
        <v>-0.19427030000000001</v>
      </c>
      <c r="S5289">
        <v>3.0831599999999999</v>
      </c>
      <c r="T5289">
        <v>-0.17999219999999999</v>
      </c>
      <c r="U5289">
        <v>0.12194820000000001</v>
      </c>
      <c r="V5289">
        <v>1.9513619999999999E-2</v>
      </c>
      <c r="W5289">
        <v>-7.7229300000000002E-3</v>
      </c>
      <c r="X5289">
        <v>0.9997798</v>
      </c>
      <c r="Y5289">
        <v>-0.2134007</v>
      </c>
      <c r="Z5289">
        <v>1.641072E-2</v>
      </c>
      <c r="AA5289">
        <v>0.97682690000000005</v>
      </c>
      <c r="AB5289">
        <v>25</v>
      </c>
      <c r="AC5289">
        <v>19.026499999999999</v>
      </c>
      <c r="AD5289">
        <v>-1.1180377546710001</v>
      </c>
      <c r="AE5289">
        <v>0.77429000000000203</v>
      </c>
      <c r="AF5289">
        <v>-4.0833248324951699</v>
      </c>
      <c r="AG5289">
        <v>-1.1180377546710001</v>
      </c>
      <c r="AH5289">
        <v>18.5323106207886</v>
      </c>
      <c r="AI5289">
        <v>93.371737036273601</v>
      </c>
      <c r="AJ5289">
        <v>102.42574931471999</v>
      </c>
      <c r="AK5289">
        <v>19.009736638205599</v>
      </c>
      <c r="AL5289">
        <v>90.442495676963105</v>
      </c>
      <c r="AM5289">
        <v>88.8818476545311</v>
      </c>
      <c r="AN5289">
        <v>1.0000000367506601</v>
      </c>
    </row>
    <row r="5290" spans="1:40" x14ac:dyDescent="0.25">
      <c r="A5290" t="str">
        <f>"20190312161422710"</f>
        <v>20190312161422710</v>
      </c>
      <c r="B5290" t="str">
        <f>"1552378462701540"</f>
        <v>1552378462701540</v>
      </c>
      <c r="C5290" t="s">
        <v>40</v>
      </c>
      <c r="D5290">
        <v>5.4871089999999896</v>
      </c>
      <c r="E5290">
        <v>0.40834680000000001</v>
      </c>
      <c r="F5290" t="s">
        <v>94</v>
      </c>
      <c r="G5290">
        <v>-383.05669999999998</v>
      </c>
      <c r="H5290" s="1">
        <v>-3.8817810000000004E-6</v>
      </c>
      <c r="I5290">
        <v>16.238309999999998</v>
      </c>
      <c r="J5290">
        <v>-402.26350000000002</v>
      </c>
      <c r="K5290">
        <v>1.117974</v>
      </c>
      <c r="L5290">
        <v>15.343959999999999</v>
      </c>
      <c r="M5290">
        <v>0.98540749999999999</v>
      </c>
      <c r="N5290">
        <v>0</v>
      </c>
      <c r="O5290">
        <v>-0.16954029999999901</v>
      </c>
      <c r="P5290">
        <v>0.98175020000000002</v>
      </c>
      <c r="Q5290">
        <v>-2.309601E-2</v>
      </c>
      <c r="R5290">
        <v>-0.18876789999999999</v>
      </c>
      <c r="S5290">
        <v>3.0826720000000001</v>
      </c>
      <c r="T5290">
        <v>-0.1782619</v>
      </c>
      <c r="U5290">
        <v>0.13995360000000001</v>
      </c>
      <c r="V5290">
        <v>1.9716649999999999E-2</v>
      </c>
      <c r="W5290">
        <v>-7.6168490000000002E-3</v>
      </c>
      <c r="X5290">
        <v>0.99977660000000002</v>
      </c>
      <c r="Y5290">
        <v>-0.2134441</v>
      </c>
      <c r="Z5290">
        <v>1.592872E-2</v>
      </c>
      <c r="AA5290">
        <v>0.97682539999999995</v>
      </c>
      <c r="AB5290">
        <v>25</v>
      </c>
      <c r="AC5290">
        <v>19.206800000000001</v>
      </c>
      <c r="AD5290">
        <v>-1.117977881781</v>
      </c>
      <c r="AE5290">
        <v>0.89435000000000098</v>
      </c>
      <c r="AF5290">
        <v>-4.1241550788282</v>
      </c>
      <c r="AG5290">
        <v>-1.117977881781</v>
      </c>
      <c r="AH5290">
        <v>18.713771497944599</v>
      </c>
      <c r="AI5290">
        <v>93.338906689873497</v>
      </c>
      <c r="AJ5290">
        <v>102.428225348765</v>
      </c>
      <c r="AK5290">
        <v>19.195410215352499</v>
      </c>
      <c r="AL5290">
        <v>90.436417518106595</v>
      </c>
      <c r="AM5290">
        <v>88.870213192162097</v>
      </c>
      <c r="AN5290">
        <v>1.00000000629173</v>
      </c>
    </row>
    <row r="5291" spans="1:40" x14ac:dyDescent="0.25">
      <c r="A5291" t="str">
        <f>"20190312161422721"</f>
        <v>20190312161422721</v>
      </c>
      <c r="B5291" t="str">
        <f>"1552378462712276"</f>
        <v>1552378462712276</v>
      </c>
      <c r="C5291" t="s">
        <v>40</v>
      </c>
      <c r="D5291">
        <v>5.5786959999999999</v>
      </c>
      <c r="E5291">
        <v>0.39826709999999999</v>
      </c>
      <c r="F5291" t="s">
        <v>94</v>
      </c>
      <c r="G5291">
        <v>-382.8569</v>
      </c>
      <c r="H5291" s="1">
        <v>-3.9591650000000002E-6</v>
      </c>
      <c r="I5291">
        <v>16.334409999999998</v>
      </c>
      <c r="J5291">
        <v>-402.13940000000002</v>
      </c>
      <c r="K5291">
        <v>1.117915</v>
      </c>
      <c r="L5291">
        <v>15.32874</v>
      </c>
      <c r="M5291">
        <v>0.98634350000000004</v>
      </c>
      <c r="N5291">
        <v>0</v>
      </c>
      <c r="O5291">
        <v>-0.16400780000000001</v>
      </c>
      <c r="P5291">
        <v>0.98274539999999999</v>
      </c>
      <c r="Q5291">
        <v>-2.3021989999999999E-2</v>
      </c>
      <c r="R5291">
        <v>-0.1835263</v>
      </c>
      <c r="S5291">
        <v>3.0818479999999999</v>
      </c>
      <c r="T5291">
        <v>-0.17753969999999999</v>
      </c>
      <c r="U5291">
        <v>0.1572876</v>
      </c>
      <c r="V5291">
        <v>1.9989219999999999E-2</v>
      </c>
      <c r="W5291">
        <v>-7.5553690000000001E-3</v>
      </c>
      <c r="X5291">
        <v>0.99977169999999904</v>
      </c>
      <c r="Y5291">
        <v>-0.21346970000000001</v>
      </c>
      <c r="Z5291">
        <v>1.5552730000000001E-2</v>
      </c>
      <c r="AA5291">
        <v>0.97682590000000002</v>
      </c>
      <c r="AB5291">
        <v>25</v>
      </c>
      <c r="AC5291">
        <v>19.282499999999999</v>
      </c>
      <c r="AD5291">
        <v>-1.1179189591650001</v>
      </c>
      <c r="AE5291">
        <v>1.0056700000000001</v>
      </c>
      <c r="AF5291">
        <v>-4.1410090447502403</v>
      </c>
      <c r="AG5291">
        <v>-1.1179189591650001</v>
      </c>
      <c r="AH5291">
        <v>18.793383108562999</v>
      </c>
      <c r="AI5291">
        <v>93.324645163836706</v>
      </c>
      <c r="AJ5291">
        <v>102.426216532114</v>
      </c>
      <c r="AK5291">
        <v>19.276642533729401</v>
      </c>
      <c r="AL5291">
        <v>90.432894852314604</v>
      </c>
      <c r="AM5291">
        <v>88.854593136754602</v>
      </c>
      <c r="AN5291">
        <v>1.0000000523189101</v>
      </c>
    </row>
    <row r="5292" spans="1:40" x14ac:dyDescent="0.25">
      <c r="A5292" t="str">
        <f>"20190312161422732"</f>
        <v>20190312161422732</v>
      </c>
      <c r="B5292" t="str">
        <f>"1552378462722036"</f>
        <v>1552378462722036</v>
      </c>
      <c r="C5292" t="s">
        <v>40</v>
      </c>
      <c r="D5292">
        <v>5.5991429999999998</v>
      </c>
      <c r="E5292">
        <v>0.39891769999999999</v>
      </c>
      <c r="F5292" t="s">
        <v>95</v>
      </c>
      <c r="G5292">
        <v>-377.00459999999998</v>
      </c>
      <c r="H5292" s="1">
        <v>-1.795517E-6</v>
      </c>
      <c r="I5292">
        <v>17.366320000000002</v>
      </c>
      <c r="J5292">
        <v>-402.0204</v>
      </c>
      <c r="K5292">
        <v>1.117858</v>
      </c>
      <c r="L5292">
        <v>15.31461</v>
      </c>
      <c r="M5292">
        <v>0.98720790000000003</v>
      </c>
      <c r="N5292">
        <v>0</v>
      </c>
      <c r="O5292">
        <v>-0.15872329999999901</v>
      </c>
      <c r="P5292">
        <v>0.9836935</v>
      </c>
      <c r="Q5292">
        <v>-2.3120430000000001E-2</v>
      </c>
      <c r="R5292">
        <v>-0.17836150000000001</v>
      </c>
      <c r="S5292">
        <v>3.0963129999999999</v>
      </c>
      <c r="T5292">
        <v>-0.13771439999999999</v>
      </c>
      <c r="U5292">
        <v>0.25100709999999998</v>
      </c>
      <c r="V5292">
        <v>2.0093139999999999E-2</v>
      </c>
      <c r="W5292">
        <v>-7.6688429999999998E-3</v>
      </c>
      <c r="X5292">
        <v>0.99976869999999995</v>
      </c>
      <c r="Y5292">
        <v>-0.2376096</v>
      </c>
      <c r="Z5292">
        <v>1.230697E-2</v>
      </c>
      <c r="AA5292">
        <v>0.9712828</v>
      </c>
      <c r="AB5292">
        <v>25</v>
      </c>
      <c r="AC5292">
        <v>25.015799999999999</v>
      </c>
      <c r="AD5292">
        <v>-1.117859795517</v>
      </c>
      <c r="AE5292">
        <v>2.0517099999999999</v>
      </c>
      <c r="AF5292">
        <v>-5.9848657068823297</v>
      </c>
      <c r="AG5292">
        <v>-1.117859795517</v>
      </c>
      <c r="AH5292">
        <v>24.324665284770202</v>
      </c>
      <c r="AI5292">
        <v>92.555125968307394</v>
      </c>
      <c r="AJ5292">
        <v>103.822556218836</v>
      </c>
      <c r="AK5292">
        <v>25.075038769021901</v>
      </c>
      <c r="AL5292">
        <v>90.439396644859599</v>
      </c>
      <c r="AM5292">
        <v>88.848636537920896</v>
      </c>
      <c r="AN5292">
        <v>0.99999999946385398</v>
      </c>
    </row>
    <row r="5293" spans="1:40" x14ac:dyDescent="0.25">
      <c r="A5293" t="str">
        <f>"20190312161422743"</f>
        <v>20190312161422743</v>
      </c>
      <c r="B5293" t="str">
        <f>"1552378462731796"</f>
        <v>1552378462731796</v>
      </c>
      <c r="C5293" t="s">
        <v>40</v>
      </c>
      <c r="D5293">
        <v>5.4577369999999998</v>
      </c>
      <c r="E5293">
        <v>0.3980457</v>
      </c>
      <c r="F5293" t="s">
        <v>95</v>
      </c>
      <c r="G5293">
        <v>-376.41899999999998</v>
      </c>
      <c r="H5293" s="1">
        <v>-2.051733E-6</v>
      </c>
      <c r="I5293">
        <v>17.48244</v>
      </c>
      <c r="J5293">
        <v>-401.90050000000002</v>
      </c>
      <c r="K5293">
        <v>1.117802</v>
      </c>
      <c r="L5293">
        <v>15.30106</v>
      </c>
      <c r="M5293">
        <v>0.98804369999999997</v>
      </c>
      <c r="N5293">
        <v>0</v>
      </c>
      <c r="O5293">
        <v>-0.15343609999999999</v>
      </c>
      <c r="P5293">
        <v>0.98459810000000003</v>
      </c>
      <c r="Q5293">
        <v>-2.2831839999999999E-2</v>
      </c>
      <c r="R5293">
        <v>-0.1733365</v>
      </c>
      <c r="S5293">
        <v>3.094055</v>
      </c>
      <c r="T5293">
        <v>-0.1350992</v>
      </c>
      <c r="U5293">
        <v>0.26199339999999999</v>
      </c>
      <c r="V5293">
        <v>2.0333190000000001E-2</v>
      </c>
      <c r="W5293">
        <v>-7.3930949999999997E-3</v>
      </c>
      <c r="X5293">
        <v>0.99976589999999999</v>
      </c>
      <c r="Y5293">
        <v>-0.23591280000000001</v>
      </c>
      <c r="Z5293">
        <v>1.1815050000000001E-2</v>
      </c>
      <c r="AA5293">
        <v>0.97170239999999997</v>
      </c>
      <c r="AB5293">
        <v>25</v>
      </c>
      <c r="AC5293">
        <v>25.481499999999901</v>
      </c>
      <c r="AD5293">
        <v>-1.1178040517329999</v>
      </c>
      <c r="AE5293">
        <v>2.1813799999999901</v>
      </c>
      <c r="AF5293">
        <v>-6.0542037059769997</v>
      </c>
      <c r="AG5293">
        <v>-1.1178040517329999</v>
      </c>
      <c r="AH5293">
        <v>24.797581520603298</v>
      </c>
      <c r="AI5293">
        <v>92.507432503034494</v>
      </c>
      <c r="AJ5293">
        <v>103.72007365923299</v>
      </c>
      <c r="AK5293">
        <v>25.550399560134199</v>
      </c>
      <c r="AL5293">
        <v>90.423597010236804</v>
      </c>
      <c r="AM5293">
        <v>88.834881862969496</v>
      </c>
      <c r="AN5293">
        <v>0.99999997563603205</v>
      </c>
    </row>
    <row r="5294" spans="1:40" x14ac:dyDescent="0.25">
      <c r="A5294" t="str">
        <f>"20190312161422755"</f>
        <v>20190312161422755</v>
      </c>
      <c r="B5294" t="str">
        <f>"1552378462752292"</f>
        <v>1552378462752292</v>
      </c>
      <c r="C5294" t="s">
        <v>40</v>
      </c>
      <c r="D5294">
        <v>5.4586030000000001</v>
      </c>
      <c r="E5294">
        <v>0.39814250000000001</v>
      </c>
      <c r="F5294" t="s">
        <v>95</v>
      </c>
      <c r="G5294">
        <v>-376.1164</v>
      </c>
      <c r="H5294" s="1">
        <v>-2.160934E-6</v>
      </c>
      <c r="I5294">
        <v>17.673200000000001</v>
      </c>
      <c r="J5294">
        <v>-401.78190000000001</v>
      </c>
      <c r="K5294">
        <v>1.1177469999999901</v>
      </c>
      <c r="L5294">
        <v>15.2883</v>
      </c>
      <c r="M5294">
        <v>0.98883679999999996</v>
      </c>
      <c r="N5294">
        <v>0</v>
      </c>
      <c r="O5294">
        <v>-0.14824039999999999</v>
      </c>
      <c r="P5294">
        <v>0.98546489999999998</v>
      </c>
      <c r="Q5294">
        <v>-2.2763490000000001E-2</v>
      </c>
      <c r="R5294">
        <v>-0.1683472</v>
      </c>
      <c r="S5294">
        <v>3.0938720000000002</v>
      </c>
      <c r="T5294">
        <v>-0.1341271</v>
      </c>
      <c r="U5294">
        <v>0.28463749999999999</v>
      </c>
      <c r="V5294">
        <v>2.0522329999999998E-2</v>
      </c>
      <c r="W5294">
        <v>-7.3385179999999996E-3</v>
      </c>
      <c r="X5294">
        <v>0.9997625</v>
      </c>
      <c r="Y5294">
        <v>-0.23787469999999999</v>
      </c>
      <c r="Z5294">
        <v>1.1546880000000001E-2</v>
      </c>
      <c r="AA5294">
        <v>0.97122719999999996</v>
      </c>
      <c r="AB5294">
        <v>25</v>
      </c>
      <c r="AC5294">
        <v>25.665500000000002</v>
      </c>
      <c r="AD5294">
        <v>-1.11774916093399</v>
      </c>
      <c r="AE5294">
        <v>2.3849</v>
      </c>
      <c r="AF5294">
        <v>-6.15207065705963</v>
      </c>
      <c r="AG5294">
        <v>-1.11774916093399</v>
      </c>
      <c r="AH5294">
        <v>24.981312393042</v>
      </c>
      <c r="AI5294">
        <v>92.487672469425505</v>
      </c>
      <c r="AJ5294">
        <v>103.834758899799</v>
      </c>
      <c r="AK5294">
        <v>25.751957312697201</v>
      </c>
      <c r="AL5294">
        <v>90.420469867287807</v>
      </c>
      <c r="AM5294">
        <v>88.824042927145001</v>
      </c>
      <c r="AN5294">
        <v>1.00000003814065</v>
      </c>
    </row>
    <row r="5295" spans="1:40" x14ac:dyDescent="0.25">
      <c r="A5295" t="str">
        <f>"20190312161422765"</f>
        <v>20190312161422765</v>
      </c>
      <c r="B5295" t="str">
        <f>"1552378462762051"</f>
        <v>1552378462762051</v>
      </c>
      <c r="C5295" t="s">
        <v>40</v>
      </c>
      <c r="D5295">
        <v>5.4635360000000004</v>
      </c>
      <c r="E5295">
        <v>0.3986286</v>
      </c>
      <c r="F5295" t="s">
        <v>95</v>
      </c>
      <c r="G5295">
        <v>-375.786</v>
      </c>
      <c r="H5295" s="1">
        <v>-2.2936500000000001E-6</v>
      </c>
      <c r="I5295">
        <v>17.805520000000001</v>
      </c>
      <c r="J5295">
        <v>-401.65719999999999</v>
      </c>
      <c r="K5295">
        <v>1.117688</v>
      </c>
      <c r="L5295">
        <v>15.27533</v>
      </c>
      <c r="M5295">
        <v>0.98963800000000002</v>
      </c>
      <c r="N5295">
        <v>0</v>
      </c>
      <c r="O5295">
        <v>-0.14279510000000001</v>
      </c>
      <c r="P5295">
        <v>0.98634319999999998</v>
      </c>
      <c r="Q5295">
        <v>-2.2643050000000001E-2</v>
      </c>
      <c r="R5295">
        <v>-0.1631396</v>
      </c>
      <c r="S5295">
        <v>3.0923769999999999</v>
      </c>
      <c r="T5295">
        <v>-0.13296340000000001</v>
      </c>
      <c r="U5295">
        <v>0.2994385</v>
      </c>
      <c r="V5295">
        <v>2.0741329999999999E-2</v>
      </c>
      <c r="W5295">
        <v>-7.2320989999999996E-3</v>
      </c>
      <c r="X5295">
        <v>0.9997587</v>
      </c>
      <c r="Y5295">
        <v>-0.2371905</v>
      </c>
      <c r="Z5295">
        <v>1.120319E-2</v>
      </c>
      <c r="AA5295">
        <v>0.97139850000000005</v>
      </c>
      <c r="AB5295">
        <v>25</v>
      </c>
      <c r="AC5295">
        <v>25.871199999999899</v>
      </c>
      <c r="AD5295">
        <v>-1.1176902936499999</v>
      </c>
      <c r="AE5295">
        <v>2.5301900000000002</v>
      </c>
      <c r="AF5295">
        <v>-6.1875147668292803</v>
      </c>
      <c r="AG5295">
        <v>-1.1176902936499999</v>
      </c>
      <c r="AH5295">
        <v>25.198094375807401</v>
      </c>
      <c r="AI5295">
        <v>92.466574290721994</v>
      </c>
      <c r="AJ5295">
        <v>103.796288261182</v>
      </c>
      <c r="AK5295">
        <v>25.970724494213599</v>
      </c>
      <c r="AL5295">
        <v>90.414372369351497</v>
      </c>
      <c r="AM5295">
        <v>88.811492997347202</v>
      </c>
      <c r="AN5295">
        <v>0.99999998212590202</v>
      </c>
    </row>
    <row r="5296" spans="1:40" x14ac:dyDescent="0.25">
      <c r="A5296" t="str">
        <f>"20190312161422777"</f>
        <v>20190312161422777</v>
      </c>
      <c r="B5296" t="str">
        <f>"1552378462771813"</f>
        <v>1552378462771813</v>
      </c>
      <c r="C5296" t="s">
        <v>40</v>
      </c>
      <c r="D5296">
        <v>5.4605829999999997</v>
      </c>
      <c r="E5296">
        <v>0.3992655</v>
      </c>
      <c r="F5296" t="s">
        <v>95</v>
      </c>
      <c r="G5296">
        <v>-375.53309999999999</v>
      </c>
      <c r="H5296" s="1">
        <v>-2.3942299999999999E-6</v>
      </c>
      <c r="I5296">
        <v>17.912369999999999</v>
      </c>
      <c r="J5296">
        <v>-401.53190000000001</v>
      </c>
      <c r="K5296">
        <v>1.117626</v>
      </c>
      <c r="L5296">
        <v>15.2632799999999</v>
      </c>
      <c r="M5296">
        <v>0.99040419999999996</v>
      </c>
      <c r="N5296">
        <v>0</v>
      </c>
      <c r="O5296">
        <v>-0.13738249999999999</v>
      </c>
      <c r="P5296">
        <v>0.98714729999999995</v>
      </c>
      <c r="Q5296">
        <v>-2.2457580000000001E-2</v>
      </c>
      <c r="R5296">
        <v>-0.1582277</v>
      </c>
      <c r="S5296">
        <v>3.0900569999999998</v>
      </c>
      <c r="T5296">
        <v>-0.13220509999999999</v>
      </c>
      <c r="U5296">
        <v>0.31192019999999998</v>
      </c>
      <c r="V5296">
        <v>2.122566E-2</v>
      </c>
      <c r="W5296">
        <v>-7.056484E-3</v>
      </c>
      <c r="X5296">
        <v>0.99974980000000002</v>
      </c>
      <c r="Y5296">
        <v>-0.235845</v>
      </c>
      <c r="Z5296">
        <v>1.088721E-2</v>
      </c>
      <c r="AA5296">
        <v>0.97172970000000003</v>
      </c>
      <c r="AB5296">
        <v>25</v>
      </c>
      <c r="AC5296">
        <v>25.998799999999999</v>
      </c>
      <c r="AD5296">
        <v>-1.1176283942299901</v>
      </c>
      <c r="AE5296">
        <v>2.6490900000000002</v>
      </c>
      <c r="AF5296">
        <v>-6.1848370956692902</v>
      </c>
      <c r="AG5296">
        <v>-1.1176283942299901</v>
      </c>
      <c r="AH5296">
        <v>25.3418965319674</v>
      </c>
      <c r="AI5296">
        <v>92.453307454460202</v>
      </c>
      <c r="AJ5296">
        <v>103.71525484033999</v>
      </c>
      <c r="AK5296">
        <v>26.109634676963601</v>
      </c>
      <c r="AL5296">
        <v>90.404310109806303</v>
      </c>
      <c r="AM5296">
        <v>88.783737633209697</v>
      </c>
      <c r="AN5296">
        <v>0.99999999260445804</v>
      </c>
    </row>
    <row r="5297" spans="1:40" x14ac:dyDescent="0.25">
      <c r="A5297" t="str">
        <f>"20190312161422790"</f>
        <v>20190312161422790</v>
      </c>
      <c r="B5297" t="str">
        <f>"1552378462781572"</f>
        <v>1552378462781572</v>
      </c>
      <c r="C5297" t="s">
        <v>40</v>
      </c>
      <c r="D5297">
        <v>5.4479839999999999</v>
      </c>
      <c r="E5297">
        <v>0.39972370000000002</v>
      </c>
      <c r="F5297" t="s">
        <v>95</v>
      </c>
      <c r="G5297">
        <v>-375.30040000000002</v>
      </c>
      <c r="H5297" s="1">
        <v>-2.4885E-6</v>
      </c>
      <c r="I5297">
        <v>18.001339999999999</v>
      </c>
      <c r="J5297">
        <v>-401.39179999999999</v>
      </c>
      <c r="K5297">
        <v>1.117561</v>
      </c>
      <c r="L5297">
        <v>15.25018</v>
      </c>
      <c r="M5297">
        <v>0.99122239999999995</v>
      </c>
      <c r="N5297">
        <v>0</v>
      </c>
      <c r="O5297">
        <v>-0.1313503</v>
      </c>
      <c r="P5297">
        <v>0.98800060000000001</v>
      </c>
      <c r="Q5297">
        <v>-2.2634520000000002E-2</v>
      </c>
      <c r="R5297">
        <v>-0.15278359999999999</v>
      </c>
      <c r="S5297">
        <v>3.0877080000000001</v>
      </c>
      <c r="T5297">
        <v>-0.1315557</v>
      </c>
      <c r="U5297">
        <v>0.32229609999999997</v>
      </c>
      <c r="V5297">
        <v>2.1803349999999999E-2</v>
      </c>
      <c r="W5297">
        <v>-7.2438229999999999E-3</v>
      </c>
      <c r="X5297">
        <v>0.99973599999999996</v>
      </c>
      <c r="Y5297">
        <v>-0.23324410000000001</v>
      </c>
      <c r="Z5297">
        <v>1.052986E-2</v>
      </c>
      <c r="AA5297">
        <v>0.97236120000000004</v>
      </c>
      <c r="AB5297">
        <v>25</v>
      </c>
      <c r="AC5297">
        <v>26.091399999999901</v>
      </c>
      <c r="AD5297">
        <v>-1.1175634884999901</v>
      </c>
      <c r="AE5297">
        <v>2.75116</v>
      </c>
      <c r="AF5297">
        <v>-6.1436704166025304</v>
      </c>
      <c r="AG5297">
        <v>-1.1175634884999901</v>
      </c>
      <c r="AH5297">
        <v>25.457695003864</v>
      </c>
      <c r="AI5297">
        <v>92.443545087354494</v>
      </c>
      <c r="AJ5297">
        <v>103.56768994015</v>
      </c>
      <c r="AK5297">
        <v>26.212361001032001</v>
      </c>
      <c r="AL5297">
        <v>90.415044130048599</v>
      </c>
      <c r="AM5297">
        <v>88.750628236754693</v>
      </c>
      <c r="AN5297">
        <v>0.99999996436943805</v>
      </c>
    </row>
    <row r="5298" spans="1:40" x14ac:dyDescent="0.25">
      <c r="A5298" t="str">
        <f>"20190312161422800"</f>
        <v>20190312161422800</v>
      </c>
      <c r="B5298" t="str">
        <f>"1552378462792111"</f>
        <v>1552378462792111</v>
      </c>
      <c r="C5298" t="s">
        <v>40</v>
      </c>
      <c r="D5298">
        <v>5.4671089999999998</v>
      </c>
      <c r="E5298">
        <v>0.40017350000000002</v>
      </c>
      <c r="F5298" t="s">
        <v>95</v>
      </c>
      <c r="G5298">
        <v>-374.97489999999999</v>
      </c>
      <c r="H5298" s="1">
        <v>-2.620496E-6</v>
      </c>
      <c r="I5298">
        <v>18.124389999999998</v>
      </c>
      <c r="J5298">
        <v>-401.26499999999999</v>
      </c>
      <c r="K5298">
        <v>1.1174980000000001</v>
      </c>
      <c r="L5298">
        <v>15.239380000000001</v>
      </c>
      <c r="M5298">
        <v>0.99192210000000003</v>
      </c>
      <c r="N5298">
        <v>0</v>
      </c>
      <c r="O5298">
        <v>-0.1259593</v>
      </c>
      <c r="P5298">
        <v>0.98874510000000004</v>
      </c>
      <c r="Q5298">
        <v>-2.2625429999999998E-2</v>
      </c>
      <c r="R5298">
        <v>-0.14788979999999999</v>
      </c>
      <c r="S5298">
        <v>3.0853579999999998</v>
      </c>
      <c r="T5298">
        <v>-0.13052610000000001</v>
      </c>
      <c r="U5298">
        <v>0.33569339999999998</v>
      </c>
      <c r="V5298">
        <v>2.228749E-2</v>
      </c>
      <c r="W5298">
        <v>-7.2455159999999996E-3</v>
      </c>
      <c r="X5298">
        <v>0.99972530000000004</v>
      </c>
      <c r="Y5298">
        <v>-0.23221919999999999</v>
      </c>
      <c r="Z5298">
        <v>1.020515E-2</v>
      </c>
      <c r="AA5298">
        <v>0.97260990000000003</v>
      </c>
      <c r="AB5298">
        <v>25</v>
      </c>
      <c r="AC5298">
        <v>26.290099999999899</v>
      </c>
      <c r="AD5298">
        <v>-1.1175006204960001</v>
      </c>
      <c r="AE5298">
        <v>2.8850099999999901</v>
      </c>
      <c r="AF5298">
        <v>-6.1628791426764202</v>
      </c>
      <c r="AG5298">
        <v>-1.1175006204960001</v>
      </c>
      <c r="AH5298">
        <v>25.671396898698401</v>
      </c>
      <c r="AI5298">
        <v>92.423786238970095</v>
      </c>
      <c r="AJ5298">
        <v>103.499413412241</v>
      </c>
      <c r="AK5298">
        <v>26.424430092142899</v>
      </c>
      <c r="AL5298">
        <v>90.415141139244199</v>
      </c>
      <c r="AM5298">
        <v>88.722881554657206</v>
      </c>
      <c r="AN5298">
        <v>0.999999952586347</v>
      </c>
    </row>
    <row r="5299" spans="1:40" x14ac:dyDescent="0.25">
      <c r="A5299" t="str">
        <f>"20190312161422812"</f>
        <v>20190312161422812</v>
      </c>
      <c r="B5299" t="str">
        <f>"1552378462801872"</f>
        <v>1552378462801872</v>
      </c>
      <c r="C5299" t="s">
        <v>40</v>
      </c>
      <c r="D5299">
        <v>5.4426800000000002</v>
      </c>
      <c r="E5299">
        <v>0.40061750000000002</v>
      </c>
      <c r="F5299" t="s">
        <v>95</v>
      </c>
      <c r="G5299">
        <v>-374.721</v>
      </c>
      <c r="H5299" s="1">
        <v>-2.7216720000000002E-6</v>
      </c>
      <c r="I5299">
        <v>18.230609999999999</v>
      </c>
      <c r="J5299">
        <v>-401.14429999999999</v>
      </c>
      <c r="K5299">
        <v>1.1174379999999999</v>
      </c>
      <c r="L5299">
        <v>15.229520000000001</v>
      </c>
      <c r="M5299">
        <v>0.99255899999999997</v>
      </c>
      <c r="N5299">
        <v>0</v>
      </c>
      <c r="O5299">
        <v>-0.1208418</v>
      </c>
      <c r="P5299">
        <v>0.9894307</v>
      </c>
      <c r="Q5299">
        <v>-2.264733E-2</v>
      </c>
      <c r="R5299">
        <v>-0.14322879999999999</v>
      </c>
      <c r="S5299">
        <v>3.0831909999999998</v>
      </c>
      <c r="T5299">
        <v>-0.1298021</v>
      </c>
      <c r="U5299">
        <v>0.34744259999999999</v>
      </c>
      <c r="V5299">
        <v>2.273213E-2</v>
      </c>
      <c r="W5299">
        <v>-7.2779580000000002E-3</v>
      </c>
      <c r="X5299">
        <v>0.99971509999999997</v>
      </c>
      <c r="Y5299">
        <v>-0.2309465</v>
      </c>
      <c r="Z5299">
        <v>9.9129790000000006E-3</v>
      </c>
      <c r="AA5299">
        <v>0.97291589999999994</v>
      </c>
      <c r="AB5299">
        <v>25</v>
      </c>
      <c r="AC5299">
        <v>26.423299999999902</v>
      </c>
      <c r="AD5299">
        <v>-1.1174407216719999</v>
      </c>
      <c r="AE5299">
        <v>3.00109</v>
      </c>
      <c r="AF5299">
        <v>-6.1616097036006696</v>
      </c>
      <c r="AG5299">
        <v>-1.1174407216719999</v>
      </c>
      <c r="AH5299">
        <v>25.821331125417</v>
      </c>
      <c r="AI5299">
        <v>92.410386306820499</v>
      </c>
      <c r="AJ5299">
        <v>103.421207645222</v>
      </c>
      <c r="AK5299">
        <v>26.5698183846707</v>
      </c>
      <c r="AL5299">
        <v>90.416999958339701</v>
      </c>
      <c r="AM5299">
        <v>88.697398186453</v>
      </c>
      <c r="AN5299">
        <v>0.99999999978749798</v>
      </c>
    </row>
    <row r="5300" spans="1:40" x14ac:dyDescent="0.25">
      <c r="A5300" t="str">
        <f>"20190312161422824"</f>
        <v>20190312161422824</v>
      </c>
      <c r="B5300" t="str">
        <f>"1552378462821392"</f>
        <v>1552378462821392</v>
      </c>
      <c r="C5300" t="s">
        <v>40</v>
      </c>
      <c r="D5300">
        <v>5.4363519999999896</v>
      </c>
      <c r="E5300">
        <v>0.40106130000000001</v>
      </c>
      <c r="F5300" t="s">
        <v>95</v>
      </c>
      <c r="G5300">
        <v>-374.46210000000002</v>
      </c>
      <c r="H5300" s="1">
        <v>-2.8258199999999998E-6</v>
      </c>
      <c r="I5300">
        <v>18.33361</v>
      </c>
      <c r="J5300">
        <v>-401.00900000000001</v>
      </c>
      <c r="K5300">
        <v>1.11737</v>
      </c>
      <c r="L5300">
        <v>15.21918</v>
      </c>
      <c r="M5300">
        <v>0.99323530000000004</v>
      </c>
      <c r="N5300">
        <v>0</v>
      </c>
      <c r="O5300">
        <v>-0.1151519</v>
      </c>
      <c r="P5300">
        <v>0.99018720000000005</v>
      </c>
      <c r="Q5300">
        <v>-2.2857389999999998E-2</v>
      </c>
      <c r="R5300">
        <v>-0.13786509999999999</v>
      </c>
      <c r="S5300">
        <v>3.080994</v>
      </c>
      <c r="T5300">
        <v>-0.1290308</v>
      </c>
      <c r="U5300">
        <v>0.358429</v>
      </c>
      <c r="V5300">
        <v>2.3047100000000001E-2</v>
      </c>
      <c r="W5300">
        <v>-7.5033919999999898E-3</v>
      </c>
      <c r="X5300">
        <v>0.99970619999999999</v>
      </c>
      <c r="Y5300">
        <v>-0.22888240000000001</v>
      </c>
      <c r="Z5300">
        <v>9.5793590000000008E-3</v>
      </c>
      <c r="AA5300">
        <v>0.97340700000000002</v>
      </c>
      <c r="AB5300">
        <v>25</v>
      </c>
      <c r="AC5300">
        <v>26.546899999999901</v>
      </c>
      <c r="AD5300">
        <v>-1.11737282582</v>
      </c>
      <c r="AE5300">
        <v>3.11443</v>
      </c>
      <c r="AF5300">
        <v>-6.1402453064403204</v>
      </c>
      <c r="AG5300">
        <v>-1.11737282582</v>
      </c>
      <c r="AH5300">
        <v>25.966217432045202</v>
      </c>
      <c r="AI5300">
        <v>92.397967041687494</v>
      </c>
      <c r="AJ5300">
        <v>103.304370911348</v>
      </c>
      <c r="AK5300">
        <v>26.705721899686498</v>
      </c>
      <c r="AL5300">
        <v>90.429916737264605</v>
      </c>
      <c r="AM5300">
        <v>88.679344297293596</v>
      </c>
      <c r="AN5300">
        <v>0.99999997801417695</v>
      </c>
    </row>
    <row r="5301" spans="1:40" x14ac:dyDescent="0.25">
      <c r="A5301" t="str">
        <f>"20190312161422837"</f>
        <v>20190312161422837</v>
      </c>
      <c r="B5301" t="str">
        <f>"1552378462832129"</f>
        <v>1552378462832129</v>
      </c>
      <c r="C5301" t="s">
        <v>40</v>
      </c>
      <c r="D5301">
        <v>5.4322860000000004</v>
      </c>
      <c r="E5301">
        <v>0.40981669999999998</v>
      </c>
      <c r="F5301" t="s">
        <v>95</v>
      </c>
      <c r="G5301">
        <v>-374.54399999999998</v>
      </c>
      <c r="H5301" s="1">
        <v>-2.772726E-6</v>
      </c>
      <c r="I5301">
        <v>18.414619999999999</v>
      </c>
      <c r="J5301">
        <v>-400.8723</v>
      </c>
      <c r="K5301">
        <v>1.117302</v>
      </c>
      <c r="L5301">
        <v>15.20959</v>
      </c>
      <c r="M5301">
        <v>0.99387930000000002</v>
      </c>
      <c r="N5301">
        <v>0</v>
      </c>
      <c r="O5301">
        <v>-0.109456399999999</v>
      </c>
      <c r="P5301">
        <v>0.99088810000000005</v>
      </c>
      <c r="Q5301">
        <v>-2.2533569999999999E-2</v>
      </c>
      <c r="R5301">
        <v>-0.13278999999999999</v>
      </c>
      <c r="S5301">
        <v>3.0784910000000001</v>
      </c>
      <c r="T5301">
        <v>-0.12997629999999999</v>
      </c>
      <c r="U5301">
        <v>0.37170409999999998</v>
      </c>
      <c r="V5301">
        <v>2.364815E-2</v>
      </c>
      <c r="W5301">
        <v>-7.1904439999999998E-3</v>
      </c>
      <c r="X5301">
        <v>0.99969450000000004</v>
      </c>
      <c r="Y5301">
        <v>-0.22753399999999999</v>
      </c>
      <c r="Z5301">
        <v>9.3876010000000006E-3</v>
      </c>
      <c r="AA5301">
        <v>0.9737249</v>
      </c>
      <c r="AB5301">
        <v>25</v>
      </c>
      <c r="AC5301">
        <v>26.328299999999899</v>
      </c>
      <c r="AD5301">
        <v>-1.1173047727259999</v>
      </c>
      <c r="AE5301">
        <v>3.2050299999999998</v>
      </c>
      <c r="AF5301">
        <v>-6.0571420078805804</v>
      </c>
      <c r="AG5301">
        <v>-1.1173047727259999</v>
      </c>
      <c r="AH5301">
        <v>25.773484814618602</v>
      </c>
      <c r="AI5301">
        <v>92.416515519116501</v>
      </c>
      <c r="AJ5301">
        <v>103.225337152943</v>
      </c>
      <c r="AK5301">
        <v>26.4992426070664</v>
      </c>
      <c r="AL5301">
        <v>90.411985637843202</v>
      </c>
      <c r="AM5301">
        <v>88.644899474544204</v>
      </c>
      <c r="AN5301">
        <v>1.0000000154067901</v>
      </c>
    </row>
    <row r="5302" spans="1:40" x14ac:dyDescent="0.25">
      <c r="A5302" t="str">
        <f>"20190312161422859"</f>
        <v>20190312161422859</v>
      </c>
      <c r="B5302" t="str">
        <f>"1552378462851648"</f>
        <v>1552378462851648</v>
      </c>
      <c r="C5302" t="s">
        <v>40</v>
      </c>
      <c r="D5302">
        <v>5.3852419999999999</v>
      </c>
      <c r="E5302">
        <v>0.41007369999999999</v>
      </c>
      <c r="F5302" t="s">
        <v>95</v>
      </c>
      <c r="G5302">
        <v>-376.43770000000001</v>
      </c>
      <c r="H5302" s="1">
        <v>-1.9957729999999999E-6</v>
      </c>
      <c r="I5302">
        <v>17.748290000000001</v>
      </c>
      <c r="J5302">
        <v>-400.63459999999998</v>
      </c>
      <c r="K5302">
        <v>1.117184</v>
      </c>
      <c r="L5302">
        <v>15.194520000000001</v>
      </c>
      <c r="M5302">
        <v>0.9949112</v>
      </c>
      <c r="N5302">
        <v>0</v>
      </c>
      <c r="O5302">
        <v>-9.9647659999999999E-2</v>
      </c>
      <c r="P5302">
        <v>0.9919829</v>
      </c>
      <c r="Q5302">
        <v>-2.2863089999999999E-2</v>
      </c>
      <c r="R5302">
        <v>-0.1242878</v>
      </c>
      <c r="S5302">
        <v>3.0671080000000002</v>
      </c>
      <c r="T5302">
        <v>-0.14024719999999999</v>
      </c>
      <c r="U5302">
        <v>0.31866460000000002</v>
      </c>
      <c r="V5302">
        <v>2.494062E-2</v>
      </c>
      <c r="W5302">
        <v>-7.5356909999999997E-3</v>
      </c>
      <c r="X5302">
        <v>0.99966060000000001</v>
      </c>
      <c r="Y5302">
        <v>-0.20163980000000001</v>
      </c>
      <c r="Z5302">
        <v>9.1379919999999993E-3</v>
      </c>
      <c r="AA5302">
        <v>0.97941710000000004</v>
      </c>
      <c r="AB5302">
        <v>25</v>
      </c>
      <c r="AC5302">
        <v>24.1968999999999</v>
      </c>
      <c r="AD5302">
        <v>-1.1171859957729999</v>
      </c>
      <c r="AE5302">
        <v>2.5537700000000001</v>
      </c>
      <c r="AF5302">
        <v>-4.9420696313016901</v>
      </c>
      <c r="AG5302">
        <v>-1.1171859957729999</v>
      </c>
      <c r="AH5302">
        <v>23.771817794935401</v>
      </c>
      <c r="AI5302">
        <v>92.634458697938896</v>
      </c>
      <c r="AJ5302">
        <v>101.74428057837</v>
      </c>
      <c r="AK5302">
        <v>24.305791039696501</v>
      </c>
      <c r="AL5302">
        <v>90.431767347078903</v>
      </c>
      <c r="AM5302">
        <v>88.570819056266103</v>
      </c>
      <c r="AN5302">
        <v>1.0000000681785901</v>
      </c>
    </row>
    <row r="5303" spans="1:40" x14ac:dyDescent="0.25">
      <c r="A5303" t="str">
        <f>"20190312161422878"</f>
        <v>20190312161422878</v>
      </c>
      <c r="B5303" t="str">
        <f>"1552378462872144"</f>
        <v>1552378462872144</v>
      </c>
      <c r="C5303" t="s">
        <v>40</v>
      </c>
      <c r="D5303">
        <v>5.5643449999999897</v>
      </c>
      <c r="E5303">
        <v>0.4092208</v>
      </c>
      <c r="F5303" t="s">
        <v>95</v>
      </c>
      <c r="G5303">
        <v>-376.1875</v>
      </c>
      <c r="H5303" s="1">
        <v>-2.0817330000000002E-6</v>
      </c>
      <c r="I5303">
        <v>17.930429999999902</v>
      </c>
      <c r="J5303">
        <v>-400.40929999999997</v>
      </c>
      <c r="K5303">
        <v>1.1170719999999901</v>
      </c>
      <c r="L5303">
        <v>15.18228</v>
      </c>
      <c r="M5303">
        <v>0.99578750000000005</v>
      </c>
      <c r="N5303">
        <v>0</v>
      </c>
      <c r="O5303">
        <v>-9.0475849999999997E-2</v>
      </c>
      <c r="P5303">
        <v>0.99290020000000001</v>
      </c>
      <c r="Q5303">
        <v>-2.263826E-2</v>
      </c>
      <c r="R5303">
        <v>-0.1167767</v>
      </c>
      <c r="S5303">
        <v>3.0639949999999998</v>
      </c>
      <c r="T5303">
        <v>-0.14001849999999999</v>
      </c>
      <c r="U5303">
        <v>0.34289550000000002</v>
      </c>
      <c r="V5303">
        <v>2.6579780000000001E-2</v>
      </c>
      <c r="W5303">
        <v>-7.3198229999999996E-3</v>
      </c>
      <c r="X5303">
        <v>0.99961990000000001</v>
      </c>
      <c r="Y5303">
        <v>-0.2003848</v>
      </c>
      <c r="Z5303">
        <v>8.6829869999999996E-3</v>
      </c>
      <c r="AA5303">
        <v>0.97967879999999996</v>
      </c>
      <c r="AB5303">
        <v>25</v>
      </c>
      <c r="AC5303">
        <v>24.221799999999899</v>
      </c>
      <c r="AD5303">
        <v>-1.1170740817329901</v>
      </c>
      <c r="AE5303">
        <v>2.7481499999999901</v>
      </c>
      <c r="AF5303">
        <v>-4.9182790893236898</v>
      </c>
      <c r="AG5303">
        <v>-1.1170740817329901</v>
      </c>
      <c r="AH5303">
        <v>23.823739936634801</v>
      </c>
      <c r="AI5303">
        <v>92.629219204525597</v>
      </c>
      <c r="AJ5303">
        <v>101.664527206394</v>
      </c>
      <c r="AK5303">
        <v>24.351753700154099</v>
      </c>
      <c r="AL5303">
        <v>90.419398708071597</v>
      </c>
      <c r="AM5303">
        <v>88.476870602099297</v>
      </c>
      <c r="AN5303">
        <v>1.0000000044948001</v>
      </c>
    </row>
    <row r="5304" spans="1:40" x14ac:dyDescent="0.25">
      <c r="A5304" t="str">
        <f>"20190312161422891"</f>
        <v>20190312161422891</v>
      </c>
      <c r="B5304" t="str">
        <f>"1552378462881904"</f>
        <v>1552378462881904</v>
      </c>
      <c r="C5304" t="s">
        <v>40</v>
      </c>
      <c r="D5304">
        <v>5.5446160000000004</v>
      </c>
      <c r="E5304">
        <v>0.41050110000000001</v>
      </c>
      <c r="F5304" t="s">
        <v>95</v>
      </c>
      <c r="G5304">
        <v>-371.14870000000002</v>
      </c>
      <c r="H5304" s="1">
        <v>-4.3209880000000003E-6</v>
      </c>
      <c r="I5304">
        <v>18.734529999999999</v>
      </c>
      <c r="J5304">
        <v>-400.28199999999998</v>
      </c>
      <c r="K5304">
        <v>1.117008</v>
      </c>
      <c r="L5304">
        <v>15.17609</v>
      </c>
      <c r="M5304">
        <v>0.99624069999999998</v>
      </c>
      <c r="N5304">
        <v>0</v>
      </c>
      <c r="O5304">
        <v>-8.5343180000000005E-2</v>
      </c>
      <c r="P5304">
        <v>0.99340329999999999</v>
      </c>
      <c r="Q5304">
        <v>-2.2607510000000001E-2</v>
      </c>
      <c r="R5304">
        <v>-0.11242240000000001</v>
      </c>
      <c r="S5304">
        <v>3.0625610000000001</v>
      </c>
      <c r="T5304">
        <v>-0.1169187</v>
      </c>
      <c r="U5304">
        <v>0.37179570000000001</v>
      </c>
      <c r="V5304">
        <v>2.7346599999999999E-2</v>
      </c>
      <c r="W5304">
        <v>-7.2969769999999996E-3</v>
      </c>
      <c r="X5304">
        <v>0.99959940000000003</v>
      </c>
      <c r="Y5304">
        <v>-0.20459759999999999</v>
      </c>
      <c r="Z5304">
        <v>7.1363809999999998E-3</v>
      </c>
      <c r="AA5304">
        <v>0.97882009999999997</v>
      </c>
      <c r="AB5304">
        <v>25</v>
      </c>
      <c r="AC5304">
        <v>29.133299999999899</v>
      </c>
      <c r="AD5304">
        <v>-1.1170123209880001</v>
      </c>
      <c r="AE5304">
        <v>3.5584399999999898</v>
      </c>
      <c r="AF5304">
        <v>-6.0233332989649497</v>
      </c>
      <c r="AG5304">
        <v>-1.1170123209880001</v>
      </c>
      <c r="AH5304">
        <v>28.681720631379999</v>
      </c>
      <c r="AI5304">
        <v>92.182698057642099</v>
      </c>
      <c r="AJ5304">
        <v>101.860108137955</v>
      </c>
      <c r="AK5304">
        <v>29.3286440009113</v>
      </c>
      <c r="AL5304">
        <v>90.418089686653403</v>
      </c>
      <c r="AM5304">
        <v>88.432918181922403</v>
      </c>
      <c r="AN5304">
        <v>1.0000000214426199</v>
      </c>
    </row>
    <row r="5305" spans="1:40" x14ac:dyDescent="0.25">
      <c r="A5305" t="str">
        <f>"20190312161422902"</f>
        <v>20190312161422902</v>
      </c>
      <c r="B5305" t="str">
        <f>"1552378462892271"</f>
        <v>1552378462892271</v>
      </c>
      <c r="C5305" t="s">
        <v>40</v>
      </c>
      <c r="D5305">
        <v>5.468534</v>
      </c>
      <c r="E5305">
        <v>0.41138429999999998</v>
      </c>
      <c r="F5305" t="s">
        <v>95</v>
      </c>
      <c r="G5305">
        <v>-370.71800000000002</v>
      </c>
      <c r="H5305" s="1">
        <v>-4.5130060000000004E-6</v>
      </c>
      <c r="I5305">
        <v>18.799759999999999</v>
      </c>
      <c r="J5305">
        <v>-400.15289999999999</v>
      </c>
      <c r="K5305">
        <v>1.116946</v>
      </c>
      <c r="L5305">
        <v>15.170680000000001</v>
      </c>
      <c r="M5305">
        <v>0.99666900000000003</v>
      </c>
      <c r="N5305">
        <v>0</v>
      </c>
      <c r="O5305">
        <v>-8.0189910000000003E-2</v>
      </c>
      <c r="P5305">
        <v>0.99387840000000005</v>
      </c>
      <c r="Q5305">
        <v>-2.2692339999999998E-2</v>
      </c>
      <c r="R5305">
        <v>-0.1081239</v>
      </c>
      <c r="S5305">
        <v>3.059723</v>
      </c>
      <c r="T5305">
        <v>-0.11560479999999999</v>
      </c>
      <c r="U5305">
        <v>0.37503049999999999</v>
      </c>
      <c r="V5305">
        <v>2.8192180000000001E-2</v>
      </c>
      <c r="W5305">
        <v>-7.3892089999999999E-3</v>
      </c>
      <c r="X5305">
        <v>0.9995752</v>
      </c>
      <c r="Y5305">
        <v>-0.20067289999999999</v>
      </c>
      <c r="Z5305">
        <v>6.7945590000000004E-3</v>
      </c>
      <c r="AA5305">
        <v>0.97963469999999997</v>
      </c>
      <c r="AB5305">
        <v>25</v>
      </c>
      <c r="AC5305">
        <v>29.434899999999899</v>
      </c>
      <c r="AD5305">
        <v>-1.116950513006</v>
      </c>
      <c r="AE5305">
        <v>3.6290800000000001</v>
      </c>
      <c r="AF5305">
        <v>-5.9695655028318102</v>
      </c>
      <c r="AG5305">
        <v>-1.116950513006</v>
      </c>
      <c r="AH5305">
        <v>29.007895288069601</v>
      </c>
      <c r="AI5305">
        <v>92.159870841549207</v>
      </c>
      <c r="AJ5305">
        <v>101.628615876949</v>
      </c>
      <c r="AK5305">
        <v>29.6368230379829</v>
      </c>
      <c r="AL5305">
        <v>90.4233743466947</v>
      </c>
      <c r="AM5305">
        <v>88.3844488885278</v>
      </c>
      <c r="AN5305">
        <v>0.99999998993891903</v>
      </c>
    </row>
    <row r="5306" spans="1:40" x14ac:dyDescent="0.25">
      <c r="A5306" t="str">
        <f>"20190312161422913"</f>
        <v>20190312161422913</v>
      </c>
      <c r="B5306" t="str">
        <f>"1552378462902032"</f>
        <v>1552378462902032</v>
      </c>
      <c r="C5306" t="s">
        <v>40</v>
      </c>
      <c r="D5306">
        <v>5.6107180000000003</v>
      </c>
      <c r="E5306">
        <v>0.4119101</v>
      </c>
      <c r="F5306" t="s">
        <v>95</v>
      </c>
      <c r="G5306">
        <v>-371.41609999999997</v>
      </c>
      <c r="H5306" s="1">
        <v>-4.1907539999999998E-6</v>
      </c>
      <c r="I5306">
        <v>18.756049999999998</v>
      </c>
      <c r="J5306">
        <v>-400.03309999999999</v>
      </c>
      <c r="K5306">
        <v>1.116886</v>
      </c>
      <c r="L5306">
        <v>15.16611</v>
      </c>
      <c r="M5306">
        <v>0.99704020000000004</v>
      </c>
      <c r="N5306">
        <v>0</v>
      </c>
      <c r="O5306">
        <v>-7.5437589999999999E-2</v>
      </c>
      <c r="P5306">
        <v>0.99429219999999896</v>
      </c>
      <c r="Q5306">
        <v>-2.2652619999999998E-2</v>
      </c>
      <c r="R5306">
        <v>-0.10426000000000001</v>
      </c>
      <c r="S5306">
        <v>3.0572509999999999</v>
      </c>
      <c r="T5306">
        <v>-0.11883000000000001</v>
      </c>
      <c r="U5306">
        <v>0.38143919999999998</v>
      </c>
      <c r="V5306">
        <v>2.9070490000000001E-2</v>
      </c>
      <c r="W5306">
        <v>-7.3550219999999897E-3</v>
      </c>
      <c r="X5306">
        <v>0.9995503</v>
      </c>
      <c r="Y5306">
        <v>-0.1981144</v>
      </c>
      <c r="Z5306">
        <v>6.7552609999999898E-3</v>
      </c>
      <c r="AA5306">
        <v>0.98015560000000002</v>
      </c>
      <c r="AB5306">
        <v>25</v>
      </c>
      <c r="AC5306">
        <v>28.617000000000001</v>
      </c>
      <c r="AD5306">
        <v>-1.1168901907539901</v>
      </c>
      <c r="AE5306">
        <v>3.5899399999999901</v>
      </c>
      <c r="AF5306">
        <v>-5.7301500834733803</v>
      </c>
      <c r="AG5306">
        <v>-1.1168901907539901</v>
      </c>
      <c r="AH5306">
        <v>28.222268722294299</v>
      </c>
      <c r="AI5306">
        <v>92.221015213826902</v>
      </c>
      <c r="AJ5306">
        <v>101.477120388213</v>
      </c>
      <c r="AK5306">
        <v>28.819759116112099</v>
      </c>
      <c r="AL5306">
        <v>90.4214155200834</v>
      </c>
      <c r="AM5306">
        <v>88.3341038456756</v>
      </c>
      <c r="AN5306">
        <v>0.99999999598377498</v>
      </c>
    </row>
    <row r="5307" spans="1:40" x14ac:dyDescent="0.25">
      <c r="A5307" t="str">
        <f>"20190312161422926"</f>
        <v>20190312161422926</v>
      </c>
      <c r="B5307" t="str">
        <f>"1552378462921553"</f>
        <v>1552378462921553</v>
      </c>
      <c r="C5307" t="s">
        <v>40</v>
      </c>
      <c r="D5307">
        <v>5.5462410000000002</v>
      </c>
      <c r="E5307">
        <v>0.41292180000000001</v>
      </c>
      <c r="F5307" t="s">
        <v>96</v>
      </c>
      <c r="G5307">
        <v>-369.52690000000001</v>
      </c>
      <c r="H5307" s="1">
        <v>-3.3326109999999997E-7</v>
      </c>
      <c r="I5307">
        <v>19.048200000000001</v>
      </c>
      <c r="J5307">
        <v>-399.88440000000003</v>
      </c>
      <c r="K5307">
        <v>1.1168149999999999</v>
      </c>
      <c r="L5307">
        <v>15.161099999999999</v>
      </c>
      <c r="M5307">
        <v>0.99746559999999995</v>
      </c>
      <c r="N5307">
        <v>0</v>
      </c>
      <c r="O5307">
        <v>-6.9591020000000003E-2</v>
      </c>
      <c r="P5307">
        <v>0.99479899999999999</v>
      </c>
      <c r="Q5307">
        <v>-2.2819530000000001E-2</v>
      </c>
      <c r="R5307">
        <v>-9.9266859999999998E-2</v>
      </c>
      <c r="S5307">
        <v>3.05545</v>
      </c>
      <c r="T5307">
        <v>-0.1118658</v>
      </c>
      <c r="U5307">
        <v>0.38882450000000002</v>
      </c>
      <c r="V5307">
        <v>2.991396E-2</v>
      </c>
      <c r="W5307">
        <v>-7.5329949999999998E-3</v>
      </c>
      <c r="X5307">
        <v>0.99952410000000003</v>
      </c>
      <c r="Y5307">
        <v>-0.1947991</v>
      </c>
      <c r="Z5307">
        <v>6.0888100000000001E-3</v>
      </c>
      <c r="AA5307">
        <v>0.98082429999999998</v>
      </c>
      <c r="AB5307">
        <v>25</v>
      </c>
      <c r="AC5307">
        <v>30.357500000000002</v>
      </c>
      <c r="AD5307">
        <v>-1.1168153332610999</v>
      </c>
      <c r="AE5307">
        <v>3.8871000000000002</v>
      </c>
      <c r="AF5307">
        <v>-5.9825490613038896</v>
      </c>
      <c r="AG5307">
        <v>-1.1168153332610999</v>
      </c>
      <c r="AH5307">
        <v>29.9734362416953</v>
      </c>
      <c r="AI5307">
        <v>92.092625042091001</v>
      </c>
      <c r="AJ5307">
        <v>101.28762037724201</v>
      </c>
      <c r="AK5307">
        <v>30.585046181009599</v>
      </c>
      <c r="AL5307">
        <v>90.431612898934603</v>
      </c>
      <c r="AM5307">
        <v>88.285751982926897</v>
      </c>
      <c r="AN5307">
        <v>1.00000000874868</v>
      </c>
    </row>
    <row r="5308" spans="1:40" x14ac:dyDescent="0.25">
      <c r="A5308" t="str">
        <f>"20190312161422944"</f>
        <v>20190312161422944</v>
      </c>
      <c r="B5308" t="str">
        <f>"1552378462932288"</f>
        <v>1552378462932288</v>
      </c>
      <c r="C5308" t="s">
        <v>40</v>
      </c>
      <c r="D5308">
        <v>5.5784039999999999</v>
      </c>
      <c r="E5308">
        <v>0.4136706</v>
      </c>
      <c r="F5308" t="s">
        <v>96</v>
      </c>
      <c r="G5308">
        <v>-366.23500000000001</v>
      </c>
      <c r="H5308" s="1">
        <v>-1.796912E-6</v>
      </c>
      <c r="I5308">
        <v>19.521830000000001</v>
      </c>
      <c r="J5308">
        <v>-399.69310000000002</v>
      </c>
      <c r="K5308">
        <v>1.1167100000000001</v>
      </c>
      <c r="L5308">
        <v>15.15607</v>
      </c>
      <c r="M5308">
        <v>0.99795590000000001</v>
      </c>
      <c r="N5308">
        <v>0</v>
      </c>
      <c r="O5308">
        <v>-6.2173800000000001E-2</v>
      </c>
      <c r="P5308">
        <v>0.99534809999999996</v>
      </c>
      <c r="Q5308">
        <v>-2.2947169999999999E-2</v>
      </c>
      <c r="R5308">
        <v>-9.357145E-2</v>
      </c>
      <c r="S5308">
        <v>3.0528559999999998</v>
      </c>
      <c r="T5308">
        <v>-0.1013237</v>
      </c>
      <c r="U5308">
        <v>0.39562989999999998</v>
      </c>
      <c r="V5308">
        <v>3.1623699999999998E-2</v>
      </c>
      <c r="W5308">
        <v>-7.6669399999999997E-3</v>
      </c>
      <c r="X5308">
        <v>0.99947039999999998</v>
      </c>
      <c r="Y5308">
        <v>-0.1897982</v>
      </c>
      <c r="Z5308">
        <v>5.1913949999999997E-3</v>
      </c>
      <c r="AA5308">
        <v>0.98180940000000005</v>
      </c>
      <c r="AB5308">
        <v>25</v>
      </c>
      <c r="AC5308">
        <v>33.458100000000002</v>
      </c>
      <c r="AD5308">
        <v>-1.116711796912</v>
      </c>
      <c r="AE5308">
        <v>4.3657599999999901</v>
      </c>
      <c r="AF5308">
        <v>-6.4307125450812297</v>
      </c>
      <c r="AG5308">
        <v>-1.116711796912</v>
      </c>
      <c r="AH5308">
        <v>33.085650265653598</v>
      </c>
      <c r="AI5308">
        <v>91.897636371637901</v>
      </c>
      <c r="AJ5308">
        <v>100.999188376852</v>
      </c>
      <c r="AK5308">
        <v>33.723305925961199</v>
      </c>
      <c r="AL5308">
        <v>90.439287624935901</v>
      </c>
      <c r="AM5308">
        <v>88.187739965287903</v>
      </c>
      <c r="AN5308">
        <v>0.999999960423406</v>
      </c>
    </row>
    <row r="5309" spans="1:40" x14ac:dyDescent="0.25">
      <c r="A5309" t="str">
        <f>"20190312161422967"</f>
        <v>20190312161422967</v>
      </c>
      <c r="B5309" t="str">
        <f>"1552378462961569"</f>
        <v>1552378462961569</v>
      </c>
      <c r="C5309" t="s">
        <v>40</v>
      </c>
      <c r="D5309">
        <v>5.9430139999999998</v>
      </c>
      <c r="E5309">
        <v>0.41524339999999998</v>
      </c>
      <c r="F5309" t="s">
        <v>96</v>
      </c>
      <c r="G5309">
        <v>-365.78919999999999</v>
      </c>
      <c r="H5309" s="1">
        <v>-2.0082499999999998E-6</v>
      </c>
      <c r="I5309">
        <v>19.6814</v>
      </c>
      <c r="J5309">
        <v>-399.44229999999999</v>
      </c>
      <c r="K5309">
        <v>1.116563</v>
      </c>
      <c r="L5309">
        <v>15.151249999999999</v>
      </c>
      <c r="M5309">
        <v>0.99850660000000002</v>
      </c>
      <c r="N5309">
        <v>0</v>
      </c>
      <c r="O5309">
        <v>-5.2599949999999999E-2</v>
      </c>
      <c r="P5309">
        <v>0.99603520000000001</v>
      </c>
      <c r="Q5309">
        <v>-2.3122549999999999E-2</v>
      </c>
      <c r="R5309">
        <v>-8.5904399999999895E-2</v>
      </c>
      <c r="S5309">
        <v>3.050049</v>
      </c>
      <c r="T5309">
        <v>-0.10046090000000001</v>
      </c>
      <c r="U5309">
        <v>0.40710449999999998</v>
      </c>
      <c r="V5309">
        <v>3.3513109999999999E-2</v>
      </c>
      <c r="W5309">
        <v>-7.8588830000000005E-3</v>
      </c>
      <c r="X5309">
        <v>0.99940739999999995</v>
      </c>
      <c r="Y5309">
        <v>-0.1841352</v>
      </c>
      <c r="Z5309">
        <v>4.7437770000000002E-3</v>
      </c>
      <c r="AA5309">
        <v>0.98288949999999997</v>
      </c>
      <c r="AB5309">
        <v>25</v>
      </c>
      <c r="AC5309">
        <v>33.653099999999903</v>
      </c>
      <c r="AD5309">
        <v>-1.11656500825</v>
      </c>
      <c r="AE5309">
        <v>4.5301499999999999</v>
      </c>
      <c r="AF5309">
        <v>-6.2874234177000003</v>
      </c>
      <c r="AG5309">
        <v>-1.11656500825</v>
      </c>
      <c r="AH5309">
        <v>33.332151276377701</v>
      </c>
      <c r="AI5309">
        <v>91.885360767404507</v>
      </c>
      <c r="AJ5309">
        <v>100.682154164184</v>
      </c>
      <c r="AK5309">
        <v>33.938337015275501</v>
      </c>
      <c r="AL5309">
        <v>90.450285453357907</v>
      </c>
      <c r="AM5309">
        <v>88.079421333370306</v>
      </c>
      <c r="AN5309">
        <v>1.0000000208793101</v>
      </c>
    </row>
    <row r="5310" spans="1:40" x14ac:dyDescent="0.25">
      <c r="A5310" t="str">
        <f>"20190312161422979"</f>
        <v>20190312161422979</v>
      </c>
      <c r="B5310" t="str">
        <f>"1552378462972304"</f>
        <v>1552378462972304</v>
      </c>
      <c r="C5310" t="s">
        <v>40</v>
      </c>
      <c r="D5310">
        <v>5.5014349999999999</v>
      </c>
      <c r="E5310">
        <v>0.41524339999999998</v>
      </c>
      <c r="F5310" t="s">
        <v>96</v>
      </c>
      <c r="G5310">
        <v>-364.06529999999998</v>
      </c>
      <c r="H5310" s="1">
        <v>-2.909207E-6</v>
      </c>
      <c r="I5310">
        <v>20.004930000000002</v>
      </c>
      <c r="J5310">
        <v>-399.31849999999997</v>
      </c>
      <c r="K5310">
        <v>1.1164879999999999</v>
      </c>
      <c r="L5310">
        <v>15.149900000000001</v>
      </c>
      <c r="M5310">
        <v>0.99873999999999996</v>
      </c>
      <c r="N5310">
        <v>0</v>
      </c>
      <c r="O5310">
        <v>-4.7970180000000001E-2</v>
      </c>
      <c r="P5310">
        <v>0.99635019999999996</v>
      </c>
      <c r="Q5310">
        <v>-2.3078370000000001E-2</v>
      </c>
      <c r="R5310">
        <v>-8.2182619999999998E-2</v>
      </c>
      <c r="S5310">
        <v>3.045776</v>
      </c>
      <c r="T5310">
        <v>-9.6130610000000005E-2</v>
      </c>
      <c r="U5310">
        <v>0.4178772</v>
      </c>
      <c r="V5310">
        <v>3.4410679999999999E-2</v>
      </c>
      <c r="W5310">
        <v>-7.8251150000000005E-3</v>
      </c>
      <c r="X5310">
        <v>0.99937710000000002</v>
      </c>
      <c r="Y5310">
        <v>-0.18318599999999999</v>
      </c>
      <c r="Z5310">
        <v>4.3842380000000004E-3</v>
      </c>
      <c r="AA5310">
        <v>0.98306850000000001</v>
      </c>
      <c r="AB5310">
        <v>25</v>
      </c>
      <c r="AC5310">
        <v>35.2531999999999</v>
      </c>
      <c r="AD5310">
        <v>-1.1164909092069999</v>
      </c>
      <c r="AE5310">
        <v>4.8550299999999904</v>
      </c>
      <c r="AF5310">
        <v>-6.5342935270962297</v>
      </c>
      <c r="AG5310">
        <v>-1.1164909092069999</v>
      </c>
      <c r="AH5310">
        <v>34.945285906389699</v>
      </c>
      <c r="AI5310">
        <v>91.798804233434495</v>
      </c>
      <c r="AJ5310">
        <v>100.59122543718399</v>
      </c>
      <c r="AK5310">
        <v>35.568476927300502</v>
      </c>
      <c r="AL5310">
        <v>90.4483506583653</v>
      </c>
      <c r="AM5310">
        <v>88.027963482799294</v>
      </c>
      <c r="AN5310">
        <v>0.99999995766361605</v>
      </c>
    </row>
    <row r="5311" spans="1:40" x14ac:dyDescent="0.25">
      <c r="A5311" t="str">
        <f>"20190312161422993"</f>
        <v>20190312161422993</v>
      </c>
      <c r="B5311" t="str">
        <f>"1552378462982064"</f>
        <v>1552378462982064</v>
      </c>
      <c r="C5311" t="s">
        <v>40</v>
      </c>
      <c r="D5311">
        <v>5.4519760000000002</v>
      </c>
      <c r="E5311">
        <v>0.43722670000000002</v>
      </c>
      <c r="F5311" t="s">
        <v>96</v>
      </c>
      <c r="G5311">
        <v>-363.8193</v>
      </c>
      <c r="H5311" s="1">
        <v>-3.0654969999999998E-6</v>
      </c>
      <c r="I5311">
        <v>20.15523</v>
      </c>
      <c r="J5311">
        <v>-399.16039999999998</v>
      </c>
      <c r="K5311">
        <v>1.1163940000000001</v>
      </c>
      <c r="L5311">
        <v>15.14865</v>
      </c>
      <c r="M5311">
        <v>0.99900489999999997</v>
      </c>
      <c r="N5311">
        <v>0</v>
      </c>
      <c r="O5311">
        <v>-4.2102290000000001E-2</v>
      </c>
      <c r="P5311">
        <v>0.99674669999999999</v>
      </c>
      <c r="Q5311">
        <v>-2.3101509999999999E-2</v>
      </c>
      <c r="R5311">
        <v>-7.7214790000000005E-2</v>
      </c>
      <c r="S5311">
        <v>3.0442200000000001</v>
      </c>
      <c r="T5311">
        <v>-9.5744250000000003E-2</v>
      </c>
      <c r="U5311">
        <v>0.42922969999999999</v>
      </c>
      <c r="V5311">
        <v>3.5298259999999998E-2</v>
      </c>
      <c r="W5311">
        <v>-7.8657499999999995E-3</v>
      </c>
      <c r="X5311">
        <v>0.99934579999999995</v>
      </c>
      <c r="Y5311">
        <v>-0.1810795</v>
      </c>
      <c r="Z5311">
        <v>4.15103E-3</v>
      </c>
      <c r="AA5311">
        <v>0.98345970000000005</v>
      </c>
      <c r="AB5311">
        <v>25</v>
      </c>
      <c r="AC5311">
        <v>35.341099999999898</v>
      </c>
      <c r="AD5311">
        <v>-1.1163970654969999</v>
      </c>
      <c r="AE5311">
        <v>5.0065799999999996</v>
      </c>
      <c r="AF5311">
        <v>-6.48389930324372</v>
      </c>
      <c r="AG5311">
        <v>-1.1163970654969999</v>
      </c>
      <c r="AH5311">
        <v>35.064643309705602</v>
      </c>
      <c r="AI5311">
        <v>91.793202444384207</v>
      </c>
      <c r="AJ5311">
        <v>100.476383938894</v>
      </c>
      <c r="AK5311">
        <v>35.6765539678279</v>
      </c>
      <c r="AL5311">
        <v>90.450678955424493</v>
      </c>
      <c r="AM5311">
        <v>87.977075716997803</v>
      </c>
      <c r="AN5311">
        <v>0.99999993257986197</v>
      </c>
    </row>
    <row r="5312" spans="1:40" x14ac:dyDescent="0.25">
      <c r="A5312" t="str">
        <f>"20190312161423005"</f>
        <v>20190312161423005</v>
      </c>
      <c r="B5312" t="str">
        <f>"1552378463001584"</f>
        <v>1552378463001584</v>
      </c>
      <c r="C5312" t="s">
        <v>40</v>
      </c>
      <c r="D5312">
        <v>5.3985940000000001</v>
      </c>
      <c r="E5312">
        <v>0.43892829999999999</v>
      </c>
      <c r="F5312" t="s">
        <v>82</v>
      </c>
      <c r="G5312">
        <v>-273.40989999999999</v>
      </c>
      <c r="H5312">
        <v>1.4436819999999999</v>
      </c>
      <c r="I5312">
        <v>26.110340000000001</v>
      </c>
      <c r="J5312">
        <v>-399.02499999999998</v>
      </c>
      <c r="K5312">
        <v>1.1163069999999999</v>
      </c>
      <c r="L5312">
        <v>15.1482799999999</v>
      </c>
      <c r="M5312">
        <v>0.99920180000000003</v>
      </c>
      <c r="N5312">
        <v>0</v>
      </c>
      <c r="O5312">
        <v>-3.714547E-2</v>
      </c>
      <c r="P5312">
        <v>0.99705100000000002</v>
      </c>
      <c r="Q5312">
        <v>-2.32534E-2</v>
      </c>
      <c r="R5312">
        <v>-7.3133710000000005E-2</v>
      </c>
      <c r="S5312">
        <v>3.0303960000000001</v>
      </c>
      <c r="T5312">
        <v>7.8872439999999999E-3</v>
      </c>
      <c r="U5312">
        <v>0.26416020000000001</v>
      </c>
      <c r="V5312">
        <v>3.6165959999999997E-2</v>
      </c>
      <c r="W5312">
        <v>-8.0319399999999996E-3</v>
      </c>
      <c r="X5312">
        <v>0.99931349999999997</v>
      </c>
      <c r="Y5312">
        <v>-0.1237895</v>
      </c>
      <c r="Z5312">
        <v>-2.5731769999999998E-4</v>
      </c>
      <c r="AA5312">
        <v>0.99230839999999998</v>
      </c>
      <c r="AB5312">
        <v>25</v>
      </c>
      <c r="AC5312">
        <v>125.615099999999</v>
      </c>
      <c r="AD5312">
        <v>0.32737500000000003</v>
      </c>
      <c r="AE5312">
        <v>10.962059999999999</v>
      </c>
      <c r="AF5312">
        <v>-15.620923696609299</v>
      </c>
      <c r="AG5312">
        <v>0.32737500000000003</v>
      </c>
      <c r="AH5312">
        <v>125.120312114797</v>
      </c>
      <c r="AI5312">
        <v>89.851241832821302</v>
      </c>
      <c r="AJ5312">
        <v>97.116397463327999</v>
      </c>
      <c r="AK5312">
        <v>126.092081175743</v>
      </c>
      <c r="AL5312">
        <v>90.4602012206838</v>
      </c>
      <c r="AM5312">
        <v>87.927324213720794</v>
      </c>
      <c r="AN5312">
        <v>0.99999998000256696</v>
      </c>
    </row>
    <row r="5313" spans="1:40" x14ac:dyDescent="0.25">
      <c r="A5313" t="str">
        <f>"20190312161423024"</f>
        <v>20190312161423024</v>
      </c>
      <c r="B5313" t="str">
        <f>"1552378463011344"</f>
        <v>1552378463011344</v>
      </c>
      <c r="C5313" t="s">
        <v>40</v>
      </c>
      <c r="D5313">
        <v>5.3848669999999998</v>
      </c>
      <c r="E5313">
        <v>0.43956040000000002</v>
      </c>
      <c r="F5313" t="s">
        <v>98</v>
      </c>
      <c r="G5313">
        <v>-276.14389999999997</v>
      </c>
      <c r="H5313">
        <v>1.7667889999999999</v>
      </c>
      <c r="I5313">
        <v>25.800850000000001</v>
      </c>
      <c r="J5313">
        <v>-398.8263</v>
      </c>
      <c r="K5313">
        <v>1.1161760000000001</v>
      </c>
      <c r="L5313">
        <v>15.148929999999901</v>
      </c>
      <c r="M5313">
        <v>0.99944270000000002</v>
      </c>
      <c r="N5313">
        <v>0</v>
      </c>
      <c r="O5313">
        <v>-2.998663E-2</v>
      </c>
      <c r="P5313">
        <v>0.99742549999999996</v>
      </c>
      <c r="Q5313">
        <v>-2.340536E-2</v>
      </c>
      <c r="R5313">
        <v>-6.7782980000000007E-2</v>
      </c>
      <c r="S5313">
        <v>3.0285030000000002</v>
      </c>
      <c r="T5313">
        <v>1.603162E-2</v>
      </c>
      <c r="U5313">
        <v>0.26254270000000002</v>
      </c>
      <c r="V5313">
        <v>3.7962370000000002E-2</v>
      </c>
      <c r="W5313">
        <v>-8.1982219999999998E-3</v>
      </c>
      <c r="X5313">
        <v>0.99924550000000001</v>
      </c>
      <c r="Y5313">
        <v>-0.1162036</v>
      </c>
      <c r="Z5313">
        <v>-4.6547770000000002E-4</v>
      </c>
      <c r="AA5313">
        <v>0.99322529999999998</v>
      </c>
      <c r="AB5313">
        <v>25</v>
      </c>
      <c r="AC5313">
        <v>122.6824</v>
      </c>
      <c r="AD5313">
        <v>0.650612999999999</v>
      </c>
      <c r="AE5313">
        <v>10.65192</v>
      </c>
      <c r="AF5313">
        <v>-14.325956350293</v>
      </c>
      <c r="AG5313">
        <v>0.650612999999999</v>
      </c>
      <c r="AH5313">
        <v>122.304354317377</v>
      </c>
      <c r="AI5313">
        <v>89.697280541083103</v>
      </c>
      <c r="AJ5313">
        <v>96.680820932909896</v>
      </c>
      <c r="AK5313">
        <v>123.142240549767</v>
      </c>
      <c r="AL5313">
        <v>90.469728800424804</v>
      </c>
      <c r="AM5313">
        <v>87.824320409410902</v>
      </c>
      <c r="AN5313">
        <v>0.999999960825113</v>
      </c>
    </row>
    <row r="5314" spans="1:40" x14ac:dyDescent="0.25">
      <c r="A5314" t="str">
        <f>"20190312161423037"</f>
        <v>20190312161423037</v>
      </c>
      <c r="B5314" t="str">
        <f>"1552378463031840"</f>
        <v>1552378463031840</v>
      </c>
      <c r="C5314" t="s">
        <v>40</v>
      </c>
      <c r="D5314">
        <v>5.4976089999999997</v>
      </c>
      <c r="E5314">
        <v>0.44086730000000002</v>
      </c>
      <c r="F5314" t="s">
        <v>82</v>
      </c>
      <c r="G5314">
        <v>-273.40989999999999</v>
      </c>
      <c r="H5314">
        <v>1.8057589999999999</v>
      </c>
      <c r="I5314">
        <v>26.49052</v>
      </c>
      <c r="J5314">
        <v>-398.67399999999998</v>
      </c>
      <c r="K5314">
        <v>1.1160779999999999</v>
      </c>
      <c r="L5314">
        <v>15.1503</v>
      </c>
      <c r="M5314">
        <v>0.99958999999999998</v>
      </c>
      <c r="N5314">
        <v>0</v>
      </c>
      <c r="O5314">
        <v>-2.4598479999999999E-2</v>
      </c>
      <c r="P5314">
        <v>0.99772850000000002</v>
      </c>
      <c r="Q5314">
        <v>-2.3288179999999999E-2</v>
      </c>
      <c r="R5314">
        <v>-6.3209500000000002E-2</v>
      </c>
      <c r="S5314">
        <v>3.0267330000000001</v>
      </c>
      <c r="T5314">
        <v>1.6642089999999998E-2</v>
      </c>
      <c r="U5314">
        <v>0.27371220000000002</v>
      </c>
      <c r="V5314">
        <v>3.8764369999999999E-2</v>
      </c>
      <c r="W5314">
        <v>-8.1006529999999993E-3</v>
      </c>
      <c r="X5314">
        <v>0.99921550000000003</v>
      </c>
      <c r="Y5314">
        <v>-0.11453579999999999</v>
      </c>
      <c r="Z5314">
        <v>-4.4925340000000002E-4</v>
      </c>
      <c r="AA5314">
        <v>0.99341900000000005</v>
      </c>
      <c r="AB5314">
        <v>25</v>
      </c>
      <c r="AC5314">
        <v>125.2641</v>
      </c>
      <c r="AD5314">
        <v>0.68968099999999999</v>
      </c>
      <c r="AE5314">
        <v>11.34022</v>
      </c>
      <c r="AF5314">
        <v>-14.417991691924501</v>
      </c>
      <c r="AG5314">
        <v>0.68968099999999999</v>
      </c>
      <c r="AH5314">
        <v>124.94344951685299</v>
      </c>
      <c r="AI5314">
        <v>89.685818548681397</v>
      </c>
      <c r="AJ5314">
        <v>96.582596244986405</v>
      </c>
      <c r="AK5314">
        <v>125.77447961125</v>
      </c>
      <c r="AL5314">
        <v>90.464138324794604</v>
      </c>
      <c r="AM5314">
        <v>87.778335549056493</v>
      </c>
      <c r="AN5314">
        <v>0.99999995620038495</v>
      </c>
    </row>
    <row r="5315" spans="1:40" x14ac:dyDescent="0.25">
      <c r="A5315" t="str">
        <f>"20190312161423058"</f>
        <v>20190312161423058</v>
      </c>
      <c r="B5315" t="str">
        <f>"1552378463051360"</f>
        <v>1552378463051360</v>
      </c>
      <c r="C5315" t="s">
        <v>40</v>
      </c>
      <c r="D5315">
        <v>5.4417799999999996</v>
      </c>
      <c r="E5315">
        <v>0.44217770000000001</v>
      </c>
      <c r="F5315" t="s">
        <v>99</v>
      </c>
      <c r="G5315">
        <v>-279.68</v>
      </c>
      <c r="H5315">
        <v>1.2353379999999901</v>
      </c>
      <c r="I5315">
        <v>26.08342</v>
      </c>
      <c r="J5315">
        <v>-398.44830000000002</v>
      </c>
      <c r="K5315">
        <v>1.1159289999999999</v>
      </c>
      <c r="L5315">
        <v>15.15363</v>
      </c>
      <c r="M5315">
        <v>0.9997528</v>
      </c>
      <c r="N5315">
        <v>0</v>
      </c>
      <c r="O5315">
        <v>-1.6760540000000001E-2</v>
      </c>
      <c r="P5315">
        <v>0.99810529999999997</v>
      </c>
      <c r="Q5315">
        <v>-2.3268130000000001E-2</v>
      </c>
      <c r="R5315">
        <v>-5.6959000000000003E-2</v>
      </c>
      <c r="S5315">
        <v>3.0245359999999999</v>
      </c>
      <c r="T5315">
        <v>3.031373E-3</v>
      </c>
      <c r="U5315">
        <v>0.277893099999999</v>
      </c>
      <c r="V5315">
        <v>4.0336650000000002E-2</v>
      </c>
      <c r="W5315">
        <v>-8.1054990000000004E-3</v>
      </c>
      <c r="X5315">
        <v>0.99915330000000002</v>
      </c>
      <c r="Y5315">
        <v>-0.1081733</v>
      </c>
      <c r="Z5315" s="1">
        <v>-7.0862519999999996E-5</v>
      </c>
      <c r="AA5315">
        <v>0.99413200000000002</v>
      </c>
      <c r="AB5315">
        <v>25</v>
      </c>
      <c r="AC5315">
        <v>118.7683</v>
      </c>
      <c r="AD5315">
        <v>0.119408999999999</v>
      </c>
      <c r="AE5315">
        <v>10.929789999999899</v>
      </c>
      <c r="AF5315">
        <v>-12.9190747396477</v>
      </c>
      <c r="AG5315">
        <v>0.119408999999999</v>
      </c>
      <c r="AH5315">
        <v>118.568285748043</v>
      </c>
      <c r="AI5315">
        <v>89.9426374819177</v>
      </c>
      <c r="AJ5315">
        <v>96.218356616605703</v>
      </c>
      <c r="AK5315">
        <v>119.270093216479</v>
      </c>
      <c r="AL5315">
        <v>90.464415954682593</v>
      </c>
      <c r="AM5315">
        <v>87.688177105991002</v>
      </c>
      <c r="AN5315">
        <v>1.00000003067407</v>
      </c>
    </row>
    <row r="5316" spans="1:40" x14ac:dyDescent="0.25">
      <c r="A5316" t="str">
        <f>"20190312161423072"</f>
        <v>20190312161423072</v>
      </c>
      <c r="B5316" t="str">
        <f>"1552378463062096"</f>
        <v>1552378463062096</v>
      </c>
      <c r="C5316" t="s">
        <v>40</v>
      </c>
      <c r="D5316">
        <v>5.4380649999999999</v>
      </c>
      <c r="E5316">
        <v>0.44283929999999999</v>
      </c>
      <c r="F5316" t="s">
        <v>99</v>
      </c>
      <c r="G5316">
        <v>-279.68</v>
      </c>
      <c r="H5316">
        <v>1.2548809999999999</v>
      </c>
      <c r="I5316">
        <v>26.405850000000001</v>
      </c>
      <c r="J5316">
        <v>-398.29239999999999</v>
      </c>
      <c r="K5316">
        <v>1.115826</v>
      </c>
      <c r="L5316">
        <v>15.156739999999999</v>
      </c>
      <c r="M5316">
        <v>0.99982789999999999</v>
      </c>
      <c r="N5316">
        <v>0</v>
      </c>
      <c r="O5316">
        <v>-1.144915E-2</v>
      </c>
      <c r="P5316">
        <v>0.9983727</v>
      </c>
      <c r="Q5316">
        <v>-2.3043649999999999E-2</v>
      </c>
      <c r="R5316">
        <v>-5.2161310000000002E-2</v>
      </c>
      <c r="S5316">
        <v>3.0220950000000002</v>
      </c>
      <c r="T5316">
        <v>3.535748E-3</v>
      </c>
      <c r="U5316">
        <v>0.28631590000000001</v>
      </c>
      <c r="V5316">
        <v>4.0837520000000002E-2</v>
      </c>
      <c r="W5316">
        <v>-7.9066099999999997E-3</v>
      </c>
      <c r="X5316">
        <v>0.99913450000000004</v>
      </c>
      <c r="Y5316">
        <v>-0.1057116</v>
      </c>
      <c r="Z5316" s="1">
        <v>-7.5069530000000006E-5</v>
      </c>
      <c r="AA5316">
        <v>0.99439679999999997</v>
      </c>
      <c r="AB5316">
        <v>25</v>
      </c>
      <c r="AC5316">
        <v>118.612399999999</v>
      </c>
      <c r="AD5316">
        <v>0.13905499999999901</v>
      </c>
      <c r="AE5316">
        <v>11.24911</v>
      </c>
      <c r="AF5316">
        <v>-12.6065112330958</v>
      </c>
      <c r="AG5316">
        <v>0.13905499999999901</v>
      </c>
      <c r="AH5316">
        <v>118.475656198118</v>
      </c>
      <c r="AI5316">
        <v>89.933129411202898</v>
      </c>
      <c r="AJ5316">
        <v>96.073756150968293</v>
      </c>
      <c r="AK5316">
        <v>119.144553267608</v>
      </c>
      <c r="AL5316">
        <v>90.453020110955293</v>
      </c>
      <c r="AM5316">
        <v>87.659458376361101</v>
      </c>
      <c r="AN5316">
        <v>0.99999998330584605</v>
      </c>
    </row>
    <row r="5317" spans="1:40" x14ac:dyDescent="0.25">
      <c r="A5317" t="str">
        <f>"20190312161423091"</f>
        <v>20190312161423091</v>
      </c>
      <c r="B5317" t="str">
        <f>"1552378463081621"</f>
        <v>1552378463081621</v>
      </c>
      <c r="C5317" t="s">
        <v>40</v>
      </c>
      <c r="D5317">
        <v>5.431095</v>
      </c>
      <c r="E5317">
        <v>0.4434555</v>
      </c>
      <c r="F5317" t="s">
        <v>100</v>
      </c>
      <c r="G5317">
        <v>-279.68</v>
      </c>
      <c r="H5317">
        <v>1.2531300000000001</v>
      </c>
      <c r="I5317">
        <v>26.765840000000001</v>
      </c>
      <c r="J5317">
        <v>-398.08609999999999</v>
      </c>
      <c r="K5317">
        <v>1.115693</v>
      </c>
      <c r="L5317">
        <v>15.16211</v>
      </c>
      <c r="M5317">
        <v>0.99988359999999998</v>
      </c>
      <c r="N5317">
        <v>0</v>
      </c>
      <c r="O5317">
        <v>-4.5618079999999997E-3</v>
      </c>
      <c r="P5317">
        <v>0.99865720000000002</v>
      </c>
      <c r="Q5317">
        <v>-2.3099149999999999E-2</v>
      </c>
      <c r="R5317">
        <v>-4.6373259999999999E-2</v>
      </c>
      <c r="S5317">
        <v>3.0204469999999999</v>
      </c>
      <c r="T5317">
        <v>3.4962890000000001E-3</v>
      </c>
      <c r="U5317">
        <v>0.29562379999999999</v>
      </c>
      <c r="V5317">
        <v>4.192626E-2</v>
      </c>
      <c r="W5317">
        <v>-7.9915369999999999E-3</v>
      </c>
      <c r="X5317">
        <v>0.9990888</v>
      </c>
      <c r="Y5317">
        <v>-0.10194830000000001</v>
      </c>
      <c r="Z5317" s="1">
        <v>-6.4132679999999995E-5</v>
      </c>
      <c r="AA5317">
        <v>0.9947897</v>
      </c>
      <c r="AB5317">
        <v>25</v>
      </c>
      <c r="AC5317">
        <v>118.406099999999</v>
      </c>
      <c r="AD5317">
        <v>0.137436999999999</v>
      </c>
      <c r="AE5317">
        <v>11.603730000000001</v>
      </c>
      <c r="AF5317">
        <v>-12.1437961833314</v>
      </c>
      <c r="AG5317">
        <v>0.137436999999999</v>
      </c>
      <c r="AH5317">
        <v>118.351770175178</v>
      </c>
      <c r="AI5317">
        <v>89.933812328678599</v>
      </c>
      <c r="AJ5317">
        <v>95.858482288729505</v>
      </c>
      <c r="AK5317">
        <v>118.97324143802</v>
      </c>
      <c r="AL5317">
        <v>90.457886191481904</v>
      </c>
      <c r="AM5317">
        <v>87.597021274324902</v>
      </c>
      <c r="AN5317">
        <v>1.00000005311332</v>
      </c>
    </row>
    <row r="5318" spans="1:40" x14ac:dyDescent="0.25">
      <c r="A5318" t="str">
        <f>"20190312161423103"</f>
        <v>20190312161423103</v>
      </c>
      <c r="B5318" t="str">
        <f>"1552378463091377"</f>
        <v>1552378463091377</v>
      </c>
      <c r="C5318" t="s">
        <v>40</v>
      </c>
      <c r="D5318">
        <v>5.4611210000000003</v>
      </c>
      <c r="E5318">
        <v>0.4434555</v>
      </c>
      <c r="F5318" t="s">
        <v>100</v>
      </c>
      <c r="G5318">
        <v>-279.68</v>
      </c>
      <c r="H5318">
        <v>1.206008</v>
      </c>
      <c r="I5318">
        <v>27.252079999999999</v>
      </c>
      <c r="J5318">
        <v>-397.95499999999998</v>
      </c>
      <c r="K5318">
        <v>1.1156060000000001</v>
      </c>
      <c r="L5318">
        <v>15.1662</v>
      </c>
      <c r="M5318">
        <v>0.99989419999999996</v>
      </c>
      <c r="N5318">
        <v>0</v>
      </c>
      <c r="O5318">
        <v>-2.7700270000000001E-4</v>
      </c>
      <c r="P5318">
        <v>0.99882530000000003</v>
      </c>
      <c r="Q5318">
        <v>-2.306648E-2</v>
      </c>
      <c r="R5318">
        <v>-4.2619039999999997E-2</v>
      </c>
      <c r="S5318">
        <v>3.018402</v>
      </c>
      <c r="T5318">
        <v>2.3021700000000001E-3</v>
      </c>
      <c r="U5318">
        <v>0.308197</v>
      </c>
      <c r="V5318">
        <v>4.2450090000000003E-2</v>
      </c>
      <c r="W5318">
        <v>-7.9800059999999996E-3</v>
      </c>
      <c r="X5318">
        <v>0.99906669999999997</v>
      </c>
      <c r="Y5318">
        <v>-0.1018535</v>
      </c>
      <c r="Z5318" s="1">
        <v>-3.8952419999999998E-5</v>
      </c>
      <c r="AA5318">
        <v>0.9947994</v>
      </c>
      <c r="AB5318">
        <v>25</v>
      </c>
      <c r="AC5318">
        <v>118.274999999999</v>
      </c>
      <c r="AD5318">
        <v>9.0402000000000093E-2</v>
      </c>
      <c r="AE5318">
        <v>12.08588</v>
      </c>
      <c r="AF5318">
        <v>-12.118638489260499</v>
      </c>
      <c r="AG5318">
        <v>9.0402000000000093E-2</v>
      </c>
      <c r="AH5318">
        <v>118.27157890428199</v>
      </c>
      <c r="AI5318">
        <v>89.956433541850004</v>
      </c>
      <c r="AJ5318">
        <v>95.850366269314605</v>
      </c>
      <c r="AK5318">
        <v>118.89085729301</v>
      </c>
      <c r="AL5318">
        <v>90.457225525860494</v>
      </c>
      <c r="AM5318">
        <v>87.566980369501806</v>
      </c>
      <c r="AN5318">
        <v>0.99999998084282804</v>
      </c>
    </row>
    <row r="5319" spans="1:40" x14ac:dyDescent="0.25">
      <c r="A5319" t="str">
        <f>"20190312161423116"</f>
        <v>20190312161423116</v>
      </c>
      <c r="B5319" t="str">
        <f>"1552378463111872"</f>
        <v>1552378463111872</v>
      </c>
      <c r="C5319" t="s">
        <v>40</v>
      </c>
      <c r="D5319">
        <v>5.43886</v>
      </c>
      <c r="E5319">
        <v>0.45199299999999998</v>
      </c>
      <c r="F5319" t="s">
        <v>100</v>
      </c>
      <c r="G5319">
        <v>-279.68</v>
      </c>
      <c r="H5319">
        <v>1.2166600000000001</v>
      </c>
      <c r="I5319">
        <v>27.691379999999999</v>
      </c>
      <c r="J5319">
        <v>-397.80930000000001</v>
      </c>
      <c r="K5319">
        <v>1.1155120000000001</v>
      </c>
      <c r="L5319">
        <v>15.17136</v>
      </c>
      <c r="M5319">
        <v>0.99988469999999996</v>
      </c>
      <c r="N5319">
        <v>0</v>
      </c>
      <c r="O5319">
        <v>4.4174119999999999E-3</v>
      </c>
      <c r="P5319">
        <v>0.99899510000000002</v>
      </c>
      <c r="Q5319">
        <v>-2.3093349999999999E-2</v>
      </c>
      <c r="R5319">
        <v>-3.8411220000000003E-2</v>
      </c>
      <c r="S5319">
        <v>3.0172119999999998</v>
      </c>
      <c r="T5319">
        <v>2.5777819999999998E-3</v>
      </c>
      <c r="U5319">
        <v>0.319519</v>
      </c>
      <c r="V5319">
        <v>4.2930790000000003E-2</v>
      </c>
      <c r="W5319">
        <v>-8.0315669999999999E-3</v>
      </c>
      <c r="X5319">
        <v>0.99904579999999998</v>
      </c>
      <c r="Y5319">
        <v>-0.10091550000000001</v>
      </c>
      <c r="Z5319" s="1">
        <v>-3.9225140000000001E-5</v>
      </c>
      <c r="AA5319">
        <v>0.99489499999999997</v>
      </c>
      <c r="AB5319">
        <v>25</v>
      </c>
      <c r="AC5319">
        <v>118.1293</v>
      </c>
      <c r="AD5319">
        <v>0.101148</v>
      </c>
      <c r="AE5319">
        <v>12.520020000000001</v>
      </c>
      <c r="AF5319">
        <v>-11.998008252166301</v>
      </c>
      <c r="AG5319">
        <v>0.101148</v>
      </c>
      <c r="AH5319">
        <v>118.183373430689</v>
      </c>
      <c r="AI5319">
        <v>89.951213810283306</v>
      </c>
      <c r="AJ5319">
        <v>95.796822851899904</v>
      </c>
      <c r="AK5319">
        <v>118.790875863404</v>
      </c>
      <c r="AL5319">
        <v>90.460179823521003</v>
      </c>
      <c r="AM5319">
        <v>87.539411392481497</v>
      </c>
      <c r="AN5319">
        <v>1.00000003464806</v>
      </c>
    </row>
    <row r="5320" spans="1:40" x14ac:dyDescent="0.25">
      <c r="A5320" t="str">
        <f>"20190312161423138"</f>
        <v>20190312161423138</v>
      </c>
      <c r="B5320" t="str">
        <f>"1552378463131392"</f>
        <v>1552378463131392</v>
      </c>
      <c r="C5320" t="s">
        <v>40</v>
      </c>
      <c r="D5320">
        <v>5.4340619999999999</v>
      </c>
      <c r="E5320">
        <v>0.451818</v>
      </c>
      <c r="F5320" t="s">
        <v>99</v>
      </c>
      <c r="G5320">
        <v>-279.68</v>
      </c>
      <c r="H5320">
        <v>0.58039049999999903</v>
      </c>
      <c r="I5320">
        <v>25.55969</v>
      </c>
      <c r="J5320">
        <v>-397.58580000000001</v>
      </c>
      <c r="K5320">
        <v>1.115367</v>
      </c>
      <c r="L5320">
        <v>15.18036</v>
      </c>
      <c r="M5320">
        <v>0.99982930000000003</v>
      </c>
      <c r="N5320">
        <v>0</v>
      </c>
      <c r="O5320">
        <v>1.146262E-2</v>
      </c>
      <c r="P5320">
        <v>0.99920770000000003</v>
      </c>
      <c r="Q5320">
        <v>-2.3263880000000001E-2</v>
      </c>
      <c r="R5320">
        <v>-3.2297329999999999E-2</v>
      </c>
      <c r="S5320">
        <v>3.0128780000000002</v>
      </c>
      <c r="T5320">
        <v>-1.364815E-2</v>
      </c>
      <c r="U5320">
        <v>0.26495360000000001</v>
      </c>
      <c r="V5320">
        <v>4.3855669999999999E-2</v>
      </c>
      <c r="W5320">
        <v>-8.2382080000000003E-3</v>
      </c>
      <c r="X5320">
        <v>0.99900389999999994</v>
      </c>
      <c r="Y5320">
        <v>-7.617612E-2</v>
      </c>
      <c r="Z5320">
        <v>1.203806E-4</v>
      </c>
      <c r="AA5320">
        <v>0.99709440000000005</v>
      </c>
      <c r="AB5320">
        <v>25</v>
      </c>
      <c r="AC5320">
        <v>117.9058</v>
      </c>
      <c r="AD5320">
        <v>-0.53497649999999997</v>
      </c>
      <c r="AE5320">
        <v>10.37933</v>
      </c>
      <c r="AF5320">
        <v>-9.0268122492188994</v>
      </c>
      <c r="AG5320">
        <v>-0.53497649999999997</v>
      </c>
      <c r="AH5320">
        <v>118.01462809048201</v>
      </c>
      <c r="AI5320">
        <v>90.258971401910998</v>
      </c>
      <c r="AJ5320">
        <v>94.373975889084306</v>
      </c>
      <c r="AK5320">
        <v>118.36055923563799</v>
      </c>
      <c r="AL5320">
        <v>90.472019893135496</v>
      </c>
      <c r="AM5320">
        <v>87.486363655628097</v>
      </c>
      <c r="AN5320">
        <v>0.99999999003870499</v>
      </c>
    </row>
    <row r="5321" spans="1:40" x14ac:dyDescent="0.25">
      <c r="A5321" t="str">
        <f>"20190312161423149"</f>
        <v>20190312161423149</v>
      </c>
      <c r="B5321" t="str">
        <f>"1552378463142129"</f>
        <v>1552378463142129</v>
      </c>
      <c r="C5321" t="s">
        <v>40</v>
      </c>
      <c r="D5321">
        <v>5.376296</v>
      </c>
      <c r="E5321">
        <v>0.45181130000000003</v>
      </c>
      <c r="F5321" t="s">
        <v>99</v>
      </c>
      <c r="G5321">
        <v>-279.68</v>
      </c>
      <c r="H5321">
        <v>0.95688200000000001</v>
      </c>
      <c r="I5321">
        <v>26.310089999999999</v>
      </c>
      <c r="J5321">
        <v>-397.44880000000001</v>
      </c>
      <c r="K5321">
        <v>1.1152709999999999</v>
      </c>
      <c r="L5321">
        <v>15.18646</v>
      </c>
      <c r="M5321">
        <v>0.99977199999999999</v>
      </c>
      <c r="N5321">
        <v>0</v>
      </c>
      <c r="O5321">
        <v>1.5701679999999999E-2</v>
      </c>
      <c r="P5321">
        <v>0.99932730000000003</v>
      </c>
      <c r="Q5321">
        <v>-2.310531E-2</v>
      </c>
      <c r="R5321">
        <v>-2.8485819999999999E-2</v>
      </c>
      <c r="S5321">
        <v>3.0115050000000001</v>
      </c>
      <c r="T5321">
        <v>-4.0478709999999998E-3</v>
      </c>
      <c r="U5321">
        <v>0.2842712</v>
      </c>
      <c r="V5321">
        <v>4.4277320000000002E-2</v>
      </c>
      <c r="W5321">
        <v>-8.1039040000000003E-3</v>
      </c>
      <c r="X5321">
        <v>0.99898640000000005</v>
      </c>
      <c r="Y5321">
        <v>-7.833184E-2</v>
      </c>
      <c r="Z5321" s="1">
        <v>3.1471489999999998E-5</v>
      </c>
      <c r="AA5321">
        <v>0.99692729999999996</v>
      </c>
      <c r="AB5321">
        <v>25</v>
      </c>
      <c r="AC5321">
        <v>117.7688</v>
      </c>
      <c r="AD5321">
        <v>-0.158388999999999</v>
      </c>
      <c r="AE5321">
        <v>11.12363</v>
      </c>
      <c r="AF5321">
        <v>-9.2728801238584797</v>
      </c>
      <c r="AG5321">
        <v>-0.158388999999999</v>
      </c>
      <c r="AH5321">
        <v>117.92874508791201</v>
      </c>
      <c r="AI5321">
        <v>90.076716583467899</v>
      </c>
      <c r="AJ5321">
        <v>94.4959857702123</v>
      </c>
      <c r="AK5321">
        <v>118.292858241216</v>
      </c>
      <c r="AL5321">
        <v>90.464324583404505</v>
      </c>
      <c r="AM5321">
        <v>87.462183365994903</v>
      </c>
      <c r="AN5321">
        <v>0.99999999085569102</v>
      </c>
    </row>
    <row r="5322" spans="1:40" x14ac:dyDescent="0.25">
      <c r="A5322" t="str">
        <f>"20190312161423170"</f>
        <v>20190312161423170</v>
      </c>
      <c r="B5322" t="str">
        <f>"1552378463161649"</f>
        <v>1552378463161649</v>
      </c>
      <c r="C5322" t="s">
        <v>40</v>
      </c>
      <c r="D5322">
        <v>5.4392050000000003</v>
      </c>
      <c r="E5322">
        <v>0.45269740000000003</v>
      </c>
      <c r="F5322" t="s">
        <v>100</v>
      </c>
      <c r="G5322">
        <v>-279.68</v>
      </c>
      <c r="H5322">
        <v>0.86241780000000001</v>
      </c>
      <c r="I5322">
        <v>26.763839999999998</v>
      </c>
      <c r="J5322">
        <v>-397.2285</v>
      </c>
      <c r="K5322">
        <v>1.11511</v>
      </c>
      <c r="L5322">
        <v>15.197509999999999</v>
      </c>
      <c r="M5322">
        <v>0.99964640000000005</v>
      </c>
      <c r="N5322">
        <v>0</v>
      </c>
      <c r="O5322">
        <v>2.2325859999999999E-2</v>
      </c>
      <c r="P5322">
        <v>0.99946990000000002</v>
      </c>
      <c r="Q5322">
        <v>-2.3250659999999999E-2</v>
      </c>
      <c r="R5322">
        <v>-2.27931E-2</v>
      </c>
      <c r="S5322">
        <v>3.010284</v>
      </c>
      <c r="T5322">
        <v>-6.4632889999999997E-3</v>
      </c>
      <c r="U5322">
        <v>0.295929</v>
      </c>
      <c r="V5322">
        <v>4.5204960000000002E-2</v>
      </c>
      <c r="W5322">
        <v>-8.2871130000000005E-3</v>
      </c>
      <c r="X5322">
        <v>0.99894340000000004</v>
      </c>
      <c r="Y5322">
        <v>-7.5588810000000006E-2</v>
      </c>
      <c r="Z5322" s="1">
        <v>3.314323E-5</v>
      </c>
      <c r="AA5322">
        <v>0.99713909999999994</v>
      </c>
      <c r="AB5322">
        <v>25</v>
      </c>
      <c r="AC5322">
        <v>117.5485</v>
      </c>
      <c r="AD5322">
        <v>-0.25269219999999998</v>
      </c>
      <c r="AE5322">
        <v>11.566330000000001</v>
      </c>
      <c r="AF5322">
        <v>-8.9387603842075798</v>
      </c>
      <c r="AG5322">
        <v>-0.25269219999999998</v>
      </c>
      <c r="AH5322">
        <v>117.776910720622</v>
      </c>
      <c r="AI5322">
        <v>90.122576279219899</v>
      </c>
      <c r="AJ5322">
        <v>94.340182338863201</v>
      </c>
      <c r="AK5322">
        <v>118.11590066306699</v>
      </c>
      <c r="AL5322">
        <v>90.474822014942305</v>
      </c>
      <c r="AM5322">
        <v>87.408974714673505</v>
      </c>
      <c r="AN5322">
        <v>1.00000004052701</v>
      </c>
    </row>
    <row r="5323" spans="1:40" x14ac:dyDescent="0.25">
      <c r="A5323" t="str">
        <f>"20190312161423191"</f>
        <v>20190312161423191</v>
      </c>
      <c r="B5323" t="str">
        <f>"1552378463182144"</f>
        <v>1552378463182144</v>
      </c>
      <c r="C5323" t="s">
        <v>40</v>
      </c>
      <c r="D5323">
        <v>5.4962739999999997</v>
      </c>
      <c r="E5323">
        <v>0.45307589999999998</v>
      </c>
      <c r="F5323" t="s">
        <v>100</v>
      </c>
      <c r="G5323">
        <v>-279.68</v>
      </c>
      <c r="H5323">
        <v>0.66281190000000001</v>
      </c>
      <c r="I5323">
        <v>27.163789999999999</v>
      </c>
      <c r="J5323">
        <v>-396.99419999999998</v>
      </c>
      <c r="K5323">
        <v>1.1149420000000001</v>
      </c>
      <c r="L5323">
        <v>15.210599999999999</v>
      </c>
      <c r="M5323">
        <v>0.99947129999999995</v>
      </c>
      <c r="N5323">
        <v>0</v>
      </c>
      <c r="O5323">
        <v>2.915015E-2</v>
      </c>
      <c r="P5323">
        <v>0.99958820000000004</v>
      </c>
      <c r="Q5323">
        <v>-2.3145180000000001E-2</v>
      </c>
      <c r="R5323">
        <v>-1.6978569999999998E-2</v>
      </c>
      <c r="S5323">
        <v>3.0083310000000001</v>
      </c>
      <c r="T5323">
        <v>-1.1575459999999999E-2</v>
      </c>
      <c r="U5323">
        <v>0.30624390000000001</v>
      </c>
      <c r="V5323">
        <v>4.6209279999999998E-2</v>
      </c>
      <c r="W5323">
        <v>-8.2233280000000002E-3</v>
      </c>
      <c r="X5323">
        <v>0.99889790000000001</v>
      </c>
      <c r="Y5323">
        <v>-7.2228559999999997E-2</v>
      </c>
      <c r="Z5323" s="1">
        <v>2.676908E-5</v>
      </c>
      <c r="AA5323">
        <v>0.9973881</v>
      </c>
      <c r="AB5323">
        <v>25</v>
      </c>
      <c r="AC5323">
        <v>117.314199999999</v>
      </c>
      <c r="AD5323">
        <v>-0.45213009999999998</v>
      </c>
      <c r="AE5323">
        <v>11.953189999999999</v>
      </c>
      <c r="AF5323">
        <v>-8.5279028109966397</v>
      </c>
      <c r="AG5323">
        <v>-0.45213009999999998</v>
      </c>
      <c r="AH5323">
        <v>117.61108073741499</v>
      </c>
      <c r="AI5323">
        <v>90.219683278007494</v>
      </c>
      <c r="AJ5323">
        <v>94.147221640148601</v>
      </c>
      <c r="AK5323">
        <v>117.920718536667</v>
      </c>
      <c r="AL5323">
        <v>90.471167313595402</v>
      </c>
      <c r="AM5323">
        <v>87.3513704352643</v>
      </c>
      <c r="AN5323">
        <v>0.99999996765296095</v>
      </c>
    </row>
    <row r="5324" spans="1:40" x14ac:dyDescent="0.25">
      <c r="A5324" t="str">
        <f>"20190312161423203"</f>
        <v>20190312161423203</v>
      </c>
      <c r="B5324" t="str">
        <f>"1552378463191905"</f>
        <v>1552378463191905</v>
      </c>
      <c r="C5324" t="s">
        <v>40</v>
      </c>
      <c r="D5324">
        <v>5.4382650000000003</v>
      </c>
      <c r="E5324">
        <v>0.4535285</v>
      </c>
      <c r="F5324" t="s">
        <v>100</v>
      </c>
      <c r="G5324">
        <v>-279.68</v>
      </c>
      <c r="H5324">
        <v>0.58910819999999997</v>
      </c>
      <c r="I5324">
        <v>27.731079999999999</v>
      </c>
      <c r="J5324">
        <v>-396.8655</v>
      </c>
      <c r="K5324">
        <v>1.114851</v>
      </c>
      <c r="L5324">
        <v>15.21841</v>
      </c>
      <c r="M5324">
        <v>0.99935790000000002</v>
      </c>
      <c r="N5324">
        <v>0</v>
      </c>
      <c r="O5324">
        <v>3.2810209999999999E-2</v>
      </c>
      <c r="P5324">
        <v>0.99963409999999997</v>
      </c>
      <c r="Q5324">
        <v>-2.3168439999999998E-2</v>
      </c>
      <c r="R5324">
        <v>-1.394721E-2</v>
      </c>
      <c r="S5324">
        <v>3.0064090000000001</v>
      </c>
      <c r="T5324">
        <v>-1.347566E-2</v>
      </c>
      <c r="U5324">
        <v>0.32086179999999997</v>
      </c>
      <c r="V5324">
        <v>4.6836910000000002E-2</v>
      </c>
      <c r="W5324">
        <v>-8.2684469999999999E-3</v>
      </c>
      <c r="X5324">
        <v>0.99886830000000004</v>
      </c>
      <c r="Y5324">
        <v>-7.3437399999999903E-2</v>
      </c>
      <c r="Z5324" s="1">
        <v>1.7537910000000001E-5</v>
      </c>
      <c r="AA5324">
        <v>0.99729979999999996</v>
      </c>
      <c r="AB5324">
        <v>25</v>
      </c>
      <c r="AC5324">
        <v>117.1855</v>
      </c>
      <c r="AD5324">
        <v>-0.52574279999999995</v>
      </c>
      <c r="AE5324">
        <v>12.5126699999999</v>
      </c>
      <c r="AF5324">
        <v>-8.66048002533587</v>
      </c>
      <c r="AG5324">
        <v>-0.52574279999999995</v>
      </c>
      <c r="AH5324">
        <v>117.530641162328</v>
      </c>
      <c r="AI5324">
        <v>90.255603095397504</v>
      </c>
      <c r="AJ5324">
        <v>94.214337324706804</v>
      </c>
      <c r="AK5324">
        <v>117.850464283298</v>
      </c>
      <c r="AL5324">
        <v>90.473752527764105</v>
      </c>
      <c r="AM5324">
        <v>87.315368695943803</v>
      </c>
      <c r="AN5324">
        <v>0.99999997204951396</v>
      </c>
    </row>
    <row r="5325" spans="1:40" x14ac:dyDescent="0.25">
      <c r="A5325" t="str">
        <f>"20190312161423216"</f>
        <v>20190312161423216</v>
      </c>
      <c r="B5325" t="str">
        <f>"1552378463211424"</f>
        <v>1552378463211424</v>
      </c>
      <c r="C5325" t="s">
        <v>40</v>
      </c>
      <c r="D5325">
        <v>5.4891899999999998</v>
      </c>
      <c r="E5325">
        <v>0.4538703</v>
      </c>
      <c r="F5325" t="s">
        <v>100</v>
      </c>
      <c r="G5325">
        <v>-279.68</v>
      </c>
      <c r="H5325">
        <v>0.61881589999999997</v>
      </c>
      <c r="I5325">
        <v>27.942730000000001</v>
      </c>
      <c r="J5325">
        <v>-396.7362</v>
      </c>
      <c r="K5325">
        <v>1.114762</v>
      </c>
      <c r="L5325">
        <v>15.226649999999999</v>
      </c>
      <c r="M5325">
        <v>0.99923320000000004</v>
      </c>
      <c r="N5325">
        <v>0</v>
      </c>
      <c r="O5325">
        <v>3.641726E-2</v>
      </c>
      <c r="P5325">
        <v>0.99967220000000001</v>
      </c>
      <c r="Q5325">
        <v>-2.3246090000000001E-2</v>
      </c>
      <c r="R5325">
        <v>-1.0728049999999999E-2</v>
      </c>
      <c r="S5325">
        <v>3.0053100000000001</v>
      </c>
      <c r="T5325">
        <v>-1.27213E-2</v>
      </c>
      <c r="U5325">
        <v>0.32632450000000002</v>
      </c>
      <c r="V5325">
        <v>4.722469E-2</v>
      </c>
      <c r="W5325">
        <v>-8.3703939999999998E-3</v>
      </c>
      <c r="X5325">
        <v>0.99884919999999999</v>
      </c>
      <c r="Y5325">
        <v>-7.1667999999999996E-2</v>
      </c>
      <c r="Z5325" s="1">
        <v>-2.3763279999999999E-6</v>
      </c>
      <c r="AA5325">
        <v>0.99742850000000005</v>
      </c>
      <c r="AB5325">
        <v>25</v>
      </c>
      <c r="AC5325">
        <v>117.0562</v>
      </c>
      <c r="AD5325">
        <v>-0.4959461</v>
      </c>
      <c r="AE5325">
        <v>12.7160799999999</v>
      </c>
      <c r="AF5325">
        <v>-8.4441865983673896</v>
      </c>
      <c r="AG5325">
        <v>-0.4959461</v>
      </c>
      <c r="AH5325">
        <v>117.43958638262001</v>
      </c>
      <c r="AI5325">
        <v>90.241334983691601</v>
      </c>
      <c r="AJ5325">
        <v>94.112625700242603</v>
      </c>
      <c r="AK5325">
        <v>117.74381809489201</v>
      </c>
      <c r="AL5325">
        <v>90.479593859298006</v>
      </c>
      <c r="AM5325">
        <v>87.293122885522706</v>
      </c>
      <c r="AN5325">
        <v>0.99999997959097497</v>
      </c>
    </row>
    <row r="5326" spans="1:40" x14ac:dyDescent="0.25">
      <c r="A5326" t="str">
        <f>"20190312161423228"</f>
        <v>20190312161423228</v>
      </c>
      <c r="B5326" t="str">
        <f>"1552378463222160"</f>
        <v>1552378463222160</v>
      </c>
      <c r="C5326" t="s">
        <v>40</v>
      </c>
      <c r="D5326">
        <v>5.5111080000000001</v>
      </c>
      <c r="E5326">
        <v>0.43424000000000001</v>
      </c>
      <c r="F5326" t="s">
        <v>100</v>
      </c>
      <c r="G5326">
        <v>-279.68</v>
      </c>
      <c r="H5326">
        <v>0.62454219999999905</v>
      </c>
      <c r="I5326">
        <v>28.212430000000001</v>
      </c>
      <c r="J5326">
        <v>-396.60660000000001</v>
      </c>
      <c r="K5326">
        <v>1.1146640000000001</v>
      </c>
      <c r="L5326">
        <v>15.23517</v>
      </c>
      <c r="M5326">
        <v>0.99909680000000001</v>
      </c>
      <c r="N5326">
        <v>0</v>
      </c>
      <c r="O5326">
        <v>3.9991970000000002E-2</v>
      </c>
      <c r="P5326">
        <v>0.99970170000000003</v>
      </c>
      <c r="Q5326">
        <v>-2.3220580000000001E-2</v>
      </c>
      <c r="R5326">
        <v>-7.572596E-3</v>
      </c>
      <c r="S5326">
        <v>3.0042719999999998</v>
      </c>
      <c r="T5326">
        <v>-1.2581709999999999E-2</v>
      </c>
      <c r="U5326">
        <v>0.33328249999999998</v>
      </c>
      <c r="V5326">
        <v>4.7643320000000003E-2</v>
      </c>
      <c r="W5326">
        <v>-8.3685089999999997E-3</v>
      </c>
      <c r="X5326">
        <v>0.99882939999999998</v>
      </c>
      <c r="Y5326">
        <v>-7.0419049999999997E-2</v>
      </c>
      <c r="Z5326" s="1">
        <v>-1.9858810000000001E-5</v>
      </c>
      <c r="AA5326">
        <v>0.99751749999999995</v>
      </c>
      <c r="AB5326">
        <v>25</v>
      </c>
      <c r="AC5326">
        <v>116.92659999999999</v>
      </c>
      <c r="AD5326">
        <v>-0.4901218</v>
      </c>
      <c r="AE5326">
        <v>12.9772599999999</v>
      </c>
      <c r="AF5326">
        <v>-8.2901248519544204</v>
      </c>
      <c r="AG5326">
        <v>-0.4901218</v>
      </c>
      <c r="AH5326">
        <v>117.35004247275199</v>
      </c>
      <c r="AI5326">
        <v>90.238704101582201</v>
      </c>
      <c r="AJ5326">
        <v>94.040913388432998</v>
      </c>
      <c r="AK5326">
        <v>117.643524504311</v>
      </c>
      <c r="AL5326">
        <v>90.479485822039507</v>
      </c>
      <c r="AM5326">
        <v>87.269109499555199</v>
      </c>
      <c r="AN5326">
        <v>1.0000000440939301</v>
      </c>
    </row>
    <row r="5327" spans="1:40" x14ac:dyDescent="0.25">
      <c r="A5327" t="str">
        <f>"20190312161423247"</f>
        <v>20190312161423247</v>
      </c>
      <c r="B5327" t="str">
        <f>"1552378463241680"</f>
        <v>1552378463241680</v>
      </c>
      <c r="C5327" t="s">
        <v>40</v>
      </c>
      <c r="D5327">
        <v>5.447203</v>
      </c>
      <c r="E5327">
        <v>0.42568400000000001</v>
      </c>
      <c r="F5327" t="s">
        <v>42</v>
      </c>
      <c r="G5327">
        <v>-334.26839999999999</v>
      </c>
      <c r="H5327" s="1">
        <v>-3.8928079999999996E-6</v>
      </c>
      <c r="I5327">
        <v>25.644739999999999</v>
      </c>
      <c r="J5327">
        <v>-396.39269999999999</v>
      </c>
      <c r="K5327">
        <v>1.1144989999999999</v>
      </c>
      <c r="L5327">
        <v>15.25027</v>
      </c>
      <c r="M5327">
        <v>0.99885369999999996</v>
      </c>
      <c r="N5327">
        <v>0</v>
      </c>
      <c r="O5327">
        <v>4.5673329999999998E-2</v>
      </c>
      <c r="P5327">
        <v>0.99972139999999998</v>
      </c>
      <c r="Q5327">
        <v>-2.34567E-2</v>
      </c>
      <c r="R5327">
        <v>-2.6937549999999999E-3</v>
      </c>
      <c r="S5327">
        <v>3.003387</v>
      </c>
      <c r="T5327">
        <v>-5.3703550000000003E-2</v>
      </c>
      <c r="U5327">
        <v>0.50152589999999997</v>
      </c>
      <c r="V5327">
        <v>4.8448049999999999E-2</v>
      </c>
      <c r="W5327">
        <v>-8.6447699999999995E-3</v>
      </c>
      <c r="X5327">
        <v>0.99878829999999996</v>
      </c>
      <c r="Y5327">
        <v>-0.11946859999999999</v>
      </c>
      <c r="Z5327">
        <v>2.505707E-4</v>
      </c>
      <c r="AA5327">
        <v>0.992838</v>
      </c>
      <c r="AB5327">
        <v>25</v>
      </c>
      <c r="AC5327">
        <v>62.124299999999998</v>
      </c>
      <c r="AD5327">
        <v>-1.1145028928080001</v>
      </c>
      <c r="AE5327">
        <v>10.394469999999901</v>
      </c>
      <c r="AF5327">
        <v>-7.54354384321294</v>
      </c>
      <c r="AG5327">
        <v>-1.1145028928080001</v>
      </c>
      <c r="AH5327">
        <v>62.514682564181797</v>
      </c>
      <c r="AI5327">
        <v>91.013998721794295</v>
      </c>
      <c r="AJ5327">
        <v>96.880520680017597</v>
      </c>
      <c r="AK5327">
        <v>62.978033523705399</v>
      </c>
      <c r="AL5327">
        <v>90.495315001888201</v>
      </c>
      <c r="AM5327">
        <v>87.222940302858703</v>
      </c>
      <c r="AN5327">
        <v>1.0000000069070201</v>
      </c>
    </row>
    <row r="5328" spans="1:40" x14ac:dyDescent="0.25">
      <c r="A5328" t="str">
        <f>"20190312161423270"</f>
        <v>20190312161423270</v>
      </c>
      <c r="B5328" t="str">
        <f>"1552378463262176"</f>
        <v>1552378463262176</v>
      </c>
      <c r="C5328" t="s">
        <v>40</v>
      </c>
      <c r="D5328">
        <v>5.4932489999999996</v>
      </c>
      <c r="E5328">
        <v>0.42337439999999998</v>
      </c>
      <c r="F5328" t="s">
        <v>42</v>
      </c>
      <c r="G5328">
        <v>-339.9941</v>
      </c>
      <c r="H5328" s="1">
        <v>-5.45297199999999E-6</v>
      </c>
      <c r="I5328">
        <v>26.24004</v>
      </c>
      <c r="J5328">
        <v>-396.14409999999998</v>
      </c>
      <c r="K5328">
        <v>1.1142860000000001</v>
      </c>
      <c r="L5328">
        <v>15.26904</v>
      </c>
      <c r="M5328">
        <v>0.99854670000000001</v>
      </c>
      <c r="N5328">
        <v>0</v>
      </c>
      <c r="O5328">
        <v>5.1963229999999999E-2</v>
      </c>
      <c r="P5328">
        <v>0.99970769999999998</v>
      </c>
      <c r="Q5328">
        <v>-2.4008999999999999E-2</v>
      </c>
      <c r="R5328">
        <v>2.8522280000000001E-3</v>
      </c>
      <c r="S5328">
        <v>3.001007</v>
      </c>
      <c r="T5328">
        <v>-5.9303519999999998E-2</v>
      </c>
      <c r="U5328">
        <v>0.58477780000000001</v>
      </c>
      <c r="V5328">
        <v>4.9198289999999999E-2</v>
      </c>
      <c r="W5328">
        <v>-9.2508099999999999E-3</v>
      </c>
      <c r="X5328">
        <v>0.99874620000000003</v>
      </c>
      <c r="Y5328">
        <v>-0.1399791</v>
      </c>
      <c r="Z5328">
        <v>3.543819E-4</v>
      </c>
      <c r="AA5328">
        <v>0.99015439999999999</v>
      </c>
      <c r="AB5328">
        <v>25</v>
      </c>
      <c r="AC5328">
        <v>56.149999999999899</v>
      </c>
      <c r="AD5328">
        <v>-1.1142914529720001</v>
      </c>
      <c r="AE5328">
        <v>10.971</v>
      </c>
      <c r="AF5328">
        <v>-8.03509364118751</v>
      </c>
      <c r="AG5328">
        <v>-1.1142914529720001</v>
      </c>
      <c r="AH5328">
        <v>56.622793401515302</v>
      </c>
      <c r="AI5328">
        <v>91.116209973998494</v>
      </c>
      <c r="AJ5328">
        <v>98.076668401475104</v>
      </c>
      <c r="AK5328">
        <v>57.200918767581904</v>
      </c>
      <c r="AL5328">
        <v>90.530039924545903</v>
      </c>
      <c r="AM5328">
        <v>87.179886484528595</v>
      </c>
      <c r="AN5328">
        <v>1.0000000106195099</v>
      </c>
    </row>
    <row r="5329" spans="1:40" x14ac:dyDescent="0.25">
      <c r="A5329" t="str">
        <f>"20190312161423285"</f>
        <v>20190312161423285</v>
      </c>
      <c r="B5329" t="str">
        <f>"1552378463271936"</f>
        <v>1552378463271936</v>
      </c>
      <c r="C5329" t="s">
        <v>40</v>
      </c>
      <c r="D5329">
        <v>5.4905039999999996</v>
      </c>
      <c r="E5329">
        <v>0.42339729999999998</v>
      </c>
      <c r="F5329" t="s">
        <v>42</v>
      </c>
      <c r="G5329">
        <v>-340.70819999999998</v>
      </c>
      <c r="H5329" s="1">
        <v>-5.2971170000000003E-6</v>
      </c>
      <c r="I5329">
        <v>26.73133</v>
      </c>
      <c r="J5329">
        <v>-395.97710000000001</v>
      </c>
      <c r="K5329">
        <v>1.1141319999999999</v>
      </c>
      <c r="L5329">
        <v>15.2823799999999</v>
      </c>
      <c r="M5329">
        <v>0.9983284</v>
      </c>
      <c r="N5329">
        <v>0</v>
      </c>
      <c r="O5329">
        <v>5.600786E-2</v>
      </c>
      <c r="P5329">
        <v>0.99968900000000005</v>
      </c>
      <c r="Q5329">
        <v>-2.413479E-2</v>
      </c>
      <c r="R5329">
        <v>6.2717729999999996E-3</v>
      </c>
      <c r="S5329">
        <v>2.99762</v>
      </c>
      <c r="T5329">
        <v>-6.025374E-2</v>
      </c>
      <c r="U5329">
        <v>0.61981200000000003</v>
      </c>
      <c r="V5329">
        <v>4.9825469999999997E-2</v>
      </c>
      <c r="W5329">
        <v>-9.4140530000000004E-3</v>
      </c>
      <c r="X5329">
        <v>0.99871359999999998</v>
      </c>
      <c r="Y5329">
        <v>-0.14729610000000001</v>
      </c>
      <c r="Z5329">
        <v>3.527475E-4</v>
      </c>
      <c r="AA5329">
        <v>0.98909239999999998</v>
      </c>
      <c r="AB5329">
        <v>24</v>
      </c>
      <c r="AC5329">
        <v>55.268900000000002</v>
      </c>
      <c r="AD5329">
        <v>-1.1141372971169901</v>
      </c>
      <c r="AE5329">
        <v>11.44895</v>
      </c>
      <c r="AF5329">
        <v>-8.33192088708787</v>
      </c>
      <c r="AG5329">
        <v>-1.1141372971169901</v>
      </c>
      <c r="AH5329">
        <v>55.801681910636802</v>
      </c>
      <c r="AI5329">
        <v>91.131278738946406</v>
      </c>
      <c r="AJ5329">
        <v>98.492270071052005</v>
      </c>
      <c r="AK5329">
        <v>56.431284866121999</v>
      </c>
      <c r="AL5329">
        <v>90.539393457162404</v>
      </c>
      <c r="AM5329">
        <v>87.143901742623299</v>
      </c>
      <c r="AN5329">
        <v>1.0000000283397801</v>
      </c>
    </row>
    <row r="5330" spans="1:40" x14ac:dyDescent="0.25">
      <c r="A5330" t="str">
        <f>"20190312161423303"</f>
        <v>20190312161423303</v>
      </c>
      <c r="B5330" t="str">
        <f>"1552378463291457"</f>
        <v>1552378463291457</v>
      </c>
      <c r="C5330" t="s">
        <v>40</v>
      </c>
      <c r="D5330">
        <v>5.4045839999999998</v>
      </c>
      <c r="E5330">
        <v>0.42339929999999898</v>
      </c>
      <c r="F5330" t="s">
        <v>42</v>
      </c>
      <c r="G5330">
        <v>-337.15179999999998</v>
      </c>
      <c r="H5330" s="1">
        <v>-3.2670190000000001E-6</v>
      </c>
      <c r="I5330">
        <v>27.64846</v>
      </c>
      <c r="J5330">
        <v>-395.78919999999999</v>
      </c>
      <c r="K5330">
        <v>1.1139680000000001</v>
      </c>
      <c r="L5330">
        <v>15.297969999999999</v>
      </c>
      <c r="M5330">
        <v>0.99807230000000002</v>
      </c>
      <c r="N5330">
        <v>0</v>
      </c>
      <c r="O5330">
        <v>6.0406399999999999E-2</v>
      </c>
      <c r="P5330">
        <v>0.99965389999999998</v>
      </c>
      <c r="Q5330">
        <v>-2.4743999999999999E-2</v>
      </c>
      <c r="R5330">
        <v>8.9414590000000006E-3</v>
      </c>
      <c r="S5330">
        <v>2.9956049999999999</v>
      </c>
      <c r="T5330">
        <v>-5.6735870000000001E-2</v>
      </c>
      <c r="U5330">
        <v>0.62973020000000002</v>
      </c>
      <c r="V5330">
        <v>5.1559479999999998E-2</v>
      </c>
      <c r="W5330">
        <v>-1.005588E-2</v>
      </c>
      <c r="X5330">
        <v>0.99861929999999999</v>
      </c>
      <c r="Y5330">
        <v>-0.1462108</v>
      </c>
      <c r="Z5330">
        <v>2.4006879999999999E-4</v>
      </c>
      <c r="AA5330">
        <v>0.98925339999999995</v>
      </c>
      <c r="AB5330">
        <v>24</v>
      </c>
      <c r="AC5330">
        <v>58.6374</v>
      </c>
      <c r="AD5330">
        <v>-1.1139712670190001</v>
      </c>
      <c r="AE5330">
        <v>12.350489999999899</v>
      </c>
      <c r="AF5330">
        <v>-8.7824633659669402</v>
      </c>
      <c r="AG5330">
        <v>-1.1139712670190001</v>
      </c>
      <c r="AH5330">
        <v>59.2559451969599</v>
      </c>
      <c r="AI5330">
        <v>91.065359593895295</v>
      </c>
      <c r="AJ5330">
        <v>98.430568933054602</v>
      </c>
      <c r="AK5330">
        <v>59.9136014269165</v>
      </c>
      <c r="AL5330">
        <v>90.576169191982899</v>
      </c>
      <c r="AM5330">
        <v>87.044399400200305</v>
      </c>
      <c r="AN5330">
        <v>1.00000000351646</v>
      </c>
    </row>
    <row r="5331" spans="1:40" x14ac:dyDescent="0.25">
      <c r="A5331" t="str">
        <f>"20190312161423315"</f>
        <v>20190312161423315</v>
      </c>
      <c r="B5331" t="str">
        <f>"1552378463311952"</f>
        <v>1552378463311952</v>
      </c>
      <c r="C5331" t="s">
        <v>40</v>
      </c>
      <c r="D5331">
        <v>5.3354290000000004</v>
      </c>
      <c r="E5331">
        <v>0.42415150000000001</v>
      </c>
      <c r="F5331" t="s">
        <v>42</v>
      </c>
      <c r="G5331">
        <v>-339.83350000000002</v>
      </c>
      <c r="H5331" s="1">
        <v>-2.076433E-6</v>
      </c>
      <c r="I5331">
        <v>27.218219999999999</v>
      </c>
      <c r="J5331">
        <v>-395.66329999999999</v>
      </c>
      <c r="K5331">
        <v>1.113856</v>
      </c>
      <c r="L5331">
        <v>15.308809999999999</v>
      </c>
      <c r="M5331">
        <v>0.99789600000000001</v>
      </c>
      <c r="N5331">
        <v>0</v>
      </c>
      <c r="O5331">
        <v>6.3255320000000004E-2</v>
      </c>
      <c r="P5331">
        <v>0.99963780000000002</v>
      </c>
      <c r="Q5331">
        <v>-2.4619559999999999E-2</v>
      </c>
      <c r="R5331">
        <v>1.086995E-2</v>
      </c>
      <c r="S5331">
        <v>2.9938660000000001</v>
      </c>
      <c r="T5331">
        <v>-5.9602019999999999E-2</v>
      </c>
      <c r="U5331">
        <v>0.63778690000000005</v>
      </c>
      <c r="V5331">
        <v>5.2479970000000001E-2</v>
      </c>
      <c r="W5331">
        <v>-9.9550969999999996E-3</v>
      </c>
      <c r="X5331">
        <v>0.99857229999999997</v>
      </c>
      <c r="Y5331">
        <v>-0.1460495</v>
      </c>
      <c r="Z5331">
        <v>1.9487979999999999E-4</v>
      </c>
      <c r="AA5331">
        <v>0.98927719999999997</v>
      </c>
      <c r="AB5331">
        <v>24</v>
      </c>
      <c r="AC5331">
        <v>55.829799999999899</v>
      </c>
      <c r="AD5331">
        <v>-1.1138580764329999</v>
      </c>
      <c r="AE5331">
        <v>11.909409999999999</v>
      </c>
      <c r="AF5331">
        <v>-8.3504867404993099</v>
      </c>
      <c r="AG5331">
        <v>-1.1138580764329999</v>
      </c>
      <c r="AH5331">
        <v>56.449889658701402</v>
      </c>
      <c r="AI5331">
        <v>91.1182367483771</v>
      </c>
      <c r="AJ5331">
        <v>98.414593645935298</v>
      </c>
      <c r="AK5331">
        <v>57.075050162897298</v>
      </c>
      <c r="AL5331">
        <v>90.570394495904594</v>
      </c>
      <c r="AM5331">
        <v>86.991587884598502</v>
      </c>
      <c r="AN5331">
        <v>0.99999994476738296</v>
      </c>
    </row>
    <row r="5332" spans="1:40" x14ac:dyDescent="0.25">
      <c r="A5332" t="str">
        <f>"20190312161423336"</f>
        <v>20190312161423336</v>
      </c>
      <c r="B5332" t="str">
        <f>"1552378463331472"</f>
        <v>1552378463331472</v>
      </c>
      <c r="C5332" t="s">
        <v>40</v>
      </c>
      <c r="D5332">
        <v>5.3537100000000004</v>
      </c>
      <c r="E5332">
        <v>0.42508489999999999</v>
      </c>
      <c r="F5332" t="s">
        <v>42</v>
      </c>
      <c r="G5332">
        <v>-341.97309999999999</v>
      </c>
      <c r="H5332" s="1">
        <v>-4.869724E-6</v>
      </c>
      <c r="I5332">
        <v>26.748480000000001</v>
      </c>
      <c r="J5332">
        <v>-395.4366</v>
      </c>
      <c r="K5332">
        <v>1.113656</v>
      </c>
      <c r="L5332">
        <v>15.32892</v>
      </c>
      <c r="M5332">
        <v>0.99757260000000003</v>
      </c>
      <c r="N5332">
        <v>0</v>
      </c>
      <c r="O5332">
        <v>6.817202E-2</v>
      </c>
      <c r="P5332">
        <v>0.99959949999999997</v>
      </c>
      <c r="Q5332">
        <v>-2.4372459999999999E-2</v>
      </c>
      <c r="R5332">
        <v>1.438625E-2</v>
      </c>
      <c r="S5332">
        <v>2.9926149999999998</v>
      </c>
      <c r="T5332">
        <v>-6.208491E-2</v>
      </c>
      <c r="U5332">
        <v>0.63763429999999999</v>
      </c>
      <c r="V5332">
        <v>5.3881510000000001E-2</v>
      </c>
      <c r="W5332">
        <v>-9.7528110000000001E-3</v>
      </c>
      <c r="X5332">
        <v>0.99849969999999999</v>
      </c>
      <c r="Y5332">
        <v>-0.14120949999999999</v>
      </c>
      <c r="Z5332" s="1">
        <v>5.3079799999999898E-5</v>
      </c>
      <c r="AA5332">
        <v>0.98997970000000002</v>
      </c>
      <c r="AB5332">
        <v>24</v>
      </c>
      <c r="AC5332">
        <v>53.463500000000003</v>
      </c>
      <c r="AD5332">
        <v>-1.113660869724</v>
      </c>
      <c r="AE5332">
        <v>11.419559999999899</v>
      </c>
      <c r="AF5332">
        <v>-7.7446921355786396</v>
      </c>
      <c r="AG5332">
        <v>-1.113660869724</v>
      </c>
      <c r="AH5332">
        <v>54.095221495384997</v>
      </c>
      <c r="AI5332">
        <v>91.167483386093295</v>
      </c>
      <c r="AJ5332">
        <v>98.147543169835203</v>
      </c>
      <c r="AK5332">
        <v>54.658151134505196</v>
      </c>
      <c r="AL5332">
        <v>90.558803771675997</v>
      </c>
      <c r="AM5332">
        <v>86.911174065401099</v>
      </c>
      <c r="AN5332">
        <v>0.999999992671185</v>
      </c>
    </row>
    <row r="5333" spans="1:40" x14ac:dyDescent="0.25">
      <c r="A5333" t="str">
        <f>"20190312161423349"</f>
        <v>20190312161423349</v>
      </c>
      <c r="B5333" t="str">
        <f>"1552378463342208"</f>
        <v>1552378463342208</v>
      </c>
      <c r="C5333" t="s">
        <v>40</v>
      </c>
      <c r="D5333">
        <v>5.3604969999999996</v>
      </c>
      <c r="E5333">
        <v>0.42564220000000003</v>
      </c>
      <c r="F5333" t="s">
        <v>42</v>
      </c>
      <c r="G5333">
        <v>-341.99919999999997</v>
      </c>
      <c r="H5333" s="1">
        <v>-4.8661540000000001E-6</v>
      </c>
      <c r="I5333">
        <v>26.778569999999998</v>
      </c>
      <c r="J5333">
        <v>-395.30369999999999</v>
      </c>
      <c r="K5333">
        <v>1.11354</v>
      </c>
      <c r="L5333">
        <v>15.3410299999999</v>
      </c>
      <c r="M5333">
        <v>0.99737920000000002</v>
      </c>
      <c r="N5333">
        <v>0</v>
      </c>
      <c r="O5333">
        <v>7.0948960000000005E-2</v>
      </c>
      <c r="P5333">
        <v>0.99956009999999995</v>
      </c>
      <c r="Q5333">
        <v>-2.459712E-2</v>
      </c>
      <c r="R5333">
        <v>1.6581559999999999E-2</v>
      </c>
      <c r="S5333">
        <v>2.9904480000000002</v>
      </c>
      <c r="T5333">
        <v>-6.2322379999999997E-2</v>
      </c>
      <c r="U5333">
        <v>0.64074709999999901</v>
      </c>
      <c r="V5333">
        <v>5.446695E-2</v>
      </c>
      <c r="W5333">
        <v>-1.000588E-2</v>
      </c>
      <c r="X5333">
        <v>0.99846539999999995</v>
      </c>
      <c r="Y5333">
        <v>-0.13958570000000001</v>
      </c>
      <c r="Z5333" s="1">
        <v>-2.0308650000000001E-5</v>
      </c>
      <c r="AA5333">
        <v>0.99021000000000003</v>
      </c>
      <c r="AB5333">
        <v>24</v>
      </c>
      <c r="AC5333">
        <v>53.304499999999997</v>
      </c>
      <c r="AD5333">
        <v>-1.1135448661539999</v>
      </c>
      <c r="AE5333">
        <v>11.43754</v>
      </c>
      <c r="AF5333">
        <v>-7.6232516780884696</v>
      </c>
      <c r="AG5333">
        <v>-1.1135448661539999</v>
      </c>
      <c r="AH5333">
        <v>53.959194416681598</v>
      </c>
      <c r="AI5333">
        <v>91.170612068972702</v>
      </c>
      <c r="AJ5333">
        <v>98.041418959772898</v>
      </c>
      <c r="AK5333">
        <v>54.506408893025203</v>
      </c>
      <c r="AL5333">
        <v>90.573304283464495</v>
      </c>
      <c r="AM5333">
        <v>86.877571975140398</v>
      </c>
      <c r="AN5333">
        <v>0.99999996063701702</v>
      </c>
    </row>
    <row r="5334" spans="1:40" x14ac:dyDescent="0.25">
      <c r="A5334" t="str">
        <f>"20190312161423360"</f>
        <v>20190312161423360</v>
      </c>
      <c r="B5334" t="str">
        <f>"1552378463351969"</f>
        <v>1552378463351969</v>
      </c>
      <c r="C5334" t="s">
        <v>40</v>
      </c>
      <c r="D5334">
        <v>5.3416220000000001</v>
      </c>
      <c r="E5334">
        <v>0.4261317</v>
      </c>
      <c r="F5334" t="s">
        <v>42</v>
      </c>
      <c r="G5334">
        <v>-343.87279999999998</v>
      </c>
      <c r="H5334" s="1">
        <v>-4.161943E-6</v>
      </c>
      <c r="I5334">
        <v>26.403009999999998</v>
      </c>
      <c r="J5334">
        <v>-395.16980000000001</v>
      </c>
      <c r="K5334">
        <v>1.113421</v>
      </c>
      <c r="L5334">
        <v>15.353669999999999</v>
      </c>
      <c r="M5334">
        <v>0.99718709999999999</v>
      </c>
      <c r="N5334">
        <v>0</v>
      </c>
      <c r="O5334">
        <v>7.3601429999999995E-2</v>
      </c>
      <c r="P5334">
        <v>0.99951860000000003</v>
      </c>
      <c r="Q5334">
        <v>-2.4686639999999999E-2</v>
      </c>
      <c r="R5334">
        <v>1.8786130000000002E-2</v>
      </c>
      <c r="S5334">
        <v>2.9891049999999999</v>
      </c>
      <c r="T5334">
        <v>-6.471789E-2</v>
      </c>
      <c r="U5334">
        <v>0.64291379999999998</v>
      </c>
      <c r="V5334">
        <v>5.4918090000000003E-2</v>
      </c>
      <c r="W5334">
        <v>-1.012533E-2</v>
      </c>
      <c r="X5334">
        <v>0.99843959999999998</v>
      </c>
      <c r="Y5334">
        <v>-0.13772899999999999</v>
      </c>
      <c r="Z5334" s="1">
        <v>-9.7407379999999997E-5</v>
      </c>
      <c r="AA5334">
        <v>0.99046990000000001</v>
      </c>
      <c r="AB5334">
        <v>24</v>
      </c>
      <c r="AC5334">
        <v>51.296999999999997</v>
      </c>
      <c r="AD5334">
        <v>-1.113425161943</v>
      </c>
      <c r="AE5334">
        <v>11.0493399999999</v>
      </c>
      <c r="AF5334">
        <v>-7.2401939287413102</v>
      </c>
      <c r="AG5334">
        <v>-1.113425161943</v>
      </c>
      <c r="AH5334">
        <v>51.947781065432601</v>
      </c>
      <c r="AI5334">
        <v>91.216112484301703</v>
      </c>
      <c r="AJ5334">
        <v>97.934455547186005</v>
      </c>
      <c r="AK5334">
        <v>52.4617201523087</v>
      </c>
      <c r="AL5334">
        <v>90.580148543888996</v>
      </c>
      <c r="AM5334">
        <v>86.851680086137904</v>
      </c>
      <c r="AN5334">
        <v>1.0000000768824999</v>
      </c>
    </row>
    <row r="5335" spans="1:40" x14ac:dyDescent="0.25">
      <c r="A5335" t="str">
        <f>"20190312161423372"</f>
        <v>20190312161423372</v>
      </c>
      <c r="B5335" t="str">
        <f>"1552378463361729"</f>
        <v>1552378463361729</v>
      </c>
      <c r="C5335" t="s">
        <v>40</v>
      </c>
      <c r="D5335">
        <v>5.3724759999999998</v>
      </c>
      <c r="E5335">
        <v>0.426678</v>
      </c>
      <c r="F5335" t="s">
        <v>42</v>
      </c>
      <c r="G5335">
        <v>-345.37810000000002</v>
      </c>
      <c r="H5335" s="1">
        <v>-3.5986020000000002E-6</v>
      </c>
      <c r="I5335">
        <v>26.114899999999999</v>
      </c>
      <c r="J5335">
        <v>-395.0444</v>
      </c>
      <c r="K5335">
        <v>1.1133109999999999</v>
      </c>
      <c r="L5335">
        <v>15.365690000000001</v>
      </c>
      <c r="M5335">
        <v>0.99700529999999998</v>
      </c>
      <c r="N5335">
        <v>0</v>
      </c>
      <c r="O5335">
        <v>7.6028940000000003E-2</v>
      </c>
      <c r="P5335">
        <v>0.99947459999999999</v>
      </c>
      <c r="Q5335">
        <v>-2.5179750000000001E-2</v>
      </c>
      <c r="R5335">
        <v>2.0410569999999999E-2</v>
      </c>
      <c r="S5335">
        <v>2.9877009999999999</v>
      </c>
      <c r="T5335">
        <v>-6.6809889999999997E-2</v>
      </c>
      <c r="U5335">
        <v>0.6457214</v>
      </c>
      <c r="V5335">
        <v>5.5726039999999998E-2</v>
      </c>
      <c r="W5335">
        <v>-1.064375E-2</v>
      </c>
      <c r="X5335">
        <v>0.99838939999999998</v>
      </c>
      <c r="Y5335">
        <v>-0.13630249999999999</v>
      </c>
      <c r="Z5335">
        <v>-1.6967720000000001E-4</v>
      </c>
      <c r="AA5335">
        <v>0.99066719999999997</v>
      </c>
      <c r="AB5335">
        <v>24</v>
      </c>
      <c r="AC5335">
        <v>49.6662999999999</v>
      </c>
      <c r="AD5335">
        <v>-1.1133145986020001</v>
      </c>
      <c r="AE5335">
        <v>10.74921</v>
      </c>
      <c r="AF5335">
        <v>-6.9383071964115404</v>
      </c>
      <c r="AG5335">
        <v>-1.1133145986020001</v>
      </c>
      <c r="AH5335">
        <v>50.3156994329306</v>
      </c>
      <c r="AI5335">
        <v>91.2556747507289</v>
      </c>
      <c r="AJ5335">
        <v>97.8513138361551</v>
      </c>
      <c r="AK5335">
        <v>50.804027257415797</v>
      </c>
      <c r="AL5335">
        <v>90.609853445687904</v>
      </c>
      <c r="AM5335">
        <v>86.8052972325154</v>
      </c>
      <c r="AN5335">
        <v>1.00000003749025</v>
      </c>
    </row>
    <row r="5336" spans="1:40" x14ac:dyDescent="0.25">
      <c r="A5336" t="str">
        <f>"20190312161423392"</f>
        <v>20190312161423392</v>
      </c>
      <c r="B5336" t="str">
        <f>"1552378463382224"</f>
        <v>1552378463382224</v>
      </c>
      <c r="C5336" t="s">
        <v>40</v>
      </c>
      <c r="D5336">
        <v>5.3211539999999999</v>
      </c>
      <c r="E5336">
        <v>0.42793690000000001</v>
      </c>
      <c r="F5336" t="s">
        <v>42</v>
      </c>
      <c r="G5336">
        <v>-347.00189999999998</v>
      </c>
      <c r="H5336" s="1">
        <v>-2.9034500000000001E-6</v>
      </c>
      <c r="I5336">
        <v>25.761019999999998</v>
      </c>
      <c r="J5336">
        <v>-394.82850000000002</v>
      </c>
      <c r="K5336">
        <v>1.1131169999999999</v>
      </c>
      <c r="L5336">
        <v>15.386839999999999</v>
      </c>
      <c r="M5336">
        <v>0.99669450000000004</v>
      </c>
      <c r="N5336">
        <v>0</v>
      </c>
      <c r="O5336">
        <v>8.0006300000000002E-2</v>
      </c>
      <c r="P5336">
        <v>0.99938000000000005</v>
      </c>
      <c r="Q5336">
        <v>-2.681542E-2</v>
      </c>
      <c r="R5336">
        <v>2.2824250000000001E-2</v>
      </c>
      <c r="S5336">
        <v>2.9866030000000001</v>
      </c>
      <c r="T5336">
        <v>-6.9210170000000001E-2</v>
      </c>
      <c r="U5336">
        <v>0.64624019999999904</v>
      </c>
      <c r="V5336">
        <v>5.7301230000000002E-2</v>
      </c>
      <c r="W5336">
        <v>-1.232252E-2</v>
      </c>
      <c r="X5336">
        <v>0.99828090000000003</v>
      </c>
      <c r="Y5336">
        <v>-0.1325895</v>
      </c>
      <c r="Z5336">
        <v>-3.0887710000000002E-4</v>
      </c>
      <c r="AA5336">
        <v>0.99117100000000002</v>
      </c>
      <c r="AB5336">
        <v>24</v>
      </c>
      <c r="AC5336">
        <v>47.826599999999999</v>
      </c>
      <c r="AD5336">
        <v>-1.1131199034499999</v>
      </c>
      <c r="AE5336">
        <v>10.374180000000001</v>
      </c>
      <c r="AF5336">
        <v>-6.5107389666752598</v>
      </c>
      <c r="AG5336">
        <v>-1.1131199034499999</v>
      </c>
      <c r="AH5336">
        <v>48.478257045696701</v>
      </c>
      <c r="AI5336">
        <v>91.303649459178601</v>
      </c>
      <c r="AJ5336">
        <v>97.649181538132197</v>
      </c>
      <c r="AK5336">
        <v>48.9261705429751</v>
      </c>
      <c r="AL5336">
        <v>90.706046247080295</v>
      </c>
      <c r="AM5336">
        <v>86.714832401512595</v>
      </c>
      <c r="AN5336">
        <v>1.0000000153817299</v>
      </c>
    </row>
    <row r="5337" spans="1:40" x14ac:dyDescent="0.25">
      <c r="A5337" t="str">
        <f>"20190312161423403"</f>
        <v>20190312161423403</v>
      </c>
      <c r="B5337" t="str">
        <f>"1552378463391984"</f>
        <v>1552378463391984</v>
      </c>
      <c r="C5337" t="s">
        <v>40</v>
      </c>
      <c r="D5337">
        <v>5.3163499999999999</v>
      </c>
      <c r="E5337">
        <v>0.42842980000000003</v>
      </c>
      <c r="F5337" t="s">
        <v>42</v>
      </c>
      <c r="G5337">
        <v>-349.22809999999998</v>
      </c>
      <c r="H5337" s="1">
        <v>-1.803063E-6</v>
      </c>
      <c r="I5337">
        <v>25.214580000000002</v>
      </c>
      <c r="J5337">
        <v>-394.70569999999998</v>
      </c>
      <c r="K5337">
        <v>1.1130089999999999</v>
      </c>
      <c r="L5337">
        <v>15.399139999999999</v>
      </c>
      <c r="M5337">
        <v>0.99651940000000006</v>
      </c>
      <c r="N5337">
        <v>0</v>
      </c>
      <c r="O5337">
        <v>8.2160759999999999E-2</v>
      </c>
      <c r="P5337">
        <v>0.99934979999999995</v>
      </c>
      <c r="Q5337">
        <v>-2.6903529999999998E-2</v>
      </c>
      <c r="R5337">
        <v>2.4008740000000001E-2</v>
      </c>
      <c r="S5337">
        <v>2.9851990000000002</v>
      </c>
      <c r="T5337">
        <v>-7.2869420000000004E-2</v>
      </c>
      <c r="U5337">
        <v>0.64337159999999904</v>
      </c>
      <c r="V5337">
        <v>5.8273289999999998E-2</v>
      </c>
      <c r="W5337">
        <v>-1.243494E-2</v>
      </c>
      <c r="X5337">
        <v>0.99822319999999998</v>
      </c>
      <c r="Y5337">
        <v>-0.12963250000000001</v>
      </c>
      <c r="Z5337">
        <v>-4.1271580000000002E-4</v>
      </c>
      <c r="AA5337">
        <v>0.99156200000000005</v>
      </c>
      <c r="AB5337">
        <v>24</v>
      </c>
      <c r="AC5337">
        <v>45.477600000000002</v>
      </c>
      <c r="AD5337">
        <v>-1.1130108030629999</v>
      </c>
      <c r="AE5337">
        <v>9.8154400000000006</v>
      </c>
      <c r="AF5337">
        <v>-6.04194496984762</v>
      </c>
      <c r="AG5337">
        <v>-1.1130108030629999</v>
      </c>
      <c r="AH5337">
        <v>46.103952155240698</v>
      </c>
      <c r="AI5337">
        <v>91.371207745790301</v>
      </c>
      <c r="AJ5337">
        <v>97.466091846766403</v>
      </c>
      <c r="AK5337">
        <v>46.5114856395614</v>
      </c>
      <c r="AL5337">
        <v>90.712487956901697</v>
      </c>
      <c r="AM5337">
        <v>86.659035216107398</v>
      </c>
      <c r="AN5337">
        <v>0.999999980539233</v>
      </c>
    </row>
    <row r="5338" spans="1:40" x14ac:dyDescent="0.25">
      <c r="A5338" t="str">
        <f>"20190312161423417"</f>
        <v>20190312161423417</v>
      </c>
      <c r="B5338" t="str">
        <f>"1552378463411505"</f>
        <v>1552378463411505</v>
      </c>
      <c r="C5338" t="s">
        <v>40</v>
      </c>
      <c r="D5338">
        <v>5.3192250000000003</v>
      </c>
      <c r="E5338">
        <v>0.4294308</v>
      </c>
      <c r="F5338" t="s">
        <v>42</v>
      </c>
      <c r="G5338">
        <v>-349.5403</v>
      </c>
      <c r="H5338" s="1">
        <v>-1.6463349999999999E-6</v>
      </c>
      <c r="I5338">
        <v>25.12895</v>
      </c>
      <c r="J5338">
        <v>-394.57530000000003</v>
      </c>
      <c r="K5338">
        <v>1.1128990000000001</v>
      </c>
      <c r="L5338">
        <v>15.41245</v>
      </c>
      <c r="M5338">
        <v>0.99633629999999995</v>
      </c>
      <c r="N5338">
        <v>0</v>
      </c>
      <c r="O5338">
        <v>8.4354230000000002E-2</v>
      </c>
      <c r="P5338">
        <v>0.99931409999999998</v>
      </c>
      <c r="Q5338">
        <v>-2.6816030000000001E-2</v>
      </c>
      <c r="R5338">
        <v>2.5542249999999999E-2</v>
      </c>
      <c r="S5338">
        <v>2.9844970000000002</v>
      </c>
      <c r="T5338">
        <v>-7.3546890000000004E-2</v>
      </c>
      <c r="U5338">
        <v>0.64294430000000002</v>
      </c>
      <c r="V5338">
        <v>5.8934859999999999E-2</v>
      </c>
      <c r="W5338">
        <v>-1.237504E-2</v>
      </c>
      <c r="X5338">
        <v>0.99818510000000005</v>
      </c>
      <c r="Y5338">
        <v>-0.1273628</v>
      </c>
      <c r="Z5338">
        <v>-4.9736330000000001E-4</v>
      </c>
      <c r="AA5338">
        <v>0.99185610000000002</v>
      </c>
      <c r="AB5338">
        <v>24</v>
      </c>
      <c r="AC5338">
        <v>45.034999999999997</v>
      </c>
      <c r="AD5338">
        <v>-1.112900646335</v>
      </c>
      <c r="AE5338">
        <v>9.7164999999999999</v>
      </c>
      <c r="AF5338">
        <v>-5.8791617372787801</v>
      </c>
      <c r="AG5338">
        <v>-1.112900646335</v>
      </c>
      <c r="AH5338">
        <v>45.667517178735601</v>
      </c>
      <c r="AI5338">
        <v>91.384578775037795</v>
      </c>
      <c r="AJ5338">
        <v>97.335815972944999</v>
      </c>
      <c r="AK5338">
        <v>46.057846409182098</v>
      </c>
      <c r="AL5338">
        <v>90.709055678338402</v>
      </c>
      <c r="AM5338">
        <v>86.621064340819402</v>
      </c>
      <c r="AN5338">
        <v>0.99999997660011497</v>
      </c>
    </row>
    <row r="5339" spans="1:40" x14ac:dyDescent="0.25">
      <c r="A5339" t="str">
        <f>"20190312161423429"</f>
        <v>20190312161423429</v>
      </c>
      <c r="B5339" t="str">
        <f>"1552378463422241"</f>
        <v>1552378463422241</v>
      </c>
      <c r="C5339" t="s">
        <v>40</v>
      </c>
      <c r="D5339">
        <v>5.2072070000000004</v>
      </c>
      <c r="E5339">
        <v>0.42989759999999999</v>
      </c>
      <c r="F5339" t="s">
        <v>42</v>
      </c>
      <c r="G5339">
        <v>-350.58260000000001</v>
      </c>
      <c r="H5339" s="1">
        <v>-5.0050649999999998E-6</v>
      </c>
      <c r="I5339">
        <v>24.843990000000002</v>
      </c>
      <c r="J5339">
        <v>-394.44150000000002</v>
      </c>
      <c r="K5339">
        <v>1.1127800000000001</v>
      </c>
      <c r="L5339">
        <v>15.42624</v>
      </c>
      <c r="M5339">
        <v>0.99614820000000004</v>
      </c>
      <c r="N5339">
        <v>0</v>
      </c>
      <c r="O5339">
        <v>8.6550399999999902E-2</v>
      </c>
      <c r="P5339">
        <v>0.99927330000000003</v>
      </c>
      <c r="Q5339">
        <v>-2.6718740000000001E-2</v>
      </c>
      <c r="R5339">
        <v>2.7187570000000001E-2</v>
      </c>
      <c r="S5339">
        <v>2.9837039999999999</v>
      </c>
      <c r="T5339">
        <v>-7.5480220000000001E-2</v>
      </c>
      <c r="U5339">
        <v>0.639679</v>
      </c>
      <c r="V5339">
        <v>5.9488069999999997E-2</v>
      </c>
      <c r="W5339">
        <v>-1.230648E-2</v>
      </c>
      <c r="X5339">
        <v>0.99815319999999996</v>
      </c>
      <c r="Y5339">
        <v>-0.1241934</v>
      </c>
      <c r="Z5339">
        <v>-6.0480980000000004E-4</v>
      </c>
      <c r="AA5339">
        <v>0.99225779999999997</v>
      </c>
      <c r="AB5339">
        <v>24</v>
      </c>
      <c r="AC5339">
        <v>43.858899999999998</v>
      </c>
      <c r="AD5339">
        <v>-1.1127850050650001</v>
      </c>
      <c r="AE5339">
        <v>9.4177499999999892</v>
      </c>
      <c r="AF5339">
        <v>-5.5825865246119797</v>
      </c>
      <c r="AG5339">
        <v>-1.1127850050650001</v>
      </c>
      <c r="AH5339">
        <v>44.482103762613598</v>
      </c>
      <c r="AI5339">
        <v>91.421889480999894</v>
      </c>
      <c r="AJ5339">
        <v>97.153326384417696</v>
      </c>
      <c r="AK5339">
        <v>44.844856092089302</v>
      </c>
      <c r="AL5339">
        <v>90.705127132004904</v>
      </c>
      <c r="AM5339">
        <v>86.589312714902704</v>
      </c>
      <c r="AN5339">
        <v>1.0000000452962701</v>
      </c>
    </row>
    <row r="5340" spans="1:40" x14ac:dyDescent="0.25">
      <c r="A5340" t="str">
        <f>"20190312161423450"</f>
        <v>20190312161423450</v>
      </c>
      <c r="B5340" t="str">
        <f>"1552378463441760"</f>
        <v>1552378463441760</v>
      </c>
      <c r="C5340" t="s">
        <v>40</v>
      </c>
      <c r="D5340">
        <v>5.3041479999999996</v>
      </c>
      <c r="E5340">
        <v>0.43076700000000001</v>
      </c>
      <c r="F5340" t="s">
        <v>42</v>
      </c>
      <c r="G5340">
        <v>-350.7287</v>
      </c>
      <c r="H5340" s="1">
        <v>-4.9507769999999997E-6</v>
      </c>
      <c r="I5340">
        <v>24.818190000000001</v>
      </c>
      <c r="J5340">
        <v>-394.22340000000003</v>
      </c>
      <c r="K5340">
        <v>1.1125890000000001</v>
      </c>
      <c r="L5340">
        <v>15.44919</v>
      </c>
      <c r="M5340">
        <v>0.99585290000000004</v>
      </c>
      <c r="N5340">
        <v>0</v>
      </c>
      <c r="O5340">
        <v>8.9887120000000001E-2</v>
      </c>
      <c r="P5340">
        <v>0.99919460000000004</v>
      </c>
      <c r="Q5340">
        <v>-2.7239280000000001E-2</v>
      </c>
      <c r="R5340">
        <v>2.9464199999999999E-2</v>
      </c>
      <c r="S5340">
        <v>2.982758</v>
      </c>
      <c r="T5340">
        <v>-7.5931310000000002E-2</v>
      </c>
      <c r="U5340">
        <v>0.64086909999999997</v>
      </c>
      <c r="V5340">
        <v>6.0553750000000003E-2</v>
      </c>
      <c r="W5340">
        <v>-1.2873620000000001E-2</v>
      </c>
      <c r="X5340">
        <v>0.99808189999999997</v>
      </c>
      <c r="Y5340">
        <v>-0.1213135</v>
      </c>
      <c r="Z5340">
        <v>-7.2815469999999998E-4</v>
      </c>
      <c r="AA5340">
        <v>0.992614</v>
      </c>
      <c r="AB5340">
        <v>24</v>
      </c>
      <c r="AC5340">
        <v>43.494700000000002</v>
      </c>
      <c r="AD5340">
        <v>-1.112593950777</v>
      </c>
      <c r="AE5340">
        <v>9.3689999999999891</v>
      </c>
      <c r="AF5340">
        <v>-5.41767954611921</v>
      </c>
      <c r="AG5340">
        <v>-1.112593950777</v>
      </c>
      <c r="AH5340">
        <v>44.133234949215002</v>
      </c>
      <c r="AI5340">
        <v>91.433359369923807</v>
      </c>
      <c r="AJ5340">
        <v>96.998464818315895</v>
      </c>
      <c r="AK5340">
        <v>44.478439091838098</v>
      </c>
      <c r="AL5340">
        <v>90.737624481040299</v>
      </c>
      <c r="AM5340">
        <v>86.528113776840797</v>
      </c>
      <c r="AN5340">
        <v>0.99999998291928804</v>
      </c>
    </row>
    <row r="5341" spans="1:40" x14ac:dyDescent="0.25">
      <c r="A5341" t="str">
        <f>"20190312161423472"</f>
        <v>20190312161423472</v>
      </c>
      <c r="B5341" t="str">
        <f>"1552378463462256"</f>
        <v>1552378463462256</v>
      </c>
      <c r="C5341" t="s">
        <v>40</v>
      </c>
      <c r="D5341">
        <v>5.3233810000000004</v>
      </c>
      <c r="E5341">
        <v>0.43173549999999999</v>
      </c>
      <c r="F5341" t="s">
        <v>42</v>
      </c>
      <c r="G5341">
        <v>-352.64670000000001</v>
      </c>
      <c r="H5341" s="1">
        <v>-4.2213370000000001E-6</v>
      </c>
      <c r="I5341">
        <v>24.385470000000002</v>
      </c>
      <c r="J5341">
        <v>-393.97570000000002</v>
      </c>
      <c r="K5341">
        <v>1.1123860000000001</v>
      </c>
      <c r="L5341">
        <v>15.475860000000001</v>
      </c>
      <c r="M5341">
        <v>0.99553139999999996</v>
      </c>
      <c r="N5341">
        <v>0</v>
      </c>
      <c r="O5341">
        <v>9.3385609999999994E-2</v>
      </c>
      <c r="P5341">
        <v>0.99911000000000005</v>
      </c>
      <c r="Q5341">
        <v>-2.805013E-2</v>
      </c>
      <c r="R5341">
        <v>3.1508519999999998E-2</v>
      </c>
      <c r="S5341">
        <v>2.9813839999999998</v>
      </c>
      <c r="T5341">
        <v>-7.9781770000000002E-2</v>
      </c>
      <c r="U5341">
        <v>0.64080809999999999</v>
      </c>
      <c r="V5341">
        <v>6.2013800000000001E-2</v>
      </c>
      <c r="W5341">
        <v>-1.373505E-2</v>
      </c>
      <c r="X5341">
        <v>0.9979808</v>
      </c>
      <c r="Y5341">
        <v>-0.11790100000000001</v>
      </c>
      <c r="Z5341">
        <v>-9.0236039999999997E-4</v>
      </c>
      <c r="AA5341">
        <v>0.99302489999999999</v>
      </c>
      <c r="AB5341">
        <v>24</v>
      </c>
      <c r="AC5341">
        <v>41.329000000000001</v>
      </c>
      <c r="AD5341">
        <v>-1.1123902213370001</v>
      </c>
      <c r="AE5341">
        <v>8.9096100000000007</v>
      </c>
      <c r="AF5341">
        <v>-5.00728821886171</v>
      </c>
      <c r="AG5341">
        <v>-1.1123902213370001</v>
      </c>
      <c r="AH5341">
        <v>41.951426668707697</v>
      </c>
      <c r="AI5341">
        <v>91.508206997201995</v>
      </c>
      <c r="AJ5341">
        <v>96.806576047890601</v>
      </c>
      <c r="AK5341">
        <v>42.263844440032202</v>
      </c>
      <c r="AL5341">
        <v>90.786985126255303</v>
      </c>
      <c r="AM5341">
        <v>86.444253879299893</v>
      </c>
      <c r="AN5341">
        <v>1.00000002007879</v>
      </c>
    </row>
    <row r="5342" spans="1:40" x14ac:dyDescent="0.25">
      <c r="A5342" t="str">
        <f>"20190312161423493"</f>
        <v>20190312161423493</v>
      </c>
      <c r="B5342" t="str">
        <f>"1552378463481777"</f>
        <v>1552378463481777</v>
      </c>
      <c r="C5342" t="s">
        <v>40</v>
      </c>
      <c r="D5342">
        <v>5.3363399999999999</v>
      </c>
      <c r="E5342">
        <v>0.432176</v>
      </c>
      <c r="F5342" t="s">
        <v>42</v>
      </c>
      <c r="G5342">
        <v>-353.99430000000001</v>
      </c>
      <c r="H5342" s="1">
        <v>-3.7034080000000002E-6</v>
      </c>
      <c r="I5342">
        <v>24.05097</v>
      </c>
      <c r="J5342">
        <v>-393.75479999999999</v>
      </c>
      <c r="K5342">
        <v>1.112217</v>
      </c>
      <c r="L5342">
        <v>15.50009</v>
      </c>
      <c r="M5342">
        <v>0.99525569999999997</v>
      </c>
      <c r="N5342">
        <v>0</v>
      </c>
      <c r="O5342">
        <v>9.6281649999999996E-2</v>
      </c>
      <c r="P5342">
        <v>0.99904559999999998</v>
      </c>
      <c r="Q5342">
        <v>-2.8864040000000001E-2</v>
      </c>
      <c r="R5342">
        <v>3.2788730000000002E-2</v>
      </c>
      <c r="S5342">
        <v>2.980194</v>
      </c>
      <c r="T5342">
        <v>-8.2916980000000001E-2</v>
      </c>
      <c r="U5342">
        <v>0.639190699999999</v>
      </c>
      <c r="V5342">
        <v>6.3634019999999999E-2</v>
      </c>
      <c r="W5342">
        <v>-1.459034E-2</v>
      </c>
      <c r="X5342">
        <v>0.99786660000000005</v>
      </c>
      <c r="Y5342">
        <v>-0.1145791</v>
      </c>
      <c r="Z5342">
        <v>-1.062917E-3</v>
      </c>
      <c r="AA5342">
        <v>0.99341360000000001</v>
      </c>
      <c r="AB5342">
        <v>24</v>
      </c>
      <c r="AC5342">
        <v>39.760499999999901</v>
      </c>
      <c r="AD5342">
        <v>-1.1122207034080001</v>
      </c>
      <c r="AE5342">
        <v>8.5508799999999994</v>
      </c>
      <c r="AF5342">
        <v>-4.6790648134383304</v>
      </c>
      <c r="AG5342">
        <v>-1.1122207034080001</v>
      </c>
      <c r="AH5342">
        <v>40.368923251350999</v>
      </c>
      <c r="AI5342">
        <v>91.567689999533499</v>
      </c>
      <c r="AJ5342">
        <v>96.611513731225401</v>
      </c>
      <c r="AK5342">
        <v>40.6544050121868</v>
      </c>
      <c r="AL5342">
        <v>90.835994600573997</v>
      </c>
      <c r="AM5342">
        <v>86.351185062169193</v>
      </c>
      <c r="AN5342">
        <v>0.99999995895911697</v>
      </c>
    </row>
    <row r="5343" spans="1:40" x14ac:dyDescent="0.25">
      <c r="A5343" t="str">
        <f>"20190312161423506"</f>
        <v>20190312161423506</v>
      </c>
      <c r="B5343" t="str">
        <f>"1552378463501297"</f>
        <v>1552378463501297</v>
      </c>
      <c r="C5343" t="s">
        <v>40</v>
      </c>
      <c r="D5343">
        <v>5.3268389999999997</v>
      </c>
      <c r="E5343">
        <v>0.44629419999999997</v>
      </c>
      <c r="F5343" t="s">
        <v>42</v>
      </c>
      <c r="G5343">
        <v>-354.77820000000003</v>
      </c>
      <c r="H5343" s="1">
        <v>-3.3533079999999999E-6</v>
      </c>
      <c r="I5343">
        <v>23.866309999999999</v>
      </c>
      <c r="J5343">
        <v>-393.6148</v>
      </c>
      <c r="K5343">
        <v>1.1121160000000001</v>
      </c>
      <c r="L5343">
        <v>15.5156299999999</v>
      </c>
      <c r="M5343">
        <v>0.99508629999999998</v>
      </c>
      <c r="N5343">
        <v>0</v>
      </c>
      <c r="O5343">
        <v>9.8020259999999998E-2</v>
      </c>
      <c r="P5343">
        <v>0.99899899999999997</v>
      </c>
      <c r="Q5343">
        <v>-2.9025349999999998E-2</v>
      </c>
      <c r="R5343">
        <v>3.4045329999999999E-2</v>
      </c>
      <c r="S5343">
        <v>2.9794010000000002</v>
      </c>
      <c r="T5343">
        <v>-8.5018869999999996E-2</v>
      </c>
      <c r="U5343">
        <v>0.63952640000000005</v>
      </c>
      <c r="V5343">
        <v>6.4118739999999994E-2</v>
      </c>
      <c r="W5343">
        <v>-1.477873E-2</v>
      </c>
      <c r="X5343">
        <v>0.99783279999999996</v>
      </c>
      <c r="Y5343">
        <v>-0.1130056</v>
      </c>
      <c r="Z5343">
        <v>-1.1609319999999999E-3</v>
      </c>
      <c r="AA5343">
        <v>0.99359370000000002</v>
      </c>
      <c r="AB5343">
        <v>24</v>
      </c>
      <c r="AC5343">
        <v>38.836599999999898</v>
      </c>
      <c r="AD5343">
        <v>-1.1121193533079901</v>
      </c>
      <c r="AE5343">
        <v>8.3506800000000005</v>
      </c>
      <c r="AF5343">
        <v>-4.4997865470286396</v>
      </c>
      <c r="AG5343">
        <v>-1.1121193533079901</v>
      </c>
      <c r="AH5343">
        <v>39.437248423889002</v>
      </c>
      <c r="AI5343">
        <v>91.604889264351101</v>
      </c>
      <c r="AJ5343">
        <v>96.509293058054794</v>
      </c>
      <c r="AK5343">
        <v>39.708707504429803</v>
      </c>
      <c r="AL5343">
        <v>90.8467897158379</v>
      </c>
      <c r="AM5343">
        <v>86.323342660704299</v>
      </c>
      <c r="AN5343">
        <v>0.99999996021771898</v>
      </c>
    </row>
    <row r="5344" spans="1:40" x14ac:dyDescent="0.25">
      <c r="A5344" t="str">
        <f>"20190312161423525"</f>
        <v>20190312161423525</v>
      </c>
      <c r="B5344" t="str">
        <f>"1552378463521793"</f>
        <v>1552378463521793</v>
      </c>
      <c r="C5344" t="s">
        <v>40</v>
      </c>
      <c r="D5344">
        <v>5.1721259999999996</v>
      </c>
      <c r="E5344">
        <v>0.44655010000000001</v>
      </c>
      <c r="F5344" t="s">
        <v>42</v>
      </c>
      <c r="G5344">
        <v>-357.81220000000002</v>
      </c>
      <c r="H5344" s="1">
        <v>-1.5257949999999999E-6</v>
      </c>
      <c r="I5344">
        <v>21.889690000000002</v>
      </c>
      <c r="J5344">
        <v>-393.41329999999999</v>
      </c>
      <c r="K5344">
        <v>1.111969</v>
      </c>
      <c r="L5344">
        <v>15.538329999999901</v>
      </c>
      <c r="M5344">
        <v>0.99485440000000003</v>
      </c>
      <c r="N5344">
        <v>0</v>
      </c>
      <c r="O5344">
        <v>0.10034949999999999</v>
      </c>
      <c r="P5344">
        <v>0.99892689999999995</v>
      </c>
      <c r="Q5344">
        <v>-2.901844E-2</v>
      </c>
      <c r="R5344">
        <v>3.6099319999999997E-2</v>
      </c>
      <c r="S5344">
        <v>2.9822389999999999</v>
      </c>
      <c r="T5344">
        <v>-9.2635629999999997E-2</v>
      </c>
      <c r="U5344">
        <v>0.53094479999999999</v>
      </c>
      <c r="V5344">
        <v>6.4398230000000001E-2</v>
      </c>
      <c r="W5344">
        <v>-1.4810769999999999E-2</v>
      </c>
      <c r="X5344">
        <v>0.99781439999999999</v>
      </c>
      <c r="Y5344">
        <v>-7.5600299999999995E-2</v>
      </c>
      <c r="Z5344">
        <v>-1.9168919999999999E-3</v>
      </c>
      <c r="AA5344">
        <v>0.99713640000000003</v>
      </c>
      <c r="AB5344">
        <v>24</v>
      </c>
      <c r="AC5344">
        <v>35.601099999999903</v>
      </c>
      <c r="AD5344">
        <v>-1.1119705257950001</v>
      </c>
      <c r="AE5344">
        <v>6.3513599999999997</v>
      </c>
      <c r="AF5344">
        <v>-2.7437990248467599</v>
      </c>
      <c r="AG5344">
        <v>-1.1119705257950001</v>
      </c>
      <c r="AH5344">
        <v>36.0247166241789</v>
      </c>
      <c r="AI5344">
        <v>91.762877873437105</v>
      </c>
      <c r="AJ5344">
        <v>94.355486562563499</v>
      </c>
      <c r="AK5344">
        <v>36.146163273456601</v>
      </c>
      <c r="AL5344">
        <v>90.848625611103301</v>
      </c>
      <c r="AM5344">
        <v>86.307292657858298</v>
      </c>
      <c r="AN5344">
        <v>1.00000003389124</v>
      </c>
    </row>
    <row r="5345" spans="1:40" x14ac:dyDescent="0.25">
      <c r="A5345" t="str">
        <f>"20190312161423550"</f>
        <v>20190312161423550</v>
      </c>
      <c r="B5345" t="str">
        <f>"1552378463541314"</f>
        <v>1552378463541314</v>
      </c>
      <c r="C5345" t="s">
        <v>40</v>
      </c>
      <c r="D5345">
        <v>5.2960629999999904</v>
      </c>
      <c r="E5345">
        <v>0.44680360000000002</v>
      </c>
      <c r="F5345" t="s">
        <v>42</v>
      </c>
      <c r="G5345">
        <v>-356.89659999999998</v>
      </c>
      <c r="H5345" s="1">
        <v>-1.9719300000000001E-6</v>
      </c>
      <c r="I5345">
        <v>22.090299999999999</v>
      </c>
      <c r="J5345">
        <v>-393.15960000000001</v>
      </c>
      <c r="K5345">
        <v>1.1117840000000001</v>
      </c>
      <c r="L5345">
        <v>15.567259999999999</v>
      </c>
      <c r="M5345">
        <v>0.99458230000000003</v>
      </c>
      <c r="N5345">
        <v>0</v>
      </c>
      <c r="O5345">
        <v>0.10301390000000001</v>
      </c>
      <c r="P5345">
        <v>0.99881909999999896</v>
      </c>
      <c r="Q5345">
        <v>-2.9335279999999998E-2</v>
      </c>
      <c r="R5345">
        <v>3.8731099999999997E-2</v>
      </c>
      <c r="S5345">
        <v>2.9812319999999999</v>
      </c>
      <c r="T5345">
        <v>-9.0781689999999998E-2</v>
      </c>
      <c r="U5345">
        <v>0.5349121</v>
      </c>
      <c r="V5345">
        <v>6.4435619999999999E-2</v>
      </c>
      <c r="W5345">
        <v>-1.5178229999999999E-2</v>
      </c>
      <c r="X5345">
        <v>0.99780639999999998</v>
      </c>
      <c r="Y5345">
        <v>-7.4274679999999996E-2</v>
      </c>
      <c r="Z5345">
        <v>-1.9787229999999999E-3</v>
      </c>
      <c r="AA5345">
        <v>0.99723580000000001</v>
      </c>
      <c r="AB5345">
        <v>24</v>
      </c>
      <c r="AC5345">
        <v>36.262999999999998</v>
      </c>
      <c r="AD5345">
        <v>-1.1117859719299901</v>
      </c>
      <c r="AE5345">
        <v>6.5230399999999902</v>
      </c>
      <c r="AF5345">
        <v>-2.7498705327599899</v>
      </c>
      <c r="AG5345">
        <v>-1.1117859719299901</v>
      </c>
      <c r="AH5345">
        <v>36.708645685502702</v>
      </c>
      <c r="AI5345">
        <v>91.729929171894696</v>
      </c>
      <c r="AJ5345">
        <v>94.2840656936676</v>
      </c>
      <c r="AK5345">
        <v>36.828284294249997</v>
      </c>
      <c r="AL5345">
        <v>90.869681940587199</v>
      </c>
      <c r="AM5345">
        <v>86.305125045454503</v>
      </c>
      <c r="AN5345">
        <v>0.99999996983583805</v>
      </c>
    </row>
    <row r="5346" spans="1:40" x14ac:dyDescent="0.25">
      <c r="A5346" t="str">
        <f>"20190312161423560"</f>
        <v>20190312161423560</v>
      </c>
      <c r="B5346" t="str">
        <f>"1552378463552048"</f>
        <v>1552378463552048</v>
      </c>
      <c r="C5346" t="s">
        <v>40</v>
      </c>
      <c r="D5346">
        <v>5.3388819999999999</v>
      </c>
      <c r="E5346">
        <v>0.4469475</v>
      </c>
      <c r="F5346" t="s">
        <v>42</v>
      </c>
      <c r="G5346">
        <v>-357.50349999999997</v>
      </c>
      <c r="H5346" s="1">
        <v>-1.697752E-6</v>
      </c>
      <c r="I5346">
        <v>22.038250000000001</v>
      </c>
      <c r="J5346">
        <v>-393.03050000000002</v>
      </c>
      <c r="K5346">
        <v>1.111691</v>
      </c>
      <c r="L5346">
        <v>15.58212</v>
      </c>
      <c r="M5346">
        <v>0.99445550000000005</v>
      </c>
      <c r="N5346">
        <v>0</v>
      </c>
      <c r="O5346">
        <v>0.1042313</v>
      </c>
      <c r="P5346">
        <v>0.9987608</v>
      </c>
      <c r="Q5346">
        <v>-2.9799030000000001E-2</v>
      </c>
      <c r="R5346">
        <v>3.986133E-2</v>
      </c>
      <c r="S5346">
        <v>2.9798580000000001</v>
      </c>
      <c r="T5346">
        <v>-9.2914339999999998E-2</v>
      </c>
      <c r="U5346">
        <v>0.540802</v>
      </c>
      <c r="V5346">
        <v>6.4524319999999996E-2</v>
      </c>
      <c r="W5346">
        <v>-1.5667960000000002E-2</v>
      </c>
      <c r="X5346">
        <v>0.99779309999999999</v>
      </c>
      <c r="Y5346">
        <v>-7.5043600000000002E-2</v>
      </c>
      <c r="Z5346">
        <v>-2.0511000000000001E-3</v>
      </c>
      <c r="AA5346">
        <v>0.99717809999999996</v>
      </c>
      <c r="AB5346">
        <v>24</v>
      </c>
      <c r="AC5346">
        <v>35.527000000000001</v>
      </c>
      <c r="AD5346">
        <v>-1.1116926977519901</v>
      </c>
      <c r="AE5346">
        <v>6.4561299999999999</v>
      </c>
      <c r="AF5346">
        <v>-2.7149989115920299</v>
      </c>
      <c r="AG5346">
        <v>-1.1116926977519901</v>
      </c>
      <c r="AH5346">
        <v>35.972349283776602</v>
      </c>
      <c r="AI5346">
        <v>91.765093487651797</v>
      </c>
      <c r="AJ5346">
        <v>94.316193221481797</v>
      </c>
      <c r="AK5346">
        <v>36.091785668462101</v>
      </c>
      <c r="AL5346">
        <v>90.897744740083098</v>
      </c>
      <c r="AM5346">
        <v>86.300003737030707</v>
      </c>
      <c r="AN5346">
        <v>0.99999997162481602</v>
      </c>
    </row>
    <row r="5347" spans="1:40" x14ac:dyDescent="0.25">
      <c r="A5347" t="str">
        <f>"20190312161423573"</f>
        <v>20190312161423573</v>
      </c>
      <c r="B5347" t="str">
        <f>"1552378463561809"</f>
        <v>1552378463561809</v>
      </c>
      <c r="C5347" t="s">
        <v>40</v>
      </c>
      <c r="D5347">
        <v>5.3256110000000003</v>
      </c>
      <c r="E5347">
        <v>0.44724710000000001</v>
      </c>
      <c r="F5347" t="s">
        <v>42</v>
      </c>
      <c r="G5347">
        <v>-358.5127</v>
      </c>
      <c r="H5347" s="1">
        <v>-1.22113E-6</v>
      </c>
      <c r="I5347">
        <v>21.874110000000002</v>
      </c>
      <c r="J5347">
        <v>-392.90940000000001</v>
      </c>
      <c r="K5347">
        <v>1.1116010000000001</v>
      </c>
      <c r="L5347">
        <v>15.59613</v>
      </c>
      <c r="M5347">
        <v>0.99433990000000005</v>
      </c>
      <c r="N5347">
        <v>0</v>
      </c>
      <c r="O5347">
        <v>0.1053298</v>
      </c>
      <c r="P5347">
        <v>0.99871489999999996</v>
      </c>
      <c r="Q5347">
        <v>-2.996244E-2</v>
      </c>
      <c r="R5347">
        <v>4.0876999999999997E-2</v>
      </c>
      <c r="S5347">
        <v>2.979187</v>
      </c>
      <c r="T5347">
        <v>-9.5948820000000004E-2</v>
      </c>
      <c r="U5347">
        <v>0.54306030000000005</v>
      </c>
      <c r="V5347">
        <v>6.4608600000000002E-2</v>
      </c>
      <c r="W5347">
        <v>-1.58551E-2</v>
      </c>
      <c r="X5347">
        <v>0.99778469999999997</v>
      </c>
      <c r="Y5347">
        <v>-7.4714740000000002E-2</v>
      </c>
      <c r="Z5347">
        <v>-2.1583729999999999E-3</v>
      </c>
      <c r="AA5347">
        <v>0.99720260000000005</v>
      </c>
      <c r="AB5347">
        <v>24</v>
      </c>
      <c r="AC5347">
        <v>34.396700000000003</v>
      </c>
      <c r="AD5347">
        <v>-1.1116022211299901</v>
      </c>
      <c r="AE5347">
        <v>6.2779800000000003</v>
      </c>
      <c r="AF5347">
        <v>-2.6170572018584699</v>
      </c>
      <c r="AG5347">
        <v>-1.1116022211299901</v>
      </c>
      <c r="AH5347">
        <v>34.831443238468403</v>
      </c>
      <c r="AI5347">
        <v>91.822768920996396</v>
      </c>
      <c r="AJ5347">
        <v>94.296839541230995</v>
      </c>
      <c r="AK5347">
        <v>34.9473044163705</v>
      </c>
      <c r="AL5347">
        <v>90.9084683957349</v>
      </c>
      <c r="AM5347">
        <v>86.295153245785698</v>
      </c>
      <c r="AN5347">
        <v>0.99999998147202895</v>
      </c>
    </row>
    <row r="5348" spans="1:40" x14ac:dyDescent="0.25">
      <c r="A5348" t="str">
        <f>"20190312161423585"</f>
        <v>20190312161423585</v>
      </c>
      <c r="B5348" t="str">
        <f>"1552378463571569"</f>
        <v>1552378463571569</v>
      </c>
      <c r="C5348" t="s">
        <v>40</v>
      </c>
      <c r="D5348">
        <v>5.368512</v>
      </c>
      <c r="E5348">
        <v>0.4474091</v>
      </c>
      <c r="F5348" t="s">
        <v>42</v>
      </c>
      <c r="G5348">
        <v>-359.21370000000002</v>
      </c>
      <c r="H5348" s="1">
        <v>-8.8694589999999999E-7</v>
      </c>
      <c r="I5348">
        <v>21.748370000000001</v>
      </c>
      <c r="J5348">
        <v>-392.7783</v>
      </c>
      <c r="K5348">
        <v>1.1115060000000001</v>
      </c>
      <c r="L5348">
        <v>15.611359999999999</v>
      </c>
      <c r="M5348">
        <v>0.9942202</v>
      </c>
      <c r="N5348">
        <v>0</v>
      </c>
      <c r="O5348">
        <v>0.10645499999999999</v>
      </c>
      <c r="P5348">
        <v>0.99867399999999995</v>
      </c>
      <c r="Q5348">
        <v>-2.980414E-2</v>
      </c>
      <c r="R5348">
        <v>4.1980429999999999E-2</v>
      </c>
      <c r="S5348">
        <v>2.9786380000000001</v>
      </c>
      <c r="T5348">
        <v>-9.8263500000000004E-2</v>
      </c>
      <c r="U5348">
        <v>0.54385380000000005</v>
      </c>
      <c r="V5348">
        <v>6.4631579999999994E-2</v>
      </c>
      <c r="W5348">
        <v>-1.5721809999999999E-2</v>
      </c>
      <c r="X5348">
        <v>0.99778529999999999</v>
      </c>
      <c r="Y5348">
        <v>-7.3877590000000007E-2</v>
      </c>
      <c r="Z5348">
        <v>-2.260916E-3</v>
      </c>
      <c r="AA5348">
        <v>0.9972647</v>
      </c>
      <c r="AB5348">
        <v>24</v>
      </c>
      <c r="AC5348">
        <v>33.564599999999899</v>
      </c>
      <c r="AD5348">
        <v>-1.1115068869458999</v>
      </c>
      <c r="AE5348">
        <v>6.1370100000000001</v>
      </c>
      <c r="AF5348">
        <v>-2.52598404388955</v>
      </c>
      <c r="AG5348">
        <v>-1.1115068869458999</v>
      </c>
      <c r="AH5348">
        <v>33.991141520203698</v>
      </c>
      <c r="AI5348">
        <v>91.867752331113806</v>
      </c>
      <c r="AJ5348">
        <v>94.250009879499103</v>
      </c>
      <c r="AK5348">
        <v>34.102987329502803</v>
      </c>
      <c r="AL5348">
        <v>90.900830507847303</v>
      </c>
      <c r="AM5348">
        <v>86.293841399550104</v>
      </c>
      <c r="AN5348">
        <v>0.99999996066953001</v>
      </c>
    </row>
    <row r="5349" spans="1:40" x14ac:dyDescent="0.25">
      <c r="A5349" t="str">
        <f>"20190312161423603"</f>
        <v>20190312161423603</v>
      </c>
      <c r="B5349" t="str">
        <f>"1552378463592064"</f>
        <v>1552378463592064</v>
      </c>
      <c r="C5349" t="s">
        <v>40</v>
      </c>
      <c r="D5349">
        <v>5.3724769999999999</v>
      </c>
      <c r="E5349">
        <v>0.44699410000000001</v>
      </c>
      <c r="F5349" t="s">
        <v>42</v>
      </c>
      <c r="G5349">
        <v>-359.73480000000001</v>
      </c>
      <c r="H5349" s="1">
        <v>-6.4216399999999897E-7</v>
      </c>
      <c r="I5349">
        <v>21.668579999999999</v>
      </c>
      <c r="J5349">
        <v>-392.58199999999999</v>
      </c>
      <c r="K5349">
        <v>1.1113759999999999</v>
      </c>
      <c r="L5349">
        <v>15.634309999999999</v>
      </c>
      <c r="M5349">
        <v>0.99405370000000004</v>
      </c>
      <c r="N5349">
        <v>0</v>
      </c>
      <c r="O5349">
        <v>0.108001399999999</v>
      </c>
      <c r="P5349">
        <v>0.99860420000000005</v>
      </c>
      <c r="Q5349">
        <v>-2.9057719999999999E-2</v>
      </c>
      <c r="R5349">
        <v>4.4110150000000001E-2</v>
      </c>
      <c r="S5349">
        <v>2.978119</v>
      </c>
      <c r="T5349">
        <v>-0.10017719999999999</v>
      </c>
      <c r="U5349">
        <v>0.545929</v>
      </c>
      <c r="V5349">
        <v>6.4050940000000001E-2</v>
      </c>
      <c r="W5349">
        <v>-1.501153E-2</v>
      </c>
      <c r="X5349">
        <v>0.99783370000000005</v>
      </c>
      <c r="Y5349">
        <v>-7.3031310000000002E-2</v>
      </c>
      <c r="Z5349">
        <v>-2.3703589999999998E-3</v>
      </c>
      <c r="AA5349">
        <v>0.99732690000000002</v>
      </c>
      <c r="AB5349">
        <v>24</v>
      </c>
      <c r="AC5349">
        <v>32.847199999999901</v>
      </c>
      <c r="AD5349">
        <v>-1.1113766421639999</v>
      </c>
      <c r="AE5349">
        <v>6.0342699999999896</v>
      </c>
      <c r="AF5349">
        <v>-2.4483699351286901</v>
      </c>
      <c r="AG5349">
        <v>-1.1113766421639999</v>
      </c>
      <c r="AH5349">
        <v>33.269959848256597</v>
      </c>
      <c r="AI5349">
        <v>91.908087164005593</v>
      </c>
      <c r="AJ5349">
        <v>94.208867304020899</v>
      </c>
      <c r="AK5349">
        <v>33.378434679963597</v>
      </c>
      <c r="AL5349">
        <v>90.860129635991299</v>
      </c>
      <c r="AM5349">
        <v>86.327223063302398</v>
      </c>
      <c r="AN5349">
        <v>0.99999998090175701</v>
      </c>
    </row>
    <row r="5350" spans="1:40" x14ac:dyDescent="0.25">
      <c r="A5350" t="str">
        <f>"20190312161423615"</f>
        <v>20190312161423615</v>
      </c>
      <c r="B5350" t="str">
        <f>"1552378463611585"</f>
        <v>1552378463611585</v>
      </c>
      <c r="C5350" t="s">
        <v>40</v>
      </c>
      <c r="D5350">
        <v>5.3653180000000003</v>
      </c>
      <c r="E5350">
        <v>0.44677460000000002</v>
      </c>
      <c r="F5350" t="s">
        <v>42</v>
      </c>
      <c r="G5350">
        <v>-356.74590000000001</v>
      </c>
      <c r="H5350" s="1">
        <v>-2.0974839999999998E-6</v>
      </c>
      <c r="I5350">
        <v>22.319099999999999</v>
      </c>
      <c r="J5350">
        <v>-392.46440000000001</v>
      </c>
      <c r="K5350">
        <v>1.1113</v>
      </c>
      <c r="L5350">
        <v>15.648099999999999</v>
      </c>
      <c r="M5350">
        <v>0.99396110000000004</v>
      </c>
      <c r="N5350">
        <v>0</v>
      </c>
      <c r="O5350">
        <v>0.10885069999999999</v>
      </c>
      <c r="P5350">
        <v>0.99855700000000003</v>
      </c>
      <c r="Q5350">
        <v>-2.83664E-2</v>
      </c>
      <c r="R5350">
        <v>4.560177E-2</v>
      </c>
      <c r="S5350">
        <v>2.9769899999999998</v>
      </c>
      <c r="T5350">
        <v>-9.232485E-2</v>
      </c>
      <c r="U5350">
        <v>0.55532840000000006</v>
      </c>
      <c r="V5350">
        <v>6.3410830000000001E-2</v>
      </c>
      <c r="W5350">
        <v>-1.434091E-2</v>
      </c>
      <c r="X5350">
        <v>0.99788449999999995</v>
      </c>
      <c r="Y5350">
        <v>-7.5287320000000005E-2</v>
      </c>
      <c r="Z5350">
        <v>-2.1758929999999999E-3</v>
      </c>
      <c r="AA5350">
        <v>0.99715949999999998</v>
      </c>
      <c r="AB5350">
        <v>24</v>
      </c>
      <c r="AC5350">
        <v>35.718499999999999</v>
      </c>
      <c r="AD5350">
        <v>-1.111302097484</v>
      </c>
      <c r="AE5350">
        <v>6.6709999999999896</v>
      </c>
      <c r="AF5350">
        <v>-2.7404319454475901</v>
      </c>
      <c r="AG5350">
        <v>-1.111302097484</v>
      </c>
      <c r="AH5350">
        <v>36.198577217012698</v>
      </c>
      <c r="AI5350">
        <v>91.753422877786406</v>
      </c>
      <c r="AJ5350">
        <v>94.329348155007295</v>
      </c>
      <c r="AK5350">
        <v>36.3191678337421</v>
      </c>
      <c r="AL5350">
        <v>90.821701755522895</v>
      </c>
      <c r="AM5350">
        <v>86.364013573110995</v>
      </c>
      <c r="AN5350">
        <v>1.00000003520058</v>
      </c>
    </row>
    <row r="5351" spans="1:40" x14ac:dyDescent="0.25">
      <c r="A5351" t="str">
        <f>"20190312161423625"</f>
        <v>20190312161423625</v>
      </c>
      <c r="B5351" t="str">
        <f>"1552378463621345"</f>
        <v>1552378463621345</v>
      </c>
      <c r="C5351" t="s">
        <v>40</v>
      </c>
      <c r="D5351">
        <v>5.3694730000000002</v>
      </c>
      <c r="E5351">
        <v>0.44687060000000001</v>
      </c>
      <c r="F5351" t="s">
        <v>42</v>
      </c>
      <c r="G5351">
        <v>-353.9083</v>
      </c>
      <c r="H5351" s="1">
        <v>-3.4746710000000002E-6</v>
      </c>
      <c r="I5351">
        <v>22.919930000000001</v>
      </c>
      <c r="J5351">
        <v>-392.34890000000001</v>
      </c>
      <c r="K5351">
        <v>1.1112280000000001</v>
      </c>
      <c r="L5351">
        <v>15.661709999999999</v>
      </c>
      <c r="M5351">
        <v>0.99387380000000003</v>
      </c>
      <c r="N5351">
        <v>0</v>
      </c>
      <c r="O5351">
        <v>0.10964649999999999</v>
      </c>
      <c r="P5351">
        <v>0.99849030000000005</v>
      </c>
      <c r="Q5351">
        <v>-2.8273599999999999E-2</v>
      </c>
      <c r="R5351">
        <v>4.7093950000000002E-2</v>
      </c>
      <c r="S5351">
        <v>2.9762569999999999</v>
      </c>
      <c r="T5351">
        <v>-8.5784669999999993E-2</v>
      </c>
      <c r="U5351">
        <v>0.56134030000000001</v>
      </c>
      <c r="V5351">
        <v>6.2716229999999998E-2</v>
      </c>
      <c r="W5351">
        <v>-1.426786E-2</v>
      </c>
      <c r="X5351">
        <v>0.99792939999999997</v>
      </c>
      <c r="Y5351">
        <v>-7.6476649999999993E-2</v>
      </c>
      <c r="Z5351">
        <v>-2.0273800000000001E-3</v>
      </c>
      <c r="AA5351">
        <v>0.99706930000000005</v>
      </c>
      <c r="AB5351">
        <v>24</v>
      </c>
      <c r="AC5351">
        <v>38.440600000000003</v>
      </c>
      <c r="AD5351">
        <v>-1.1112314746709999</v>
      </c>
      <c r="AE5351">
        <v>7.2582199999999899</v>
      </c>
      <c r="AF5351">
        <v>-2.99674810042197</v>
      </c>
      <c r="AG5351">
        <v>-1.1112314746709999</v>
      </c>
      <c r="AH5351">
        <v>38.973251107543398</v>
      </c>
      <c r="AI5351">
        <v>91.628408957446396</v>
      </c>
      <c r="AJ5351">
        <v>94.396959912721798</v>
      </c>
      <c r="AK5351">
        <v>39.104087209130903</v>
      </c>
      <c r="AL5351">
        <v>90.817515905731398</v>
      </c>
      <c r="AM5351">
        <v>86.4038983223099</v>
      </c>
      <c r="AN5351">
        <v>0.99999999235937598</v>
      </c>
    </row>
    <row r="5352" spans="1:40" x14ac:dyDescent="0.25">
      <c r="A5352" t="str">
        <f>"20190312161423638"</f>
        <v>20190312161423638</v>
      </c>
      <c r="B5352" t="str">
        <f>"1552378463632080"</f>
        <v>1552378463632080</v>
      </c>
      <c r="C5352" t="s">
        <v>40</v>
      </c>
      <c r="D5352">
        <v>5.5511229999999996</v>
      </c>
      <c r="E5352">
        <v>0.44687060000000001</v>
      </c>
      <c r="F5352" t="s">
        <v>42</v>
      </c>
      <c r="G5352">
        <v>-353.79360000000003</v>
      </c>
      <c r="H5352" s="1">
        <v>-3.540483E-6</v>
      </c>
      <c r="I5352">
        <v>22.982379999999999</v>
      </c>
      <c r="J5352">
        <v>-392.21280000000002</v>
      </c>
      <c r="K5352">
        <v>1.1111489999999999</v>
      </c>
      <c r="L5352">
        <v>15.677759999999999</v>
      </c>
      <c r="M5352">
        <v>0.99378029999999995</v>
      </c>
      <c r="N5352">
        <v>0</v>
      </c>
      <c r="O5352">
        <v>0.1104908</v>
      </c>
      <c r="P5352">
        <v>0.99842640000000005</v>
      </c>
      <c r="Q5352">
        <v>-2.8216729999999999E-2</v>
      </c>
      <c r="R5352">
        <v>4.8463979999999997E-2</v>
      </c>
      <c r="S5352">
        <v>2.9754640000000001</v>
      </c>
      <c r="T5352">
        <v>-8.5758210000000001E-2</v>
      </c>
      <c r="U5352">
        <v>0.56497189999999997</v>
      </c>
      <c r="V5352">
        <v>6.219206E-2</v>
      </c>
      <c r="W5352">
        <v>-1.4232299999999899E-2</v>
      </c>
      <c r="X5352">
        <v>0.99796269999999998</v>
      </c>
      <c r="Y5352">
        <v>-7.6853060000000001E-2</v>
      </c>
      <c r="Z5352">
        <v>-2.0455120000000002E-3</v>
      </c>
      <c r="AA5352">
        <v>0.99704029999999999</v>
      </c>
      <c r="AB5352">
        <v>24</v>
      </c>
      <c r="AC5352">
        <v>38.419199999999897</v>
      </c>
      <c r="AD5352">
        <v>-1.1111525404830001</v>
      </c>
      <c r="AE5352">
        <v>7.3046199999999901</v>
      </c>
      <c r="AF5352">
        <v>-3.0120778558037999</v>
      </c>
      <c r="AG5352">
        <v>-1.1111525404830001</v>
      </c>
      <c r="AH5352">
        <v>38.959638807377601</v>
      </c>
      <c r="AI5352">
        <v>91.628809510167699</v>
      </c>
      <c r="AJ5352">
        <v>94.420901503398795</v>
      </c>
      <c r="AK5352">
        <v>39.091696419814902</v>
      </c>
      <c r="AL5352">
        <v>90.815478270455699</v>
      </c>
      <c r="AM5352">
        <v>86.433994638393798</v>
      </c>
      <c r="AN5352">
        <v>0.99999998064081097</v>
      </c>
    </row>
    <row r="5353" spans="1:40" x14ac:dyDescent="0.25">
      <c r="A5353" t="str">
        <f>"20190312161423674"</f>
        <v>20190312161423674</v>
      </c>
      <c r="B5353" t="str">
        <f>"1552378463661361"</f>
        <v>1552378463661361</v>
      </c>
      <c r="C5353" t="s">
        <v>40</v>
      </c>
      <c r="D5353">
        <v>5.3019740000000004</v>
      </c>
      <c r="E5353">
        <v>0.48357420000000001</v>
      </c>
      <c r="F5353" t="s">
        <v>42</v>
      </c>
      <c r="G5353">
        <v>-353.58580000000001</v>
      </c>
      <c r="H5353" s="1">
        <v>-3.652156E-6</v>
      </c>
      <c r="I5353">
        <v>23.067039999999999</v>
      </c>
      <c r="J5353">
        <v>-391.84429999999998</v>
      </c>
      <c r="K5353">
        <v>1.1109450000000001</v>
      </c>
      <c r="L5353">
        <v>15.721500000000001</v>
      </c>
      <c r="M5353">
        <v>0.99355879999999996</v>
      </c>
      <c r="N5353">
        <v>0</v>
      </c>
      <c r="O5353">
        <v>0.11246879999999999</v>
      </c>
      <c r="P5353">
        <v>0.99825229999999998</v>
      </c>
      <c r="Q5353">
        <v>-2.8767379999999999E-2</v>
      </c>
      <c r="R5353">
        <v>5.1627149999999997E-2</v>
      </c>
      <c r="S5353">
        <v>2.974701</v>
      </c>
      <c r="T5353">
        <v>-8.5570930000000003E-2</v>
      </c>
      <c r="U5353">
        <v>0.56906129999999999</v>
      </c>
      <c r="V5353">
        <v>6.1009019999999997E-2</v>
      </c>
      <c r="W5353">
        <v>-1.4836E-2</v>
      </c>
      <c r="X5353">
        <v>0.998027</v>
      </c>
      <c r="Y5353">
        <v>-7.6238790000000001E-2</v>
      </c>
      <c r="Z5353">
        <v>-2.1058140000000001E-3</v>
      </c>
      <c r="AA5353">
        <v>0.99708739999999996</v>
      </c>
      <c r="AB5353">
        <v>24</v>
      </c>
      <c r="AC5353">
        <v>38.258499999999898</v>
      </c>
      <c r="AD5353">
        <v>-1.1109486521559999</v>
      </c>
      <c r="AE5353">
        <v>7.34553999999999</v>
      </c>
      <c r="AF5353">
        <v>-2.9931912996079202</v>
      </c>
      <c r="AG5353">
        <v>-1.1109486521559999</v>
      </c>
      <c r="AH5353">
        <v>38.810374643541003</v>
      </c>
      <c r="AI5353">
        <v>91.634794375240006</v>
      </c>
      <c r="AJ5353">
        <v>94.4101201035012</v>
      </c>
      <c r="AK5353">
        <v>38.941476359221198</v>
      </c>
      <c r="AL5353">
        <v>90.850071328660604</v>
      </c>
      <c r="AM5353">
        <v>86.501883226477304</v>
      </c>
      <c r="AN5353">
        <v>1.0000000500731701</v>
      </c>
    </row>
    <row r="5354" spans="1:40" x14ac:dyDescent="0.25">
      <c r="A5354" t="str">
        <f>"20190312161423694"</f>
        <v>20190312161423694</v>
      </c>
      <c r="B5354" t="str">
        <f>"1552378463681857"</f>
        <v>1552378463681857</v>
      </c>
      <c r="C5354" t="s">
        <v>40</v>
      </c>
      <c r="D5354">
        <v>5.3960059999999999</v>
      </c>
      <c r="E5354">
        <v>0.49568830000000003</v>
      </c>
      <c r="F5354" t="s">
        <v>96</v>
      </c>
      <c r="G5354">
        <v>-369.29520000000002</v>
      </c>
      <c r="H5354" s="1">
        <v>-7.2757309999999997E-7</v>
      </c>
      <c r="I5354">
        <v>17.90063</v>
      </c>
      <c r="J5354">
        <v>-391.62639999999999</v>
      </c>
      <c r="K5354">
        <v>1.1108340000000001</v>
      </c>
      <c r="L5354">
        <v>15.747439999999999</v>
      </c>
      <c r="M5354">
        <v>0.99344969999999999</v>
      </c>
      <c r="N5354">
        <v>0</v>
      </c>
      <c r="O5354">
        <v>0.1134288</v>
      </c>
      <c r="P5354">
        <v>0.99818479999999998</v>
      </c>
      <c r="Q5354">
        <v>-2.869157E-2</v>
      </c>
      <c r="R5354">
        <v>5.2953600000000003E-2</v>
      </c>
      <c r="S5354">
        <v>2.986084</v>
      </c>
      <c r="T5354">
        <v>-0.1471182</v>
      </c>
      <c r="U5354">
        <v>0.2885742</v>
      </c>
      <c r="V5354">
        <v>6.0643710000000003E-2</v>
      </c>
      <c r="W5354">
        <v>-1.478733E-2</v>
      </c>
      <c r="X5354">
        <v>0.99804990000000005</v>
      </c>
      <c r="Y5354">
        <v>1.7186860000000002E-2</v>
      </c>
      <c r="Z5354">
        <v>-5.9781139999999997E-3</v>
      </c>
      <c r="AA5354">
        <v>0.99983440000000001</v>
      </c>
      <c r="AB5354">
        <v>24</v>
      </c>
      <c r="AC5354">
        <v>22.3311999999999</v>
      </c>
      <c r="AD5354">
        <v>-1.1108347275731001</v>
      </c>
      <c r="AE5354">
        <v>2.1531899999999999</v>
      </c>
      <c r="AF5354">
        <v>0.39298953480146098</v>
      </c>
      <c r="AG5354">
        <v>-1.1108347275731001</v>
      </c>
      <c r="AH5354">
        <v>22.376447848004101</v>
      </c>
      <c r="AI5354">
        <v>92.841565653243606</v>
      </c>
      <c r="AJ5354">
        <v>88.993838197227404</v>
      </c>
      <c r="AK5354">
        <v>22.407449941055098</v>
      </c>
      <c r="AL5354">
        <v>90.847282510384403</v>
      </c>
      <c r="AM5354">
        <v>86.522857301283693</v>
      </c>
      <c r="AN5354">
        <v>0.99999996379055001</v>
      </c>
    </row>
    <row r="5355" spans="1:40" x14ac:dyDescent="0.25">
      <c r="A5355" t="str">
        <f>"20190312161423707"</f>
        <v>20190312161423707</v>
      </c>
      <c r="B5355" t="str">
        <f>"1552378463702354"</f>
        <v>1552378463702354</v>
      </c>
      <c r="C5355" t="s">
        <v>40</v>
      </c>
      <c r="D5355">
        <v>5.4082350000000003</v>
      </c>
      <c r="E5355">
        <v>0.50151650000000003</v>
      </c>
      <c r="F5355" t="s">
        <v>96</v>
      </c>
      <c r="G5355">
        <v>-369.19119999999998</v>
      </c>
      <c r="H5355" s="1">
        <v>-9.4926369999999999E-7</v>
      </c>
      <c r="I5355">
        <v>17.21762</v>
      </c>
      <c r="J5355">
        <v>-391.4864</v>
      </c>
      <c r="K5355">
        <v>1.1107689999999999</v>
      </c>
      <c r="L5355">
        <v>15.7641299999999</v>
      </c>
      <c r="M5355">
        <v>0.99338599999999999</v>
      </c>
      <c r="N5355">
        <v>0</v>
      </c>
      <c r="O5355">
        <v>0.1139865</v>
      </c>
      <c r="P5355">
        <v>0.99814480000000005</v>
      </c>
      <c r="Q5355">
        <v>-2.8390269999999999E-2</v>
      </c>
      <c r="R5355">
        <v>5.3863729999999999E-2</v>
      </c>
      <c r="S5355">
        <v>2.9907530000000002</v>
      </c>
      <c r="T5355">
        <v>-0.148081399999999</v>
      </c>
      <c r="U5355">
        <v>0.19598389999999999</v>
      </c>
      <c r="V5355">
        <v>6.0292150000000003E-2</v>
      </c>
      <c r="W5355">
        <v>-1.450215E-2</v>
      </c>
      <c r="X5355">
        <v>0.99807539999999995</v>
      </c>
      <c r="Y5355">
        <v>4.8592499999999997E-2</v>
      </c>
      <c r="Z5355">
        <v>-6.8213750000000002E-3</v>
      </c>
      <c r="AA5355">
        <v>0.9987954</v>
      </c>
      <c r="AB5355">
        <v>24</v>
      </c>
      <c r="AC5355">
        <v>22.295200000000001</v>
      </c>
      <c r="AD5355">
        <v>-1.1107699492637</v>
      </c>
      <c r="AE5355">
        <v>1.4534899999999999</v>
      </c>
      <c r="AF5355">
        <v>1.09487407970003</v>
      </c>
      <c r="AG5355">
        <v>-1.1107699492637</v>
      </c>
      <c r="AH5355">
        <v>22.2605329163673</v>
      </c>
      <c r="AI5355">
        <v>92.853167949411798</v>
      </c>
      <c r="AJ5355">
        <v>87.184202540137207</v>
      </c>
      <c r="AK5355">
        <v>22.3151044104943</v>
      </c>
      <c r="AL5355">
        <v>90.830941133505206</v>
      </c>
      <c r="AM5355">
        <v>86.543053861372499</v>
      </c>
      <c r="AN5355">
        <v>0.999999979895702</v>
      </c>
    </row>
    <row r="5356" spans="1:40" x14ac:dyDescent="0.25">
      <c r="A5356" t="str">
        <f>"20190312161423719"</f>
        <v>20190312161423719</v>
      </c>
      <c r="B5356" t="str">
        <f>"1552378463712112"</f>
        <v>1552378463712112</v>
      </c>
      <c r="C5356" t="s">
        <v>40</v>
      </c>
      <c r="D5356">
        <v>5.4010379999999998</v>
      </c>
      <c r="E5356">
        <v>0.50337609999999999</v>
      </c>
      <c r="F5356" t="s">
        <v>96</v>
      </c>
      <c r="G5356">
        <v>-368.70479999999998</v>
      </c>
      <c r="H5356" s="1">
        <v>-1.214624E-6</v>
      </c>
      <c r="I5356">
        <v>16.922239999999999</v>
      </c>
      <c r="J5356">
        <v>-391.35610000000003</v>
      </c>
      <c r="K5356">
        <v>1.1107129999999901</v>
      </c>
      <c r="L5356">
        <v>15.77966</v>
      </c>
      <c r="M5356">
        <v>0.99333450000000001</v>
      </c>
      <c r="N5356">
        <v>0</v>
      </c>
      <c r="O5356">
        <v>0.1144343</v>
      </c>
      <c r="P5356">
        <v>0.9981158</v>
      </c>
      <c r="Q5356">
        <v>-2.8324769999999999E-2</v>
      </c>
      <c r="R5356">
        <v>5.4430329999999999E-2</v>
      </c>
      <c r="S5356">
        <v>2.9932249999999998</v>
      </c>
      <c r="T5356">
        <v>-0.14594170000000001</v>
      </c>
      <c r="U5356">
        <v>0.15216060000000001</v>
      </c>
      <c r="V5356">
        <v>6.0173900000000002E-2</v>
      </c>
      <c r="W5356">
        <v>-1.44504E-2</v>
      </c>
      <c r="X5356">
        <v>0.99808330000000001</v>
      </c>
      <c r="Y5356">
        <v>6.3651550000000001E-2</v>
      </c>
      <c r="Z5356">
        <v>-7.1097340000000004E-3</v>
      </c>
      <c r="AA5356">
        <v>0.99794689999999997</v>
      </c>
      <c r="AB5356">
        <v>24</v>
      </c>
      <c r="AC5356">
        <v>22.651299999999999</v>
      </c>
      <c r="AD5356">
        <v>-1.1107142146240001</v>
      </c>
      <c r="AE5356">
        <v>1.1425799999999899</v>
      </c>
      <c r="AF5356">
        <v>1.45377428816137</v>
      </c>
      <c r="AG5356">
        <v>-1.1107142146240001</v>
      </c>
      <c r="AH5356">
        <v>22.579080962476102</v>
      </c>
      <c r="AI5356">
        <v>92.810424137829301</v>
      </c>
      <c r="AJ5356">
        <v>86.316045127100693</v>
      </c>
      <c r="AK5356">
        <v>22.653080206840301</v>
      </c>
      <c r="AL5356">
        <v>90.827975755256702</v>
      </c>
      <c r="AM5356">
        <v>86.549844761459994</v>
      </c>
      <c r="AN5356">
        <v>0.99999999302012998</v>
      </c>
    </row>
    <row r="5357" spans="1:40" x14ac:dyDescent="0.25">
      <c r="A5357" t="str">
        <f>"20190312161423739"</f>
        <v>20190312161423739</v>
      </c>
      <c r="B5357" t="str">
        <f>"1552378463731632"</f>
        <v>1552378463731632</v>
      </c>
      <c r="C5357" t="s">
        <v>40</v>
      </c>
      <c r="D5357">
        <v>5.3786160000000001</v>
      </c>
      <c r="E5357">
        <v>0.50560240000000001</v>
      </c>
      <c r="F5357" t="s">
        <v>96</v>
      </c>
      <c r="G5357">
        <v>-367.98849999999999</v>
      </c>
      <c r="H5357" s="1">
        <v>-1.505375E-6</v>
      </c>
      <c r="I5357">
        <v>16.863379999999999</v>
      </c>
      <c r="J5357">
        <v>-391.15350000000001</v>
      </c>
      <c r="K5357">
        <v>1.1106229999999999</v>
      </c>
      <c r="L5357">
        <v>15.80386</v>
      </c>
      <c r="M5357">
        <v>0.99326400000000004</v>
      </c>
      <c r="N5357">
        <v>0</v>
      </c>
      <c r="O5357">
        <v>0.115046</v>
      </c>
      <c r="P5357">
        <v>0.99808620000000003</v>
      </c>
      <c r="Q5357">
        <v>-2.8616539999999999E-2</v>
      </c>
      <c r="R5357">
        <v>5.4819119999999999E-2</v>
      </c>
      <c r="S5357">
        <v>2.994049</v>
      </c>
      <c r="T5357">
        <v>-0.14231350000000001</v>
      </c>
      <c r="U5357">
        <v>0.13885500000000001</v>
      </c>
      <c r="V5357">
        <v>6.039572E-2</v>
      </c>
      <c r="W5357">
        <v>-1.4763500000000001E-2</v>
      </c>
      <c r="X5357">
        <v>0.99806539999999999</v>
      </c>
      <c r="Y5357">
        <v>6.8707619999999997E-2</v>
      </c>
      <c r="Z5357">
        <v>-7.0812590000000003E-3</v>
      </c>
      <c r="AA5357">
        <v>0.99761169999999999</v>
      </c>
      <c r="AB5357">
        <v>24</v>
      </c>
      <c r="AC5357">
        <v>23.164999999999999</v>
      </c>
      <c r="AD5357">
        <v>-1.1106245053749999</v>
      </c>
      <c r="AE5357">
        <v>1.05951999999999</v>
      </c>
      <c r="AF5357">
        <v>1.6091205250409699</v>
      </c>
      <c r="AG5357">
        <v>-1.1106245053749999</v>
      </c>
      <c r="AH5357">
        <v>23.0801219135442</v>
      </c>
      <c r="AI5357">
        <v>92.748309192845198</v>
      </c>
      <c r="AJ5357">
        <v>86.011855143594005</v>
      </c>
      <c r="AK5357">
        <v>23.162788761289299</v>
      </c>
      <c r="AL5357">
        <v>90.845916910202803</v>
      </c>
      <c r="AM5357">
        <v>86.537095337813795</v>
      </c>
      <c r="AN5357">
        <v>1.0000000733018599</v>
      </c>
    </row>
    <row r="5358" spans="1:40" x14ac:dyDescent="0.25">
      <c r="A5358" t="str">
        <f>"20190312161423752"</f>
        <v>20190312161423752</v>
      </c>
      <c r="B5358" t="str">
        <f>"1552378463742373"</f>
        <v>1552378463742373</v>
      </c>
      <c r="C5358" t="s">
        <v>40</v>
      </c>
      <c r="D5358">
        <v>5.4240019999999998</v>
      </c>
      <c r="E5358">
        <v>0.50656690000000004</v>
      </c>
      <c r="F5358" t="s">
        <v>96</v>
      </c>
      <c r="G5358">
        <v>-367.09589999999997</v>
      </c>
      <c r="H5358" s="1">
        <v>-1.875626E-6</v>
      </c>
      <c r="I5358">
        <v>16.78415</v>
      </c>
      <c r="J5358">
        <v>-391.01159999999999</v>
      </c>
      <c r="K5358">
        <v>1.1105560000000001</v>
      </c>
      <c r="L5358">
        <v>15.82077</v>
      </c>
      <c r="M5358">
        <v>0.99322279999999996</v>
      </c>
      <c r="N5358">
        <v>0</v>
      </c>
      <c r="O5358">
        <v>0.11540209999999999</v>
      </c>
      <c r="P5358">
        <v>0.99807210000000002</v>
      </c>
      <c r="Q5358">
        <v>-2.863984E-2</v>
      </c>
      <c r="R5358">
        <v>5.5064759999999997E-2</v>
      </c>
      <c r="S5358">
        <v>2.9950559999999999</v>
      </c>
      <c r="T5358">
        <v>-0.13826720000000001</v>
      </c>
      <c r="U5358">
        <v>0.1220398</v>
      </c>
      <c r="V5358">
        <v>6.0505639999999999E-2</v>
      </c>
      <c r="W5358">
        <v>-1.480188E-2</v>
      </c>
      <c r="X5358">
        <v>0.99805809999999995</v>
      </c>
      <c r="Y5358">
        <v>7.4674760000000007E-2</v>
      </c>
      <c r="Z5358">
        <v>-7.0330280000000002E-3</v>
      </c>
      <c r="AA5358">
        <v>0.99718309999999999</v>
      </c>
      <c r="AB5358">
        <v>24</v>
      </c>
      <c r="AC5358">
        <v>23.915700000000001</v>
      </c>
      <c r="AD5358">
        <v>-1.1105578756259999</v>
      </c>
      <c r="AE5358">
        <v>0.96337999999999802</v>
      </c>
      <c r="AF5358">
        <v>1.7993693249909899</v>
      </c>
      <c r="AG5358">
        <v>-1.1105578756259999</v>
      </c>
      <c r="AH5358">
        <v>23.815800274226898</v>
      </c>
      <c r="AI5358">
        <v>92.662256621915205</v>
      </c>
      <c r="AJ5358">
        <v>85.679306747411502</v>
      </c>
      <c r="AK5358">
        <v>23.909483713888498</v>
      </c>
      <c r="AL5358">
        <v>90.848116224926699</v>
      </c>
      <c r="AM5358">
        <v>86.530782929690204</v>
      </c>
      <c r="AN5358">
        <v>0.99999999954947705</v>
      </c>
    </row>
    <row r="5359" spans="1:40" x14ac:dyDescent="0.25">
      <c r="A5359" t="str">
        <f>"20190312161423773"</f>
        <v>20190312161423773</v>
      </c>
      <c r="B5359" t="str">
        <f>"1552378463761889"</f>
        <v>1552378463761889</v>
      </c>
      <c r="C5359" t="s">
        <v>40</v>
      </c>
      <c r="D5359">
        <v>5.4795689999999997</v>
      </c>
      <c r="E5359">
        <v>0.50825759999999998</v>
      </c>
      <c r="F5359" t="s">
        <v>96</v>
      </c>
      <c r="G5359">
        <v>-367.279</v>
      </c>
      <c r="H5359" s="1">
        <v>-1.8124340000000001E-6</v>
      </c>
      <c r="I5359">
        <v>16.733280000000001</v>
      </c>
      <c r="J5359">
        <v>-390.79320000000001</v>
      </c>
      <c r="K5359">
        <v>1.1104430000000001</v>
      </c>
      <c r="L5359">
        <v>15.8468</v>
      </c>
      <c r="M5359">
        <v>0.99317409999999995</v>
      </c>
      <c r="N5359">
        <v>0</v>
      </c>
      <c r="O5359">
        <v>0.1158217</v>
      </c>
      <c r="P5359">
        <v>0.99804170000000003</v>
      </c>
      <c r="Q5359">
        <v>-2.8906330000000001E-2</v>
      </c>
      <c r="R5359">
        <v>5.5475370000000003E-2</v>
      </c>
      <c r="S5359">
        <v>2.995422</v>
      </c>
      <c r="T5359">
        <v>-0.14016989999999999</v>
      </c>
      <c r="U5359">
        <v>0.11517330000000001</v>
      </c>
      <c r="V5359">
        <v>6.0512009999999998E-2</v>
      </c>
      <c r="W5359">
        <v>-1.5091749999999999E-2</v>
      </c>
      <c r="X5359">
        <v>0.99805339999999998</v>
      </c>
      <c r="Y5359">
        <v>7.7374029999999996E-2</v>
      </c>
      <c r="Z5359">
        <v>-7.2119289999999997E-3</v>
      </c>
      <c r="AA5359">
        <v>0.99697610000000003</v>
      </c>
      <c r="AB5359">
        <v>24</v>
      </c>
      <c r="AC5359">
        <v>23.514199999999999</v>
      </c>
      <c r="AD5359">
        <v>-1.1104448124339901</v>
      </c>
      <c r="AE5359">
        <v>0.88648000000000005</v>
      </c>
      <c r="AF5359">
        <v>1.8391055976594</v>
      </c>
      <c r="AG5359">
        <v>-1.1104448124339901</v>
      </c>
      <c r="AH5359">
        <v>23.406477254533002</v>
      </c>
      <c r="AI5359">
        <v>92.707843594688299</v>
      </c>
      <c r="AJ5359">
        <v>85.507357110450101</v>
      </c>
      <c r="AK5359">
        <v>23.504862785129699</v>
      </c>
      <c r="AL5359">
        <v>90.864726384588295</v>
      </c>
      <c r="AM5359">
        <v>86.530402285707595</v>
      </c>
      <c r="AN5359">
        <v>1.00000002676193</v>
      </c>
    </row>
    <row r="5360" spans="1:40" x14ac:dyDescent="0.25">
      <c r="A5360" t="str">
        <f>"20190312161423786"</f>
        <v>20190312161423786</v>
      </c>
      <c r="B5360" t="str">
        <f>"1552378463782386"</f>
        <v>1552378463782386</v>
      </c>
      <c r="C5360" t="s">
        <v>40</v>
      </c>
      <c r="D5360">
        <v>5.4449920000000001</v>
      </c>
      <c r="E5360">
        <v>0.50936349999999997</v>
      </c>
      <c r="F5360" t="s">
        <v>96</v>
      </c>
      <c r="G5360">
        <v>-367.04340000000002</v>
      </c>
      <c r="H5360" s="1">
        <v>-1.9220739999999999E-6</v>
      </c>
      <c r="I5360">
        <v>16.662029999999898</v>
      </c>
      <c r="J5360">
        <v>-390.66140000000001</v>
      </c>
      <c r="K5360">
        <v>1.1103780000000001</v>
      </c>
      <c r="L5360">
        <v>15.86246</v>
      </c>
      <c r="M5360">
        <v>0.99315160000000002</v>
      </c>
      <c r="N5360">
        <v>0</v>
      </c>
      <c r="O5360">
        <v>0.1160141</v>
      </c>
      <c r="P5360">
        <v>0.99802170000000001</v>
      </c>
      <c r="Q5360">
        <v>-2.8714259999999998E-2</v>
      </c>
      <c r="R5360">
        <v>5.5932290000000003E-2</v>
      </c>
      <c r="S5360">
        <v>2.996124</v>
      </c>
      <c r="T5360">
        <v>-0.14008709999999999</v>
      </c>
      <c r="U5360">
        <v>0.1028442</v>
      </c>
      <c r="V5360">
        <v>6.0246679999999997E-2</v>
      </c>
      <c r="W5360">
        <v>-1.4913310000000001E-2</v>
      </c>
      <c r="X5360">
        <v>0.99807210000000002</v>
      </c>
      <c r="Y5360">
        <v>8.1667900000000002E-2</v>
      </c>
      <c r="Z5360">
        <v>-7.3160809999999899E-3</v>
      </c>
      <c r="AA5360">
        <v>0.99663279999999999</v>
      </c>
      <c r="AB5360">
        <v>24</v>
      </c>
      <c r="AC5360">
        <v>23.617999999999899</v>
      </c>
      <c r="AD5360">
        <v>-1.110379922074</v>
      </c>
      <c r="AE5360">
        <v>0.79956999999999701</v>
      </c>
      <c r="AF5360">
        <v>1.9418251303391301</v>
      </c>
      <c r="AG5360">
        <v>-1.110379922074</v>
      </c>
      <c r="AH5360">
        <v>23.499378853628599</v>
      </c>
      <c r="AI5360">
        <v>92.696121400191998</v>
      </c>
      <c r="AJ5360">
        <v>85.276207706028003</v>
      </c>
      <c r="AK5360">
        <v>23.605601769802998</v>
      </c>
      <c r="AL5360">
        <v>90.854501404009795</v>
      </c>
      <c r="AM5360">
        <v>86.545643246930297</v>
      </c>
      <c r="AN5360">
        <v>0.99999999303229403</v>
      </c>
    </row>
    <row r="5361" spans="1:40" x14ac:dyDescent="0.25">
      <c r="A5361" t="str">
        <f>"20190312161423805"</f>
        <v>20190312161423805</v>
      </c>
      <c r="B5361" t="str">
        <f>"1552378463801905"</f>
        <v>1552378463801905</v>
      </c>
      <c r="C5361" t="s">
        <v>40</v>
      </c>
      <c r="D5361">
        <v>5.4513939999999996</v>
      </c>
      <c r="E5361">
        <v>0.51017699999999999</v>
      </c>
      <c r="F5361" t="s">
        <v>96</v>
      </c>
      <c r="G5361">
        <v>-365.52</v>
      </c>
      <c r="H5361" s="1">
        <v>-2.6425659999999998E-6</v>
      </c>
      <c r="I5361">
        <v>16.659960000000002</v>
      </c>
      <c r="J5361">
        <v>-390.45600000000002</v>
      </c>
      <c r="K5361">
        <v>1.110285</v>
      </c>
      <c r="L5361">
        <v>15.886810000000001</v>
      </c>
      <c r="M5361">
        <v>0.99312869999999998</v>
      </c>
      <c r="N5361">
        <v>0</v>
      </c>
      <c r="O5361">
        <v>0.116212</v>
      </c>
      <c r="P5361">
        <v>0.99797939999999996</v>
      </c>
      <c r="Q5361">
        <v>-2.8878890000000001E-2</v>
      </c>
      <c r="R5361">
        <v>5.6600129999999998E-2</v>
      </c>
      <c r="S5361">
        <v>2.9968569999999999</v>
      </c>
      <c r="T5361">
        <v>-0.13235720000000001</v>
      </c>
      <c r="U5361">
        <v>9.5062259999999996E-2</v>
      </c>
      <c r="V5361">
        <v>5.9773840000000002E-2</v>
      </c>
      <c r="W5361">
        <v>-1.5097660000000001E-2</v>
      </c>
      <c r="X5361">
        <v>0.99809780000000003</v>
      </c>
      <c r="Y5361">
        <v>8.447984E-2</v>
      </c>
      <c r="Z5361">
        <v>-6.9823219999999896E-3</v>
      </c>
      <c r="AA5361">
        <v>0.99640070000000003</v>
      </c>
      <c r="AB5361">
        <v>24</v>
      </c>
      <c r="AC5361">
        <v>24.9359999999999</v>
      </c>
      <c r="AD5361">
        <v>-1.110287642566</v>
      </c>
      <c r="AE5361">
        <v>0.773150000000001</v>
      </c>
      <c r="AF5361">
        <v>2.12601670406664</v>
      </c>
      <c r="AG5361">
        <v>-1.110287642566</v>
      </c>
      <c r="AH5361">
        <v>24.807735447751799</v>
      </c>
      <c r="AI5361">
        <v>92.553256262092304</v>
      </c>
      <c r="AJ5361">
        <v>85.101734358300305</v>
      </c>
      <c r="AK5361">
        <v>24.9234111574007</v>
      </c>
      <c r="AL5361">
        <v>90.865065034243898</v>
      </c>
      <c r="AM5361">
        <v>86.572777576664095</v>
      </c>
      <c r="AN5361">
        <v>1.00000003482533</v>
      </c>
    </row>
    <row r="5362" spans="1:40" x14ac:dyDescent="0.25">
      <c r="A5362" t="str">
        <f>"20190312161423818"</f>
        <v>20190312161423818</v>
      </c>
      <c r="B5362" t="str">
        <f>"1552378463811665"</f>
        <v>1552378463811665</v>
      </c>
      <c r="C5362" t="s">
        <v>40</v>
      </c>
      <c r="D5362">
        <v>5.260313</v>
      </c>
      <c r="E5362">
        <v>0.51003609999999999</v>
      </c>
      <c r="F5362" t="s">
        <v>96</v>
      </c>
      <c r="G5362">
        <v>-364.52569999999997</v>
      </c>
      <c r="H5362" s="1">
        <v>-3.1111320000000002E-6</v>
      </c>
      <c r="I5362">
        <v>16.668039999999898</v>
      </c>
      <c r="J5362">
        <v>-390.32429999999999</v>
      </c>
      <c r="K5362">
        <v>1.110228</v>
      </c>
      <c r="L5362">
        <v>15.902340000000001</v>
      </c>
      <c r="M5362">
        <v>0.99312180000000005</v>
      </c>
      <c r="N5362">
        <v>0</v>
      </c>
      <c r="O5362">
        <v>0.116271</v>
      </c>
      <c r="P5362">
        <v>0.99797519999999995</v>
      </c>
      <c r="Q5362">
        <v>-2.9308190000000001E-2</v>
      </c>
      <c r="R5362">
        <v>5.6451309999999998E-2</v>
      </c>
      <c r="S5362">
        <v>2.9972530000000002</v>
      </c>
      <c r="T5362">
        <v>-0.12833710000000001</v>
      </c>
      <c r="U5362">
        <v>9.0301510000000001E-2</v>
      </c>
      <c r="V5362">
        <v>5.9978530000000002E-2</v>
      </c>
      <c r="W5362">
        <v>-1.5539219999999999E-2</v>
      </c>
      <c r="X5362">
        <v>0.99807869999999999</v>
      </c>
      <c r="Y5362">
        <v>8.6134349999999998E-2</v>
      </c>
      <c r="Z5362">
        <v>-6.8077379999999998E-3</v>
      </c>
      <c r="AA5362">
        <v>0.99626029999999999</v>
      </c>
      <c r="AB5362">
        <v>24</v>
      </c>
      <c r="AC5362">
        <v>25.7986</v>
      </c>
      <c r="AD5362">
        <v>-1.110231111132</v>
      </c>
      <c r="AE5362">
        <v>0.76569999999999805</v>
      </c>
      <c r="AF5362">
        <v>2.23527255489424</v>
      </c>
      <c r="AG5362">
        <v>-1.110231111132</v>
      </c>
      <c r="AH5362">
        <v>25.6651361625532</v>
      </c>
      <c r="AI5362">
        <v>92.467646223628293</v>
      </c>
      <c r="AJ5362">
        <v>85.022456651855904</v>
      </c>
      <c r="AK5362">
        <v>25.786203108584701</v>
      </c>
      <c r="AL5362">
        <v>90.890367565479394</v>
      </c>
      <c r="AM5362">
        <v>86.561003835739896</v>
      </c>
      <c r="AN5362">
        <v>0.99999999140642903</v>
      </c>
    </row>
    <row r="5363" spans="1:40" x14ac:dyDescent="0.25">
      <c r="A5363" t="str">
        <f>"20190312161423840"</f>
        <v>20190312161423840</v>
      </c>
      <c r="B5363" t="str">
        <f>"1552378463832161"</f>
        <v>1552378463832161</v>
      </c>
      <c r="C5363" t="s">
        <v>40</v>
      </c>
      <c r="D5363">
        <v>5.5646319999999996</v>
      </c>
      <c r="E5363">
        <v>0.51015809999999995</v>
      </c>
      <c r="F5363" t="s">
        <v>96</v>
      </c>
      <c r="G5363">
        <v>-365.45800000000003</v>
      </c>
      <c r="H5363" s="1">
        <v>-2.6720809999999999E-6</v>
      </c>
      <c r="I5363">
        <v>16.658670000000001</v>
      </c>
      <c r="J5363">
        <v>-390.09199999999998</v>
      </c>
      <c r="K5363">
        <v>1.110136</v>
      </c>
      <c r="L5363">
        <v>15.92966</v>
      </c>
      <c r="M5363">
        <v>0.9931217</v>
      </c>
      <c r="N5363">
        <v>0</v>
      </c>
      <c r="O5363">
        <v>0.11627129999999999</v>
      </c>
      <c r="P5363">
        <v>0.9980059</v>
      </c>
      <c r="Q5363">
        <v>-2.9868579999999999E-2</v>
      </c>
      <c r="R5363">
        <v>5.5608659999999997E-2</v>
      </c>
      <c r="S5363">
        <v>2.9970089999999998</v>
      </c>
      <c r="T5363">
        <v>-0.1338105</v>
      </c>
      <c r="U5363">
        <v>9.1156009999999996E-2</v>
      </c>
      <c r="V5363">
        <v>6.0815559999999998E-2</v>
      </c>
      <c r="W5363">
        <v>-1.6120789999999999E-2</v>
      </c>
      <c r="X5363">
        <v>0.99801890000000004</v>
      </c>
      <c r="Y5363">
        <v>8.583267E-2</v>
      </c>
      <c r="Z5363">
        <v>-7.0916059999999899E-3</v>
      </c>
      <c r="AA5363">
        <v>0.99628430000000001</v>
      </c>
      <c r="AB5363">
        <v>24</v>
      </c>
      <c r="AC5363">
        <v>24.633999999999901</v>
      </c>
      <c r="AD5363">
        <v>-1.110138672081</v>
      </c>
      <c r="AE5363">
        <v>0.72901000000000005</v>
      </c>
      <c r="AF5363">
        <v>2.13610082599094</v>
      </c>
      <c r="AG5363">
        <v>-1.110138672081</v>
      </c>
      <c r="AH5363">
        <v>24.5019417782859</v>
      </c>
      <c r="AI5363">
        <v>92.584404544239604</v>
      </c>
      <c r="AJ5363">
        <v>85.017501255140203</v>
      </c>
      <c r="AK5363">
        <v>24.619920501832699</v>
      </c>
      <c r="AL5363">
        <v>90.923693177313694</v>
      </c>
      <c r="AM5363">
        <v>86.512920131894205</v>
      </c>
      <c r="AN5363">
        <v>1.0000000684827699</v>
      </c>
    </row>
    <row r="5364" spans="1:40" x14ac:dyDescent="0.25">
      <c r="A5364" t="str">
        <f>"20190312161423855"</f>
        <v>20190312161423855</v>
      </c>
      <c r="B5364" t="str">
        <f>"1552378463851681"</f>
        <v>1552378463851681</v>
      </c>
      <c r="C5364" t="s">
        <v>40</v>
      </c>
      <c r="D5364">
        <v>5.4164560000000002</v>
      </c>
      <c r="E5364">
        <v>0.51063429999999999</v>
      </c>
      <c r="F5364" t="s">
        <v>96</v>
      </c>
      <c r="G5364">
        <v>-365.95010000000002</v>
      </c>
      <c r="H5364" s="1">
        <v>-2.4434190000000001E-6</v>
      </c>
      <c r="I5364">
        <v>16.636420000000001</v>
      </c>
      <c r="J5364">
        <v>-389.94029999999998</v>
      </c>
      <c r="K5364">
        <v>1.110079</v>
      </c>
      <c r="L5364">
        <v>15.947419999999999</v>
      </c>
      <c r="M5364">
        <v>0.99313099999999999</v>
      </c>
      <c r="N5364">
        <v>0</v>
      </c>
      <c r="O5364">
        <v>0.11619350000000001</v>
      </c>
      <c r="P5364">
        <v>0.99802820000000003</v>
      </c>
      <c r="Q5364">
        <v>-3.013122E-2</v>
      </c>
      <c r="R5364">
        <v>5.5064910000000002E-2</v>
      </c>
      <c r="S5364">
        <v>2.9970089999999998</v>
      </c>
      <c r="T5364">
        <v>-0.1378144</v>
      </c>
      <c r="U5364">
        <v>8.7738040000000003E-2</v>
      </c>
      <c r="V5364">
        <v>6.12776999999999E-2</v>
      </c>
      <c r="W5364">
        <v>-1.6396379999999999E-2</v>
      </c>
      <c r="X5364">
        <v>0.99798609999999999</v>
      </c>
      <c r="Y5364">
        <v>8.687657E-2</v>
      </c>
      <c r="Z5364">
        <v>-7.3242219999999896E-3</v>
      </c>
      <c r="AA5364">
        <v>0.99619219999999997</v>
      </c>
      <c r="AB5364">
        <v>24</v>
      </c>
      <c r="AC5364">
        <v>23.990199999999898</v>
      </c>
      <c r="AD5364">
        <v>-1.1100814434190001</v>
      </c>
      <c r="AE5364">
        <v>0.68899999999999995</v>
      </c>
      <c r="AF5364">
        <v>2.0989473583163298</v>
      </c>
      <c r="AG5364">
        <v>-1.1100814434190001</v>
      </c>
      <c r="AH5364">
        <v>23.856700563616599</v>
      </c>
      <c r="AI5364">
        <v>92.653884064849905</v>
      </c>
      <c r="AJ5364">
        <v>84.971980492245393</v>
      </c>
      <c r="AK5364">
        <v>23.974570332042902</v>
      </c>
      <c r="AL5364">
        <v>90.939485446737294</v>
      </c>
      <c r="AM5364">
        <v>86.4863726099302</v>
      </c>
      <c r="AN5364">
        <v>1.0000000267938001</v>
      </c>
    </row>
    <row r="5365" spans="1:40" x14ac:dyDescent="0.25">
      <c r="A5365" t="str">
        <f>"20190312161423875"</f>
        <v>20190312161423875</v>
      </c>
      <c r="B5365" t="str">
        <f>"1552378463872176"</f>
        <v>1552378463872176</v>
      </c>
      <c r="C5365" t="s">
        <v>40</v>
      </c>
      <c r="D5365">
        <v>5.448448</v>
      </c>
      <c r="E5365">
        <v>0.51104579999999999</v>
      </c>
      <c r="F5365" t="s">
        <v>96</v>
      </c>
      <c r="G5365">
        <v>-365.8408</v>
      </c>
      <c r="H5365" s="1">
        <v>-2.4999360000000001E-6</v>
      </c>
      <c r="I5365">
        <v>16.609220000000001</v>
      </c>
      <c r="J5365">
        <v>-389.73360000000002</v>
      </c>
      <c r="K5365">
        <v>1.1100080000000001</v>
      </c>
      <c r="L5365">
        <v>15.971439999999999</v>
      </c>
      <c r="M5365">
        <v>0.99315439999999999</v>
      </c>
      <c r="N5365">
        <v>0</v>
      </c>
      <c r="O5365">
        <v>0.11599329999999999</v>
      </c>
      <c r="P5365">
        <v>0.99809959999999998</v>
      </c>
      <c r="Q5365">
        <v>-2.947603E-2</v>
      </c>
      <c r="R5365">
        <v>5.411382E-2</v>
      </c>
      <c r="S5365">
        <v>2.9971920000000001</v>
      </c>
      <c r="T5365">
        <v>-0.1380576</v>
      </c>
      <c r="U5365">
        <v>8.2305909999999996E-2</v>
      </c>
      <c r="V5365">
        <v>6.2027039999999999E-2</v>
      </c>
      <c r="W5365">
        <v>-1.5757790000000001E-2</v>
      </c>
      <c r="X5365">
        <v>0.99795009999999995</v>
      </c>
      <c r="Y5365">
        <v>8.8479249999999995E-2</v>
      </c>
      <c r="Z5365">
        <v>-7.364738E-3</v>
      </c>
      <c r="AA5365">
        <v>0.99605080000000001</v>
      </c>
      <c r="AB5365">
        <v>24</v>
      </c>
      <c r="AC5365">
        <v>23.892800000000001</v>
      </c>
      <c r="AD5365">
        <v>-1.1100104999360001</v>
      </c>
      <c r="AE5365">
        <v>0.63778000000000101</v>
      </c>
      <c r="AF5365">
        <v>2.1335919873734199</v>
      </c>
      <c r="AG5365">
        <v>-1.1100104999360001</v>
      </c>
      <c r="AH5365">
        <v>23.754244741974901</v>
      </c>
      <c r="AI5365">
        <v>92.664712731629805</v>
      </c>
      <c r="AJ5365">
        <v>84.867500137598498</v>
      </c>
      <c r="AK5365">
        <v>23.875688080978801</v>
      </c>
      <c r="AL5365">
        <v>90.902892201196806</v>
      </c>
      <c r="AM5365">
        <v>86.443387544643699</v>
      </c>
      <c r="AN5365">
        <v>1.0000000318634199</v>
      </c>
    </row>
    <row r="5366" spans="1:40" x14ac:dyDescent="0.25">
      <c r="A5366" t="str">
        <f>"20190312161423895"</f>
        <v>20190312161423895</v>
      </c>
      <c r="B5366" t="str">
        <f>"1552378463891697"</f>
        <v>1552378463891697</v>
      </c>
      <c r="C5366" t="s">
        <v>40</v>
      </c>
      <c r="D5366">
        <v>5.5561800000000003</v>
      </c>
      <c r="E5366">
        <v>0.51183679999999998</v>
      </c>
      <c r="F5366" t="s">
        <v>96</v>
      </c>
      <c r="G5366">
        <v>-364.79230000000001</v>
      </c>
      <c r="H5366" s="1">
        <v>-2.9964630000000001E-6</v>
      </c>
      <c r="I5366">
        <v>16.604209999999998</v>
      </c>
      <c r="J5366">
        <v>-389.51029999999997</v>
      </c>
      <c r="K5366">
        <v>1.1099289999999999</v>
      </c>
      <c r="L5366">
        <v>15.997249999999999</v>
      </c>
      <c r="M5366">
        <v>0.99319270000000004</v>
      </c>
      <c r="N5366">
        <v>0</v>
      </c>
      <c r="O5366">
        <v>0.1156654</v>
      </c>
      <c r="P5366">
        <v>0.9981371</v>
      </c>
      <c r="Q5366">
        <v>-2.9442699999999999E-2</v>
      </c>
      <c r="R5366">
        <v>5.343817E-2</v>
      </c>
      <c r="S5366">
        <v>2.9975890000000001</v>
      </c>
      <c r="T5366">
        <v>-0.1334071</v>
      </c>
      <c r="U5366">
        <v>7.6049800000000001E-2</v>
      </c>
      <c r="V5366">
        <v>6.2370019999999998E-2</v>
      </c>
      <c r="W5366">
        <v>-1.5741330000000001E-2</v>
      </c>
      <c r="X5366">
        <v>0.99792899999999995</v>
      </c>
      <c r="Y5366">
        <v>9.0244080000000004E-2</v>
      </c>
      <c r="Z5366">
        <v>-7.1410600000000003E-3</v>
      </c>
      <c r="AA5366">
        <v>0.9958941</v>
      </c>
      <c r="AB5366">
        <v>24</v>
      </c>
      <c r="AC5366">
        <v>24.7179999999999</v>
      </c>
      <c r="AD5366">
        <v>-1.1099319964629999</v>
      </c>
      <c r="AE5366">
        <v>0.60696000000000205</v>
      </c>
      <c r="AF5366">
        <v>2.2518654172273598</v>
      </c>
      <c r="AG5366">
        <v>-1.1099319964629999</v>
      </c>
      <c r="AH5366">
        <v>24.572760451033599</v>
      </c>
      <c r="AI5366">
        <v>92.575469570775795</v>
      </c>
      <c r="AJ5366">
        <v>84.763998282568593</v>
      </c>
      <c r="AK5366">
        <v>24.700676166412102</v>
      </c>
      <c r="AL5366">
        <v>90.901948980293199</v>
      </c>
      <c r="AM5366">
        <v>86.423696651274099</v>
      </c>
      <c r="AN5366">
        <v>1.0000000489529799</v>
      </c>
    </row>
    <row r="5367" spans="1:40" x14ac:dyDescent="0.25">
      <c r="A5367" t="str">
        <f>"20190312161423909"</f>
        <v>20190312161423909</v>
      </c>
      <c r="B5367" t="str">
        <f>"1552378463902432"</f>
        <v>1552378463902432</v>
      </c>
      <c r="C5367" t="s">
        <v>40</v>
      </c>
      <c r="D5367">
        <v>5.4862039999999999</v>
      </c>
      <c r="E5367">
        <v>0.51189229999999997</v>
      </c>
      <c r="F5367" t="s">
        <v>96</v>
      </c>
      <c r="G5367">
        <v>-364.55560000000003</v>
      </c>
      <c r="H5367" s="1">
        <v>-3.1161239999999999E-6</v>
      </c>
      <c r="I5367">
        <v>16.560410000000001</v>
      </c>
      <c r="J5367">
        <v>-389.37380000000002</v>
      </c>
      <c r="K5367">
        <v>1.1098809999999999</v>
      </c>
      <c r="L5367">
        <v>16.01294</v>
      </c>
      <c r="M5367">
        <v>0.99322100000000002</v>
      </c>
      <c r="N5367">
        <v>0</v>
      </c>
      <c r="O5367">
        <v>0.1154227</v>
      </c>
      <c r="P5367">
        <v>0.99815569999999998</v>
      </c>
      <c r="Q5367">
        <v>-2.9468560000000001E-2</v>
      </c>
      <c r="R5367">
        <v>5.307597E-2</v>
      </c>
      <c r="S5367">
        <v>2.9980470000000001</v>
      </c>
      <c r="T5367">
        <v>-0.13334670000000001</v>
      </c>
      <c r="U5367">
        <v>6.7657469999999997E-2</v>
      </c>
      <c r="V5367">
        <v>6.2486319999999998E-2</v>
      </c>
      <c r="W5367">
        <v>-1.5776930000000002E-2</v>
      </c>
      <c r="X5367">
        <v>0.99792110000000001</v>
      </c>
      <c r="Y5367">
        <v>9.2788389999999998E-2</v>
      </c>
      <c r="Z5367">
        <v>-7.1830069999999999E-3</v>
      </c>
      <c r="AA5367">
        <v>0.99565990000000004</v>
      </c>
      <c r="AB5367">
        <v>24</v>
      </c>
      <c r="AC5367">
        <v>24.818199999999901</v>
      </c>
      <c r="AD5367">
        <v>-1.1098841161239901</v>
      </c>
      <c r="AE5367">
        <v>0.54747000000000001</v>
      </c>
      <c r="AF5367">
        <v>2.3164146375204102</v>
      </c>
      <c r="AG5367">
        <v>-1.1098841161239901</v>
      </c>
      <c r="AH5367">
        <v>24.666184948779801</v>
      </c>
      <c r="AI5367">
        <v>92.565082474653195</v>
      </c>
      <c r="AJ5367">
        <v>84.635057223610104</v>
      </c>
      <c r="AK5367">
        <v>24.7995624850833</v>
      </c>
      <c r="AL5367">
        <v>90.903989019495597</v>
      </c>
      <c r="AM5367">
        <v>86.417017062610398</v>
      </c>
      <c r="AN5367">
        <v>0.99999998676628798</v>
      </c>
    </row>
    <row r="5368" spans="1:40" x14ac:dyDescent="0.25">
      <c r="A5368" t="str">
        <f>"20190312161423929"</f>
        <v>20190312161423929</v>
      </c>
      <c r="B5368" t="str">
        <f>"1552378463921953"</f>
        <v>1552378463921953</v>
      </c>
      <c r="C5368" t="s">
        <v>40</v>
      </c>
      <c r="D5368">
        <v>5.8026609999999996</v>
      </c>
      <c r="E5368">
        <v>0.51202340000000002</v>
      </c>
      <c r="F5368" t="s">
        <v>96</v>
      </c>
      <c r="G5368">
        <v>-363.96539999999999</v>
      </c>
      <c r="H5368" s="1">
        <v>-3.3929830000000001E-6</v>
      </c>
      <c r="I5368">
        <v>16.57235</v>
      </c>
      <c r="J5368">
        <v>-389.16039999999998</v>
      </c>
      <c r="K5368">
        <v>1.1098049999999999</v>
      </c>
      <c r="L5368">
        <v>16.037289999999999</v>
      </c>
      <c r="M5368">
        <v>0.99327580000000004</v>
      </c>
      <c r="N5368">
        <v>0</v>
      </c>
      <c r="O5368">
        <v>0.1149516</v>
      </c>
      <c r="P5368">
        <v>0.99816760000000004</v>
      </c>
      <c r="Q5368">
        <v>-3.0413010000000001E-2</v>
      </c>
      <c r="R5368">
        <v>5.2314869999999999E-2</v>
      </c>
      <c r="S5368">
        <v>2.9981689999999999</v>
      </c>
      <c r="T5368">
        <v>-0.13096540000000001</v>
      </c>
      <c r="U5368">
        <v>6.6009520000000002E-2</v>
      </c>
      <c r="V5368">
        <v>6.2766950000000002E-2</v>
      </c>
      <c r="W5368">
        <v>-1.6736529999999999E-2</v>
      </c>
      <c r="X5368">
        <v>0.99788779999999999</v>
      </c>
      <c r="Y5368">
        <v>9.2871640000000005E-2</v>
      </c>
      <c r="Z5368">
        <v>-7.0360149999999996E-3</v>
      </c>
      <c r="AA5368">
        <v>0.99565320000000002</v>
      </c>
      <c r="AB5368">
        <v>24</v>
      </c>
      <c r="AC5368">
        <v>25.195</v>
      </c>
      <c r="AD5368">
        <v>-1.1098083929829901</v>
      </c>
      <c r="AE5368">
        <v>0.53506000000000098</v>
      </c>
      <c r="AF5368">
        <v>2.3603895023853401</v>
      </c>
      <c r="AG5368">
        <v>-1.1098083929829901</v>
      </c>
      <c r="AH5368">
        <v>25.040900023220001</v>
      </c>
      <c r="AI5368">
        <v>92.526493667920803</v>
      </c>
      <c r="AJ5368">
        <v>84.615132357581601</v>
      </c>
      <c r="AK5368">
        <v>25.176373592020902</v>
      </c>
      <c r="AL5368">
        <v>90.958977372106801</v>
      </c>
      <c r="AM5368">
        <v>86.400848075298697</v>
      </c>
      <c r="AN5368">
        <v>0.99999993141878896</v>
      </c>
    </row>
    <row r="5369" spans="1:40" x14ac:dyDescent="0.25">
      <c r="A5369" t="str">
        <f>"20190312161423952"</f>
        <v>20190312161423952</v>
      </c>
      <c r="B5369" t="str">
        <f>"1552378463942449"</f>
        <v>1552378463942449</v>
      </c>
      <c r="C5369" t="s">
        <v>40</v>
      </c>
      <c r="D5369">
        <v>6.2560419999999999</v>
      </c>
      <c r="E5369">
        <v>0.511826</v>
      </c>
      <c r="F5369" t="s">
        <v>96</v>
      </c>
      <c r="G5369">
        <v>-363.6026</v>
      </c>
      <c r="H5369" s="1">
        <v>-3.5648249999999998E-6</v>
      </c>
      <c r="I5369">
        <v>16.570309999999999</v>
      </c>
      <c r="J5369">
        <v>-388.92110000000002</v>
      </c>
      <c r="K5369">
        <v>1.109728</v>
      </c>
      <c r="L5369">
        <v>16.064299999999999</v>
      </c>
      <c r="M5369">
        <v>0.99335030000000002</v>
      </c>
      <c r="N5369">
        <v>0</v>
      </c>
      <c r="O5369">
        <v>0.11430559999999999</v>
      </c>
      <c r="P5369">
        <v>0.99821309999999996</v>
      </c>
      <c r="Q5369">
        <v>-3.0810629999999999E-2</v>
      </c>
      <c r="R5369">
        <v>5.120367E-2</v>
      </c>
      <c r="S5369">
        <v>2.9982600000000001</v>
      </c>
      <c r="T5369">
        <v>-0.13019500000000001</v>
      </c>
      <c r="U5369">
        <v>6.2530520000000006E-2</v>
      </c>
      <c r="V5369">
        <v>6.3223909999999994E-2</v>
      </c>
      <c r="W5369">
        <v>-1.715359E-2</v>
      </c>
      <c r="X5369">
        <v>0.99785199999999996</v>
      </c>
      <c r="Y5369">
        <v>9.3382069999999998E-2</v>
      </c>
      <c r="Z5369">
        <v>-6.9778230000000002E-3</v>
      </c>
      <c r="AA5369">
        <v>0.99560590000000004</v>
      </c>
      <c r="AB5369">
        <v>23</v>
      </c>
      <c r="AC5369">
        <v>25.3185</v>
      </c>
      <c r="AD5369">
        <v>-1.1097315648249999</v>
      </c>
      <c r="AE5369">
        <v>0.50600999999999896</v>
      </c>
      <c r="AF5369">
        <v>2.3870436359594298</v>
      </c>
      <c r="AG5369">
        <v>-1.1097315648249999</v>
      </c>
      <c r="AH5369">
        <v>25.1620464090669</v>
      </c>
      <c r="AI5369">
        <v>92.514028817647997</v>
      </c>
      <c r="AJ5369">
        <v>84.580749301380393</v>
      </c>
      <c r="AK5369">
        <v>25.2993687857618</v>
      </c>
      <c r="AL5369">
        <v>90.982876455573603</v>
      </c>
      <c r="AM5369">
        <v>86.374585207139702</v>
      </c>
      <c r="AN5369">
        <v>1.0000000611747799</v>
      </c>
    </row>
    <row r="5370" spans="1:40" x14ac:dyDescent="0.25">
      <c r="A5370" t="str">
        <f>"20190312161423973"</f>
        <v>20190312161423973</v>
      </c>
      <c r="B5370" t="str">
        <f>"1552378463961969"</f>
        <v>1552378463961969</v>
      </c>
      <c r="C5370" t="s">
        <v>40</v>
      </c>
      <c r="D5370">
        <v>5.5900689999999997</v>
      </c>
      <c r="E5370">
        <v>0.51162280000000004</v>
      </c>
      <c r="F5370" t="s">
        <v>96</v>
      </c>
      <c r="G5370">
        <v>-362.29840000000002</v>
      </c>
      <c r="H5370" s="1">
        <v>-4.1757609999999999E-6</v>
      </c>
      <c r="I5370">
        <v>16.601890000000001</v>
      </c>
      <c r="J5370">
        <v>-388.7022</v>
      </c>
      <c r="K5370">
        <v>1.1096629999999901</v>
      </c>
      <c r="L5370">
        <v>16.088750000000001</v>
      </c>
      <c r="M5370">
        <v>0.99342940000000002</v>
      </c>
      <c r="N5370">
        <v>0</v>
      </c>
      <c r="O5370">
        <v>0.1136182</v>
      </c>
      <c r="P5370">
        <v>0.99825779999999997</v>
      </c>
      <c r="Q5370">
        <v>-3.0506149999999999E-2</v>
      </c>
      <c r="R5370">
        <v>5.050441E-2</v>
      </c>
      <c r="S5370">
        <v>2.9984130000000002</v>
      </c>
      <c r="T5370">
        <v>-0.1249845</v>
      </c>
      <c r="U5370">
        <v>6.0546879999999997E-2</v>
      </c>
      <c r="V5370">
        <v>6.3231309999999999E-2</v>
      </c>
      <c r="W5370">
        <v>-1.6871580000000001E-2</v>
      </c>
      <c r="X5370">
        <v>0.99785630000000003</v>
      </c>
      <c r="Y5370">
        <v>9.3368389999999996E-2</v>
      </c>
      <c r="Z5370">
        <v>-6.6697900000000001E-3</v>
      </c>
      <c r="AA5370">
        <v>0.99560930000000003</v>
      </c>
      <c r="AB5370">
        <v>23</v>
      </c>
      <c r="AC5370">
        <v>26.403799999999901</v>
      </c>
      <c r="AD5370">
        <v>-1.1096671757609999</v>
      </c>
      <c r="AE5370">
        <v>0.51313999999999904</v>
      </c>
      <c r="AF5370">
        <v>2.4860298408933801</v>
      </c>
      <c r="AG5370">
        <v>-1.1096671757609999</v>
      </c>
      <c r="AH5370">
        <v>26.244759613038202</v>
      </c>
      <c r="AI5370">
        <v>92.410331323025602</v>
      </c>
      <c r="AJ5370">
        <v>84.588814163336394</v>
      </c>
      <c r="AK5370">
        <v>26.3855853214768</v>
      </c>
      <c r="AL5370">
        <v>90.966716172699407</v>
      </c>
      <c r="AM5370">
        <v>86.374177587740405</v>
      </c>
      <c r="AN5370">
        <v>1.00000002211285</v>
      </c>
    </row>
    <row r="5371" spans="1:40" x14ac:dyDescent="0.25">
      <c r="A5371" t="str">
        <f>"20190312161423986"</f>
        <v>20190312161423986</v>
      </c>
      <c r="B5371" t="str">
        <f>"1552378463982465"</f>
        <v>1552378463982465</v>
      </c>
      <c r="C5371" t="s">
        <v>40</v>
      </c>
      <c r="D5371">
        <v>5.6629230000000002</v>
      </c>
      <c r="E5371">
        <v>0.51170459999999995</v>
      </c>
      <c r="F5371" t="s">
        <v>96</v>
      </c>
      <c r="G5371">
        <v>-360.67630000000003</v>
      </c>
      <c r="H5371" s="1">
        <v>-4.9342850000000001E-6</v>
      </c>
      <c r="I5371">
        <v>16.64838</v>
      </c>
      <c r="J5371">
        <v>-388.56799999999998</v>
      </c>
      <c r="K5371">
        <v>1.109623</v>
      </c>
      <c r="L5371">
        <v>16.103639999999999</v>
      </c>
      <c r="M5371">
        <v>0.99348230000000004</v>
      </c>
      <c r="N5371">
        <v>0</v>
      </c>
      <c r="O5371">
        <v>0.11315550000000001</v>
      </c>
      <c r="P5371">
        <v>0.99827980000000005</v>
      </c>
      <c r="Q5371">
        <v>-3.017156E-2</v>
      </c>
      <c r="R5371">
        <v>5.0270670000000003E-2</v>
      </c>
      <c r="S5371">
        <v>2.9985050000000002</v>
      </c>
      <c r="T5371">
        <v>-0.1187238</v>
      </c>
      <c r="U5371">
        <v>5.9875490000000003E-2</v>
      </c>
      <c r="V5371">
        <v>6.3000329999999993E-2</v>
      </c>
      <c r="W5371">
        <v>-1.6552009999999999E-2</v>
      </c>
      <c r="X5371">
        <v>0.99787619999999999</v>
      </c>
      <c r="Y5371">
        <v>9.3146229999999997E-2</v>
      </c>
      <c r="Z5371">
        <v>-6.3131819999999996E-3</v>
      </c>
      <c r="AA5371">
        <v>0.99563239999999997</v>
      </c>
      <c r="AB5371">
        <v>23</v>
      </c>
      <c r="AC5371">
        <v>27.8917</v>
      </c>
      <c r="AD5371">
        <v>-1.109627934285</v>
      </c>
      <c r="AE5371">
        <v>0.54474</v>
      </c>
      <c r="AF5371">
        <v>2.6110255780796399</v>
      </c>
      <c r="AG5371">
        <v>-1.109627934285</v>
      </c>
      <c r="AH5371">
        <v>27.7302993032242</v>
      </c>
      <c r="AI5371">
        <v>92.281388116901496</v>
      </c>
      <c r="AJ5371">
        <v>84.6210109048166</v>
      </c>
      <c r="AK5371">
        <v>27.875046693563199</v>
      </c>
      <c r="AL5371">
        <v>90.948403661756203</v>
      </c>
      <c r="AM5371">
        <v>86.387459202269497</v>
      </c>
      <c r="AN5371">
        <v>0.99999996057079299</v>
      </c>
    </row>
    <row r="5372" spans="1:40" x14ac:dyDescent="0.25">
      <c r="A5372" t="str">
        <f>"20190312161424001"</f>
        <v>20190312161424001</v>
      </c>
      <c r="B5372" t="str">
        <f>"1552378463992225"</f>
        <v>1552378463992225</v>
      </c>
      <c r="C5372" t="s">
        <v>40</v>
      </c>
      <c r="D5372">
        <v>5.72403</v>
      </c>
      <c r="E5372">
        <v>0.51170459999999995</v>
      </c>
      <c r="F5372" t="s">
        <v>42</v>
      </c>
      <c r="G5372">
        <v>-359.27109999999999</v>
      </c>
      <c r="H5372" s="1">
        <v>-1.017056E-6</v>
      </c>
      <c r="I5372">
        <v>16.6736</v>
      </c>
      <c r="J5372">
        <v>-388.40989999999999</v>
      </c>
      <c r="K5372">
        <v>1.109585</v>
      </c>
      <c r="L5372">
        <v>16.120999999999999</v>
      </c>
      <c r="M5372">
        <v>0.99355059999999995</v>
      </c>
      <c r="N5372">
        <v>0</v>
      </c>
      <c r="O5372">
        <v>0.11255610000000001</v>
      </c>
      <c r="P5372">
        <v>0.99830669999999999</v>
      </c>
      <c r="Q5372">
        <v>-2.9989849999999998E-2</v>
      </c>
      <c r="R5372">
        <v>4.9845149999999998E-2</v>
      </c>
      <c r="S5372">
        <v>2.9988100000000002</v>
      </c>
      <c r="T5372">
        <v>-0.1135805</v>
      </c>
      <c r="U5372">
        <v>5.8349610000000003E-2</v>
      </c>
      <c r="V5372">
        <v>6.2822710000000004E-2</v>
      </c>
      <c r="W5372">
        <v>-1.6388050000000001E-2</v>
      </c>
      <c r="X5372">
        <v>0.9978901</v>
      </c>
      <c r="Y5372">
        <v>9.3068079999999997E-2</v>
      </c>
      <c r="Z5372">
        <v>-6.0152779999999998E-3</v>
      </c>
      <c r="AA5372">
        <v>0.99564160000000002</v>
      </c>
      <c r="AB5372">
        <v>23</v>
      </c>
      <c r="AC5372">
        <v>29.1388</v>
      </c>
      <c r="AD5372">
        <v>-1.1095860170559999</v>
      </c>
      <c r="AE5372">
        <v>0.55260000000000098</v>
      </c>
      <c r="AF5372">
        <v>2.7270179474309701</v>
      </c>
      <c r="AG5372">
        <v>-1.1095860170559999</v>
      </c>
      <c r="AH5372">
        <v>28.973805179346499</v>
      </c>
      <c r="AI5372">
        <v>92.183497039867802</v>
      </c>
      <c r="AJ5372">
        <v>84.623154269875002</v>
      </c>
      <c r="AK5372">
        <v>29.123001126009999</v>
      </c>
      <c r="AL5372">
        <v>90.939008174899499</v>
      </c>
      <c r="AM5372">
        <v>86.397667409221498</v>
      </c>
      <c r="AN5372">
        <v>0.99999995637627703</v>
      </c>
    </row>
    <row r="5373" spans="1:40" x14ac:dyDescent="0.25">
      <c r="A5373" t="str">
        <f>"20190312161424019"</f>
        <v>20190312161424019</v>
      </c>
      <c r="B5373" t="str">
        <f>"1552378464011745"</f>
        <v>1552378464011745</v>
      </c>
      <c r="C5373" t="s">
        <v>40</v>
      </c>
      <c r="D5373">
        <v>5.7720929999999999</v>
      </c>
      <c r="E5373">
        <v>0.54225769999999995</v>
      </c>
      <c r="F5373" t="s">
        <v>42</v>
      </c>
      <c r="G5373">
        <v>-358.95679999999999</v>
      </c>
      <c r="H5373" s="1">
        <v>-1.1220189999999999E-6</v>
      </c>
      <c r="I5373">
        <v>16.68112</v>
      </c>
      <c r="J5373">
        <v>-388.22410000000002</v>
      </c>
      <c r="K5373">
        <v>1.109529</v>
      </c>
      <c r="L5373">
        <v>16.141200000000001</v>
      </c>
      <c r="M5373">
        <v>0.99363729999999995</v>
      </c>
      <c r="N5373">
        <v>0</v>
      </c>
      <c r="O5373">
        <v>0.1117905</v>
      </c>
      <c r="P5373">
        <v>0.99829809999999997</v>
      </c>
      <c r="Q5373">
        <v>-3.0318290000000001E-2</v>
      </c>
      <c r="R5373">
        <v>4.9815810000000002E-2</v>
      </c>
      <c r="S5373">
        <v>2.9987789999999999</v>
      </c>
      <c r="T5373">
        <v>-0.11297310000000001</v>
      </c>
      <c r="U5373">
        <v>5.7037350000000001E-2</v>
      </c>
      <c r="V5373">
        <v>6.2079629999999997E-2</v>
      </c>
      <c r="W5373">
        <v>-1.6740439999999999E-2</v>
      </c>
      <c r="X5373">
        <v>0.99793080000000001</v>
      </c>
      <c r="Y5373">
        <v>9.2738520000000005E-2</v>
      </c>
      <c r="Z5373">
        <v>-5.9483599999999998E-3</v>
      </c>
      <c r="AA5373">
        <v>0.99567269999999997</v>
      </c>
      <c r="AB5373">
        <v>23</v>
      </c>
      <c r="AC5373">
        <v>29.267299999999999</v>
      </c>
      <c r="AD5373">
        <v>-1.1095301220189999</v>
      </c>
      <c r="AE5373">
        <v>0.53991999999999796</v>
      </c>
      <c r="AF5373">
        <v>2.7316537747035401</v>
      </c>
      <c r="AG5373">
        <v>-1.1095301220189999</v>
      </c>
      <c r="AH5373">
        <v>29.102364374555499</v>
      </c>
      <c r="AI5373">
        <v>92.173803245810106</v>
      </c>
      <c r="AJ5373">
        <v>84.637720813180195</v>
      </c>
      <c r="AK5373">
        <v>29.251335040061299</v>
      </c>
      <c r="AL5373">
        <v>90.9592013621196</v>
      </c>
      <c r="AM5373">
        <v>86.440311133380206</v>
      </c>
      <c r="AN5373">
        <v>1.00000000219048</v>
      </c>
    </row>
    <row r="5374" spans="1:40" x14ac:dyDescent="0.25">
      <c r="A5374" t="str">
        <f>"20190312161424033"</f>
        <v>20190312161424033</v>
      </c>
      <c r="B5374" t="str">
        <f>"1552378464022482"</f>
        <v>1552378464022482</v>
      </c>
      <c r="C5374" t="s">
        <v>40</v>
      </c>
      <c r="D5374">
        <v>5.7491960000000004</v>
      </c>
      <c r="E5374">
        <v>0.54301160000000004</v>
      </c>
      <c r="F5374" t="s">
        <v>42</v>
      </c>
      <c r="G5374">
        <v>-351.38130000000001</v>
      </c>
      <c r="H5374" s="1">
        <v>-4.7027099999999997E-6</v>
      </c>
      <c r="I5374">
        <v>13.848879999999999</v>
      </c>
      <c r="J5374">
        <v>-388.08120000000002</v>
      </c>
      <c r="K5374">
        <v>1.1094889999999999</v>
      </c>
      <c r="L5374">
        <v>16.156589999999898</v>
      </c>
      <c r="M5374">
        <v>0.9937087</v>
      </c>
      <c r="N5374">
        <v>0</v>
      </c>
      <c r="O5374">
        <v>0.1111555</v>
      </c>
      <c r="P5374">
        <v>0.99830739999999996</v>
      </c>
      <c r="Q5374">
        <v>-3.061119E-2</v>
      </c>
      <c r="R5374">
        <v>4.9450479999999998E-2</v>
      </c>
      <c r="S5374">
        <v>3.0116879999999999</v>
      </c>
      <c r="T5374">
        <v>-9.0698119999999993E-2</v>
      </c>
      <c r="U5374">
        <v>-0.18737789999999999</v>
      </c>
      <c r="V5374">
        <v>6.1804060000000001E-2</v>
      </c>
      <c r="W5374">
        <v>-1.7057449999999998E-2</v>
      </c>
      <c r="X5374">
        <v>0.99794249999999995</v>
      </c>
      <c r="Y5374">
        <v>0.1725352</v>
      </c>
      <c r="Z5374">
        <v>-5.9363940000000002E-3</v>
      </c>
      <c r="AA5374">
        <v>0.98498549999999996</v>
      </c>
      <c r="AB5374">
        <v>23</v>
      </c>
      <c r="AC5374">
        <v>36.6999</v>
      </c>
      <c r="AD5374">
        <v>-1.10949370271</v>
      </c>
      <c r="AE5374">
        <v>-2.3077099999999899</v>
      </c>
      <c r="AF5374">
        <v>6.3673881494489102</v>
      </c>
      <c r="AG5374">
        <v>-1.10949370271</v>
      </c>
      <c r="AH5374">
        <v>36.182951217664197</v>
      </c>
      <c r="AI5374">
        <v>91.729772139623705</v>
      </c>
      <c r="AJ5374">
        <v>80.019416759248003</v>
      </c>
      <c r="AK5374">
        <v>36.7556875454937</v>
      </c>
      <c r="AL5374">
        <v>90.977367326768501</v>
      </c>
      <c r="AM5374">
        <v>86.456113590363799</v>
      </c>
      <c r="AN5374">
        <v>0.99999996586961704</v>
      </c>
    </row>
    <row r="5375" spans="1:40" x14ac:dyDescent="0.25">
      <c r="A5375" t="str">
        <f>"20190312161424054"</f>
        <v>20190312161424054</v>
      </c>
      <c r="B5375" t="str">
        <f>"1552378464042001"</f>
        <v>1552378464042001</v>
      </c>
      <c r="C5375" t="s">
        <v>40</v>
      </c>
      <c r="D5375">
        <v>5.647392</v>
      </c>
      <c r="E5375">
        <v>0.54483149999999902</v>
      </c>
      <c r="F5375" t="s">
        <v>42</v>
      </c>
      <c r="G5375">
        <v>-353.99459999999999</v>
      </c>
      <c r="H5375" s="1">
        <v>-3.5622750000000001E-6</v>
      </c>
      <c r="I5375">
        <v>13.958</v>
      </c>
      <c r="J5375">
        <v>-387.86529999999999</v>
      </c>
      <c r="K5375">
        <v>1.1094200000000001</v>
      </c>
      <c r="L5375">
        <v>16.179600000000001</v>
      </c>
      <c r="M5375">
        <v>0.99382490000000001</v>
      </c>
      <c r="N5375">
        <v>0</v>
      </c>
      <c r="O5375">
        <v>0.1101167</v>
      </c>
      <c r="P5375">
        <v>0.99832379999999998</v>
      </c>
      <c r="Q5375">
        <v>-3.0686740000000001E-2</v>
      </c>
      <c r="R5375">
        <v>4.9074149999999997E-2</v>
      </c>
      <c r="S5375">
        <v>3.0116580000000002</v>
      </c>
      <c r="T5375">
        <v>-9.8027230000000007E-2</v>
      </c>
      <c r="U5375">
        <v>-0.19424440000000001</v>
      </c>
      <c r="V5375">
        <v>6.1133989999999999E-2</v>
      </c>
      <c r="W5375">
        <v>-1.7179529999999998E-2</v>
      </c>
      <c r="X5375">
        <v>0.99798169999999997</v>
      </c>
      <c r="Y5375">
        <v>0.17372109999999999</v>
      </c>
      <c r="Z5375">
        <v>-6.4011700000000003E-3</v>
      </c>
      <c r="AA5375">
        <v>0.98477409999999999</v>
      </c>
      <c r="AB5375">
        <v>23</v>
      </c>
      <c r="AC5375">
        <v>33.870699999999999</v>
      </c>
      <c r="AD5375">
        <v>-1.1094235622749999</v>
      </c>
      <c r="AE5375">
        <v>-2.2216</v>
      </c>
      <c r="AF5375">
        <v>5.93182770508656</v>
      </c>
      <c r="AG5375">
        <v>-1.1094235622749999</v>
      </c>
      <c r="AH5375">
        <v>33.384360751564401</v>
      </c>
      <c r="AI5375">
        <v>91.874012330498203</v>
      </c>
      <c r="AJ5375">
        <v>79.924675523933601</v>
      </c>
      <c r="AK5375">
        <v>33.925402626261601</v>
      </c>
      <c r="AL5375">
        <v>90.9843629998106</v>
      </c>
      <c r="AM5375">
        <v>86.494576869225398</v>
      </c>
      <c r="AN5375">
        <v>0.99999998725961503</v>
      </c>
    </row>
    <row r="5376" spans="1:40" x14ac:dyDescent="0.25">
      <c r="A5376" t="str">
        <f>"20190312161424076"</f>
        <v>20190312161424076</v>
      </c>
      <c r="B5376" t="str">
        <f>"1552378464072257"</f>
        <v>1552378464072257</v>
      </c>
      <c r="C5376" t="s">
        <v>40</v>
      </c>
      <c r="D5376">
        <v>5.4782909999999996</v>
      </c>
      <c r="E5376">
        <v>0.54631980000000002</v>
      </c>
      <c r="F5376" t="s">
        <v>42</v>
      </c>
      <c r="G5376">
        <v>-346.35300000000001</v>
      </c>
      <c r="H5376" s="1">
        <v>-2.9132170000000002E-6</v>
      </c>
      <c r="I5376">
        <v>13.27948</v>
      </c>
      <c r="J5376">
        <v>-387.642</v>
      </c>
      <c r="K5376">
        <v>1.1093470000000001</v>
      </c>
      <c r="L5376">
        <v>16.203029999999998</v>
      </c>
      <c r="M5376">
        <v>0.99395330000000004</v>
      </c>
      <c r="N5376">
        <v>0</v>
      </c>
      <c r="O5376">
        <v>0.10895829999999999</v>
      </c>
      <c r="P5376">
        <v>0.99834560000000006</v>
      </c>
      <c r="Q5376">
        <v>-3.0431300000000001E-2</v>
      </c>
      <c r="R5376">
        <v>4.8786509999999998E-2</v>
      </c>
      <c r="S5376">
        <v>3.0129090000000001</v>
      </c>
      <c r="T5376">
        <v>-8.0520270000000005E-2</v>
      </c>
      <c r="U5376">
        <v>-0.21047969999999999</v>
      </c>
      <c r="V5376">
        <v>6.0257600000000001E-2</v>
      </c>
      <c r="W5376">
        <v>-1.6982799999999999E-2</v>
      </c>
      <c r="X5376">
        <v>0.99803839999999999</v>
      </c>
      <c r="Y5376">
        <v>0.1778759</v>
      </c>
      <c r="Z5376">
        <v>-5.2801139999999998E-3</v>
      </c>
      <c r="AA5376">
        <v>0.98403879999999999</v>
      </c>
      <c r="AB5376">
        <v>23</v>
      </c>
      <c r="AC5376">
        <v>41.288999999999902</v>
      </c>
      <c r="AD5376">
        <v>-1.1093499132169999</v>
      </c>
      <c r="AE5376">
        <v>-2.9235499999999899</v>
      </c>
      <c r="AF5376">
        <v>7.4000208517697903</v>
      </c>
      <c r="AG5376">
        <v>-1.1093499132169999</v>
      </c>
      <c r="AH5376">
        <v>40.695327641931001</v>
      </c>
      <c r="AI5376">
        <v>91.536309023031706</v>
      </c>
      <c r="AJ5376">
        <v>79.693967335311797</v>
      </c>
      <c r="AK5376">
        <v>41.377538081919496</v>
      </c>
      <c r="AL5376">
        <v>90.973089523517004</v>
      </c>
      <c r="AM5376">
        <v>86.544902265629403</v>
      </c>
      <c r="AN5376">
        <v>1.00000002086407</v>
      </c>
    </row>
    <row r="5377" spans="1:40" x14ac:dyDescent="0.25">
      <c r="A5377" t="str">
        <f>"20190312161424096"</f>
        <v>20190312161424096</v>
      </c>
      <c r="B5377" t="str">
        <f>"1552378464091777"</f>
        <v>1552378464091777</v>
      </c>
      <c r="C5377" t="s">
        <v>40</v>
      </c>
      <c r="D5377">
        <v>5.6717649999999997</v>
      </c>
      <c r="E5377">
        <v>0.54702709999999999</v>
      </c>
      <c r="F5377" t="s">
        <v>41</v>
      </c>
      <c r="G5377">
        <v>-311.1456</v>
      </c>
      <c r="H5377">
        <v>-0.05</v>
      </c>
      <c r="I5377">
        <v>10.511150000000001</v>
      </c>
      <c r="J5377">
        <v>-387.42189999999999</v>
      </c>
      <c r="K5377">
        <v>1.109289</v>
      </c>
      <c r="L5377">
        <v>16.225739999999998</v>
      </c>
      <c r="M5377">
        <v>0.99408629999999998</v>
      </c>
      <c r="N5377">
        <v>0</v>
      </c>
      <c r="O5377">
        <v>0.1077465</v>
      </c>
      <c r="P5377">
        <v>0.99838789999999999</v>
      </c>
      <c r="Q5377">
        <v>-3.021799E-2</v>
      </c>
      <c r="R5377">
        <v>4.8049090000000003E-2</v>
      </c>
      <c r="S5377">
        <v>3.0145569999999999</v>
      </c>
      <c r="T5377">
        <v>-4.5687319999999997E-2</v>
      </c>
      <c r="U5377">
        <v>-0.22430420000000001</v>
      </c>
      <c r="V5377">
        <v>5.9777249999999997E-2</v>
      </c>
      <c r="W5377">
        <v>-1.6839010000000001E-2</v>
      </c>
      <c r="X5377">
        <v>0.99806969999999995</v>
      </c>
      <c r="Y5377">
        <v>0.1811961</v>
      </c>
      <c r="Z5377">
        <v>-3.0011069999999998E-3</v>
      </c>
      <c r="AA5377">
        <v>0.98344240000000005</v>
      </c>
      <c r="AB5377">
        <v>23</v>
      </c>
      <c r="AC5377">
        <v>76.276299999999907</v>
      </c>
      <c r="AD5377">
        <v>-1.159289</v>
      </c>
      <c r="AE5377">
        <v>-5.7145899999999896</v>
      </c>
      <c r="AF5377">
        <v>13.8973804620022</v>
      </c>
      <c r="AG5377">
        <v>-1.159289</v>
      </c>
      <c r="AH5377">
        <v>75.199111169885299</v>
      </c>
      <c r="AI5377">
        <v>90.868511922684206</v>
      </c>
      <c r="AJ5377">
        <v>79.529431400921993</v>
      </c>
      <c r="AK5377">
        <v>76.481288269954902</v>
      </c>
      <c r="AL5377">
        <v>90.964849806396202</v>
      </c>
      <c r="AM5377">
        <v>86.572486258647501</v>
      </c>
      <c r="AN5377">
        <v>0.99999999896671599</v>
      </c>
    </row>
    <row r="5378" spans="1:40" x14ac:dyDescent="0.25">
      <c r="A5378" t="str">
        <f>"20190312161424119"</f>
        <v>20190312161424119</v>
      </c>
      <c r="B5378" t="str">
        <f>"1552378464112273"</f>
        <v>1552378464112273</v>
      </c>
      <c r="C5378" t="s">
        <v>40</v>
      </c>
      <c r="D5378">
        <v>5.6530690000000003</v>
      </c>
      <c r="E5378">
        <v>0.54784339999999998</v>
      </c>
      <c r="F5378" t="s">
        <v>41</v>
      </c>
      <c r="G5378">
        <v>-274.10879999999997</v>
      </c>
      <c r="H5378">
        <v>-0.05</v>
      </c>
      <c r="I5378">
        <v>7.486313</v>
      </c>
      <c r="J5378">
        <v>-387.18860000000001</v>
      </c>
      <c r="K5378">
        <v>1.1092379999999999</v>
      </c>
      <c r="L5378">
        <v>16.249479999999998</v>
      </c>
      <c r="M5378">
        <v>0.99423269999999997</v>
      </c>
      <c r="N5378">
        <v>0</v>
      </c>
      <c r="O5378">
        <v>0.10639849999999999</v>
      </c>
      <c r="P5378">
        <v>0.99844560000000004</v>
      </c>
      <c r="Q5378">
        <v>-3.0355E-2</v>
      </c>
      <c r="R5378">
        <v>4.6746889999999999E-2</v>
      </c>
      <c r="S5378">
        <v>3.0151059999999998</v>
      </c>
      <c r="T5378">
        <v>-3.0847070000000001E-2</v>
      </c>
      <c r="U5378">
        <v>-0.2325439</v>
      </c>
      <c r="V5378">
        <v>5.9723279999999997E-2</v>
      </c>
      <c r="W5378">
        <v>-1.705972E-2</v>
      </c>
      <c r="X5378">
        <v>0.99806919999999999</v>
      </c>
      <c r="Y5378">
        <v>0.18253929999999999</v>
      </c>
      <c r="Z5378">
        <v>-2.0189280000000001E-3</v>
      </c>
      <c r="AA5378">
        <v>0.98319650000000003</v>
      </c>
      <c r="AB5378">
        <v>23</v>
      </c>
      <c r="AC5378">
        <v>113.07980000000001</v>
      </c>
      <c r="AD5378">
        <v>-1.159238</v>
      </c>
      <c r="AE5378">
        <v>-8.7631669999999904</v>
      </c>
      <c r="AF5378">
        <v>20.7438557219171</v>
      </c>
      <c r="AG5378">
        <v>-1.159238</v>
      </c>
      <c r="AH5378">
        <v>111.493674570858</v>
      </c>
      <c r="AI5378">
        <v>90.585652854597797</v>
      </c>
      <c r="AJ5378">
        <v>79.460395815499396</v>
      </c>
      <c r="AK5378">
        <v>113.412921892811</v>
      </c>
      <c r="AL5378">
        <v>90.977497358010893</v>
      </c>
      <c r="AM5378">
        <v>86.575571716785305</v>
      </c>
      <c r="AN5378">
        <v>1.0000000161045299</v>
      </c>
    </row>
    <row r="5379" spans="1:40" x14ac:dyDescent="0.25">
      <c r="A5379" t="str">
        <f>"20190312161424142"</f>
        <v>20190312161424142</v>
      </c>
      <c r="B5379" t="str">
        <f>"1552378464131793"</f>
        <v>1552378464131793</v>
      </c>
      <c r="C5379" t="s">
        <v>40</v>
      </c>
      <c r="D5379">
        <v>5.6575899999999999</v>
      </c>
      <c r="E5379">
        <v>0.54826619999999904</v>
      </c>
      <c r="F5379" t="s">
        <v>86</v>
      </c>
      <c r="G5379">
        <v>-241.47579999999999</v>
      </c>
      <c r="H5379">
        <v>0.21689890000000001</v>
      </c>
      <c r="I5379">
        <v>4.4847440000000001</v>
      </c>
      <c r="J5379">
        <v>-386.9486</v>
      </c>
      <c r="K5379">
        <v>1.109205</v>
      </c>
      <c r="L5379">
        <v>16.273499999999999</v>
      </c>
      <c r="M5379">
        <v>0.9943864</v>
      </c>
      <c r="N5379">
        <v>0</v>
      </c>
      <c r="O5379">
        <v>0.10496369999999999</v>
      </c>
      <c r="P5379">
        <v>0.99853080000000005</v>
      </c>
      <c r="Q5379">
        <v>-3.0454410000000001E-2</v>
      </c>
      <c r="R5379">
        <v>4.4820430000000001E-2</v>
      </c>
      <c r="S5379">
        <v>3.0155029999999998</v>
      </c>
      <c r="T5379">
        <v>-1.846683E-2</v>
      </c>
      <c r="U5379">
        <v>-0.2434692</v>
      </c>
      <c r="V5379">
        <v>6.020673E-2</v>
      </c>
      <c r="W5379">
        <v>-1.725579E-2</v>
      </c>
      <c r="X5379">
        <v>0.9980367</v>
      </c>
      <c r="Y5379">
        <v>0.18465989999999999</v>
      </c>
      <c r="Z5379">
        <v>-1.206094E-3</v>
      </c>
      <c r="AA5379">
        <v>0.9828017</v>
      </c>
      <c r="AB5379">
        <v>23</v>
      </c>
      <c r="AC5379">
        <v>145.47280000000001</v>
      </c>
      <c r="AD5379">
        <v>-0.89230609999999999</v>
      </c>
      <c r="AE5379">
        <v>-11.788755999999999</v>
      </c>
      <c r="AF5379">
        <v>26.993339784558</v>
      </c>
      <c r="AG5379">
        <v>-0.89230609999999999</v>
      </c>
      <c r="AH5379">
        <v>143.42620954368701</v>
      </c>
      <c r="AI5379">
        <v>90.350303241770902</v>
      </c>
      <c r="AJ5379">
        <v>79.341401341045696</v>
      </c>
      <c r="AK5379">
        <v>145.946956758167</v>
      </c>
      <c r="AL5379">
        <v>90.988733076876898</v>
      </c>
      <c r="AM5379">
        <v>86.547806166556796</v>
      </c>
      <c r="AN5379">
        <v>0.99999993358635098</v>
      </c>
    </row>
    <row r="5380" spans="1:40" x14ac:dyDescent="0.25">
      <c r="A5380" t="str">
        <f>"20190312161424157"</f>
        <v>20190312161424157</v>
      </c>
      <c r="B5380" t="str">
        <f>"1552378464152289"</f>
        <v>1552378464152289</v>
      </c>
      <c r="C5380" t="s">
        <v>40</v>
      </c>
      <c r="D5380">
        <v>5.749619</v>
      </c>
      <c r="E5380">
        <v>0.54860500000000001</v>
      </c>
      <c r="F5380" t="s">
        <v>101</v>
      </c>
      <c r="G5380">
        <v>-252.1508</v>
      </c>
      <c r="H5380">
        <v>0.57913879999999995</v>
      </c>
      <c r="I5380">
        <v>4.9709989999999999</v>
      </c>
      <c r="J5380">
        <v>-386.80200000000002</v>
      </c>
      <c r="K5380">
        <v>1.109191</v>
      </c>
      <c r="L5380">
        <v>16.287960000000002</v>
      </c>
      <c r="M5380">
        <v>0.99448080000000005</v>
      </c>
      <c r="N5380">
        <v>0</v>
      </c>
      <c r="O5380">
        <v>0.1040722</v>
      </c>
      <c r="P5380">
        <v>0.99857010000000002</v>
      </c>
      <c r="Q5380">
        <v>-3.0302809999999999E-2</v>
      </c>
      <c r="R5380">
        <v>4.4041820000000002E-2</v>
      </c>
      <c r="S5380">
        <v>3.0154420000000002</v>
      </c>
      <c r="T5380">
        <v>-1.1857629999999999E-2</v>
      </c>
      <c r="U5380">
        <v>-0.25283810000000001</v>
      </c>
      <c r="V5380">
        <v>6.0090369999999997E-2</v>
      </c>
      <c r="W5380">
        <v>-1.7167109999999999E-2</v>
      </c>
      <c r="X5380">
        <v>0.99804530000000002</v>
      </c>
      <c r="Y5380">
        <v>0.18681610000000001</v>
      </c>
      <c r="Z5380">
        <v>-7.7511469999999995E-4</v>
      </c>
      <c r="AA5380">
        <v>0.98239460000000001</v>
      </c>
      <c r="AB5380">
        <v>23</v>
      </c>
      <c r="AC5380">
        <v>134.65119999999899</v>
      </c>
      <c r="AD5380">
        <v>-0.53005219999999997</v>
      </c>
      <c r="AE5380">
        <v>-11.316960999999999</v>
      </c>
      <c r="AF5380">
        <v>25.2697936577656</v>
      </c>
      <c r="AG5380">
        <v>-0.53005219999999997</v>
      </c>
      <c r="AH5380">
        <v>132.739952156496</v>
      </c>
      <c r="AI5380">
        <v>90.224753780362207</v>
      </c>
      <c r="AJ5380">
        <v>79.221536439157205</v>
      </c>
      <c r="AK5380">
        <v>135.12489898368</v>
      </c>
      <c r="AL5380">
        <v>90.983651277048097</v>
      </c>
      <c r="AM5380">
        <v>86.554491661750802</v>
      </c>
      <c r="AN5380">
        <v>0.99999999154228902</v>
      </c>
    </row>
    <row r="5381" spans="1:40" x14ac:dyDescent="0.25">
      <c r="A5381" t="str">
        <f>"20190312161424175"</f>
        <v>20190312161424175</v>
      </c>
      <c r="B5381" t="str">
        <f>"1552378464171809"</f>
        <v>1552378464171809</v>
      </c>
      <c r="C5381" t="s">
        <v>40</v>
      </c>
      <c r="D5381">
        <v>5.7055879999999997</v>
      </c>
      <c r="E5381">
        <v>0.54904469999999905</v>
      </c>
      <c r="F5381" t="s">
        <v>101</v>
      </c>
      <c r="G5381">
        <v>-252.1508</v>
      </c>
      <c r="H5381">
        <v>0.77023839999999999</v>
      </c>
      <c r="I5381">
        <v>4.7701820000000001</v>
      </c>
      <c r="J5381">
        <v>-386.6046</v>
      </c>
      <c r="K5381">
        <v>1.1091719999999901</v>
      </c>
      <c r="L5381">
        <v>16.307220000000001</v>
      </c>
      <c r="M5381">
        <v>0.99460780000000004</v>
      </c>
      <c r="N5381">
        <v>0</v>
      </c>
      <c r="O5381">
        <v>0.1028632</v>
      </c>
      <c r="P5381">
        <v>0.99863409999999997</v>
      </c>
      <c r="Q5381">
        <v>-2.957075E-2</v>
      </c>
      <c r="R5381">
        <v>4.3076870000000003E-2</v>
      </c>
      <c r="S5381">
        <v>3.0154420000000002</v>
      </c>
      <c r="T5381">
        <v>-7.5906519999999998E-3</v>
      </c>
      <c r="U5381">
        <v>-0.25793460000000001</v>
      </c>
      <c r="V5381">
        <v>5.9845269999999999E-2</v>
      </c>
      <c r="W5381">
        <v>-1.6523650000000001E-2</v>
      </c>
      <c r="X5381">
        <v>0.99807089999999998</v>
      </c>
      <c r="Y5381">
        <v>0.18727150000000001</v>
      </c>
      <c r="Z5381">
        <v>-4.9370000000000002E-4</v>
      </c>
      <c r="AA5381">
        <v>0.98230810000000002</v>
      </c>
      <c r="AB5381">
        <v>23</v>
      </c>
      <c r="AC5381">
        <v>134.4538</v>
      </c>
      <c r="AD5381">
        <v>-0.338933599999999</v>
      </c>
      <c r="AE5381">
        <v>-11.537038000000001</v>
      </c>
      <c r="AF5381">
        <v>25.307224455646999</v>
      </c>
      <c r="AG5381">
        <v>-0.338933599999999</v>
      </c>
      <c r="AH5381">
        <v>132.55279031694599</v>
      </c>
      <c r="AI5381">
        <v>90.143904060885006</v>
      </c>
      <c r="AJ5381">
        <v>79.191063515234205</v>
      </c>
      <c r="AK5381">
        <v>134.94744423827399</v>
      </c>
      <c r="AL5381">
        <v>90.946778489643705</v>
      </c>
      <c r="AM5381">
        <v>86.568599550956606</v>
      </c>
      <c r="AN5381">
        <v>1.00000000438875</v>
      </c>
    </row>
    <row r="5382" spans="1:40" x14ac:dyDescent="0.25">
      <c r="A5382" t="str">
        <f>"20190312161424189"</f>
        <v>20190312161424189</v>
      </c>
      <c r="B5382" t="str">
        <f>"1552378464181569"</f>
        <v>1552378464181569</v>
      </c>
      <c r="C5382" t="s">
        <v>40</v>
      </c>
      <c r="D5382">
        <v>5.8345479999999998</v>
      </c>
      <c r="E5382">
        <v>0.54948999999999903</v>
      </c>
      <c r="F5382" t="s">
        <v>101</v>
      </c>
      <c r="G5382">
        <v>-253.1464</v>
      </c>
      <c r="H5382">
        <v>1.181851</v>
      </c>
      <c r="I5382">
        <v>4.6003400000000001</v>
      </c>
      <c r="J5382">
        <v>-386.4581</v>
      </c>
      <c r="K5382">
        <v>1.109164</v>
      </c>
      <c r="L5382">
        <v>16.321439999999999</v>
      </c>
      <c r="M5382">
        <v>0.99470119999999895</v>
      </c>
      <c r="N5382">
        <v>0</v>
      </c>
      <c r="O5382">
        <v>0.10196470000000001</v>
      </c>
      <c r="P5382">
        <v>0.99868690000000004</v>
      </c>
      <c r="Q5382">
        <v>-2.9186009999999998E-2</v>
      </c>
      <c r="R5382">
        <v>4.210759E-2</v>
      </c>
      <c r="S5382">
        <v>3.0155940000000001</v>
      </c>
      <c r="T5382">
        <v>1.642227E-3</v>
      </c>
      <c r="U5382">
        <v>-0.26452639999999999</v>
      </c>
      <c r="V5382">
        <v>5.991428E-2</v>
      </c>
      <c r="W5382">
        <v>-1.6207240000000001E-2</v>
      </c>
      <c r="X5382">
        <v>0.99807199999999996</v>
      </c>
      <c r="Y5382">
        <v>0.18851180000000001</v>
      </c>
      <c r="Z5382">
        <v>1.066471E-4</v>
      </c>
      <c r="AA5382">
        <v>0.98207089999999997</v>
      </c>
      <c r="AB5382">
        <v>23</v>
      </c>
      <c r="AC5382">
        <v>133.3117</v>
      </c>
      <c r="AD5382">
        <v>7.2686999999999904E-2</v>
      </c>
      <c r="AE5382">
        <v>-11.7211</v>
      </c>
      <c r="AF5382">
        <v>25.254253368018201</v>
      </c>
      <c r="AG5382">
        <v>7.2686999999999904E-2</v>
      </c>
      <c r="AH5382">
        <v>131.42148097677401</v>
      </c>
      <c r="AI5382">
        <v>89.968880040538096</v>
      </c>
      <c r="AJ5382">
        <v>79.1225067272308</v>
      </c>
      <c r="AK5382">
        <v>133.825962573428</v>
      </c>
      <c r="AL5382">
        <v>90.928647055558898</v>
      </c>
      <c r="AM5382">
        <v>86.564655912529901</v>
      </c>
      <c r="AN5382">
        <v>1.0000000563801601</v>
      </c>
    </row>
    <row r="5383" spans="1:40" x14ac:dyDescent="0.25">
      <c r="A5383" t="str">
        <f>"20190312161424206"</f>
        <v>20190312161424206</v>
      </c>
      <c r="B5383" t="str">
        <f>"1552378464202065"</f>
        <v>1552378464202065</v>
      </c>
      <c r="C5383" t="s">
        <v>40</v>
      </c>
      <c r="D5383">
        <v>5.7295740000000004</v>
      </c>
      <c r="E5383">
        <v>0.54974199999999995</v>
      </c>
      <c r="F5383" t="s">
        <v>101</v>
      </c>
      <c r="G5383">
        <v>-256.11799999999999</v>
      </c>
      <c r="H5383">
        <v>1.3784080000000001</v>
      </c>
      <c r="I5383">
        <v>4.6004050000000003</v>
      </c>
      <c r="J5383">
        <v>-386.2722</v>
      </c>
      <c r="K5383">
        <v>1.1091660000000001</v>
      </c>
      <c r="L5383">
        <v>16.339169999999999</v>
      </c>
      <c r="M5383">
        <v>0.99481850000000005</v>
      </c>
      <c r="N5383">
        <v>0</v>
      </c>
      <c r="O5383">
        <v>0.100826399999999</v>
      </c>
      <c r="P5383">
        <v>0.99871940000000003</v>
      </c>
      <c r="Q5383">
        <v>-2.912882E-2</v>
      </c>
      <c r="R5383">
        <v>4.1369389999999999E-2</v>
      </c>
      <c r="S5383">
        <v>3.0155639999999999</v>
      </c>
      <c r="T5383">
        <v>6.2291619999999999E-3</v>
      </c>
      <c r="U5383">
        <v>-0.27117920000000001</v>
      </c>
      <c r="V5383">
        <v>5.951033E-2</v>
      </c>
      <c r="W5383">
        <v>-1.6237020000000001E-2</v>
      </c>
      <c r="X5383">
        <v>0.99809559999999997</v>
      </c>
      <c r="Y5383">
        <v>0.1895377</v>
      </c>
      <c r="Z5383">
        <v>4.0320919999999998E-4</v>
      </c>
      <c r="AA5383">
        <v>0.98187329999999995</v>
      </c>
      <c r="AB5383">
        <v>23</v>
      </c>
      <c r="AC5383">
        <v>130.1542</v>
      </c>
      <c r="AD5383">
        <v>0.26924199999999998</v>
      </c>
      <c r="AE5383">
        <v>-11.738765000000001</v>
      </c>
      <c r="AF5383">
        <v>24.802925430940899</v>
      </c>
      <c r="AG5383">
        <v>0.26924199999999998</v>
      </c>
      <c r="AH5383">
        <v>128.30660267440001</v>
      </c>
      <c r="AI5383">
        <v>89.881954549652093</v>
      </c>
      <c r="AJ5383">
        <v>79.059113630164404</v>
      </c>
      <c r="AK5383">
        <v>130.682217195124</v>
      </c>
      <c r="AL5383">
        <v>90.930353625474694</v>
      </c>
      <c r="AM5383">
        <v>86.587843036543703</v>
      </c>
      <c r="AN5383">
        <v>0.99999997346727398</v>
      </c>
    </row>
    <row r="5384" spans="1:40" x14ac:dyDescent="0.25">
      <c r="A5384" t="str">
        <f>"20190312161424219"</f>
        <v>20190312161424219</v>
      </c>
      <c r="B5384" t="str">
        <f>"1552378464211826"</f>
        <v>1552378464211826</v>
      </c>
      <c r="C5384" t="s">
        <v>40</v>
      </c>
      <c r="D5384">
        <v>5.7152010000000004</v>
      </c>
      <c r="E5384">
        <v>0.54985499999999998</v>
      </c>
      <c r="F5384" t="s">
        <v>101</v>
      </c>
      <c r="G5384">
        <v>-257.76119999999997</v>
      </c>
      <c r="H5384">
        <v>1.475015</v>
      </c>
      <c r="I5384">
        <v>4.6004370000000003</v>
      </c>
      <c r="J5384">
        <v>-386.14789999999999</v>
      </c>
      <c r="K5384">
        <v>1.109164</v>
      </c>
      <c r="L5384">
        <v>16.35089</v>
      </c>
      <c r="M5384">
        <v>0.99489570000000005</v>
      </c>
      <c r="N5384">
        <v>0</v>
      </c>
      <c r="O5384">
        <v>0.10007050000000001</v>
      </c>
      <c r="P5384">
        <v>0.99874810000000003</v>
      </c>
      <c r="Q5384">
        <v>-2.891794E-2</v>
      </c>
      <c r="R5384">
        <v>4.0822299999999999E-2</v>
      </c>
      <c r="S5384">
        <v>3.015533</v>
      </c>
      <c r="T5384">
        <v>8.5847379999999997E-3</v>
      </c>
      <c r="U5384">
        <v>-0.27545170000000002</v>
      </c>
      <c r="V5384">
        <v>5.9299900000000003E-2</v>
      </c>
      <c r="W5384">
        <v>-1.6088089999999999E-2</v>
      </c>
      <c r="X5384">
        <v>0.99811050000000001</v>
      </c>
      <c r="Y5384">
        <v>0.1901717</v>
      </c>
      <c r="Z5384">
        <v>5.5441460000000002E-4</v>
      </c>
      <c r="AA5384">
        <v>0.98175069999999998</v>
      </c>
      <c r="AB5384">
        <v>23</v>
      </c>
      <c r="AC5384">
        <v>128.38669999999999</v>
      </c>
      <c r="AD5384">
        <v>0.36585099999999898</v>
      </c>
      <c r="AE5384">
        <v>-11.750453</v>
      </c>
      <c r="AF5384">
        <v>24.5400656915781</v>
      </c>
      <c r="AG5384">
        <v>0.36585099999999898</v>
      </c>
      <c r="AH5384">
        <v>126.565142783364</v>
      </c>
      <c r="AI5384">
        <v>89.837408518206104</v>
      </c>
      <c r="AJ5384">
        <v>79.026919557231196</v>
      </c>
      <c r="AK5384">
        <v>128.92278324204099</v>
      </c>
      <c r="AL5384">
        <v>90.921819483203805</v>
      </c>
      <c r="AM5384">
        <v>86.599930789837202</v>
      </c>
      <c r="AN5384">
        <v>0.999999937495052</v>
      </c>
    </row>
    <row r="5385" spans="1:40" x14ac:dyDescent="0.25">
      <c r="A5385" t="str">
        <f>"20190312161424231"</f>
        <v>20190312161424231</v>
      </c>
      <c r="B5385" t="str">
        <f>"1552378464221586"</f>
        <v>1552378464221586</v>
      </c>
      <c r="C5385" t="s">
        <v>40</v>
      </c>
      <c r="D5385">
        <v>5.7204509999999997</v>
      </c>
      <c r="E5385">
        <v>0.5499465</v>
      </c>
      <c r="F5385" t="s">
        <v>101</v>
      </c>
      <c r="G5385">
        <v>-258.69889999999998</v>
      </c>
      <c r="H5385">
        <v>1.5605560000000001</v>
      </c>
      <c r="I5385">
        <v>4.6004659999999999</v>
      </c>
      <c r="J5385">
        <v>-386.02569999999997</v>
      </c>
      <c r="K5385">
        <v>1.1091569999999999</v>
      </c>
      <c r="L5385">
        <v>16.362369999999999</v>
      </c>
      <c r="M5385">
        <v>0.99497069999999999</v>
      </c>
      <c r="N5385">
        <v>0</v>
      </c>
      <c r="O5385">
        <v>9.9329249999999994E-2</v>
      </c>
      <c r="P5385">
        <v>0.99875890000000001</v>
      </c>
      <c r="Q5385">
        <v>-2.9094720000000001E-2</v>
      </c>
      <c r="R5385">
        <v>4.0427129999999999E-2</v>
      </c>
      <c r="S5385">
        <v>3.0154420000000002</v>
      </c>
      <c r="T5385">
        <v>1.067996E-2</v>
      </c>
      <c r="U5385">
        <v>-0.27801510000000001</v>
      </c>
      <c r="V5385">
        <v>5.8950450000000001E-2</v>
      </c>
      <c r="W5385">
        <v>-1.6326690000000001E-2</v>
      </c>
      <c r="X5385">
        <v>0.9981274</v>
      </c>
      <c r="Y5385">
        <v>0.19026989999999999</v>
      </c>
      <c r="Z5385">
        <v>6.8728129999999998E-4</v>
      </c>
      <c r="AA5385">
        <v>0.98173160000000004</v>
      </c>
      <c r="AB5385">
        <v>23</v>
      </c>
      <c r="AC5385">
        <v>127.32680000000001</v>
      </c>
      <c r="AD5385">
        <v>0.45139899999999999</v>
      </c>
      <c r="AE5385">
        <v>-11.761903999999999</v>
      </c>
      <c r="AF5385">
        <v>24.3517554888092</v>
      </c>
      <c r="AG5385">
        <v>0.45139899999999999</v>
      </c>
      <c r="AH5385">
        <v>125.527052359488</v>
      </c>
      <c r="AI5385">
        <v>89.797734462275201</v>
      </c>
      <c r="AJ5385">
        <v>79.021214985869193</v>
      </c>
      <c r="AK5385">
        <v>127.86810638507799</v>
      </c>
      <c r="AL5385">
        <v>90.935491983719004</v>
      </c>
      <c r="AM5385">
        <v>86.619977656031907</v>
      </c>
      <c r="AN5385">
        <v>1.00000001149615</v>
      </c>
    </row>
    <row r="5386" spans="1:40" x14ac:dyDescent="0.25">
      <c r="A5386" t="str">
        <f>"20190312161424243"</f>
        <v>20190312161424243</v>
      </c>
      <c r="B5386" t="str">
        <f>"1552378464232321"</f>
        <v>1552378464232321</v>
      </c>
      <c r="C5386" t="s">
        <v>40</v>
      </c>
      <c r="D5386">
        <v>5.7459150000000001</v>
      </c>
      <c r="E5386">
        <v>0.54995859999999996</v>
      </c>
      <c r="F5386" t="s">
        <v>101</v>
      </c>
      <c r="G5386">
        <v>-259.34629999999999</v>
      </c>
      <c r="H5386">
        <v>1.5853159999999999</v>
      </c>
      <c r="I5386">
        <v>4.600473</v>
      </c>
      <c r="J5386">
        <v>-385.90260000000001</v>
      </c>
      <c r="K5386">
        <v>1.1091519999999999</v>
      </c>
      <c r="L5386">
        <v>16.373839999999898</v>
      </c>
      <c r="M5386">
        <v>0.99504539999999997</v>
      </c>
      <c r="N5386">
        <v>0</v>
      </c>
      <c r="O5386">
        <v>9.8586980000000005E-2</v>
      </c>
      <c r="P5386">
        <v>0.99878129999999998</v>
      </c>
      <c r="Q5386">
        <v>-2.9028740000000001E-2</v>
      </c>
      <c r="R5386">
        <v>3.9917229999999998E-2</v>
      </c>
      <c r="S5386">
        <v>3.0153500000000002</v>
      </c>
      <c r="T5386">
        <v>1.133406E-2</v>
      </c>
      <c r="U5386">
        <v>-0.2799683</v>
      </c>
      <c r="V5386">
        <v>5.871585E-2</v>
      </c>
      <c r="W5386">
        <v>-1.6326199999999999E-2</v>
      </c>
      <c r="X5386">
        <v>0.99814119999999995</v>
      </c>
      <c r="Y5386">
        <v>0.19017039999999999</v>
      </c>
      <c r="Z5386">
        <v>7.2641019999999999E-4</v>
      </c>
      <c r="AA5386">
        <v>0.98175080000000003</v>
      </c>
      <c r="AB5386">
        <v>23</v>
      </c>
      <c r="AC5386">
        <v>126.55629999999999</v>
      </c>
      <c r="AD5386">
        <v>0.47616399999999898</v>
      </c>
      <c r="AE5386">
        <v>-11.773366999999901</v>
      </c>
      <c r="AF5386">
        <v>24.193497755358202</v>
      </c>
      <c r="AG5386">
        <v>0.47616399999999898</v>
      </c>
      <c r="AH5386">
        <v>124.777123110787</v>
      </c>
      <c r="AI5386">
        <v>89.785351279476799</v>
      </c>
      <c r="AJ5386">
        <v>79.0268681576039</v>
      </c>
      <c r="AK5386">
        <v>127.101858828256</v>
      </c>
      <c r="AL5386">
        <v>90.935463938727906</v>
      </c>
      <c r="AM5386">
        <v>86.633444276094394</v>
      </c>
      <c r="AN5386">
        <v>0.99999997549255004</v>
      </c>
    </row>
    <row r="5387" spans="1:40" x14ac:dyDescent="0.25">
      <c r="A5387" t="str">
        <f>"20190312161424265"</f>
        <v>20190312161424265</v>
      </c>
      <c r="B5387" t="str">
        <f>"1552378464251841"</f>
        <v>1552378464251841</v>
      </c>
      <c r="C5387" t="s">
        <v>40</v>
      </c>
      <c r="D5387">
        <v>5.7688129999999997</v>
      </c>
      <c r="E5387">
        <v>0.55008190000000001</v>
      </c>
      <c r="F5387" t="s">
        <v>101</v>
      </c>
      <c r="G5387">
        <v>-264.63279999999997</v>
      </c>
      <c r="H5387">
        <v>1.60297</v>
      </c>
      <c r="I5387">
        <v>5.0476039999999998</v>
      </c>
      <c r="J5387">
        <v>-385.67610000000002</v>
      </c>
      <c r="K5387">
        <v>1.1091420000000001</v>
      </c>
      <c r="L5387">
        <v>16.394679999999902</v>
      </c>
      <c r="M5387">
        <v>0.99518039999999997</v>
      </c>
      <c r="N5387">
        <v>0</v>
      </c>
      <c r="O5387">
        <v>9.7230469999999999E-2</v>
      </c>
      <c r="P5387">
        <v>0.998811</v>
      </c>
      <c r="Q5387">
        <v>-2.9005489999999998E-2</v>
      </c>
      <c r="R5387">
        <v>3.9186159999999998E-2</v>
      </c>
      <c r="S5387">
        <v>3.0152589999999999</v>
      </c>
      <c r="T5387">
        <v>1.2278320000000001E-2</v>
      </c>
      <c r="U5387">
        <v>-0.28161619999999998</v>
      </c>
      <c r="V5387">
        <v>5.808601E-2</v>
      </c>
      <c r="W5387">
        <v>-1.6424979999999999E-2</v>
      </c>
      <c r="X5387">
        <v>0.99817650000000002</v>
      </c>
      <c r="Y5387">
        <v>0.18936629999999999</v>
      </c>
      <c r="Z5387">
        <v>7.797953E-4</v>
      </c>
      <c r="AA5387">
        <v>0.98190619999999995</v>
      </c>
      <c r="AB5387">
        <v>23</v>
      </c>
      <c r="AC5387">
        <v>121.0433</v>
      </c>
      <c r="AD5387">
        <v>0.49382799999999899</v>
      </c>
      <c r="AE5387">
        <v>-11.3470759999999</v>
      </c>
      <c r="AF5387">
        <v>23.062974651491199</v>
      </c>
      <c r="AG5387">
        <v>0.49382799999999899</v>
      </c>
      <c r="AH5387">
        <v>119.36435015844501</v>
      </c>
      <c r="AI5387">
        <v>89.767264610390896</v>
      </c>
      <c r="AJ5387">
        <v>79.064354269546598</v>
      </c>
      <c r="AK5387">
        <v>121.57299352494699</v>
      </c>
      <c r="AL5387">
        <v>90.941124309701806</v>
      </c>
      <c r="AM5387">
        <v>86.669592821582199</v>
      </c>
      <c r="AN5387">
        <v>1.0000000448389801</v>
      </c>
    </row>
    <row r="5388" spans="1:40" x14ac:dyDescent="0.25">
      <c r="A5388" t="str">
        <f>"20190312161424286"</f>
        <v>20190312161424286</v>
      </c>
      <c r="B5388" t="str">
        <f>"1552378464282097"</f>
        <v>1552378464282097</v>
      </c>
      <c r="C5388" t="s">
        <v>40</v>
      </c>
      <c r="D5388">
        <v>5.7615379999999998</v>
      </c>
      <c r="E5388">
        <v>0.55003970000000002</v>
      </c>
      <c r="F5388" t="s">
        <v>101</v>
      </c>
      <c r="G5388">
        <v>-265.59280000000001</v>
      </c>
      <c r="H5388">
        <v>1.7265969999999999</v>
      </c>
      <c r="I5388">
        <v>5.0476460000000003</v>
      </c>
      <c r="J5388">
        <v>-385.44779999999997</v>
      </c>
      <c r="K5388">
        <v>1.109138</v>
      </c>
      <c r="L5388">
        <v>16.41544</v>
      </c>
      <c r="M5388">
        <v>0.99531389999999997</v>
      </c>
      <c r="N5388">
        <v>0</v>
      </c>
      <c r="O5388">
        <v>9.587205E-2</v>
      </c>
      <c r="P5388">
        <v>0.99885400000000002</v>
      </c>
      <c r="Q5388">
        <v>-2.8867710000000001E-2</v>
      </c>
      <c r="R5388">
        <v>3.8180789999999999E-2</v>
      </c>
      <c r="S5388">
        <v>3.0151669999999999</v>
      </c>
      <c r="T5388">
        <v>1.5503640000000001E-2</v>
      </c>
      <c r="U5388">
        <v>-0.284912099999999</v>
      </c>
      <c r="V5388">
        <v>5.7729120000000002E-2</v>
      </c>
      <c r="W5388">
        <v>-1.640786E-2</v>
      </c>
      <c r="X5388">
        <v>0.99819740000000001</v>
      </c>
      <c r="Y5388">
        <v>0.18909129999999999</v>
      </c>
      <c r="Z5388">
        <v>9.769519999999999E-4</v>
      </c>
      <c r="AA5388">
        <v>0.98195900000000003</v>
      </c>
      <c r="AB5388">
        <v>23</v>
      </c>
      <c r="AC5388">
        <v>119.854999999999</v>
      </c>
      <c r="AD5388">
        <v>0.61745899999999998</v>
      </c>
      <c r="AE5388">
        <v>-11.367794</v>
      </c>
      <c r="AF5388">
        <v>22.806478887197699</v>
      </c>
      <c r="AG5388">
        <v>0.61745899999999998</v>
      </c>
      <c r="AH5388">
        <v>118.209770345115</v>
      </c>
      <c r="AI5388">
        <v>89.706141987969005</v>
      </c>
      <c r="AJ5388">
        <v>79.079967723131205</v>
      </c>
      <c r="AK5388">
        <v>120.391305914895</v>
      </c>
      <c r="AL5388">
        <v>90.940143354255397</v>
      </c>
      <c r="AM5388">
        <v>86.690078903142805</v>
      </c>
      <c r="AN5388">
        <v>0.99999995926625596</v>
      </c>
    </row>
    <row r="5389" spans="1:40" x14ac:dyDescent="0.25">
      <c r="A5389" t="str">
        <f>"20190312161424308"</f>
        <v>20190312161424308</v>
      </c>
      <c r="B5389" t="str">
        <f>"1552378464301618"</f>
        <v>1552378464301618</v>
      </c>
      <c r="C5389" t="s">
        <v>40</v>
      </c>
      <c r="D5389">
        <v>5.8906619999999998</v>
      </c>
      <c r="E5389">
        <v>0.55016149999999997</v>
      </c>
      <c r="F5389" t="s">
        <v>101</v>
      </c>
      <c r="G5389">
        <v>-265.7654</v>
      </c>
      <c r="H5389">
        <v>1.8294999999999999</v>
      </c>
      <c r="I5389">
        <v>4.9964639999999996</v>
      </c>
      <c r="J5389">
        <v>-385.226</v>
      </c>
      <c r="K5389">
        <v>1.1091299999999999</v>
      </c>
      <c r="L5389">
        <v>16.435269999999999</v>
      </c>
      <c r="M5389">
        <v>0.99544069999999996</v>
      </c>
      <c r="N5389">
        <v>0</v>
      </c>
      <c r="O5389">
        <v>9.4561110000000004E-2</v>
      </c>
      <c r="P5389">
        <v>0.99890829999999997</v>
      </c>
      <c r="Q5389">
        <v>-2.8295979999999998E-2</v>
      </c>
      <c r="R5389">
        <v>3.7166860000000003E-2</v>
      </c>
      <c r="S5389">
        <v>3.0149539999999999</v>
      </c>
      <c r="T5389">
        <v>1.8146869999999999E-2</v>
      </c>
      <c r="U5389">
        <v>-0.28765869999999999</v>
      </c>
      <c r="V5389">
        <v>5.7430639999999998E-2</v>
      </c>
      <c r="W5389">
        <v>-1.5948279999999999E-2</v>
      </c>
      <c r="X5389">
        <v>0.9982221</v>
      </c>
      <c r="Y5389">
        <v>0.18868960000000001</v>
      </c>
      <c r="Z5389">
        <v>1.1344770000000001E-3</v>
      </c>
      <c r="AA5389">
        <v>0.98203609999999997</v>
      </c>
      <c r="AB5389">
        <v>23</v>
      </c>
      <c r="AC5389">
        <v>119.4606</v>
      </c>
      <c r="AD5389">
        <v>0.72036999999999995</v>
      </c>
      <c r="AE5389">
        <v>-11.438806</v>
      </c>
      <c r="AF5389">
        <v>22.683932207926201</v>
      </c>
      <c r="AG5389">
        <v>0.72036999999999995</v>
      </c>
      <c r="AH5389">
        <v>117.83922371125399</v>
      </c>
      <c r="AI5389">
        <v>89.656060476240597</v>
      </c>
      <c r="AJ5389">
        <v>79.103903349865803</v>
      </c>
      <c r="AK5389">
        <v>120.004843061527</v>
      </c>
      <c r="AL5389">
        <v>90.913807880715495</v>
      </c>
      <c r="AM5389">
        <v>86.707235911046894</v>
      </c>
      <c r="AN5389">
        <v>0.99999999348708901</v>
      </c>
    </row>
    <row r="5390" spans="1:40" x14ac:dyDescent="0.25">
      <c r="A5390" t="str">
        <f>"20190312161424319"</f>
        <v>20190312161424319</v>
      </c>
      <c r="B5390" t="str">
        <f>"1552378464312354"</f>
        <v>1552378464312354</v>
      </c>
      <c r="C5390" t="s">
        <v>40</v>
      </c>
      <c r="D5390">
        <v>5.8082690000000001</v>
      </c>
      <c r="E5390">
        <v>0.5502359</v>
      </c>
      <c r="F5390" t="s">
        <v>101</v>
      </c>
      <c r="G5390">
        <v>-265.7654</v>
      </c>
      <c r="H5390">
        <v>1.8687210000000001</v>
      </c>
      <c r="I5390">
        <v>4.8780020000000004</v>
      </c>
      <c r="J5390">
        <v>-385.10180000000003</v>
      </c>
      <c r="K5390">
        <v>1.1091249999999999</v>
      </c>
      <c r="L5390">
        <v>16.446200000000001</v>
      </c>
      <c r="M5390">
        <v>0.99551060000000002</v>
      </c>
      <c r="N5390">
        <v>0</v>
      </c>
      <c r="O5390">
        <v>9.3829709999999997E-2</v>
      </c>
      <c r="P5390">
        <v>0.9989323</v>
      </c>
      <c r="Q5390">
        <v>-2.829783E-2</v>
      </c>
      <c r="R5390">
        <v>3.6522730000000003E-2</v>
      </c>
      <c r="S5390">
        <v>3.0146790000000001</v>
      </c>
      <c r="T5390">
        <v>1.9168850000000001E-2</v>
      </c>
      <c r="U5390">
        <v>-0.29165649999999999</v>
      </c>
      <c r="V5390">
        <v>5.734057E-2</v>
      </c>
      <c r="W5390">
        <v>-1.6010409999999999E-2</v>
      </c>
      <c r="X5390">
        <v>0.99822630000000001</v>
      </c>
      <c r="Y5390">
        <v>0.1892662</v>
      </c>
      <c r="Z5390">
        <v>1.195602E-3</v>
      </c>
      <c r="AA5390">
        <v>0.9819251</v>
      </c>
      <c r="AB5390">
        <v>23</v>
      </c>
      <c r="AC5390">
        <v>119.3364</v>
      </c>
      <c r="AD5390">
        <v>0.75959599999999905</v>
      </c>
      <c r="AE5390">
        <v>-11.568198000000001</v>
      </c>
      <c r="AF5390">
        <v>22.714408133754599</v>
      </c>
      <c r="AG5390">
        <v>0.75959599999999905</v>
      </c>
      <c r="AH5390">
        <v>117.719587708961</v>
      </c>
      <c r="AI5390">
        <v>89.636994670022403</v>
      </c>
      <c r="AJ5390">
        <v>79.078794002477494</v>
      </c>
      <c r="AK5390">
        <v>119.893380356539</v>
      </c>
      <c r="AL5390">
        <v>90.917368106839405</v>
      </c>
      <c r="AM5390">
        <v>86.712402506290999</v>
      </c>
      <c r="AN5390">
        <v>1.0000000101039901</v>
      </c>
    </row>
    <row r="5391" spans="1:40" x14ac:dyDescent="0.25">
      <c r="A5391" t="str">
        <f>"20190312161424342"</f>
        <v>20190312161424342</v>
      </c>
      <c r="B5391" t="str">
        <f>"1552378464331874"</f>
        <v>1552378464331874</v>
      </c>
      <c r="C5391" t="s">
        <v>40</v>
      </c>
      <c r="D5391">
        <v>5.7551560000000004</v>
      </c>
      <c r="E5391">
        <v>0.55017969999999905</v>
      </c>
      <c r="F5391" t="s">
        <v>101</v>
      </c>
      <c r="G5391">
        <v>-265.7654</v>
      </c>
      <c r="H5391">
        <v>1.904685</v>
      </c>
      <c r="I5391">
        <v>4.7988720000000002</v>
      </c>
      <c r="J5391">
        <v>-384.86649999999997</v>
      </c>
      <c r="K5391">
        <v>1.1091260000000001</v>
      </c>
      <c r="L5391">
        <v>16.46677</v>
      </c>
      <c r="M5391">
        <v>0.99564160000000002</v>
      </c>
      <c r="N5391">
        <v>0</v>
      </c>
      <c r="O5391">
        <v>9.2444100000000001E-2</v>
      </c>
      <c r="P5391">
        <v>0.99897720000000001</v>
      </c>
      <c r="Q5391">
        <v>-2.8506279999999998E-2</v>
      </c>
      <c r="R5391">
        <v>3.5102019999999998E-2</v>
      </c>
      <c r="S5391">
        <v>3.014526</v>
      </c>
      <c r="T5391">
        <v>2.009642E-2</v>
      </c>
      <c r="U5391">
        <v>-0.29421999999999998</v>
      </c>
      <c r="V5391">
        <v>5.736981E-2</v>
      </c>
      <c r="W5391">
        <v>-1.6328809999999999E-2</v>
      </c>
      <c r="X5391">
        <v>0.99821939999999998</v>
      </c>
      <c r="Y5391">
        <v>0.18873090000000001</v>
      </c>
      <c r="Z5391">
        <v>1.2424859999999999E-3</v>
      </c>
      <c r="AA5391">
        <v>0.98202809999999996</v>
      </c>
      <c r="AB5391">
        <v>23</v>
      </c>
      <c r="AC5391">
        <v>119.10109999999899</v>
      </c>
      <c r="AD5391">
        <v>0.79555899999999902</v>
      </c>
      <c r="AE5391">
        <v>-11.667897999999999</v>
      </c>
      <c r="AF5391">
        <v>22.6279572602506</v>
      </c>
      <c r="AG5391">
        <v>0.79555899999999902</v>
      </c>
      <c r="AH5391">
        <v>117.507113277622</v>
      </c>
      <c r="AI5391">
        <v>89.619093893220196</v>
      </c>
      <c r="AJ5391">
        <v>79.1001627229316</v>
      </c>
      <c r="AK5391">
        <v>119.668621763327</v>
      </c>
      <c r="AL5391">
        <v>90.935613526531299</v>
      </c>
      <c r="AM5391">
        <v>86.710707036751302</v>
      </c>
      <c r="AN5391">
        <v>0.99999994783590396</v>
      </c>
    </row>
    <row r="5392" spans="1:40" x14ac:dyDescent="0.25">
      <c r="A5392" t="str">
        <f>"20190312161424353"</f>
        <v>20190312161424353</v>
      </c>
      <c r="B5392" t="str">
        <f>"1552378464341633"</f>
        <v>1552378464341633</v>
      </c>
      <c r="C5392" t="s">
        <v>40</v>
      </c>
      <c r="D5392">
        <v>5.7886620000000004</v>
      </c>
      <c r="E5392">
        <v>0.55018369999999905</v>
      </c>
      <c r="F5392" t="s">
        <v>101</v>
      </c>
      <c r="G5392">
        <v>-265.7654</v>
      </c>
      <c r="H5392">
        <v>1.8736200000000001</v>
      </c>
      <c r="I5392">
        <v>4.690029</v>
      </c>
      <c r="J5392">
        <v>-384.75229999999999</v>
      </c>
      <c r="K5392">
        <v>1.1091230000000001</v>
      </c>
      <c r="L5392">
        <v>16.476589999999899</v>
      </c>
      <c r="M5392">
        <v>0.99570429999999999</v>
      </c>
      <c r="N5392">
        <v>0</v>
      </c>
      <c r="O5392">
        <v>9.1773090000000002E-2</v>
      </c>
      <c r="P5392">
        <v>0.99900580000000005</v>
      </c>
      <c r="Q5392">
        <v>-2.8408849999999999E-2</v>
      </c>
      <c r="R5392">
        <v>3.4355379999999998E-2</v>
      </c>
      <c r="S5392">
        <v>3.0140989999999999</v>
      </c>
      <c r="T5392">
        <v>1.9347070000000001E-2</v>
      </c>
      <c r="U5392">
        <v>-0.29803469999999999</v>
      </c>
      <c r="V5392">
        <v>5.7443590000000003E-2</v>
      </c>
      <c r="W5392">
        <v>-1.6282310000000001E-2</v>
      </c>
      <c r="X5392">
        <v>0.99821599999999999</v>
      </c>
      <c r="Y5392">
        <v>0.18931390000000001</v>
      </c>
      <c r="Z5392">
        <v>1.193834E-3</v>
      </c>
      <c r="AA5392">
        <v>0.98191589999999995</v>
      </c>
      <c r="AB5392">
        <v>23</v>
      </c>
      <c r="AC5392">
        <v>118.98690000000001</v>
      </c>
      <c r="AD5392">
        <v>0.76449699999999998</v>
      </c>
      <c r="AE5392">
        <v>-11.786561000000001</v>
      </c>
      <c r="AF5392">
        <v>22.6565054512625</v>
      </c>
      <c r="AG5392">
        <v>0.76449699999999998</v>
      </c>
      <c r="AH5392">
        <v>117.398123123419</v>
      </c>
      <c r="AI5392">
        <v>89.633654593511196</v>
      </c>
      <c r="AJ5392">
        <v>79.076853066624906</v>
      </c>
      <c r="AK5392">
        <v>119.566805626928</v>
      </c>
      <c r="AL5392">
        <v>90.932948840661894</v>
      </c>
      <c r="AM5392">
        <v>86.706474979997694</v>
      </c>
      <c r="AN5392">
        <v>1.00000003115351</v>
      </c>
    </row>
    <row r="5393" spans="1:40" x14ac:dyDescent="0.25">
      <c r="A5393" t="str">
        <f>"20190312161424365"</f>
        <v>20190312161424365</v>
      </c>
      <c r="B5393" t="str">
        <f>"1552378464362129"</f>
        <v>1552378464362129</v>
      </c>
      <c r="C5393" t="s">
        <v>40</v>
      </c>
      <c r="D5393">
        <v>5.757091</v>
      </c>
      <c r="E5393">
        <v>0.5501722</v>
      </c>
      <c r="F5393" t="s">
        <v>101</v>
      </c>
      <c r="G5393">
        <v>-265.7654</v>
      </c>
      <c r="H5393">
        <v>1.896107</v>
      </c>
      <c r="I5393">
        <v>4.6211529999999996</v>
      </c>
      <c r="J5393">
        <v>-384.63</v>
      </c>
      <c r="K5393">
        <v>1.109118</v>
      </c>
      <c r="L5393">
        <v>16.487089999999998</v>
      </c>
      <c r="M5393">
        <v>0.99577119999999997</v>
      </c>
      <c r="N5393">
        <v>0</v>
      </c>
      <c r="O5393">
        <v>9.1053519999999999E-2</v>
      </c>
      <c r="P5393">
        <v>0.9990289</v>
      </c>
      <c r="Q5393">
        <v>-2.8367779999999999E-2</v>
      </c>
      <c r="R5393">
        <v>3.3716129999999997E-2</v>
      </c>
      <c r="S5393">
        <v>3.0138850000000001</v>
      </c>
      <c r="T5393">
        <v>1.9933940000000001E-2</v>
      </c>
      <c r="U5393">
        <v>-0.30029299999999998</v>
      </c>
      <c r="V5393">
        <v>5.7360880000000003E-2</v>
      </c>
      <c r="W5393">
        <v>-1.629423E-2</v>
      </c>
      <c r="X5393">
        <v>0.99822049999999996</v>
      </c>
      <c r="Y5393">
        <v>0.18933920000000001</v>
      </c>
      <c r="Z5393">
        <v>1.2254329999999999E-3</v>
      </c>
      <c r="AA5393">
        <v>0.98191090000000003</v>
      </c>
      <c r="AB5393">
        <v>23</v>
      </c>
      <c r="AC5393">
        <v>118.8646</v>
      </c>
      <c r="AD5393">
        <v>0.78698899999999905</v>
      </c>
      <c r="AE5393">
        <v>-11.865937000000001</v>
      </c>
      <c r="AF5393">
        <v>22.639502404921899</v>
      </c>
      <c r="AG5393">
        <v>0.78698899999999905</v>
      </c>
      <c r="AH5393">
        <v>117.285156359084</v>
      </c>
      <c r="AI5393">
        <v>89.6225164261065</v>
      </c>
      <c r="AJ5393">
        <v>79.074593221876597</v>
      </c>
      <c r="AK5393">
        <v>119.45281211843999</v>
      </c>
      <c r="AL5393">
        <v>90.933631954465795</v>
      </c>
      <c r="AM5393">
        <v>86.711221529700396</v>
      </c>
      <c r="AN5393">
        <v>0.999999969552958</v>
      </c>
    </row>
    <row r="5394" spans="1:40" x14ac:dyDescent="0.25">
      <c r="A5394" t="str">
        <f>"20190312161424377"</f>
        <v>20190312161424377</v>
      </c>
      <c r="B5394" t="str">
        <f>"1552378464371889"</f>
        <v>1552378464371889</v>
      </c>
      <c r="C5394" t="s">
        <v>40</v>
      </c>
      <c r="D5394">
        <v>5.7783699999999998</v>
      </c>
      <c r="E5394">
        <v>0.55016560000000003</v>
      </c>
      <c r="F5394" t="s">
        <v>101</v>
      </c>
      <c r="G5394">
        <v>-266.06040000000002</v>
      </c>
      <c r="H5394">
        <v>1.944682</v>
      </c>
      <c r="I5394">
        <v>4.6005940000000001</v>
      </c>
      <c r="J5394">
        <v>-384.51010000000002</v>
      </c>
      <c r="K5394">
        <v>1.1091150000000001</v>
      </c>
      <c r="L5394">
        <v>16.497250000000001</v>
      </c>
      <c r="M5394">
        <v>0.99583600000000005</v>
      </c>
      <c r="N5394">
        <v>0</v>
      </c>
      <c r="O5394">
        <v>9.0347739999999996E-2</v>
      </c>
      <c r="P5394">
        <v>0.99905109999999997</v>
      </c>
      <c r="Q5394">
        <v>-2.816072E-2</v>
      </c>
      <c r="R5394">
        <v>3.323015E-2</v>
      </c>
      <c r="S5394">
        <v>3.0137330000000002</v>
      </c>
      <c r="T5394">
        <v>2.1237849999999999E-2</v>
      </c>
      <c r="U5394">
        <v>-0.302124</v>
      </c>
      <c r="V5394">
        <v>5.7139820000000001E-2</v>
      </c>
      <c r="W5394">
        <v>-1.613678E-2</v>
      </c>
      <c r="X5394">
        <v>0.99823580000000001</v>
      </c>
      <c r="Y5394">
        <v>0.18923799999999999</v>
      </c>
      <c r="Z5394">
        <v>1.300306E-3</v>
      </c>
      <c r="AA5394">
        <v>0.98193039999999998</v>
      </c>
      <c r="AB5394">
        <v>23</v>
      </c>
      <c r="AC5394">
        <v>118.44970000000001</v>
      </c>
      <c r="AD5394">
        <v>0.83556699999999995</v>
      </c>
      <c r="AE5394">
        <v>-11.896656</v>
      </c>
      <c r="AF5394">
        <v>22.549338334344299</v>
      </c>
      <c r="AG5394">
        <v>0.83556699999999995</v>
      </c>
      <c r="AH5394">
        <v>116.884528289725</v>
      </c>
      <c r="AI5394">
        <v>89.597834585461698</v>
      </c>
      <c r="AJ5394">
        <v>79.080657058670994</v>
      </c>
      <c r="AK5394">
        <v>119.042697319238</v>
      </c>
      <c r="AL5394">
        <v>90.924609488254305</v>
      </c>
      <c r="AM5394">
        <v>86.723918418621594</v>
      </c>
      <c r="AN5394">
        <v>1.0000000335500101</v>
      </c>
    </row>
    <row r="5395" spans="1:40" x14ac:dyDescent="0.25">
      <c r="A5395" t="str">
        <f>"20190312161424390"</f>
        <v>20190312161424390</v>
      </c>
      <c r="B5395" t="str">
        <f>"1552378464382626"</f>
        <v>1552378464382626</v>
      </c>
      <c r="C5395" t="s">
        <v>40</v>
      </c>
      <c r="D5395">
        <v>5.757663</v>
      </c>
      <c r="E5395">
        <v>0.55008269999999904</v>
      </c>
      <c r="F5395" t="s">
        <v>101</v>
      </c>
      <c r="G5395">
        <v>-266.38459999999998</v>
      </c>
      <c r="H5395">
        <v>1.988194</v>
      </c>
      <c r="I5395">
        <v>4.6006070000000001</v>
      </c>
      <c r="J5395">
        <v>-384.37549999999999</v>
      </c>
      <c r="K5395">
        <v>1.109111</v>
      </c>
      <c r="L5395">
        <v>16.508610000000001</v>
      </c>
      <c r="M5395">
        <v>0.99590829999999997</v>
      </c>
      <c r="N5395">
        <v>0</v>
      </c>
      <c r="O5395">
        <v>8.9555460000000003E-2</v>
      </c>
      <c r="P5395">
        <v>0.99908350000000001</v>
      </c>
      <c r="Q5395">
        <v>-2.768296E-2</v>
      </c>
      <c r="R5395">
        <v>3.265084E-2</v>
      </c>
      <c r="S5395">
        <v>3.0135190000000001</v>
      </c>
      <c r="T5395">
        <v>2.2426370000000001E-2</v>
      </c>
      <c r="U5395">
        <v>-0.30349730000000003</v>
      </c>
      <c r="V5395">
        <v>5.6926610000000002E-2</v>
      </c>
      <c r="W5395">
        <v>-1.5713890000000001E-2</v>
      </c>
      <c r="X5395">
        <v>0.99825469999999905</v>
      </c>
      <c r="Y5395">
        <v>0.18890589999999999</v>
      </c>
      <c r="Z5395">
        <v>1.366031E-3</v>
      </c>
      <c r="AA5395">
        <v>0.98199420000000004</v>
      </c>
      <c r="AB5395">
        <v>23</v>
      </c>
      <c r="AC5395">
        <v>117.9909</v>
      </c>
      <c r="AD5395">
        <v>0.87908299999999895</v>
      </c>
      <c r="AE5395">
        <v>-11.9080029999999</v>
      </c>
      <c r="AF5395">
        <v>22.426418669097298</v>
      </c>
      <c r="AG5395">
        <v>0.87908299999999895</v>
      </c>
      <c r="AH5395">
        <v>116.443820434909</v>
      </c>
      <c r="AI5395">
        <v>89.575263728149807</v>
      </c>
      <c r="AJ5395">
        <v>79.098636793030707</v>
      </c>
      <c r="AK5395">
        <v>118.587015978647</v>
      </c>
      <c r="AL5395">
        <v>90.900376628672305</v>
      </c>
      <c r="AM5395">
        <v>86.736177885760696</v>
      </c>
      <c r="AN5395">
        <v>1.0000000056685501</v>
      </c>
    </row>
    <row r="5396" spans="1:40" x14ac:dyDescent="0.25">
      <c r="A5396" t="str">
        <f>"20190312161424408"</f>
        <v>20190312161424408</v>
      </c>
      <c r="B5396" t="str">
        <f>"1552378464402146"</f>
        <v>1552378464402146</v>
      </c>
      <c r="C5396" t="s">
        <v>40</v>
      </c>
      <c r="D5396">
        <v>5.7829350000000002</v>
      </c>
      <c r="E5396">
        <v>0.55004339999999996</v>
      </c>
      <c r="F5396" t="s">
        <v>101</v>
      </c>
      <c r="G5396">
        <v>-266.54629999999997</v>
      </c>
      <c r="H5396">
        <v>2.0542769999999999</v>
      </c>
      <c r="I5396">
        <v>4.6006320000000001</v>
      </c>
      <c r="J5396">
        <v>-384.18470000000002</v>
      </c>
      <c r="K5396">
        <v>1.109108</v>
      </c>
      <c r="L5396">
        <v>16.524480000000001</v>
      </c>
      <c r="M5396">
        <v>0.9960097</v>
      </c>
      <c r="N5396">
        <v>0</v>
      </c>
      <c r="O5396">
        <v>8.8429930000000004E-2</v>
      </c>
      <c r="P5396">
        <v>0.99910690000000002</v>
      </c>
      <c r="Q5396">
        <v>-2.7481990000000001E-2</v>
      </c>
      <c r="R5396">
        <v>3.2100549999999999E-2</v>
      </c>
      <c r="S5396">
        <v>3.0133670000000001</v>
      </c>
      <c r="T5396">
        <v>2.4171709999999999E-2</v>
      </c>
      <c r="U5396">
        <v>-0.3045349</v>
      </c>
      <c r="V5396">
        <v>5.6349120000000003E-2</v>
      </c>
      <c r="W5396">
        <v>-1.558826E-2</v>
      </c>
      <c r="X5396">
        <v>0.99828939999999999</v>
      </c>
      <c r="Y5396">
        <v>0.18813460000000001</v>
      </c>
      <c r="Z5396">
        <v>1.460306E-3</v>
      </c>
      <c r="AA5396">
        <v>0.98214219999999997</v>
      </c>
      <c r="AB5396">
        <v>23</v>
      </c>
      <c r="AC5396">
        <v>117.6384</v>
      </c>
      <c r="AD5396">
        <v>0.94516900000000004</v>
      </c>
      <c r="AE5396">
        <v>-11.923848</v>
      </c>
      <c r="AF5396">
        <v>22.279213622941398</v>
      </c>
      <c r="AG5396">
        <v>0.94516900000000004</v>
      </c>
      <c r="AH5396">
        <v>116.11555205219101</v>
      </c>
      <c r="AI5396">
        <v>89.541982652214401</v>
      </c>
      <c r="AJ5396">
        <v>79.138600095031407</v>
      </c>
      <c r="AK5396">
        <v>118.23738043647801</v>
      </c>
      <c r="AL5396">
        <v>90.893177708535504</v>
      </c>
      <c r="AM5396">
        <v>86.769329180195498</v>
      </c>
      <c r="AN5396">
        <v>0.99999997166347998</v>
      </c>
    </row>
    <row r="5397" spans="1:40" x14ac:dyDescent="0.25">
      <c r="A5397" t="str">
        <f>"20190312161424420"</f>
        <v>20190312161424420</v>
      </c>
      <c r="B5397" t="str">
        <f>"1552378464411906"</f>
        <v>1552378464411906</v>
      </c>
      <c r="C5397" t="s">
        <v>40</v>
      </c>
      <c r="D5397">
        <v>5.8350499999999998</v>
      </c>
      <c r="E5397">
        <v>0.55001259999999996</v>
      </c>
      <c r="F5397" t="s">
        <v>101</v>
      </c>
      <c r="G5397">
        <v>-266.65339999999998</v>
      </c>
      <c r="H5397">
        <v>2.1212070000000001</v>
      </c>
      <c r="I5397">
        <v>4.600651</v>
      </c>
      <c r="J5397">
        <v>-384.0496</v>
      </c>
      <c r="K5397">
        <v>1.1091040000000001</v>
      </c>
      <c r="L5397">
        <v>16.53558</v>
      </c>
      <c r="M5397">
        <v>0.99608079999999999</v>
      </c>
      <c r="N5397">
        <v>0</v>
      </c>
      <c r="O5397">
        <v>8.7632660000000001E-2</v>
      </c>
      <c r="P5397">
        <v>0.99912900000000004</v>
      </c>
      <c r="Q5397">
        <v>-2.7347929999999999E-2</v>
      </c>
      <c r="R5397">
        <v>3.1518160000000003E-2</v>
      </c>
      <c r="S5397">
        <v>3.0131839999999999</v>
      </c>
      <c r="T5397">
        <v>2.594745E-2</v>
      </c>
      <c r="U5397">
        <v>-0.30569459999999998</v>
      </c>
      <c r="V5397">
        <v>5.613257E-2</v>
      </c>
      <c r="W5397">
        <v>-1.550545E-2</v>
      </c>
      <c r="X5397">
        <v>0.99830289999999999</v>
      </c>
      <c r="Y5397">
        <v>0.18772720000000001</v>
      </c>
      <c r="Z5397">
        <v>1.5590549999999999E-3</v>
      </c>
      <c r="AA5397">
        <v>0.98221999999999998</v>
      </c>
      <c r="AB5397">
        <v>23</v>
      </c>
      <c r="AC5397">
        <v>117.39619999999999</v>
      </c>
      <c r="AD5397">
        <v>1.012103</v>
      </c>
      <c r="AE5397">
        <v>-11.934928999999901</v>
      </c>
      <c r="AF5397">
        <v>22.175855443828201</v>
      </c>
      <c r="AG5397">
        <v>1.012103</v>
      </c>
      <c r="AH5397">
        <v>115.890005009465</v>
      </c>
      <c r="AI5397">
        <v>89.508547221078004</v>
      </c>
      <c r="AJ5397">
        <v>79.167252643929501</v>
      </c>
      <c r="AK5397">
        <v>117.996975292767</v>
      </c>
      <c r="AL5397">
        <v>90.888432461965294</v>
      </c>
      <c r="AM5397">
        <v>86.781761948550198</v>
      </c>
      <c r="AN5397">
        <v>0.99999998227145803</v>
      </c>
    </row>
    <row r="5398" spans="1:40" x14ac:dyDescent="0.25">
      <c r="A5398" t="str">
        <f>"20190312161424433"</f>
        <v>20190312161424433</v>
      </c>
      <c r="B5398" t="str">
        <f>"1552378464421666"</f>
        <v>1552378464421666</v>
      </c>
      <c r="C5398" t="s">
        <v>40</v>
      </c>
      <c r="D5398">
        <v>5.8375579999999996</v>
      </c>
      <c r="E5398">
        <v>0.55001069999999996</v>
      </c>
      <c r="F5398" t="s">
        <v>101</v>
      </c>
      <c r="G5398">
        <v>-266.9991</v>
      </c>
      <c r="H5398">
        <v>2.138617</v>
      </c>
      <c r="I5398">
        <v>4.600657</v>
      </c>
      <c r="J5398">
        <v>-383.92630000000003</v>
      </c>
      <c r="K5398">
        <v>1.1091</v>
      </c>
      <c r="L5398">
        <v>16.54562</v>
      </c>
      <c r="M5398">
        <v>0.99614499999999995</v>
      </c>
      <c r="N5398">
        <v>0</v>
      </c>
      <c r="O5398">
        <v>8.6904910000000002E-2</v>
      </c>
      <c r="P5398">
        <v>0.99913419999999997</v>
      </c>
      <c r="Q5398">
        <v>-2.758948E-2</v>
      </c>
      <c r="R5398">
        <v>3.1138840000000001E-2</v>
      </c>
      <c r="S5398">
        <v>3.0130309999999998</v>
      </c>
      <c r="T5398">
        <v>2.6500940000000001E-2</v>
      </c>
      <c r="U5398">
        <v>-0.30722050000000001</v>
      </c>
      <c r="V5398">
        <v>5.5781110000000002E-2</v>
      </c>
      <c r="W5398">
        <v>-1.5791630000000001E-2</v>
      </c>
      <c r="X5398">
        <v>0.99831809999999999</v>
      </c>
      <c r="Y5398">
        <v>0.18750649999999999</v>
      </c>
      <c r="Z5398">
        <v>1.585005E-3</v>
      </c>
      <c r="AA5398">
        <v>0.98226210000000003</v>
      </c>
      <c r="AB5398">
        <v>23</v>
      </c>
      <c r="AC5398">
        <v>116.9272</v>
      </c>
      <c r="AD5398">
        <v>1.029517</v>
      </c>
      <c r="AE5398">
        <v>-11.944963</v>
      </c>
      <c r="AF5398">
        <v>22.060344331734701</v>
      </c>
      <c r="AG5398">
        <v>1.029517</v>
      </c>
      <c r="AH5398">
        <v>115.437748948527</v>
      </c>
      <c r="AI5398">
        <v>89.498110179344494</v>
      </c>
      <c r="AJ5398">
        <v>79.181124562663399</v>
      </c>
      <c r="AK5398">
        <v>117.531240866381</v>
      </c>
      <c r="AL5398">
        <v>90.904831389116495</v>
      </c>
      <c r="AM5398">
        <v>86.801918771804296</v>
      </c>
      <c r="AN5398">
        <v>0.99999996829924898</v>
      </c>
    </row>
    <row r="5399" spans="1:40" x14ac:dyDescent="0.25">
      <c r="A5399" t="str">
        <f>"20190312161424445"</f>
        <v>20190312161424445</v>
      </c>
      <c r="B5399" t="str">
        <f>"1552378464442161"</f>
        <v>1552378464442161</v>
      </c>
      <c r="C5399" t="s">
        <v>40</v>
      </c>
      <c r="D5399">
        <v>5.8105129999999896</v>
      </c>
      <c r="E5399">
        <v>0.54996400000000001</v>
      </c>
      <c r="F5399" t="s">
        <v>101</v>
      </c>
      <c r="G5399">
        <v>-267.22019999999998</v>
      </c>
      <c r="H5399">
        <v>2.1204450000000001</v>
      </c>
      <c r="I5399">
        <v>4.600651</v>
      </c>
      <c r="J5399">
        <v>-383.80070000000001</v>
      </c>
      <c r="K5399">
        <v>1.1090979999999999</v>
      </c>
      <c r="L5399">
        <v>16.555759999999999</v>
      </c>
      <c r="M5399">
        <v>0.99621009999999999</v>
      </c>
      <c r="N5399">
        <v>0</v>
      </c>
      <c r="O5399">
        <v>8.6162470000000005E-2</v>
      </c>
      <c r="P5399">
        <v>0.99914259999999999</v>
      </c>
      <c r="Q5399">
        <v>-2.7762789999999999E-2</v>
      </c>
      <c r="R5399">
        <v>3.071726E-2</v>
      </c>
      <c r="S5399">
        <v>3.0129700000000001</v>
      </c>
      <c r="T5399">
        <v>2.61097E-2</v>
      </c>
      <c r="U5399">
        <v>-0.30838009999999999</v>
      </c>
      <c r="V5399">
        <v>5.5457350000000002E-2</v>
      </c>
      <c r="W5399">
        <v>-1.600793E-2</v>
      </c>
      <c r="X5399">
        <v>0.99833269999999996</v>
      </c>
      <c r="Y5399">
        <v>0.18715080000000001</v>
      </c>
      <c r="Z5399">
        <v>1.553659E-3</v>
      </c>
      <c r="AA5399">
        <v>0.98233000000000004</v>
      </c>
      <c r="AB5399">
        <v>23</v>
      </c>
      <c r="AC5399">
        <v>116.5805</v>
      </c>
      <c r="AD5399">
        <v>1.011347</v>
      </c>
      <c r="AE5399">
        <v>-11.955109</v>
      </c>
      <c r="AF5399">
        <v>21.954582196</v>
      </c>
      <c r="AG5399">
        <v>1.011347</v>
      </c>
      <c r="AH5399">
        <v>115.108160071477</v>
      </c>
      <c r="AI5399">
        <v>89.505522143654801</v>
      </c>
      <c r="AJ5399">
        <v>79.201668352382896</v>
      </c>
      <c r="AK5399">
        <v>117.187520740035</v>
      </c>
      <c r="AL5399">
        <v>90.917226026662902</v>
      </c>
      <c r="AM5399">
        <v>86.820489012116099</v>
      </c>
      <c r="AN5399">
        <v>0.99999997569059795</v>
      </c>
    </row>
    <row r="5400" spans="1:40" x14ac:dyDescent="0.25">
      <c r="A5400" t="str">
        <f>"20190312161424465"</f>
        <v>20190312161424465</v>
      </c>
      <c r="B5400" t="str">
        <f>"1552378464461681"</f>
        <v>1552378464461681</v>
      </c>
      <c r="C5400" t="s">
        <v>40</v>
      </c>
      <c r="D5400">
        <v>5.8156809999999997</v>
      </c>
      <c r="E5400">
        <v>0.54974709999999904</v>
      </c>
      <c r="F5400" t="s">
        <v>101</v>
      </c>
      <c r="G5400">
        <v>-267.37240000000003</v>
      </c>
      <c r="H5400">
        <v>2.093496</v>
      </c>
      <c r="I5400">
        <v>4.6006410000000004</v>
      </c>
      <c r="J5400">
        <v>-383.58909999999997</v>
      </c>
      <c r="K5400">
        <v>1.1090960000000001</v>
      </c>
      <c r="L5400">
        <v>16.572600000000001</v>
      </c>
      <c r="M5400">
        <v>0.99631829999999999</v>
      </c>
      <c r="N5400">
        <v>0</v>
      </c>
      <c r="O5400">
        <v>8.4912180000000004E-2</v>
      </c>
      <c r="P5400">
        <v>0.99918399999999996</v>
      </c>
      <c r="Q5400">
        <v>-2.7045039999999999E-2</v>
      </c>
      <c r="R5400">
        <v>3.000185E-2</v>
      </c>
      <c r="S5400">
        <v>3.012756</v>
      </c>
      <c r="T5400">
        <v>2.5472760000000001E-2</v>
      </c>
      <c r="U5400">
        <v>-0.30935669999999998</v>
      </c>
      <c r="V5400">
        <v>5.4922449999999998E-2</v>
      </c>
      <c r="W5400">
        <v>-1.5359609999999999E-2</v>
      </c>
      <c r="X5400">
        <v>0.9983725</v>
      </c>
      <c r="Y5400">
        <v>0.18624060000000001</v>
      </c>
      <c r="Z5400">
        <v>1.5014679999999999E-3</v>
      </c>
      <c r="AA5400">
        <v>0.98250300000000002</v>
      </c>
      <c r="AB5400">
        <v>23</v>
      </c>
      <c r="AC5400">
        <v>116.21669999999899</v>
      </c>
      <c r="AD5400">
        <v>0.98440000000000005</v>
      </c>
      <c r="AE5400">
        <v>-11.971959</v>
      </c>
      <c r="AF5400">
        <v>21.7960711420418</v>
      </c>
      <c r="AG5400">
        <v>0.98440000000000005</v>
      </c>
      <c r="AH5400">
        <v>114.772133218861</v>
      </c>
      <c r="AI5400">
        <v>89.517214691563396</v>
      </c>
      <c r="AJ5400">
        <v>79.247156750468406</v>
      </c>
      <c r="AK5400">
        <v>116.827566627902</v>
      </c>
      <c r="AL5400">
        <v>90.880075416062695</v>
      </c>
      <c r="AM5400">
        <v>86.851219453270403</v>
      </c>
      <c r="AN5400">
        <v>1.0000000209447999</v>
      </c>
    </row>
    <row r="5401" spans="1:40" x14ac:dyDescent="0.25">
      <c r="A5401" t="str">
        <f>"20190312161424479"</f>
        <v>20190312161424479</v>
      </c>
      <c r="B5401" t="str">
        <f>"1552378464472419"</f>
        <v>1552378464472419</v>
      </c>
      <c r="C5401" t="s">
        <v>40</v>
      </c>
      <c r="D5401">
        <v>5.7889799999999996</v>
      </c>
      <c r="E5401">
        <v>0.54969499999999905</v>
      </c>
      <c r="F5401" t="s">
        <v>101</v>
      </c>
      <c r="G5401">
        <v>-267.13510000000002</v>
      </c>
      <c r="H5401">
        <v>2.1197300000000001</v>
      </c>
      <c r="I5401">
        <v>4.600651</v>
      </c>
      <c r="J5401">
        <v>-383.45269999999999</v>
      </c>
      <c r="K5401">
        <v>1.1090930000000001</v>
      </c>
      <c r="L5401">
        <v>16.58334</v>
      </c>
      <c r="M5401">
        <v>0.99638709999999997</v>
      </c>
      <c r="N5401">
        <v>0</v>
      </c>
      <c r="O5401">
        <v>8.4106680000000003E-2</v>
      </c>
      <c r="P5401">
        <v>0.99920889999999996</v>
      </c>
      <c r="Q5401">
        <v>-2.6606129999999999E-2</v>
      </c>
      <c r="R5401">
        <v>2.9562700000000001E-2</v>
      </c>
      <c r="S5401">
        <v>3.012451</v>
      </c>
      <c r="T5401">
        <v>2.6143309999999999E-2</v>
      </c>
      <c r="U5401">
        <v>-0.30969239999999998</v>
      </c>
      <c r="V5401">
        <v>5.4555909999999999E-2</v>
      </c>
      <c r="W5401">
        <v>-1.496398E-2</v>
      </c>
      <c r="X5401">
        <v>0.99839860000000002</v>
      </c>
      <c r="Y5401">
        <v>0.18556420000000001</v>
      </c>
      <c r="Z5401">
        <v>1.5312419999999999E-3</v>
      </c>
      <c r="AA5401">
        <v>0.98263100000000003</v>
      </c>
      <c r="AB5401">
        <v>23</v>
      </c>
      <c r="AC5401">
        <v>116.317599999999</v>
      </c>
      <c r="AD5401">
        <v>1.010637</v>
      </c>
      <c r="AE5401">
        <v>-11.982689000000001</v>
      </c>
      <c r="AF5401">
        <v>21.722369107151501</v>
      </c>
      <c r="AG5401">
        <v>1.010637</v>
      </c>
      <c r="AH5401">
        <v>114.88892479425</v>
      </c>
      <c r="AI5401">
        <v>89.504775997496097</v>
      </c>
      <c r="AJ5401">
        <v>79.293316051696095</v>
      </c>
      <c r="AK5401">
        <v>116.928814871065</v>
      </c>
      <c r="AL5401">
        <v>90.857404885267101</v>
      </c>
      <c r="AM5401">
        <v>86.872273441376095</v>
      </c>
      <c r="AN5401">
        <v>1.0000000162476601</v>
      </c>
    </row>
    <row r="5402" spans="1:40" x14ac:dyDescent="0.25">
      <c r="A5402" t="str">
        <f>"20190312161424498"</f>
        <v>20190312161424498</v>
      </c>
      <c r="B5402" t="str">
        <f>"1552378464491937"</f>
        <v>1552378464491937</v>
      </c>
      <c r="C5402" t="s">
        <v>40</v>
      </c>
      <c r="D5402">
        <v>5.965287</v>
      </c>
      <c r="E5402">
        <v>0.54969499999999905</v>
      </c>
      <c r="F5402" t="s">
        <v>101</v>
      </c>
      <c r="G5402">
        <v>-267.20830000000001</v>
      </c>
      <c r="H5402">
        <v>2.166925</v>
      </c>
      <c r="I5402">
        <v>4.6006660000000004</v>
      </c>
      <c r="J5402">
        <v>-383.24119999999999</v>
      </c>
      <c r="K5402">
        <v>1.1090869999999999</v>
      </c>
      <c r="L5402">
        <v>16.59976</v>
      </c>
      <c r="M5402">
        <v>0.9964925</v>
      </c>
      <c r="N5402">
        <v>0</v>
      </c>
      <c r="O5402">
        <v>8.2859150000000006E-2</v>
      </c>
      <c r="P5402">
        <v>0.99923810000000002</v>
      </c>
      <c r="Q5402">
        <v>-2.6100999999999999E-2</v>
      </c>
      <c r="R5402">
        <v>2.9022719999999998E-2</v>
      </c>
      <c r="S5402">
        <v>3.0123289999999998</v>
      </c>
      <c r="T5402">
        <v>2.7412410000000002E-2</v>
      </c>
      <c r="U5402">
        <v>-0.31051640000000003</v>
      </c>
      <c r="V5402">
        <v>5.3847619999999999E-2</v>
      </c>
      <c r="W5402">
        <v>-1.4524769999999999E-2</v>
      </c>
      <c r="X5402">
        <v>0.99844350000000004</v>
      </c>
      <c r="Y5402">
        <v>0.18460289999999999</v>
      </c>
      <c r="Z5402">
        <v>1.5899359999999999E-3</v>
      </c>
      <c r="AA5402">
        <v>0.98281189999999996</v>
      </c>
      <c r="AB5402">
        <v>23</v>
      </c>
      <c r="AC5402">
        <v>116.032899999999</v>
      </c>
      <c r="AD5402">
        <v>1.0578379999999901</v>
      </c>
      <c r="AE5402">
        <v>-11.999093999999999</v>
      </c>
      <c r="AF5402">
        <v>21.5710991713614</v>
      </c>
      <c r="AG5402">
        <v>1.0578379999999901</v>
      </c>
      <c r="AH5402">
        <v>114.630109715289</v>
      </c>
      <c r="AI5402">
        <v>89.4803934204717</v>
      </c>
      <c r="AJ5402">
        <v>79.342708968568303</v>
      </c>
      <c r="AK5402">
        <v>116.64687477182601</v>
      </c>
      <c r="AL5402">
        <v>90.832237301405996</v>
      </c>
      <c r="AM5402">
        <v>86.912939676732293</v>
      </c>
      <c r="AN5402">
        <v>0.99999997890773296</v>
      </c>
    </row>
    <row r="5403" spans="1:40" x14ac:dyDescent="0.25">
      <c r="A5403" t="str">
        <f>"20190312161424514"</f>
        <v>20190312161424514</v>
      </c>
      <c r="B5403" t="str">
        <f>"1552378464501913"</f>
        <v>1552378464501913</v>
      </c>
      <c r="C5403" t="s">
        <v>40</v>
      </c>
      <c r="D5403">
        <v>5.9135400000000002</v>
      </c>
      <c r="E5403">
        <v>0.5054826</v>
      </c>
      <c r="F5403" t="s">
        <v>101</v>
      </c>
      <c r="G5403">
        <v>-267.4153</v>
      </c>
      <c r="H5403">
        <v>2.2317040000000001</v>
      </c>
      <c r="I5403">
        <v>4.6006869999999997</v>
      </c>
      <c r="J5403">
        <v>-383.08080000000001</v>
      </c>
      <c r="K5403">
        <v>1.109081</v>
      </c>
      <c r="L5403">
        <v>16.612029999999901</v>
      </c>
      <c r="M5403">
        <v>0.99657130000000005</v>
      </c>
      <c r="N5403">
        <v>0</v>
      </c>
      <c r="O5403">
        <v>8.191387E-2</v>
      </c>
      <c r="P5403">
        <v>0.9992588</v>
      </c>
      <c r="Q5403">
        <v>-2.5992999999999999E-2</v>
      </c>
      <c r="R5403">
        <v>2.8396660000000001E-2</v>
      </c>
      <c r="S5403">
        <v>3.0121150000000001</v>
      </c>
      <c r="T5403">
        <v>2.919424E-2</v>
      </c>
      <c r="U5403">
        <v>-0.31204219999999999</v>
      </c>
      <c r="V5403">
        <v>5.3526600000000001E-2</v>
      </c>
      <c r="W5403">
        <v>-1.446649E-2</v>
      </c>
      <c r="X5403">
        <v>0.99846159999999995</v>
      </c>
      <c r="Y5403">
        <v>0.1841689</v>
      </c>
      <c r="Z5403">
        <v>1.682125E-3</v>
      </c>
      <c r="AA5403">
        <v>0.98289320000000002</v>
      </c>
      <c r="AB5403">
        <v>23</v>
      </c>
      <c r="AC5403">
        <v>115.66549999999999</v>
      </c>
      <c r="AD5403">
        <v>1.1226229999999999</v>
      </c>
      <c r="AE5403">
        <v>-12.011342999999901</v>
      </c>
      <c r="AF5403">
        <v>21.444225741157599</v>
      </c>
      <c r="AG5403">
        <v>1.1226229999999999</v>
      </c>
      <c r="AH5403">
        <v>114.28212992762801</v>
      </c>
      <c r="AI5403">
        <v>89.446840274818399</v>
      </c>
      <c r="AJ5403">
        <v>79.372437627136307</v>
      </c>
      <c r="AK5403">
        <v>116.28207222454</v>
      </c>
      <c r="AL5403">
        <v>90.828897758604001</v>
      </c>
      <c r="AM5403">
        <v>86.9313638544903</v>
      </c>
      <c r="AN5403">
        <v>0.99999997145751895</v>
      </c>
    </row>
    <row r="5404" spans="1:40" x14ac:dyDescent="0.25">
      <c r="A5404" t="str">
        <f>"20190312161424533"</f>
        <v>20190312161424533</v>
      </c>
      <c r="B5404" t="str">
        <f>"1552378464522408"</f>
        <v>1552378464522408</v>
      </c>
      <c r="C5404" t="s">
        <v>40</v>
      </c>
      <c r="D5404">
        <v>5.9021980000000003</v>
      </c>
      <c r="E5404">
        <v>0.48442020000000002</v>
      </c>
      <c r="F5404" t="s">
        <v>96</v>
      </c>
      <c r="G5404">
        <v>-362.02179999999998</v>
      </c>
      <c r="H5404" s="1">
        <v>-4.250386E-6</v>
      </c>
      <c r="I5404">
        <v>16.91826</v>
      </c>
      <c r="J5404">
        <v>-382.88749999999999</v>
      </c>
      <c r="K5404">
        <v>1.1090770000000001</v>
      </c>
      <c r="L5404">
        <v>16.62668</v>
      </c>
      <c r="M5404">
        <v>0.99666460000000001</v>
      </c>
      <c r="N5404">
        <v>0</v>
      </c>
      <c r="O5404">
        <v>8.0778290000000003E-2</v>
      </c>
      <c r="P5404">
        <v>0.99928790000000001</v>
      </c>
      <c r="Q5404">
        <v>-2.60138E-2</v>
      </c>
      <c r="R5404">
        <v>2.733296E-2</v>
      </c>
      <c r="S5404">
        <v>2.9968870000000001</v>
      </c>
      <c r="T5404">
        <v>-0.157833</v>
      </c>
      <c r="U5404">
        <v>4.3579100000000003E-2</v>
      </c>
      <c r="V5404">
        <v>5.3451459999999999E-2</v>
      </c>
      <c r="W5404">
        <v>-1.454538E-2</v>
      </c>
      <c r="X5404">
        <v>0.99846449999999998</v>
      </c>
      <c r="Y5404">
        <v>6.6079540000000006E-2</v>
      </c>
      <c r="Z5404">
        <v>-5.9860149999999999E-3</v>
      </c>
      <c r="AA5404">
        <v>0.99779640000000003</v>
      </c>
      <c r="AB5404">
        <v>23</v>
      </c>
      <c r="AC5404">
        <v>20.8657</v>
      </c>
      <c r="AD5404">
        <v>-1.1090812503859999</v>
      </c>
      <c r="AE5404">
        <v>0.29157999999999901</v>
      </c>
      <c r="AF5404">
        <v>1.3910526076559899</v>
      </c>
      <c r="AG5404">
        <v>-1.1090812503859999</v>
      </c>
      <c r="AH5404">
        <v>20.7624105107889</v>
      </c>
      <c r="AI5404">
        <v>93.0508787019198</v>
      </c>
      <c r="AJ5404">
        <v>86.166990887315606</v>
      </c>
      <c r="AK5404">
        <v>20.838492718902199</v>
      </c>
      <c r="AL5404">
        <v>90.833418281120899</v>
      </c>
      <c r="AM5404">
        <v>86.935672236842095</v>
      </c>
      <c r="AN5404">
        <v>0.99999999220786295</v>
      </c>
    </row>
    <row r="5405" spans="1:40" x14ac:dyDescent="0.25">
      <c r="A5405" t="str">
        <f>"20190312161424544"</f>
        <v>20190312161424544</v>
      </c>
      <c r="B5405" t="str">
        <f>"1552378464532168"</f>
        <v>1552378464532168</v>
      </c>
      <c r="C5405" t="s">
        <v>40</v>
      </c>
      <c r="D5405">
        <v>5.8609749999999998</v>
      </c>
      <c r="E5405">
        <v>0.48038120000000001</v>
      </c>
      <c r="F5405" t="s">
        <v>96</v>
      </c>
      <c r="G5405">
        <v>-360.16489999999999</v>
      </c>
      <c r="H5405" s="1">
        <v>-4.8996329999999999E-6</v>
      </c>
      <c r="I5405">
        <v>18.20654</v>
      </c>
      <c r="J5405">
        <v>-382.7602</v>
      </c>
      <c r="K5405">
        <v>1.109075</v>
      </c>
      <c r="L5405">
        <v>16.63617</v>
      </c>
      <c r="M5405">
        <v>0.99672519999999998</v>
      </c>
      <c r="N5405">
        <v>0</v>
      </c>
      <c r="O5405">
        <v>8.0033000000000007E-2</v>
      </c>
      <c r="P5405">
        <v>0.99931139999999996</v>
      </c>
      <c r="Q5405">
        <v>-2.5917820000000001E-2</v>
      </c>
      <c r="R5405">
        <v>2.6560299999999998E-2</v>
      </c>
      <c r="S5405">
        <v>2.9925839999999999</v>
      </c>
      <c r="T5405">
        <v>-0.146067</v>
      </c>
      <c r="U5405">
        <v>0.2080688</v>
      </c>
      <c r="V5405">
        <v>5.3477049999999998E-2</v>
      </c>
      <c r="W5405">
        <v>-1.4485029999999999E-2</v>
      </c>
      <c r="X5405">
        <v>0.99846400000000002</v>
      </c>
      <c r="Y5405">
        <v>1.060033E-2</v>
      </c>
      <c r="Z5405">
        <v>-4.1520180000000004E-3</v>
      </c>
      <c r="AA5405">
        <v>0.99993520000000002</v>
      </c>
      <c r="AB5405">
        <v>23</v>
      </c>
      <c r="AC5405">
        <v>22.595300000000002</v>
      </c>
      <c r="AD5405">
        <v>-1.109079899633</v>
      </c>
      <c r="AE5405">
        <v>1.57037</v>
      </c>
      <c r="AF5405">
        <v>0.242576906245693</v>
      </c>
      <c r="AG5405">
        <v>-1.109079899633</v>
      </c>
      <c r="AH5405">
        <v>22.5943245925315</v>
      </c>
      <c r="AI5405">
        <v>92.810041074124499</v>
      </c>
      <c r="AJ5405">
        <v>89.384885398842499</v>
      </c>
      <c r="AK5405">
        <v>22.622829300772398</v>
      </c>
      <c r="AL5405">
        <v>90.829960122350201</v>
      </c>
      <c r="AM5405">
        <v>86.934206449058095</v>
      </c>
      <c r="AN5405">
        <v>0.99999998513340105</v>
      </c>
    </row>
    <row r="5406" spans="1:40" x14ac:dyDescent="0.25">
      <c r="A5406" t="str">
        <f>"20190312161424558"</f>
        <v>20190312161424558</v>
      </c>
      <c r="B5406" t="str">
        <f>"1552378464551689"</f>
        <v>1552378464551689</v>
      </c>
      <c r="C5406" t="s">
        <v>40</v>
      </c>
      <c r="D5406">
        <v>5.8125410000000004</v>
      </c>
      <c r="E5406">
        <v>0.47575699999999999</v>
      </c>
      <c r="F5406" t="s">
        <v>42</v>
      </c>
      <c r="G5406">
        <v>-359.24259999999998</v>
      </c>
      <c r="H5406" s="1">
        <v>-5.3936540000000003E-7</v>
      </c>
      <c r="I5406">
        <v>18.50535</v>
      </c>
      <c r="J5406">
        <v>-382.6207</v>
      </c>
      <c r="K5406">
        <v>1.109075</v>
      </c>
      <c r="L5406">
        <v>16.646419999999999</v>
      </c>
      <c r="M5406">
        <v>0.99679039999999997</v>
      </c>
      <c r="N5406">
        <v>0</v>
      </c>
      <c r="O5406">
        <v>7.9221470000000002E-2</v>
      </c>
      <c r="P5406">
        <v>0.99933799999999995</v>
      </c>
      <c r="Q5406">
        <v>-2.5789260000000001E-2</v>
      </c>
      <c r="R5406">
        <v>2.566589E-2</v>
      </c>
      <c r="S5406">
        <v>2.9920960000000001</v>
      </c>
      <c r="T5406">
        <v>-0.1411058</v>
      </c>
      <c r="U5406">
        <v>0.23782349999999999</v>
      </c>
      <c r="V5406">
        <v>5.3558309999999998E-2</v>
      </c>
      <c r="W5406">
        <v>-1.439241E-2</v>
      </c>
      <c r="X5406">
        <v>0.99846100000000004</v>
      </c>
      <c r="Y5406" s="1">
        <v>-9.4429790000000001E-5</v>
      </c>
      <c r="Z5406">
        <v>-3.7202680000000001E-3</v>
      </c>
      <c r="AA5406">
        <v>0.99999309999999997</v>
      </c>
      <c r="AB5406">
        <v>23</v>
      </c>
      <c r="AC5406">
        <v>23.3781</v>
      </c>
      <c r="AD5406">
        <v>-1.1090755393653999</v>
      </c>
      <c r="AE5406">
        <v>1.85892999999999</v>
      </c>
      <c r="AF5406">
        <v>-9.1414685005020103E-4</v>
      </c>
      <c r="AG5406">
        <v>-1.1090755393653999</v>
      </c>
      <c r="AH5406">
        <v>23.399557919739799</v>
      </c>
      <c r="AI5406">
        <v>92.713633601165697</v>
      </c>
      <c r="AJ5406">
        <v>90.0022383652082</v>
      </c>
      <c r="AK5406">
        <v>23.425826777873599</v>
      </c>
      <c r="AL5406">
        <v>90.824652820604399</v>
      </c>
      <c r="AM5406">
        <v>86.929547582037102</v>
      </c>
      <c r="AN5406">
        <v>1.0000000012783301</v>
      </c>
    </row>
    <row r="5407" spans="1:40" x14ac:dyDescent="0.25">
      <c r="A5407" t="str">
        <f>"20190312161424575"</f>
        <v>20190312161424575</v>
      </c>
      <c r="B5407" t="str">
        <f>"1552378464572184"</f>
        <v>1552378464572184</v>
      </c>
      <c r="C5407" t="s">
        <v>40</v>
      </c>
      <c r="D5407">
        <v>5.7955110000000003</v>
      </c>
      <c r="E5407">
        <v>0.47376390000000002</v>
      </c>
      <c r="F5407" t="s">
        <v>42</v>
      </c>
      <c r="G5407">
        <v>-359.53070000000002</v>
      </c>
      <c r="H5407" s="1">
        <v>-3.7707760000000001E-7</v>
      </c>
      <c r="I5407">
        <v>18.74689</v>
      </c>
      <c r="J5407">
        <v>-382.4418</v>
      </c>
      <c r="K5407">
        <v>1.1090739999999999</v>
      </c>
      <c r="L5407">
        <v>16.659479999999999</v>
      </c>
      <c r="M5407">
        <v>0.99687250000000005</v>
      </c>
      <c r="N5407">
        <v>0</v>
      </c>
      <c r="O5407">
        <v>7.8189090000000003E-2</v>
      </c>
      <c r="P5407">
        <v>0.99937180000000003</v>
      </c>
      <c r="Q5407">
        <v>-2.5648210000000001E-2</v>
      </c>
      <c r="R5407">
        <v>2.446651E-2</v>
      </c>
      <c r="S5407">
        <v>2.9913020000000001</v>
      </c>
      <c r="T5407">
        <v>-0.14368029999999901</v>
      </c>
      <c r="U5407">
        <v>0.27212520000000001</v>
      </c>
      <c r="V5407">
        <v>5.3723269999999997E-2</v>
      </c>
      <c r="W5407">
        <v>-1.429413E-2</v>
      </c>
      <c r="X5407">
        <v>0.99845360000000005</v>
      </c>
      <c r="Y5407">
        <v>-1.2522800000000001E-2</v>
      </c>
      <c r="Z5407">
        <v>-3.439845E-3</v>
      </c>
      <c r="AA5407">
        <v>0.99991569999999996</v>
      </c>
      <c r="AB5407">
        <v>23</v>
      </c>
      <c r="AC5407">
        <v>22.911099999999902</v>
      </c>
      <c r="AD5407">
        <v>-1.1090743770775999</v>
      </c>
      <c r="AE5407">
        <v>2.0874100000000002</v>
      </c>
      <c r="AF5407">
        <v>-0.28883137845930501</v>
      </c>
      <c r="AG5407">
        <v>-1.1090743770775999</v>
      </c>
      <c r="AH5407">
        <v>22.950834792041402</v>
      </c>
      <c r="AI5407">
        <v>92.766385943032603</v>
      </c>
      <c r="AJ5407">
        <v>90.721017146414496</v>
      </c>
      <c r="AK5407">
        <v>22.979431829152102</v>
      </c>
      <c r="AL5407">
        <v>90.819021170839505</v>
      </c>
      <c r="AM5407">
        <v>86.920085961904704</v>
      </c>
      <c r="AN5407">
        <v>1.0000000516224501</v>
      </c>
    </row>
    <row r="5408" spans="1:40" x14ac:dyDescent="0.25">
      <c r="A5408" t="str">
        <f>"20190312161424587"</f>
        <v>20190312161424587</v>
      </c>
      <c r="B5408" t="str">
        <f>"1552378464581944"</f>
        <v>1552378464581944</v>
      </c>
      <c r="C5408" t="s">
        <v>40</v>
      </c>
      <c r="D5408">
        <v>5.7134489999999998</v>
      </c>
      <c r="E5408">
        <v>0.47285650000000001</v>
      </c>
      <c r="F5408" t="s">
        <v>42</v>
      </c>
      <c r="G5408">
        <v>-358.35770000000002</v>
      </c>
      <c r="H5408" s="1">
        <v>-8.0537749999999996E-7</v>
      </c>
      <c r="I5408">
        <v>18.948090000000001</v>
      </c>
      <c r="J5408">
        <v>-382.31319999999999</v>
      </c>
      <c r="K5408">
        <v>1.109078</v>
      </c>
      <c r="L5408">
        <v>16.668759999999999</v>
      </c>
      <c r="M5408">
        <v>0.99693010000000004</v>
      </c>
      <c r="N5408">
        <v>0</v>
      </c>
      <c r="O5408">
        <v>7.7453140000000004E-2</v>
      </c>
      <c r="P5408">
        <v>0.99939250000000002</v>
      </c>
      <c r="Q5408">
        <v>-2.5731259999999999E-2</v>
      </c>
      <c r="R5408">
        <v>2.3507699999999999E-2</v>
      </c>
      <c r="S5408">
        <v>2.991425</v>
      </c>
      <c r="T5408">
        <v>-0.13775490000000001</v>
      </c>
      <c r="U5408">
        <v>0.2842712</v>
      </c>
      <c r="V5408">
        <v>5.3943909999999998E-2</v>
      </c>
      <c r="W5408">
        <v>-1.440613E-2</v>
      </c>
      <c r="X5408">
        <v>0.99843999999999999</v>
      </c>
      <c r="Y5408">
        <v>-1.727045E-2</v>
      </c>
      <c r="Z5408">
        <v>-3.1545739999999998E-3</v>
      </c>
      <c r="AA5408">
        <v>0.99984589999999995</v>
      </c>
      <c r="AB5408">
        <v>23</v>
      </c>
      <c r="AC5408">
        <v>23.955499999999901</v>
      </c>
      <c r="AD5408">
        <v>-1.1090788053775</v>
      </c>
      <c r="AE5408">
        <v>2.2793299999999999</v>
      </c>
      <c r="AF5408">
        <v>-0.41604760192638102</v>
      </c>
      <c r="AG5408">
        <v>-1.1090788053775</v>
      </c>
      <c r="AH5408">
        <v>24.009080259288599</v>
      </c>
      <c r="AI5408">
        <v>92.644452574879395</v>
      </c>
      <c r="AJ5408">
        <v>90.992765478314098</v>
      </c>
      <c r="AK5408">
        <v>24.038283763625198</v>
      </c>
      <c r="AL5408">
        <v>90.8254390360934</v>
      </c>
      <c r="AM5408">
        <v>86.9074192994931</v>
      </c>
      <c r="AN5408">
        <v>0.999999957803831</v>
      </c>
    </row>
    <row r="5409" spans="1:40" x14ac:dyDescent="0.25">
      <c r="A5409" t="str">
        <f>"20190312161424599"</f>
        <v>20190312161424599</v>
      </c>
      <c r="B5409" t="str">
        <f>"1552378464591704"</f>
        <v>1552378464591704</v>
      </c>
      <c r="C5409" t="s">
        <v>40</v>
      </c>
      <c r="D5409">
        <v>5.7737100000000003</v>
      </c>
      <c r="E5409">
        <v>0.47201080000000001</v>
      </c>
      <c r="F5409" t="s">
        <v>42</v>
      </c>
      <c r="G5409">
        <v>-357.21809999999999</v>
      </c>
      <c r="H5409" s="1">
        <v>-1.269345E-6</v>
      </c>
      <c r="I5409">
        <v>19.08859</v>
      </c>
      <c r="J5409">
        <v>-382.19409999999999</v>
      </c>
      <c r="K5409">
        <v>1.1090770000000001</v>
      </c>
      <c r="L5409">
        <v>16.677250000000001</v>
      </c>
      <c r="M5409">
        <v>0.99698229999999999</v>
      </c>
      <c r="N5409">
        <v>0</v>
      </c>
      <c r="O5409">
        <v>7.6783630000000005E-2</v>
      </c>
      <c r="P5409">
        <v>0.99941239999999998</v>
      </c>
      <c r="Q5409">
        <v>-2.572406E-2</v>
      </c>
      <c r="R5409">
        <v>2.2659869999999999E-2</v>
      </c>
      <c r="S5409">
        <v>2.991638</v>
      </c>
      <c r="T5409">
        <v>-0.13221550000000001</v>
      </c>
      <c r="U5409">
        <v>0.28848269999999998</v>
      </c>
      <c r="V5409">
        <v>5.4120509999999997E-2</v>
      </c>
      <c r="W5409">
        <v>-1.4422839999999999E-2</v>
      </c>
      <c r="X5409">
        <v>0.99843029999999999</v>
      </c>
      <c r="Y5409">
        <v>-1.9322300000000001E-2</v>
      </c>
      <c r="Z5409">
        <v>-2.9527809999999998E-3</v>
      </c>
      <c r="AA5409">
        <v>0.99980899999999995</v>
      </c>
      <c r="AB5409">
        <v>23</v>
      </c>
      <c r="AC5409">
        <v>24.975999999999999</v>
      </c>
      <c r="AD5409">
        <v>-1.1090782693449901</v>
      </c>
      <c r="AE5409">
        <v>2.4113399999999898</v>
      </c>
      <c r="AF5409">
        <v>-0.48539880327264801</v>
      </c>
      <c r="AG5409">
        <v>-1.1090782693449901</v>
      </c>
      <c r="AH5409">
        <v>25.038502470758399</v>
      </c>
      <c r="AI5409">
        <v>92.535777816625</v>
      </c>
      <c r="AJ5409">
        <v>91.110602345526701</v>
      </c>
      <c r="AK5409">
        <v>25.067753640562302</v>
      </c>
      <c r="AL5409">
        <v>90.826396466986594</v>
      </c>
      <c r="AM5409">
        <v>86.897284563549803</v>
      </c>
      <c r="AN5409">
        <v>1.0000000559372</v>
      </c>
    </row>
    <row r="5410" spans="1:40" x14ac:dyDescent="0.25">
      <c r="A5410" t="str">
        <f>"20190312161424611"</f>
        <v>20190312161424611</v>
      </c>
      <c r="B5410" t="str">
        <f>"1552378464602440"</f>
        <v>1552378464602440</v>
      </c>
      <c r="C5410" t="s">
        <v>40</v>
      </c>
      <c r="D5410">
        <v>5.804748</v>
      </c>
      <c r="E5410">
        <v>0.47121930000000001</v>
      </c>
      <c r="F5410" t="s">
        <v>42</v>
      </c>
      <c r="G5410">
        <v>-356.3159</v>
      </c>
      <c r="H5410" s="1">
        <v>-1.6352889999999999E-6</v>
      </c>
      <c r="I5410">
        <v>19.207540000000002</v>
      </c>
      <c r="J5410">
        <v>-382.06349999999998</v>
      </c>
      <c r="K5410">
        <v>1.109086</v>
      </c>
      <c r="L5410">
        <v>16.686520000000002</v>
      </c>
      <c r="M5410">
        <v>0.99703850000000005</v>
      </c>
      <c r="N5410">
        <v>0</v>
      </c>
      <c r="O5410">
        <v>7.6054629999999998E-2</v>
      </c>
      <c r="P5410">
        <v>0.99943110000000002</v>
      </c>
      <c r="Q5410">
        <v>-2.5634379999999998E-2</v>
      </c>
      <c r="R5410">
        <v>2.192293E-2</v>
      </c>
      <c r="S5410">
        <v>2.9918209999999998</v>
      </c>
      <c r="T5410">
        <v>-0.12822220000000001</v>
      </c>
      <c r="U5410">
        <v>0.29254150000000001</v>
      </c>
      <c r="V5410">
        <v>5.4127410000000001E-2</v>
      </c>
      <c r="W5410">
        <v>-1.4358620000000001E-2</v>
      </c>
      <c r="X5410">
        <v>0.99843079999999995</v>
      </c>
      <c r="Y5410">
        <v>-2.1385370000000001E-2</v>
      </c>
      <c r="Z5410">
        <v>-2.7881630000000002E-3</v>
      </c>
      <c r="AA5410">
        <v>0.99976739999999997</v>
      </c>
      <c r="AB5410">
        <v>23</v>
      </c>
      <c r="AC5410">
        <v>25.747599999999899</v>
      </c>
      <c r="AD5410">
        <v>-1.109087635289</v>
      </c>
      <c r="AE5410">
        <v>2.5210199999999898</v>
      </c>
      <c r="AF5410">
        <v>-0.55434706920952104</v>
      </c>
      <c r="AG5410">
        <v>-1.109087635289</v>
      </c>
      <c r="AH5410">
        <v>25.817315153434201</v>
      </c>
      <c r="AI5410">
        <v>92.459294305605695</v>
      </c>
      <c r="AJ5410">
        <v>91.230060811356594</v>
      </c>
      <c r="AK5410">
        <v>25.8470721318225</v>
      </c>
      <c r="AL5410">
        <v>90.822716593543703</v>
      </c>
      <c r="AM5410">
        <v>86.896891312259797</v>
      </c>
      <c r="AN5410">
        <v>1.00000000443512</v>
      </c>
    </row>
    <row r="5411" spans="1:40" x14ac:dyDescent="0.25">
      <c r="A5411" t="str">
        <f>"20190312161424622"</f>
        <v>20190312161424622</v>
      </c>
      <c r="B5411" t="str">
        <f>"1552378464612201"</f>
        <v>1552378464612201</v>
      </c>
      <c r="C5411" t="s">
        <v>40</v>
      </c>
      <c r="D5411">
        <v>5.8081050000000003</v>
      </c>
      <c r="E5411">
        <v>0.47064159999999999</v>
      </c>
      <c r="F5411" t="s">
        <v>42</v>
      </c>
      <c r="G5411">
        <v>-355.61110000000002</v>
      </c>
      <c r="H5411" s="1">
        <v>-1.9196210000000002E-6</v>
      </c>
      <c r="I5411">
        <v>19.308959999999999</v>
      </c>
      <c r="J5411">
        <v>-381.93619999999999</v>
      </c>
      <c r="K5411">
        <v>1.1091</v>
      </c>
      <c r="L5411">
        <v>16.695429999999899</v>
      </c>
      <c r="M5411">
        <v>0.99709150000000002</v>
      </c>
      <c r="N5411">
        <v>0</v>
      </c>
      <c r="O5411">
        <v>7.5358620000000001E-2</v>
      </c>
      <c r="P5411">
        <v>0.99945229999999996</v>
      </c>
      <c r="Q5411">
        <v>-2.5235130000000001E-2</v>
      </c>
      <c r="R5411">
        <v>2.1408730000000001E-2</v>
      </c>
      <c r="S5411">
        <v>2.9920040000000001</v>
      </c>
      <c r="T5411">
        <v>-0.12544810000000001</v>
      </c>
      <c r="U5411">
        <v>0.29663089999999998</v>
      </c>
      <c r="V5411">
        <v>5.394608E-2</v>
      </c>
      <c r="W5411">
        <v>-1.39834E-2</v>
      </c>
      <c r="X5411">
        <v>0.9984459</v>
      </c>
      <c r="Y5411">
        <v>-2.3426120000000002E-2</v>
      </c>
      <c r="Z5411">
        <v>-2.6558630000000001E-3</v>
      </c>
      <c r="AA5411">
        <v>0.99972209999999995</v>
      </c>
      <c r="AB5411">
        <v>23</v>
      </c>
      <c r="AC5411">
        <v>26.3250999999999</v>
      </c>
      <c r="AD5411">
        <v>-1.1091019196209999</v>
      </c>
      <c r="AE5411">
        <v>2.6135299999999999</v>
      </c>
      <c r="AF5411">
        <v>-0.62105403994666697</v>
      </c>
      <c r="AG5411">
        <v>-1.1091019196209999</v>
      </c>
      <c r="AH5411">
        <v>26.4007950278253</v>
      </c>
      <c r="AI5411">
        <v>92.404926453008997</v>
      </c>
      <c r="AJ5411">
        <v>91.347581149600501</v>
      </c>
      <c r="AK5411">
        <v>26.4313789517287</v>
      </c>
      <c r="AL5411">
        <v>90.8012159436568</v>
      </c>
      <c r="AM5411">
        <v>86.907313375727995</v>
      </c>
      <c r="AN5411">
        <v>0.999999965124867</v>
      </c>
    </row>
    <row r="5412" spans="1:40" x14ac:dyDescent="0.25">
      <c r="A5412" t="str">
        <f>"20190312161424654"</f>
        <v>20190312161424654</v>
      </c>
      <c r="B5412" t="str">
        <f>"1552378464641481"</f>
        <v>1552378464641481</v>
      </c>
      <c r="C5412" t="s">
        <v>40</v>
      </c>
      <c r="D5412">
        <v>5.8051789999999999</v>
      </c>
      <c r="E5412">
        <v>0.46990080000000001</v>
      </c>
      <c r="F5412" t="s">
        <v>42</v>
      </c>
      <c r="G5412">
        <v>-354.64260000000002</v>
      </c>
      <c r="H5412" s="1">
        <v>-2.314024E-6</v>
      </c>
      <c r="I5412">
        <v>19.427859999999999</v>
      </c>
      <c r="J5412">
        <v>-381.61840000000001</v>
      </c>
      <c r="K5412">
        <v>1.1091299999999999</v>
      </c>
      <c r="L5412">
        <v>16.717410000000001</v>
      </c>
      <c r="M5412">
        <v>0.99721859999999996</v>
      </c>
      <c r="N5412">
        <v>0</v>
      </c>
      <c r="O5412">
        <v>7.3668129999999998E-2</v>
      </c>
      <c r="P5412">
        <v>0.99948780000000004</v>
      </c>
      <c r="Q5412">
        <v>-2.4525459999999999E-2</v>
      </c>
      <c r="R5412">
        <v>2.0565569999999998E-2</v>
      </c>
      <c r="S5412">
        <v>2.9921570000000002</v>
      </c>
      <c r="T5412">
        <v>-0.12158910000000001</v>
      </c>
      <c r="U5412">
        <v>0.29956050000000001</v>
      </c>
      <c r="V5412">
        <v>5.3099500000000001E-2</v>
      </c>
      <c r="W5412">
        <v>-1.333175E-2</v>
      </c>
      <c r="X5412">
        <v>0.99850019999999995</v>
      </c>
      <c r="Y5412">
        <v>-2.6078899999999999E-2</v>
      </c>
      <c r="Z5412">
        <v>-2.451974E-3</v>
      </c>
      <c r="AA5412">
        <v>0.99965689999999996</v>
      </c>
      <c r="AB5412">
        <v>23</v>
      </c>
      <c r="AC5412">
        <v>26.9757999999999</v>
      </c>
      <c r="AD5412">
        <v>-1.1091323140239999</v>
      </c>
      <c r="AE5412">
        <v>2.71044999999999</v>
      </c>
      <c r="AF5412">
        <v>-0.714504439280222</v>
      </c>
      <c r="AG5412">
        <v>-1.1091323140239999</v>
      </c>
      <c r="AH5412">
        <v>27.056896016173202</v>
      </c>
      <c r="AI5412">
        <v>92.346571149317498</v>
      </c>
      <c r="AJ5412">
        <v>91.512685588265398</v>
      </c>
      <c r="AK5412">
        <v>27.0890441528263</v>
      </c>
      <c r="AL5412">
        <v>90.763875659847997</v>
      </c>
      <c r="AM5412">
        <v>86.955920370073102</v>
      </c>
      <c r="AN5412">
        <v>0.99999997092917503</v>
      </c>
    </row>
    <row r="5413" spans="1:40" x14ac:dyDescent="0.25">
      <c r="A5413" t="str">
        <f>"20190312161424668"</f>
        <v>20190312161424668</v>
      </c>
      <c r="B5413" t="str">
        <f>"1552378464661977"</f>
        <v>1552378464661977</v>
      </c>
      <c r="C5413" t="s">
        <v>40</v>
      </c>
      <c r="D5413">
        <v>6.0509570000000004</v>
      </c>
      <c r="E5413">
        <v>0.46923399999999998</v>
      </c>
      <c r="F5413" t="s">
        <v>42</v>
      </c>
      <c r="G5413">
        <v>-353.41910000000001</v>
      </c>
      <c r="H5413" s="1">
        <v>-2.813354E-6</v>
      </c>
      <c r="I5413">
        <v>19.571870000000001</v>
      </c>
      <c r="J5413">
        <v>-381.46420000000001</v>
      </c>
      <c r="K5413">
        <v>1.1091439999999999</v>
      </c>
      <c r="L5413">
        <v>16.72794</v>
      </c>
      <c r="M5413">
        <v>0.99727710000000003</v>
      </c>
      <c r="N5413">
        <v>0</v>
      </c>
      <c r="O5413">
        <v>7.2877839999999999E-2</v>
      </c>
      <c r="P5413">
        <v>0.99949929999999998</v>
      </c>
      <c r="Q5413">
        <v>-2.4393459999999999E-2</v>
      </c>
      <c r="R5413">
        <v>2.016037E-2</v>
      </c>
      <c r="S5413">
        <v>2.992432</v>
      </c>
      <c r="T5413">
        <v>-0.1176982</v>
      </c>
      <c r="U5413">
        <v>0.30291750000000001</v>
      </c>
      <c r="V5413">
        <v>5.2714150000000001E-2</v>
      </c>
      <c r="W5413">
        <v>-1.322828E-2</v>
      </c>
      <c r="X5413">
        <v>0.99852200000000002</v>
      </c>
      <c r="Y5413">
        <v>-2.796769E-2</v>
      </c>
      <c r="Z5413">
        <v>-2.3052820000000001E-3</v>
      </c>
      <c r="AA5413">
        <v>0.9996062</v>
      </c>
      <c r="AB5413">
        <v>23</v>
      </c>
      <c r="AC5413">
        <v>28.045099999999898</v>
      </c>
      <c r="AD5413">
        <v>-1.1091468133539999</v>
      </c>
      <c r="AE5413">
        <v>2.8439299999999998</v>
      </c>
      <c r="AF5413">
        <v>-0.79114551686387202</v>
      </c>
      <c r="AG5413">
        <v>-1.1091468133539999</v>
      </c>
      <c r="AH5413">
        <v>28.134230916895898</v>
      </c>
      <c r="AI5413">
        <v>92.256733691598896</v>
      </c>
      <c r="AJ5413">
        <v>91.610755124386102</v>
      </c>
      <c r="AK5413">
        <v>28.167198425964301</v>
      </c>
      <c r="AL5413">
        <v>90.757946738128595</v>
      </c>
      <c r="AM5413">
        <v>86.978036410679195</v>
      </c>
      <c r="AN5413">
        <v>0.99999997674299002</v>
      </c>
    </row>
    <row r="5414" spans="1:40" x14ac:dyDescent="0.25">
      <c r="A5414" t="str">
        <f>"20190312161424689"</f>
        <v>20190312161424689</v>
      </c>
      <c r="B5414" t="str">
        <f>"1552378464682473"</f>
        <v>1552378464682473</v>
      </c>
      <c r="C5414" t="s">
        <v>40</v>
      </c>
      <c r="D5414">
        <v>5.8375839999999997</v>
      </c>
      <c r="E5414">
        <v>0.46868320000000002</v>
      </c>
      <c r="F5414" t="s">
        <v>42</v>
      </c>
      <c r="G5414">
        <v>-352.82139999999998</v>
      </c>
      <c r="H5414" s="1">
        <v>-3.0751879999999999E-6</v>
      </c>
      <c r="I5414">
        <v>19.666090000000001</v>
      </c>
      <c r="J5414">
        <v>-381.2475</v>
      </c>
      <c r="K5414">
        <v>1.1090500000000001</v>
      </c>
      <c r="L5414">
        <v>16.742370000000001</v>
      </c>
      <c r="M5414">
        <v>0.99731029999999998</v>
      </c>
      <c r="N5414">
        <v>0</v>
      </c>
      <c r="O5414">
        <v>7.2469030000000004E-2</v>
      </c>
      <c r="P5414">
        <v>0.99950099999999997</v>
      </c>
      <c r="Q5414">
        <v>-2.411978E-2</v>
      </c>
      <c r="R5414">
        <v>2.0399850000000001E-2</v>
      </c>
      <c r="S5414">
        <v>2.9924930000000001</v>
      </c>
      <c r="T5414">
        <v>-0.1158795</v>
      </c>
      <c r="U5414">
        <v>0.30697629999999998</v>
      </c>
      <c r="V5414">
        <v>5.2065500000000001E-2</v>
      </c>
      <c r="W5414">
        <v>-1.3263169999999999E-2</v>
      </c>
      <c r="X5414">
        <v>0.99855559999999999</v>
      </c>
      <c r="Y5414">
        <v>-2.9714819999999999E-2</v>
      </c>
      <c r="Z5414">
        <v>-2.2199920000000001E-3</v>
      </c>
      <c r="AA5414">
        <v>0.99955590000000005</v>
      </c>
      <c r="AB5414">
        <v>24</v>
      </c>
      <c r="AC5414">
        <v>28.426100000000002</v>
      </c>
      <c r="AD5414">
        <v>-1.1090530751879999</v>
      </c>
      <c r="AE5414">
        <v>2.9237199999999901</v>
      </c>
      <c r="AF5414">
        <v>-0.85460844291154503</v>
      </c>
      <c r="AG5414">
        <v>-1.1090530751879999</v>
      </c>
      <c r="AH5414">
        <v>28.520282147310098</v>
      </c>
      <c r="AI5414">
        <v>92.225910452831499</v>
      </c>
      <c r="AJ5414">
        <v>91.7163508142539</v>
      </c>
      <c r="AK5414">
        <v>28.5546291882149</v>
      </c>
      <c r="AL5414">
        <v>90.759945940217506</v>
      </c>
      <c r="AM5414">
        <v>87.015254403447301</v>
      </c>
      <c r="AN5414">
        <v>1.0000000071300199</v>
      </c>
    </row>
    <row r="5415" spans="1:40" x14ac:dyDescent="0.25">
      <c r="A5415" t="str">
        <f>"20190312161424702"</f>
        <v>20190312161424702</v>
      </c>
      <c r="B5415" t="str">
        <f>"1552378464692232"</f>
        <v>1552378464692232</v>
      </c>
      <c r="C5415" t="s">
        <v>40</v>
      </c>
      <c r="D5415">
        <v>5.8475190000000001</v>
      </c>
      <c r="E5415">
        <v>0.46843180000000001</v>
      </c>
      <c r="F5415" t="s">
        <v>42</v>
      </c>
      <c r="G5415">
        <v>-351.5498</v>
      </c>
      <c r="H5415" s="1">
        <v>-3.6667200000000001E-6</v>
      </c>
      <c r="I5415">
        <v>19.839089999999999</v>
      </c>
      <c r="J5415">
        <v>-381.09500000000003</v>
      </c>
      <c r="K5415">
        <v>1.1091580000000001</v>
      </c>
      <c r="L5415">
        <v>16.75244</v>
      </c>
      <c r="M5415">
        <v>0.99735569999999896</v>
      </c>
      <c r="N5415">
        <v>0</v>
      </c>
      <c r="O5415">
        <v>7.1826109999999999E-2</v>
      </c>
      <c r="P5415">
        <v>0.99950360000000005</v>
      </c>
      <c r="Q5415">
        <v>-2.4305150000000001E-2</v>
      </c>
      <c r="R5415">
        <v>2.0053459999999999E-2</v>
      </c>
      <c r="S5415">
        <v>2.992432</v>
      </c>
      <c r="T5415">
        <v>-0.1117514</v>
      </c>
      <c r="U5415">
        <v>0.31204219999999999</v>
      </c>
      <c r="V5415">
        <v>5.1771009999999999E-2</v>
      </c>
      <c r="W5415">
        <v>-1.3324529999999999E-2</v>
      </c>
      <c r="X5415">
        <v>0.99857010000000002</v>
      </c>
      <c r="Y5415">
        <v>-3.2031070000000002E-2</v>
      </c>
      <c r="Z5415">
        <v>-2.0738179999999998E-3</v>
      </c>
      <c r="AA5415">
        <v>0.9994847</v>
      </c>
      <c r="AB5415">
        <v>24</v>
      </c>
      <c r="AC5415">
        <v>29.545200000000001</v>
      </c>
      <c r="AD5415">
        <v>-1.1091616667199999</v>
      </c>
      <c r="AE5415">
        <v>3.0866499999999899</v>
      </c>
      <c r="AF5415">
        <v>-0.955098300018977</v>
      </c>
      <c r="AG5415">
        <v>-1.1091616667199999</v>
      </c>
      <c r="AH5415">
        <v>29.649261290400101</v>
      </c>
      <c r="AI5415">
        <v>92.141293165576698</v>
      </c>
      <c r="AJ5415">
        <v>91.845043769570793</v>
      </c>
      <c r="AK5415">
        <v>29.685369248706301</v>
      </c>
      <c r="AL5415">
        <v>90.763461915748294</v>
      </c>
      <c r="AM5415">
        <v>87.032149307283802</v>
      </c>
      <c r="AN5415">
        <v>1.0000000125950701</v>
      </c>
    </row>
    <row r="5416" spans="1:40" x14ac:dyDescent="0.25">
      <c r="A5416" t="str">
        <f>"20190312161424722"</f>
        <v>20190312161424722</v>
      </c>
      <c r="B5416" t="str">
        <f>"1552378464711754"</f>
        <v>1552378464711754</v>
      </c>
      <c r="C5416" t="s">
        <v>40</v>
      </c>
      <c r="D5416">
        <v>5.8523540000000001</v>
      </c>
      <c r="E5416">
        <v>0.46798119999999999</v>
      </c>
      <c r="F5416" t="s">
        <v>42</v>
      </c>
      <c r="G5416">
        <v>-351.05119999999999</v>
      </c>
      <c r="H5416" s="1">
        <v>-3.8953819999999999E-6</v>
      </c>
      <c r="I5416">
        <v>19.894649999999999</v>
      </c>
      <c r="J5416">
        <v>-380.89699999999999</v>
      </c>
      <c r="K5416">
        <v>1.109378</v>
      </c>
      <c r="L5416">
        <v>16.765470000000001</v>
      </c>
      <c r="M5416">
        <v>0.99744449999999996</v>
      </c>
      <c r="N5416">
        <v>0</v>
      </c>
      <c r="O5416">
        <v>7.05403E-2</v>
      </c>
      <c r="P5416">
        <v>0.99951080000000003</v>
      </c>
      <c r="Q5416">
        <v>-2.4724679999999999E-2</v>
      </c>
      <c r="R5416">
        <v>1.9160940000000001E-2</v>
      </c>
      <c r="S5416">
        <v>2.9925229999999998</v>
      </c>
      <c r="T5416">
        <v>-0.1104784</v>
      </c>
      <c r="U5416">
        <v>0.3129883</v>
      </c>
      <c r="V5416">
        <v>5.1381200000000002E-2</v>
      </c>
      <c r="W5416">
        <v>-1.3451640000000001E-2</v>
      </c>
      <c r="X5416">
        <v>0.99858849999999999</v>
      </c>
      <c r="Y5416">
        <v>-3.3626169999999997E-2</v>
      </c>
      <c r="Z5416">
        <v>-1.9736100000000002E-3</v>
      </c>
      <c r="AA5416">
        <v>0.99943249999999995</v>
      </c>
      <c r="AB5416">
        <v>24</v>
      </c>
      <c r="AC5416">
        <v>29.845800000000001</v>
      </c>
      <c r="AD5416">
        <v>-1.109381895382</v>
      </c>
      <c r="AE5416">
        <v>3.1291799999999901</v>
      </c>
      <c r="AF5416">
        <v>-1.0145305098370301</v>
      </c>
      <c r="AG5416">
        <v>-1.109381895382</v>
      </c>
      <c r="AH5416">
        <v>29.951257957091499</v>
      </c>
      <c r="AI5416">
        <v>92.120026910171902</v>
      </c>
      <c r="AJ5416">
        <v>91.940022031397405</v>
      </c>
      <c r="AK5416">
        <v>29.988962195405001</v>
      </c>
      <c r="AL5416">
        <v>90.7707454575322</v>
      </c>
      <c r="AM5416">
        <v>87.054510427005596</v>
      </c>
      <c r="AN5416">
        <v>0.99999998333218898</v>
      </c>
    </row>
    <row r="5417" spans="1:40" x14ac:dyDescent="0.25">
      <c r="A5417" t="str">
        <f>"20190312161424735"</f>
        <v>20190312161424735</v>
      </c>
      <c r="B5417" t="str">
        <f>"1552378464732249"</f>
        <v>1552378464732249</v>
      </c>
      <c r="C5417" t="s">
        <v>40</v>
      </c>
      <c r="D5417">
        <v>5.9364840000000001</v>
      </c>
      <c r="E5417">
        <v>0.4677134</v>
      </c>
      <c r="F5417" t="s">
        <v>42</v>
      </c>
      <c r="G5417">
        <v>-350.43119999999999</v>
      </c>
      <c r="H5417" s="1">
        <v>-4.1786720000000004E-6</v>
      </c>
      <c r="I5417">
        <v>19.959610000000001</v>
      </c>
      <c r="J5417">
        <v>-380.7672</v>
      </c>
      <c r="K5417">
        <v>1.10948</v>
      </c>
      <c r="L5417">
        <v>16.774049999999999</v>
      </c>
      <c r="M5417">
        <v>0.99751129999999999</v>
      </c>
      <c r="N5417">
        <v>0</v>
      </c>
      <c r="O5417">
        <v>6.9563639999999996E-2</v>
      </c>
      <c r="P5417">
        <v>0.99952319999999995</v>
      </c>
      <c r="Q5417">
        <v>-2.4808480000000001E-2</v>
      </c>
      <c r="R5417">
        <v>1.8389659999999999E-2</v>
      </c>
      <c r="S5417">
        <v>2.9927980000000001</v>
      </c>
      <c r="T5417">
        <v>-0.1089796</v>
      </c>
      <c r="U5417">
        <v>0.3137817</v>
      </c>
      <c r="V5417">
        <v>5.1177510000000002E-2</v>
      </c>
      <c r="W5417">
        <v>-1.338466E-2</v>
      </c>
      <c r="X5417">
        <v>0.99859989999999998</v>
      </c>
      <c r="Y5417">
        <v>-3.4855089999999998E-2</v>
      </c>
      <c r="Z5417">
        <v>-1.8890140000000001E-3</v>
      </c>
      <c r="AA5417">
        <v>0.99939060000000002</v>
      </c>
      <c r="AB5417">
        <v>24</v>
      </c>
      <c r="AC5417">
        <v>30.335999999999999</v>
      </c>
      <c r="AD5417">
        <v>-1.109484178672</v>
      </c>
      <c r="AE5417">
        <v>3.1855600000000002</v>
      </c>
      <c r="AF5417">
        <v>-1.0660096819746001</v>
      </c>
      <c r="AG5417">
        <v>-1.109484178672</v>
      </c>
      <c r="AH5417">
        <v>30.443838106862898</v>
      </c>
      <c r="AI5417">
        <v>92.085865689601803</v>
      </c>
      <c r="AJ5417">
        <v>92.005427549870703</v>
      </c>
      <c r="AK5417">
        <v>30.482693622146702</v>
      </c>
      <c r="AL5417">
        <v>90.766907409847803</v>
      </c>
      <c r="AM5417">
        <v>87.066200196789794</v>
      </c>
      <c r="AN5417">
        <v>1.00000002346656</v>
      </c>
    </row>
    <row r="5418" spans="1:40" x14ac:dyDescent="0.25">
      <c r="A5418" t="str">
        <f>"20190312161424754"</f>
        <v>20190312161424754</v>
      </c>
      <c r="B5418" t="str">
        <f>"1552378464751769"</f>
        <v>1552378464751769</v>
      </c>
      <c r="C5418" t="s">
        <v>40</v>
      </c>
      <c r="D5418">
        <v>5.8274910000000002</v>
      </c>
      <c r="E5418">
        <v>0.43637140000000002</v>
      </c>
      <c r="F5418" t="s">
        <v>42</v>
      </c>
      <c r="G5418">
        <v>-349.84820000000002</v>
      </c>
      <c r="H5418" s="1">
        <v>-1.5307359999999999E-7</v>
      </c>
      <c r="I5418">
        <v>20.013269999999999</v>
      </c>
      <c r="J5418">
        <v>-380.55810000000002</v>
      </c>
      <c r="K5418">
        <v>1.1094930000000001</v>
      </c>
      <c r="L5418">
        <v>16.787689999999898</v>
      </c>
      <c r="M5418">
        <v>0.99761339999999998</v>
      </c>
      <c r="N5418">
        <v>0</v>
      </c>
      <c r="O5418">
        <v>6.8075789999999997E-2</v>
      </c>
      <c r="P5418">
        <v>0.99953429999999999</v>
      </c>
      <c r="Q5418">
        <v>-2.5073829999999998E-2</v>
      </c>
      <c r="R5418">
        <v>1.7400530000000001E-2</v>
      </c>
      <c r="S5418">
        <v>2.9929809999999999</v>
      </c>
      <c r="T5418">
        <v>-0.10739849999999999</v>
      </c>
      <c r="U5418">
        <v>0.31356810000000002</v>
      </c>
      <c r="V5418">
        <v>5.0678040000000001E-2</v>
      </c>
      <c r="W5418">
        <v>-1.358491E-2</v>
      </c>
      <c r="X5418">
        <v>0.99862269999999997</v>
      </c>
      <c r="Y5418">
        <v>-3.6266220000000002E-2</v>
      </c>
      <c r="Z5418">
        <v>-1.7832410000000001E-3</v>
      </c>
      <c r="AA5418">
        <v>0.99934060000000002</v>
      </c>
      <c r="AB5418">
        <v>23</v>
      </c>
      <c r="AC5418">
        <v>30.709900000000001</v>
      </c>
      <c r="AD5418">
        <v>-1.1094931530736001</v>
      </c>
      <c r="AE5418">
        <v>3.2255799999999999</v>
      </c>
      <c r="AF5418">
        <v>-1.1259026622408099</v>
      </c>
      <c r="AG5418">
        <v>-1.1094931530736001</v>
      </c>
      <c r="AH5418">
        <v>30.818460000702402</v>
      </c>
      <c r="AI5418">
        <v>92.060437404079494</v>
      </c>
      <c r="AJ5418">
        <v>92.092278252671704</v>
      </c>
      <c r="AK5418">
        <v>30.858971283509302</v>
      </c>
      <c r="AL5418">
        <v>90.778381908022098</v>
      </c>
      <c r="AM5418">
        <v>87.094849716649193</v>
      </c>
      <c r="AN5418">
        <v>1.00000005523661</v>
      </c>
    </row>
    <row r="5419" spans="1:40" x14ac:dyDescent="0.25">
      <c r="A5419" t="str">
        <f>"20190312161424765"</f>
        <v>20190312161424765</v>
      </c>
      <c r="B5419" t="str">
        <f>"1552378464761529"</f>
        <v>1552378464761529</v>
      </c>
      <c r="C5419" t="s">
        <v>40</v>
      </c>
      <c r="D5419">
        <v>5.8265060000000002</v>
      </c>
      <c r="E5419">
        <v>0.43437680000000001</v>
      </c>
      <c r="F5419" t="s">
        <v>96</v>
      </c>
      <c r="G5419">
        <v>-361.8168</v>
      </c>
      <c r="H5419" s="1">
        <v>-4.0548130000000003E-6</v>
      </c>
      <c r="I5419">
        <v>20.315809999999999</v>
      </c>
      <c r="J5419">
        <v>-380.43819999999999</v>
      </c>
      <c r="K5419">
        <v>1.1094109999999999</v>
      </c>
      <c r="L5419">
        <v>16.795439999999999</v>
      </c>
      <c r="M5419">
        <v>0.99766060000000001</v>
      </c>
      <c r="N5419">
        <v>0</v>
      </c>
      <c r="O5419">
        <v>6.7389630000000006E-2</v>
      </c>
      <c r="P5419">
        <v>0.99953709999999996</v>
      </c>
      <c r="Q5419">
        <v>-2.54075E-2</v>
      </c>
      <c r="R5419">
        <v>1.674931E-2</v>
      </c>
      <c r="S5419">
        <v>2.9871829999999999</v>
      </c>
      <c r="T5419">
        <v>-0.1768429</v>
      </c>
      <c r="U5419">
        <v>0.56234740000000005</v>
      </c>
      <c r="V5419">
        <v>5.0639799999999999E-2</v>
      </c>
      <c r="W5419">
        <v>-1.397295E-2</v>
      </c>
      <c r="X5419">
        <v>0.99861929999999999</v>
      </c>
      <c r="Y5419">
        <v>-0.1182666</v>
      </c>
      <c r="Z5419">
        <v>-4.7593469999999998E-4</v>
      </c>
      <c r="AA5419">
        <v>0.99298180000000003</v>
      </c>
      <c r="AB5419">
        <v>24</v>
      </c>
      <c r="AC5419">
        <v>18.621399999999898</v>
      </c>
      <c r="AD5419">
        <v>-1.109415054813</v>
      </c>
      <c r="AE5419">
        <v>3.5203700000000002</v>
      </c>
      <c r="AF5419">
        <v>-2.2496844982605602</v>
      </c>
      <c r="AG5419">
        <v>-1.109415054813</v>
      </c>
      <c r="AH5419">
        <v>18.752052028763099</v>
      </c>
      <c r="AI5419">
        <v>93.361754835663504</v>
      </c>
      <c r="AJ5419">
        <v>96.841081392621206</v>
      </c>
      <c r="AK5419">
        <v>18.919073375696801</v>
      </c>
      <c r="AL5419">
        <v>90.800617060664393</v>
      </c>
      <c r="AM5419">
        <v>87.097028230659006</v>
      </c>
      <c r="AN5419">
        <v>1.00000006950411</v>
      </c>
    </row>
    <row r="5420" spans="1:40" x14ac:dyDescent="0.25">
      <c r="A5420" t="str">
        <f>"20190312161424778"</f>
        <v>20190312161424778</v>
      </c>
      <c r="B5420" t="str">
        <f>"1552378464772266"</f>
        <v>1552378464772266</v>
      </c>
      <c r="C5420" t="s">
        <v>40</v>
      </c>
      <c r="D5420">
        <v>5.8204039999999999</v>
      </c>
      <c r="E5420">
        <v>0.43342989999999998</v>
      </c>
      <c r="F5420" t="s">
        <v>96</v>
      </c>
      <c r="G5420">
        <v>-360.07940000000002</v>
      </c>
      <c r="H5420" s="1">
        <v>-4.8928650000000003E-6</v>
      </c>
      <c r="I5420">
        <v>20.720500000000001</v>
      </c>
      <c r="J5420">
        <v>-380.31240000000003</v>
      </c>
      <c r="K5420">
        <v>1.109305</v>
      </c>
      <c r="L5420">
        <v>16.80341</v>
      </c>
      <c r="M5420">
        <v>0.997695</v>
      </c>
      <c r="N5420">
        <v>0</v>
      </c>
      <c r="O5420">
        <v>6.6887299999999997E-2</v>
      </c>
      <c r="P5420">
        <v>0.99953840000000005</v>
      </c>
      <c r="Q5420">
        <v>-2.5451439999999999E-2</v>
      </c>
      <c r="R5420">
        <v>1.659973E-2</v>
      </c>
      <c r="S5420">
        <v>2.9875790000000002</v>
      </c>
      <c r="T5420">
        <v>-0.16280310000000001</v>
      </c>
      <c r="U5420">
        <v>0.57598879999999997</v>
      </c>
      <c r="V5420">
        <v>5.0284389999999998E-2</v>
      </c>
      <c r="W5420">
        <v>-1.408454E-2</v>
      </c>
      <c r="X5420">
        <v>0.99863559999999996</v>
      </c>
      <c r="Y5420">
        <v>-0.12312190000000001</v>
      </c>
      <c r="Z5420">
        <v>-2.7986269999999999E-4</v>
      </c>
      <c r="AA5420">
        <v>0.99239149999999998</v>
      </c>
      <c r="AB5420">
        <v>24</v>
      </c>
      <c r="AC5420">
        <v>20.233000000000001</v>
      </c>
      <c r="AD5420">
        <v>-1.109309892865</v>
      </c>
      <c r="AE5420">
        <v>3.91709</v>
      </c>
      <c r="AF5420">
        <v>-2.5475163129932801</v>
      </c>
      <c r="AG5420">
        <v>-1.109309892865</v>
      </c>
      <c r="AH5420">
        <v>20.390624363205099</v>
      </c>
      <c r="AI5420">
        <v>93.090013664543903</v>
      </c>
      <c r="AJ5420">
        <v>97.121387178068801</v>
      </c>
      <c r="AK5420">
        <v>20.579066298661601</v>
      </c>
      <c r="AL5420">
        <v>90.8070113994617</v>
      </c>
      <c r="AM5420">
        <v>87.117414913106899</v>
      </c>
      <c r="AN5420">
        <v>0.99999997786602102</v>
      </c>
    </row>
    <row r="5421" spans="1:40" x14ac:dyDescent="0.25">
      <c r="A5421" t="str">
        <f>"20190312161424790"</f>
        <v>20190312161424790</v>
      </c>
      <c r="B5421" t="str">
        <f>"1552378464782026"</f>
        <v>1552378464782026</v>
      </c>
      <c r="C5421" t="s">
        <v>40</v>
      </c>
      <c r="D5421">
        <v>5.8313959999999998</v>
      </c>
      <c r="E5421">
        <v>0.43257190000000001</v>
      </c>
      <c r="F5421" t="s">
        <v>42</v>
      </c>
      <c r="G5421">
        <v>-359.10509999999999</v>
      </c>
      <c r="H5421" s="1">
        <v>-7.1864519999999899E-7</v>
      </c>
      <c r="I5421">
        <v>20.940729999999999</v>
      </c>
      <c r="J5421">
        <v>-380.18090000000001</v>
      </c>
      <c r="K5421">
        <v>1.109197</v>
      </c>
      <c r="L5421">
        <v>16.81165</v>
      </c>
      <c r="M5421">
        <v>0.99772570000000005</v>
      </c>
      <c r="N5421">
        <v>0</v>
      </c>
      <c r="O5421">
        <v>6.64381E-2</v>
      </c>
      <c r="P5421">
        <v>0.99954869999999996</v>
      </c>
      <c r="Q5421">
        <v>-2.529783E-2</v>
      </c>
      <c r="R5421">
        <v>1.6193840000000001E-2</v>
      </c>
      <c r="S5421">
        <v>2.9877319999999998</v>
      </c>
      <c r="T5421">
        <v>-0.15628120000000001</v>
      </c>
      <c r="U5421">
        <v>0.58288569999999995</v>
      </c>
      <c r="V5421">
        <v>5.0238230000000002E-2</v>
      </c>
      <c r="W5421">
        <v>-1.399799E-2</v>
      </c>
      <c r="X5421">
        <v>0.99863919999999995</v>
      </c>
      <c r="Y5421">
        <v>-0.12576899999999999</v>
      </c>
      <c r="Z5421">
        <v>-1.7683999999999999E-4</v>
      </c>
      <c r="AA5421">
        <v>0.99205949999999998</v>
      </c>
      <c r="AB5421">
        <v>24</v>
      </c>
      <c r="AC5421">
        <v>21.075800000000001</v>
      </c>
      <c r="AD5421">
        <v>-1.1091977186452</v>
      </c>
      <c r="AE5421">
        <v>4.1290799999999903</v>
      </c>
      <c r="AF5421">
        <v>-2.7123939917969002</v>
      </c>
      <c r="AG5421">
        <v>-1.1091977186452</v>
      </c>
      <c r="AH5421">
        <v>21.246899477771599</v>
      </c>
      <c r="AI5421">
        <v>92.964407471351194</v>
      </c>
      <c r="AJ5421">
        <v>97.275068230597697</v>
      </c>
      <c r="AK5421">
        <v>21.448033433494899</v>
      </c>
      <c r="AL5421">
        <v>90.802051912780499</v>
      </c>
      <c r="AM5421">
        <v>87.120066972497895</v>
      </c>
      <c r="AN5421">
        <v>1.0000000376271001</v>
      </c>
    </row>
    <row r="5422" spans="1:40" x14ac:dyDescent="0.25">
      <c r="A5422" t="str">
        <f>"20190312161424802"</f>
        <v>20190312161424802</v>
      </c>
      <c r="B5422" t="str">
        <f>"1552378464791785"</f>
        <v>1552378464791785</v>
      </c>
      <c r="C5422" t="s">
        <v>40</v>
      </c>
      <c r="D5422">
        <v>5.7489509999999999</v>
      </c>
      <c r="E5422">
        <v>0.43191819999999997</v>
      </c>
      <c r="F5422" t="s">
        <v>42</v>
      </c>
      <c r="G5422">
        <v>-357.79360000000003</v>
      </c>
      <c r="H5422" s="1">
        <v>-1.3553449999999999E-6</v>
      </c>
      <c r="I5422">
        <v>21.219139999999999</v>
      </c>
      <c r="J5422">
        <v>-380.05</v>
      </c>
      <c r="K5422">
        <v>1.1091249999999999</v>
      </c>
      <c r="L5422">
        <v>16.819700000000001</v>
      </c>
      <c r="M5422">
        <v>0.997749</v>
      </c>
      <c r="N5422">
        <v>0</v>
      </c>
      <c r="O5422">
        <v>6.6092590000000007E-2</v>
      </c>
      <c r="P5422">
        <v>0.99954659999999995</v>
      </c>
      <c r="Q5422">
        <v>-2.5432630000000001E-2</v>
      </c>
      <c r="R5422">
        <v>1.6118049999999998E-2</v>
      </c>
      <c r="S5422">
        <v>2.9880680000000002</v>
      </c>
      <c r="T5422">
        <v>-0.1480466</v>
      </c>
      <c r="U5422">
        <v>0.58828740000000002</v>
      </c>
      <c r="V5422">
        <v>4.9965830000000003E-2</v>
      </c>
      <c r="W5422">
        <v>-1.4162889999999999E-2</v>
      </c>
      <c r="X5422">
        <v>0.9986505</v>
      </c>
      <c r="Y5422">
        <v>-0.12782360000000001</v>
      </c>
      <c r="Z5422">
        <v>-1.0018910000000001E-4</v>
      </c>
      <c r="AA5422">
        <v>0.99179689999999998</v>
      </c>
      <c r="AB5422">
        <v>24</v>
      </c>
      <c r="AC5422">
        <v>22.2563999999999</v>
      </c>
      <c r="AD5422">
        <v>-1.1091263553449999</v>
      </c>
      <c r="AE5422">
        <v>4.3994399999999896</v>
      </c>
      <c r="AF5422">
        <v>-2.9117822842918901</v>
      </c>
      <c r="AG5422">
        <v>-1.1091263553449999</v>
      </c>
      <c r="AH5422">
        <v>22.4448748504288</v>
      </c>
      <c r="AI5422">
        <v>92.805530606047995</v>
      </c>
      <c r="AJ5422">
        <v>97.391720604739803</v>
      </c>
      <c r="AK5422">
        <v>22.660120131955299</v>
      </c>
      <c r="AL5422">
        <v>90.811500956668297</v>
      </c>
      <c r="AM5422">
        <v>87.135688727602002</v>
      </c>
      <c r="AN5422">
        <v>0.99999999638549497</v>
      </c>
    </row>
    <row r="5423" spans="1:40" x14ac:dyDescent="0.25">
      <c r="A5423" t="str">
        <f>"20190312161424814"</f>
        <v>20190312161424814</v>
      </c>
      <c r="B5423" t="str">
        <f>"1552378464801544"</f>
        <v>1552378464801544</v>
      </c>
      <c r="C5423" t="s">
        <v>40</v>
      </c>
      <c r="D5423">
        <v>5.8269149999999996</v>
      </c>
      <c r="E5423">
        <v>0.43119609999999903</v>
      </c>
      <c r="F5423" t="s">
        <v>42</v>
      </c>
      <c r="G5423">
        <v>-355.98489999999998</v>
      </c>
      <c r="H5423" s="1">
        <v>-2.2310209999999998E-6</v>
      </c>
      <c r="I5423">
        <v>21.594000000000001</v>
      </c>
      <c r="J5423">
        <v>-379.93389999999999</v>
      </c>
      <c r="K5423">
        <v>1.1090819999999999</v>
      </c>
      <c r="L5423">
        <v>16.826809999999998</v>
      </c>
      <c r="M5423">
        <v>0.99777020000000005</v>
      </c>
      <c r="N5423">
        <v>0</v>
      </c>
      <c r="O5423">
        <v>6.5771769999999993E-2</v>
      </c>
      <c r="P5423">
        <v>0.99955289999999997</v>
      </c>
      <c r="Q5423">
        <v>-2.5139680000000001E-2</v>
      </c>
      <c r="R5423">
        <v>1.6180460000000001E-2</v>
      </c>
      <c r="S5423">
        <v>2.9883120000000001</v>
      </c>
      <c r="T5423">
        <v>-0.1377273</v>
      </c>
      <c r="U5423">
        <v>0.59286499999999998</v>
      </c>
      <c r="V5423">
        <v>4.9582510000000003E-2</v>
      </c>
      <c r="W5423">
        <v>-1.388762E-2</v>
      </c>
      <c r="X5423">
        <v>0.99867349999999999</v>
      </c>
      <c r="Y5423">
        <v>-0.12959680000000001</v>
      </c>
      <c r="Z5423" s="1">
        <v>-3.8141379999999999E-5</v>
      </c>
      <c r="AA5423">
        <v>0.99156679999999997</v>
      </c>
      <c r="AB5423">
        <v>24</v>
      </c>
      <c r="AC5423">
        <v>23.949000000000002</v>
      </c>
      <c r="AD5423">
        <v>-1.1090842310209901</v>
      </c>
      <c r="AE5423">
        <v>4.7671899999999896</v>
      </c>
      <c r="AF5423">
        <v>-3.17504693963203</v>
      </c>
      <c r="AG5423">
        <v>-1.1090842310209901</v>
      </c>
      <c r="AH5423">
        <v>24.160861623764202</v>
      </c>
      <c r="AI5423">
        <v>92.605896542227796</v>
      </c>
      <c r="AJ5423">
        <v>97.486500982824694</v>
      </c>
      <c r="AK5423">
        <v>24.3938153084557</v>
      </c>
      <c r="AL5423">
        <v>90.795727572762502</v>
      </c>
      <c r="AM5423">
        <v>87.157691881037593</v>
      </c>
      <c r="AN5423">
        <v>1.0000000254446999</v>
      </c>
    </row>
    <row r="5424" spans="1:40" x14ac:dyDescent="0.25">
      <c r="A5424" t="str">
        <f>"20190312161424832"</f>
        <v>20190312161424832</v>
      </c>
      <c r="B5424" t="str">
        <f>"1552378464822058"</f>
        <v>1552378464822058</v>
      </c>
      <c r="C5424" t="s">
        <v>40</v>
      </c>
      <c r="D5424">
        <v>5.808446</v>
      </c>
      <c r="E5424">
        <v>0.43042910000000001</v>
      </c>
      <c r="F5424" t="s">
        <v>42</v>
      </c>
      <c r="G5424">
        <v>-354.14580000000001</v>
      </c>
      <c r="H5424" s="1">
        <v>-3.126098E-6</v>
      </c>
      <c r="I5424">
        <v>21.992830000000001</v>
      </c>
      <c r="J5424">
        <v>-379.72930000000002</v>
      </c>
      <c r="K5424">
        <v>1.109076</v>
      </c>
      <c r="L5424">
        <v>16.839200000000002</v>
      </c>
      <c r="M5424">
        <v>0.99781189999999997</v>
      </c>
      <c r="N5424">
        <v>0</v>
      </c>
      <c r="O5424">
        <v>6.5142179999999994E-2</v>
      </c>
      <c r="P5424">
        <v>0.99954449999999995</v>
      </c>
      <c r="Q5424">
        <v>-2.551115E-2</v>
      </c>
      <c r="R5424">
        <v>1.6137120000000001E-2</v>
      </c>
      <c r="S5424">
        <v>2.9884029999999999</v>
      </c>
      <c r="T5424">
        <v>-0.12852420000000001</v>
      </c>
      <c r="U5424">
        <v>0.59866330000000001</v>
      </c>
      <c r="V5424">
        <v>4.8994429999999999E-2</v>
      </c>
      <c r="W5424">
        <v>-1.427792E-2</v>
      </c>
      <c r="X5424">
        <v>0.99869699999999995</v>
      </c>
      <c r="Y5424">
        <v>-0.1320723</v>
      </c>
      <c r="Z5424" s="1">
        <v>4.3812669999999999E-5</v>
      </c>
      <c r="AA5424">
        <v>0.99124009999999996</v>
      </c>
      <c r="AB5424">
        <v>24</v>
      </c>
      <c r="AC5424">
        <v>25.583500000000001</v>
      </c>
      <c r="AD5424">
        <v>-1.109079126098</v>
      </c>
      <c r="AE5424">
        <v>5.1536299999999899</v>
      </c>
      <c r="AF5424">
        <v>-3.4697441600014698</v>
      </c>
      <c r="AG5424">
        <v>-1.109079126098</v>
      </c>
      <c r="AH5424">
        <v>25.818264571710799</v>
      </c>
      <c r="AI5424">
        <v>92.437861525751401</v>
      </c>
      <c r="AJ5424">
        <v>97.654180271488698</v>
      </c>
      <c r="AK5424">
        <v>26.0739710542653</v>
      </c>
      <c r="AL5424">
        <v>90.8180923492544</v>
      </c>
      <c r="AM5424">
        <v>87.191415138041293</v>
      </c>
      <c r="AN5424">
        <v>1.00000000548977</v>
      </c>
    </row>
    <row r="5425" spans="1:40" x14ac:dyDescent="0.25">
      <c r="A5425" t="str">
        <f>"20190312161424845"</f>
        <v>20190312161424845</v>
      </c>
      <c r="B5425" t="str">
        <f>"1552378464841561"</f>
        <v>1552378464841561</v>
      </c>
      <c r="C5425" t="s">
        <v>40</v>
      </c>
      <c r="D5425">
        <v>5.7945270000000004</v>
      </c>
      <c r="E5425">
        <v>0.42999219999999999</v>
      </c>
      <c r="F5425" t="s">
        <v>42</v>
      </c>
      <c r="G5425">
        <v>-352.03579999999999</v>
      </c>
      <c r="H5425" s="1">
        <v>-4.0840820000000003E-6</v>
      </c>
      <c r="I5425">
        <v>22.439810000000001</v>
      </c>
      <c r="J5425">
        <v>-379.59809999999999</v>
      </c>
      <c r="K5425">
        <v>1.1091009999999999</v>
      </c>
      <c r="L5425">
        <v>16.847110000000001</v>
      </c>
      <c r="M5425">
        <v>0.99784309999999998</v>
      </c>
      <c r="N5425">
        <v>0</v>
      </c>
      <c r="O5425">
        <v>6.4665449999999999E-2</v>
      </c>
      <c r="P5425">
        <v>0.99954259999999995</v>
      </c>
      <c r="Q5425">
        <v>-2.5697950000000001E-2</v>
      </c>
      <c r="R5425">
        <v>1.5947059999999999E-2</v>
      </c>
      <c r="S5425">
        <v>2.988556</v>
      </c>
      <c r="T5425">
        <v>-0.1196868</v>
      </c>
      <c r="U5425">
        <v>0.60440059999999995</v>
      </c>
      <c r="V5425">
        <v>4.8707720000000003E-2</v>
      </c>
      <c r="W5425">
        <v>-1.448286E-2</v>
      </c>
      <c r="X5425">
        <v>0.99870809999999999</v>
      </c>
      <c r="Y5425">
        <v>-0.1343704</v>
      </c>
      <c r="Z5425">
        <v>1.051752E-4</v>
      </c>
      <c r="AA5425">
        <v>0.99093120000000001</v>
      </c>
      <c r="AB5425">
        <v>24</v>
      </c>
      <c r="AC5425">
        <v>27.5623</v>
      </c>
      <c r="AD5425">
        <v>-1.109105084082</v>
      </c>
      <c r="AE5425">
        <v>5.5926999999999998</v>
      </c>
      <c r="AF5425">
        <v>-3.7926523844667002</v>
      </c>
      <c r="AG5425">
        <v>-1.109105084082</v>
      </c>
      <c r="AH5425">
        <v>27.823011370239499</v>
      </c>
      <c r="AI5425">
        <v>92.261870002428694</v>
      </c>
      <c r="AJ5425">
        <v>97.762346493612995</v>
      </c>
      <c r="AK5425">
        <v>28.102211441546999</v>
      </c>
      <c r="AL5425">
        <v>90.829835738474799</v>
      </c>
      <c r="AM5425">
        <v>87.207855565469302</v>
      </c>
      <c r="AN5425">
        <v>1.0000000321134901</v>
      </c>
    </row>
    <row r="5426" spans="1:40" x14ac:dyDescent="0.25">
      <c r="A5426" t="str">
        <f>"20190312161424857"</f>
        <v>20190312161424857</v>
      </c>
      <c r="B5426" t="str">
        <f>"1552378464852297"</f>
        <v>1552378464852297</v>
      </c>
      <c r="C5426" t="s">
        <v>40</v>
      </c>
      <c r="D5426">
        <v>5.7861989999999999</v>
      </c>
      <c r="E5426">
        <v>0.42984359999999999</v>
      </c>
      <c r="F5426" t="s">
        <v>42</v>
      </c>
      <c r="G5426">
        <v>-350.3784</v>
      </c>
      <c r="H5426" s="1">
        <v>-4.7089510000000003E-6</v>
      </c>
      <c r="I5426">
        <v>22.782800000000002</v>
      </c>
      <c r="J5426">
        <v>-379.4812</v>
      </c>
      <c r="K5426">
        <v>1.1091299999999999</v>
      </c>
      <c r="L5426">
        <v>16.85416</v>
      </c>
      <c r="M5426">
        <v>0.99787349999999997</v>
      </c>
      <c r="N5426">
        <v>0</v>
      </c>
      <c r="O5426">
        <v>6.420004E-2</v>
      </c>
      <c r="P5426">
        <v>0.99954620000000005</v>
      </c>
      <c r="Q5426">
        <v>-2.5808029999999999E-2</v>
      </c>
      <c r="R5426">
        <v>1.553124E-2</v>
      </c>
      <c r="S5426">
        <v>2.9887700000000001</v>
      </c>
      <c r="T5426">
        <v>-0.11344600000000001</v>
      </c>
      <c r="U5426">
        <v>0.6071472</v>
      </c>
      <c r="V5426">
        <v>4.8658239999999998E-2</v>
      </c>
      <c r="W5426">
        <v>-1.4616499999999999E-2</v>
      </c>
      <c r="X5426">
        <v>0.9987085</v>
      </c>
      <c r="Y5426">
        <v>-0.1356977</v>
      </c>
      <c r="Z5426">
        <v>1.4202179999999999E-4</v>
      </c>
      <c r="AA5426">
        <v>0.99075029999999997</v>
      </c>
      <c r="AB5426">
        <v>24</v>
      </c>
      <c r="AC5426">
        <v>29.102799999999998</v>
      </c>
      <c r="AD5426">
        <v>-1.109134708951</v>
      </c>
      <c r="AE5426">
        <v>5.9286399999999997</v>
      </c>
      <c r="AF5426">
        <v>-4.0422513345327502</v>
      </c>
      <c r="AG5426">
        <v>-1.109134708951</v>
      </c>
      <c r="AH5426">
        <v>29.3824219864897</v>
      </c>
      <c r="AI5426">
        <v>92.141635574067493</v>
      </c>
      <c r="AJ5426">
        <v>97.833226223810598</v>
      </c>
      <c r="AK5426">
        <v>29.679903932564901</v>
      </c>
      <c r="AL5426">
        <v>90.837493611189004</v>
      </c>
      <c r="AM5426">
        <v>87.210688614160901</v>
      </c>
      <c r="AN5426">
        <v>0.99999996718219797</v>
      </c>
    </row>
    <row r="5427" spans="1:40" x14ac:dyDescent="0.25">
      <c r="A5427" t="str">
        <f>"20190312161424867"</f>
        <v>20190312161424867</v>
      </c>
      <c r="B5427" t="str">
        <f>"1552378464862056"</f>
        <v>1552378464862056</v>
      </c>
      <c r="C5427" t="s">
        <v>40</v>
      </c>
      <c r="D5427">
        <v>5.8568610000000003</v>
      </c>
      <c r="E5427">
        <v>0.42973260000000002</v>
      </c>
      <c r="F5427" t="s">
        <v>42</v>
      </c>
      <c r="G5427">
        <v>-349.77589999999998</v>
      </c>
      <c r="H5427" s="1">
        <v>-9.4855050000000002E-7</v>
      </c>
      <c r="I5427">
        <v>22.88636</v>
      </c>
      <c r="J5427">
        <v>-379.35789999999997</v>
      </c>
      <c r="K5427">
        <v>1.1091610000000001</v>
      </c>
      <c r="L5427">
        <v>16.86157</v>
      </c>
      <c r="M5427">
        <v>0.99790630000000002</v>
      </c>
      <c r="N5427">
        <v>0</v>
      </c>
      <c r="O5427">
        <v>6.3694840000000003E-2</v>
      </c>
      <c r="P5427">
        <v>0.99955190000000005</v>
      </c>
      <c r="Q5427">
        <v>-2.5737659999999999E-2</v>
      </c>
      <c r="R5427">
        <v>1.529786E-2</v>
      </c>
      <c r="S5427">
        <v>2.9890750000000001</v>
      </c>
      <c r="T5427">
        <v>-0.11160539999999899</v>
      </c>
      <c r="U5427">
        <v>0.60699459999999905</v>
      </c>
      <c r="V5427">
        <v>4.8386789999999999E-2</v>
      </c>
      <c r="W5427">
        <v>-1.457307E-2</v>
      </c>
      <c r="X5427">
        <v>0.99872240000000001</v>
      </c>
      <c r="Y5427">
        <v>-0.1361319</v>
      </c>
      <c r="Z5427">
        <v>1.663065E-4</v>
      </c>
      <c r="AA5427">
        <v>0.99069070000000004</v>
      </c>
      <c r="AB5427">
        <v>24</v>
      </c>
      <c r="AC5427">
        <v>29.581999999999901</v>
      </c>
      <c r="AD5427">
        <v>-1.1091619485505</v>
      </c>
      <c r="AE5427">
        <v>6.0247899999999897</v>
      </c>
      <c r="AF5427">
        <v>-4.1226502483576404</v>
      </c>
      <c r="AG5427">
        <v>-1.1091619485505</v>
      </c>
      <c r="AH5427">
        <v>29.865382401234399</v>
      </c>
      <c r="AI5427">
        <v>92.106952794539694</v>
      </c>
      <c r="AJ5427">
        <v>97.859501780731406</v>
      </c>
      <c r="AK5427">
        <v>30.168983265439302</v>
      </c>
      <c r="AL5427">
        <v>90.835004926160906</v>
      </c>
      <c r="AM5427">
        <v>87.226263536466007</v>
      </c>
      <c r="AN5427">
        <v>1.00000004403874</v>
      </c>
    </row>
    <row r="5428" spans="1:40" x14ac:dyDescent="0.25">
      <c r="A5428" t="str">
        <f>"20190312161424891"</f>
        <v>20190312161424891</v>
      </c>
      <c r="B5428" t="str">
        <f>"1552378464882553"</f>
        <v>1552378464882553</v>
      </c>
      <c r="C5428" t="s">
        <v>40</v>
      </c>
      <c r="D5428">
        <v>5.8035160000000001</v>
      </c>
      <c r="E5428">
        <v>0.42948330000000001</v>
      </c>
      <c r="F5428" t="s">
        <v>42</v>
      </c>
      <c r="G5428">
        <v>-348.96120000000002</v>
      </c>
      <c r="H5428" s="1">
        <v>-1.337741E-6</v>
      </c>
      <c r="I5428">
        <v>23.035430000000002</v>
      </c>
      <c r="J5428">
        <v>-379.11950000000002</v>
      </c>
      <c r="K5428">
        <v>1.1092</v>
      </c>
      <c r="L5428">
        <v>16.87576</v>
      </c>
      <c r="M5428">
        <v>0.99796830000000003</v>
      </c>
      <c r="N5428">
        <v>0</v>
      </c>
      <c r="O5428">
        <v>6.2723580000000001E-2</v>
      </c>
      <c r="P5428">
        <v>0.99956789999999995</v>
      </c>
      <c r="Q5428">
        <v>-2.5318469999999999E-2</v>
      </c>
      <c r="R5428">
        <v>1.4935789999999999E-2</v>
      </c>
      <c r="S5428">
        <v>2.9892270000000001</v>
      </c>
      <c r="T5428">
        <v>-0.1090752</v>
      </c>
      <c r="U5428">
        <v>0.6071472</v>
      </c>
      <c r="V5428">
        <v>4.7779009999999997E-2</v>
      </c>
      <c r="W5428">
        <v>-1.420887E-2</v>
      </c>
      <c r="X5428">
        <v>0.99875689999999995</v>
      </c>
      <c r="Y5428">
        <v>-0.1371357</v>
      </c>
      <c r="Z5428">
        <v>2.155646E-4</v>
      </c>
      <c r="AA5428">
        <v>0.99055219999999999</v>
      </c>
      <c r="AB5428">
        <v>24</v>
      </c>
      <c r="AC5428">
        <v>30.158300000000001</v>
      </c>
      <c r="AD5428">
        <v>-1.1092013377409999</v>
      </c>
      <c r="AE5428">
        <v>6.1596699999999904</v>
      </c>
      <c r="AF5428">
        <v>-4.2502657320218296</v>
      </c>
      <c r="AG5428">
        <v>-1.1092013377409999</v>
      </c>
      <c r="AH5428">
        <v>30.445754449868101</v>
      </c>
      <c r="AI5428">
        <v>92.066458758344794</v>
      </c>
      <c r="AJ5428">
        <v>97.947202316329395</v>
      </c>
      <c r="AK5428">
        <v>30.760998852802398</v>
      </c>
      <c r="AL5428">
        <v>90.814135649858798</v>
      </c>
      <c r="AM5428">
        <v>87.261145146079201</v>
      </c>
      <c r="AN5428">
        <v>1.0000000355404299</v>
      </c>
    </row>
    <row r="5429" spans="1:40" x14ac:dyDescent="0.25">
      <c r="A5429" t="str">
        <f>"20190312161424904"</f>
        <v>20190312161424904</v>
      </c>
      <c r="B5429" t="str">
        <f>"1552378464892314"</f>
        <v>1552378464892314</v>
      </c>
      <c r="C5429" t="s">
        <v>40</v>
      </c>
      <c r="D5429">
        <v>5.7645960000000001</v>
      </c>
      <c r="E5429">
        <v>0.42934820000000001</v>
      </c>
      <c r="F5429" t="s">
        <v>42</v>
      </c>
      <c r="G5429">
        <v>-347.4692</v>
      </c>
      <c r="H5429" s="1">
        <v>-2.0514259999999998E-6</v>
      </c>
      <c r="I5429">
        <v>23.31223</v>
      </c>
      <c r="J5429">
        <v>-378.9751</v>
      </c>
      <c r="K5429">
        <v>1.1092089999999999</v>
      </c>
      <c r="L5429">
        <v>16.88428</v>
      </c>
      <c r="M5429">
        <v>0.99800359999999999</v>
      </c>
      <c r="N5429">
        <v>0</v>
      </c>
      <c r="O5429">
        <v>6.2166699999999901E-2</v>
      </c>
      <c r="P5429">
        <v>0.99957680000000004</v>
      </c>
      <c r="Q5429">
        <v>-2.532239E-2</v>
      </c>
      <c r="R5429">
        <v>1.432604E-2</v>
      </c>
      <c r="S5429">
        <v>2.989563</v>
      </c>
      <c r="T5429">
        <v>-0.1047708</v>
      </c>
      <c r="U5429">
        <v>0.60797119999999905</v>
      </c>
      <c r="V5429">
        <v>4.7830940000000002E-2</v>
      </c>
      <c r="W5429">
        <v>-1.424688E-2</v>
      </c>
      <c r="X5429">
        <v>0.99875380000000002</v>
      </c>
      <c r="Y5429">
        <v>-0.13793179999999999</v>
      </c>
      <c r="Z5429">
        <v>2.4006860000000001E-4</v>
      </c>
      <c r="AA5429">
        <v>0.99044169999999998</v>
      </c>
      <c r="AB5429">
        <v>24</v>
      </c>
      <c r="AC5429">
        <v>31.5059</v>
      </c>
      <c r="AD5429">
        <v>-1.1092110514260001</v>
      </c>
      <c r="AE5429">
        <v>6.4279499999999903</v>
      </c>
      <c r="AF5429">
        <v>-4.4514789051620296</v>
      </c>
      <c r="AG5429">
        <v>-1.1092110514260001</v>
      </c>
      <c r="AH5429">
        <v>31.806733540278898</v>
      </c>
      <c r="AI5429">
        <v>91.978030549220193</v>
      </c>
      <c r="AJ5429">
        <v>97.967024234283699</v>
      </c>
      <c r="AK5429">
        <v>32.135872667503698</v>
      </c>
      <c r="AL5429">
        <v>90.816313742278496</v>
      </c>
      <c r="AM5429">
        <v>87.258164385160597</v>
      </c>
      <c r="AN5429">
        <v>0.99999996271272795</v>
      </c>
    </row>
    <row r="5430" spans="1:40" x14ac:dyDescent="0.25">
      <c r="A5430" t="str">
        <f>"20190312161424923"</f>
        <v>20190312161424923</v>
      </c>
      <c r="B5430" t="str">
        <f>"1552378464911833"</f>
        <v>1552378464911833</v>
      </c>
      <c r="C5430" t="s">
        <v>40</v>
      </c>
      <c r="D5430">
        <v>5.7543810000000004</v>
      </c>
      <c r="E5430">
        <v>0.42926959999999997</v>
      </c>
      <c r="F5430" t="s">
        <v>42</v>
      </c>
      <c r="G5430">
        <v>-346.84690000000001</v>
      </c>
      <c r="H5430" s="1">
        <v>-2.343933E-6</v>
      </c>
      <c r="I5430">
        <v>23.408280000000001</v>
      </c>
      <c r="J5430">
        <v>-378.774</v>
      </c>
      <c r="K5430">
        <v>1.1092040000000001</v>
      </c>
      <c r="L5430">
        <v>16.896059999999999</v>
      </c>
      <c r="M5430">
        <v>0.99804999999999999</v>
      </c>
      <c r="N5430">
        <v>0</v>
      </c>
      <c r="O5430">
        <v>6.142744E-2</v>
      </c>
      <c r="P5430">
        <v>0.99958840000000004</v>
      </c>
      <c r="Q5430">
        <v>-2.5213200000000002E-2</v>
      </c>
      <c r="R5430">
        <v>1.369255E-2</v>
      </c>
      <c r="S5430">
        <v>2.9899290000000001</v>
      </c>
      <c r="T5430">
        <v>-0.10322580000000001</v>
      </c>
      <c r="U5430">
        <v>0.6071472</v>
      </c>
      <c r="V5430">
        <v>4.7723790000000002E-2</v>
      </c>
      <c r="W5430">
        <v>-1.418582E-2</v>
      </c>
      <c r="X5430">
        <v>0.99875979999999998</v>
      </c>
      <c r="Y5430">
        <v>-0.13838029999999901</v>
      </c>
      <c r="Z5430">
        <v>2.6931189999999998E-4</v>
      </c>
      <c r="AA5430">
        <v>0.99037920000000002</v>
      </c>
      <c r="AB5430">
        <v>24</v>
      </c>
      <c r="AC5430">
        <v>31.927099999999999</v>
      </c>
      <c r="AD5430">
        <v>-1.109206343933</v>
      </c>
      <c r="AE5430">
        <v>6.5122199999999903</v>
      </c>
      <c r="AF5430">
        <v>-4.5333468070710099</v>
      </c>
      <c r="AG5430">
        <v>-1.109206343933</v>
      </c>
      <c r="AH5430">
        <v>32.229506411586897</v>
      </c>
      <c r="AI5430">
        <v>91.951906499879698</v>
      </c>
      <c r="AJ5430">
        <v>98.006598449015996</v>
      </c>
      <c r="AK5430">
        <v>32.565666821379899</v>
      </c>
      <c r="AL5430">
        <v>90.812814904084405</v>
      </c>
      <c r="AM5430">
        <v>87.264313663519005</v>
      </c>
      <c r="AN5430">
        <v>0.99999996785853695</v>
      </c>
    </row>
    <row r="5431" spans="1:40" x14ac:dyDescent="0.25">
      <c r="A5431" t="str">
        <f>"20190312161424936"</f>
        <v>20190312161424936</v>
      </c>
      <c r="B5431" t="str">
        <f>"1552378464932329"</f>
        <v>1552378464932329</v>
      </c>
      <c r="C5431" t="s">
        <v>40</v>
      </c>
      <c r="D5431">
        <v>5.800484</v>
      </c>
      <c r="E5431">
        <v>0.42927140000000003</v>
      </c>
      <c r="F5431" t="s">
        <v>42</v>
      </c>
      <c r="G5431">
        <v>-346.73009999999999</v>
      </c>
      <c r="H5431" s="1">
        <v>-2.3889210000000001E-6</v>
      </c>
      <c r="I5431">
        <v>23.389050000000001</v>
      </c>
      <c r="J5431">
        <v>-378.64100000000002</v>
      </c>
      <c r="K5431">
        <v>1.109194</v>
      </c>
      <c r="L5431">
        <v>16.903749999999999</v>
      </c>
      <c r="M5431">
        <v>0.99807939999999995</v>
      </c>
      <c r="N5431">
        <v>0</v>
      </c>
      <c r="O5431">
        <v>6.0952869999999999E-2</v>
      </c>
      <c r="P5431">
        <v>0.99959560000000003</v>
      </c>
      <c r="Q5431">
        <v>-2.5261820000000001E-2</v>
      </c>
      <c r="R5431">
        <v>1.3073710000000001E-2</v>
      </c>
      <c r="S5431">
        <v>2.9902950000000001</v>
      </c>
      <c r="T5431">
        <v>-0.1035099</v>
      </c>
      <c r="U5431">
        <v>0.60592650000000003</v>
      </c>
      <c r="V5431">
        <v>4.7866279999999997E-2</v>
      </c>
      <c r="W5431">
        <v>-1.4266340000000001E-2</v>
      </c>
      <c r="X5431">
        <v>0.99875190000000003</v>
      </c>
      <c r="Y5431">
        <v>-0.1384387</v>
      </c>
      <c r="Z5431">
        <v>2.87211E-4</v>
      </c>
      <c r="AA5431">
        <v>0.990371</v>
      </c>
      <c r="AB5431">
        <v>24</v>
      </c>
      <c r="AC5431">
        <v>31.910899999999899</v>
      </c>
      <c r="AD5431">
        <v>-1.1091963889209999</v>
      </c>
      <c r="AE5431">
        <v>6.4852999999999996</v>
      </c>
      <c r="AF5431">
        <v>-4.52281248499387</v>
      </c>
      <c r="AG5431">
        <v>-1.1091963889209999</v>
      </c>
      <c r="AH5431">
        <v>32.209508918571103</v>
      </c>
      <c r="AI5431">
        <v>91.953164378967003</v>
      </c>
      <c r="AJ5431">
        <v>97.993129101428096</v>
      </c>
      <c r="AK5431">
        <v>32.544409876031203</v>
      </c>
      <c r="AL5431">
        <v>90.817428773660794</v>
      </c>
      <c r="AM5431">
        <v>87.256136456501693</v>
      </c>
      <c r="AN5431">
        <v>1.0000000334858199</v>
      </c>
    </row>
    <row r="5432" spans="1:40" x14ac:dyDescent="0.25">
      <c r="A5432" t="str">
        <f>"20190312161424947"</f>
        <v>20190312161424947</v>
      </c>
      <c r="B5432" t="str">
        <f>"1552378464942088"</f>
        <v>1552378464942088</v>
      </c>
      <c r="C5432" t="s">
        <v>40</v>
      </c>
      <c r="D5432">
        <v>5.8008649999999999</v>
      </c>
      <c r="E5432">
        <v>0.42918640000000002</v>
      </c>
      <c r="F5432" t="s">
        <v>42</v>
      </c>
      <c r="G5432">
        <v>-347.68349999999998</v>
      </c>
      <c r="H5432" s="1">
        <v>-1.9183910000000001E-6</v>
      </c>
      <c r="I5432">
        <v>23.157720000000001</v>
      </c>
      <c r="J5432">
        <v>-378.51130000000001</v>
      </c>
      <c r="K5432">
        <v>1.1091819999999999</v>
      </c>
      <c r="L5432">
        <v>16.911189999999898</v>
      </c>
      <c r="M5432">
        <v>0.99810759999999998</v>
      </c>
      <c r="N5432">
        <v>0</v>
      </c>
      <c r="O5432">
        <v>6.0494600000000003E-2</v>
      </c>
      <c r="P5432">
        <v>0.99959390000000004</v>
      </c>
      <c r="Q5432">
        <v>-2.5469490000000001E-2</v>
      </c>
      <c r="R5432">
        <v>1.279812E-2</v>
      </c>
      <c r="S5432">
        <v>2.99057</v>
      </c>
      <c r="T5432">
        <v>-0.10715089999999999</v>
      </c>
      <c r="U5432">
        <v>0.60415649999999999</v>
      </c>
      <c r="V5432">
        <v>4.7681920000000003E-2</v>
      </c>
      <c r="W5432">
        <v>-1.4504380000000001E-2</v>
      </c>
      <c r="X5432">
        <v>0.99875720000000001</v>
      </c>
      <c r="Y5432">
        <v>-0.13830919999999999</v>
      </c>
      <c r="Z5432">
        <v>3.1117370000000001E-4</v>
      </c>
      <c r="AA5432">
        <v>0.99038899999999996</v>
      </c>
      <c r="AB5432">
        <v>24</v>
      </c>
      <c r="AC5432">
        <v>30.8278</v>
      </c>
      <c r="AD5432">
        <v>-1.1091839183909999</v>
      </c>
      <c r="AE5432">
        <v>6.2465299999999999</v>
      </c>
      <c r="AF5432">
        <v>-4.3646319536960698</v>
      </c>
      <c r="AG5432">
        <v>-1.1091839183909999</v>
      </c>
      <c r="AH5432">
        <v>31.110550973450199</v>
      </c>
      <c r="AI5432">
        <v>92.022114059605201</v>
      </c>
      <c r="AJ5432">
        <v>97.986145890467895</v>
      </c>
      <c r="AK5432">
        <v>31.434800507203501</v>
      </c>
      <c r="AL5432">
        <v>90.831068946749795</v>
      </c>
      <c r="AM5432">
        <v>87.266703045197204</v>
      </c>
      <c r="AN5432">
        <v>0.99999994354295296</v>
      </c>
    </row>
    <row r="5433" spans="1:40" x14ac:dyDescent="0.25">
      <c r="A5433" t="str">
        <f>"20190312161424966"</f>
        <v>20190312161424966</v>
      </c>
      <c r="B5433" t="str">
        <f>"1552378464961609"</f>
        <v>1552378464961609</v>
      </c>
      <c r="C5433" t="s">
        <v>40</v>
      </c>
      <c r="D5433">
        <v>5.787947</v>
      </c>
      <c r="E5433">
        <v>0.42909009999999997</v>
      </c>
      <c r="F5433" t="s">
        <v>42</v>
      </c>
      <c r="G5433">
        <v>-348.04349999999999</v>
      </c>
      <c r="H5433" s="1">
        <v>-1.739275E-6</v>
      </c>
      <c r="I5433">
        <v>23.064990000000002</v>
      </c>
      <c r="J5433">
        <v>-378.31599999999997</v>
      </c>
      <c r="K5433">
        <v>1.109167</v>
      </c>
      <c r="L5433">
        <v>16.922270000000001</v>
      </c>
      <c r="M5433">
        <v>0.99814999999999998</v>
      </c>
      <c r="N5433">
        <v>0</v>
      </c>
      <c r="O5433">
        <v>5.9798749999999998E-2</v>
      </c>
      <c r="P5433">
        <v>0.9996062</v>
      </c>
      <c r="Q5433">
        <v>-2.528816E-2</v>
      </c>
      <c r="R5433">
        <v>1.2180710000000001E-2</v>
      </c>
      <c r="S5433">
        <v>2.990723</v>
      </c>
      <c r="T5433">
        <v>-0.1088774</v>
      </c>
      <c r="U5433">
        <v>0.60406490000000002</v>
      </c>
      <c r="V5433">
        <v>4.7601930000000001E-2</v>
      </c>
      <c r="W5433">
        <v>-1.4365620000000001E-2</v>
      </c>
      <c r="X5433">
        <v>0.99876310000000001</v>
      </c>
      <c r="Y5433">
        <v>-0.13895829999999901</v>
      </c>
      <c r="Z5433">
        <v>3.528262E-4</v>
      </c>
      <c r="AA5433">
        <v>0.99029820000000002</v>
      </c>
      <c r="AB5433">
        <v>24</v>
      </c>
      <c r="AC5433">
        <v>30.272499999999901</v>
      </c>
      <c r="AD5433">
        <v>-1.109168739275</v>
      </c>
      <c r="AE5433">
        <v>6.14271999999999</v>
      </c>
      <c r="AF5433">
        <v>-4.3157944557478798</v>
      </c>
      <c r="AG5433">
        <v>-1.109168739275</v>
      </c>
      <c r="AH5433">
        <v>30.546283300096398</v>
      </c>
      <c r="AI5433">
        <v>92.059125628154604</v>
      </c>
      <c r="AJ5433">
        <v>98.041922907872504</v>
      </c>
      <c r="AK5433">
        <v>30.8695928143893</v>
      </c>
      <c r="AL5433">
        <v>90.823117690622595</v>
      </c>
      <c r="AM5433">
        <v>87.271297514906195</v>
      </c>
      <c r="AN5433">
        <v>1.0000000223496499</v>
      </c>
    </row>
    <row r="5434" spans="1:40" x14ac:dyDescent="0.25">
      <c r="A5434" t="str">
        <f>"20190312161424978"</f>
        <v>20190312161424978</v>
      </c>
      <c r="B5434" t="str">
        <f>"1552378464972344"</f>
        <v>1552378464972344</v>
      </c>
      <c r="C5434" t="s">
        <v>40</v>
      </c>
      <c r="D5434">
        <v>5.7897119999999997</v>
      </c>
      <c r="E5434">
        <v>0.42909009999999997</v>
      </c>
      <c r="F5434" t="s">
        <v>42</v>
      </c>
      <c r="G5434">
        <v>-348.661</v>
      </c>
      <c r="H5434" s="1">
        <v>-1.4305009999999999E-6</v>
      </c>
      <c r="I5434">
        <v>22.90014</v>
      </c>
      <c r="J5434">
        <v>-378.19709999999998</v>
      </c>
      <c r="K5434">
        <v>1.109162</v>
      </c>
      <c r="L5434">
        <v>16.928889999999999</v>
      </c>
      <c r="M5434">
        <v>0.99817599999999995</v>
      </c>
      <c r="N5434">
        <v>0</v>
      </c>
      <c r="O5434">
        <v>5.9367110000000001E-2</v>
      </c>
      <c r="P5434">
        <v>0.99961040000000001</v>
      </c>
      <c r="Q5434">
        <v>-2.5227639999999999E-2</v>
      </c>
      <c r="R5434">
        <v>1.195532E-2</v>
      </c>
      <c r="S5434">
        <v>2.9909970000000001</v>
      </c>
      <c r="T5434">
        <v>-0.1118705</v>
      </c>
      <c r="U5434">
        <v>0.60293580000000002</v>
      </c>
      <c r="V5434">
        <v>4.739492E-2</v>
      </c>
      <c r="W5434">
        <v>-1.432829E-2</v>
      </c>
      <c r="X5434">
        <v>0.99877349999999998</v>
      </c>
      <c r="Y5434">
        <v>-0.13900660000000001</v>
      </c>
      <c r="Z5434">
        <v>3.7929810000000001E-4</v>
      </c>
      <c r="AA5434">
        <v>0.99029140000000004</v>
      </c>
      <c r="AB5434">
        <v>24</v>
      </c>
      <c r="AC5434">
        <v>29.536099999999902</v>
      </c>
      <c r="AD5434">
        <v>-1.1091634305010001</v>
      </c>
      <c r="AE5434">
        <v>5.9712500000000004</v>
      </c>
      <c r="AF5434">
        <v>-4.2014461585382703</v>
      </c>
      <c r="AG5434">
        <v>-1.1091634305010001</v>
      </c>
      <c r="AH5434">
        <v>29.7981439731481</v>
      </c>
      <c r="AI5434">
        <v>92.110852302513607</v>
      </c>
      <c r="AJ5434">
        <v>98.025623315099907</v>
      </c>
      <c r="AK5434">
        <v>30.113315619226</v>
      </c>
      <c r="AL5434">
        <v>90.820978603487106</v>
      </c>
      <c r="AM5434">
        <v>87.283174452477098</v>
      </c>
      <c r="AN5434">
        <v>1.0000000413191801</v>
      </c>
    </row>
    <row r="5435" spans="1:40" x14ac:dyDescent="0.25">
      <c r="A5435" t="str">
        <f>"20190312161424991"</f>
        <v>20190312161424991</v>
      </c>
      <c r="B5435" t="str">
        <f>"1552378464982106"</f>
        <v>1552378464982106</v>
      </c>
      <c r="C5435" t="s">
        <v>40</v>
      </c>
      <c r="D5435">
        <v>5.7252660000000004</v>
      </c>
      <c r="E5435">
        <v>0.4290465</v>
      </c>
      <c r="F5435" t="s">
        <v>42</v>
      </c>
      <c r="G5435">
        <v>-348.50510000000003</v>
      </c>
      <c r="H5435" s="1">
        <v>-1.4993629999999901E-6</v>
      </c>
      <c r="I5435">
        <v>22.90756</v>
      </c>
      <c r="J5435">
        <v>-378.04820000000001</v>
      </c>
      <c r="K5435">
        <v>1.109156</v>
      </c>
      <c r="L5435">
        <v>16.937159999999999</v>
      </c>
      <c r="M5435">
        <v>0.99820850000000005</v>
      </c>
      <c r="N5435">
        <v>0</v>
      </c>
      <c r="O5435">
        <v>5.882271E-2</v>
      </c>
      <c r="P5435">
        <v>0.99961509999999998</v>
      </c>
      <c r="Q5435">
        <v>-2.5316410000000001E-2</v>
      </c>
      <c r="R5435">
        <v>1.134516E-2</v>
      </c>
      <c r="S5435">
        <v>2.9911500000000002</v>
      </c>
      <c r="T5435">
        <v>-0.1117363</v>
      </c>
      <c r="U5435">
        <v>0.60229489999999997</v>
      </c>
      <c r="V5435">
        <v>4.7459069999999999E-2</v>
      </c>
      <c r="W5435">
        <v>-1.444529E-2</v>
      </c>
      <c r="X5435">
        <v>0.99876869999999995</v>
      </c>
      <c r="Y5435">
        <v>-0.1393326</v>
      </c>
      <c r="Z5435">
        <v>4.0489829999999999E-4</v>
      </c>
      <c r="AA5435">
        <v>0.99024559999999995</v>
      </c>
      <c r="AB5435">
        <v>24</v>
      </c>
      <c r="AC5435">
        <v>29.5430999999999</v>
      </c>
      <c r="AD5435">
        <v>-1.109157499363</v>
      </c>
      <c r="AE5435">
        <v>5.9703999999999899</v>
      </c>
      <c r="AF5435">
        <v>-4.2164414848735703</v>
      </c>
      <c r="AG5435">
        <v>-1.109157499363</v>
      </c>
      <c r="AH5435">
        <v>29.802794890160101</v>
      </c>
      <c r="AI5435">
        <v>92.110371427397794</v>
      </c>
      <c r="AJ5435">
        <v>98.052651909272399</v>
      </c>
      <c r="AK5435">
        <v>30.120013154358102</v>
      </c>
      <c r="AL5435">
        <v>90.827682959901594</v>
      </c>
      <c r="AM5435">
        <v>87.2794896390688</v>
      </c>
      <c r="AN5435">
        <v>0.99999997291406895</v>
      </c>
    </row>
    <row r="5436" spans="1:40" x14ac:dyDescent="0.25">
      <c r="A5436" t="str">
        <f>"20190312161425003"</f>
        <v>20190312161425003</v>
      </c>
      <c r="B5436" t="str">
        <f>"1552378464991865"</f>
        <v>1552378464991865</v>
      </c>
      <c r="C5436" t="s">
        <v>40</v>
      </c>
      <c r="D5436">
        <v>5.7907359999999999</v>
      </c>
      <c r="E5436">
        <v>0.4290465</v>
      </c>
      <c r="F5436" t="s">
        <v>42</v>
      </c>
      <c r="G5436">
        <v>-359.58659999999998</v>
      </c>
      <c r="H5436" s="1">
        <v>-4.364672E-7</v>
      </c>
      <c r="I5436">
        <v>20.656610000000001</v>
      </c>
      <c r="J5436">
        <v>-377.91969999999998</v>
      </c>
      <c r="K5436">
        <v>1.1091569999999999</v>
      </c>
      <c r="L5436">
        <v>16.944210000000002</v>
      </c>
      <c r="M5436">
        <v>0.99823669999999998</v>
      </c>
      <c r="N5436">
        <v>0</v>
      </c>
      <c r="O5436">
        <v>5.8345519999999998E-2</v>
      </c>
      <c r="P5436">
        <v>0.9996256</v>
      </c>
      <c r="Q5436">
        <v>-2.518482E-2</v>
      </c>
      <c r="R5436">
        <v>1.0711099999999999E-2</v>
      </c>
      <c r="S5436">
        <v>2.9897459999999998</v>
      </c>
      <c r="T5436">
        <v>-0.17962129999999901</v>
      </c>
      <c r="U5436">
        <v>0.602356</v>
      </c>
      <c r="V5436">
        <v>4.761514E-2</v>
      </c>
      <c r="W5436">
        <v>-1.433598E-2</v>
      </c>
      <c r="X5436">
        <v>0.99876279999999995</v>
      </c>
      <c r="Y5436">
        <v>-0.13982829999999999</v>
      </c>
      <c r="Z5436">
        <v>6.9381599999999999E-4</v>
      </c>
      <c r="AA5436">
        <v>0.99017549999999999</v>
      </c>
      <c r="AB5436">
        <v>24</v>
      </c>
      <c r="AC5436">
        <v>18.333100000000002</v>
      </c>
      <c r="AD5436">
        <v>-1.1091574364672001</v>
      </c>
      <c r="AE5436">
        <v>3.7123999999999899</v>
      </c>
      <c r="AF5436">
        <v>-2.6271196976237698</v>
      </c>
      <c r="AG5436">
        <v>-1.1091574364672001</v>
      </c>
      <c r="AH5436">
        <v>18.4535949697656</v>
      </c>
      <c r="AI5436">
        <v>93.405383537010295</v>
      </c>
      <c r="AJ5436">
        <v>98.102386509214099</v>
      </c>
      <c r="AK5436">
        <v>18.672631186650499</v>
      </c>
      <c r="AL5436">
        <v>90.821419347781202</v>
      </c>
      <c r="AM5436">
        <v>87.270540599701107</v>
      </c>
      <c r="AN5436">
        <v>0.999999926271807</v>
      </c>
    </row>
    <row r="5437" spans="1:40" x14ac:dyDescent="0.25">
      <c r="A5437" t="str">
        <f>"20190312161425014"</f>
        <v>20190312161425014</v>
      </c>
      <c r="B5437" t="str">
        <f>"1552378465012362"</f>
        <v>1552378465012362</v>
      </c>
      <c r="C5437" t="s">
        <v>40</v>
      </c>
      <c r="D5437">
        <v>5.7829519999999999</v>
      </c>
      <c r="E5437">
        <v>0.42606329999999998</v>
      </c>
      <c r="F5437" t="s">
        <v>42</v>
      </c>
      <c r="G5437">
        <v>-359.38029999999998</v>
      </c>
      <c r="H5437" s="1">
        <v>-5.2788759999999997E-7</v>
      </c>
      <c r="I5437">
        <v>20.667459999999998</v>
      </c>
      <c r="J5437">
        <v>-377.80720000000002</v>
      </c>
      <c r="K5437">
        <v>1.109159</v>
      </c>
      <c r="L5437">
        <v>16.95035</v>
      </c>
      <c r="M5437">
        <v>0.99826139999999997</v>
      </c>
      <c r="N5437">
        <v>0</v>
      </c>
      <c r="O5437">
        <v>5.7925570000000003E-2</v>
      </c>
      <c r="P5437">
        <v>0.99963409999999997</v>
      </c>
      <c r="Q5437">
        <v>-2.5111060000000001E-2</v>
      </c>
      <c r="R5437">
        <v>1.0064770000000001E-2</v>
      </c>
      <c r="S5437">
        <v>2.990173</v>
      </c>
      <c r="T5437">
        <v>-0.17889260000000001</v>
      </c>
      <c r="U5437">
        <v>0.60052490000000003</v>
      </c>
      <c r="V5437">
        <v>4.7840550000000003E-2</v>
      </c>
      <c r="W5437">
        <v>-1.4282059999999999E-2</v>
      </c>
      <c r="X5437">
        <v>0.99875290000000005</v>
      </c>
      <c r="Y5437">
        <v>-0.1396355</v>
      </c>
      <c r="Z5437">
        <v>7.0998209999999999E-4</v>
      </c>
      <c r="AA5437">
        <v>0.99020269999999999</v>
      </c>
      <c r="AB5437">
        <v>24</v>
      </c>
      <c r="AC5437">
        <v>18.4269</v>
      </c>
      <c r="AD5437">
        <v>-1.1091595278876001</v>
      </c>
      <c r="AE5437">
        <v>3.7171099999999999</v>
      </c>
      <c r="AF5437">
        <v>-2.6342447609278499</v>
      </c>
      <c r="AG5437">
        <v>-1.1091595278876001</v>
      </c>
      <c r="AH5437">
        <v>18.546714664271601</v>
      </c>
      <c r="AI5437">
        <v>93.388487809971295</v>
      </c>
      <c r="AJ5437">
        <v>98.083819204606996</v>
      </c>
      <c r="AK5437">
        <v>18.7656629287826</v>
      </c>
      <c r="AL5437">
        <v>90.818329561707401</v>
      </c>
      <c r="AM5437">
        <v>87.257611880005001</v>
      </c>
      <c r="AN5437">
        <v>1.0000000253602701</v>
      </c>
    </row>
    <row r="5438" spans="1:40" x14ac:dyDescent="0.25">
      <c r="A5438" t="str">
        <f>"20190312161425025"</f>
        <v>20190312161425025</v>
      </c>
      <c r="B5438" t="str">
        <f>"1552378465022121"</f>
        <v>1552378465022121</v>
      </c>
      <c r="C5438" t="s">
        <v>40</v>
      </c>
      <c r="D5438">
        <v>5.7757170000000002</v>
      </c>
      <c r="E5438">
        <v>0.42615189999999997</v>
      </c>
      <c r="F5438" t="s">
        <v>42</v>
      </c>
      <c r="G5438">
        <v>-350.22449999999998</v>
      </c>
      <c r="H5438" s="1">
        <v>-4.7422369999999996E-6</v>
      </c>
      <c r="I5438">
        <v>22.675229999999999</v>
      </c>
      <c r="J5438">
        <v>-377.68700000000001</v>
      </c>
      <c r="K5438">
        <v>1.1091569999999999</v>
      </c>
      <c r="L5438">
        <v>16.956879999999899</v>
      </c>
      <c r="M5438">
        <v>0.99828760000000005</v>
      </c>
      <c r="N5438">
        <v>0</v>
      </c>
      <c r="O5438">
        <v>5.7475140000000001E-2</v>
      </c>
      <c r="P5438">
        <v>0.99964589999999998</v>
      </c>
      <c r="Q5438">
        <v>-2.486242E-2</v>
      </c>
      <c r="R5438">
        <v>9.4990519999999991E-3</v>
      </c>
      <c r="S5438">
        <v>2.9918209999999998</v>
      </c>
      <c r="T5438">
        <v>-0.120308</v>
      </c>
      <c r="U5438">
        <v>0.62097170000000002</v>
      </c>
      <c r="V5438">
        <v>4.7955480000000002E-2</v>
      </c>
      <c r="W5438">
        <v>-1.405446E-2</v>
      </c>
      <c r="X5438">
        <v>0.99875060000000004</v>
      </c>
      <c r="Y5438">
        <v>-0.14654120000000001</v>
      </c>
      <c r="Z5438">
        <v>6.3240180000000005E-4</v>
      </c>
      <c r="AA5438">
        <v>0.98920430000000004</v>
      </c>
      <c r="AB5438">
        <v>24</v>
      </c>
      <c r="AC5438">
        <v>27.462499999999899</v>
      </c>
      <c r="AD5438">
        <v>-1.1091617422369999</v>
      </c>
      <c r="AE5438">
        <v>5.71835</v>
      </c>
      <c r="AF5438">
        <v>-4.1239440779534604</v>
      </c>
      <c r="AG5438">
        <v>-1.1091617422369999</v>
      </c>
      <c r="AH5438">
        <v>27.702469146730699</v>
      </c>
      <c r="AI5438">
        <v>92.267840496186807</v>
      </c>
      <c r="AJ5438">
        <v>98.467187720281999</v>
      </c>
      <c r="AK5438">
        <v>28.0296976679039</v>
      </c>
      <c r="AL5438">
        <v>90.805287747136703</v>
      </c>
      <c r="AM5438">
        <v>87.251027462151796</v>
      </c>
      <c r="AN5438">
        <v>1.0000000084541401</v>
      </c>
    </row>
    <row r="5439" spans="1:40" x14ac:dyDescent="0.25">
      <c r="A5439" t="str">
        <f>"20190312161425044"</f>
        <v>20190312161425044</v>
      </c>
      <c r="B5439" t="str">
        <f>"1552378465041641"</f>
        <v>1552378465041641</v>
      </c>
      <c r="C5439" t="s">
        <v>40</v>
      </c>
      <c r="D5439">
        <v>5.7716919999999998</v>
      </c>
      <c r="E5439">
        <v>0.42598849999999999</v>
      </c>
      <c r="F5439" t="s">
        <v>42</v>
      </c>
      <c r="G5439">
        <v>-350.17160000000001</v>
      </c>
      <c r="H5439" s="1">
        <v>-4.7549769999999998E-6</v>
      </c>
      <c r="I5439">
        <v>22.64555</v>
      </c>
      <c r="J5439">
        <v>-377.48439999999999</v>
      </c>
      <c r="K5439">
        <v>1.109162</v>
      </c>
      <c r="L5439">
        <v>16.967679999999898</v>
      </c>
      <c r="M5439">
        <v>0.99833150000000004</v>
      </c>
      <c r="N5439">
        <v>0</v>
      </c>
      <c r="O5439">
        <v>5.6713890000000003E-2</v>
      </c>
      <c r="P5439">
        <v>0.99967079999999997</v>
      </c>
      <c r="Q5439">
        <v>-2.428375E-2</v>
      </c>
      <c r="R5439">
        <v>8.2696279999999994E-3</v>
      </c>
      <c r="S5439">
        <v>2.9921570000000002</v>
      </c>
      <c r="T5439">
        <v>-0.1206155</v>
      </c>
      <c r="U5439">
        <v>0.6186218</v>
      </c>
      <c r="V5439">
        <v>4.8423679999999997E-2</v>
      </c>
      <c r="W5439">
        <v>-1.3512329999999999E-2</v>
      </c>
      <c r="X5439">
        <v>0.9987355</v>
      </c>
      <c r="Y5439">
        <v>-0.14652760000000001</v>
      </c>
      <c r="Z5439">
        <v>6.6394309999999999E-4</v>
      </c>
      <c r="AA5439">
        <v>0.98920640000000004</v>
      </c>
      <c r="AB5439">
        <v>24</v>
      </c>
      <c r="AC5439">
        <v>27.3127999999999</v>
      </c>
      <c r="AD5439">
        <v>-1.1091667549769999</v>
      </c>
      <c r="AE5439">
        <v>5.6778700000000004</v>
      </c>
      <c r="AF5439">
        <v>-4.1131217133313402</v>
      </c>
      <c r="AG5439">
        <v>-1.1091667549769999</v>
      </c>
      <c r="AH5439">
        <v>27.547319321024801</v>
      </c>
      <c r="AI5439">
        <v>92.280462052455405</v>
      </c>
      <c r="AJ5439">
        <v>98.492161575173697</v>
      </c>
      <c r="AK5439">
        <v>27.874770364857302</v>
      </c>
      <c r="AL5439">
        <v>90.774223028134102</v>
      </c>
      <c r="AM5439">
        <v>87.224188503800903</v>
      </c>
      <c r="AN5439">
        <v>1.00000001740351</v>
      </c>
    </row>
    <row r="5440" spans="1:40" x14ac:dyDescent="0.25">
      <c r="A5440" t="str">
        <f>"20190312161425056"</f>
        <v>20190312161425056</v>
      </c>
      <c r="B5440" t="str">
        <f>"1552378465052376"</f>
        <v>1552378465052376</v>
      </c>
      <c r="C5440" t="s">
        <v>40</v>
      </c>
      <c r="D5440">
        <v>5.7952589999999997</v>
      </c>
      <c r="E5440">
        <v>0.42571999999999999</v>
      </c>
      <c r="F5440" t="s">
        <v>42</v>
      </c>
      <c r="G5440">
        <v>-349.20330000000001</v>
      </c>
      <c r="H5440" s="1">
        <v>-1.1686510000000001E-6</v>
      </c>
      <c r="I5440">
        <v>22.790379999999999</v>
      </c>
      <c r="J5440">
        <v>-377.36090000000002</v>
      </c>
      <c r="K5440">
        <v>1.109165</v>
      </c>
      <c r="L5440">
        <v>16.97418</v>
      </c>
      <c r="M5440">
        <v>0.99835799999999997</v>
      </c>
      <c r="N5440">
        <v>0</v>
      </c>
      <c r="O5440">
        <v>5.6249899999999999E-2</v>
      </c>
      <c r="P5440">
        <v>0.99967209999999995</v>
      </c>
      <c r="Q5440">
        <v>-2.4432450000000001E-2</v>
      </c>
      <c r="R5440">
        <v>7.6913249999999997E-3</v>
      </c>
      <c r="S5440">
        <v>2.9930729999999999</v>
      </c>
      <c r="T5440">
        <v>-0.1173859</v>
      </c>
      <c r="U5440">
        <v>0.6162415</v>
      </c>
      <c r="V5440">
        <v>4.8536450000000002E-2</v>
      </c>
      <c r="W5440">
        <v>-1.3682110000000001E-2</v>
      </c>
      <c r="X5440">
        <v>0.9987277</v>
      </c>
      <c r="Y5440">
        <v>-0.14617639999999901</v>
      </c>
      <c r="Z5440">
        <v>6.5714069999999998E-4</v>
      </c>
      <c r="AA5440">
        <v>0.98925830000000003</v>
      </c>
      <c r="AB5440">
        <v>24</v>
      </c>
      <c r="AC5440">
        <v>28.157599999999999</v>
      </c>
      <c r="AD5440">
        <v>-1.1091661686509999</v>
      </c>
      <c r="AE5440">
        <v>5.8161999999999896</v>
      </c>
      <c r="AF5440">
        <v>-4.2167598904772001</v>
      </c>
      <c r="AG5440">
        <v>-1.1091661686509999</v>
      </c>
      <c r="AH5440">
        <v>28.397931943723499</v>
      </c>
      <c r="AI5440">
        <v>92.2124872908485</v>
      </c>
      <c r="AJ5440">
        <v>98.446037309181904</v>
      </c>
      <c r="AK5440">
        <v>28.730712699895999</v>
      </c>
      <c r="AL5440">
        <v>90.783951616142105</v>
      </c>
      <c r="AM5440">
        <v>87.217712590880097</v>
      </c>
      <c r="AN5440">
        <v>1.00000000292997</v>
      </c>
    </row>
    <row r="5441" spans="1:40" x14ac:dyDescent="0.25">
      <c r="A5441" t="str">
        <f>"20190312161425067"</f>
        <v>20190312161425067</v>
      </c>
      <c r="B5441" t="str">
        <f>"1552378465062137"</f>
        <v>1552378465062137</v>
      </c>
      <c r="C5441" t="s">
        <v>40</v>
      </c>
      <c r="D5441">
        <v>5.7747140000000003</v>
      </c>
      <c r="E5441">
        <v>0.42557339999999999</v>
      </c>
      <c r="F5441" t="s">
        <v>42</v>
      </c>
      <c r="G5441">
        <v>-350.024</v>
      </c>
      <c r="H5441" s="1">
        <v>-4.7981650000000002E-6</v>
      </c>
      <c r="I5441">
        <v>22.60596</v>
      </c>
      <c r="J5441">
        <v>-377.23750000000001</v>
      </c>
      <c r="K5441">
        <v>1.1091690000000001</v>
      </c>
      <c r="L5441">
        <v>16.980650000000001</v>
      </c>
      <c r="M5441">
        <v>0.99838419999999894</v>
      </c>
      <c r="N5441">
        <v>0</v>
      </c>
      <c r="O5441">
        <v>5.5786629999999997E-2</v>
      </c>
      <c r="P5441">
        <v>0.99968369999999995</v>
      </c>
      <c r="Q5441">
        <v>-2.416138E-2</v>
      </c>
      <c r="R5441">
        <v>6.9999869999999896E-3</v>
      </c>
      <c r="S5441">
        <v>2.9932859999999999</v>
      </c>
      <c r="T5441">
        <v>-0.12145019999999999</v>
      </c>
      <c r="U5441">
        <v>0.61666869999999996</v>
      </c>
      <c r="V5441">
        <v>4.8764250000000002E-2</v>
      </c>
      <c r="W5441">
        <v>-1.3431709999999999E-2</v>
      </c>
      <c r="X5441">
        <v>0.99872000000000005</v>
      </c>
      <c r="Y5441">
        <v>-0.146751399999999</v>
      </c>
      <c r="Z5441">
        <v>7.0988179999999896E-4</v>
      </c>
      <c r="AA5441">
        <v>0.98917310000000003</v>
      </c>
      <c r="AB5441">
        <v>24</v>
      </c>
      <c r="AC5441">
        <v>27.2135</v>
      </c>
      <c r="AD5441">
        <v>-1.1091737981649901</v>
      </c>
      <c r="AE5441">
        <v>5.62530999999999</v>
      </c>
      <c r="AF5441">
        <v>-4.0917917297770003</v>
      </c>
      <c r="AG5441">
        <v>-1.1091737981649901</v>
      </c>
      <c r="AH5441">
        <v>27.441233022934099</v>
      </c>
      <c r="AI5441">
        <v>92.289350134907096</v>
      </c>
      <c r="AJ5441">
        <v>98.480948168364705</v>
      </c>
      <c r="AK5441">
        <v>27.766784039448599</v>
      </c>
      <c r="AL5441">
        <v>90.7696034361214</v>
      </c>
      <c r="AM5441">
        <v>87.204653404733193</v>
      </c>
      <c r="AN5441">
        <v>1.0000000006557901</v>
      </c>
    </row>
    <row r="5442" spans="1:40" x14ac:dyDescent="0.25">
      <c r="A5442" t="str">
        <f>"20190312161425079"</f>
        <v>20190312161425079</v>
      </c>
      <c r="B5442" t="str">
        <f>"1552378465071898"</f>
        <v>1552378465071898</v>
      </c>
      <c r="C5442" t="s">
        <v>40</v>
      </c>
      <c r="D5442">
        <v>5.7702980000000004</v>
      </c>
      <c r="E5442">
        <v>0.42530390000000001</v>
      </c>
      <c r="F5442" t="s">
        <v>42</v>
      </c>
      <c r="G5442">
        <v>-349.61989999999997</v>
      </c>
      <c r="H5442" s="1">
        <v>-9.5541490000000004E-7</v>
      </c>
      <c r="I5442">
        <v>22.660679999999999</v>
      </c>
      <c r="J5442">
        <v>-377.11529999999999</v>
      </c>
      <c r="K5442">
        <v>1.109175</v>
      </c>
      <c r="L5442">
        <v>16.986999999999998</v>
      </c>
      <c r="M5442">
        <v>0.99840980000000001</v>
      </c>
      <c r="N5442">
        <v>0</v>
      </c>
      <c r="O5442">
        <v>5.5329139999999999E-2</v>
      </c>
      <c r="P5442">
        <v>0.99969330000000001</v>
      </c>
      <c r="Q5442">
        <v>-2.388614E-2</v>
      </c>
      <c r="R5442">
        <v>6.5563169999999999E-3</v>
      </c>
      <c r="S5442">
        <v>2.993744</v>
      </c>
      <c r="T5442">
        <v>-0.1202338</v>
      </c>
      <c r="U5442">
        <v>0.61572269999999996</v>
      </c>
      <c r="V5442">
        <v>4.8750439999999999E-2</v>
      </c>
      <c r="W5442">
        <v>-1.317393E-2</v>
      </c>
      <c r="X5442">
        <v>0.9987241</v>
      </c>
      <c r="Y5442">
        <v>-0.14687600000000001</v>
      </c>
      <c r="Z5442">
        <v>7.2326809999999895E-4</v>
      </c>
      <c r="AA5442">
        <v>0.98915459999999999</v>
      </c>
      <c r="AB5442">
        <v>24</v>
      </c>
      <c r="AC5442">
        <v>27.4954</v>
      </c>
      <c r="AD5442">
        <v>-1.1091759554148899</v>
      </c>
      <c r="AE5442">
        <v>5.6736799999999903</v>
      </c>
      <c r="AF5442">
        <v>-4.1371447567582402</v>
      </c>
      <c r="AG5442">
        <v>-1.1091759554148899</v>
      </c>
      <c r="AH5442">
        <v>27.723941017438101</v>
      </c>
      <c r="AI5442">
        <v>92.265995816157798</v>
      </c>
      <c r="AJ5442">
        <v>98.487413736321898</v>
      </c>
      <c r="AK5442">
        <v>28.0528633757203</v>
      </c>
      <c r="AL5442">
        <v>90.754832428885706</v>
      </c>
      <c r="AM5442">
        <v>87.205455243899706</v>
      </c>
      <c r="AN5442">
        <v>0.99999999287632402</v>
      </c>
    </row>
    <row r="5443" spans="1:40" x14ac:dyDescent="0.25">
      <c r="A5443" t="str">
        <f>"20190312161425093"</f>
        <v>20190312161425093</v>
      </c>
      <c r="B5443" t="str">
        <f>"1552378465081657"</f>
        <v>1552378465081657</v>
      </c>
      <c r="C5443" t="s">
        <v>40</v>
      </c>
      <c r="D5443">
        <v>5.7230670000000003</v>
      </c>
      <c r="E5443">
        <v>0.42526580000000003</v>
      </c>
      <c r="F5443" t="s">
        <v>42</v>
      </c>
      <c r="G5443">
        <v>-348.9042</v>
      </c>
      <c r="H5443" s="1">
        <v>-1.2985510000000001E-6</v>
      </c>
      <c r="I5443">
        <v>22.79627</v>
      </c>
      <c r="J5443">
        <v>-376.97050000000002</v>
      </c>
      <c r="K5443">
        <v>1.1091869999999999</v>
      </c>
      <c r="L5443">
        <v>16.994450000000001</v>
      </c>
      <c r="M5443">
        <v>0.99843979999999999</v>
      </c>
      <c r="N5443">
        <v>0</v>
      </c>
      <c r="O5443">
        <v>5.4788099999999999E-2</v>
      </c>
      <c r="P5443">
        <v>0.99970079999999995</v>
      </c>
      <c r="Q5443">
        <v>-2.370796E-2</v>
      </c>
      <c r="R5443">
        <v>6.0346799999999997E-3</v>
      </c>
      <c r="S5443">
        <v>2.994049</v>
      </c>
      <c r="T5443">
        <v>-0.1177169</v>
      </c>
      <c r="U5443">
        <v>0.61654659999999994</v>
      </c>
      <c r="V5443">
        <v>4.873094E-2</v>
      </c>
      <c r="W5443">
        <v>-1.3015519999999999E-2</v>
      </c>
      <c r="X5443">
        <v>0.99872709999999998</v>
      </c>
      <c r="Y5443">
        <v>-0.14765519999999999</v>
      </c>
      <c r="Z5443">
        <v>7.4416789999999999E-4</v>
      </c>
      <c r="AA5443">
        <v>0.98903859999999999</v>
      </c>
      <c r="AB5443">
        <v>24</v>
      </c>
      <c r="AC5443">
        <v>28.066299999999998</v>
      </c>
      <c r="AD5443">
        <v>-1.109188298551</v>
      </c>
      <c r="AE5443">
        <v>5.8018199999999904</v>
      </c>
      <c r="AF5443">
        <v>-4.2489517761948701</v>
      </c>
      <c r="AG5443">
        <v>-1.109188298551</v>
      </c>
      <c r="AH5443">
        <v>28.2996402771901</v>
      </c>
      <c r="AI5443">
        <v>92.219672860270094</v>
      </c>
      <c r="AJ5443">
        <v>98.538697041001399</v>
      </c>
      <c r="AK5443">
        <v>28.638322745866802</v>
      </c>
      <c r="AL5443">
        <v>90.745755447451799</v>
      </c>
      <c r="AM5443">
        <v>87.2065796585225</v>
      </c>
      <c r="AN5443">
        <v>0.99999996427428095</v>
      </c>
    </row>
    <row r="5444" spans="1:40" x14ac:dyDescent="0.25">
      <c r="A5444" t="str">
        <f>"20190312161425106"</f>
        <v>20190312161425106</v>
      </c>
      <c r="B5444" t="str">
        <f>"1552378465102153"</f>
        <v>1552378465102153</v>
      </c>
      <c r="C5444" t="s">
        <v>40</v>
      </c>
      <c r="D5444">
        <v>5.7435989999999997</v>
      </c>
      <c r="E5444">
        <v>0.42496650000000002</v>
      </c>
      <c r="F5444" t="s">
        <v>42</v>
      </c>
      <c r="G5444">
        <v>-349.16800000000001</v>
      </c>
      <c r="H5444" s="1">
        <v>-1.1619189999999999E-6</v>
      </c>
      <c r="I5444">
        <v>22.708210000000001</v>
      </c>
      <c r="J5444">
        <v>-376.82729999999998</v>
      </c>
      <c r="K5444">
        <v>1.1091930000000001</v>
      </c>
      <c r="L5444">
        <v>17.001709999999999</v>
      </c>
      <c r="M5444">
        <v>0.99846919999999995</v>
      </c>
      <c r="N5444">
        <v>0</v>
      </c>
      <c r="O5444">
        <v>5.4255350000000001E-2</v>
      </c>
      <c r="P5444">
        <v>0.99970669999999995</v>
      </c>
      <c r="Q5444">
        <v>-2.3631220000000001E-2</v>
      </c>
      <c r="R5444">
        <v>5.2997640000000002E-3</v>
      </c>
      <c r="S5444">
        <v>2.994354</v>
      </c>
      <c r="T5444">
        <v>-0.1194607</v>
      </c>
      <c r="U5444">
        <v>0.61538700000000002</v>
      </c>
      <c r="V5444">
        <v>4.893227E-2</v>
      </c>
      <c r="W5444">
        <v>-1.2957160000000001E-2</v>
      </c>
      <c r="X5444">
        <v>0.99871799999999999</v>
      </c>
      <c r="Y5444">
        <v>-0.14779300000000001</v>
      </c>
      <c r="Z5444">
        <v>7.7879749999999997E-4</v>
      </c>
      <c r="AA5444">
        <v>0.98901799999999995</v>
      </c>
      <c r="AB5444">
        <v>24</v>
      </c>
      <c r="AC5444">
        <v>27.659299999999899</v>
      </c>
      <c r="AD5444">
        <v>-1.109194161919</v>
      </c>
      <c r="AE5444">
        <v>5.7065000000000001</v>
      </c>
      <c r="AF5444">
        <v>-4.1908776371510301</v>
      </c>
      <c r="AG5444">
        <v>-1.109194161919</v>
      </c>
      <c r="AH5444">
        <v>27.885168488451299</v>
      </c>
      <c r="AI5444">
        <v>92.252593911022601</v>
      </c>
      <c r="AJ5444">
        <v>98.547046541985097</v>
      </c>
      <c r="AK5444">
        <v>28.220141542659299</v>
      </c>
      <c r="AL5444">
        <v>90.742411394777804</v>
      </c>
      <c r="AM5444">
        <v>87.195031626084997</v>
      </c>
      <c r="AN5444">
        <v>0.99999994928330704</v>
      </c>
    </row>
    <row r="5445" spans="1:40" x14ac:dyDescent="0.25">
      <c r="A5445" t="str">
        <f>"20190312161425126"</f>
        <v>20190312161425126</v>
      </c>
      <c r="B5445" t="str">
        <f>"1552378465121674"</f>
        <v>1552378465121674</v>
      </c>
      <c r="C5445" t="s">
        <v>40</v>
      </c>
      <c r="D5445">
        <v>5.7714100000000004</v>
      </c>
      <c r="E5445">
        <v>0.4248343</v>
      </c>
      <c r="F5445" t="s">
        <v>42</v>
      </c>
      <c r="G5445">
        <v>-348.83929999999998</v>
      </c>
      <c r="H5445" s="1">
        <v>-1.315118E-6</v>
      </c>
      <c r="I5445">
        <v>22.753879999999999</v>
      </c>
      <c r="J5445">
        <v>-376.61369999999999</v>
      </c>
      <c r="K5445">
        <v>1.1092010000000001</v>
      </c>
      <c r="L5445">
        <v>17.012419999999999</v>
      </c>
      <c r="M5445">
        <v>0.99851230000000002</v>
      </c>
      <c r="N5445">
        <v>0</v>
      </c>
      <c r="O5445">
        <v>5.3463789999999997E-2</v>
      </c>
      <c r="P5445">
        <v>0.99971759999999998</v>
      </c>
      <c r="Q5445">
        <v>-2.332743E-2</v>
      </c>
      <c r="R5445">
        <v>4.58246E-3</v>
      </c>
      <c r="S5445">
        <v>2.994812</v>
      </c>
      <c r="T5445">
        <v>-0.11868720000000001</v>
      </c>
      <c r="U5445">
        <v>0.61550899999999997</v>
      </c>
      <c r="V5445">
        <v>4.8857850000000001E-2</v>
      </c>
      <c r="W5445">
        <v>-1.267737E-2</v>
      </c>
      <c r="X5445">
        <v>0.99872530000000004</v>
      </c>
      <c r="Y5445">
        <v>-0.14858560000000001</v>
      </c>
      <c r="Z5445">
        <v>8.2009499999999996E-4</v>
      </c>
      <c r="AA5445">
        <v>0.98889919999999998</v>
      </c>
      <c r="AB5445">
        <v>24</v>
      </c>
      <c r="AC5445">
        <v>27.7744</v>
      </c>
      <c r="AD5445">
        <v>-1.1092023151179999</v>
      </c>
      <c r="AE5445">
        <v>5.7414599999999902</v>
      </c>
      <c r="AF5445">
        <v>-4.2417497138706404</v>
      </c>
      <c r="AG5445">
        <v>-1.1092023151179999</v>
      </c>
      <c r="AH5445">
        <v>27.998824834449799</v>
      </c>
      <c r="AI5445">
        <v>92.243076720174201</v>
      </c>
      <c r="AJ5445">
        <v>98.614655016800896</v>
      </c>
      <c r="AK5445">
        <v>28.340024038825099</v>
      </c>
      <c r="AL5445">
        <v>90.726379243047205</v>
      </c>
      <c r="AM5445">
        <v>87.199311281293703</v>
      </c>
      <c r="AN5445">
        <v>1.0000000150384101</v>
      </c>
    </row>
    <row r="5446" spans="1:40" x14ac:dyDescent="0.25">
      <c r="A5446" t="str">
        <f>"20190312161425139"</f>
        <v>20190312161425139</v>
      </c>
      <c r="B5446" t="str">
        <f>"1552378465132409"</f>
        <v>1552378465132409</v>
      </c>
      <c r="C5446" t="s">
        <v>40</v>
      </c>
      <c r="D5446">
        <v>5.7810589999999999</v>
      </c>
      <c r="E5446">
        <v>0.42472019999999999</v>
      </c>
      <c r="F5446" t="s">
        <v>42</v>
      </c>
      <c r="G5446">
        <v>-348.30489999999998</v>
      </c>
      <c r="H5446" s="1">
        <v>-1.5619039999999999E-6</v>
      </c>
      <c r="I5446">
        <v>22.81981</v>
      </c>
      <c r="J5446">
        <v>-376.46960000000001</v>
      </c>
      <c r="K5446">
        <v>1.1092070000000001</v>
      </c>
      <c r="L5446">
        <v>17.019559999999998</v>
      </c>
      <c r="M5446">
        <v>0.9985406</v>
      </c>
      <c r="N5446">
        <v>0</v>
      </c>
      <c r="O5446">
        <v>5.2934080000000001E-2</v>
      </c>
      <c r="P5446">
        <v>0.99972830000000001</v>
      </c>
      <c r="Q5446">
        <v>-2.2957060000000001E-2</v>
      </c>
      <c r="R5446">
        <v>4.0656579999999998E-3</v>
      </c>
      <c r="S5446">
        <v>2.9952700000000001</v>
      </c>
      <c r="T5446">
        <v>-0.1173613</v>
      </c>
      <c r="U5446">
        <v>0.6144714</v>
      </c>
      <c r="V5446">
        <v>4.8845340000000001E-2</v>
      </c>
      <c r="W5446">
        <v>-1.232166E-2</v>
      </c>
      <c r="X5446">
        <v>0.99873040000000002</v>
      </c>
      <c r="Y5446">
        <v>-0.14875269999999999</v>
      </c>
      <c r="Z5446">
        <v>8.3453979999999997E-4</v>
      </c>
      <c r="AA5446">
        <v>0.98887409999999998</v>
      </c>
      <c r="AB5446">
        <v>24</v>
      </c>
      <c r="AC5446">
        <v>28.1647</v>
      </c>
      <c r="AD5446">
        <v>-1.109208561904</v>
      </c>
      <c r="AE5446">
        <v>5.8002499999999904</v>
      </c>
      <c r="AF5446">
        <v>-4.2947689757907703</v>
      </c>
      <c r="AG5446">
        <v>-1.109208561904</v>
      </c>
      <c r="AH5446">
        <v>28.390015487497301</v>
      </c>
      <c r="AI5446">
        <v>92.212284317717803</v>
      </c>
      <c r="AJ5446">
        <v>98.602333720914501</v>
      </c>
      <c r="AK5446">
        <v>28.734445593565098</v>
      </c>
      <c r="AL5446">
        <v>90.705996943670399</v>
      </c>
      <c r="AM5446">
        <v>87.200041528573294</v>
      </c>
      <c r="AN5446">
        <v>1.00000005121451</v>
      </c>
    </row>
    <row r="5447" spans="1:40" x14ac:dyDescent="0.25">
      <c r="A5447" t="str">
        <f>"20190312161425158"</f>
        <v>20190312161425158</v>
      </c>
      <c r="B5447" t="str">
        <f>"1552378465151929"</f>
        <v>1552378465151929</v>
      </c>
      <c r="C5447" t="s">
        <v>40</v>
      </c>
      <c r="D5447">
        <v>5.7319709999999997</v>
      </c>
      <c r="E5447">
        <v>0.42448989999999998</v>
      </c>
      <c r="F5447" t="s">
        <v>42</v>
      </c>
      <c r="G5447">
        <v>-347.6001</v>
      </c>
      <c r="H5447" s="1">
        <v>-1.894835E-6</v>
      </c>
      <c r="I5447">
        <v>22.934729999999998</v>
      </c>
      <c r="J5447">
        <v>-376.26929999999999</v>
      </c>
      <c r="K5447">
        <v>1.1092169999999999</v>
      </c>
      <c r="L5447">
        <v>17.029329999999899</v>
      </c>
      <c r="M5447">
        <v>0.99857910000000005</v>
      </c>
      <c r="N5447">
        <v>0</v>
      </c>
      <c r="O5447">
        <v>5.2204050000000002E-2</v>
      </c>
      <c r="P5447">
        <v>0.99973730000000005</v>
      </c>
      <c r="Q5447">
        <v>-2.2657900000000002E-2</v>
      </c>
      <c r="R5447">
        <v>3.5145889999999998E-3</v>
      </c>
      <c r="S5447">
        <v>2.9956670000000001</v>
      </c>
      <c r="T5447">
        <v>-0.1150979</v>
      </c>
      <c r="U5447">
        <v>0.61380000000000001</v>
      </c>
      <c r="V5447">
        <v>4.8666519999999998E-2</v>
      </c>
      <c r="W5447">
        <v>-1.204088E-2</v>
      </c>
      <c r="X5447">
        <v>0.99874249999999998</v>
      </c>
      <c r="Y5447">
        <v>-0.14923910000000001</v>
      </c>
      <c r="Z5447">
        <v>8.552589E-4</v>
      </c>
      <c r="AA5447">
        <v>0.98880080000000004</v>
      </c>
      <c r="AB5447">
        <v>24</v>
      </c>
      <c r="AC5447">
        <v>28.669199999999901</v>
      </c>
      <c r="AD5447">
        <v>-1.1092188948349999</v>
      </c>
      <c r="AE5447">
        <v>5.9054000000000002</v>
      </c>
      <c r="AF5447">
        <v>-4.3943023982445002</v>
      </c>
      <c r="AG5447">
        <v>-1.1092188948349999</v>
      </c>
      <c r="AH5447">
        <v>28.896910586352199</v>
      </c>
      <c r="AI5447">
        <v>92.173280738540299</v>
      </c>
      <c r="AJ5447">
        <v>98.646624235599504</v>
      </c>
      <c r="AK5447">
        <v>29.2501572911926</v>
      </c>
      <c r="AL5447">
        <v>90.689908279090901</v>
      </c>
      <c r="AM5447">
        <v>87.210309538820098</v>
      </c>
      <c r="AN5447">
        <v>0.99999999713316701</v>
      </c>
    </row>
    <row r="5448" spans="1:40" x14ac:dyDescent="0.25">
      <c r="A5448" t="str">
        <f>"20190312161425171"</f>
        <v>20190312161425171</v>
      </c>
      <c r="B5448" t="str">
        <f>"1552378465161689"</f>
        <v>1552378465161689</v>
      </c>
      <c r="C5448" t="s">
        <v>40</v>
      </c>
      <c r="D5448">
        <v>5.792859</v>
      </c>
      <c r="E5448">
        <v>0.42453020000000002</v>
      </c>
      <c r="F5448" t="s">
        <v>42</v>
      </c>
      <c r="G5448">
        <v>-347.17180000000002</v>
      </c>
      <c r="H5448" s="1">
        <v>-2.0936479999999998E-6</v>
      </c>
      <c r="I5448">
        <v>22.99137</v>
      </c>
      <c r="J5448">
        <v>-376.12310000000002</v>
      </c>
      <c r="K5448">
        <v>1.109226</v>
      </c>
      <c r="L5448">
        <v>17.036379999999902</v>
      </c>
      <c r="M5448">
        <v>0.99860669999999996</v>
      </c>
      <c r="N5448">
        <v>0</v>
      </c>
      <c r="O5448">
        <v>5.1676449999999999E-2</v>
      </c>
      <c r="P5448">
        <v>0.99973800000000002</v>
      </c>
      <c r="Q5448">
        <v>-2.2728709999999999E-2</v>
      </c>
      <c r="R5448">
        <v>2.7460549999999999E-3</v>
      </c>
      <c r="S5448">
        <v>2.9960330000000002</v>
      </c>
      <c r="T5448">
        <v>-0.11421099999999999</v>
      </c>
      <c r="U5448">
        <v>0.61389159999999998</v>
      </c>
      <c r="V5448">
        <v>4.8906449999999997E-2</v>
      </c>
      <c r="W5448">
        <v>-1.212452E-2</v>
      </c>
      <c r="X5448">
        <v>0.9987298</v>
      </c>
      <c r="Y5448">
        <v>-0.14976700000000001</v>
      </c>
      <c r="Z5448">
        <v>8.7835279999999897E-4</v>
      </c>
      <c r="AA5448">
        <v>0.98872099999999996</v>
      </c>
      <c r="AB5448">
        <v>24</v>
      </c>
      <c r="AC5448">
        <v>28.9513</v>
      </c>
      <c r="AD5448">
        <v>-1.1092280936479999</v>
      </c>
      <c r="AE5448">
        <v>5.9549899999999996</v>
      </c>
      <c r="AF5448">
        <v>-4.4445871467151896</v>
      </c>
      <c r="AG5448">
        <v>-1.1092280936479999</v>
      </c>
      <c r="AH5448">
        <v>29.1792689669429</v>
      </c>
      <c r="AI5448">
        <v>92.152207774877596</v>
      </c>
      <c r="AJ5448">
        <v>98.660724061796898</v>
      </c>
      <c r="AK5448">
        <v>29.536663307044002</v>
      </c>
      <c r="AL5448">
        <v>90.694700825730706</v>
      </c>
      <c r="AM5448">
        <v>87.196542427081297</v>
      </c>
      <c r="AN5448">
        <v>1.00000002912243</v>
      </c>
    </row>
    <row r="5449" spans="1:40" x14ac:dyDescent="0.25">
      <c r="A5449" t="str">
        <f>"20190312161425191"</f>
        <v>20190312161425191</v>
      </c>
      <c r="B5449" t="str">
        <f>"1552378465182185"</f>
        <v>1552378465182185</v>
      </c>
      <c r="C5449" t="s">
        <v>40</v>
      </c>
      <c r="D5449">
        <v>5.7910620000000002</v>
      </c>
      <c r="E5449">
        <v>0.42423919999999998</v>
      </c>
      <c r="F5449" t="s">
        <v>42</v>
      </c>
      <c r="G5449">
        <v>-347.50029999999998</v>
      </c>
      <c r="H5449" s="1">
        <v>-1.9219490000000001E-6</v>
      </c>
      <c r="I5449">
        <v>22.875830000000001</v>
      </c>
      <c r="J5449">
        <v>-375.90499999999997</v>
      </c>
      <c r="K5449">
        <v>1.1092420000000001</v>
      </c>
      <c r="L5449">
        <v>17.046779999999998</v>
      </c>
      <c r="M5449">
        <v>0.9986467</v>
      </c>
      <c r="N5449">
        <v>0</v>
      </c>
      <c r="O5449">
        <v>5.090099E-2</v>
      </c>
      <c r="P5449">
        <v>0.9997452</v>
      </c>
      <c r="Q5449">
        <v>-2.2500699999999998E-2</v>
      </c>
      <c r="R5449">
        <v>1.8797410000000001E-3</v>
      </c>
      <c r="S5449">
        <v>2.9964599999999999</v>
      </c>
      <c r="T5449">
        <v>-0.11612260000000001</v>
      </c>
      <c r="U5449">
        <v>0.61132810000000004</v>
      </c>
      <c r="V5449">
        <v>4.8997100000000002E-2</v>
      </c>
      <c r="W5449">
        <v>-1.191243E-2</v>
      </c>
      <c r="X5449">
        <v>0.9987279</v>
      </c>
      <c r="Y5449">
        <v>-0.1496924</v>
      </c>
      <c r="Z5449">
        <v>9.2118340000000003E-4</v>
      </c>
      <c r="AA5449">
        <v>0.98873219999999995</v>
      </c>
      <c r="AB5449">
        <v>24</v>
      </c>
      <c r="AC5449">
        <v>28.404699999999899</v>
      </c>
      <c r="AD5449">
        <v>-1.109243921949</v>
      </c>
      <c r="AE5449">
        <v>5.8290499999999996</v>
      </c>
      <c r="AF5449">
        <v>-4.3691894889772103</v>
      </c>
      <c r="AG5449">
        <v>-1.109243921949</v>
      </c>
      <c r="AH5449">
        <v>28.622710148977099</v>
      </c>
      <c r="AI5449">
        <v>92.193940478583201</v>
      </c>
      <c r="AJ5449">
        <v>98.679068817631205</v>
      </c>
      <c r="AK5449">
        <v>28.975503017917202</v>
      </c>
      <c r="AL5449">
        <v>90.682548092674395</v>
      </c>
      <c r="AM5449">
        <v>87.191349087903802</v>
      </c>
      <c r="AN5449">
        <v>1.00000002001766</v>
      </c>
    </row>
    <row r="5450" spans="1:40" x14ac:dyDescent="0.25">
      <c r="A5450" t="str">
        <f>"20190312161425203"</f>
        <v>20190312161425203</v>
      </c>
      <c r="B5450" t="str">
        <f>"1552378465191945"</f>
        <v>1552378465191945</v>
      </c>
      <c r="C5450" t="s">
        <v>40</v>
      </c>
      <c r="D5450">
        <v>5.7752889999999999</v>
      </c>
      <c r="E5450">
        <v>0.42406159999999998</v>
      </c>
      <c r="F5450" t="s">
        <v>42</v>
      </c>
      <c r="G5450">
        <v>-347.05790000000002</v>
      </c>
      <c r="H5450" s="1">
        <v>-2.125623E-6</v>
      </c>
      <c r="I5450">
        <v>22.927980000000002</v>
      </c>
      <c r="J5450">
        <v>-375.77069999999998</v>
      </c>
      <c r="K5450">
        <v>1.1092519999999999</v>
      </c>
      <c r="L5450">
        <v>17.053129999999999</v>
      </c>
      <c r="M5450">
        <v>0.99867079999999997</v>
      </c>
      <c r="N5450">
        <v>0</v>
      </c>
      <c r="O5450">
        <v>5.0430860000000001E-2</v>
      </c>
      <c r="P5450">
        <v>0.99974510000000005</v>
      </c>
      <c r="Q5450">
        <v>-2.2549840000000002E-2</v>
      </c>
      <c r="R5450">
        <v>1.3257119999999999E-3</v>
      </c>
      <c r="S5450">
        <v>2.9970089999999998</v>
      </c>
      <c r="T5450">
        <v>-0.1152425</v>
      </c>
      <c r="U5450">
        <v>0.61102290000000004</v>
      </c>
      <c r="V5450">
        <v>4.9080289999999999E-2</v>
      </c>
      <c r="W5450">
        <v>-1.197023E-2</v>
      </c>
      <c r="X5450">
        <v>0.99872309999999997</v>
      </c>
      <c r="Y5450">
        <v>-0.1500262</v>
      </c>
      <c r="Z5450">
        <v>9.3822570000000002E-4</v>
      </c>
      <c r="AA5450">
        <v>0.98868160000000005</v>
      </c>
      <c r="AB5450">
        <v>24</v>
      </c>
      <c r="AC5450">
        <v>28.712799999999898</v>
      </c>
      <c r="AD5450">
        <v>-1.109254125623</v>
      </c>
      <c r="AE5450">
        <v>5.8748499999999897</v>
      </c>
      <c r="AF5450">
        <v>-4.4129588074370201</v>
      </c>
      <c r="AG5450">
        <v>-1.109254125623</v>
      </c>
      <c r="AH5450">
        <v>28.9311066036963</v>
      </c>
      <c r="AI5450">
        <v>92.170633163181805</v>
      </c>
      <c r="AJ5450">
        <v>98.672669213309206</v>
      </c>
      <c r="AK5450">
        <v>29.286747505753901</v>
      </c>
      <c r="AL5450">
        <v>90.685860041366396</v>
      </c>
      <c r="AM5450">
        <v>87.186574559460098</v>
      </c>
      <c r="AN5450">
        <v>0.99999999587317301</v>
      </c>
    </row>
    <row r="5451" spans="1:40" x14ac:dyDescent="0.25">
      <c r="A5451" t="str">
        <f>"20190312161425224"</f>
        <v>20190312161425224</v>
      </c>
      <c r="B5451" t="str">
        <f>"1552378465211465"</f>
        <v>1552378465211465</v>
      </c>
      <c r="C5451" t="s">
        <v>40</v>
      </c>
      <c r="D5451">
        <v>5.7226350000000004</v>
      </c>
      <c r="E5451">
        <v>0.4237785</v>
      </c>
      <c r="F5451" t="s">
        <v>42</v>
      </c>
      <c r="G5451">
        <v>-346.87689999999998</v>
      </c>
      <c r="H5451" s="1">
        <v>-2.2069200000000001E-6</v>
      </c>
      <c r="I5451">
        <v>22.941649999999999</v>
      </c>
      <c r="J5451">
        <v>-375.56299999999999</v>
      </c>
      <c r="K5451">
        <v>1.1092679999999999</v>
      </c>
      <c r="L5451">
        <v>17.06277</v>
      </c>
      <c r="M5451">
        <v>0.99870680000000001</v>
      </c>
      <c r="N5451">
        <v>0</v>
      </c>
      <c r="O5451">
        <v>4.9716879999999998E-2</v>
      </c>
      <c r="P5451">
        <v>0.99974750000000001</v>
      </c>
      <c r="Q5451">
        <v>-2.2479579999999999E-2</v>
      </c>
      <c r="R5451">
        <v>3.3264839999999998E-4</v>
      </c>
      <c r="S5451">
        <v>2.9973749999999999</v>
      </c>
      <c r="T5451">
        <v>-0.11507149999999999</v>
      </c>
      <c r="U5451">
        <v>0.61087040000000004</v>
      </c>
      <c r="V5451">
        <v>4.9358920000000001E-2</v>
      </c>
      <c r="W5451">
        <v>-1.191187E-2</v>
      </c>
      <c r="X5451">
        <v>0.99871010000000005</v>
      </c>
      <c r="Y5451">
        <v>-0.1506603</v>
      </c>
      <c r="Z5451">
        <v>9.7580089999999996E-4</v>
      </c>
      <c r="AA5451">
        <v>0.98858509999999999</v>
      </c>
      <c r="AB5451">
        <v>24</v>
      </c>
      <c r="AC5451">
        <v>28.6861</v>
      </c>
      <c r="AD5451">
        <v>-1.10927020692</v>
      </c>
      <c r="AE5451">
        <v>5.8788799999999899</v>
      </c>
      <c r="AF5451">
        <v>-4.4389750121412899</v>
      </c>
      <c r="AG5451">
        <v>-1.10927020692</v>
      </c>
      <c r="AH5451">
        <v>28.901442707433201</v>
      </c>
      <c r="AI5451">
        <v>92.172547344977602</v>
      </c>
      <c r="AJ5451">
        <v>98.731829218397905</v>
      </c>
      <c r="AK5451">
        <v>29.2613801814169</v>
      </c>
      <c r="AL5451">
        <v>90.682515998128395</v>
      </c>
      <c r="AM5451">
        <v>87.170591785269195</v>
      </c>
      <c r="AN5451">
        <v>1.0000000297362299</v>
      </c>
    </row>
    <row r="5452" spans="1:40" x14ac:dyDescent="0.25">
      <c r="A5452" t="str">
        <f>"20190312161425235"</f>
        <v>20190312161425235</v>
      </c>
      <c r="B5452" t="str">
        <f>"1552378465231961"</f>
        <v>1552378465231961</v>
      </c>
      <c r="C5452" t="s">
        <v>40</v>
      </c>
      <c r="D5452">
        <v>5.7803000000000004</v>
      </c>
      <c r="E5452">
        <v>0.42352299999999998</v>
      </c>
      <c r="F5452" t="s">
        <v>42</v>
      </c>
      <c r="G5452">
        <v>-346.71929999999998</v>
      </c>
      <c r="H5452" s="1">
        <v>-2.2720520000000002E-6</v>
      </c>
      <c r="I5452">
        <v>22.93233</v>
      </c>
      <c r="J5452">
        <v>-375.43360000000001</v>
      </c>
      <c r="K5452">
        <v>1.1092789999999999</v>
      </c>
      <c r="L5452">
        <v>17.068729999999999</v>
      </c>
      <c r="M5452">
        <v>0.99872819999999995</v>
      </c>
      <c r="N5452">
        <v>0</v>
      </c>
      <c r="O5452">
        <v>4.9281999999999999E-2</v>
      </c>
      <c r="P5452">
        <v>0.99975849999999999</v>
      </c>
      <c r="Q5452">
        <v>-2.197466E-2</v>
      </c>
      <c r="R5452">
        <v>-4.600273E-4</v>
      </c>
      <c r="S5452">
        <v>2.9979550000000001</v>
      </c>
      <c r="T5452">
        <v>-0.11529489999999901</v>
      </c>
      <c r="U5452">
        <v>0.61007690000000003</v>
      </c>
      <c r="V5452">
        <v>4.97171E-2</v>
      </c>
      <c r="W5452">
        <v>-1.1413680000000001E-2</v>
      </c>
      <c r="X5452">
        <v>0.99869810000000003</v>
      </c>
      <c r="Y5452">
        <v>-0.1508015</v>
      </c>
      <c r="Z5452">
        <v>9.9670909999999995E-4</v>
      </c>
      <c r="AA5452">
        <v>0.98856359999999999</v>
      </c>
      <c r="AB5452">
        <v>24</v>
      </c>
      <c r="AC5452">
        <v>28.714300000000001</v>
      </c>
      <c r="AD5452">
        <v>-1.109281272052</v>
      </c>
      <c r="AE5452">
        <v>5.8635999999999999</v>
      </c>
      <c r="AF5452">
        <v>-4.4349422914860499</v>
      </c>
      <c r="AG5452">
        <v>-1.109281272052</v>
      </c>
      <c r="AH5452">
        <v>28.926949114216299</v>
      </c>
      <c r="AI5452">
        <v>92.170744518082103</v>
      </c>
      <c r="AJ5452">
        <v>98.716444385352901</v>
      </c>
      <c r="AK5452">
        <v>29.285962561025599</v>
      </c>
      <c r="AL5452">
        <v>90.653969906280196</v>
      </c>
      <c r="AM5452">
        <v>87.150059323482395</v>
      </c>
      <c r="AN5452">
        <v>0.99999997853358102</v>
      </c>
    </row>
    <row r="5453" spans="1:40" x14ac:dyDescent="0.25">
      <c r="A5453" t="str">
        <f>"20190312161425647"</f>
        <v>20190312161425647</v>
      </c>
      <c r="B5453" t="str">
        <f>"1552378465641882"</f>
        <v>1552378465641882</v>
      </c>
      <c r="C5453" t="s">
        <v>40</v>
      </c>
      <c r="D5453">
        <v>7.6520159999999997</v>
      </c>
      <c r="E5453">
        <v>0.42352299999999998</v>
      </c>
      <c r="F5453" t="s">
        <v>42</v>
      </c>
      <c r="G5453">
        <v>-346.1379</v>
      </c>
      <c r="H5453" s="1">
        <v>-2.5463570000000002E-6</v>
      </c>
      <c r="I5453">
        <v>23.025880000000001</v>
      </c>
      <c r="J5453">
        <v>-370.93880000000001</v>
      </c>
      <c r="K5453">
        <v>1.1093919999999999</v>
      </c>
      <c r="L5453">
        <v>17.249600000000001</v>
      </c>
      <c r="M5453">
        <v>0.99925649999999999</v>
      </c>
      <c r="N5453">
        <v>0</v>
      </c>
      <c r="O5453">
        <v>3.7119149999999997E-2</v>
      </c>
      <c r="P5453">
        <v>0.99960789999999999</v>
      </c>
      <c r="Q5453">
        <v>-2.181988E-2</v>
      </c>
      <c r="R5453">
        <v>-1.7552829999999998E-2</v>
      </c>
      <c r="S5453">
        <v>2.9985050000000002</v>
      </c>
      <c r="T5453">
        <v>-0.11353829999999999</v>
      </c>
      <c r="U5453">
        <v>0.60974119999999998</v>
      </c>
      <c r="V5453">
        <v>5.4635660000000003E-2</v>
      </c>
      <c r="W5453">
        <v>-1.146438E-2</v>
      </c>
      <c r="X5453">
        <v>0.99844060000000001</v>
      </c>
      <c r="Y5453">
        <v>-0.16266989999999901</v>
      </c>
      <c r="Z5453">
        <v>1.658156E-3</v>
      </c>
      <c r="AA5453">
        <v>0.98667910000000003</v>
      </c>
      <c r="AB5453">
        <v>25</v>
      </c>
      <c r="AC5453">
        <v>24.800899999999999</v>
      </c>
      <c r="AD5453">
        <v>-1.1093945463570001</v>
      </c>
      <c r="AE5453">
        <v>5.7762799999999901</v>
      </c>
      <c r="AF5453">
        <v>-4.8424695068523098</v>
      </c>
      <c r="AG5453">
        <v>-1.1093945463570001</v>
      </c>
      <c r="AH5453">
        <v>24.950872093516999</v>
      </c>
      <c r="AI5453">
        <v>92.499299619687903</v>
      </c>
      <c r="AJ5453">
        <v>100.983428482486</v>
      </c>
      <c r="AK5453">
        <v>25.4406423938415</v>
      </c>
      <c r="AL5453">
        <v>90.656874939223997</v>
      </c>
      <c r="AM5453">
        <v>86.867841917830702</v>
      </c>
      <c r="AN5453">
        <v>1.00000005954038</v>
      </c>
    </row>
    <row r="5454" spans="1:40" x14ac:dyDescent="0.25">
      <c r="A5454" t="str">
        <f>"20190312161425659"</f>
        <v>20190312161425659</v>
      </c>
      <c r="B5454" t="str">
        <f>"1552378465651641"</f>
        <v>1552378465651641</v>
      </c>
      <c r="C5454" t="s">
        <v>40</v>
      </c>
      <c r="D5454">
        <v>7.9892619999999903</v>
      </c>
      <c r="E5454">
        <v>0.51992989999999994</v>
      </c>
      <c r="F5454" t="s">
        <v>42</v>
      </c>
      <c r="G5454">
        <v>-340.9742</v>
      </c>
      <c r="H5454" s="1">
        <v>-4.51136999999999E-6</v>
      </c>
      <c r="I5454">
        <v>22.812110000000001</v>
      </c>
      <c r="J5454">
        <v>-370.81450000000001</v>
      </c>
      <c r="K5454">
        <v>1.1093930000000001</v>
      </c>
      <c r="L5454">
        <v>17.253879999999999</v>
      </c>
      <c r="M5454">
        <v>0.99926800000000005</v>
      </c>
      <c r="N5454">
        <v>0</v>
      </c>
      <c r="O5454">
        <v>3.6813039999999998E-2</v>
      </c>
      <c r="P5454">
        <v>0.99960289999999996</v>
      </c>
      <c r="Q5454">
        <v>-2.1643430000000002E-2</v>
      </c>
      <c r="R5454">
        <v>-1.8047359999999998E-2</v>
      </c>
      <c r="S5454">
        <v>3.0085449999999998</v>
      </c>
      <c r="T5454">
        <v>-0.111387</v>
      </c>
      <c r="U5454">
        <v>0.55850219999999995</v>
      </c>
      <c r="V5454">
        <v>5.4824150000000002E-2</v>
      </c>
      <c r="W5454">
        <v>-1.129788E-2</v>
      </c>
      <c r="X5454">
        <v>0.99843210000000004</v>
      </c>
      <c r="Y5454">
        <v>-0.1461277</v>
      </c>
      <c r="Z5454">
        <v>1.331619E-3</v>
      </c>
      <c r="AA5454">
        <v>0.98926480000000006</v>
      </c>
      <c r="AB5454">
        <v>25</v>
      </c>
      <c r="AC5454">
        <v>29.840299999999999</v>
      </c>
      <c r="AD5454">
        <v>-1.1093975113700001</v>
      </c>
      <c r="AE5454">
        <v>5.55823</v>
      </c>
      <c r="AF5454">
        <v>-4.4499459989621704</v>
      </c>
      <c r="AG5454">
        <v>-1.1093975113700001</v>
      </c>
      <c r="AH5454">
        <v>29.9846427909829</v>
      </c>
      <c r="AI5454">
        <v>92.095976640222503</v>
      </c>
      <c r="AJ5454">
        <v>98.441509336856896</v>
      </c>
      <c r="AK5454">
        <v>30.3333411535023</v>
      </c>
      <c r="AL5454">
        <v>90.647334617074506</v>
      </c>
      <c r="AM5454">
        <v>86.857031069143602</v>
      </c>
      <c r="AN5454">
        <v>0.99999999391306305</v>
      </c>
    </row>
    <row r="5455" spans="1:40" x14ac:dyDescent="0.25">
      <c r="A5455" t="str">
        <f>"20190312161425671"</f>
        <v>20190312161425671</v>
      </c>
      <c r="B5455" t="str">
        <f>"1552378465662377"</f>
        <v>1552378465662377</v>
      </c>
      <c r="C5455" t="s">
        <v>40</v>
      </c>
      <c r="D5455">
        <v>5.678801</v>
      </c>
      <c r="E5455">
        <v>0.52445390000000003</v>
      </c>
      <c r="F5455" t="s">
        <v>86</v>
      </c>
      <c r="G5455">
        <v>-241.07</v>
      </c>
      <c r="H5455">
        <v>3.688815</v>
      </c>
      <c r="I5455">
        <v>7.8959640000000002</v>
      </c>
      <c r="J5455">
        <v>-370.68860000000001</v>
      </c>
      <c r="K5455">
        <v>1.109394</v>
      </c>
      <c r="L5455">
        <v>17.258179999999999</v>
      </c>
      <c r="M5455">
        <v>0.99927940000000004</v>
      </c>
      <c r="N5455">
        <v>0</v>
      </c>
      <c r="O5455">
        <v>3.6504290000000002E-2</v>
      </c>
      <c r="P5455">
        <v>0.99960070000000001</v>
      </c>
      <c r="Q5455">
        <v>-2.1265650000000001E-2</v>
      </c>
      <c r="R5455">
        <v>-1.8613439999999998E-2</v>
      </c>
      <c r="S5455">
        <v>2.9986269999999999</v>
      </c>
      <c r="T5455">
        <v>5.9614899999999998E-2</v>
      </c>
      <c r="U5455">
        <v>-0.2162781</v>
      </c>
      <c r="V5455">
        <v>5.5081539999999998E-2</v>
      </c>
      <c r="W5455">
        <v>-1.0929950000000001E-2</v>
      </c>
      <c r="X5455">
        <v>0.99842200000000003</v>
      </c>
      <c r="Y5455">
        <v>0.1082741</v>
      </c>
      <c r="Z5455">
        <v>1.799658E-3</v>
      </c>
      <c r="AA5455">
        <v>0.99411950000000004</v>
      </c>
      <c r="AB5455">
        <v>25</v>
      </c>
      <c r="AC5455">
        <v>129.61859999999999</v>
      </c>
      <c r="AD5455">
        <v>2.579421</v>
      </c>
      <c r="AE5455">
        <v>-9.3622160000000001</v>
      </c>
      <c r="AF5455">
        <v>14.0823183016836</v>
      </c>
      <c r="AG5455">
        <v>2.579421</v>
      </c>
      <c r="AH5455">
        <v>129.139544290732</v>
      </c>
      <c r="AI5455">
        <v>88.862473261521103</v>
      </c>
      <c r="AJ5455">
        <v>83.776640321285498</v>
      </c>
      <c r="AK5455">
        <v>129.93070076415</v>
      </c>
      <c r="AL5455">
        <v>90.626252496733798</v>
      </c>
      <c r="AM5455">
        <v>86.842273280659796</v>
      </c>
      <c r="AN5455">
        <v>0.99999996496988597</v>
      </c>
    </row>
    <row r="5456" spans="1:40" x14ac:dyDescent="0.25">
      <c r="A5456" t="str">
        <f>"20190312161425682"</f>
        <v>20190312161425682</v>
      </c>
      <c r="B5456" t="str">
        <f>"1552378465672138"</f>
        <v>1552378465672138</v>
      </c>
      <c r="C5456" t="s">
        <v>40</v>
      </c>
      <c r="D5456">
        <v>5.6362199999999998</v>
      </c>
      <c r="E5456">
        <v>0.52737769999999995</v>
      </c>
      <c r="F5456" t="s">
        <v>86</v>
      </c>
      <c r="G5456">
        <v>-241.07</v>
      </c>
      <c r="H5456">
        <v>1.7058059999999999</v>
      </c>
      <c r="I5456">
        <v>6.3223289999999999</v>
      </c>
      <c r="J5456">
        <v>-370.55459999999999</v>
      </c>
      <c r="K5456">
        <v>1.1093999999999999</v>
      </c>
      <c r="L5456">
        <v>17.262729999999902</v>
      </c>
      <c r="M5456">
        <v>0.99929109999999999</v>
      </c>
      <c r="N5456">
        <v>0</v>
      </c>
      <c r="O5456">
        <v>3.6181860000000003E-2</v>
      </c>
      <c r="P5456">
        <v>0.9995908</v>
      </c>
      <c r="Q5456">
        <v>-2.1217550000000002E-2</v>
      </c>
      <c r="R5456">
        <v>-1.919005E-2</v>
      </c>
      <c r="S5456">
        <v>2.9967959999999998</v>
      </c>
      <c r="T5456">
        <v>1.378894E-2</v>
      </c>
      <c r="U5456">
        <v>-0.25283810000000001</v>
      </c>
      <c r="V5456">
        <v>5.5335559999999999E-2</v>
      </c>
      <c r="W5456">
        <v>-1.089124E-2</v>
      </c>
      <c r="X5456">
        <v>0.99840839999999997</v>
      </c>
      <c r="Y5456">
        <v>0.1200698</v>
      </c>
      <c r="Z5456">
        <v>4.4197300000000002E-4</v>
      </c>
      <c r="AA5456">
        <v>0.99276540000000002</v>
      </c>
      <c r="AB5456">
        <v>25</v>
      </c>
      <c r="AC5456">
        <v>129.4846</v>
      </c>
      <c r="AD5456">
        <v>0.59640599999999999</v>
      </c>
      <c r="AE5456">
        <v>-10.9404009999999</v>
      </c>
      <c r="AF5456">
        <v>15.618154777165399</v>
      </c>
      <c r="AG5456">
        <v>0.59640599999999999</v>
      </c>
      <c r="AH5456">
        <v>129.001224315125</v>
      </c>
      <c r="AI5456">
        <v>89.7370289539232</v>
      </c>
      <c r="AJ5456">
        <v>83.096808321025406</v>
      </c>
      <c r="AK5456">
        <v>129.94459716956899</v>
      </c>
      <c r="AL5456">
        <v>90.624034430479298</v>
      </c>
      <c r="AM5456">
        <v>86.827697316628203</v>
      </c>
      <c r="AN5456">
        <v>0.99999998824990499</v>
      </c>
    </row>
    <row r="5457" spans="1:40" x14ac:dyDescent="0.25">
      <c r="A5457" t="str">
        <f>"20190312161425693"</f>
        <v>20190312161425693</v>
      </c>
      <c r="B5457" t="str">
        <f>"1552378465681898"</f>
        <v>1552378465681898</v>
      </c>
      <c r="C5457" t="s">
        <v>40</v>
      </c>
      <c r="D5457">
        <v>5.7504650000000002</v>
      </c>
      <c r="E5457">
        <v>0.52864140000000004</v>
      </c>
      <c r="F5457" t="s">
        <v>86</v>
      </c>
      <c r="G5457">
        <v>-241.07</v>
      </c>
      <c r="H5457">
        <v>0.93303780000000003</v>
      </c>
      <c r="I5457">
        <v>5.2701630000000002</v>
      </c>
      <c r="J5457">
        <v>-370.43959999999998</v>
      </c>
      <c r="K5457">
        <v>1.1094010000000001</v>
      </c>
      <c r="L5457">
        <v>17.2666</v>
      </c>
      <c r="M5457">
        <v>0.99930129999999995</v>
      </c>
      <c r="N5457">
        <v>0</v>
      </c>
      <c r="O5457">
        <v>3.5907910000000001E-2</v>
      </c>
      <c r="P5457">
        <v>0.99958199999999997</v>
      </c>
      <c r="Q5457">
        <v>-2.0967079999999999E-2</v>
      </c>
      <c r="R5457">
        <v>-1.9918930000000001E-2</v>
      </c>
      <c r="S5457">
        <v>2.995819</v>
      </c>
      <c r="T5457">
        <v>-4.0805340000000002E-3</v>
      </c>
      <c r="U5457">
        <v>-0.27746579999999998</v>
      </c>
      <c r="V5457">
        <v>5.579021E-2</v>
      </c>
      <c r="W5457">
        <v>-1.0648700000000001E-2</v>
      </c>
      <c r="X5457">
        <v>0.99838570000000004</v>
      </c>
      <c r="Y5457">
        <v>0.12792020000000001</v>
      </c>
      <c r="Z5457">
        <v>-1.3575229999999999E-4</v>
      </c>
      <c r="AA5457">
        <v>0.99178449999999996</v>
      </c>
      <c r="AB5457">
        <v>25</v>
      </c>
      <c r="AC5457">
        <v>129.36959999999999</v>
      </c>
      <c r="AD5457">
        <v>-0.1763632</v>
      </c>
      <c r="AE5457">
        <v>-11.996437</v>
      </c>
      <c r="AF5457">
        <v>16.634310793652102</v>
      </c>
      <c r="AG5457">
        <v>-0.1763632</v>
      </c>
      <c r="AH5457">
        <v>128.85513339207799</v>
      </c>
      <c r="AI5457">
        <v>90.077774936945403</v>
      </c>
      <c r="AJ5457">
        <v>82.644190818829799</v>
      </c>
      <c r="AK5457">
        <v>129.92450423630001</v>
      </c>
      <c r="AL5457">
        <v>90.610137114505207</v>
      </c>
      <c r="AM5457">
        <v>86.801614252985203</v>
      </c>
      <c r="AN5457">
        <v>0.99999997415401098</v>
      </c>
    </row>
    <row r="5458" spans="1:40" x14ac:dyDescent="0.25">
      <c r="A5458" t="str">
        <f>"20190312161425706"</f>
        <v>20190312161425706</v>
      </c>
      <c r="B5458" t="str">
        <f>"1552378465702394"</f>
        <v>1552378465702394</v>
      </c>
      <c r="C5458" t="s">
        <v>40</v>
      </c>
      <c r="D5458">
        <v>5.6309360000000002</v>
      </c>
      <c r="E5458">
        <v>0.53196899999999903</v>
      </c>
      <c r="F5458" t="s">
        <v>86</v>
      </c>
      <c r="G5458">
        <v>-241.47579999999999</v>
      </c>
      <c r="H5458">
        <v>0.39204410000000001</v>
      </c>
      <c r="I5458">
        <v>4.8071270000000004</v>
      </c>
      <c r="J5458">
        <v>-370.29730000000001</v>
      </c>
      <c r="K5458">
        <v>1.109405</v>
      </c>
      <c r="L5458">
        <v>17.271329999999999</v>
      </c>
      <c r="M5458">
        <v>0.99931320000000001</v>
      </c>
      <c r="N5458">
        <v>0</v>
      </c>
      <c r="O5458">
        <v>3.5572769999999997E-2</v>
      </c>
      <c r="P5458">
        <v>0.99957510000000005</v>
      </c>
      <c r="Q5458">
        <v>-2.0778390000000001E-2</v>
      </c>
      <c r="R5458">
        <v>-2.0452930000000001E-2</v>
      </c>
      <c r="S5458">
        <v>2.9951479999999999</v>
      </c>
      <c r="T5458">
        <v>-1.6660330000000001E-2</v>
      </c>
      <c r="U5458">
        <v>-0.28936770000000001</v>
      </c>
      <c r="V5458">
        <v>5.598947E-2</v>
      </c>
      <c r="W5458">
        <v>-1.0468689999999999E-2</v>
      </c>
      <c r="X5458">
        <v>0.9983765</v>
      </c>
      <c r="Y5458">
        <v>0.13151079999999901</v>
      </c>
      <c r="Z5458">
        <v>-5.6238260000000004E-4</v>
      </c>
      <c r="AA5458">
        <v>0.99131460000000005</v>
      </c>
      <c r="AB5458">
        <v>25</v>
      </c>
      <c r="AC5458">
        <v>128.82149999999999</v>
      </c>
      <c r="AD5458">
        <v>-0.71736089999999997</v>
      </c>
      <c r="AE5458">
        <v>-12.464202999999999</v>
      </c>
      <c r="AF5458">
        <v>17.038574348084801</v>
      </c>
      <c r="AG5458">
        <v>-0.71736089999999997</v>
      </c>
      <c r="AH5458">
        <v>128.292607101757</v>
      </c>
      <c r="AI5458">
        <v>90.317583168389007</v>
      </c>
      <c r="AJ5458">
        <v>82.4348051185153</v>
      </c>
      <c r="AK5458">
        <v>129.42109820057101</v>
      </c>
      <c r="AL5458">
        <v>90.599822695491596</v>
      </c>
      <c r="AM5458">
        <v>86.790185243476202</v>
      </c>
      <c r="AN5458">
        <v>1.00000002498672</v>
      </c>
    </row>
    <row r="5459" spans="1:40" x14ac:dyDescent="0.25">
      <c r="A5459" t="str">
        <f>"20190312161425719"</f>
        <v>20190312161425719</v>
      </c>
      <c r="B5459" t="str">
        <f>"1552378465711436"</f>
        <v>1552378465711436</v>
      </c>
      <c r="C5459" t="s">
        <v>40</v>
      </c>
      <c r="D5459">
        <v>5.6851349999999998</v>
      </c>
      <c r="E5459">
        <v>0.53277299999999905</v>
      </c>
      <c r="F5459" t="s">
        <v>41</v>
      </c>
      <c r="G5459">
        <v>-303.64850000000001</v>
      </c>
      <c r="H5459">
        <v>-0.05</v>
      </c>
      <c r="I5459">
        <v>10.222379999999999</v>
      </c>
      <c r="J5459">
        <v>-370.15640000000002</v>
      </c>
      <c r="K5459">
        <v>1.1094090000000001</v>
      </c>
      <c r="L5459">
        <v>17.276029999999999</v>
      </c>
      <c r="M5459">
        <v>0.99932489999999996</v>
      </c>
      <c r="N5459">
        <v>0</v>
      </c>
      <c r="O5459">
        <v>3.5247239999999999E-2</v>
      </c>
      <c r="P5459">
        <v>0.99957240000000003</v>
      </c>
      <c r="Q5459">
        <v>-2.0293140000000001E-2</v>
      </c>
      <c r="R5459">
        <v>-2.1057469999999998E-2</v>
      </c>
      <c r="S5459">
        <v>2.9936829999999999</v>
      </c>
      <c r="T5459">
        <v>-5.2077289999999998E-2</v>
      </c>
      <c r="U5459">
        <v>-0.31661990000000001</v>
      </c>
      <c r="V5459">
        <v>5.6268850000000002E-2</v>
      </c>
      <c r="W5459">
        <v>-9.9941370000000002E-3</v>
      </c>
      <c r="X5459">
        <v>0.99836559999999996</v>
      </c>
      <c r="Y5459">
        <v>0.14013809999999999</v>
      </c>
      <c r="Z5459">
        <v>-1.8270440000000001E-3</v>
      </c>
      <c r="AA5459">
        <v>0.99013030000000002</v>
      </c>
      <c r="AB5459">
        <v>25</v>
      </c>
      <c r="AC5459">
        <v>66.507900000000006</v>
      </c>
      <c r="AD5459">
        <v>-1.1594089999999999</v>
      </c>
      <c r="AE5459">
        <v>-7.0536499999999904</v>
      </c>
      <c r="AF5459">
        <v>9.3907902407360506</v>
      </c>
      <c r="AG5459">
        <v>-1.1594089999999999</v>
      </c>
      <c r="AH5459">
        <v>66.198040396483293</v>
      </c>
      <c r="AI5459">
        <v>90.993445762601397</v>
      </c>
      <c r="AJ5459">
        <v>81.9259489863299</v>
      </c>
      <c r="AK5459">
        <v>66.870858547720303</v>
      </c>
      <c r="AL5459">
        <v>90.572631420804299</v>
      </c>
      <c r="AM5459">
        <v>86.774167291672299</v>
      </c>
      <c r="AN5459">
        <v>0.99999996875902797</v>
      </c>
    </row>
    <row r="5460" spans="1:40" x14ac:dyDescent="0.25">
      <c r="A5460" t="str">
        <f>"20190312161425739"</f>
        <v>20190312161425739</v>
      </c>
      <c r="B5460" t="str">
        <f>"1552378465731931"</f>
        <v>1552378465731931</v>
      </c>
      <c r="C5460" t="s">
        <v>40</v>
      </c>
      <c r="D5460">
        <v>5.6705420000000002</v>
      </c>
      <c r="E5460">
        <v>0.53345310000000001</v>
      </c>
      <c r="F5460" t="s">
        <v>41</v>
      </c>
      <c r="G5460">
        <v>-309.75209999999998</v>
      </c>
      <c r="H5460">
        <v>-0.05</v>
      </c>
      <c r="I5460">
        <v>10.72475</v>
      </c>
      <c r="J5460">
        <v>-369.93560000000002</v>
      </c>
      <c r="K5460">
        <v>1.109416</v>
      </c>
      <c r="L5460">
        <v>17.28323</v>
      </c>
      <c r="M5460">
        <v>0.99934259999999997</v>
      </c>
      <c r="N5460">
        <v>0</v>
      </c>
      <c r="O5460">
        <v>3.4745829999999998E-2</v>
      </c>
      <c r="P5460">
        <v>0.99956109999999998</v>
      </c>
      <c r="Q5460">
        <v>-1.980312E-2</v>
      </c>
      <c r="R5460">
        <v>-2.203745E-2</v>
      </c>
      <c r="S5460">
        <v>2.9933169999999998</v>
      </c>
      <c r="T5460">
        <v>-5.7454110000000003E-2</v>
      </c>
      <c r="U5460">
        <v>-0.32464599999999999</v>
      </c>
      <c r="V5460">
        <v>5.6747680000000002E-2</v>
      </c>
      <c r="W5460">
        <v>-9.5231659999999996E-3</v>
      </c>
      <c r="X5460">
        <v>0.99834310000000004</v>
      </c>
      <c r="Y5460">
        <v>0.14227239999999999</v>
      </c>
      <c r="Z5460">
        <v>-2.026435E-3</v>
      </c>
      <c r="AA5460">
        <v>0.98982550000000002</v>
      </c>
      <c r="AB5460">
        <v>25</v>
      </c>
      <c r="AC5460">
        <v>60.183500000000002</v>
      </c>
      <c r="AD5460">
        <v>-1.159416</v>
      </c>
      <c r="AE5460">
        <v>-6.5584799999999897</v>
      </c>
      <c r="AF5460">
        <v>8.6425872243888797</v>
      </c>
      <c r="AG5460">
        <v>-1.159416</v>
      </c>
      <c r="AH5460">
        <v>59.8972954788481</v>
      </c>
      <c r="AI5460">
        <v>91.097556976726494</v>
      </c>
      <c r="AJ5460">
        <v>81.789453047926401</v>
      </c>
      <c r="AK5460">
        <v>60.528708602386899</v>
      </c>
      <c r="AL5460">
        <v>90.545645484789603</v>
      </c>
      <c r="AM5460">
        <v>86.746702034084606</v>
      </c>
      <c r="AN5460">
        <v>0.99999996759682697</v>
      </c>
    </row>
    <row r="5461" spans="1:40" x14ac:dyDescent="0.25">
      <c r="A5461" t="str">
        <f>"20190312161425760"</f>
        <v>20190312161425760</v>
      </c>
      <c r="B5461" t="str">
        <f>"1552378465751450"</f>
        <v>1552378465751450</v>
      </c>
      <c r="C5461" t="s">
        <v>40</v>
      </c>
      <c r="D5461">
        <v>5.7152919999999998</v>
      </c>
      <c r="E5461">
        <v>0.5342076</v>
      </c>
      <c r="F5461" t="s">
        <v>42</v>
      </c>
      <c r="G5461">
        <v>-333.90359999999998</v>
      </c>
      <c r="H5461" s="1">
        <v>-3.7455259999999998E-6</v>
      </c>
      <c r="I5461">
        <v>13.284050000000001</v>
      </c>
      <c r="J5461">
        <v>-369.69450000000001</v>
      </c>
      <c r="K5461">
        <v>1.109423</v>
      </c>
      <c r="L5461">
        <v>17.29102</v>
      </c>
      <c r="M5461">
        <v>0.99936130000000001</v>
      </c>
      <c r="N5461">
        <v>0</v>
      </c>
      <c r="O5461">
        <v>3.421035E-2</v>
      </c>
      <c r="P5461">
        <v>0.99956210000000001</v>
      </c>
      <c r="Q5461">
        <v>-1.9027240000000001E-2</v>
      </c>
      <c r="R5461">
        <v>-2.266686E-2</v>
      </c>
      <c r="S5461">
        <v>2.9921570000000002</v>
      </c>
      <c r="T5461">
        <v>-9.2128039999999994E-2</v>
      </c>
      <c r="U5461">
        <v>-0.33209229999999901</v>
      </c>
      <c r="V5461">
        <v>5.6842549999999999E-2</v>
      </c>
      <c r="W5461">
        <v>-8.7684229999999991E-3</v>
      </c>
      <c r="X5461">
        <v>0.99834469999999997</v>
      </c>
      <c r="Y5461">
        <v>0.1441655</v>
      </c>
      <c r="Z5461">
        <v>-3.2623639999999998E-3</v>
      </c>
      <c r="AA5461">
        <v>0.98954819999999999</v>
      </c>
      <c r="AB5461">
        <v>25</v>
      </c>
      <c r="AC5461">
        <v>35.790900000000001</v>
      </c>
      <c r="AD5461">
        <v>-1.1094267455260001</v>
      </c>
      <c r="AE5461">
        <v>-4.0069699999999902</v>
      </c>
      <c r="AF5461">
        <v>5.22415134979392</v>
      </c>
      <c r="AG5461">
        <v>-1.1094267455260001</v>
      </c>
      <c r="AH5461">
        <v>35.5990788954498</v>
      </c>
      <c r="AI5461">
        <v>91.766111843285202</v>
      </c>
      <c r="AJ5461">
        <v>81.651455604114901</v>
      </c>
      <c r="AK5461">
        <v>35.997458288519503</v>
      </c>
      <c r="AL5461">
        <v>90.502400043574994</v>
      </c>
      <c r="AM5461">
        <v>86.741280137855398</v>
      </c>
      <c r="AN5461">
        <v>1.00000005037524</v>
      </c>
    </row>
    <row r="5462" spans="1:40" x14ac:dyDescent="0.25">
      <c r="A5462" t="str">
        <f>"20190312161425771"</f>
        <v>20190312161425771</v>
      </c>
      <c r="B5462" t="str">
        <f>"1552378465762187"</f>
        <v>1552378465762187</v>
      </c>
      <c r="C5462" t="s">
        <v>40</v>
      </c>
      <c r="D5462">
        <v>5.8126800000000003</v>
      </c>
      <c r="E5462">
        <v>0.53628849999999995</v>
      </c>
      <c r="F5462" t="s">
        <v>42</v>
      </c>
      <c r="G5462">
        <v>-331.79419999999999</v>
      </c>
      <c r="H5462" s="1">
        <v>-4.6790740000000004E-6</v>
      </c>
      <c r="I5462">
        <v>12.98362</v>
      </c>
      <c r="J5462">
        <v>-369.57240000000002</v>
      </c>
      <c r="K5462">
        <v>1.109426</v>
      </c>
      <c r="L5462">
        <v>17.294920000000001</v>
      </c>
      <c r="M5462">
        <v>0.9993706</v>
      </c>
      <c r="N5462">
        <v>0</v>
      </c>
      <c r="O5462">
        <v>3.394308E-2</v>
      </c>
      <c r="P5462">
        <v>0.99955680000000002</v>
      </c>
      <c r="Q5462">
        <v>-1.8870140000000001E-2</v>
      </c>
      <c r="R5462">
        <v>-2.3027349999999999E-2</v>
      </c>
      <c r="S5462">
        <v>2.9919129999999998</v>
      </c>
      <c r="T5462">
        <v>-8.7580080000000005E-2</v>
      </c>
      <c r="U5462">
        <v>-0.34002690000000002</v>
      </c>
      <c r="V5462">
        <v>5.6936029999999999E-2</v>
      </c>
      <c r="W5462">
        <v>-8.6215400000000005E-3</v>
      </c>
      <c r="X5462">
        <v>0.99834060000000002</v>
      </c>
      <c r="Y5462">
        <v>0.1465081</v>
      </c>
      <c r="Z5462">
        <v>-3.1275589999999998E-3</v>
      </c>
      <c r="AA5462">
        <v>0.98920450000000004</v>
      </c>
      <c r="AB5462">
        <v>25</v>
      </c>
      <c r="AC5462">
        <v>37.778199999999998</v>
      </c>
      <c r="AD5462">
        <v>-1.1094306790740001</v>
      </c>
      <c r="AE5462">
        <v>-4.3113000000000001</v>
      </c>
      <c r="AF5462">
        <v>5.5864361280558699</v>
      </c>
      <c r="AG5462">
        <v>-1.1094306790740001</v>
      </c>
      <c r="AH5462">
        <v>37.578090710350303</v>
      </c>
      <c r="AI5462">
        <v>91.672699417793297</v>
      </c>
      <c r="AJ5462">
        <v>81.5442208922573</v>
      </c>
      <c r="AK5462">
        <v>38.007262549147597</v>
      </c>
      <c r="AL5462">
        <v>90.493983975718706</v>
      </c>
      <c r="AM5462">
        <v>86.735919236076398</v>
      </c>
      <c r="AN5462">
        <v>0.99999999803624595</v>
      </c>
    </row>
    <row r="5463" spans="1:40" x14ac:dyDescent="0.25">
      <c r="A5463" t="str">
        <f>"20190312161425782"</f>
        <v>20190312161425782</v>
      </c>
      <c r="B5463" t="str">
        <f>"1552378465771948"</f>
        <v>1552378465771948</v>
      </c>
      <c r="C5463" t="s">
        <v>40</v>
      </c>
      <c r="D5463">
        <v>5.7816010000000002</v>
      </c>
      <c r="E5463">
        <v>0.53628849999999995</v>
      </c>
      <c r="F5463" t="s">
        <v>42</v>
      </c>
      <c r="G5463">
        <v>-325.93180000000001</v>
      </c>
      <c r="H5463" s="1">
        <v>-3.5536639999999998E-6</v>
      </c>
      <c r="I5463">
        <v>12.072570000000001</v>
      </c>
      <c r="J5463">
        <v>-369.44779999999997</v>
      </c>
      <c r="K5463">
        <v>1.109429</v>
      </c>
      <c r="L5463">
        <v>17.298829999999999</v>
      </c>
      <c r="M5463">
        <v>0.99937989999999999</v>
      </c>
      <c r="N5463">
        <v>0</v>
      </c>
      <c r="O5463">
        <v>3.36739E-2</v>
      </c>
      <c r="P5463">
        <v>0.99954299999999996</v>
      </c>
      <c r="Q5463">
        <v>-1.9121320000000001E-2</v>
      </c>
      <c r="R5463">
        <v>-2.3427030000000001E-2</v>
      </c>
      <c r="S5463">
        <v>2.991638</v>
      </c>
      <c r="T5463">
        <v>-7.6053259999999998E-2</v>
      </c>
      <c r="U5463">
        <v>-0.35800169999999998</v>
      </c>
      <c r="V5463">
        <v>5.7065770000000002E-2</v>
      </c>
      <c r="W5463">
        <v>-8.8823319999999997E-3</v>
      </c>
      <c r="X5463">
        <v>0.99833090000000002</v>
      </c>
      <c r="Y5463">
        <v>0.15213019999999999</v>
      </c>
      <c r="Z5463">
        <v>-2.77977E-3</v>
      </c>
      <c r="AA5463">
        <v>0.98835649999999997</v>
      </c>
      <c r="AB5463">
        <v>25</v>
      </c>
      <c r="AC5463">
        <v>43.515999999999899</v>
      </c>
      <c r="AD5463">
        <v>-1.109432553664</v>
      </c>
      <c r="AE5463">
        <v>-5.2262599999999999</v>
      </c>
      <c r="AF5463">
        <v>6.6844437367263199</v>
      </c>
      <c r="AG5463">
        <v>-1.109432553664</v>
      </c>
      <c r="AH5463">
        <v>43.2875841815694</v>
      </c>
      <c r="AI5463">
        <v>91.450942344206396</v>
      </c>
      <c r="AJ5463">
        <v>81.221754090902195</v>
      </c>
      <c r="AK5463">
        <v>43.814695855808999</v>
      </c>
      <c r="AL5463">
        <v>90.508926832133696</v>
      </c>
      <c r="AM5463">
        <v>86.728465802469898</v>
      </c>
      <c r="AN5463">
        <v>0.99999999191112998</v>
      </c>
    </row>
    <row r="5464" spans="1:40" x14ac:dyDescent="0.25">
      <c r="A5464" t="str">
        <f>"20190312161425838"</f>
        <v>20190312161425838</v>
      </c>
      <c r="B5464" t="str">
        <f>"1552378465832459"</f>
        <v>1552378465832459</v>
      </c>
      <c r="C5464" t="s">
        <v>40</v>
      </c>
      <c r="D5464">
        <v>5.0213830000000002</v>
      </c>
      <c r="E5464">
        <v>0.53628849999999995</v>
      </c>
      <c r="F5464" t="s">
        <v>42</v>
      </c>
      <c r="G5464">
        <v>-326.13670000000002</v>
      </c>
      <c r="H5464" s="1">
        <v>-3.4681150000000001E-6</v>
      </c>
      <c r="I5464">
        <v>12.098409999999999</v>
      </c>
      <c r="J5464">
        <v>-368.83429999999998</v>
      </c>
      <c r="K5464">
        <v>1.1094299999999999</v>
      </c>
      <c r="L5464">
        <v>17.317810000000001</v>
      </c>
      <c r="M5464">
        <v>0.99942260000000005</v>
      </c>
      <c r="N5464">
        <v>0</v>
      </c>
      <c r="O5464">
        <v>3.2392850000000001E-2</v>
      </c>
      <c r="P5464">
        <v>0.99948990000000004</v>
      </c>
      <c r="Q5464">
        <v>-1.9152570000000001E-2</v>
      </c>
      <c r="R5464">
        <v>-2.5562669999999999E-2</v>
      </c>
      <c r="S5464">
        <v>2.9914860000000001</v>
      </c>
      <c r="T5464">
        <v>-7.6628210000000002E-2</v>
      </c>
      <c r="U5464">
        <v>-0.35919190000000001</v>
      </c>
      <c r="V5464">
        <v>5.7919350000000001E-2</v>
      </c>
      <c r="W5464">
        <v>-8.9627470000000001E-3</v>
      </c>
      <c r="X5464">
        <v>0.99828110000000003</v>
      </c>
      <c r="Y5464">
        <v>0.15125659999999999</v>
      </c>
      <c r="Z5464">
        <v>-2.7569959999999998E-3</v>
      </c>
      <c r="AA5464">
        <v>0.98849070000000006</v>
      </c>
      <c r="AB5464">
        <v>25</v>
      </c>
      <c r="AC5464">
        <v>42.697599999999902</v>
      </c>
      <c r="AD5464">
        <v>-1.109433468115</v>
      </c>
      <c r="AE5464">
        <v>-5.2194000000000003</v>
      </c>
      <c r="AF5464">
        <v>6.5954430249547098</v>
      </c>
      <c r="AG5464">
        <v>-1.109433468115</v>
      </c>
      <c r="AH5464">
        <v>42.477854021677402</v>
      </c>
      <c r="AI5464">
        <v>91.478400260997205</v>
      </c>
      <c r="AJ5464">
        <v>81.174283689926895</v>
      </c>
      <c r="AK5464">
        <v>43.001148747475703</v>
      </c>
      <c r="AL5464">
        <v>90.513534416477896</v>
      </c>
      <c r="AM5464">
        <v>86.679474170014004</v>
      </c>
      <c r="AN5464">
        <v>1.0000000682776999</v>
      </c>
    </row>
    <row r="5465" spans="1:40" x14ac:dyDescent="0.25">
      <c r="A5465" t="str">
        <f>"20190312161425849"</f>
        <v>20190312161425849</v>
      </c>
      <c r="B5465" t="str">
        <f>"1552378465842221"</f>
        <v>1552378465842221</v>
      </c>
      <c r="C5465" t="s">
        <v>40</v>
      </c>
      <c r="D5465">
        <v>5.7386589999999904</v>
      </c>
      <c r="E5465">
        <v>0.53628849999999995</v>
      </c>
      <c r="F5465" t="s">
        <v>42</v>
      </c>
      <c r="G5465">
        <v>-325.58440000000002</v>
      </c>
      <c r="H5465" s="1">
        <v>-3.6980949999999999E-6</v>
      </c>
      <c r="I5465">
        <v>12.031169999999999</v>
      </c>
      <c r="J5465">
        <v>-368.71260000000001</v>
      </c>
      <c r="K5465">
        <v>1.109434</v>
      </c>
      <c r="L5465">
        <v>17.3215</v>
      </c>
      <c r="M5465">
        <v>0.99943070000000001</v>
      </c>
      <c r="N5465">
        <v>0</v>
      </c>
      <c r="O5465">
        <v>3.2147229999999999E-2</v>
      </c>
      <c r="P5465">
        <v>0.9994712</v>
      </c>
      <c r="Q5465">
        <v>-1.9451059999999999E-2</v>
      </c>
      <c r="R5465">
        <v>-2.6061689999999998E-2</v>
      </c>
      <c r="S5465">
        <v>2.990723</v>
      </c>
      <c r="T5465">
        <v>-7.6717140000000003E-2</v>
      </c>
      <c r="U5465">
        <v>-0.36557010000000001</v>
      </c>
      <c r="V5465">
        <v>5.8172109999999999E-2</v>
      </c>
      <c r="W5465">
        <v>-9.2729739999999998E-3</v>
      </c>
      <c r="X5465">
        <v>0.99826349999999997</v>
      </c>
      <c r="Y5465">
        <v>0.15312020000000001</v>
      </c>
      <c r="Z5465">
        <v>-2.7780769999999999E-3</v>
      </c>
      <c r="AA5465">
        <v>0.98820359999999996</v>
      </c>
      <c r="AB5465">
        <v>25</v>
      </c>
      <c r="AC5465">
        <v>43.1281999999999</v>
      </c>
      <c r="AD5465">
        <v>-1.109437698095</v>
      </c>
      <c r="AE5465">
        <v>-5.29033</v>
      </c>
      <c r="AF5465">
        <v>6.6697720321874998</v>
      </c>
      <c r="AG5465">
        <v>-1.109437698095</v>
      </c>
      <c r="AH5465">
        <v>42.907855562258298</v>
      </c>
      <c r="AI5465">
        <v>91.463557392251502</v>
      </c>
      <c r="AJ5465">
        <v>81.164421855077293</v>
      </c>
      <c r="AK5465">
        <v>43.437320128190699</v>
      </c>
      <c r="AL5465">
        <v>90.531309888871604</v>
      </c>
      <c r="AM5465">
        <v>86.664957369441197</v>
      </c>
      <c r="AN5465">
        <v>0.99999999893045299</v>
      </c>
    </row>
    <row r="5466" spans="1:40" x14ac:dyDescent="0.25">
      <c r="A5466" t="str">
        <f>"20190312161425860"</f>
        <v>20190312161425860</v>
      </c>
      <c r="B5466" t="str">
        <f>"1552378465851979"</f>
        <v>1552378465851979</v>
      </c>
      <c r="C5466" t="s">
        <v>40</v>
      </c>
      <c r="D5466">
        <v>5.8967599999999996</v>
      </c>
      <c r="E5466">
        <v>0.54205909999999902</v>
      </c>
      <c r="F5466" t="s">
        <v>42</v>
      </c>
      <c r="G5466">
        <v>-326.0831</v>
      </c>
      <c r="H5466" s="1">
        <v>-3.4911030000000002E-6</v>
      </c>
      <c r="I5466">
        <v>12.08938</v>
      </c>
      <c r="J5466">
        <v>-368.57569999999998</v>
      </c>
      <c r="K5466">
        <v>1.1094409999999999</v>
      </c>
      <c r="L5466">
        <v>17.325589999999998</v>
      </c>
      <c r="M5466">
        <v>0.99943950000000004</v>
      </c>
      <c r="N5466">
        <v>0</v>
      </c>
      <c r="O5466">
        <v>3.1878040000000003E-2</v>
      </c>
      <c r="P5466">
        <v>0.99945430000000002</v>
      </c>
      <c r="Q5466">
        <v>-1.9359830000000001E-2</v>
      </c>
      <c r="R5466">
        <v>-2.6768509999999999E-2</v>
      </c>
      <c r="S5466">
        <v>2.9904790000000001</v>
      </c>
      <c r="T5466">
        <v>-7.7827450000000006E-2</v>
      </c>
      <c r="U5466">
        <v>-0.3670349</v>
      </c>
      <c r="V5466">
        <v>5.860953E-2</v>
      </c>
      <c r="W5466">
        <v>-9.1943679999999996E-3</v>
      </c>
      <c r="X5466">
        <v>0.99823859999999998</v>
      </c>
      <c r="Y5466">
        <v>0.1533389</v>
      </c>
      <c r="Z5466">
        <v>-2.8142689999999999E-3</v>
      </c>
      <c r="AA5466">
        <v>0.98816970000000004</v>
      </c>
      <c r="AB5466">
        <v>25</v>
      </c>
      <c r="AC5466">
        <v>42.492599999999896</v>
      </c>
      <c r="AD5466">
        <v>-1.1094444911029999</v>
      </c>
      <c r="AE5466">
        <v>-5.23620999999999</v>
      </c>
      <c r="AF5466">
        <v>6.5837791305535402</v>
      </c>
      <c r="AG5466">
        <v>-1.1094444911029999</v>
      </c>
      <c r="AH5466">
        <v>42.275685038242599</v>
      </c>
      <c r="AI5466">
        <v>91.485376606723506</v>
      </c>
      <c r="AJ5466">
        <v>81.148179866164398</v>
      </c>
      <c r="AK5466">
        <v>42.799656075387396</v>
      </c>
      <c r="AL5466">
        <v>90.526805926389599</v>
      </c>
      <c r="AM5466">
        <v>86.639853435874599</v>
      </c>
      <c r="AN5466">
        <v>0.99999995796984897</v>
      </c>
    </row>
    <row r="5467" spans="1:40" x14ac:dyDescent="0.25">
      <c r="A5467" t="str">
        <f>"20190312161425871"</f>
        <v>20190312161425871</v>
      </c>
      <c r="B5467" t="str">
        <f>"1552378465861739"</f>
        <v>1552378465861739</v>
      </c>
      <c r="C5467" t="s">
        <v>40</v>
      </c>
      <c r="D5467">
        <v>5.8407450000000001</v>
      </c>
      <c r="E5467">
        <v>0.54205909999999902</v>
      </c>
      <c r="F5467" t="s">
        <v>43</v>
      </c>
      <c r="G5467">
        <v>-367.81619999999998</v>
      </c>
      <c r="H5467">
        <v>0.93525579999999997</v>
      </c>
      <c r="I5467">
        <v>17.223689999999898</v>
      </c>
      <c r="J5467">
        <v>-368.4579</v>
      </c>
      <c r="K5467">
        <v>1.1094469999999901</v>
      </c>
      <c r="L5467">
        <v>17.3291</v>
      </c>
      <c r="M5467">
        <v>0.99944679999999997</v>
      </c>
      <c r="N5467">
        <v>0</v>
      </c>
      <c r="O5467">
        <v>3.1648570000000001E-2</v>
      </c>
      <c r="P5467">
        <v>0.99943879999999996</v>
      </c>
      <c r="Q5467">
        <v>-1.930956E-2</v>
      </c>
      <c r="R5467">
        <v>-2.737647E-2</v>
      </c>
      <c r="S5467">
        <v>2.977722</v>
      </c>
      <c r="T5467">
        <v>-0.68281409999999998</v>
      </c>
      <c r="U5467">
        <v>-0.39944459999999998</v>
      </c>
      <c r="V5467">
        <v>5.8987610000000003E-2</v>
      </c>
      <c r="W5467">
        <v>-9.1544969999999993E-3</v>
      </c>
      <c r="X5467">
        <v>0.99821669999999996</v>
      </c>
      <c r="Y5467">
        <v>0.15937950000000001</v>
      </c>
      <c r="Z5467">
        <v>-2.509867E-2</v>
      </c>
      <c r="AA5467">
        <v>0.98689830000000001</v>
      </c>
      <c r="AB5467">
        <v>25</v>
      </c>
      <c r="AC5467">
        <v>0.64170000000001404</v>
      </c>
      <c r="AD5467">
        <v>-0.17419119999999899</v>
      </c>
      <c r="AE5467">
        <v>-0.105410000000002</v>
      </c>
      <c r="AF5467">
        <v>0.117254099856189</v>
      </c>
      <c r="AG5467">
        <v>-0.17419119999999899</v>
      </c>
      <c r="AH5467">
        <v>0.59532724349486799</v>
      </c>
      <c r="AI5467">
        <v>106.017824841429</v>
      </c>
      <c r="AJ5467">
        <v>78.857788965387201</v>
      </c>
      <c r="AK5467">
        <v>0.631273019332937</v>
      </c>
      <c r="AL5467">
        <v>90.524521388241595</v>
      </c>
      <c r="AM5467">
        <v>86.618153833029595</v>
      </c>
      <c r="AN5467">
        <v>0.99999996155386095</v>
      </c>
    </row>
    <row r="5468" spans="1:40" x14ac:dyDescent="0.25">
      <c r="A5468" t="str">
        <f>"20190312161425882"</f>
        <v>20190312161425882</v>
      </c>
      <c r="B5468" t="str">
        <f>"1552378465872475"</f>
        <v>1552378465872475</v>
      </c>
      <c r="C5468" t="s">
        <v>40</v>
      </c>
      <c r="D5468">
        <v>5.8359100000000002</v>
      </c>
      <c r="E5468">
        <v>0.53897109999999904</v>
      </c>
      <c r="F5468" t="s">
        <v>43</v>
      </c>
      <c r="G5468">
        <v>-367.60140000000001</v>
      </c>
      <c r="H5468">
        <v>0.91306529999999997</v>
      </c>
      <c r="I5468">
        <v>17.21368</v>
      </c>
      <c r="J5468">
        <v>-368.33280000000002</v>
      </c>
      <c r="K5468">
        <v>1.109451</v>
      </c>
      <c r="L5468">
        <v>17.332789999999999</v>
      </c>
      <c r="M5468">
        <v>0.99945459999999997</v>
      </c>
      <c r="N5468">
        <v>0</v>
      </c>
      <c r="O5468">
        <v>3.1409270000000003E-2</v>
      </c>
      <c r="P5468">
        <v>0.99943199999999999</v>
      </c>
      <c r="Q5468">
        <v>-1.9105980000000002E-2</v>
      </c>
      <c r="R5468">
        <v>-2.776868E-2</v>
      </c>
      <c r="S5468">
        <v>2.9774780000000001</v>
      </c>
      <c r="T5468">
        <v>-0.68268809999999902</v>
      </c>
      <c r="U5468">
        <v>-0.40106199999999997</v>
      </c>
      <c r="V5468">
        <v>5.9140730000000002E-2</v>
      </c>
      <c r="W5468">
        <v>-8.9605759999999996E-3</v>
      </c>
      <c r="X5468">
        <v>0.99820940000000002</v>
      </c>
      <c r="Y5468">
        <v>0.1596805</v>
      </c>
      <c r="Z5468">
        <v>-2.507523E-2</v>
      </c>
      <c r="AA5468">
        <v>0.98685020000000001</v>
      </c>
      <c r="AB5468">
        <v>25</v>
      </c>
      <c r="AC5468">
        <v>0.73140000000000704</v>
      </c>
      <c r="AD5468">
        <v>-0.196385699999999</v>
      </c>
      <c r="AE5468">
        <v>-0.11910999999999899</v>
      </c>
      <c r="AF5468">
        <v>0.13270488030420899</v>
      </c>
      <c r="AG5468">
        <v>-0.196385699999999</v>
      </c>
      <c r="AH5468">
        <v>0.67956944901722405</v>
      </c>
      <c r="AI5468">
        <v>105.83483234798901</v>
      </c>
      <c r="AJ5468">
        <v>78.950453760763295</v>
      </c>
      <c r="AK5468">
        <v>0.71971700303565</v>
      </c>
      <c r="AL5468">
        <v>90.513410076889699</v>
      </c>
      <c r="AM5468">
        <v>86.609370954956702</v>
      </c>
      <c r="AN5468">
        <v>0.99999996205777097</v>
      </c>
    </row>
    <row r="5469" spans="1:40" x14ac:dyDescent="0.25">
      <c r="A5469" t="str">
        <f>"20190312161425893"</f>
        <v>20190312161425893</v>
      </c>
      <c r="B5469" t="str">
        <f>"1552378465882236"</f>
        <v>1552378465882236</v>
      </c>
      <c r="C5469" t="s">
        <v>40</v>
      </c>
      <c r="D5469">
        <v>5.7486899999999999</v>
      </c>
      <c r="E5469">
        <v>0.53459400000000001</v>
      </c>
      <c r="F5469" t="s">
        <v>42</v>
      </c>
      <c r="G5469">
        <v>-348.04329999999999</v>
      </c>
      <c r="H5469" s="1">
        <v>-1.9665970000000001E-6</v>
      </c>
      <c r="I5469">
        <v>14.675230000000001</v>
      </c>
      <c r="J5469">
        <v>-368.21039999999999</v>
      </c>
      <c r="K5469">
        <v>1.1094569999999999</v>
      </c>
      <c r="L5469">
        <v>17.336400000000001</v>
      </c>
      <c r="M5469">
        <v>0.99946179999999996</v>
      </c>
      <c r="N5469">
        <v>0</v>
      </c>
      <c r="O5469">
        <v>3.1178620000000001E-2</v>
      </c>
      <c r="P5469">
        <v>0.99940709999999999</v>
      </c>
      <c r="Q5469">
        <v>-1.9261070000000002E-2</v>
      </c>
      <c r="R5469">
        <v>-2.8543570000000001E-2</v>
      </c>
      <c r="S5469">
        <v>2.9877319999999998</v>
      </c>
      <c r="T5469">
        <v>-0.16337279999999901</v>
      </c>
      <c r="U5469">
        <v>-0.39132689999999998</v>
      </c>
      <c r="V5469">
        <v>5.9683989999999999E-2</v>
      </c>
      <c r="W5469">
        <v>-9.1264910000000005E-3</v>
      </c>
      <c r="X5469">
        <v>0.99817560000000005</v>
      </c>
      <c r="Y5469">
        <v>0.16044</v>
      </c>
      <c r="Z5469">
        <v>-6.0617800000000001E-3</v>
      </c>
      <c r="AA5469">
        <v>0.98702699999999999</v>
      </c>
      <c r="AB5469">
        <v>25</v>
      </c>
      <c r="AC5469">
        <v>20.167100000000001</v>
      </c>
      <c r="AD5469">
        <v>-1.1094589665969901</v>
      </c>
      <c r="AE5469">
        <v>-2.6611699999999998</v>
      </c>
      <c r="AF5469">
        <v>3.2789373771693602</v>
      </c>
      <c r="AG5469">
        <v>-1.1094589665969901</v>
      </c>
      <c r="AH5469">
        <v>20.014781053100599</v>
      </c>
      <c r="AI5469">
        <v>93.131116641814202</v>
      </c>
      <c r="AJ5469">
        <v>80.696121262085498</v>
      </c>
      <c r="AK5469">
        <v>20.311912517670901</v>
      </c>
      <c r="AL5469">
        <v>90.522916675454596</v>
      </c>
      <c r="AM5469">
        <v>86.578183099464397</v>
      </c>
      <c r="AN5469">
        <v>0.99999999996782596</v>
      </c>
    </row>
    <row r="5470" spans="1:40" x14ac:dyDescent="0.25">
      <c r="A5470" t="str">
        <f>"20190312161425905"</f>
        <v>20190312161425905</v>
      </c>
      <c r="B5470" t="str">
        <f>"1552378465901755"</f>
        <v>1552378465901755</v>
      </c>
      <c r="C5470" t="s">
        <v>40</v>
      </c>
      <c r="D5470">
        <v>5.7865669999999998</v>
      </c>
      <c r="E5470">
        <v>0.53596529999999998</v>
      </c>
      <c r="F5470" t="s">
        <v>42</v>
      </c>
      <c r="G5470">
        <v>-333.84010000000001</v>
      </c>
      <c r="H5470" s="1">
        <v>-3.7916829999999998E-6</v>
      </c>
      <c r="I5470">
        <v>13.19177</v>
      </c>
      <c r="J5470">
        <v>-368.07429999999999</v>
      </c>
      <c r="K5470">
        <v>1.1094580000000001</v>
      </c>
      <c r="L5470">
        <v>17.340389999999999</v>
      </c>
      <c r="M5470">
        <v>0.99946970000000002</v>
      </c>
      <c r="N5470">
        <v>0</v>
      </c>
      <c r="O5470">
        <v>3.0925210000000002E-2</v>
      </c>
      <c r="P5470">
        <v>0.99940039999999997</v>
      </c>
      <c r="Q5470">
        <v>-1.918166E-2</v>
      </c>
      <c r="R5470">
        <v>-2.882432E-2</v>
      </c>
      <c r="S5470">
        <v>2.9896240000000001</v>
      </c>
      <c r="T5470">
        <v>-9.6503969999999994E-2</v>
      </c>
      <c r="U5470">
        <v>-0.3605042</v>
      </c>
      <c r="V5470">
        <v>5.9711569999999999E-2</v>
      </c>
      <c r="W5470">
        <v>-9.0590649999999998E-3</v>
      </c>
      <c r="X5470">
        <v>0.99817449999999996</v>
      </c>
      <c r="Y5470">
        <v>0.15027190000000001</v>
      </c>
      <c r="Z5470">
        <v>-3.4107769999999998E-3</v>
      </c>
      <c r="AA5470">
        <v>0.98863880000000004</v>
      </c>
      <c r="AB5470">
        <v>25</v>
      </c>
      <c r="AC5470">
        <v>34.234199999999902</v>
      </c>
      <c r="AD5470">
        <v>-1.1094617916830001</v>
      </c>
      <c r="AE5470">
        <v>-4.1486199999999904</v>
      </c>
      <c r="AF5470">
        <v>5.2000079569351501</v>
      </c>
      <c r="AG5470">
        <v>-1.1094617916830001</v>
      </c>
      <c r="AH5470">
        <v>34.054271697358402</v>
      </c>
      <c r="AI5470">
        <v>91.844625870673795</v>
      </c>
      <c r="AJ5470">
        <v>81.318130596878902</v>
      </c>
      <c r="AK5470">
        <v>34.466859576365501</v>
      </c>
      <c r="AL5470">
        <v>90.519053324052095</v>
      </c>
      <c r="AM5470">
        <v>86.576601872371697</v>
      </c>
      <c r="AN5470">
        <v>0.999999935350392</v>
      </c>
    </row>
    <row r="5471" spans="1:40" x14ac:dyDescent="0.25">
      <c r="A5471" t="str">
        <f>"20190312161425919"</f>
        <v>20190312161425919</v>
      </c>
      <c r="B5471" t="str">
        <f>"1552378465912491"</f>
        <v>1552378465912491</v>
      </c>
      <c r="C5471" t="s">
        <v>40</v>
      </c>
      <c r="D5471">
        <v>5.825221</v>
      </c>
      <c r="E5471">
        <v>0.53939649999999995</v>
      </c>
      <c r="F5471" t="s">
        <v>41</v>
      </c>
      <c r="G5471">
        <v>-282.58089999999999</v>
      </c>
      <c r="H5471">
        <v>-0.05</v>
      </c>
      <c r="I5471">
        <v>6.6569979999999997</v>
      </c>
      <c r="J5471">
        <v>-367.93540000000002</v>
      </c>
      <c r="K5471">
        <v>1.1094569999999999</v>
      </c>
      <c r="L5471">
        <v>17.344390000000001</v>
      </c>
      <c r="M5471">
        <v>0.99947779999999997</v>
      </c>
      <c r="N5471">
        <v>0</v>
      </c>
      <c r="O5471">
        <v>3.0671739999999999E-2</v>
      </c>
      <c r="P5471">
        <v>0.99938269999999996</v>
      </c>
      <c r="Q5471">
        <v>-1.9069039999999999E-2</v>
      </c>
      <c r="R5471">
        <v>-2.9506899999999999E-2</v>
      </c>
      <c r="S5471">
        <v>2.990173</v>
      </c>
      <c r="T5471">
        <v>-4.0552619999999998E-2</v>
      </c>
      <c r="U5471">
        <v>-0.37365720000000002</v>
      </c>
      <c r="V5471">
        <v>6.0140480000000003E-2</v>
      </c>
      <c r="W5471">
        <v>-8.9606770000000002E-3</v>
      </c>
      <c r="X5471">
        <v>0.99814970000000003</v>
      </c>
      <c r="Y5471">
        <v>0.15435879999999999</v>
      </c>
      <c r="Z5471">
        <v>-1.457112E-3</v>
      </c>
      <c r="AA5471">
        <v>0.98801380000000005</v>
      </c>
      <c r="AB5471">
        <v>25</v>
      </c>
      <c r="AC5471">
        <v>85.354500000000002</v>
      </c>
      <c r="AD5471">
        <v>-1.159457</v>
      </c>
      <c r="AE5471">
        <v>-10.687391999999999</v>
      </c>
      <c r="AF5471">
        <v>13.298053586380499</v>
      </c>
      <c r="AG5471">
        <v>-1.159457</v>
      </c>
      <c r="AH5471">
        <v>84.971082376807999</v>
      </c>
      <c r="AI5471">
        <v>90.772370041961494</v>
      </c>
      <c r="AJ5471">
        <v>81.105306685513995</v>
      </c>
      <c r="AK5471">
        <v>86.013181606120099</v>
      </c>
      <c r="AL5471">
        <v>90.513415845881795</v>
      </c>
      <c r="AM5471">
        <v>86.551985153671595</v>
      </c>
      <c r="AN5471">
        <v>0.99999999733850897</v>
      </c>
    </row>
    <row r="5472" spans="1:40" x14ac:dyDescent="0.25">
      <c r="A5472" t="str">
        <f>"20190312161425984"</f>
        <v>20190312161425984</v>
      </c>
      <c r="B5472" t="str">
        <f>"1552378465981787"</f>
        <v>1552378465981787</v>
      </c>
      <c r="C5472" t="s">
        <v>40</v>
      </c>
      <c r="D5472">
        <v>4.266273</v>
      </c>
      <c r="E5472">
        <v>0.53939649999999995</v>
      </c>
      <c r="F5472" t="s">
        <v>41</v>
      </c>
      <c r="G5472">
        <v>-289.96710000000002</v>
      </c>
      <c r="H5472">
        <v>-0.05</v>
      </c>
      <c r="I5472">
        <v>6.8328860000000002</v>
      </c>
      <c r="J5472">
        <v>-367.1943</v>
      </c>
      <c r="K5472">
        <v>1.1094459999999999</v>
      </c>
      <c r="L5472">
        <v>17.36533</v>
      </c>
      <c r="M5472">
        <v>0.99951789999999996</v>
      </c>
      <c r="N5472">
        <v>0</v>
      </c>
      <c r="O5472">
        <v>2.9360480000000001E-2</v>
      </c>
      <c r="P5472">
        <v>0.99914270000000005</v>
      </c>
      <c r="Q5472">
        <v>-2.066252E-2</v>
      </c>
      <c r="R5472">
        <v>-3.5872939999999999E-2</v>
      </c>
      <c r="S5472">
        <v>2.9891049999999999</v>
      </c>
      <c r="T5472">
        <v>-4.445064E-2</v>
      </c>
      <c r="U5472">
        <v>-0.40298460000000003</v>
      </c>
      <c r="V5472">
        <v>6.5186400000000005E-2</v>
      </c>
      <c r="W5472">
        <v>-1.0628820000000001E-2</v>
      </c>
      <c r="X5472">
        <v>0.9978165</v>
      </c>
      <c r="Y5472">
        <v>0.16262929999999901</v>
      </c>
      <c r="Z5472">
        <v>-1.638526E-3</v>
      </c>
      <c r="AA5472">
        <v>0.9866859</v>
      </c>
      <c r="AB5472">
        <v>25</v>
      </c>
      <c r="AC5472">
        <v>77.227199999999897</v>
      </c>
      <c r="AD5472">
        <v>-1.159446</v>
      </c>
      <c r="AE5472">
        <v>-10.532444</v>
      </c>
      <c r="AF5472">
        <v>12.792615260250001</v>
      </c>
      <c r="AG5472">
        <v>-1.159446</v>
      </c>
      <c r="AH5472">
        <v>76.867639832241906</v>
      </c>
      <c r="AI5472">
        <v>90.852442389539803</v>
      </c>
      <c r="AJ5472">
        <v>80.551209826225701</v>
      </c>
      <c r="AK5472">
        <v>77.933493272167397</v>
      </c>
      <c r="AL5472">
        <v>90.608997992274993</v>
      </c>
      <c r="AM5472">
        <v>86.2622328004651</v>
      </c>
      <c r="AN5472">
        <v>1.0000000031159</v>
      </c>
    </row>
    <row r="5473" spans="1:40" x14ac:dyDescent="0.25">
      <c r="A5473" t="str">
        <f>"20190312161425996"</f>
        <v>20190312161425996</v>
      </c>
      <c r="B5473" t="str">
        <f>"1552378465992523"</f>
        <v>1552378465992523</v>
      </c>
      <c r="C5473" t="s">
        <v>40</v>
      </c>
      <c r="D5473">
        <v>5.5715810000000001</v>
      </c>
      <c r="E5473">
        <v>0.54449269999999905</v>
      </c>
      <c r="F5473" t="s">
        <v>41</v>
      </c>
      <c r="G5473">
        <v>-296.58519999999999</v>
      </c>
      <c r="H5473">
        <v>-0.05</v>
      </c>
      <c r="I5473">
        <v>7.3884889999999999</v>
      </c>
      <c r="J5473">
        <v>-367.05919999999998</v>
      </c>
      <c r="K5473">
        <v>1.1094459999999999</v>
      </c>
      <c r="L5473">
        <v>17.369019999999999</v>
      </c>
      <c r="M5473">
        <v>0.99952490000000005</v>
      </c>
      <c r="N5473">
        <v>0</v>
      </c>
      <c r="O5473">
        <v>2.912534E-2</v>
      </c>
      <c r="P5473">
        <v>0.99909320000000001</v>
      </c>
      <c r="Q5473">
        <v>-2.0751169999999999E-2</v>
      </c>
      <c r="R5473">
        <v>-3.7183679999999997E-2</v>
      </c>
      <c r="S5473">
        <v>2.986389</v>
      </c>
      <c r="T5473">
        <v>-4.9038409999999998E-2</v>
      </c>
      <c r="U5473">
        <v>-0.42196660000000002</v>
      </c>
      <c r="V5473">
        <v>6.6260219999999995E-2</v>
      </c>
      <c r="W5473">
        <v>-1.0731040000000001E-2</v>
      </c>
      <c r="X5473">
        <v>0.99774470000000004</v>
      </c>
      <c r="Y5473">
        <v>0.1686617</v>
      </c>
      <c r="Z5473">
        <v>-1.853911E-3</v>
      </c>
      <c r="AA5473">
        <v>0.9856722</v>
      </c>
      <c r="AB5473">
        <v>25</v>
      </c>
      <c r="AC5473">
        <v>70.473999999999904</v>
      </c>
      <c r="AD5473">
        <v>-1.159446</v>
      </c>
      <c r="AE5473">
        <v>-9.9805309999999992</v>
      </c>
      <c r="AF5473">
        <v>12.0257890398734</v>
      </c>
      <c r="AG5473">
        <v>-1.159446</v>
      </c>
      <c r="AH5473">
        <v>70.134788177623193</v>
      </c>
      <c r="AI5473">
        <v>90.933488505344201</v>
      </c>
      <c r="AJ5473">
        <v>80.270292592421796</v>
      </c>
      <c r="AK5473">
        <v>71.167776625229294</v>
      </c>
      <c r="AL5473">
        <v>90.614855084860395</v>
      </c>
      <c r="AM5473">
        <v>86.200566577117399</v>
      </c>
      <c r="AN5473">
        <v>1.0000000291760001</v>
      </c>
    </row>
    <row r="5474" spans="1:40" x14ac:dyDescent="0.25">
      <c r="A5474" t="str">
        <f>"20190312161426008"</f>
        <v>20190312161426008</v>
      </c>
      <c r="B5474" t="str">
        <f>"1552378466002283"</f>
        <v>1552378466002283</v>
      </c>
      <c r="C5474" t="s">
        <v>40</v>
      </c>
      <c r="D5474">
        <v>5.8389559999999996</v>
      </c>
      <c r="E5474">
        <v>0.54723449999999996</v>
      </c>
      <c r="F5474" t="s">
        <v>42</v>
      </c>
      <c r="G5474">
        <v>-323.82639999999998</v>
      </c>
      <c r="H5474" s="1">
        <v>-4.7491059999999997E-6</v>
      </c>
      <c r="I5474">
        <v>10.61833</v>
      </c>
      <c r="J5474">
        <v>-366.92630000000003</v>
      </c>
      <c r="K5474">
        <v>1.109443</v>
      </c>
      <c r="L5474">
        <v>17.37265</v>
      </c>
      <c r="M5474">
        <v>0.99953159999999996</v>
      </c>
      <c r="N5474">
        <v>0</v>
      </c>
      <c r="O5474">
        <v>2.8894329999999999E-2</v>
      </c>
      <c r="P5474">
        <v>0.9990405</v>
      </c>
      <c r="Q5474">
        <v>-2.0785809999999998E-2</v>
      </c>
      <c r="R5474">
        <v>-3.8552910000000003E-2</v>
      </c>
      <c r="S5474">
        <v>2.9837950000000002</v>
      </c>
      <c r="T5474">
        <v>-7.6570990000000005E-2</v>
      </c>
      <c r="U5474">
        <v>-0.46591189999999999</v>
      </c>
      <c r="V5474">
        <v>6.7396739999999997E-2</v>
      </c>
      <c r="W5474">
        <v>-1.077973E-2</v>
      </c>
      <c r="X5474">
        <v>0.997668</v>
      </c>
      <c r="Y5474">
        <v>0.1826953</v>
      </c>
      <c r="Z5474">
        <v>-3.0669790000000001E-3</v>
      </c>
      <c r="AA5474">
        <v>0.98316479999999995</v>
      </c>
      <c r="AB5474">
        <v>25</v>
      </c>
      <c r="AC5474">
        <v>43.099899999999998</v>
      </c>
      <c r="AD5474">
        <v>-1.109447749106</v>
      </c>
      <c r="AE5474">
        <v>-6.7543199999999999</v>
      </c>
      <c r="AF5474">
        <v>7.9917371458028299</v>
      </c>
      <c r="AG5474">
        <v>-1.109447749106</v>
      </c>
      <c r="AH5474">
        <v>42.859012978926401</v>
      </c>
      <c r="AI5474">
        <v>91.457712233923999</v>
      </c>
      <c r="AJ5474">
        <v>79.4376021523817</v>
      </c>
      <c r="AK5474">
        <v>43.6118530957282</v>
      </c>
      <c r="AL5474">
        <v>90.617645007606299</v>
      </c>
      <c r="AM5474">
        <v>86.135296887906193</v>
      </c>
      <c r="AN5474">
        <v>0.99999998068274998</v>
      </c>
    </row>
    <row r="5475" spans="1:40" x14ac:dyDescent="0.25">
      <c r="A5475" t="str">
        <f>"20190312161426030"</f>
        <v>20190312161426030</v>
      </c>
      <c r="B5475" t="str">
        <f>"1552378466021803"</f>
        <v>1552378466021803</v>
      </c>
      <c r="C5475" t="s">
        <v>40</v>
      </c>
      <c r="D5475">
        <v>5.6361619999999997</v>
      </c>
      <c r="E5475">
        <v>0.55104049999999904</v>
      </c>
      <c r="F5475" t="s">
        <v>42</v>
      </c>
      <c r="G5475">
        <v>-335.06650000000002</v>
      </c>
      <c r="H5475" s="1">
        <v>-3.6584419999999999E-6</v>
      </c>
      <c r="I5475">
        <v>12.12406</v>
      </c>
      <c r="J5475">
        <v>-366.67259999999999</v>
      </c>
      <c r="K5475">
        <v>1.1094360000000001</v>
      </c>
      <c r="L5475">
        <v>17.379490000000001</v>
      </c>
      <c r="M5475">
        <v>0.99954460000000001</v>
      </c>
      <c r="N5475">
        <v>0</v>
      </c>
      <c r="O5475">
        <v>2.8452370000000001E-2</v>
      </c>
      <c r="P5475">
        <v>0.99891920000000001</v>
      </c>
      <c r="Q5475">
        <v>-2.1121399999999999E-2</v>
      </c>
      <c r="R5475">
        <v>-4.14075E-2</v>
      </c>
      <c r="S5475">
        <v>2.9817809999999998</v>
      </c>
      <c r="T5475">
        <v>-0.1038338</v>
      </c>
      <c r="U5475">
        <v>-0.49121090000000001</v>
      </c>
      <c r="V5475">
        <v>6.9805300000000001E-2</v>
      </c>
      <c r="W5475">
        <v>-1.1145260000000001E-2</v>
      </c>
      <c r="X5475">
        <v>0.99749840000000001</v>
      </c>
      <c r="Y5475">
        <v>0.19042690000000001</v>
      </c>
      <c r="Z5475">
        <v>-4.2768090000000003E-3</v>
      </c>
      <c r="AA5475">
        <v>0.98169209999999996</v>
      </c>
      <c r="AB5475">
        <v>25</v>
      </c>
      <c r="AC5475">
        <v>31.606099999999898</v>
      </c>
      <c r="AD5475">
        <v>-1.1094396584420001</v>
      </c>
      <c r="AE5475">
        <v>-5.2554299999999996</v>
      </c>
      <c r="AF5475">
        <v>6.1452478326928404</v>
      </c>
      <c r="AG5475">
        <v>-1.1094396584420001</v>
      </c>
      <c r="AH5475">
        <v>31.406109889612601</v>
      </c>
      <c r="AI5475">
        <v>91.985544295197002</v>
      </c>
      <c r="AJ5475">
        <v>78.928788576935204</v>
      </c>
      <c r="AK5475">
        <v>32.020909819668802</v>
      </c>
      <c r="AL5475">
        <v>90.638589563159698</v>
      </c>
      <c r="AM5475">
        <v>85.996946698935403</v>
      </c>
      <c r="AN5475">
        <v>1.00000002736555</v>
      </c>
    </row>
    <row r="5476" spans="1:40" x14ac:dyDescent="0.25">
      <c r="A5476" t="str">
        <f>"20190312161426041"</f>
        <v>20190312161426041</v>
      </c>
      <c r="B5476" t="str">
        <f>"1552378466032539"</f>
        <v>1552378466032539</v>
      </c>
      <c r="C5476" t="s">
        <v>40</v>
      </c>
      <c r="D5476">
        <v>5.7915700000000001</v>
      </c>
      <c r="E5476">
        <v>0.55120400000000003</v>
      </c>
      <c r="F5476" t="s">
        <v>42</v>
      </c>
      <c r="G5476">
        <v>-323.09620000000001</v>
      </c>
      <c r="H5476">
        <v>5.0250549999999998E-2</v>
      </c>
      <c r="I5476">
        <v>9.6160700000000006</v>
      </c>
      <c r="J5476">
        <v>-366.54570000000001</v>
      </c>
      <c r="K5476">
        <v>1.109429</v>
      </c>
      <c r="L5476">
        <v>17.38287</v>
      </c>
      <c r="M5476">
        <v>0.99955099999999997</v>
      </c>
      <c r="N5476">
        <v>0</v>
      </c>
      <c r="O5476">
        <v>2.8230410000000001E-2</v>
      </c>
      <c r="P5476">
        <v>0.99885619999999997</v>
      </c>
      <c r="Q5476">
        <v>-2.106707E-2</v>
      </c>
      <c r="R5476">
        <v>-4.2927130000000001E-2</v>
      </c>
      <c r="S5476">
        <v>2.9797060000000002</v>
      </c>
      <c r="T5476">
        <v>-7.2425840000000005E-2</v>
      </c>
      <c r="U5476">
        <v>-0.53085329999999997</v>
      </c>
      <c r="V5476">
        <v>7.1100990000000003E-2</v>
      </c>
      <c r="W5476">
        <v>-1.1105510000000001E-2</v>
      </c>
      <c r="X5476">
        <v>0.9974073</v>
      </c>
      <c r="Y5476">
        <v>0.2030525</v>
      </c>
      <c r="Z5476">
        <v>-3.129218E-3</v>
      </c>
      <c r="AA5476">
        <v>0.97916289999999995</v>
      </c>
      <c r="AB5476">
        <v>25</v>
      </c>
      <c r="AC5476">
        <v>43.4495</v>
      </c>
      <c r="AD5476">
        <v>-1.0591784500000001</v>
      </c>
      <c r="AE5476">
        <v>-7.7667999999999999</v>
      </c>
      <c r="AF5476">
        <v>8.9851891091230094</v>
      </c>
      <c r="AG5476">
        <v>-1.0591784500000001</v>
      </c>
      <c r="AH5476">
        <v>43.188040332514603</v>
      </c>
      <c r="AI5476">
        <v>91.375446040833097</v>
      </c>
      <c r="AJ5476">
        <v>78.247375608919597</v>
      </c>
      <c r="AK5476">
        <v>44.125529006217597</v>
      </c>
      <c r="AL5476">
        <v>90.636311930776301</v>
      </c>
      <c r="AM5476">
        <v>85.922521253483595</v>
      </c>
      <c r="AN5476">
        <v>1.0000000026123099</v>
      </c>
    </row>
    <row r="5477" spans="1:40" x14ac:dyDescent="0.25">
      <c r="A5477" t="str">
        <f>"20190312161426053"</f>
        <v>20190312161426053</v>
      </c>
      <c r="B5477" t="str">
        <f>"1552378466042299"</f>
        <v>1552378466042299</v>
      </c>
      <c r="C5477" t="s">
        <v>40</v>
      </c>
      <c r="D5477">
        <v>5.5794769999999998</v>
      </c>
      <c r="E5477">
        <v>0.55079630000000002</v>
      </c>
      <c r="F5477" t="s">
        <v>41</v>
      </c>
      <c r="G5477">
        <v>-307.44420000000002</v>
      </c>
      <c r="H5477">
        <v>-0.05</v>
      </c>
      <c r="I5477">
        <v>6.7304529999999998</v>
      </c>
      <c r="J5477">
        <v>-366.42290000000003</v>
      </c>
      <c r="K5477">
        <v>1.109426</v>
      </c>
      <c r="L5477">
        <v>17.386109999999999</v>
      </c>
      <c r="M5477">
        <v>0.99955709999999998</v>
      </c>
      <c r="N5477">
        <v>0</v>
      </c>
      <c r="O5477">
        <v>2.801559E-2</v>
      </c>
      <c r="P5477">
        <v>0.99880500000000005</v>
      </c>
      <c r="Q5477">
        <v>-2.1083939999999999E-2</v>
      </c>
      <c r="R5477">
        <v>-4.4093149999999998E-2</v>
      </c>
      <c r="S5477">
        <v>2.9791259999999999</v>
      </c>
      <c r="T5477">
        <v>-5.8443309999999998E-2</v>
      </c>
      <c r="U5477">
        <v>-0.53695680000000001</v>
      </c>
      <c r="V5477">
        <v>7.2050660000000002E-2</v>
      </c>
      <c r="W5477">
        <v>-1.113544E-2</v>
      </c>
      <c r="X5477">
        <v>0.99733879999999997</v>
      </c>
      <c r="Y5477">
        <v>0.2048411</v>
      </c>
      <c r="Z5477">
        <v>-2.538471E-3</v>
      </c>
      <c r="AA5477">
        <v>0.978792</v>
      </c>
      <c r="AB5477">
        <v>25</v>
      </c>
      <c r="AC5477">
        <v>58.978700000000003</v>
      </c>
      <c r="AD5477">
        <v>-1.1594260000000001</v>
      </c>
      <c r="AE5477">
        <v>-10.655657</v>
      </c>
      <c r="AF5477">
        <v>12.299277553224901</v>
      </c>
      <c r="AG5477">
        <v>-1.1594260000000001</v>
      </c>
      <c r="AH5477">
        <v>58.6350647874781</v>
      </c>
      <c r="AI5477">
        <v>91.108674287772502</v>
      </c>
      <c r="AJ5477">
        <v>78.153404460183197</v>
      </c>
      <c r="AK5477">
        <v>59.922344076416898</v>
      </c>
      <c r="AL5477">
        <v>90.638026908304695</v>
      </c>
      <c r="AM5477">
        <v>85.867964434884996</v>
      </c>
      <c r="AN5477">
        <v>0.99999998880793395</v>
      </c>
    </row>
    <row r="5478" spans="1:40" x14ac:dyDescent="0.25">
      <c r="A5478" t="str">
        <f>"20190312161426063"</f>
        <v>20190312161426063</v>
      </c>
      <c r="B5478" t="str">
        <f>"1552378466052058"</f>
        <v>1552378466052058</v>
      </c>
      <c r="C5478" t="s">
        <v>40</v>
      </c>
      <c r="D5478">
        <v>5.6476519999999999</v>
      </c>
      <c r="E5478">
        <v>0.5498845</v>
      </c>
      <c r="F5478" t="s">
        <v>41</v>
      </c>
      <c r="G5478">
        <v>-296.20350000000002</v>
      </c>
      <c r="H5478">
        <v>-0.05</v>
      </c>
      <c r="I5478">
        <v>4.7161099999999996</v>
      </c>
      <c r="J5478">
        <v>-366.29599999999999</v>
      </c>
      <c r="K5478">
        <v>1.1094250000000001</v>
      </c>
      <c r="L5478">
        <v>17.389399999999998</v>
      </c>
      <c r="M5478">
        <v>0.99956350000000005</v>
      </c>
      <c r="N5478">
        <v>0</v>
      </c>
      <c r="O5478">
        <v>2.7792730000000002E-2</v>
      </c>
      <c r="P5478">
        <v>0.99875440000000004</v>
      </c>
      <c r="Q5478">
        <v>-2.136184E-2</v>
      </c>
      <c r="R5478">
        <v>-4.50944E-2</v>
      </c>
      <c r="S5478">
        <v>2.97879</v>
      </c>
      <c r="T5478">
        <v>-4.9184199999999997E-2</v>
      </c>
      <c r="U5478">
        <v>-0.53747559999999905</v>
      </c>
      <c r="V5478">
        <v>7.2827840000000005E-2</v>
      </c>
      <c r="W5478">
        <v>-1.142575E-2</v>
      </c>
      <c r="X5478">
        <v>0.99727900000000003</v>
      </c>
      <c r="Y5478">
        <v>0.2048199</v>
      </c>
      <c r="Z5478">
        <v>-2.1327389999999998E-3</v>
      </c>
      <c r="AA5478">
        <v>0.97879729999999998</v>
      </c>
      <c r="AB5478">
        <v>25</v>
      </c>
      <c r="AC5478">
        <v>70.092499999999902</v>
      </c>
      <c r="AD5478">
        <v>-1.1594249999999999</v>
      </c>
      <c r="AE5478">
        <v>-12.6732899999999</v>
      </c>
      <c r="AF5478">
        <v>14.6126819146562</v>
      </c>
      <c r="AG5478">
        <v>-1.1594249999999999</v>
      </c>
      <c r="AH5478">
        <v>69.694712126570494</v>
      </c>
      <c r="AI5478">
        <v>90.932792638313003</v>
      </c>
      <c r="AJ5478">
        <v>78.158495173099197</v>
      </c>
      <c r="AK5478">
        <v>71.219573415424705</v>
      </c>
      <c r="AL5478">
        <v>90.654661547846899</v>
      </c>
      <c r="AM5478">
        <v>85.8233012427321</v>
      </c>
      <c r="AN5478">
        <v>0.99999992294156104</v>
      </c>
    </row>
    <row r="5479" spans="1:40" x14ac:dyDescent="0.25">
      <c r="A5479" t="str">
        <f>"20190312161426074"</f>
        <v>20190312161426074</v>
      </c>
      <c r="B5479" t="str">
        <f>"1552378466072555"</f>
        <v>1552378466072555</v>
      </c>
      <c r="C5479" t="s">
        <v>40</v>
      </c>
      <c r="D5479">
        <v>5.6431420000000001</v>
      </c>
      <c r="E5479">
        <v>0.55116909999999997</v>
      </c>
      <c r="F5479" t="s">
        <v>101</v>
      </c>
      <c r="G5479">
        <v>-279.02</v>
      </c>
      <c r="H5479">
        <v>0.2369134</v>
      </c>
      <c r="I5479">
        <v>1.7556210000000001</v>
      </c>
      <c r="J5479">
        <v>-366.17759999999998</v>
      </c>
      <c r="K5479">
        <v>1.1094219999999999</v>
      </c>
      <c r="L5479">
        <v>17.392489999999999</v>
      </c>
      <c r="M5479">
        <v>0.9995695</v>
      </c>
      <c r="N5479">
        <v>0</v>
      </c>
      <c r="O5479">
        <v>2.7584339999999999E-2</v>
      </c>
      <c r="P5479">
        <v>0.99872879999999997</v>
      </c>
      <c r="Q5479">
        <v>-2.099519E-2</v>
      </c>
      <c r="R5479">
        <v>-4.5830419999999997E-2</v>
      </c>
      <c r="S5479">
        <v>2.9790040000000002</v>
      </c>
      <c r="T5479">
        <v>-2.9781579999999998E-2</v>
      </c>
      <c r="U5479">
        <v>-0.53363039999999995</v>
      </c>
      <c r="V5479">
        <v>7.335506E-2</v>
      </c>
      <c r="W5479">
        <v>-1.107095E-2</v>
      </c>
      <c r="X5479">
        <v>0.99724440000000003</v>
      </c>
      <c r="Y5479">
        <v>0.2033991</v>
      </c>
      <c r="Z5479">
        <v>-1.2823909999999999E-3</v>
      </c>
      <c r="AA5479">
        <v>0.97909500000000005</v>
      </c>
      <c r="AB5479">
        <v>25</v>
      </c>
      <c r="AC5479">
        <v>87.157600000000002</v>
      </c>
      <c r="AD5479">
        <v>-0.87250859999999997</v>
      </c>
      <c r="AE5479">
        <v>-15.636869000000001</v>
      </c>
      <c r="AF5479">
        <v>18.033472399114299</v>
      </c>
      <c r="AG5479">
        <v>-0.87250859999999997</v>
      </c>
      <c r="AH5479">
        <v>86.684661055483204</v>
      </c>
      <c r="AI5479">
        <v>90.5645934893423</v>
      </c>
      <c r="AJ5479">
        <v>78.248075918365004</v>
      </c>
      <c r="AK5479">
        <v>88.544891779993193</v>
      </c>
      <c r="AL5479">
        <v>90.634331692635399</v>
      </c>
      <c r="AM5479">
        <v>85.793027743819493</v>
      </c>
      <c r="AN5479">
        <v>0.99999996204643204</v>
      </c>
    </row>
    <row r="5480" spans="1:40" x14ac:dyDescent="0.25">
      <c r="A5480" t="str">
        <f>"20190312161426094"</f>
        <v>20190312161426094</v>
      </c>
      <c r="B5480" t="str">
        <f>"1552378466082315"</f>
        <v>1552378466082315</v>
      </c>
      <c r="C5480" t="s">
        <v>40</v>
      </c>
      <c r="D5480">
        <v>5.5847939999999996</v>
      </c>
      <c r="E5480">
        <v>0.5519908</v>
      </c>
      <c r="F5480" t="s">
        <v>41</v>
      </c>
      <c r="G5480">
        <v>-269.05239999999998</v>
      </c>
      <c r="H5480">
        <v>-0.05</v>
      </c>
      <c r="I5480">
        <v>-0.41140749999999998</v>
      </c>
      <c r="J5480">
        <v>-365.95940000000002</v>
      </c>
      <c r="K5480">
        <v>1.109415</v>
      </c>
      <c r="L5480">
        <v>17.398070000000001</v>
      </c>
      <c r="M5480">
        <v>0.99958029999999998</v>
      </c>
      <c r="N5480">
        <v>0</v>
      </c>
      <c r="O5480">
        <v>2.7199350000000001E-2</v>
      </c>
      <c r="P5480">
        <v>0.99868380000000001</v>
      </c>
      <c r="Q5480">
        <v>-2.0391610000000001E-2</v>
      </c>
      <c r="R5480">
        <v>-4.7067129999999999E-2</v>
      </c>
      <c r="S5480">
        <v>2.978027</v>
      </c>
      <c r="T5480">
        <v>-3.5549879999999999E-2</v>
      </c>
      <c r="U5480">
        <v>-0.54589840000000001</v>
      </c>
      <c r="V5480">
        <v>7.4206530000000007E-2</v>
      </c>
      <c r="W5480">
        <v>-1.0490589999999999E-2</v>
      </c>
      <c r="X5480">
        <v>0.99718770000000001</v>
      </c>
      <c r="Y5480">
        <v>0.20697650000000001</v>
      </c>
      <c r="Z5480">
        <v>-1.547311E-3</v>
      </c>
      <c r="AA5480">
        <v>0.97834469999999996</v>
      </c>
      <c r="AB5480">
        <v>25</v>
      </c>
      <c r="AC5480">
        <v>96.906999999999996</v>
      </c>
      <c r="AD5480">
        <v>-1.1594149999999901</v>
      </c>
      <c r="AE5480">
        <v>-17.8094775</v>
      </c>
      <c r="AF5480">
        <v>20.435996623272299</v>
      </c>
      <c r="AG5480">
        <v>-1.1594149999999901</v>
      </c>
      <c r="AH5480">
        <v>96.373368997057597</v>
      </c>
      <c r="AI5480">
        <v>90.674269508547994</v>
      </c>
      <c r="AJ5480">
        <v>78.027758583561905</v>
      </c>
      <c r="AK5480">
        <v>98.523096038297794</v>
      </c>
      <c r="AL5480">
        <v>90.601077565793204</v>
      </c>
      <c r="AM5480">
        <v>85.744132538233899</v>
      </c>
      <c r="AN5480">
        <v>0.99999998530223899</v>
      </c>
    </row>
    <row r="5481" spans="1:40" x14ac:dyDescent="0.25">
      <c r="A5481" t="str">
        <f>"20190312161426104"</f>
        <v>20190312161426104</v>
      </c>
      <c r="B5481" t="str">
        <f>"1552378466092075"</f>
        <v>1552378466092075</v>
      </c>
      <c r="C5481" t="s">
        <v>40</v>
      </c>
      <c r="D5481">
        <v>5.5803399999999996</v>
      </c>
      <c r="E5481">
        <v>0.55272880000000002</v>
      </c>
      <c r="F5481" t="s">
        <v>101</v>
      </c>
      <c r="G5481">
        <v>-279.02</v>
      </c>
      <c r="H5481">
        <v>0.16663249999999999</v>
      </c>
      <c r="I5481">
        <v>1.154863</v>
      </c>
      <c r="J5481">
        <v>-365.83010000000002</v>
      </c>
      <c r="K5481">
        <v>1.109413</v>
      </c>
      <c r="L5481">
        <v>17.40137</v>
      </c>
      <c r="M5481">
        <v>0.99958650000000004</v>
      </c>
      <c r="N5481">
        <v>0</v>
      </c>
      <c r="O5481">
        <v>2.6970959999999999E-2</v>
      </c>
      <c r="P5481">
        <v>0.99866100000000002</v>
      </c>
      <c r="Q5481">
        <v>-2.0161020000000002E-2</v>
      </c>
      <c r="R5481">
        <v>-4.7644840000000001E-2</v>
      </c>
      <c r="S5481">
        <v>2.9770509999999999</v>
      </c>
      <c r="T5481">
        <v>-3.2283539999999999E-2</v>
      </c>
      <c r="U5481">
        <v>-0.55621339999999997</v>
      </c>
      <c r="V5481">
        <v>7.4555700000000003E-2</v>
      </c>
      <c r="W5481">
        <v>-1.027458E-2</v>
      </c>
      <c r="X5481">
        <v>0.99716389999999999</v>
      </c>
      <c r="Y5481">
        <v>0.210089</v>
      </c>
      <c r="Z5481">
        <v>-1.4194429999999901E-3</v>
      </c>
      <c r="AA5481">
        <v>0.97768120000000003</v>
      </c>
      <c r="AB5481">
        <v>25</v>
      </c>
      <c r="AC5481">
        <v>86.810100000000006</v>
      </c>
      <c r="AD5481">
        <v>-0.94278050000000002</v>
      </c>
      <c r="AE5481">
        <v>-16.246507000000001</v>
      </c>
      <c r="AF5481">
        <v>18.579947061231</v>
      </c>
      <c r="AG5481">
        <v>-0.94278050000000002</v>
      </c>
      <c r="AH5481">
        <v>86.3304734875436</v>
      </c>
      <c r="AI5481">
        <v>90.611674691639706</v>
      </c>
      <c r="AJ5481">
        <v>77.854134036144501</v>
      </c>
      <c r="AK5481">
        <v>88.312252380135703</v>
      </c>
      <c r="AL5481">
        <v>90.588700439400995</v>
      </c>
      <c r="AM5481">
        <v>85.724079479732396</v>
      </c>
      <c r="AN5481">
        <v>0.99999998142993796</v>
      </c>
    </row>
    <row r="5482" spans="1:40" x14ac:dyDescent="0.25">
      <c r="A5482" t="str">
        <f>"20190312161426117"</f>
        <v>20190312161426117</v>
      </c>
      <c r="B5482" t="str">
        <f>"1552378466112570"</f>
        <v>1552378466112570</v>
      </c>
      <c r="C5482" t="s">
        <v>40</v>
      </c>
      <c r="D5482">
        <v>5.5742929999999999</v>
      </c>
      <c r="E5482">
        <v>0.55290229999999996</v>
      </c>
      <c r="F5482" t="s">
        <v>101</v>
      </c>
      <c r="G5482">
        <v>-279.02</v>
      </c>
      <c r="H5482">
        <v>0.1749387</v>
      </c>
      <c r="I5482">
        <v>0.95842740000000004</v>
      </c>
      <c r="J5482">
        <v>-365.69299999999998</v>
      </c>
      <c r="K5482">
        <v>1.1094090000000001</v>
      </c>
      <c r="L5482">
        <v>17.404820000000001</v>
      </c>
      <c r="M5482">
        <v>0.99959310000000001</v>
      </c>
      <c r="N5482">
        <v>0</v>
      </c>
      <c r="O5482">
        <v>2.672838E-2</v>
      </c>
      <c r="P5482">
        <v>0.9986429</v>
      </c>
      <c r="Q5482">
        <v>-1.9805840000000002E-2</v>
      </c>
      <c r="R5482">
        <v>-4.817039E-2</v>
      </c>
      <c r="S5482">
        <v>2.9764710000000001</v>
      </c>
      <c r="T5482">
        <v>-3.2040480000000003E-2</v>
      </c>
      <c r="U5482">
        <v>-0.56378169999999905</v>
      </c>
      <c r="V5482">
        <v>7.4838879999999997E-2</v>
      </c>
      <c r="W5482">
        <v>-9.9342920000000008E-3</v>
      </c>
      <c r="X5482">
        <v>0.99714610000000004</v>
      </c>
      <c r="Y5482">
        <v>0.21228669999999999</v>
      </c>
      <c r="Z5482">
        <v>-1.4178330000000001E-3</v>
      </c>
      <c r="AA5482">
        <v>0.97720640000000003</v>
      </c>
      <c r="AB5482">
        <v>25</v>
      </c>
      <c r="AC5482">
        <v>86.673000000000002</v>
      </c>
      <c r="AD5482">
        <v>-0.93447029999999998</v>
      </c>
      <c r="AE5482">
        <v>-16.446392599999999</v>
      </c>
      <c r="AF5482">
        <v>18.755155721136699</v>
      </c>
      <c r="AG5482">
        <v>-0.93447029999999998</v>
      </c>
      <c r="AH5482">
        <v>86.192753273337999</v>
      </c>
      <c r="AI5482">
        <v>90.606953852830003</v>
      </c>
      <c r="AJ5482">
        <v>77.724054852417694</v>
      </c>
      <c r="AK5482">
        <v>88.214623604616705</v>
      </c>
      <c r="AL5482">
        <v>90.569202397249995</v>
      </c>
      <c r="AM5482">
        <v>85.707822778261402</v>
      </c>
      <c r="AN5482">
        <v>0.99999994643120105</v>
      </c>
    </row>
    <row r="5483" spans="1:40" x14ac:dyDescent="0.25">
      <c r="A5483" t="str">
        <f>"20190312161426131"</f>
        <v>20190312161426131</v>
      </c>
      <c r="B5483" t="str">
        <f>"1552378466122331"</f>
        <v>1552378466122331</v>
      </c>
      <c r="C5483" t="s">
        <v>40</v>
      </c>
      <c r="D5483">
        <v>5.5974370000000002</v>
      </c>
      <c r="E5483">
        <v>0.55301679999999998</v>
      </c>
      <c r="F5483" t="s">
        <v>41</v>
      </c>
      <c r="G5483">
        <v>-266.48039999999997</v>
      </c>
      <c r="H5483">
        <v>-0.05</v>
      </c>
      <c r="I5483">
        <v>-1.4854579999999999</v>
      </c>
      <c r="J5483">
        <v>-365.5421</v>
      </c>
      <c r="K5483">
        <v>1.1094059999999999</v>
      </c>
      <c r="L5483">
        <v>17.408539999999999</v>
      </c>
      <c r="M5483">
        <v>0.9996005</v>
      </c>
      <c r="N5483">
        <v>0</v>
      </c>
      <c r="O5483">
        <v>2.6461370000000001E-2</v>
      </c>
      <c r="P5483">
        <v>0.99862839999999997</v>
      </c>
      <c r="Q5483">
        <v>-1.9735329999999999E-2</v>
      </c>
      <c r="R5483">
        <v>-4.8499859999999999E-2</v>
      </c>
      <c r="S5483">
        <v>2.9760740000000001</v>
      </c>
      <c r="T5483">
        <v>-3.4778709999999997E-2</v>
      </c>
      <c r="U5483">
        <v>-0.5666504</v>
      </c>
      <c r="V5483">
        <v>7.4901389999999998E-2</v>
      </c>
      <c r="W5483">
        <v>-9.8793609999999997E-3</v>
      </c>
      <c r="X5483">
        <v>0.99714199999999997</v>
      </c>
      <c r="Y5483">
        <v>0.21295610000000001</v>
      </c>
      <c r="Z5483">
        <v>-1.539842E-3</v>
      </c>
      <c r="AA5483">
        <v>0.97706059999999995</v>
      </c>
      <c r="AB5483">
        <v>25</v>
      </c>
      <c r="AC5483">
        <v>99.061700000000002</v>
      </c>
      <c r="AD5483">
        <v>-1.1594059999999999</v>
      </c>
      <c r="AE5483">
        <v>-18.893998</v>
      </c>
      <c r="AF5483">
        <v>21.505976444744199</v>
      </c>
      <c r="AG5483">
        <v>-1.1594059999999999</v>
      </c>
      <c r="AH5483">
        <v>98.514002217149795</v>
      </c>
      <c r="AI5483">
        <v>90.658766662457097</v>
      </c>
      <c r="AJ5483">
        <v>77.685315441749594</v>
      </c>
      <c r="AK5483">
        <v>100.84076496117601</v>
      </c>
      <c r="AL5483">
        <v>90.566054901185097</v>
      </c>
      <c r="AM5483">
        <v>85.704233507404396</v>
      </c>
      <c r="AN5483">
        <v>0.99999999408085005</v>
      </c>
    </row>
    <row r="5484" spans="1:40" x14ac:dyDescent="0.25">
      <c r="A5484" t="str">
        <f>"20190312161426152"</f>
        <v>20190312161426152</v>
      </c>
      <c r="B5484" t="str">
        <f>"1552378466141851"</f>
        <v>1552378466141851</v>
      </c>
      <c r="C5484" t="s">
        <v>40</v>
      </c>
      <c r="D5484">
        <v>5.614325</v>
      </c>
      <c r="E5484">
        <v>0.55317939999999999</v>
      </c>
      <c r="F5484" t="s">
        <v>41</v>
      </c>
      <c r="G5484">
        <v>-271.47980000000001</v>
      </c>
      <c r="H5484">
        <v>-0.05</v>
      </c>
      <c r="I5484">
        <v>-0.56063839999999998</v>
      </c>
      <c r="J5484">
        <v>-365.30040000000002</v>
      </c>
      <c r="K5484">
        <v>1.1094010000000001</v>
      </c>
      <c r="L5484">
        <v>17.414490000000001</v>
      </c>
      <c r="M5484">
        <v>0.99961199999999995</v>
      </c>
      <c r="N5484">
        <v>0</v>
      </c>
      <c r="O5484">
        <v>2.6032920000000001E-2</v>
      </c>
      <c r="P5484">
        <v>0.99858720000000001</v>
      </c>
      <c r="Q5484">
        <v>-2.0218659999999999E-2</v>
      </c>
      <c r="R5484">
        <v>-4.9144859999999999E-2</v>
      </c>
      <c r="S5484">
        <v>2.9758</v>
      </c>
      <c r="T5484">
        <v>-3.6679509999999999E-2</v>
      </c>
      <c r="U5484">
        <v>-0.56848140000000003</v>
      </c>
      <c r="V5484">
        <v>7.5117509999999998E-2</v>
      </c>
      <c r="W5484">
        <v>-1.038505E-2</v>
      </c>
      <c r="X5484">
        <v>0.99712060000000002</v>
      </c>
      <c r="Y5484">
        <v>0.2131323</v>
      </c>
      <c r="Z5484">
        <v>-1.6198860000000001E-3</v>
      </c>
      <c r="AA5484">
        <v>0.97702199999999995</v>
      </c>
      <c r="AB5484">
        <v>25</v>
      </c>
      <c r="AC5484">
        <v>93.820599999999999</v>
      </c>
      <c r="AD5484">
        <v>-1.1594009999999999</v>
      </c>
      <c r="AE5484">
        <v>-17.975128399999999</v>
      </c>
      <c r="AF5484">
        <v>20.408573542421902</v>
      </c>
      <c r="AG5484">
        <v>-1.1594009999999999</v>
      </c>
      <c r="AH5484">
        <v>93.307087211364404</v>
      </c>
      <c r="AI5484">
        <v>90.695460941020301</v>
      </c>
      <c r="AJ5484">
        <v>77.662290908670002</v>
      </c>
      <c r="AK5484">
        <v>95.519980153810806</v>
      </c>
      <c r="AL5484">
        <v>90.595030236751398</v>
      </c>
      <c r="AM5484">
        <v>85.691793016409093</v>
      </c>
      <c r="AN5484">
        <v>0.99999999025823105</v>
      </c>
    </row>
    <row r="5485" spans="1:40" x14ac:dyDescent="0.25">
      <c r="A5485" t="str">
        <f>"20190312161426166"</f>
        <v>20190312161426166</v>
      </c>
      <c r="B5485" t="str">
        <f>"1552378466152587"</f>
        <v>1552378466152587</v>
      </c>
      <c r="C5485" t="s">
        <v>40</v>
      </c>
      <c r="D5485">
        <v>5.576651</v>
      </c>
      <c r="E5485">
        <v>0.55322019999999905</v>
      </c>
      <c r="F5485" t="s">
        <v>41</v>
      </c>
      <c r="G5485">
        <v>-277.69850000000002</v>
      </c>
      <c r="H5485">
        <v>-0.05</v>
      </c>
      <c r="I5485">
        <v>0.58164979999999999</v>
      </c>
      <c r="J5485">
        <v>-365.13909999999998</v>
      </c>
      <c r="K5485">
        <v>1.1093959999999901</v>
      </c>
      <c r="L5485">
        <v>17.418369999999999</v>
      </c>
      <c r="M5485">
        <v>0.99961949999999999</v>
      </c>
      <c r="N5485">
        <v>0</v>
      </c>
      <c r="O5485">
        <v>2.5747300000000001E-2</v>
      </c>
      <c r="P5485">
        <v>0.99856020000000001</v>
      </c>
      <c r="Q5485">
        <v>-2.062191E-2</v>
      </c>
      <c r="R5485">
        <v>-4.9520910000000001E-2</v>
      </c>
      <c r="S5485">
        <v>2.9753419999999999</v>
      </c>
      <c r="T5485">
        <v>-3.9378290000000003E-2</v>
      </c>
      <c r="U5485">
        <v>-0.57171629999999996</v>
      </c>
      <c r="V5485">
        <v>7.5207460000000004E-2</v>
      </c>
      <c r="W5485">
        <v>-1.080178E-2</v>
      </c>
      <c r="X5485">
        <v>0.99710940000000003</v>
      </c>
      <c r="Y5485">
        <v>0.2139026</v>
      </c>
      <c r="Z5485">
        <v>-1.7404530000000001E-3</v>
      </c>
      <c r="AA5485">
        <v>0.97685339999999998</v>
      </c>
      <c r="AB5485">
        <v>25</v>
      </c>
      <c r="AC5485">
        <v>87.440599999999904</v>
      </c>
      <c r="AD5485">
        <v>-1.1593960000000001</v>
      </c>
      <c r="AE5485">
        <v>-16.836720199999998</v>
      </c>
      <c r="AF5485">
        <v>19.079373228199501</v>
      </c>
      <c r="AG5485">
        <v>-1.1593960000000001</v>
      </c>
      <c r="AH5485">
        <v>86.963345600104901</v>
      </c>
      <c r="AI5485">
        <v>90.746079577478199</v>
      </c>
      <c r="AJ5485">
        <v>77.625617889896901</v>
      </c>
      <c r="AK5485">
        <v>89.039261900742602</v>
      </c>
      <c r="AL5485">
        <v>90.618908442392595</v>
      </c>
      <c r="AM5485">
        <v>85.686605314443298</v>
      </c>
      <c r="AN5485">
        <v>0.99999999802958905</v>
      </c>
    </row>
    <row r="5486" spans="1:40" x14ac:dyDescent="0.25">
      <c r="A5486" t="str">
        <f>"20190312161426196"</f>
        <v>20190312161426196</v>
      </c>
      <c r="B5486" t="str">
        <f>"1552378466192603"</f>
        <v>1552378466192603</v>
      </c>
      <c r="C5486" t="s">
        <v>40</v>
      </c>
      <c r="D5486">
        <v>5.6918639999999998</v>
      </c>
      <c r="E5486">
        <v>0.55338290000000001</v>
      </c>
      <c r="F5486" t="s">
        <v>41</v>
      </c>
      <c r="G5486">
        <v>-281.72480000000002</v>
      </c>
      <c r="H5486">
        <v>-0.05</v>
      </c>
      <c r="I5486">
        <v>1.3484799999999999</v>
      </c>
      <c r="J5486">
        <v>-364.79919999999998</v>
      </c>
      <c r="K5486">
        <v>1.109389</v>
      </c>
      <c r="L5486">
        <v>17.42642</v>
      </c>
      <c r="M5486">
        <v>0.99963500000000005</v>
      </c>
      <c r="N5486">
        <v>0</v>
      </c>
      <c r="O5486">
        <v>2.514578E-2</v>
      </c>
      <c r="P5486">
        <v>0.99851100000000004</v>
      </c>
      <c r="Q5486">
        <v>-2.0547570000000001E-2</v>
      </c>
      <c r="R5486">
        <v>-5.0537470000000001E-2</v>
      </c>
      <c r="S5486">
        <v>2.9750670000000001</v>
      </c>
      <c r="T5486">
        <v>-4.1351199999999998E-2</v>
      </c>
      <c r="U5486">
        <v>-0.57315059999999995</v>
      </c>
      <c r="V5486">
        <v>7.5622480000000006E-2</v>
      </c>
      <c r="W5486">
        <v>-1.0752899999999999E-2</v>
      </c>
      <c r="X5486">
        <v>0.99707849999999998</v>
      </c>
      <c r="Y5486">
        <v>0.21378369999999999</v>
      </c>
      <c r="Z5486">
        <v>-1.8186159999999999E-3</v>
      </c>
      <c r="AA5486">
        <v>0.97687939999999995</v>
      </c>
      <c r="AB5486">
        <v>25</v>
      </c>
      <c r="AC5486">
        <v>83.074399999999898</v>
      </c>
      <c r="AD5486">
        <v>-1.159389</v>
      </c>
      <c r="AE5486">
        <v>-16.077939999999899</v>
      </c>
      <c r="AF5486">
        <v>18.158519008090199</v>
      </c>
      <c r="AG5486">
        <v>-1.159389</v>
      </c>
      <c r="AH5486">
        <v>82.628304282528802</v>
      </c>
      <c r="AI5486">
        <v>90.7851524707051</v>
      </c>
      <c r="AJ5486">
        <v>77.605617030119106</v>
      </c>
      <c r="AK5486">
        <v>84.607994090550704</v>
      </c>
      <c r="AL5486">
        <v>90.616107685607304</v>
      </c>
      <c r="AM5486">
        <v>85.662759233580701</v>
      </c>
      <c r="AN5486">
        <v>0.99999995975100398</v>
      </c>
    </row>
    <row r="5487" spans="1:40" x14ac:dyDescent="0.25">
      <c r="A5487" t="str">
        <f>"20190312161426208"</f>
        <v>20190312161426208</v>
      </c>
      <c r="B5487" t="str">
        <f>"1552378466202363"</f>
        <v>1552378466202363</v>
      </c>
      <c r="C5487" t="s">
        <v>40</v>
      </c>
      <c r="D5487">
        <v>5.6169529999999996</v>
      </c>
      <c r="E5487">
        <v>0.55343369999999903</v>
      </c>
      <c r="F5487" t="s">
        <v>41</v>
      </c>
      <c r="G5487">
        <v>-272.70699999999999</v>
      </c>
      <c r="H5487">
        <v>-0.05</v>
      </c>
      <c r="I5487">
        <v>-0.45590209999999998</v>
      </c>
      <c r="J5487">
        <v>-364.65960000000001</v>
      </c>
      <c r="K5487">
        <v>1.109386</v>
      </c>
      <c r="L5487">
        <v>17.429690000000001</v>
      </c>
      <c r="M5487">
        <v>0.99964120000000001</v>
      </c>
      <c r="N5487">
        <v>0</v>
      </c>
      <c r="O5487">
        <v>2.4898819999999999E-2</v>
      </c>
      <c r="P5487">
        <v>0.9984883</v>
      </c>
      <c r="Q5487">
        <v>-2.05107E-2</v>
      </c>
      <c r="R5487">
        <v>-5.0994789999999998E-2</v>
      </c>
      <c r="S5487">
        <v>2.9744570000000001</v>
      </c>
      <c r="T5487">
        <v>-3.7446739999999999E-2</v>
      </c>
      <c r="U5487">
        <v>-0.57757569999999903</v>
      </c>
      <c r="V5487">
        <v>7.5832849999999993E-2</v>
      </c>
      <c r="W5487">
        <v>-1.072568E-2</v>
      </c>
      <c r="X5487">
        <v>0.99706289999999997</v>
      </c>
      <c r="Y5487">
        <v>0.21498419999999999</v>
      </c>
      <c r="Z5487">
        <v>-1.6514190000000001E-3</v>
      </c>
      <c r="AA5487">
        <v>0.97661609999999999</v>
      </c>
      <c r="AB5487">
        <v>26</v>
      </c>
      <c r="AC5487">
        <v>91.952600000000004</v>
      </c>
      <c r="AD5487">
        <v>-1.159386</v>
      </c>
      <c r="AE5487">
        <v>-17.8855921</v>
      </c>
      <c r="AF5487">
        <v>20.166580378470101</v>
      </c>
      <c r="AG5487">
        <v>-1.159386</v>
      </c>
      <c r="AH5487">
        <v>91.464727371518805</v>
      </c>
      <c r="AI5487">
        <v>90.709197391250498</v>
      </c>
      <c r="AJ5487">
        <v>77.566090558151004</v>
      </c>
      <c r="AK5487">
        <v>93.668732740464407</v>
      </c>
      <c r="AL5487">
        <v>90.614547952734299</v>
      </c>
      <c r="AM5487">
        <v>85.650672147676303</v>
      </c>
      <c r="AN5487">
        <v>1.00000004395349</v>
      </c>
    </row>
    <row r="5488" spans="1:40" x14ac:dyDescent="0.25">
      <c r="A5488" t="str">
        <f>"20190312161426229"</f>
        <v>20190312161426229</v>
      </c>
      <c r="B5488" t="str">
        <f>"1552378466221886"</f>
        <v>1552378466221886</v>
      </c>
      <c r="C5488" t="s">
        <v>40</v>
      </c>
      <c r="D5488">
        <v>5.7556149999999997</v>
      </c>
      <c r="E5488">
        <v>0.55385740000000006</v>
      </c>
      <c r="F5488" t="s">
        <v>41</v>
      </c>
      <c r="G5488">
        <v>-268.75839999999999</v>
      </c>
      <c r="H5488">
        <v>-0.05</v>
      </c>
      <c r="I5488">
        <v>-1.248901</v>
      </c>
      <c r="J5488">
        <v>-364.42200000000003</v>
      </c>
      <c r="K5488">
        <v>1.1093839999999999</v>
      </c>
      <c r="L5488">
        <v>17.435120000000001</v>
      </c>
      <c r="M5488">
        <v>0.99965179999999998</v>
      </c>
      <c r="N5488">
        <v>0</v>
      </c>
      <c r="O5488">
        <v>2.44785E-2</v>
      </c>
      <c r="P5488">
        <v>0.99846239999999997</v>
      </c>
      <c r="Q5488">
        <v>-2.0622339999999999E-2</v>
      </c>
      <c r="R5488">
        <v>-5.1455969999999997E-2</v>
      </c>
      <c r="S5488">
        <v>2.9742130000000002</v>
      </c>
      <c r="T5488">
        <v>-3.5956380000000003E-2</v>
      </c>
      <c r="U5488">
        <v>-0.57928469999999999</v>
      </c>
      <c r="V5488">
        <v>7.5874010000000006E-2</v>
      </c>
      <c r="W5488">
        <v>-1.085156E-2</v>
      </c>
      <c r="X5488">
        <v>0.99705840000000001</v>
      </c>
      <c r="Y5488">
        <v>0.21513070000000001</v>
      </c>
      <c r="Z5488">
        <v>-1.5815789999999901E-3</v>
      </c>
      <c r="AA5488">
        <v>0.97658400000000001</v>
      </c>
      <c r="AB5488">
        <v>26</v>
      </c>
      <c r="AC5488">
        <v>95.663599999999903</v>
      </c>
      <c r="AD5488">
        <v>-1.159384</v>
      </c>
      <c r="AE5488">
        <v>-18.684020999999898</v>
      </c>
      <c r="AF5488">
        <v>21.0172634469697</v>
      </c>
      <c r="AG5488">
        <v>-1.159384</v>
      </c>
      <c r="AH5488">
        <v>95.164089187007903</v>
      </c>
      <c r="AI5488">
        <v>90.681577090167806</v>
      </c>
      <c r="AJ5488">
        <v>77.545979186724395</v>
      </c>
      <c r="AK5488">
        <v>97.464216022351494</v>
      </c>
      <c r="AL5488">
        <v>90.621760769012297</v>
      </c>
      <c r="AM5488">
        <v>85.648300952066606</v>
      </c>
      <c r="AN5488">
        <v>1.0000000373792299</v>
      </c>
    </row>
    <row r="5489" spans="1:40" x14ac:dyDescent="0.25">
      <c r="A5489" t="str">
        <f>"20190312161426239"</f>
        <v>20190312161426239</v>
      </c>
      <c r="B5489" t="str">
        <f>"1552378466231643"</f>
        <v>1552378466231643</v>
      </c>
      <c r="C5489" t="s">
        <v>40</v>
      </c>
      <c r="D5489">
        <v>5.6114459999999999</v>
      </c>
      <c r="E5489">
        <v>0.55388400000000004</v>
      </c>
      <c r="F5489" t="s">
        <v>101</v>
      </c>
      <c r="G5489">
        <v>-279.02</v>
      </c>
      <c r="H5489">
        <v>0.25675029999999999</v>
      </c>
      <c r="I5489">
        <v>0.65794750000000002</v>
      </c>
      <c r="J5489">
        <v>-364.29160000000002</v>
      </c>
      <c r="K5489">
        <v>1.109381</v>
      </c>
      <c r="L5489">
        <v>17.43805</v>
      </c>
      <c r="M5489">
        <v>0.99965749999999998</v>
      </c>
      <c r="N5489">
        <v>0</v>
      </c>
      <c r="O5489">
        <v>2.4248039999999998E-2</v>
      </c>
      <c r="P5489">
        <v>0.99845139999999999</v>
      </c>
      <c r="Q5489">
        <v>-2.0659919999999998E-2</v>
      </c>
      <c r="R5489">
        <v>-5.1654650000000003E-2</v>
      </c>
      <c r="S5489">
        <v>2.973938</v>
      </c>
      <c r="T5489">
        <v>-2.9691100000000002E-2</v>
      </c>
      <c r="U5489">
        <v>-0.58422850000000004</v>
      </c>
      <c r="V5489">
        <v>7.584254E-2</v>
      </c>
      <c r="W5489">
        <v>-1.0895739999999999E-2</v>
      </c>
      <c r="X5489">
        <v>0.99706030000000001</v>
      </c>
      <c r="Y5489">
        <v>0.21649119999999999</v>
      </c>
      <c r="Z5489">
        <v>-1.3103679999999999E-3</v>
      </c>
      <c r="AA5489">
        <v>0.97628369999999998</v>
      </c>
      <c r="AB5489">
        <v>26</v>
      </c>
      <c r="AC5489">
        <v>85.271600000000007</v>
      </c>
      <c r="AD5489">
        <v>-0.85263069999999896</v>
      </c>
      <c r="AE5489">
        <v>-16.780102499999899</v>
      </c>
      <c r="AF5489">
        <v>18.841124079562501</v>
      </c>
      <c r="AG5489">
        <v>-0.85263069999999896</v>
      </c>
      <c r="AH5489">
        <v>84.831455849596495</v>
      </c>
      <c r="AI5489">
        <v>90.562156146731198</v>
      </c>
      <c r="AJ5489">
        <v>77.477828574936694</v>
      </c>
      <c r="AK5489">
        <v>86.902766568470597</v>
      </c>
      <c r="AL5489">
        <v>90.624292253889706</v>
      </c>
      <c r="AM5489">
        <v>85.650107219504207</v>
      </c>
      <c r="AN5489">
        <v>1.0000000249299399</v>
      </c>
    </row>
    <row r="5490" spans="1:40" x14ac:dyDescent="0.25">
      <c r="A5490" t="str">
        <f>"20190312161426252"</f>
        <v>20190312161426252</v>
      </c>
      <c r="B5490" t="str">
        <f>"1552378466242379"</f>
        <v>1552378466242379</v>
      </c>
      <c r="C5490" t="s">
        <v>40</v>
      </c>
      <c r="D5490">
        <v>5.6059939999999999</v>
      </c>
      <c r="E5490">
        <v>0.55386610000000003</v>
      </c>
      <c r="F5490" t="s">
        <v>101</v>
      </c>
      <c r="G5490">
        <v>-279.02</v>
      </c>
      <c r="H5490">
        <v>0.27757189999999998</v>
      </c>
      <c r="I5490">
        <v>0.6620026</v>
      </c>
      <c r="J5490">
        <v>-364.15969999999999</v>
      </c>
      <c r="K5490">
        <v>1.1093789999999999</v>
      </c>
      <c r="L5490">
        <v>17.441040000000001</v>
      </c>
      <c r="M5490">
        <v>0.99966319999999997</v>
      </c>
      <c r="N5490">
        <v>0</v>
      </c>
      <c r="O5490">
        <v>2.4014779999999999E-2</v>
      </c>
      <c r="P5490">
        <v>0.99843599999999999</v>
      </c>
      <c r="Q5490">
        <v>-2.0890180000000001E-2</v>
      </c>
      <c r="R5490">
        <v>-5.185936E-2</v>
      </c>
      <c r="S5490">
        <v>2.9737849999999999</v>
      </c>
      <c r="T5490">
        <v>-2.900875E-2</v>
      </c>
      <c r="U5490">
        <v>-0.58505249999999998</v>
      </c>
      <c r="V5490">
        <v>7.5813839999999993E-2</v>
      </c>
      <c r="W5490">
        <v>-1.1132410000000001E-2</v>
      </c>
      <c r="X5490">
        <v>0.99705980000000005</v>
      </c>
      <c r="Y5490">
        <v>0.2165339</v>
      </c>
      <c r="Z5490">
        <v>-1.278235E-3</v>
      </c>
      <c r="AA5490">
        <v>0.97627430000000004</v>
      </c>
      <c r="AB5490">
        <v>26</v>
      </c>
      <c r="AC5490">
        <v>85.139700000000005</v>
      </c>
      <c r="AD5490">
        <v>-0.83180710000000002</v>
      </c>
      <c r="AE5490">
        <v>-16.779037399999901</v>
      </c>
      <c r="AF5490">
        <v>18.817179055811199</v>
      </c>
      <c r="AG5490">
        <v>-0.83180710000000002</v>
      </c>
      <c r="AH5490">
        <v>84.704396397925294</v>
      </c>
      <c r="AI5490">
        <v>90.549244329874995</v>
      </c>
      <c r="AJ5490">
        <v>77.4750728666328</v>
      </c>
      <c r="AK5490">
        <v>86.773342103476296</v>
      </c>
      <c r="AL5490">
        <v>90.637853311726104</v>
      </c>
      <c r="AM5490">
        <v>85.651744800345298</v>
      </c>
      <c r="AN5490">
        <v>0.99999995683199605</v>
      </c>
    </row>
    <row r="5491" spans="1:40" x14ac:dyDescent="0.25">
      <c r="A5491" t="str">
        <f>"20190312161426261"</f>
        <v>20190312161426261</v>
      </c>
      <c r="B5491" t="str">
        <f>"1552378466252140"</f>
        <v>1552378466252140</v>
      </c>
      <c r="C5491" t="s">
        <v>40</v>
      </c>
      <c r="D5491">
        <v>5.63591</v>
      </c>
      <c r="E5491">
        <v>0.55384449999999996</v>
      </c>
      <c r="F5491" t="s">
        <v>101</v>
      </c>
      <c r="G5491">
        <v>-279.02</v>
      </c>
      <c r="H5491">
        <v>0.3021123</v>
      </c>
      <c r="I5491">
        <v>0.67471499999999995</v>
      </c>
      <c r="J5491">
        <v>-364.03379999999999</v>
      </c>
      <c r="K5491">
        <v>1.1093789999999999</v>
      </c>
      <c r="L5491">
        <v>17.443819999999999</v>
      </c>
      <c r="M5491">
        <v>0.99966849999999996</v>
      </c>
      <c r="N5491">
        <v>0</v>
      </c>
      <c r="O5491">
        <v>2.379243E-2</v>
      </c>
      <c r="P5491">
        <v>0.99842019999999998</v>
      </c>
      <c r="Q5491">
        <v>-2.099196E-2</v>
      </c>
      <c r="R5491">
        <v>-5.2124499999999997E-2</v>
      </c>
      <c r="S5491">
        <v>2.9736940000000001</v>
      </c>
      <c r="T5491">
        <v>-2.8195620000000001E-2</v>
      </c>
      <c r="U5491">
        <v>-0.58560179999999995</v>
      </c>
      <c r="V5491">
        <v>7.5856690000000004E-2</v>
      </c>
      <c r="W5491">
        <v>-1.12397E-2</v>
      </c>
      <c r="X5491">
        <v>0.99705540000000004</v>
      </c>
      <c r="Y5491">
        <v>0.21649660000000001</v>
      </c>
      <c r="Z5491">
        <v>-1.2401580000000001E-3</v>
      </c>
      <c r="AA5491">
        <v>0.9762826</v>
      </c>
      <c r="AB5491">
        <v>26</v>
      </c>
      <c r="AC5491">
        <v>85.013800000000003</v>
      </c>
      <c r="AD5491">
        <v>-0.8072667</v>
      </c>
      <c r="AE5491">
        <v>-16.769105</v>
      </c>
      <c r="AF5491">
        <v>18.785509918551501</v>
      </c>
      <c r="AG5491">
        <v>-0.8072667</v>
      </c>
      <c r="AH5491">
        <v>84.583393764098801</v>
      </c>
      <c r="AI5491">
        <v>90.533810096950901</v>
      </c>
      <c r="AJ5491">
        <v>77.478163872951697</v>
      </c>
      <c r="AK5491">
        <v>86.648124983045705</v>
      </c>
      <c r="AL5491">
        <v>90.644000920469907</v>
      </c>
      <c r="AM5491">
        <v>85.649277473174095</v>
      </c>
      <c r="AN5491">
        <v>1.0000000194715</v>
      </c>
    </row>
    <row r="5492" spans="1:40" x14ac:dyDescent="0.25">
      <c r="A5492" t="str">
        <f>"20190312161426273"</f>
        <v>20190312161426273</v>
      </c>
      <c r="B5492" t="str">
        <f>"1552378466261899"</f>
        <v>1552378466261899</v>
      </c>
      <c r="C5492" t="s">
        <v>40</v>
      </c>
      <c r="D5492">
        <v>5.6041040000000004</v>
      </c>
      <c r="E5492">
        <v>0.55382629999999999</v>
      </c>
      <c r="F5492" t="s">
        <v>101</v>
      </c>
      <c r="G5492">
        <v>-279.02</v>
      </c>
      <c r="H5492">
        <v>0.30966929999999998</v>
      </c>
      <c r="I5492">
        <v>0.68413159999999995</v>
      </c>
      <c r="J5492">
        <v>-363.90960000000001</v>
      </c>
      <c r="K5492">
        <v>1.1093789999999999</v>
      </c>
      <c r="L5492">
        <v>17.446560000000002</v>
      </c>
      <c r="M5492">
        <v>0.99967379999999995</v>
      </c>
      <c r="N5492">
        <v>0</v>
      </c>
      <c r="O5492">
        <v>2.3572929999999999E-2</v>
      </c>
      <c r="P5492">
        <v>0.99842050000000004</v>
      </c>
      <c r="Q5492">
        <v>-2.1082130000000001E-2</v>
      </c>
      <c r="R5492">
        <v>-5.207966E-2</v>
      </c>
      <c r="S5492">
        <v>2.9735719999999999</v>
      </c>
      <c r="T5492">
        <v>-2.7971860000000001E-2</v>
      </c>
      <c r="U5492">
        <v>-0.58621219999999996</v>
      </c>
      <c r="V5492">
        <v>7.5592950000000006E-2</v>
      </c>
      <c r="W5492">
        <v>-1.1334489999999999E-2</v>
      </c>
      <c r="X5492">
        <v>0.99707440000000003</v>
      </c>
      <c r="Y5492">
        <v>0.21648300000000001</v>
      </c>
      <c r="Z5492">
        <v>-1.228231E-3</v>
      </c>
      <c r="AA5492">
        <v>0.97628559999999998</v>
      </c>
      <c r="AB5492">
        <v>26</v>
      </c>
      <c r="AC5492">
        <v>84.889600000000002</v>
      </c>
      <c r="AD5492">
        <v>-0.79970969999999997</v>
      </c>
      <c r="AE5492">
        <v>-16.762428400000001</v>
      </c>
      <c r="AF5492">
        <v>18.7573610771292</v>
      </c>
      <c r="AG5492">
        <v>-0.79970969999999997</v>
      </c>
      <c r="AH5492">
        <v>84.463635323739197</v>
      </c>
      <c r="AI5492">
        <v>90.529565073004704</v>
      </c>
      <c r="AJ5492">
        <v>77.479166632303404</v>
      </c>
      <c r="AK5492">
        <v>86.525047369439093</v>
      </c>
      <c r="AL5492">
        <v>90.649432305709794</v>
      </c>
      <c r="AM5492">
        <v>85.664428673969098</v>
      </c>
      <c r="AN5492">
        <v>1.0000000619442999</v>
      </c>
    </row>
    <row r="5493" spans="1:40" x14ac:dyDescent="0.25">
      <c r="A5493" t="str">
        <f>"20190312161426284"</f>
        <v>20190312161426284</v>
      </c>
      <c r="B5493" t="str">
        <f>"1552378466271660"</f>
        <v>1552378466271660</v>
      </c>
      <c r="C5493" t="s">
        <v>40</v>
      </c>
      <c r="D5493">
        <v>6.5085600000000001</v>
      </c>
      <c r="E5493">
        <v>0.55342780000000003</v>
      </c>
      <c r="F5493" t="s">
        <v>101</v>
      </c>
      <c r="G5493">
        <v>-279.02</v>
      </c>
      <c r="H5493">
        <v>0.33577990000000002</v>
      </c>
      <c r="I5493">
        <v>0.71921349999999995</v>
      </c>
      <c r="J5493">
        <v>-363.78050000000002</v>
      </c>
      <c r="K5493">
        <v>1.1093770000000001</v>
      </c>
      <c r="L5493">
        <v>17.449339999999999</v>
      </c>
      <c r="M5493">
        <v>0.99967910000000004</v>
      </c>
      <c r="N5493">
        <v>0</v>
      </c>
      <c r="O5493">
        <v>2.3345020000000001E-2</v>
      </c>
      <c r="P5493">
        <v>0.99840839999999997</v>
      </c>
      <c r="Q5493">
        <v>-2.072075E-2</v>
      </c>
      <c r="R5493">
        <v>-5.2455679999999998E-2</v>
      </c>
      <c r="S5493">
        <v>2.9735719999999999</v>
      </c>
      <c r="T5493">
        <v>-2.7098179999999999E-2</v>
      </c>
      <c r="U5493">
        <v>-0.5859375</v>
      </c>
      <c r="V5493">
        <v>7.5741580000000003E-2</v>
      </c>
      <c r="W5493">
        <v>-1.0978129999999999E-2</v>
      </c>
      <c r="X5493">
        <v>0.99706700000000004</v>
      </c>
      <c r="Y5493">
        <v>0.21617420000000001</v>
      </c>
      <c r="Z5493">
        <v>-1.186428E-3</v>
      </c>
      <c r="AA5493">
        <v>0.9763541</v>
      </c>
      <c r="AB5493">
        <v>26</v>
      </c>
      <c r="AC5493">
        <v>84.760499999999993</v>
      </c>
      <c r="AD5493">
        <v>-0.77359709999999904</v>
      </c>
      <c r="AE5493">
        <v>-16.730126500000001</v>
      </c>
      <c r="AF5493">
        <v>18.702898293095</v>
      </c>
      <c r="AG5493">
        <v>-0.77359709999999904</v>
      </c>
      <c r="AH5493">
        <v>84.340051739235903</v>
      </c>
      <c r="AI5493">
        <v>90.513059688531499</v>
      </c>
      <c r="AJ5493">
        <v>77.496659514083504</v>
      </c>
      <c r="AK5493">
        <v>86.392367628234197</v>
      </c>
      <c r="AL5493">
        <v>90.629013179779705</v>
      </c>
      <c r="AM5493">
        <v>85.655904604636206</v>
      </c>
      <c r="AN5493">
        <v>0.99999995438409495</v>
      </c>
    </row>
    <row r="5494" spans="1:40" x14ac:dyDescent="0.25">
      <c r="A5494" t="str">
        <f>"20190312161426295"</f>
        <v>20190312161426295</v>
      </c>
      <c r="B5494" t="str">
        <f>"1552378466292155"</f>
        <v>1552378466292155</v>
      </c>
      <c r="C5494" t="s">
        <v>40</v>
      </c>
      <c r="D5494">
        <v>5.6749900000000002</v>
      </c>
      <c r="E5494">
        <v>0.55266519999999997</v>
      </c>
      <c r="F5494" t="s">
        <v>101</v>
      </c>
      <c r="G5494">
        <v>-279.02</v>
      </c>
      <c r="H5494">
        <v>0.49065809999999999</v>
      </c>
      <c r="I5494">
        <v>0.80360220000000004</v>
      </c>
      <c r="J5494">
        <v>-363.66500000000002</v>
      </c>
      <c r="K5494">
        <v>1.1093759999999999</v>
      </c>
      <c r="L5494">
        <v>17.451809999999998</v>
      </c>
      <c r="M5494">
        <v>0.99968400000000002</v>
      </c>
      <c r="N5494">
        <v>0</v>
      </c>
      <c r="O5494">
        <v>2.314078E-2</v>
      </c>
      <c r="P5494">
        <v>0.99840949999999995</v>
      </c>
      <c r="Q5494">
        <v>-2.0615540000000002E-2</v>
      </c>
      <c r="R5494">
        <v>-5.2475979999999998E-2</v>
      </c>
      <c r="S5494">
        <v>2.9736630000000002</v>
      </c>
      <c r="T5494">
        <v>-2.170658E-2</v>
      </c>
      <c r="U5494">
        <v>-0.58398439999999996</v>
      </c>
      <c r="V5494">
        <v>7.555837E-2</v>
      </c>
      <c r="W5494">
        <v>-1.087655E-2</v>
      </c>
      <c r="X5494">
        <v>0.99708209999999997</v>
      </c>
      <c r="Y5494">
        <v>0.21535509999999999</v>
      </c>
      <c r="Z5494">
        <v>-9.4596790000000001E-4</v>
      </c>
      <c r="AA5494">
        <v>0.97653540000000005</v>
      </c>
      <c r="AB5494">
        <v>26</v>
      </c>
      <c r="AC5494">
        <v>84.644999999999996</v>
      </c>
      <c r="AD5494">
        <v>-0.61871789999999904</v>
      </c>
      <c r="AE5494">
        <v>-16.648207800000002</v>
      </c>
      <c r="AF5494">
        <v>18.6016381329406</v>
      </c>
      <c r="AG5494">
        <v>-0.61871789999999904</v>
      </c>
      <c r="AH5494">
        <v>84.232727262714207</v>
      </c>
      <c r="AI5494">
        <v>90.4109482702452</v>
      </c>
      <c r="AJ5494">
        <v>77.546888826124601</v>
      </c>
      <c r="AK5494">
        <v>86.264454413063106</v>
      </c>
      <c r="AL5494">
        <v>90.623192673124294</v>
      </c>
      <c r="AM5494">
        <v>85.666437763163501</v>
      </c>
      <c r="AN5494">
        <v>1.00000004037868</v>
      </c>
    </row>
    <row r="5495" spans="1:40" x14ac:dyDescent="0.25">
      <c r="A5495" t="str">
        <f>"20190312161426305"</f>
        <v>20190312161426305</v>
      </c>
      <c r="B5495" t="str">
        <f>"1552378466301916"</f>
        <v>1552378466301916</v>
      </c>
      <c r="C5495" t="s">
        <v>40</v>
      </c>
      <c r="D5495">
        <v>5.6181869999999998</v>
      </c>
      <c r="E5495">
        <v>0.55230380000000001</v>
      </c>
      <c r="F5495" t="s">
        <v>101</v>
      </c>
      <c r="G5495">
        <v>-279.02</v>
      </c>
      <c r="H5495">
        <v>0.72363319999999998</v>
      </c>
      <c r="I5495">
        <v>0.99722100000000002</v>
      </c>
      <c r="J5495">
        <v>-363.53179999999998</v>
      </c>
      <c r="K5495">
        <v>1.109375</v>
      </c>
      <c r="L5495">
        <v>17.45468</v>
      </c>
      <c r="M5495">
        <v>0.99968939999999995</v>
      </c>
      <c r="N5495">
        <v>0</v>
      </c>
      <c r="O5495">
        <v>2.2905539999999999E-2</v>
      </c>
      <c r="P5495">
        <v>0.99841069999999998</v>
      </c>
      <c r="Q5495">
        <v>-2.0468730000000001E-2</v>
      </c>
      <c r="R5495">
        <v>-5.2508909999999999E-2</v>
      </c>
      <c r="S5495">
        <v>2.9741209999999998</v>
      </c>
      <c r="T5495">
        <v>-1.3553620000000001E-2</v>
      </c>
      <c r="U5495">
        <v>-0.57815550000000004</v>
      </c>
      <c r="V5495">
        <v>7.5356770000000003E-2</v>
      </c>
      <c r="W5495">
        <v>-1.0733650000000001E-2</v>
      </c>
      <c r="X5495">
        <v>0.99709890000000001</v>
      </c>
      <c r="Y5495">
        <v>0.21325659999999999</v>
      </c>
      <c r="Z5495">
        <v>-5.8488789999999995E-4</v>
      </c>
      <c r="AA5495">
        <v>0.97699610000000003</v>
      </c>
      <c r="AB5495">
        <v>26</v>
      </c>
      <c r="AC5495">
        <v>84.511799999999994</v>
      </c>
      <c r="AD5495">
        <v>-0.38574179999999902</v>
      </c>
      <c r="AE5495">
        <v>-16.457459</v>
      </c>
      <c r="AF5495">
        <v>18.3886533665911</v>
      </c>
      <c r="AG5495">
        <v>-0.38574179999999902</v>
      </c>
      <c r="AH5495">
        <v>84.110951360849995</v>
      </c>
      <c r="AI5495">
        <v>90.256699748266399</v>
      </c>
      <c r="AJ5495">
        <v>77.667815017135894</v>
      </c>
      <c r="AK5495">
        <v>86.098452414664095</v>
      </c>
      <c r="AL5495">
        <v>90.615004631746203</v>
      </c>
      <c r="AM5495">
        <v>85.678028970838696</v>
      </c>
      <c r="AN5495">
        <v>1.00000003520418</v>
      </c>
    </row>
    <row r="5496" spans="1:40" x14ac:dyDescent="0.25">
      <c r="A5496" t="str">
        <f>"20190312161426319"</f>
        <v>20190312161426319</v>
      </c>
      <c r="B5496" t="str">
        <f>"1552378466311675"</f>
        <v>1552378466311675</v>
      </c>
      <c r="C5496" t="s">
        <v>40</v>
      </c>
      <c r="D5496">
        <v>5.6504079999999997</v>
      </c>
      <c r="E5496">
        <v>0.55204989999999998</v>
      </c>
      <c r="F5496" t="s">
        <v>101</v>
      </c>
      <c r="G5496">
        <v>-279.02</v>
      </c>
      <c r="H5496">
        <v>0.84343449999999998</v>
      </c>
      <c r="I5496">
        <v>1.104328</v>
      </c>
      <c r="J5496">
        <v>-363.3861</v>
      </c>
      <c r="K5496">
        <v>1.1093740000000001</v>
      </c>
      <c r="L5496">
        <v>17.457729999999898</v>
      </c>
      <c r="M5496">
        <v>0.99969540000000001</v>
      </c>
      <c r="N5496">
        <v>0</v>
      </c>
      <c r="O5496">
        <v>2.264826E-2</v>
      </c>
      <c r="P5496">
        <v>0.99838879999999997</v>
      </c>
      <c r="Q5496">
        <v>-2.0521210000000002E-2</v>
      </c>
      <c r="R5496">
        <v>-5.2904E-2</v>
      </c>
      <c r="S5496">
        <v>2.974335</v>
      </c>
      <c r="T5496">
        <v>-9.3595980000000002E-3</v>
      </c>
      <c r="U5496">
        <v>-0.57543949999999999</v>
      </c>
      <c r="V5496">
        <v>7.5494549999999994E-2</v>
      </c>
      <c r="W5496">
        <v>-1.079283E-2</v>
      </c>
      <c r="X5496">
        <v>0.99708779999999997</v>
      </c>
      <c r="Y5496">
        <v>0.21213319999999999</v>
      </c>
      <c r="Z5496">
        <v>-4.0135380000000002E-4</v>
      </c>
      <c r="AA5496">
        <v>0.97724069999999996</v>
      </c>
      <c r="AB5496">
        <v>26</v>
      </c>
      <c r="AC5496">
        <v>84.366100000000003</v>
      </c>
      <c r="AD5496">
        <v>-0.2659395</v>
      </c>
      <c r="AE5496">
        <v>-16.353401999999999</v>
      </c>
      <c r="AF5496">
        <v>18.259869250771999</v>
      </c>
      <c r="AG5496">
        <v>-0.2659395</v>
      </c>
      <c r="AH5496">
        <v>83.973259526618605</v>
      </c>
      <c r="AI5496">
        <v>90.177309036089298</v>
      </c>
      <c r="AJ5496">
        <v>77.732090654762601</v>
      </c>
      <c r="AK5496">
        <v>85.936033562166401</v>
      </c>
      <c r="AL5496">
        <v>90.618395616164904</v>
      </c>
      <c r="AM5496">
        <v>85.670108817292004</v>
      </c>
      <c r="AN5496">
        <v>0.99999999658397498</v>
      </c>
    </row>
    <row r="5497" spans="1:40" x14ac:dyDescent="0.25">
      <c r="A5497" t="str">
        <f>"20190312161426332"</f>
        <v>20190312161426332</v>
      </c>
      <c r="B5497" t="str">
        <f>"1552378466322411"</f>
        <v>1552378466322411</v>
      </c>
      <c r="C5497" t="s">
        <v>40</v>
      </c>
      <c r="D5497">
        <v>5.6194699999999997</v>
      </c>
      <c r="E5497">
        <v>0.55210389999999998</v>
      </c>
      <c r="F5497" t="s">
        <v>101</v>
      </c>
      <c r="G5497">
        <v>-279.02</v>
      </c>
      <c r="H5497">
        <v>0.93036209999999997</v>
      </c>
      <c r="I5497">
        <v>1.157742</v>
      </c>
      <c r="J5497">
        <v>-363.23950000000002</v>
      </c>
      <c r="K5497">
        <v>1.1093729999999999</v>
      </c>
      <c r="L5497">
        <v>17.46078</v>
      </c>
      <c r="M5497">
        <v>0.99970130000000001</v>
      </c>
      <c r="N5497">
        <v>0</v>
      </c>
      <c r="O5497">
        <v>2.2389139999999998E-2</v>
      </c>
      <c r="P5497">
        <v>0.99836829999999999</v>
      </c>
      <c r="Q5497">
        <v>-2.0548339999999998E-2</v>
      </c>
      <c r="R5497">
        <v>-5.3281559999999999E-2</v>
      </c>
      <c r="S5497">
        <v>2.9742739999999999</v>
      </c>
      <c r="T5497">
        <v>-6.3109400000000001E-3</v>
      </c>
      <c r="U5497">
        <v>-0.57464599999999999</v>
      </c>
      <c r="V5497">
        <v>7.5613109999999997E-2</v>
      </c>
      <c r="W5497">
        <v>-1.082747E-2</v>
      </c>
      <c r="X5497">
        <v>0.99707840000000003</v>
      </c>
      <c r="Y5497">
        <v>0.21163299999999999</v>
      </c>
      <c r="Z5497">
        <v>-2.6956419999999998E-4</v>
      </c>
      <c r="AA5497">
        <v>0.97734920000000003</v>
      </c>
      <c r="AB5497">
        <v>26</v>
      </c>
      <c r="AC5497">
        <v>84.219499999999996</v>
      </c>
      <c r="AD5497">
        <v>-0.179010899999999</v>
      </c>
      <c r="AE5497">
        <v>-16.303038000000001</v>
      </c>
      <c r="AF5497">
        <v>18.184564492660598</v>
      </c>
      <c r="AG5497">
        <v>-0.179010899999999</v>
      </c>
      <c r="AH5497">
        <v>83.832993225255393</v>
      </c>
      <c r="AI5497">
        <v>90.119564548975205</v>
      </c>
      <c r="AJ5497">
        <v>77.761332758341297</v>
      </c>
      <c r="AK5497">
        <v>85.782755748435605</v>
      </c>
      <c r="AL5497">
        <v>90.620380483049999</v>
      </c>
      <c r="AM5497">
        <v>85.663294155634802</v>
      </c>
      <c r="AN5497">
        <v>0.999999956128515</v>
      </c>
    </row>
    <row r="5498" spans="1:40" x14ac:dyDescent="0.25">
      <c r="A5498" t="str">
        <f>"20190312161426343"</f>
        <v>20190312161426343</v>
      </c>
      <c r="B5498" t="str">
        <f>"1552378466332171"</f>
        <v>1552378466332171</v>
      </c>
      <c r="C5498" t="s">
        <v>40</v>
      </c>
      <c r="D5498">
        <v>5.6278790000000001</v>
      </c>
      <c r="E5498">
        <v>0.55218459999999903</v>
      </c>
      <c r="F5498" t="s">
        <v>101</v>
      </c>
      <c r="G5498">
        <v>-279.02</v>
      </c>
      <c r="H5498">
        <v>0.93827380000000005</v>
      </c>
      <c r="I5498">
        <v>1.1419729999999999</v>
      </c>
      <c r="J5498">
        <v>-363.09980000000002</v>
      </c>
      <c r="K5498">
        <v>1.109372</v>
      </c>
      <c r="L5498">
        <v>17.463650000000001</v>
      </c>
      <c r="M5498">
        <v>0.99970680000000001</v>
      </c>
      <c r="N5498">
        <v>0</v>
      </c>
      <c r="O5498">
        <v>2.2142599999999998E-2</v>
      </c>
      <c r="P5498">
        <v>0.99833539999999998</v>
      </c>
      <c r="Q5498">
        <v>-2.0621960000000002E-2</v>
      </c>
      <c r="R5498">
        <v>-5.3862519999999997E-2</v>
      </c>
      <c r="S5498">
        <v>2.97403</v>
      </c>
      <c r="T5498">
        <v>-6.0420040000000001E-3</v>
      </c>
      <c r="U5498">
        <v>-0.57626339999999998</v>
      </c>
      <c r="V5498">
        <v>7.5947440000000005E-2</v>
      </c>
      <c r="W5498">
        <v>-1.090989E-2</v>
      </c>
      <c r="X5498">
        <v>0.9970521</v>
      </c>
      <c r="Y5498">
        <v>0.2119193</v>
      </c>
      <c r="Z5498">
        <v>-2.578759E-4</v>
      </c>
      <c r="AA5498">
        <v>0.97728709999999996</v>
      </c>
      <c r="AB5498">
        <v>26</v>
      </c>
      <c r="AC5498">
        <v>84.079800000000006</v>
      </c>
      <c r="AD5498">
        <v>-0.17109819999999901</v>
      </c>
      <c r="AE5498">
        <v>-16.321676999999902</v>
      </c>
      <c r="AF5498">
        <v>18.179437128990799</v>
      </c>
      <c r="AG5498">
        <v>-0.17109819999999901</v>
      </c>
      <c r="AH5498">
        <v>83.697427827668506</v>
      </c>
      <c r="AI5498">
        <v>90.1144577472718</v>
      </c>
      <c r="AJ5498">
        <v>77.745460396427305</v>
      </c>
      <c r="AK5498">
        <v>85.6491718225504</v>
      </c>
      <c r="AL5498">
        <v>90.625103074974106</v>
      </c>
      <c r="AM5498">
        <v>85.644078211291003</v>
      </c>
      <c r="AN5498">
        <v>0.99999996472838704</v>
      </c>
    </row>
    <row r="5499" spans="1:40" x14ac:dyDescent="0.25">
      <c r="A5499" t="str">
        <f>"20190312161426364"</f>
        <v>20190312161426364</v>
      </c>
      <c r="B5499" t="str">
        <f>"1552378466351690"</f>
        <v>1552378466351690</v>
      </c>
      <c r="C5499" t="s">
        <v>40</v>
      </c>
      <c r="D5499">
        <v>5.5873049999999997</v>
      </c>
      <c r="E5499">
        <v>0.55230859999999904</v>
      </c>
      <c r="F5499" t="s">
        <v>101</v>
      </c>
      <c r="G5499">
        <v>-279.02</v>
      </c>
      <c r="H5499">
        <v>0.93955699999999998</v>
      </c>
      <c r="I5499">
        <v>1.101753</v>
      </c>
      <c r="J5499">
        <v>-362.86419999999998</v>
      </c>
      <c r="K5499">
        <v>1.1093660000000001</v>
      </c>
      <c r="L5499">
        <v>17.468440000000001</v>
      </c>
      <c r="M5499">
        <v>0.99971620000000005</v>
      </c>
      <c r="N5499">
        <v>0</v>
      </c>
      <c r="O5499">
        <v>2.172669E-2</v>
      </c>
      <c r="P5499">
        <v>0.99829780000000001</v>
      </c>
      <c r="Q5499">
        <v>-2.0405409999999999E-2</v>
      </c>
      <c r="R5499">
        <v>-5.4640840000000003E-2</v>
      </c>
      <c r="S5499">
        <v>2.9736630000000002</v>
      </c>
      <c r="T5499">
        <v>-6.0058830000000001E-3</v>
      </c>
      <c r="U5499">
        <v>-0.57867429999999997</v>
      </c>
      <c r="V5499">
        <v>7.6309879999999997E-2</v>
      </c>
      <c r="W5499">
        <v>-1.070753E-2</v>
      </c>
      <c r="X5499">
        <v>0.99702670000000004</v>
      </c>
      <c r="Y5499">
        <v>0.21229870000000001</v>
      </c>
      <c r="Z5499">
        <v>-2.558924E-4</v>
      </c>
      <c r="AA5499">
        <v>0.97720479999999998</v>
      </c>
      <c r="AB5499">
        <v>26</v>
      </c>
      <c r="AC5499">
        <v>83.844200000000001</v>
      </c>
      <c r="AD5499">
        <v>-0.16980899999999999</v>
      </c>
      <c r="AE5499">
        <v>-16.366686999999999</v>
      </c>
      <c r="AF5499">
        <v>18.184495289133999</v>
      </c>
      <c r="AG5499">
        <v>-0.16980899999999999</v>
      </c>
      <c r="AH5499">
        <v>83.468465771357401</v>
      </c>
      <c r="AI5499">
        <v>90.113891400334893</v>
      </c>
      <c r="AJ5499">
        <v>77.709550057929803</v>
      </c>
      <c r="AK5499">
        <v>85.426515100648302</v>
      </c>
      <c r="AL5499">
        <v>90.6135079741738</v>
      </c>
      <c r="AM5499">
        <v>85.623260185999897</v>
      </c>
      <c r="AN5499">
        <v>1.0000000447485999</v>
      </c>
    </row>
    <row r="5500" spans="1:40" x14ac:dyDescent="0.25">
      <c r="A5500" t="str">
        <f>"20190312161426376"</f>
        <v>20190312161426376</v>
      </c>
      <c r="B5500" t="str">
        <f>"1552378466372187"</f>
        <v>1552378466372187</v>
      </c>
      <c r="C5500" t="s">
        <v>40</v>
      </c>
      <c r="D5500">
        <v>5.6096360000000001</v>
      </c>
      <c r="E5500">
        <v>0.5523943</v>
      </c>
      <c r="F5500" t="s">
        <v>101</v>
      </c>
      <c r="G5500">
        <v>-279.02</v>
      </c>
      <c r="H5500">
        <v>0.97772590000000004</v>
      </c>
      <c r="I5500">
        <v>1.055723</v>
      </c>
      <c r="J5500">
        <v>-362.72410000000002</v>
      </c>
      <c r="K5500">
        <v>1.1093649999999999</v>
      </c>
      <c r="L5500">
        <v>17.47119</v>
      </c>
      <c r="M5500">
        <v>0.99972159999999999</v>
      </c>
      <c r="N5500">
        <v>0</v>
      </c>
      <c r="O5500">
        <v>2.1479310000000001E-2</v>
      </c>
      <c r="P5500">
        <v>0.99828709999999998</v>
      </c>
      <c r="Q5500">
        <v>-2.0335039999999999E-2</v>
      </c>
      <c r="R5500">
        <v>-5.4859789999999999E-2</v>
      </c>
      <c r="S5500">
        <v>2.9731450000000001</v>
      </c>
      <c r="T5500">
        <v>-4.6679970000000001E-3</v>
      </c>
      <c r="U5500">
        <v>-0.58200069999999904</v>
      </c>
      <c r="V5500">
        <v>7.628211E-2</v>
      </c>
      <c r="W5500">
        <v>-1.064449E-2</v>
      </c>
      <c r="X5500">
        <v>0.99702950000000001</v>
      </c>
      <c r="Y5500">
        <v>0.2131422</v>
      </c>
      <c r="Z5500">
        <v>-1.9917310000000001E-4</v>
      </c>
      <c r="AA5500">
        <v>0.97702120000000003</v>
      </c>
      <c r="AB5500">
        <v>26</v>
      </c>
      <c r="AC5500">
        <v>83.704099999999997</v>
      </c>
      <c r="AD5500">
        <v>-0.13163909999999901</v>
      </c>
      <c r="AE5500">
        <v>-16.415467</v>
      </c>
      <c r="AF5500">
        <v>18.209628149987601</v>
      </c>
      <c r="AG5500">
        <v>-0.13163909999999901</v>
      </c>
      <c r="AH5500">
        <v>83.331978847833597</v>
      </c>
      <c r="AI5500">
        <v>90.088423263471299</v>
      </c>
      <c r="AJ5500">
        <v>77.673539348451897</v>
      </c>
      <c r="AK5500">
        <v>85.298455935082799</v>
      </c>
      <c r="AL5500">
        <v>90.609895842585004</v>
      </c>
      <c r="AM5500">
        <v>85.624858983308698</v>
      </c>
      <c r="AN5500">
        <v>1.00000004467183</v>
      </c>
    </row>
    <row r="5501" spans="1:40" x14ac:dyDescent="0.25">
      <c r="A5501" t="str">
        <f>"20190312161426387"</f>
        <v>20190312161426387</v>
      </c>
      <c r="B5501" t="str">
        <f>"1552378466381948"</f>
        <v>1552378466381948</v>
      </c>
      <c r="C5501" t="s">
        <v>40</v>
      </c>
      <c r="D5501">
        <v>5.5883310000000002</v>
      </c>
      <c r="E5501">
        <v>0.55241499999999999</v>
      </c>
      <c r="F5501" t="s">
        <v>101</v>
      </c>
      <c r="G5501">
        <v>-279.02</v>
      </c>
      <c r="H5501">
        <v>0.98574450000000002</v>
      </c>
      <c r="I5501">
        <v>1.0510409999999999</v>
      </c>
      <c r="J5501">
        <v>-362.59059999999999</v>
      </c>
      <c r="K5501">
        <v>1.1093630000000001</v>
      </c>
      <c r="L5501">
        <v>17.473849999999999</v>
      </c>
      <c r="M5501">
        <v>0.99972649999999996</v>
      </c>
      <c r="N5501">
        <v>0</v>
      </c>
      <c r="O5501">
        <v>2.1243850000000002E-2</v>
      </c>
      <c r="P5501">
        <v>0.99829299999999999</v>
      </c>
      <c r="Q5501">
        <v>-1.994955E-2</v>
      </c>
      <c r="R5501">
        <v>-5.4892099999999902E-2</v>
      </c>
      <c r="S5501">
        <v>2.9730530000000002</v>
      </c>
      <c r="T5501">
        <v>-4.3908360000000004E-3</v>
      </c>
      <c r="U5501">
        <v>-0.5832214</v>
      </c>
      <c r="V5501">
        <v>7.6079949999999993E-2</v>
      </c>
      <c r="W5501">
        <v>-1.026531E-2</v>
      </c>
      <c r="X5501">
        <v>0.99704890000000002</v>
      </c>
      <c r="Y5501">
        <v>0.2133041</v>
      </c>
      <c r="Z5501">
        <v>-1.8711920000000001E-4</v>
      </c>
      <c r="AA5501">
        <v>0.97698580000000002</v>
      </c>
      <c r="AB5501">
        <v>26</v>
      </c>
      <c r="AC5501">
        <v>83.570599999999999</v>
      </c>
      <c r="AD5501">
        <v>-0.12361849999999899</v>
      </c>
      <c r="AE5501">
        <v>-16.422808999999901</v>
      </c>
      <c r="AF5501">
        <v>18.194510260919699</v>
      </c>
      <c r="AG5501">
        <v>-0.12361849999999899</v>
      </c>
      <c r="AH5501">
        <v>83.202662656944199</v>
      </c>
      <c r="AI5501">
        <v>90.083162072729493</v>
      </c>
      <c r="AJ5501">
        <v>77.664903319748305</v>
      </c>
      <c r="AK5501">
        <v>85.168882570886893</v>
      </c>
      <c r="AL5501">
        <v>90.588169255530701</v>
      </c>
      <c r="AM5501">
        <v>85.636493552956196</v>
      </c>
      <c r="AN5501">
        <v>1.0000000221862999</v>
      </c>
    </row>
    <row r="5502" spans="1:40" x14ac:dyDescent="0.25">
      <c r="A5502" t="str">
        <f>"20190312161426399"</f>
        <v>20190312161426399</v>
      </c>
      <c r="B5502" t="str">
        <f>"1552378466391708"</f>
        <v>1552378466391708</v>
      </c>
      <c r="C5502" t="s">
        <v>40</v>
      </c>
      <c r="D5502">
        <v>5.5908550000000004</v>
      </c>
      <c r="E5502">
        <v>0.55245109999999997</v>
      </c>
      <c r="F5502" t="s">
        <v>101</v>
      </c>
      <c r="G5502">
        <v>-279.02</v>
      </c>
      <c r="H5502">
        <v>1.0142420000000001</v>
      </c>
      <c r="I5502">
        <v>1.06839</v>
      </c>
      <c r="J5502">
        <v>-362.46429999999998</v>
      </c>
      <c r="K5502">
        <v>1.1093519999999999</v>
      </c>
      <c r="L5502">
        <v>17.476289999999999</v>
      </c>
      <c r="M5502">
        <v>0.99973140000000005</v>
      </c>
      <c r="N5502">
        <v>0</v>
      </c>
      <c r="O5502">
        <v>2.1020730000000001E-2</v>
      </c>
      <c r="P5502">
        <v>0.99829389999999996</v>
      </c>
      <c r="Q5502">
        <v>-1.9995880000000001E-2</v>
      </c>
      <c r="R5502">
        <v>-5.4857210000000003E-2</v>
      </c>
      <c r="S5502">
        <v>2.9729920000000001</v>
      </c>
      <c r="T5502">
        <v>-3.3838750000000002E-3</v>
      </c>
      <c r="U5502">
        <v>-0.58361819999999998</v>
      </c>
      <c r="V5502">
        <v>7.5822669999999995E-2</v>
      </c>
      <c r="W5502">
        <v>-1.031923E-2</v>
      </c>
      <c r="X5502">
        <v>0.99706790000000001</v>
      </c>
      <c r="Y5502">
        <v>0.2132155</v>
      </c>
      <c r="Z5502">
        <v>-1.4390609999999999E-4</v>
      </c>
      <c r="AA5502">
        <v>0.97700520000000002</v>
      </c>
      <c r="AB5502">
        <v>26</v>
      </c>
      <c r="AC5502">
        <v>83.444299999999998</v>
      </c>
      <c r="AD5502">
        <v>-9.511E-2</v>
      </c>
      <c r="AE5502">
        <v>-16.407899999999898</v>
      </c>
      <c r="AF5502">
        <v>18.158395102755701</v>
      </c>
      <c r="AG5502">
        <v>-9.511E-2</v>
      </c>
      <c r="AH5502">
        <v>83.080834013639702</v>
      </c>
      <c r="AI5502">
        <v>90.064078871036003</v>
      </c>
      <c r="AJ5502">
        <v>77.671138952150201</v>
      </c>
      <c r="AK5502">
        <v>85.042115090241197</v>
      </c>
      <c r="AL5502">
        <v>90.591258832184593</v>
      </c>
      <c r="AM5502">
        <v>85.651275496911893</v>
      </c>
      <c r="AN5502">
        <v>0.99999998050206496</v>
      </c>
    </row>
    <row r="5503" spans="1:40" x14ac:dyDescent="0.25">
      <c r="A5503" t="str">
        <f>"20190312161426410"</f>
        <v>20190312161426410</v>
      </c>
      <c r="B5503" t="str">
        <f>"1552378466402444"</f>
        <v>1552378466402444</v>
      </c>
      <c r="C5503" t="s">
        <v>40</v>
      </c>
      <c r="D5503">
        <v>5.5767709999999999</v>
      </c>
      <c r="E5503">
        <v>0.55249969999999904</v>
      </c>
      <c r="F5503" t="s">
        <v>101</v>
      </c>
      <c r="G5503">
        <v>-279.02</v>
      </c>
      <c r="H5503">
        <v>1.009466</v>
      </c>
      <c r="I5503">
        <v>1.093048</v>
      </c>
      <c r="J5503">
        <v>-362.32799999999997</v>
      </c>
      <c r="K5503">
        <v>1.1093489999999999</v>
      </c>
      <c r="L5503">
        <v>17.47888</v>
      </c>
      <c r="M5503">
        <v>0.99973650000000003</v>
      </c>
      <c r="N5503">
        <v>0</v>
      </c>
      <c r="O5503">
        <v>2.0780219999999999E-2</v>
      </c>
      <c r="P5503">
        <v>0.99828930000000005</v>
      </c>
      <c r="Q5503">
        <v>-1.9957409999999998E-2</v>
      </c>
      <c r="R5503">
        <v>-5.4960759999999997E-2</v>
      </c>
      <c r="S5503">
        <v>2.9729920000000001</v>
      </c>
      <c r="T5503">
        <v>-3.5587549999999998E-3</v>
      </c>
      <c r="U5503">
        <v>-0.5837097</v>
      </c>
      <c r="V5503">
        <v>7.5686180000000006E-2</v>
      </c>
      <c r="W5503">
        <v>-1.028959E-2</v>
      </c>
      <c r="X5503">
        <v>0.99707860000000004</v>
      </c>
      <c r="Y5503">
        <v>0.21300930000000001</v>
      </c>
      <c r="Z5503">
        <v>-1.509351E-4</v>
      </c>
      <c r="AA5503">
        <v>0.97705010000000003</v>
      </c>
      <c r="AB5503">
        <v>26</v>
      </c>
      <c r="AC5503">
        <v>83.308000000000007</v>
      </c>
      <c r="AD5503">
        <v>-9.9882999999999902E-2</v>
      </c>
      <c r="AE5503">
        <v>-16.385832000000001</v>
      </c>
      <c r="AF5503">
        <v>18.113509269567199</v>
      </c>
      <c r="AG5503">
        <v>-9.9882999999999902E-2</v>
      </c>
      <c r="AH5503">
        <v>82.949377231463103</v>
      </c>
      <c r="AI5503">
        <v>90.067403986373293</v>
      </c>
      <c r="AJ5503">
        <v>77.681788912161494</v>
      </c>
      <c r="AK5503">
        <v>84.904112843607095</v>
      </c>
      <c r="AL5503">
        <v>90.589560481200294</v>
      </c>
      <c r="AM5503">
        <v>85.6591201852696</v>
      </c>
      <c r="AN5503">
        <v>1.0000000040416599</v>
      </c>
    </row>
    <row r="5504" spans="1:40" x14ac:dyDescent="0.25">
      <c r="A5504" t="str">
        <f>"20190312161426420"</f>
        <v>20190312161426420</v>
      </c>
      <c r="B5504" t="str">
        <f>"1552378466412203"</f>
        <v>1552378466412203</v>
      </c>
      <c r="C5504" t="s">
        <v>40</v>
      </c>
      <c r="D5504">
        <v>5.5694790000000003</v>
      </c>
      <c r="E5504">
        <v>0.5525293</v>
      </c>
      <c r="F5504" t="s">
        <v>101</v>
      </c>
      <c r="G5504">
        <v>-279.02</v>
      </c>
      <c r="H5504">
        <v>1.0085280000000001</v>
      </c>
      <c r="I5504">
        <v>1.1030789999999999</v>
      </c>
      <c r="J5504">
        <v>-362.19740000000002</v>
      </c>
      <c r="K5504">
        <v>1.109345</v>
      </c>
      <c r="L5504">
        <v>17.481379999999898</v>
      </c>
      <c r="M5504">
        <v>0.9997414</v>
      </c>
      <c r="N5504">
        <v>0</v>
      </c>
      <c r="O5504">
        <v>2.054972E-2</v>
      </c>
      <c r="P5504">
        <v>0.99827350000000004</v>
      </c>
      <c r="Q5504">
        <v>-1.9903339999999999E-2</v>
      </c>
      <c r="R5504">
        <v>-5.5265019999999998E-2</v>
      </c>
      <c r="S5504">
        <v>2.9729000000000001</v>
      </c>
      <c r="T5504">
        <v>-3.597856E-3</v>
      </c>
      <c r="U5504">
        <v>-0.58438109999999999</v>
      </c>
      <c r="V5504">
        <v>7.5760179999999996E-2</v>
      </c>
      <c r="W5504">
        <v>-1.024575E-2</v>
      </c>
      <c r="X5504">
        <v>0.9970734</v>
      </c>
      <c r="Y5504">
        <v>0.2130022</v>
      </c>
      <c r="Z5504">
        <v>-1.5231399999999999E-4</v>
      </c>
      <c r="AA5504">
        <v>0.97705169999999997</v>
      </c>
      <c r="AB5504">
        <v>26</v>
      </c>
      <c r="AC5504">
        <v>83.177400000000006</v>
      </c>
      <c r="AD5504">
        <v>-0.100816999999999</v>
      </c>
      <c r="AE5504">
        <v>-16.378300999999901</v>
      </c>
      <c r="AF5504">
        <v>18.084169867734801</v>
      </c>
      <c r="AG5504">
        <v>-0.100816999999999</v>
      </c>
      <c r="AH5504">
        <v>82.8231313493378</v>
      </c>
      <c r="AI5504">
        <v>90.068138283561694</v>
      </c>
      <c r="AJ5504">
        <v>77.6829585116636</v>
      </c>
      <c r="AK5504">
        <v>84.774515335578499</v>
      </c>
      <c r="AL5504">
        <v>90.587048520262698</v>
      </c>
      <c r="AM5504">
        <v>85.654869685986199</v>
      </c>
      <c r="AN5504">
        <v>0.99999997262712703</v>
      </c>
    </row>
    <row r="5505" spans="1:40" x14ac:dyDescent="0.25">
      <c r="A5505" t="str">
        <f>"20190312161426432"</f>
        <v>20190312161426432</v>
      </c>
      <c r="B5505" t="str">
        <f>"1552378466421964"</f>
        <v>1552378466421964</v>
      </c>
      <c r="C5505" t="s">
        <v>40</v>
      </c>
      <c r="D5505">
        <v>5.5640900000000002</v>
      </c>
      <c r="E5505">
        <v>0.55255259999999995</v>
      </c>
      <c r="F5505" t="s">
        <v>101</v>
      </c>
      <c r="G5505">
        <v>-279.02</v>
      </c>
      <c r="H5505">
        <v>1.002721</v>
      </c>
      <c r="I5505">
        <v>1.0976300000000001</v>
      </c>
      <c r="J5505">
        <v>-362.07150000000001</v>
      </c>
      <c r="K5505">
        <v>1.1093470000000001</v>
      </c>
      <c r="L5505">
        <v>17.483729999999898</v>
      </c>
      <c r="M5505">
        <v>0.99974600000000002</v>
      </c>
      <c r="N5505">
        <v>0</v>
      </c>
      <c r="O5505">
        <v>2.0327319999999999E-2</v>
      </c>
      <c r="P5505">
        <v>0.99826550000000003</v>
      </c>
      <c r="Q5505">
        <v>-2.0089329999999999E-2</v>
      </c>
      <c r="R5505">
        <v>-5.5341660000000001E-2</v>
      </c>
      <c r="S5505">
        <v>2.9726870000000001</v>
      </c>
      <c r="T5505">
        <v>-3.8106440000000002E-3</v>
      </c>
      <c r="U5505">
        <v>-0.58554079999999997</v>
      </c>
      <c r="V5505">
        <v>7.561474E-2</v>
      </c>
      <c r="W5505">
        <v>-1.0441219999999999E-2</v>
      </c>
      <c r="X5505">
        <v>0.99708240000000004</v>
      </c>
      <c r="Y5505">
        <v>0.2131651</v>
      </c>
      <c r="Z5505">
        <v>-1.6114849999999999E-4</v>
      </c>
      <c r="AA5505">
        <v>0.9770162</v>
      </c>
      <c r="AB5505">
        <v>26</v>
      </c>
      <c r="AC5505">
        <v>83.051500000000004</v>
      </c>
      <c r="AD5505">
        <v>-0.106625999999999</v>
      </c>
      <c r="AE5505">
        <v>-16.386099999999999</v>
      </c>
      <c r="AF5505">
        <v>18.070979681268899</v>
      </c>
      <c r="AG5505">
        <v>-0.106625999999999</v>
      </c>
      <c r="AH5505">
        <v>82.701105679824593</v>
      </c>
      <c r="AI5505">
        <v>90.072168239723695</v>
      </c>
      <c r="AJ5505">
        <v>77.674062144356199</v>
      </c>
      <c r="AK5505">
        <v>84.652492913146006</v>
      </c>
      <c r="AL5505">
        <v>90.598248733210298</v>
      </c>
      <c r="AM5505">
        <v>85.663218357035703</v>
      </c>
      <c r="AN5505">
        <v>0.99999996018505699</v>
      </c>
    </row>
    <row r="5506" spans="1:40" x14ac:dyDescent="0.25">
      <c r="A5506" t="str">
        <f>"20190312161426442"</f>
        <v>20190312161426442</v>
      </c>
      <c r="B5506" t="str">
        <f>"1552378466431723"</f>
        <v>1552378466431723</v>
      </c>
      <c r="C5506" t="s">
        <v>40</v>
      </c>
      <c r="D5506">
        <v>5.5829069999999996</v>
      </c>
      <c r="E5506">
        <v>0.55263600000000002</v>
      </c>
      <c r="F5506" t="s">
        <v>101</v>
      </c>
      <c r="G5506">
        <v>-279.02</v>
      </c>
      <c r="H5506">
        <v>0.97793140000000001</v>
      </c>
      <c r="I5506">
        <v>1.111826</v>
      </c>
      <c r="J5506">
        <v>-361.95030000000003</v>
      </c>
      <c r="K5506">
        <v>1.1093459999999999</v>
      </c>
      <c r="L5506">
        <v>17.485959999999999</v>
      </c>
      <c r="M5506">
        <v>0.99975049999999999</v>
      </c>
      <c r="N5506">
        <v>0</v>
      </c>
      <c r="O5506">
        <v>2.0113269999999999E-2</v>
      </c>
      <c r="P5506">
        <v>0.99825839999999999</v>
      </c>
      <c r="Q5506">
        <v>-2.013481E-2</v>
      </c>
      <c r="R5506">
        <v>-5.545448E-2</v>
      </c>
      <c r="S5506">
        <v>2.9726560000000002</v>
      </c>
      <c r="T5506">
        <v>-4.7037600000000004E-3</v>
      </c>
      <c r="U5506">
        <v>-0.58599849999999998</v>
      </c>
      <c r="V5506">
        <v>7.5513730000000001E-2</v>
      </c>
      <c r="W5506">
        <v>-1.049577E-2</v>
      </c>
      <c r="X5506">
        <v>0.99708949999999996</v>
      </c>
      <c r="Y5506">
        <v>0.2131025</v>
      </c>
      <c r="Z5506">
        <v>-1.985317E-4</v>
      </c>
      <c r="AA5506">
        <v>0.97702979999999995</v>
      </c>
      <c r="AB5506">
        <v>26</v>
      </c>
      <c r="AC5506">
        <v>82.930300000000003</v>
      </c>
      <c r="AD5506">
        <v>-0.13141459999999899</v>
      </c>
      <c r="AE5506">
        <v>-16.374133999999898</v>
      </c>
      <c r="AF5506">
        <v>18.0388559743465</v>
      </c>
      <c r="AG5506">
        <v>-0.13141459999999899</v>
      </c>
      <c r="AH5506">
        <v>82.583969739942702</v>
      </c>
      <c r="AI5506">
        <v>90.089073642415897</v>
      </c>
      <c r="AJ5506">
        <v>77.678385130059894</v>
      </c>
      <c r="AK5506">
        <v>84.531234775484506</v>
      </c>
      <c r="AL5506">
        <v>90.601374378783007</v>
      </c>
      <c r="AM5506">
        <v>85.669020314555695</v>
      </c>
      <c r="AN5506">
        <v>0.99999997780832695</v>
      </c>
    </row>
    <row r="5507" spans="1:40" x14ac:dyDescent="0.25">
      <c r="A5507" t="str">
        <f>"20190312161426454"</f>
        <v>20190312161426454</v>
      </c>
      <c r="B5507" t="str">
        <f>"1552378466442460"</f>
        <v>1552378466442460</v>
      </c>
      <c r="C5507" t="s">
        <v>40</v>
      </c>
      <c r="D5507">
        <v>5.4599599999999997</v>
      </c>
      <c r="E5507">
        <v>0.55262500000000003</v>
      </c>
      <c r="F5507" t="s">
        <v>101</v>
      </c>
      <c r="G5507">
        <v>-279.02</v>
      </c>
      <c r="H5507">
        <v>0.97437819999999997</v>
      </c>
      <c r="I5507">
        <v>1.1100429999999999</v>
      </c>
      <c r="J5507">
        <v>-361.82229999999998</v>
      </c>
      <c r="K5507">
        <v>1.109343</v>
      </c>
      <c r="L5507">
        <v>17.488340000000001</v>
      </c>
      <c r="M5507">
        <v>0.99975499999999995</v>
      </c>
      <c r="N5507">
        <v>0</v>
      </c>
      <c r="O5507">
        <v>1.9887720000000001E-2</v>
      </c>
      <c r="P5507">
        <v>0.99824679999999999</v>
      </c>
      <c r="Q5507">
        <v>-1.9989360000000001E-2</v>
      </c>
      <c r="R5507">
        <v>-5.5707159999999999E-2</v>
      </c>
      <c r="S5507">
        <v>2.972534</v>
      </c>
      <c r="T5507">
        <v>-4.8377510000000004E-3</v>
      </c>
      <c r="U5507">
        <v>-0.58697509999999997</v>
      </c>
      <c r="V5507">
        <v>7.5541520000000001E-2</v>
      </c>
      <c r="W5507">
        <v>-1.0359520000000001E-2</v>
      </c>
      <c r="X5507">
        <v>0.9970888</v>
      </c>
      <c r="Y5507">
        <v>0.21319859999999999</v>
      </c>
      <c r="Z5507">
        <v>-2.0390250000000001E-4</v>
      </c>
      <c r="AA5507">
        <v>0.97700889999999996</v>
      </c>
      <c r="AB5507">
        <v>26</v>
      </c>
      <c r="AC5507">
        <v>82.802300000000002</v>
      </c>
      <c r="AD5507">
        <v>-0.1349648</v>
      </c>
      <c r="AE5507">
        <v>-16.378297</v>
      </c>
      <c r="AF5507">
        <v>18.021838017961802</v>
      </c>
      <c r="AG5507">
        <v>-0.1349648</v>
      </c>
      <c r="AH5507">
        <v>82.459968599980598</v>
      </c>
      <c r="AI5507">
        <v>90.091615218642701</v>
      </c>
      <c r="AJ5507">
        <v>77.671708526376904</v>
      </c>
      <c r="AK5507">
        <v>84.406464696447699</v>
      </c>
      <c r="AL5507">
        <v>90.593567415947604</v>
      </c>
      <c r="AM5507">
        <v>85.667429497364793</v>
      </c>
      <c r="AN5507">
        <v>0.99999995799198904</v>
      </c>
    </row>
    <row r="5508" spans="1:40" x14ac:dyDescent="0.25">
      <c r="A5508" t="str">
        <f>"20190312161426463"</f>
        <v>20190312161426463</v>
      </c>
      <c r="B5508" t="str">
        <f>"1552378466452219"</f>
        <v>1552378466452219</v>
      </c>
      <c r="C5508" t="s">
        <v>40</v>
      </c>
      <c r="D5508">
        <v>5.5286289999999996</v>
      </c>
      <c r="E5508">
        <v>0.55269190000000001</v>
      </c>
      <c r="F5508" t="s">
        <v>101</v>
      </c>
      <c r="G5508">
        <v>-279.02</v>
      </c>
      <c r="H5508">
        <v>0.9994113</v>
      </c>
      <c r="I5508">
        <v>1.116608</v>
      </c>
      <c r="J5508">
        <v>-361.70269999999999</v>
      </c>
      <c r="K5508">
        <v>1.1093360000000001</v>
      </c>
      <c r="L5508">
        <v>17.49051</v>
      </c>
      <c r="M5508">
        <v>0.99975930000000002</v>
      </c>
      <c r="N5508">
        <v>0</v>
      </c>
      <c r="O5508">
        <v>1.9676579999999999E-2</v>
      </c>
      <c r="P5508">
        <v>0.99825410000000003</v>
      </c>
      <c r="Q5508">
        <v>-1.976265E-2</v>
      </c>
      <c r="R5508">
        <v>-5.5661860000000001E-2</v>
      </c>
      <c r="S5508">
        <v>2.9724119999999998</v>
      </c>
      <c r="T5508">
        <v>-3.9463040000000003E-3</v>
      </c>
      <c r="U5508">
        <v>-0.58770749999999905</v>
      </c>
      <c r="V5508">
        <v>7.5286049999999993E-2</v>
      </c>
      <c r="W5508">
        <v>-1.014048E-2</v>
      </c>
      <c r="X5508">
        <v>0.99711039999999995</v>
      </c>
      <c r="Y5508">
        <v>0.2132318</v>
      </c>
      <c r="Z5508">
        <v>-1.6607629999999999E-4</v>
      </c>
      <c r="AA5508">
        <v>0.97700160000000003</v>
      </c>
      <c r="AB5508">
        <v>26</v>
      </c>
      <c r="AC5508">
        <v>82.682699999999997</v>
      </c>
      <c r="AD5508">
        <v>-0.1099247</v>
      </c>
      <c r="AE5508">
        <v>-16.373901999999902</v>
      </c>
      <c r="AF5508">
        <v>17.9976904333693</v>
      </c>
      <c r="AG5508">
        <v>-0.1099247</v>
      </c>
      <c r="AH5508">
        <v>82.344353286928694</v>
      </c>
      <c r="AI5508">
        <v>90.074722368473701</v>
      </c>
      <c r="AJ5508">
        <v>77.670964459673002</v>
      </c>
      <c r="AK5508">
        <v>84.288323406137295</v>
      </c>
      <c r="AL5508">
        <v>90.5810166732863</v>
      </c>
      <c r="AM5508">
        <v>85.682119271767803</v>
      </c>
      <c r="AN5508">
        <v>0.99999998422369596</v>
      </c>
    </row>
    <row r="5509" spans="1:40" x14ac:dyDescent="0.25">
      <c r="A5509" t="str">
        <f>"20190312161426474"</f>
        <v>20190312161426474</v>
      </c>
      <c r="B5509" t="str">
        <f>"1552378466461979"</f>
        <v>1552378466461979</v>
      </c>
      <c r="C5509" t="s">
        <v>40</v>
      </c>
      <c r="D5509">
        <v>5.5229059999999999</v>
      </c>
      <c r="E5509">
        <v>0.55274719999999999</v>
      </c>
      <c r="F5509" t="s">
        <v>101</v>
      </c>
      <c r="G5509">
        <v>-279.02</v>
      </c>
      <c r="H5509">
        <v>1.030864</v>
      </c>
      <c r="I5509">
        <v>1.1336040000000001</v>
      </c>
      <c r="J5509">
        <v>-361.58609999999999</v>
      </c>
      <c r="K5509">
        <v>1.1093360000000001</v>
      </c>
      <c r="L5509">
        <v>17.49258</v>
      </c>
      <c r="M5509">
        <v>0.99976339999999997</v>
      </c>
      <c r="N5509">
        <v>0</v>
      </c>
      <c r="O5509">
        <v>1.9470629999999999E-2</v>
      </c>
      <c r="P5509">
        <v>0.99824939999999995</v>
      </c>
      <c r="Q5509">
        <v>-1.9650919999999999E-2</v>
      </c>
      <c r="R5509">
        <v>-5.5790149999999997E-2</v>
      </c>
      <c r="S5509">
        <v>2.9723510000000002</v>
      </c>
      <c r="T5509">
        <v>-2.820969E-3</v>
      </c>
      <c r="U5509">
        <v>-0.58801269999999894</v>
      </c>
      <c r="V5509">
        <v>7.520868E-2</v>
      </c>
      <c r="W5509">
        <v>-1.003734E-2</v>
      </c>
      <c r="X5509">
        <v>0.99711729999999998</v>
      </c>
      <c r="Y5509">
        <v>0.21313090000000001</v>
      </c>
      <c r="Z5509">
        <v>-1.184778E-4</v>
      </c>
      <c r="AA5509">
        <v>0.97702370000000005</v>
      </c>
      <c r="AB5509">
        <v>26</v>
      </c>
      <c r="AC5509">
        <v>82.566100000000006</v>
      </c>
      <c r="AD5509">
        <v>-7.8472000000000097E-2</v>
      </c>
      <c r="AE5509">
        <v>-16.358975999999998</v>
      </c>
      <c r="AF5509">
        <v>17.963548490555102</v>
      </c>
      <c r="AG5509">
        <v>-7.8472000000000097E-2</v>
      </c>
      <c r="AH5509">
        <v>82.231840395995803</v>
      </c>
      <c r="AI5509">
        <v>90.053416387551593</v>
      </c>
      <c r="AJ5509">
        <v>77.677315569799305</v>
      </c>
      <c r="AK5509">
        <v>84.171080586742207</v>
      </c>
      <c r="AL5509">
        <v>90.575106875579095</v>
      </c>
      <c r="AM5509">
        <v>85.686569653424201</v>
      </c>
      <c r="AN5509">
        <v>1.00000000185045</v>
      </c>
    </row>
    <row r="5510" spans="1:40" x14ac:dyDescent="0.25">
      <c r="A5510" t="str">
        <f>"20190312161426485"</f>
        <v>20190312161426485</v>
      </c>
      <c r="B5510" t="str">
        <f>"1552378466482476"</f>
        <v>1552378466482476</v>
      </c>
      <c r="C5510" t="s">
        <v>40</v>
      </c>
      <c r="D5510">
        <v>5.5172670000000004</v>
      </c>
      <c r="E5510">
        <v>0.55290790000000001</v>
      </c>
      <c r="F5510" t="s">
        <v>101</v>
      </c>
      <c r="G5510">
        <v>-279.02</v>
      </c>
      <c r="H5510">
        <v>1.0461199999999999</v>
      </c>
      <c r="I5510">
        <v>1.132978</v>
      </c>
      <c r="J5510">
        <v>-361.452</v>
      </c>
      <c r="K5510">
        <v>1.1093329999999999</v>
      </c>
      <c r="L5510">
        <v>17.494959999999999</v>
      </c>
      <c r="M5510">
        <v>0.99976799999999999</v>
      </c>
      <c r="N5510">
        <v>0</v>
      </c>
      <c r="O5510">
        <v>1.9234290000000001E-2</v>
      </c>
      <c r="P5510">
        <v>0.99824500000000005</v>
      </c>
      <c r="Q5510">
        <v>-1.9522999999999999E-2</v>
      </c>
      <c r="R5510">
        <v>-5.5910130000000002E-2</v>
      </c>
      <c r="S5510">
        <v>2.9722900000000001</v>
      </c>
      <c r="T5510">
        <v>-2.2757049999999998E-3</v>
      </c>
      <c r="U5510">
        <v>-0.58892819999999901</v>
      </c>
      <c r="V5510">
        <v>7.5093129999999994E-2</v>
      </c>
      <c r="W5510">
        <v>-9.9199389999999991E-3</v>
      </c>
      <c r="X5510">
        <v>0.99712719999999999</v>
      </c>
      <c r="Y5510">
        <v>0.21319350000000001</v>
      </c>
      <c r="Z5510" s="1">
        <v>-9.5420750000000003E-5</v>
      </c>
      <c r="AA5510">
        <v>0.97701000000000005</v>
      </c>
      <c r="AB5510">
        <v>26</v>
      </c>
      <c r="AC5510">
        <v>82.432000000000002</v>
      </c>
      <c r="AD5510">
        <v>-6.32129999999997E-2</v>
      </c>
      <c r="AE5510">
        <v>-16.361981999999902</v>
      </c>
      <c r="AF5510">
        <v>17.9445401693782</v>
      </c>
      <c r="AG5510">
        <v>-6.32129999999997E-2</v>
      </c>
      <c r="AH5510">
        <v>82.101976622478006</v>
      </c>
      <c r="AI5510">
        <v>90.043096530588997</v>
      </c>
      <c r="AJ5510">
        <v>77.671080966200194</v>
      </c>
      <c r="AK5510">
        <v>84.040139713661404</v>
      </c>
      <c r="AL5510">
        <v>90.568379949581498</v>
      </c>
      <c r="AM5510">
        <v>85.693214417783807</v>
      </c>
      <c r="AN5510">
        <v>1.0000000181713999</v>
      </c>
    </row>
    <row r="5511" spans="1:40" x14ac:dyDescent="0.25">
      <c r="A5511" t="str">
        <f>"20190312161426496"</f>
        <v>20190312161426496</v>
      </c>
      <c r="B5511" t="str">
        <f>"1552378466492235"</f>
        <v>1552378466492235</v>
      </c>
      <c r="C5511" t="s">
        <v>40</v>
      </c>
      <c r="D5511">
        <v>5.452026</v>
      </c>
      <c r="E5511">
        <v>0.55254720000000002</v>
      </c>
      <c r="F5511" t="s">
        <v>101</v>
      </c>
      <c r="G5511">
        <v>-279.02</v>
      </c>
      <c r="H5511">
        <v>1.0524100000000001</v>
      </c>
      <c r="I5511">
        <v>1.1180859999999999</v>
      </c>
      <c r="J5511">
        <v>-361.33260000000001</v>
      </c>
      <c r="K5511">
        <v>1.1092820000000001</v>
      </c>
      <c r="L5511">
        <v>17.496979999999901</v>
      </c>
      <c r="M5511">
        <v>0.9997684</v>
      </c>
      <c r="N5511">
        <v>0</v>
      </c>
      <c r="O5511">
        <v>1.9279830000000001E-2</v>
      </c>
      <c r="P5511">
        <v>0.99826599999999999</v>
      </c>
      <c r="Q5511">
        <v>-1.9264280000000002E-2</v>
      </c>
      <c r="R5511">
        <v>-5.5627530000000001E-2</v>
      </c>
      <c r="S5511">
        <v>2.9721679999999999</v>
      </c>
      <c r="T5511">
        <v>-2.052426E-3</v>
      </c>
      <c r="U5511">
        <v>-0.59048459999999903</v>
      </c>
      <c r="V5511">
        <v>7.4855859999999996E-2</v>
      </c>
      <c r="W5511">
        <v>-9.7799010000000006E-3</v>
      </c>
      <c r="X5511">
        <v>0.99714639999999999</v>
      </c>
      <c r="Y5511">
        <v>0.21373780000000001</v>
      </c>
      <c r="Z5511" s="1">
        <v>-8.6275019999999998E-5</v>
      </c>
      <c r="AA5511">
        <v>0.97689099999999995</v>
      </c>
      <c r="AB5511">
        <v>26</v>
      </c>
      <c r="AC5511">
        <v>82.312600000000003</v>
      </c>
      <c r="AD5511">
        <v>-5.6871999999999798E-2</v>
      </c>
      <c r="AE5511">
        <v>-16.378893999999899</v>
      </c>
      <c r="AF5511">
        <v>17.962886567554399</v>
      </c>
      <c r="AG5511">
        <v>-5.6871999999999798E-2</v>
      </c>
      <c r="AH5511">
        <v>81.981464519366199</v>
      </c>
      <c r="AI5511">
        <v>90.038826024906498</v>
      </c>
      <c r="AJ5511">
        <v>77.641277754226806</v>
      </c>
      <c r="AK5511">
        <v>83.926331106532402</v>
      </c>
      <c r="AL5511">
        <v>90.560355987281497</v>
      </c>
      <c r="AM5511">
        <v>85.706853864614899</v>
      </c>
      <c r="AN5511">
        <v>0.99999999463643396</v>
      </c>
    </row>
    <row r="5512" spans="1:40" x14ac:dyDescent="0.25">
      <c r="A5512" t="str">
        <f>"20190312161426506"</f>
        <v>20190312161426506</v>
      </c>
      <c r="B5512" t="str">
        <f>"1552378466501996"</f>
        <v>1552378466501996</v>
      </c>
      <c r="C5512" t="s">
        <v>40</v>
      </c>
      <c r="D5512">
        <v>5.6005560000000001</v>
      </c>
      <c r="E5512">
        <v>0.55254720000000002</v>
      </c>
      <c r="F5512" t="s">
        <v>101</v>
      </c>
      <c r="G5512">
        <v>-279.02</v>
      </c>
      <c r="H5512">
        <v>1.091664</v>
      </c>
      <c r="I5512">
        <v>1.247082</v>
      </c>
      <c r="J5512">
        <v>-361.19529999999997</v>
      </c>
      <c r="K5512">
        <v>1.10921</v>
      </c>
      <c r="L5512">
        <v>17.499269999999999</v>
      </c>
      <c r="M5512">
        <v>0.99976690000000001</v>
      </c>
      <c r="N5512">
        <v>0</v>
      </c>
      <c r="O5512">
        <v>1.9435669999999999E-2</v>
      </c>
      <c r="P5512">
        <v>0.99829199999999996</v>
      </c>
      <c r="Q5512">
        <v>-1.9057600000000001E-2</v>
      </c>
      <c r="R5512">
        <v>-5.5228890000000003E-2</v>
      </c>
      <c r="S5512">
        <v>2.9725039999999998</v>
      </c>
      <c r="T5512">
        <v>-6.3621999999999995E-4</v>
      </c>
      <c r="U5512">
        <v>-0.58682250000000002</v>
      </c>
      <c r="V5512">
        <v>7.4612899999999996E-2</v>
      </c>
      <c r="W5512">
        <v>-9.7538969999999992E-3</v>
      </c>
      <c r="X5512">
        <v>0.99716479999999996</v>
      </c>
      <c r="Y5512">
        <v>0.21271080000000001</v>
      </c>
      <c r="Z5512" s="1">
        <v>-2.66683E-5</v>
      </c>
      <c r="AA5512">
        <v>0.97711519999999996</v>
      </c>
      <c r="AB5512">
        <v>26</v>
      </c>
      <c r="AC5512">
        <v>82.175299999999993</v>
      </c>
      <c r="AD5512">
        <v>-1.7545999999999999E-2</v>
      </c>
      <c r="AE5512">
        <v>-16.252188</v>
      </c>
      <c r="AF5512">
        <v>17.846319673265199</v>
      </c>
      <c r="AG5512">
        <v>-1.7545999999999999E-2</v>
      </c>
      <c r="AH5512">
        <v>81.843886780093499</v>
      </c>
      <c r="AI5512">
        <v>90.012001283840902</v>
      </c>
      <c r="AJ5512">
        <v>77.699019950966701</v>
      </c>
      <c r="AK5512">
        <v>83.767017596517405</v>
      </c>
      <c r="AL5512">
        <v>90.558866032400303</v>
      </c>
      <c r="AM5512">
        <v>85.720814972611294</v>
      </c>
      <c r="AN5512">
        <v>0.99999993085606498</v>
      </c>
    </row>
    <row r="5513" spans="1:40" x14ac:dyDescent="0.25">
      <c r="A5513" t="str">
        <f>"20190312161426520"</f>
        <v>20190312161426520</v>
      </c>
      <c r="B5513" t="str">
        <f>"1552378466511755"</f>
        <v>1552378466511755</v>
      </c>
      <c r="C5513" t="s">
        <v>40</v>
      </c>
      <c r="D5513">
        <v>5.4380709999999999</v>
      </c>
      <c r="E5513">
        <v>0.49054150000000002</v>
      </c>
      <c r="F5513" t="s">
        <v>101</v>
      </c>
      <c r="G5513">
        <v>-279.02</v>
      </c>
      <c r="H5513">
        <v>1.112031</v>
      </c>
      <c r="I5513">
        <v>1.312403</v>
      </c>
      <c r="J5513">
        <v>-361.05180000000001</v>
      </c>
      <c r="K5513">
        <v>1.1092850000000001</v>
      </c>
      <c r="L5513">
        <v>17.501650000000001</v>
      </c>
      <c r="M5513">
        <v>0.99976969999999998</v>
      </c>
      <c r="N5513">
        <v>0</v>
      </c>
      <c r="O5513">
        <v>1.924522E-2</v>
      </c>
      <c r="P5513">
        <v>0.9982896</v>
      </c>
      <c r="Q5513">
        <v>-1.9044370000000001E-2</v>
      </c>
      <c r="R5513">
        <v>-5.5278340000000002E-2</v>
      </c>
      <c r="S5513">
        <v>2.9727480000000002</v>
      </c>
      <c r="T5513">
        <v>1.020432E-4</v>
      </c>
      <c r="U5513">
        <v>-0.58557130000000002</v>
      </c>
      <c r="V5513">
        <v>7.4473839999999999E-2</v>
      </c>
      <c r="W5513">
        <v>-9.6312740000000004E-3</v>
      </c>
      <c r="X5513">
        <v>0.99717650000000002</v>
      </c>
      <c r="Y5513">
        <v>0.21211350000000001</v>
      </c>
      <c r="Z5513" s="1">
        <v>4.2605159999999997E-6</v>
      </c>
      <c r="AA5513">
        <v>0.97724500000000003</v>
      </c>
      <c r="AB5513">
        <v>26</v>
      </c>
      <c r="AC5513">
        <v>82.031800000000004</v>
      </c>
      <c r="AD5513">
        <v>2.74599999999991E-3</v>
      </c>
      <c r="AE5513">
        <v>-16.189247000000002</v>
      </c>
      <c r="AF5513">
        <v>17.765039576518198</v>
      </c>
      <c r="AG5513">
        <v>2.74599999999991E-3</v>
      </c>
      <c r="AH5513">
        <v>81.705026059788494</v>
      </c>
      <c r="AI5513">
        <v>89.998118327879993</v>
      </c>
      <c r="AJ5513">
        <v>77.733165647631694</v>
      </c>
      <c r="AK5513">
        <v>83.614041417255294</v>
      </c>
      <c r="AL5513">
        <v>90.551839859485199</v>
      </c>
      <c r="AM5513">
        <v>85.728810703091398</v>
      </c>
      <c r="AN5513">
        <v>1.0000000432177201</v>
      </c>
    </row>
    <row r="5514" spans="1:40" x14ac:dyDescent="0.25">
      <c r="A5514" t="str">
        <f>"20190312161426532"</f>
        <v>20190312161426532</v>
      </c>
      <c r="B5514" t="str">
        <f>"1552378466522491"</f>
        <v>1552378466522491</v>
      </c>
      <c r="C5514" t="s">
        <v>40</v>
      </c>
      <c r="D5514">
        <v>5.4103560000000002</v>
      </c>
      <c r="E5514">
        <v>0.482545</v>
      </c>
      <c r="F5514" t="s">
        <v>97</v>
      </c>
      <c r="G5514">
        <v>-279.68</v>
      </c>
      <c r="H5514">
        <v>0.56650979999999995</v>
      </c>
      <c r="I5514">
        <v>15.022259999999999</v>
      </c>
      <c r="J5514">
        <v>-360.9024</v>
      </c>
      <c r="K5514">
        <v>1.1093869999999999</v>
      </c>
      <c r="L5514">
        <v>17.50412</v>
      </c>
      <c r="M5514">
        <v>0.99977519999999998</v>
      </c>
      <c r="N5514">
        <v>0</v>
      </c>
      <c r="O5514">
        <v>1.8886159999999999E-2</v>
      </c>
      <c r="P5514">
        <v>0.99826979999999998</v>
      </c>
      <c r="Q5514">
        <v>-1.9410690000000001E-2</v>
      </c>
      <c r="R5514">
        <v>-5.5504440000000002E-2</v>
      </c>
      <c r="S5514">
        <v>2.999695</v>
      </c>
      <c r="T5514">
        <v>-2.00088E-2</v>
      </c>
      <c r="U5514">
        <v>-9.1400149999999999E-2</v>
      </c>
      <c r="V5514">
        <v>7.4343759999999995E-2</v>
      </c>
      <c r="W5514">
        <v>-9.8332339999999997E-3</v>
      </c>
      <c r="X5514">
        <v>0.99718419999999997</v>
      </c>
      <c r="Y5514">
        <v>4.9327009999999998E-2</v>
      </c>
      <c r="Z5514">
        <v>-2.9042709999999998E-4</v>
      </c>
      <c r="AA5514">
        <v>0.99878259999999996</v>
      </c>
      <c r="AB5514">
        <v>26</v>
      </c>
      <c r="AC5514">
        <v>81.222399999999993</v>
      </c>
      <c r="AD5514">
        <v>-0.54287719999999995</v>
      </c>
      <c r="AE5514">
        <v>-2.48185999999999</v>
      </c>
      <c r="AF5514">
        <v>4.0152885568997698</v>
      </c>
      <c r="AG5514">
        <v>-0.54287719999999995</v>
      </c>
      <c r="AH5514">
        <v>81.1574146752763</v>
      </c>
      <c r="AI5514">
        <v>90.3827883258556</v>
      </c>
      <c r="AJ5514">
        <v>87.167582893348396</v>
      </c>
      <c r="AK5514">
        <v>81.2584962611554</v>
      </c>
      <c r="AL5514">
        <v>90.563411882558498</v>
      </c>
      <c r="AM5514">
        <v>85.736276257457405</v>
      </c>
      <c r="AN5514">
        <v>1.0000000079357301</v>
      </c>
    </row>
    <row r="5515" spans="1:40" x14ac:dyDescent="0.25">
      <c r="A5515" t="str">
        <f>"20190312161426565"</f>
        <v>20190312161426565</v>
      </c>
      <c r="B5515" t="str">
        <f>"1552378466551771"</f>
        <v>1552378466551771</v>
      </c>
      <c r="C5515" t="s">
        <v>40</v>
      </c>
      <c r="D5515">
        <v>5.3840000000000003</v>
      </c>
      <c r="E5515">
        <v>0.4764369</v>
      </c>
      <c r="F5515" t="s">
        <v>97</v>
      </c>
      <c r="G5515">
        <v>-279.68</v>
      </c>
      <c r="H5515">
        <v>1.0055559999999999</v>
      </c>
      <c r="I5515">
        <v>16.725059999999999</v>
      </c>
      <c r="J5515">
        <v>-360.52960000000002</v>
      </c>
      <c r="K5515">
        <v>1.1095820000000001</v>
      </c>
      <c r="L5515">
        <v>17.510379999999898</v>
      </c>
      <c r="M5515">
        <v>0.99980089999999999</v>
      </c>
      <c r="N5515">
        <v>0</v>
      </c>
      <c r="O5515">
        <v>1.7289599999999999E-2</v>
      </c>
      <c r="P5515">
        <v>0.99819780000000002</v>
      </c>
      <c r="Q5515">
        <v>-1.9905450000000002E-2</v>
      </c>
      <c r="R5515">
        <v>-5.661559E-2</v>
      </c>
      <c r="S5515">
        <v>3.0035099999999999</v>
      </c>
      <c r="T5515">
        <v>-3.8394929999999998E-3</v>
      </c>
      <c r="U5515">
        <v>-2.8808589999999999E-2</v>
      </c>
      <c r="V5515">
        <v>7.3866490000000007E-2</v>
      </c>
      <c r="W5515">
        <v>-9.9655319999999992E-3</v>
      </c>
      <c r="X5515">
        <v>0.99721839999999995</v>
      </c>
      <c r="Y5515">
        <v>2.687939E-2</v>
      </c>
      <c r="Z5515" s="1">
        <v>-3.9282159999999999E-5</v>
      </c>
      <c r="AA5515">
        <v>0.99963869999999999</v>
      </c>
      <c r="AB5515">
        <v>26</v>
      </c>
      <c r="AC5515">
        <v>80.849599999999995</v>
      </c>
      <c r="AD5515">
        <v>-0.10402599999999999</v>
      </c>
      <c r="AE5515">
        <v>-0.78531999999999802</v>
      </c>
      <c r="AF5515">
        <v>2.1831255918761001</v>
      </c>
      <c r="AG5515">
        <v>-0.10402599999999999</v>
      </c>
      <c r="AH5515">
        <v>80.823801367845107</v>
      </c>
      <c r="AI5515">
        <v>90.073716829578203</v>
      </c>
      <c r="AJ5515">
        <v>88.452764238136197</v>
      </c>
      <c r="AK5515">
        <v>80.853347032188196</v>
      </c>
      <c r="AL5515">
        <v>90.570992344834195</v>
      </c>
      <c r="AM5515">
        <v>85.763693178561795</v>
      </c>
      <c r="AN5515">
        <v>1.0000000537357601</v>
      </c>
    </row>
    <row r="5516" spans="1:40" x14ac:dyDescent="0.25">
      <c r="A5516" t="str">
        <f>"20190312161426584"</f>
        <v>20190312161426584</v>
      </c>
      <c r="B5516" t="str">
        <f>"1552378466582027"</f>
        <v>1552378466582027</v>
      </c>
      <c r="C5516" t="s">
        <v>40</v>
      </c>
      <c r="D5516">
        <v>5.255242</v>
      </c>
      <c r="E5516">
        <v>0.47537420000000002</v>
      </c>
      <c r="F5516" t="s">
        <v>97</v>
      </c>
      <c r="G5516">
        <v>-279.68</v>
      </c>
      <c r="H5516">
        <v>1.3014410000000001</v>
      </c>
      <c r="I5516">
        <v>17.94369</v>
      </c>
      <c r="J5516">
        <v>-360.28469999999999</v>
      </c>
      <c r="K5516">
        <v>1.1094660000000001</v>
      </c>
      <c r="L5516">
        <v>17.514340000000001</v>
      </c>
      <c r="M5516">
        <v>0.99981379999999997</v>
      </c>
      <c r="N5516">
        <v>0</v>
      </c>
      <c r="O5516">
        <v>1.655879E-2</v>
      </c>
      <c r="P5516">
        <v>0.99817710000000004</v>
      </c>
      <c r="Q5516">
        <v>-1.9536899999999999E-2</v>
      </c>
      <c r="R5516">
        <v>-5.7105919999999998E-2</v>
      </c>
      <c r="S5516">
        <v>3.0064700000000002</v>
      </c>
      <c r="T5516">
        <v>7.1345569999999997E-3</v>
      </c>
      <c r="U5516">
        <v>1.6113280000000001E-2</v>
      </c>
      <c r="V5516">
        <v>7.3626849999999994E-2</v>
      </c>
      <c r="W5516">
        <v>-9.6533339999999995E-3</v>
      </c>
      <c r="X5516">
        <v>0.99723910000000004</v>
      </c>
      <c r="Y5516">
        <v>1.120056E-2</v>
      </c>
      <c r="Z5516" s="1">
        <v>5.2584679999999997E-5</v>
      </c>
      <c r="AA5516">
        <v>0.99993730000000003</v>
      </c>
      <c r="AB5516">
        <v>26</v>
      </c>
      <c r="AC5516">
        <v>80.604699999999895</v>
      </c>
      <c r="AD5516">
        <v>0.19197500000000001</v>
      </c>
      <c r="AE5516">
        <v>0.42934999999999901</v>
      </c>
      <c r="AF5516">
        <v>0.90548555704951195</v>
      </c>
      <c r="AG5516">
        <v>0.19197500000000001</v>
      </c>
      <c r="AH5516">
        <v>80.600300193264502</v>
      </c>
      <c r="AI5516">
        <v>89.863540924693595</v>
      </c>
      <c r="AJ5516">
        <v>89.356350804184999</v>
      </c>
      <c r="AK5516">
        <v>80.605614877246595</v>
      </c>
      <c r="AL5516">
        <v>90.553103908435006</v>
      </c>
      <c r="AM5516">
        <v>85.777474280471097</v>
      </c>
      <c r="AN5516">
        <v>0.99999996123352297</v>
      </c>
    </row>
    <row r="5517" spans="1:40" x14ac:dyDescent="0.25">
      <c r="A5517" t="str">
        <f>"20190312161426596"</f>
        <v>20190312161426596</v>
      </c>
      <c r="B5517" t="str">
        <f>"1552378466591788"</f>
        <v>1552378466591788</v>
      </c>
      <c r="C5517" t="s">
        <v>40</v>
      </c>
      <c r="D5517">
        <v>5.2370979999999996</v>
      </c>
      <c r="E5517">
        <v>0.4752691</v>
      </c>
      <c r="F5517" t="s">
        <v>82</v>
      </c>
      <c r="G5517">
        <v>-273.40989999999999</v>
      </c>
      <c r="H5517">
        <v>1.413985</v>
      </c>
      <c r="I5517">
        <v>18.180890000000002</v>
      </c>
      <c r="J5517">
        <v>-360.14749999999998</v>
      </c>
      <c r="K5517">
        <v>1.1093649999999999</v>
      </c>
      <c r="L5517">
        <v>17.51642</v>
      </c>
      <c r="M5517">
        <v>0.99981790000000004</v>
      </c>
      <c r="N5517">
        <v>0</v>
      </c>
      <c r="O5517">
        <v>1.6343299999999901E-2</v>
      </c>
      <c r="P5517">
        <v>0.99817469999999997</v>
      </c>
      <c r="Q5517">
        <v>-1.9273729999999999E-2</v>
      </c>
      <c r="R5517">
        <v>-5.7238329999999997E-2</v>
      </c>
      <c r="S5517">
        <v>3.0070190000000001</v>
      </c>
      <c r="T5517">
        <v>1.054049E-2</v>
      </c>
      <c r="U5517">
        <v>2.3071290000000001E-2</v>
      </c>
      <c r="V5517">
        <v>7.3542780000000002E-2</v>
      </c>
      <c r="W5517">
        <v>-9.4474650000000004E-3</v>
      </c>
      <c r="X5517">
        <v>0.99724729999999995</v>
      </c>
      <c r="Y5517">
        <v>8.6722309999999903E-3</v>
      </c>
      <c r="Z5517" s="1">
        <v>7.2486119999999897E-5</v>
      </c>
      <c r="AA5517">
        <v>0.99996240000000003</v>
      </c>
      <c r="AB5517">
        <v>26</v>
      </c>
      <c r="AC5517">
        <v>86.737599999999901</v>
      </c>
      <c r="AD5517">
        <v>0.30462</v>
      </c>
      <c r="AE5517">
        <v>0.66446999999999701</v>
      </c>
      <c r="AF5517">
        <v>0.75325688615227704</v>
      </c>
      <c r="AG5517">
        <v>0.30462</v>
      </c>
      <c r="AH5517">
        <v>86.735804573133606</v>
      </c>
      <c r="AI5517">
        <v>89.7987830913209</v>
      </c>
      <c r="AJ5517">
        <v>89.502427449461905</v>
      </c>
      <c r="AK5517">
        <v>86.739610237940099</v>
      </c>
      <c r="AL5517">
        <v>90.541307931629902</v>
      </c>
      <c r="AM5517">
        <v>85.782312871200006</v>
      </c>
      <c r="AN5517">
        <v>0.99999998622117203</v>
      </c>
    </row>
    <row r="5518" spans="1:40" x14ac:dyDescent="0.25">
      <c r="A5518" t="str">
        <f>"20190312161426607"</f>
        <v>20190312161426607</v>
      </c>
      <c r="B5518" t="str">
        <f>"1552378466602523"</f>
        <v>1552378466602523</v>
      </c>
      <c r="C5518" t="s">
        <v>40</v>
      </c>
      <c r="D5518">
        <v>5.592117</v>
      </c>
      <c r="E5518">
        <v>0.47515679999999999</v>
      </c>
      <c r="F5518" t="s">
        <v>82</v>
      </c>
      <c r="G5518">
        <v>-273.40989999999999</v>
      </c>
      <c r="H5518">
        <v>1.4318310000000001</v>
      </c>
      <c r="I5518">
        <v>18.1951</v>
      </c>
      <c r="J5518">
        <v>-360.01499999999999</v>
      </c>
      <c r="K5518">
        <v>1.109264</v>
      </c>
      <c r="L5518">
        <v>17.5184</v>
      </c>
      <c r="M5518">
        <v>0.99982079999999995</v>
      </c>
      <c r="N5518">
        <v>0</v>
      </c>
      <c r="O5518">
        <v>1.6188520000000001E-2</v>
      </c>
      <c r="P5518">
        <v>0.99816479999999996</v>
      </c>
      <c r="Q5518">
        <v>-1.946519E-2</v>
      </c>
      <c r="R5518">
        <v>-5.7344239999999998E-2</v>
      </c>
      <c r="S5518">
        <v>3.0071110000000001</v>
      </c>
      <c r="T5518">
        <v>1.1179690000000001E-2</v>
      </c>
      <c r="U5518">
        <v>2.3529049999999999E-2</v>
      </c>
      <c r="V5518">
        <v>7.3492879999999997E-2</v>
      </c>
      <c r="W5518">
        <v>-9.6957160000000001E-3</v>
      </c>
      <c r="X5518">
        <v>0.99724860000000004</v>
      </c>
      <c r="Y5518">
        <v>8.3654230000000003E-3</v>
      </c>
      <c r="Z5518" s="1">
        <v>7.5733679999999995E-5</v>
      </c>
      <c r="AA5518">
        <v>0.99996499999999999</v>
      </c>
      <c r="AB5518">
        <v>26</v>
      </c>
      <c r="AC5518">
        <v>86.605099999999993</v>
      </c>
      <c r="AD5518">
        <v>0.32256699999999899</v>
      </c>
      <c r="AE5518">
        <v>0.67669999999999997</v>
      </c>
      <c r="AF5518">
        <v>0.72545452673506905</v>
      </c>
      <c r="AG5518">
        <v>0.32256699999999899</v>
      </c>
      <c r="AH5518">
        <v>86.603503913066703</v>
      </c>
      <c r="AI5518">
        <v>89.786602238648598</v>
      </c>
      <c r="AJ5518">
        <v>89.520059713968294</v>
      </c>
      <c r="AK5518">
        <v>86.607143029662495</v>
      </c>
      <c r="AL5518">
        <v>90.555532315779104</v>
      </c>
      <c r="AM5518">
        <v>85.785169800113906</v>
      </c>
      <c r="AN5518">
        <v>0.99999999026070296</v>
      </c>
    </row>
    <row r="5519" spans="1:40" x14ac:dyDescent="0.25">
      <c r="A5519" t="str">
        <f>"20190312161426620"</f>
        <v>20190312161426620</v>
      </c>
      <c r="B5519" t="str">
        <f>"1552378466612283"</f>
        <v>1552378466612283</v>
      </c>
      <c r="C5519" t="s">
        <v>40</v>
      </c>
      <c r="D5519">
        <v>5.281415</v>
      </c>
      <c r="E5519">
        <v>0.47500379999999998</v>
      </c>
      <c r="F5519" t="s">
        <v>82</v>
      </c>
      <c r="G5519">
        <v>-273.40989999999999</v>
      </c>
      <c r="H5519">
        <v>1.4280139999999999</v>
      </c>
      <c r="I5519">
        <v>18.21275</v>
      </c>
      <c r="J5519">
        <v>-359.86790000000002</v>
      </c>
      <c r="K5519">
        <v>1.109186</v>
      </c>
      <c r="L5519">
        <v>17.520479999999999</v>
      </c>
      <c r="M5519">
        <v>0.99982249999999995</v>
      </c>
      <c r="N5519">
        <v>0</v>
      </c>
      <c r="O5519">
        <v>1.6093619999999999E-2</v>
      </c>
      <c r="P5519">
        <v>0.99814150000000001</v>
      </c>
      <c r="Q5519">
        <v>-1.9731760000000001E-2</v>
      </c>
      <c r="R5519">
        <v>-5.7656119999999998E-2</v>
      </c>
      <c r="S5519">
        <v>3.0070800000000002</v>
      </c>
      <c r="T5519">
        <v>1.106763E-2</v>
      </c>
      <c r="U5519">
        <v>2.4108890000000001E-2</v>
      </c>
      <c r="V5519">
        <v>7.3708010000000004E-2</v>
      </c>
      <c r="W5519">
        <v>-9.9972910000000002E-3</v>
      </c>
      <c r="X5519">
        <v>0.99722980000000006</v>
      </c>
      <c r="Y5519">
        <v>8.0776370000000004E-3</v>
      </c>
      <c r="Z5519" s="1">
        <v>7.4096459999999995E-5</v>
      </c>
      <c r="AA5519">
        <v>0.99996739999999995</v>
      </c>
      <c r="AB5519">
        <v>26</v>
      </c>
      <c r="AC5519">
        <v>86.457999999999998</v>
      </c>
      <c r="AD5519">
        <v>0.318827999999999</v>
      </c>
      <c r="AE5519">
        <v>0.69227000000000005</v>
      </c>
      <c r="AF5519">
        <v>0.699299121815946</v>
      </c>
      <c r="AG5519">
        <v>0.318827999999999</v>
      </c>
      <c r="AH5519">
        <v>86.456767716880506</v>
      </c>
      <c r="AI5519">
        <v>89.788717309828399</v>
      </c>
      <c r="AJ5519">
        <v>89.536577463751499</v>
      </c>
      <c r="AK5519">
        <v>86.460183637359904</v>
      </c>
      <c r="AL5519">
        <v>90.572812096889507</v>
      </c>
      <c r="AM5519">
        <v>85.7727973098023</v>
      </c>
      <c r="AN5519">
        <v>1.0000000452867599</v>
      </c>
    </row>
    <row r="5520" spans="1:40" x14ac:dyDescent="0.25">
      <c r="A5520" t="str">
        <f>"20190312161426631"</f>
        <v>20190312161426631</v>
      </c>
      <c r="B5520" t="str">
        <f>"1552378466622044"</f>
        <v>1552378466622044</v>
      </c>
      <c r="C5520" t="s">
        <v>40</v>
      </c>
      <c r="D5520">
        <v>5.2960279999999997</v>
      </c>
      <c r="E5520">
        <v>0.47495169999999998</v>
      </c>
      <c r="F5520" t="s">
        <v>82</v>
      </c>
      <c r="G5520">
        <v>-273.40989999999999</v>
      </c>
      <c r="H5520">
        <v>1.4053340000000001</v>
      </c>
      <c r="I5520">
        <v>18.221509999999999</v>
      </c>
      <c r="J5520">
        <v>-359.73399999999998</v>
      </c>
      <c r="K5520">
        <v>1.1091249999999999</v>
      </c>
      <c r="L5520">
        <v>17.522400000000001</v>
      </c>
      <c r="M5520">
        <v>0.99982420000000005</v>
      </c>
      <c r="N5520">
        <v>0</v>
      </c>
      <c r="O5520">
        <v>1.599706E-2</v>
      </c>
      <c r="P5520">
        <v>0.99814179999999997</v>
      </c>
      <c r="Q5520">
        <v>-1.969812E-2</v>
      </c>
      <c r="R5520">
        <v>-5.7662070000000003E-2</v>
      </c>
      <c r="S5520">
        <v>3.0072019999999999</v>
      </c>
      <c r="T5520">
        <v>1.0300760000000001E-2</v>
      </c>
      <c r="U5520">
        <v>2.4383539999999999E-2</v>
      </c>
      <c r="V5520">
        <v>7.3616559999999998E-2</v>
      </c>
      <c r="W5520">
        <v>-9.9918669999999998E-3</v>
      </c>
      <c r="X5520">
        <v>0.99723649999999997</v>
      </c>
      <c r="Y5520">
        <v>7.8900789999999995E-3</v>
      </c>
      <c r="Z5520" s="1">
        <v>6.8307559999999994E-5</v>
      </c>
      <c r="AA5520">
        <v>0.99996890000000005</v>
      </c>
      <c r="AB5520">
        <v>26</v>
      </c>
      <c r="AC5520">
        <v>86.324100000000001</v>
      </c>
      <c r="AD5520">
        <v>0.296209</v>
      </c>
      <c r="AE5520">
        <v>0.69911000000000101</v>
      </c>
      <c r="AF5520">
        <v>0.68196930238507902</v>
      </c>
      <c r="AG5520">
        <v>0.296209</v>
      </c>
      <c r="AH5520">
        <v>86.323220729003694</v>
      </c>
      <c r="AI5520">
        <v>89.803402500385602</v>
      </c>
      <c r="AJ5520">
        <v>89.547362232570407</v>
      </c>
      <c r="AK5520">
        <v>86.326422715929596</v>
      </c>
      <c r="AL5520">
        <v>90.572501371571505</v>
      </c>
      <c r="AM5520">
        <v>85.778051313918397</v>
      </c>
      <c r="AN5520">
        <v>0.99999993612231197</v>
      </c>
    </row>
    <row r="5521" spans="1:40" x14ac:dyDescent="0.25">
      <c r="A5521" t="str">
        <f>"20190312161426642"</f>
        <v>20190312161426642</v>
      </c>
      <c r="B5521" t="str">
        <f>"1552378466631804"</f>
        <v>1552378466631804</v>
      </c>
      <c r="C5521" t="s">
        <v>40</v>
      </c>
      <c r="D5521">
        <v>5.1592010000000004</v>
      </c>
      <c r="E5521">
        <v>0.47499540000000001</v>
      </c>
      <c r="F5521" t="s">
        <v>82</v>
      </c>
      <c r="G5521">
        <v>-273.40989999999999</v>
      </c>
      <c r="H5521">
        <v>1.4100429999999999</v>
      </c>
      <c r="I5521">
        <v>18.232849999999999</v>
      </c>
      <c r="J5521">
        <v>-359.60610000000003</v>
      </c>
      <c r="K5521">
        <v>1.1090960000000001</v>
      </c>
      <c r="L5521">
        <v>17.52411</v>
      </c>
      <c r="M5521">
        <v>0.99982629999999995</v>
      </c>
      <c r="N5521">
        <v>0</v>
      </c>
      <c r="O5521">
        <v>1.5880499999999999E-2</v>
      </c>
      <c r="P5521">
        <v>0.99812540000000005</v>
      </c>
      <c r="Q5521">
        <v>-1.99107E-2</v>
      </c>
      <c r="R5521">
        <v>-5.7874729999999999E-2</v>
      </c>
      <c r="S5521">
        <v>3.0072329999999998</v>
      </c>
      <c r="T5521">
        <v>1.0483030000000001E-2</v>
      </c>
      <c r="U5521">
        <v>2.4749759999999999E-2</v>
      </c>
      <c r="V5521">
        <v>7.3712130000000001E-2</v>
      </c>
      <c r="W5521">
        <v>-1.022577E-2</v>
      </c>
      <c r="X5521">
        <v>0.99722710000000003</v>
      </c>
      <c r="Y5521">
        <v>7.6518150000000002E-3</v>
      </c>
      <c r="Z5521" s="1">
        <v>6.8693929999999998E-5</v>
      </c>
      <c r="AA5521">
        <v>0.99997069999999999</v>
      </c>
      <c r="AB5521">
        <v>26</v>
      </c>
      <c r="AC5521">
        <v>86.196200000000005</v>
      </c>
      <c r="AD5521">
        <v>0.30094700000000002</v>
      </c>
      <c r="AE5521">
        <v>0.70873999999999804</v>
      </c>
      <c r="AF5521">
        <v>0.66024523644328803</v>
      </c>
      <c r="AG5521">
        <v>0.30094700000000002</v>
      </c>
      <c r="AH5521">
        <v>86.195534386495694</v>
      </c>
      <c r="AI5521">
        <v>89.799961596718106</v>
      </c>
      <c r="AJ5521">
        <v>89.5611312589416</v>
      </c>
      <c r="AK5521">
        <v>86.198588393561394</v>
      </c>
      <c r="AL5521">
        <v>90.585903694039203</v>
      </c>
      <c r="AM5521">
        <v>85.772550477356901</v>
      </c>
      <c r="AN5521">
        <v>0.99999996672781899</v>
      </c>
    </row>
    <row r="5522" spans="1:40" x14ac:dyDescent="0.25">
      <c r="A5522" t="str">
        <f>"20190312161426653"</f>
        <v>20190312161426653</v>
      </c>
      <c r="B5522" t="str">
        <f>"1552378466642539"</f>
        <v>1552378466642539</v>
      </c>
      <c r="C5522" t="s">
        <v>40</v>
      </c>
      <c r="D5522">
        <v>5.3023790000000002</v>
      </c>
      <c r="E5522">
        <v>0.474968</v>
      </c>
      <c r="F5522" t="s">
        <v>97</v>
      </c>
      <c r="G5522">
        <v>-279.68</v>
      </c>
      <c r="H5522">
        <v>1.3441080000000001</v>
      </c>
      <c r="I5522">
        <v>18.157579999999999</v>
      </c>
      <c r="J5522">
        <v>-359.48059999999998</v>
      </c>
      <c r="K5522">
        <v>1.109081</v>
      </c>
      <c r="L5522">
        <v>17.52582</v>
      </c>
      <c r="M5522">
        <v>0.99982890000000002</v>
      </c>
      <c r="N5522">
        <v>0</v>
      </c>
      <c r="O5522">
        <v>1.5734379999999999E-2</v>
      </c>
      <c r="P5522">
        <v>0.99811119999999998</v>
      </c>
      <c r="Q5522">
        <v>-1.9877550000000001E-2</v>
      </c>
      <c r="R5522">
        <v>-5.8132429999999999E-2</v>
      </c>
      <c r="S5522">
        <v>3.0072019999999999</v>
      </c>
      <c r="T5522">
        <v>8.8423489999999993E-3</v>
      </c>
      <c r="U5522">
        <v>2.3834230000000001E-2</v>
      </c>
      <c r="V5522">
        <v>7.3823680000000003E-2</v>
      </c>
      <c r="W5522">
        <v>-1.0216050000000001E-2</v>
      </c>
      <c r="X5522">
        <v>0.99721899999999997</v>
      </c>
      <c r="Y5522">
        <v>7.8100390000000004E-3</v>
      </c>
      <c r="Z5522" s="1">
        <v>5.7746499999999898E-5</v>
      </c>
      <c r="AA5522">
        <v>0.99996949999999996</v>
      </c>
      <c r="AB5522">
        <v>26</v>
      </c>
      <c r="AC5522">
        <v>79.800599999999903</v>
      </c>
      <c r="AD5522">
        <v>0.23502700000000001</v>
      </c>
      <c r="AE5522">
        <v>0.63175999999999899</v>
      </c>
      <c r="AF5522">
        <v>0.62398516206435195</v>
      </c>
      <c r="AG5522">
        <v>0.23502700000000001</v>
      </c>
      <c r="AH5522">
        <v>79.799968982644003</v>
      </c>
      <c r="AI5522">
        <v>89.831258022326296</v>
      </c>
      <c r="AJ5522">
        <v>89.551992461926901</v>
      </c>
      <c r="AK5522">
        <v>79.802754619149297</v>
      </c>
      <c r="AL5522">
        <v>90.585346719538705</v>
      </c>
      <c r="AM5522">
        <v>85.766141976635694</v>
      </c>
      <c r="AN5522">
        <v>1.0000000186836699</v>
      </c>
    </row>
    <row r="5523" spans="1:40" x14ac:dyDescent="0.25">
      <c r="A5523" t="str">
        <f>"20190312161426664"</f>
        <v>20190312161426664</v>
      </c>
      <c r="B5523" t="str">
        <f>"1552378466652300"</f>
        <v>1552378466652300</v>
      </c>
      <c r="C5523" t="s">
        <v>40</v>
      </c>
      <c r="D5523">
        <v>5.2626200000000001</v>
      </c>
      <c r="E5523">
        <v>0.47493249999999998</v>
      </c>
      <c r="F5523" t="s">
        <v>82</v>
      </c>
      <c r="G5523">
        <v>-273.40989999999999</v>
      </c>
      <c r="H5523">
        <v>1.3752260000000001</v>
      </c>
      <c r="I5523">
        <v>18.19313</v>
      </c>
      <c r="J5523">
        <v>-359.34820000000002</v>
      </c>
      <c r="K5523">
        <v>1.1090799999999901</v>
      </c>
      <c r="L5523">
        <v>17.527619999999999</v>
      </c>
      <c r="M5523">
        <v>0.9998321</v>
      </c>
      <c r="N5523">
        <v>0</v>
      </c>
      <c r="O5523">
        <v>1.5542749999999999E-2</v>
      </c>
      <c r="P5523">
        <v>0.99812509999999999</v>
      </c>
      <c r="Q5523">
        <v>-1.9870120000000002E-2</v>
      </c>
      <c r="R5523">
        <v>-5.789677E-2</v>
      </c>
      <c r="S5523">
        <v>3.0072329999999998</v>
      </c>
      <c r="T5523">
        <v>9.2989209999999999E-3</v>
      </c>
      <c r="U5523">
        <v>2.3315430000000002E-2</v>
      </c>
      <c r="V5523">
        <v>7.3397190000000001E-2</v>
      </c>
      <c r="W5523">
        <v>-1.023554E-2</v>
      </c>
      <c r="X5523">
        <v>0.99725030000000003</v>
      </c>
      <c r="Y5523">
        <v>7.7909519999999899E-3</v>
      </c>
      <c r="Z5523" s="1">
        <v>6.0105629999999998E-5</v>
      </c>
      <c r="AA5523">
        <v>0.99996969999999996</v>
      </c>
      <c r="AB5523">
        <v>26</v>
      </c>
      <c r="AC5523">
        <v>85.938299999999998</v>
      </c>
      <c r="AD5523">
        <v>0.26614599999999999</v>
      </c>
      <c r="AE5523">
        <v>0.66550999999999705</v>
      </c>
      <c r="AF5523">
        <v>0.67034439503137599</v>
      </c>
      <c r="AG5523">
        <v>0.26614599999999999</v>
      </c>
      <c r="AH5523">
        <v>85.937438194848994</v>
      </c>
      <c r="AI5523">
        <v>89.822562433703396</v>
      </c>
      <c r="AJ5523">
        <v>89.553080397749895</v>
      </c>
      <c r="AK5523">
        <v>85.940464734575102</v>
      </c>
      <c r="AL5523">
        <v>90.586463461723099</v>
      </c>
      <c r="AM5523">
        <v>85.790645050776803</v>
      </c>
      <c r="AN5523">
        <v>1.0000000373145299</v>
      </c>
    </row>
    <row r="5524" spans="1:40" x14ac:dyDescent="0.25">
      <c r="A5524" t="str">
        <f>"20190312161426676"</f>
        <v>20190312161426676</v>
      </c>
      <c r="B5524" t="str">
        <f>"1552378466671820"</f>
        <v>1552378466671820</v>
      </c>
      <c r="C5524" t="s">
        <v>40</v>
      </c>
      <c r="D5524">
        <v>5.3718519999999996</v>
      </c>
      <c r="E5524">
        <v>0.47496500000000003</v>
      </c>
      <c r="F5524" t="s">
        <v>97</v>
      </c>
      <c r="G5524">
        <v>-279.68</v>
      </c>
      <c r="H5524">
        <v>1.3453740000000001</v>
      </c>
      <c r="I5524">
        <v>18.172789999999999</v>
      </c>
      <c r="J5524">
        <v>-359.20940000000002</v>
      </c>
      <c r="K5524">
        <v>1.109091</v>
      </c>
      <c r="L5524">
        <v>17.52948</v>
      </c>
      <c r="M5524">
        <v>0.99983610000000001</v>
      </c>
      <c r="N5524">
        <v>0</v>
      </c>
      <c r="O5524">
        <v>1.5306230000000001E-2</v>
      </c>
      <c r="P5524">
        <v>0.99812160000000005</v>
      </c>
      <c r="Q5524">
        <v>-1.9577310000000001E-2</v>
      </c>
      <c r="R5524">
        <v>-5.8053750000000001E-2</v>
      </c>
      <c r="S5524">
        <v>3.0072019999999999</v>
      </c>
      <c r="T5524">
        <v>8.9193580000000005E-3</v>
      </c>
      <c r="U5524">
        <v>2.4353030000000001E-2</v>
      </c>
      <c r="V5524">
        <v>7.3318800000000003E-2</v>
      </c>
      <c r="W5524">
        <v>-9.9744889999999996E-3</v>
      </c>
      <c r="X5524">
        <v>0.99725870000000005</v>
      </c>
      <c r="Y5524">
        <v>7.2093280000000001E-3</v>
      </c>
      <c r="Z5524" s="1">
        <v>5.6088760000000001E-5</v>
      </c>
      <c r="AA5524">
        <v>0.99997400000000003</v>
      </c>
      <c r="AB5524">
        <v>26</v>
      </c>
      <c r="AC5524">
        <v>79.529399999999995</v>
      </c>
      <c r="AD5524">
        <v>0.23628299999999999</v>
      </c>
      <c r="AE5524">
        <v>0.64330999999999905</v>
      </c>
      <c r="AF5524">
        <v>0.57411249781244</v>
      </c>
      <c r="AG5524">
        <v>0.23628299999999999</v>
      </c>
      <c r="AH5524">
        <v>79.529227640673597</v>
      </c>
      <c r="AI5524">
        <v>89.829777975879196</v>
      </c>
      <c r="AJ5524">
        <v>89.586395433655198</v>
      </c>
      <c r="AK5524">
        <v>79.531650831215003</v>
      </c>
      <c r="AL5524">
        <v>90.571505584580706</v>
      </c>
      <c r="AM5524">
        <v>85.795159902633401</v>
      </c>
      <c r="AN5524">
        <v>1.0000000257949699</v>
      </c>
    </row>
    <row r="5525" spans="1:40" x14ac:dyDescent="0.25">
      <c r="A5525" t="str">
        <f>"20190312161426687"</f>
        <v>20190312161426687</v>
      </c>
      <c r="B5525" t="str">
        <f>"1552378466681581"</f>
        <v>1552378466681581</v>
      </c>
      <c r="C5525" t="s">
        <v>40</v>
      </c>
      <c r="D5525">
        <v>5.3035860000000001</v>
      </c>
      <c r="E5525">
        <v>0.47496529999999998</v>
      </c>
      <c r="F5525" t="s">
        <v>82</v>
      </c>
      <c r="G5525">
        <v>-273.40989999999999</v>
      </c>
      <c r="H5525">
        <v>1.402962</v>
      </c>
      <c r="I5525">
        <v>18.203410000000002</v>
      </c>
      <c r="J5525">
        <v>-359.07380000000001</v>
      </c>
      <c r="K5525">
        <v>1.1091040000000001</v>
      </c>
      <c r="L5525">
        <v>17.531279999999999</v>
      </c>
      <c r="M5525">
        <v>0.99984019999999996</v>
      </c>
      <c r="N5525">
        <v>0</v>
      </c>
      <c r="O5525">
        <v>1.505867E-2</v>
      </c>
      <c r="P5525">
        <v>0.99811419999999995</v>
      </c>
      <c r="Q5525">
        <v>-1.9535879999999999E-2</v>
      </c>
      <c r="R5525">
        <v>-5.8193769999999999E-2</v>
      </c>
      <c r="S5525">
        <v>3.0072019999999999</v>
      </c>
      <c r="T5525">
        <v>1.030004E-2</v>
      </c>
      <c r="U5525">
        <v>2.362061E-2</v>
      </c>
      <c r="V5525">
        <v>7.3212289999999999E-2</v>
      </c>
      <c r="W5525">
        <v>-9.9654949999999996E-3</v>
      </c>
      <c r="X5525">
        <v>0.9972666</v>
      </c>
      <c r="Y5525">
        <v>7.20523E-3</v>
      </c>
      <c r="Z5525" s="1">
        <v>6.3916230000000005E-5</v>
      </c>
      <c r="AA5525">
        <v>0.99997400000000003</v>
      </c>
      <c r="AB5525">
        <v>26</v>
      </c>
      <c r="AC5525">
        <v>85.663899999999998</v>
      </c>
      <c r="AD5525">
        <v>0.29385799999999901</v>
      </c>
      <c r="AE5525">
        <v>0.672130000000002</v>
      </c>
      <c r="AF5525">
        <v>0.61798321459725003</v>
      </c>
      <c r="AG5525">
        <v>0.29385799999999901</v>
      </c>
      <c r="AH5525">
        <v>85.663299707011305</v>
      </c>
      <c r="AI5525">
        <v>89.8034593683293</v>
      </c>
      <c r="AJ5525">
        <v>89.586669951993798</v>
      </c>
      <c r="AK5525">
        <v>85.666032781207505</v>
      </c>
      <c r="AL5525">
        <v>90.570990249195305</v>
      </c>
      <c r="AM5525">
        <v>85.801279541984698</v>
      </c>
      <c r="AN5525">
        <v>1.0000000109865901</v>
      </c>
    </row>
    <row r="5526" spans="1:40" x14ac:dyDescent="0.25">
      <c r="A5526" t="str">
        <f>"20190312161426699"</f>
        <v>20190312161426699</v>
      </c>
      <c r="B5526" t="str">
        <f>"1552378466692316"</f>
        <v>1552378466692316</v>
      </c>
      <c r="C5526" t="s">
        <v>40</v>
      </c>
      <c r="D5526">
        <v>5.2268650000000001</v>
      </c>
      <c r="E5526">
        <v>0.47514040000000002</v>
      </c>
      <c r="F5526" t="s">
        <v>82</v>
      </c>
      <c r="G5526">
        <v>-273.40989999999999</v>
      </c>
      <c r="H5526">
        <v>1.3986879999999999</v>
      </c>
      <c r="I5526">
        <v>18.191099999999999</v>
      </c>
      <c r="J5526">
        <v>-358.94400000000002</v>
      </c>
      <c r="K5526">
        <v>1.1091200000000001</v>
      </c>
      <c r="L5526">
        <v>17.532989999999899</v>
      </c>
      <c r="M5526">
        <v>0.99984430000000002</v>
      </c>
      <c r="N5526">
        <v>0</v>
      </c>
      <c r="O5526">
        <v>1.480853E-2</v>
      </c>
      <c r="P5526">
        <v>0.99809870000000001</v>
      </c>
      <c r="Q5526">
        <v>-1.967412E-2</v>
      </c>
      <c r="R5526">
        <v>-5.8412909999999998E-2</v>
      </c>
      <c r="S5526">
        <v>3.0072329999999998</v>
      </c>
      <c r="T5526">
        <v>1.016593E-2</v>
      </c>
      <c r="U5526">
        <v>2.3162840000000001E-2</v>
      </c>
      <c r="V5526">
        <v>7.318181E-2</v>
      </c>
      <c r="W5526">
        <v>-1.0136829999999999E-2</v>
      </c>
      <c r="X5526">
        <v>0.99726709999999996</v>
      </c>
      <c r="Y5526">
        <v>7.1073489999999998E-3</v>
      </c>
      <c r="Z5526" s="1">
        <v>6.2072450000000002E-5</v>
      </c>
      <c r="AA5526">
        <v>0.99997469999999999</v>
      </c>
      <c r="AB5526">
        <v>26</v>
      </c>
      <c r="AC5526">
        <v>85.534099999999995</v>
      </c>
      <c r="AD5526">
        <v>0.28956799999999899</v>
      </c>
      <c r="AE5526">
        <v>0.65810999999999997</v>
      </c>
      <c r="AF5526">
        <v>0.60864780238379501</v>
      </c>
      <c r="AG5526">
        <v>0.28956799999999899</v>
      </c>
      <c r="AH5526">
        <v>85.533485975168105</v>
      </c>
      <c r="AI5526">
        <v>89.806034552689894</v>
      </c>
      <c r="AJ5526">
        <v>89.592295797401604</v>
      </c>
      <c r="AK5526">
        <v>85.536141629361893</v>
      </c>
      <c r="AL5526">
        <v>90.580807523374503</v>
      </c>
      <c r="AM5526">
        <v>85.803023417348598</v>
      </c>
      <c r="AN5526">
        <v>1.0000000006898599</v>
      </c>
    </row>
    <row r="5527" spans="1:40" x14ac:dyDescent="0.25">
      <c r="A5527" t="str">
        <f>"20190312161426708"</f>
        <v>20190312161426708</v>
      </c>
      <c r="B5527" t="str">
        <f>"1552378466702075"</f>
        <v>1552378466702075</v>
      </c>
      <c r="C5527" t="s">
        <v>40</v>
      </c>
      <c r="D5527">
        <v>5.2748030000000004</v>
      </c>
      <c r="E5527">
        <v>0.47523850000000001</v>
      </c>
      <c r="F5527" t="s">
        <v>97</v>
      </c>
      <c r="G5527">
        <v>-279.68</v>
      </c>
      <c r="H5527">
        <v>1.322851</v>
      </c>
      <c r="I5527">
        <v>18.089639999999999</v>
      </c>
      <c r="J5527">
        <v>-358.82069999999999</v>
      </c>
      <c r="K5527">
        <v>1.1091329999999999</v>
      </c>
      <c r="L5527">
        <v>17.534610000000001</v>
      </c>
      <c r="M5527">
        <v>0.99984839999999997</v>
      </c>
      <c r="N5527">
        <v>0</v>
      </c>
      <c r="O5527">
        <v>1.4555490000000001E-2</v>
      </c>
      <c r="P5527">
        <v>0.99806410000000001</v>
      </c>
      <c r="Q5527">
        <v>-2.0130180000000001E-2</v>
      </c>
      <c r="R5527">
        <v>-5.8847030000000002E-2</v>
      </c>
      <c r="S5527">
        <v>3.0071110000000001</v>
      </c>
      <c r="T5527">
        <v>8.1086159999999904E-3</v>
      </c>
      <c r="U5527">
        <v>2.111816E-2</v>
      </c>
      <c r="V5527">
        <v>7.3363159999999997E-2</v>
      </c>
      <c r="W5527">
        <v>-1.063072E-2</v>
      </c>
      <c r="X5527">
        <v>0.99724860000000004</v>
      </c>
      <c r="Y5527">
        <v>7.5338929999999998E-3</v>
      </c>
      <c r="Z5527" s="1">
        <v>4.9405659999999998E-5</v>
      </c>
      <c r="AA5527">
        <v>0.99997159999999996</v>
      </c>
      <c r="AB5527">
        <v>27</v>
      </c>
      <c r="AC5527">
        <v>79.140699999999896</v>
      </c>
      <c r="AD5527">
        <v>0.21371799999999999</v>
      </c>
      <c r="AE5527">
        <v>0.55502999999999802</v>
      </c>
      <c r="AF5527">
        <v>0.59700871512439402</v>
      </c>
      <c r="AG5527">
        <v>0.21371799999999999</v>
      </c>
      <c r="AH5527">
        <v>79.139817321100296</v>
      </c>
      <c r="AI5527">
        <v>89.845276857472001</v>
      </c>
      <c r="AJ5527">
        <v>89.567784813944002</v>
      </c>
      <c r="AK5527">
        <v>79.142357687944695</v>
      </c>
      <c r="AL5527">
        <v>90.609106881901795</v>
      </c>
      <c r="AM5527">
        <v>85.792582526723294</v>
      </c>
      <c r="AN5527">
        <v>0.99999996782743095</v>
      </c>
    </row>
    <row r="5528" spans="1:40" x14ac:dyDescent="0.25">
      <c r="A5528" t="str">
        <f>"20190312161426720"</f>
        <v>20190312161426720</v>
      </c>
      <c r="B5528" t="str">
        <f>"1552378466711838"</f>
        <v>1552378466711838</v>
      </c>
      <c r="C5528" t="s">
        <v>40</v>
      </c>
      <c r="D5528">
        <v>5.5090830000000004</v>
      </c>
      <c r="E5528">
        <v>0.47525790000000001</v>
      </c>
      <c r="F5528" t="s">
        <v>97</v>
      </c>
      <c r="G5528">
        <v>-279.68</v>
      </c>
      <c r="H5528">
        <v>1.2400169999999999</v>
      </c>
      <c r="I5528">
        <v>18.034980000000001</v>
      </c>
      <c r="J5528">
        <v>-358.67630000000003</v>
      </c>
      <c r="K5528">
        <v>1.1091230000000001</v>
      </c>
      <c r="L5528">
        <v>17.536529999999999</v>
      </c>
      <c r="M5528">
        <v>0.99985829999999998</v>
      </c>
      <c r="N5528">
        <v>0</v>
      </c>
      <c r="O5528">
        <v>1.3970440000000001E-2</v>
      </c>
      <c r="P5528">
        <v>0.99801830000000002</v>
      </c>
      <c r="Q5528">
        <v>-2.007753E-2</v>
      </c>
      <c r="R5528">
        <v>-5.9633499999999999E-2</v>
      </c>
      <c r="S5528">
        <v>3.00705</v>
      </c>
      <c r="T5528">
        <v>4.973173E-3</v>
      </c>
      <c r="U5528">
        <v>1.901245E-2</v>
      </c>
      <c r="V5528">
        <v>7.3565980000000003E-2</v>
      </c>
      <c r="W5528">
        <v>-1.074143E-2</v>
      </c>
      <c r="X5528">
        <v>0.99723249999999997</v>
      </c>
      <c r="Y5528">
        <v>7.6488669999999898E-3</v>
      </c>
      <c r="Z5528" s="1">
        <v>2.9429729999999999E-5</v>
      </c>
      <c r="AA5528">
        <v>0.99997069999999999</v>
      </c>
      <c r="AB5528">
        <v>27</v>
      </c>
      <c r="AC5528">
        <v>78.996300000000005</v>
      </c>
      <c r="AD5528">
        <v>0.13089400000000001</v>
      </c>
      <c r="AE5528">
        <v>0.49844999999999801</v>
      </c>
      <c r="AF5528">
        <v>0.605258732655928</v>
      </c>
      <c r="AG5528">
        <v>0.13089400000000001</v>
      </c>
      <c r="AH5528">
        <v>78.995336961251596</v>
      </c>
      <c r="AI5528">
        <v>89.905064690367496</v>
      </c>
      <c r="AJ5528">
        <v>89.561010894562699</v>
      </c>
      <c r="AK5528">
        <v>78.997764101235006</v>
      </c>
      <c r="AL5528">
        <v>90.615450443096407</v>
      </c>
      <c r="AM5528">
        <v>85.780924763497495</v>
      </c>
      <c r="AN5528">
        <v>0.99999999539402695</v>
      </c>
    </row>
    <row r="5529" spans="1:40" x14ac:dyDescent="0.25">
      <c r="A5529" t="str">
        <f>"20190312161426733"</f>
        <v>20190312161426733</v>
      </c>
      <c r="B5529" t="str">
        <f>"1552378466722571"</f>
        <v>1552378466722571</v>
      </c>
      <c r="C5529" t="s">
        <v>40</v>
      </c>
      <c r="D5529">
        <v>5.2173550000000004</v>
      </c>
      <c r="E5529">
        <v>0.47528310000000001</v>
      </c>
      <c r="F5529" t="s">
        <v>97</v>
      </c>
      <c r="G5529">
        <v>-279.68</v>
      </c>
      <c r="H5529">
        <v>1.251978</v>
      </c>
      <c r="I5529">
        <v>17.969449999999998</v>
      </c>
      <c r="J5529">
        <v>-358.53339999999997</v>
      </c>
      <c r="K5529">
        <v>1.1090789999999999</v>
      </c>
      <c r="L5529">
        <v>17.538419999999999</v>
      </c>
      <c r="M5529">
        <v>0.99986560000000002</v>
      </c>
      <c r="N5529">
        <v>0</v>
      </c>
      <c r="O5529">
        <v>1.3507069999999999E-2</v>
      </c>
      <c r="P5529">
        <v>0.99798489999999995</v>
      </c>
      <c r="Q5529">
        <v>-1.9966029999999999E-2</v>
      </c>
      <c r="R5529">
        <v>-6.0225889999999997E-2</v>
      </c>
      <c r="S5529">
        <v>3.00705</v>
      </c>
      <c r="T5529">
        <v>5.4379700000000003E-3</v>
      </c>
      <c r="U5529">
        <v>1.6479489999999999E-2</v>
      </c>
      <c r="V5529">
        <v>7.3695140000000006E-2</v>
      </c>
      <c r="W5529">
        <v>-1.0744220000000001E-2</v>
      </c>
      <c r="X5529">
        <v>0.99722299999999997</v>
      </c>
      <c r="Y5529">
        <v>8.0277149999999995E-3</v>
      </c>
      <c r="Z5529" s="1">
        <v>3.1684989999999998E-5</v>
      </c>
      <c r="AA5529">
        <v>0.99996779999999996</v>
      </c>
      <c r="AB5529">
        <v>27</v>
      </c>
      <c r="AC5529">
        <v>78.853399999999894</v>
      </c>
      <c r="AD5529">
        <v>0.142898999999999</v>
      </c>
      <c r="AE5529">
        <v>0.43102999999999603</v>
      </c>
      <c r="AF5529">
        <v>0.634131617933819</v>
      </c>
      <c r="AG5529">
        <v>0.142898999999999</v>
      </c>
      <c r="AH5529">
        <v>78.851769260206197</v>
      </c>
      <c r="AI5529">
        <v>89.896169281163395</v>
      </c>
      <c r="AJ5529">
        <v>89.539233140165905</v>
      </c>
      <c r="AK5529">
        <v>78.854448565048401</v>
      </c>
      <c r="AL5529">
        <v>90.615610266649298</v>
      </c>
      <c r="AM5529">
        <v>85.773504022306398</v>
      </c>
      <c r="AN5529">
        <v>1.0000000618260101</v>
      </c>
    </row>
    <row r="5530" spans="1:40" x14ac:dyDescent="0.25">
      <c r="A5530" t="str">
        <f>"20190312161426745"</f>
        <v>20190312161426745</v>
      </c>
      <c r="B5530" t="str">
        <f>"1552378466742091"</f>
        <v>1552378466742091</v>
      </c>
      <c r="C5530" t="s">
        <v>40</v>
      </c>
      <c r="D5530">
        <v>5.2513560000000004</v>
      </c>
      <c r="E5530">
        <v>0.47531709999999999</v>
      </c>
      <c r="F5530" t="s">
        <v>97</v>
      </c>
      <c r="G5530">
        <v>-279.68</v>
      </c>
      <c r="H5530">
        <v>1.270187</v>
      </c>
      <c r="I5530">
        <v>17.91854</v>
      </c>
      <c r="J5530">
        <v>-358.3793</v>
      </c>
      <c r="K5530">
        <v>1.108992</v>
      </c>
      <c r="L5530">
        <v>17.540369999999999</v>
      </c>
      <c r="M5530">
        <v>0.99986989999999998</v>
      </c>
      <c r="N5530">
        <v>0</v>
      </c>
      <c r="O5530">
        <v>1.320753E-2</v>
      </c>
      <c r="P5530">
        <v>0.99795900000000004</v>
      </c>
      <c r="Q5530">
        <v>-1.992118E-2</v>
      </c>
      <c r="R5530">
        <v>-6.0671910000000003E-2</v>
      </c>
      <c r="S5530">
        <v>3.0070800000000002</v>
      </c>
      <c r="T5530">
        <v>6.1439279999999999E-3</v>
      </c>
      <c r="U5530">
        <v>1.4495849999999999E-2</v>
      </c>
      <c r="V5530">
        <v>7.3840069999999994E-2</v>
      </c>
      <c r="W5530">
        <v>-1.074106E-2</v>
      </c>
      <c r="X5530">
        <v>0.99721219999999999</v>
      </c>
      <c r="Y5530">
        <v>8.3877969999999902E-3</v>
      </c>
      <c r="Z5530" s="1">
        <v>3.5553899999999999E-5</v>
      </c>
      <c r="AA5530">
        <v>0.99996479999999999</v>
      </c>
      <c r="AB5530">
        <v>27</v>
      </c>
      <c r="AC5530">
        <v>78.699299999999994</v>
      </c>
      <c r="AD5530">
        <v>0.161195</v>
      </c>
      <c r="AE5530">
        <v>0.37816999999999701</v>
      </c>
      <c r="AF5530">
        <v>0.66132814451194499</v>
      </c>
      <c r="AG5530">
        <v>0.161195</v>
      </c>
      <c r="AH5530">
        <v>78.697099761014897</v>
      </c>
      <c r="AI5530">
        <v>89.882645558711303</v>
      </c>
      <c r="AJ5530">
        <v>89.518528385823004</v>
      </c>
      <c r="AK5530">
        <v>78.700043516747101</v>
      </c>
      <c r="AL5530">
        <v>90.615429270946294</v>
      </c>
      <c r="AM5530">
        <v>85.7651766417533</v>
      </c>
      <c r="AN5530">
        <v>0.99999994906818201</v>
      </c>
    </row>
    <row r="5531" spans="1:40" x14ac:dyDescent="0.25">
      <c r="A5531" t="str">
        <f>"20190312161426758"</f>
        <v>20190312161426758</v>
      </c>
      <c r="B5531" t="str">
        <f>"1552378466751851"</f>
        <v>1552378466751851</v>
      </c>
      <c r="C5531" t="s">
        <v>40</v>
      </c>
      <c r="D5531">
        <v>5.2517399999999999</v>
      </c>
      <c r="E5531">
        <v>0.475412</v>
      </c>
      <c r="F5531" t="s">
        <v>97</v>
      </c>
      <c r="G5531">
        <v>-279.68</v>
      </c>
      <c r="H5531">
        <v>1.27874</v>
      </c>
      <c r="I5531">
        <v>17.877420000000001</v>
      </c>
      <c r="J5531">
        <v>-358.23250000000002</v>
      </c>
      <c r="K5531">
        <v>1.108881</v>
      </c>
      <c r="L5531">
        <v>17.542179999999998</v>
      </c>
      <c r="M5531">
        <v>0.9998707</v>
      </c>
      <c r="N5531">
        <v>0</v>
      </c>
      <c r="O5531">
        <v>1.313948E-2</v>
      </c>
      <c r="P5531">
        <v>0.99795480000000003</v>
      </c>
      <c r="Q5531">
        <v>-1.9923759999999999E-2</v>
      </c>
      <c r="R5531">
        <v>-6.0740130000000003E-2</v>
      </c>
      <c r="S5531">
        <v>3.00705</v>
      </c>
      <c r="T5531">
        <v>6.4860580000000003E-3</v>
      </c>
      <c r="U5531">
        <v>1.287842E-2</v>
      </c>
      <c r="V5531">
        <v>7.3837990000000006E-2</v>
      </c>
      <c r="W5531">
        <v>-1.0741769999999999E-2</v>
      </c>
      <c r="X5531">
        <v>0.9972124</v>
      </c>
      <c r="Y5531">
        <v>8.8575419999999995E-3</v>
      </c>
      <c r="Z5531" s="1">
        <v>3.7894049999999997E-5</v>
      </c>
      <c r="AA5531">
        <v>0.99996079999999998</v>
      </c>
      <c r="AB5531">
        <v>27</v>
      </c>
      <c r="AC5531">
        <v>78.552499999999995</v>
      </c>
      <c r="AD5531">
        <v>0.16985899999999901</v>
      </c>
      <c r="AE5531">
        <v>0.33524000000000198</v>
      </c>
      <c r="AF5531">
        <v>0.69696903901317997</v>
      </c>
      <c r="AG5531">
        <v>0.16985899999999901</v>
      </c>
      <c r="AH5531">
        <v>78.549756030882804</v>
      </c>
      <c r="AI5531">
        <v>89.876106482652403</v>
      </c>
      <c r="AJ5531">
        <v>89.491630038385196</v>
      </c>
      <c r="AK5531">
        <v>78.553031707455006</v>
      </c>
      <c r="AL5531">
        <v>90.615469920379894</v>
      </c>
      <c r="AM5531">
        <v>85.765296344699806</v>
      </c>
      <c r="AN5531">
        <v>1.0000000025518601</v>
      </c>
    </row>
    <row r="5532" spans="1:40" x14ac:dyDescent="0.25">
      <c r="A5532" t="str">
        <f>"20190312161426776"</f>
        <v>20190312161426776</v>
      </c>
      <c r="B5532" t="str">
        <f>"1552378466772348"</f>
        <v>1552378466772348</v>
      </c>
      <c r="C5532" t="s">
        <v>40</v>
      </c>
      <c r="D5532">
        <v>5.2071139999999998</v>
      </c>
      <c r="E5532">
        <v>0.47550320000000001</v>
      </c>
      <c r="F5532" t="s">
        <v>97</v>
      </c>
      <c r="G5532">
        <v>-279.68</v>
      </c>
      <c r="H5532">
        <v>1.2436400000000001</v>
      </c>
      <c r="I5532">
        <v>17.85548</v>
      </c>
      <c r="J5532">
        <v>-358.01670000000001</v>
      </c>
      <c r="K5532">
        <v>1.1087260000000001</v>
      </c>
      <c r="L5532">
        <v>17.544740000000001</v>
      </c>
      <c r="M5532">
        <v>0.99987040000000005</v>
      </c>
      <c r="N5532">
        <v>0</v>
      </c>
      <c r="O5532">
        <v>1.314007E-2</v>
      </c>
      <c r="P5532">
        <v>0.99795730000000005</v>
      </c>
      <c r="Q5532">
        <v>-1.9917870000000001E-2</v>
      </c>
      <c r="R5532">
        <v>-6.0699839999999998E-2</v>
      </c>
      <c r="S5532">
        <v>3.0069889999999999</v>
      </c>
      <c r="T5532">
        <v>5.158663E-3</v>
      </c>
      <c r="U5532">
        <v>1.1993409999999999E-2</v>
      </c>
      <c r="V5532">
        <v>7.3794799999999994E-2</v>
      </c>
      <c r="W5532">
        <v>-1.07399E-2</v>
      </c>
      <c r="X5532">
        <v>0.99721559999999998</v>
      </c>
      <c r="Y5532">
        <v>9.1523709999999994E-3</v>
      </c>
      <c r="Z5532" s="1">
        <v>3.0393470000000001E-5</v>
      </c>
      <c r="AA5532">
        <v>0.99995809999999996</v>
      </c>
      <c r="AB5532">
        <v>27</v>
      </c>
      <c r="AC5532">
        <v>78.336699999999993</v>
      </c>
      <c r="AD5532">
        <v>0.13491399999999901</v>
      </c>
      <c r="AE5532">
        <v>0.31073999999999902</v>
      </c>
      <c r="AF5532">
        <v>0.71867895329440301</v>
      </c>
      <c r="AG5532">
        <v>0.13491399999999901</v>
      </c>
      <c r="AH5532">
        <v>78.3337872401613</v>
      </c>
      <c r="AI5532">
        <v>89.901323935430298</v>
      </c>
      <c r="AJ5532">
        <v>89.474350506687301</v>
      </c>
      <c r="AK5532">
        <v>78.3372001325817</v>
      </c>
      <c r="AL5532">
        <v>90.615362781633607</v>
      </c>
      <c r="AM5532">
        <v>85.767777875459203</v>
      </c>
      <c r="AN5532">
        <v>0.99999998542120405</v>
      </c>
    </row>
    <row r="5533" spans="1:40" x14ac:dyDescent="0.25">
      <c r="A5533" t="str">
        <f>"20190312161426788"</f>
        <v>20190312161426788</v>
      </c>
      <c r="B5533" t="str">
        <f>"1552378466782107"</f>
        <v>1552378466782107</v>
      </c>
      <c r="C5533" t="s">
        <v>40</v>
      </c>
      <c r="D5533">
        <v>5.2123929999999996</v>
      </c>
      <c r="E5533">
        <v>0.47550439999999999</v>
      </c>
      <c r="F5533" t="s">
        <v>97</v>
      </c>
      <c r="G5533">
        <v>-279.68</v>
      </c>
      <c r="H5533">
        <v>1.188626</v>
      </c>
      <c r="I5533">
        <v>17.844470000000001</v>
      </c>
      <c r="J5533">
        <v>-357.86349999999999</v>
      </c>
      <c r="K5533">
        <v>1.108644</v>
      </c>
      <c r="L5533">
        <v>17.546420000000001</v>
      </c>
      <c r="M5533">
        <v>0.9998705</v>
      </c>
      <c r="N5533">
        <v>0</v>
      </c>
      <c r="O5533">
        <v>1.314832E-2</v>
      </c>
      <c r="P5533">
        <v>0.99796309999999999</v>
      </c>
      <c r="Q5533">
        <v>-1.9891039999999999E-2</v>
      </c>
      <c r="R5533">
        <v>-6.0613460000000001E-2</v>
      </c>
      <c r="S5533">
        <v>3.0068969999999999</v>
      </c>
      <c r="T5533">
        <v>3.067017E-3</v>
      </c>
      <c r="U5533">
        <v>1.1505130000000001E-2</v>
      </c>
      <c r="V5533">
        <v>7.3715050000000004E-2</v>
      </c>
      <c r="W5533">
        <v>-1.0738370000000001E-2</v>
      </c>
      <c r="X5533">
        <v>0.99722149999999998</v>
      </c>
      <c r="Y5533">
        <v>9.322894E-3</v>
      </c>
      <c r="Z5533" s="1">
        <v>1.8165990000000001E-5</v>
      </c>
      <c r="AA5533">
        <v>0.99995650000000003</v>
      </c>
      <c r="AB5533">
        <v>27</v>
      </c>
      <c r="AC5533">
        <v>78.183499999999896</v>
      </c>
      <c r="AD5533">
        <v>7.9981999999999998E-2</v>
      </c>
      <c r="AE5533">
        <v>0.29804999999999898</v>
      </c>
      <c r="AF5533">
        <v>0.73000093927598997</v>
      </c>
      <c r="AG5533">
        <v>7.9981999999999998E-2</v>
      </c>
      <c r="AH5533">
        <v>78.180578217742706</v>
      </c>
      <c r="AI5533">
        <v>89.941386597742095</v>
      </c>
      <c r="AJ5533">
        <v>89.465023688424793</v>
      </c>
      <c r="AK5533">
        <v>78.184027198349497</v>
      </c>
      <c r="AL5533">
        <v>90.615275123138602</v>
      </c>
      <c r="AM5533">
        <v>85.772359965634195</v>
      </c>
      <c r="AN5533">
        <v>0.99999997062450396</v>
      </c>
    </row>
    <row r="5534" spans="1:40" x14ac:dyDescent="0.25">
      <c r="A5534" t="str">
        <f>"20190312161426799"</f>
        <v>20190312161426799</v>
      </c>
      <c r="B5534" t="str">
        <f>"1552378466791868"</f>
        <v>1552378466791868</v>
      </c>
      <c r="C5534" t="s">
        <v>40</v>
      </c>
      <c r="D5534">
        <v>5.2161689999999998</v>
      </c>
      <c r="E5534">
        <v>0.47549560000000002</v>
      </c>
      <c r="F5534" t="s">
        <v>97</v>
      </c>
      <c r="G5534">
        <v>-279.68</v>
      </c>
      <c r="H5534">
        <v>1.173743</v>
      </c>
      <c r="I5534">
        <v>17.8535</v>
      </c>
      <c r="J5534">
        <v>-357.72109999999998</v>
      </c>
      <c r="K5534">
        <v>1.1086229999999999</v>
      </c>
      <c r="L5534">
        <v>17.547999999999998</v>
      </c>
      <c r="M5534">
        <v>0.99987300000000001</v>
      </c>
      <c r="N5534">
        <v>0</v>
      </c>
      <c r="O5534">
        <v>1.3005320000000001E-2</v>
      </c>
      <c r="P5534">
        <v>0.99796180000000001</v>
      </c>
      <c r="Q5534">
        <v>-1.9991439999999999E-2</v>
      </c>
      <c r="R5534">
        <v>-6.0605569999999997E-2</v>
      </c>
      <c r="S5534">
        <v>3.0068969999999999</v>
      </c>
      <c r="T5534">
        <v>2.5037530000000001E-3</v>
      </c>
      <c r="U5534">
        <v>1.1810299999999999E-2</v>
      </c>
      <c r="V5534">
        <v>7.3564350000000001E-2</v>
      </c>
      <c r="W5534">
        <v>-1.0892580000000001E-2</v>
      </c>
      <c r="X5534">
        <v>0.99723099999999998</v>
      </c>
      <c r="Y5534">
        <v>9.0783860000000008E-3</v>
      </c>
      <c r="Z5534" s="1">
        <v>1.4608889999999999E-5</v>
      </c>
      <c r="AA5534">
        <v>0.99995880000000004</v>
      </c>
      <c r="AB5534">
        <v>27</v>
      </c>
      <c r="AC5534">
        <v>78.041099999999901</v>
      </c>
      <c r="AD5534">
        <v>6.5119999999999997E-2</v>
      </c>
      <c r="AE5534">
        <v>0.30550000000000199</v>
      </c>
      <c r="AF5534">
        <v>0.70951788350590395</v>
      </c>
      <c r="AG5534">
        <v>6.5119999999999997E-2</v>
      </c>
      <c r="AH5534">
        <v>78.038418247764596</v>
      </c>
      <c r="AI5534">
        <v>89.952190905738505</v>
      </c>
      <c r="AJ5534">
        <v>89.479086569966398</v>
      </c>
      <c r="AK5534">
        <v>78.0416707846164</v>
      </c>
      <c r="AL5534">
        <v>90.624111194917305</v>
      </c>
      <c r="AM5534">
        <v>85.781011584783599</v>
      </c>
      <c r="AN5534">
        <v>1.0000000146254799</v>
      </c>
    </row>
    <row r="5535" spans="1:40" x14ac:dyDescent="0.25">
      <c r="A5535" t="str">
        <f>"20190312161426811"</f>
        <v>20190312161426811</v>
      </c>
      <c r="B5535" t="str">
        <f>"1552378466801628"</f>
        <v>1552378466801628</v>
      </c>
      <c r="C5535" t="s">
        <v>40</v>
      </c>
      <c r="D5535">
        <v>5.2098950000000004</v>
      </c>
      <c r="E5535">
        <v>0.47545920000000003</v>
      </c>
      <c r="F5535" t="s">
        <v>97</v>
      </c>
      <c r="G5535">
        <v>-279.68</v>
      </c>
      <c r="H5535">
        <v>1.155977</v>
      </c>
      <c r="I5535">
        <v>17.8569</v>
      </c>
      <c r="J5535">
        <v>-357.59370000000001</v>
      </c>
      <c r="K5535">
        <v>1.1086149999999999</v>
      </c>
      <c r="L5535">
        <v>17.549379999999999</v>
      </c>
      <c r="M5535">
        <v>0.99987559999999998</v>
      </c>
      <c r="N5535">
        <v>0</v>
      </c>
      <c r="O5535">
        <v>1.28364E-2</v>
      </c>
      <c r="P5535">
        <v>0.99795990000000001</v>
      </c>
      <c r="Q5535">
        <v>-2.0026639999999998E-2</v>
      </c>
      <c r="R5535">
        <v>-6.062534E-2</v>
      </c>
      <c r="S5535">
        <v>3.0068969999999999</v>
      </c>
      <c r="T5535">
        <v>1.8246169999999999E-3</v>
      </c>
      <c r="U5535">
        <v>1.190186E-2</v>
      </c>
      <c r="V5535">
        <v>7.3415949999999994E-2</v>
      </c>
      <c r="W5535">
        <v>-1.097473E-2</v>
      </c>
      <c r="X5535">
        <v>0.99724100000000004</v>
      </c>
      <c r="Y5535">
        <v>8.8790109999999992E-3</v>
      </c>
      <c r="Z5535" s="1">
        <v>1.048328E-5</v>
      </c>
      <c r="AA5535">
        <v>0.99996059999999998</v>
      </c>
      <c r="AB5535">
        <v>27</v>
      </c>
      <c r="AC5535">
        <v>77.913700000000006</v>
      </c>
      <c r="AD5535">
        <v>4.7362000000000098E-2</v>
      </c>
      <c r="AE5535">
        <v>0.30752000000000002</v>
      </c>
      <c r="AF5535">
        <v>0.69267851527051605</v>
      </c>
      <c r="AG5535">
        <v>4.7362000000000098E-2</v>
      </c>
      <c r="AH5535">
        <v>77.911198979346196</v>
      </c>
      <c r="AI5535">
        <v>89.965171436588193</v>
      </c>
      <c r="AJ5535">
        <v>89.490618673838796</v>
      </c>
      <c r="AK5535">
        <v>77.914292482726395</v>
      </c>
      <c r="AL5535">
        <v>90.628818346749199</v>
      </c>
      <c r="AM5535">
        <v>85.789533902669206</v>
      </c>
      <c r="AN5535">
        <v>0.99999997924698703</v>
      </c>
    </row>
    <row r="5536" spans="1:40" x14ac:dyDescent="0.25">
      <c r="A5536" t="str">
        <f>"20190312161426822"</f>
        <v>20190312161426822</v>
      </c>
      <c r="B5536" t="str">
        <f>"1552378466812366"</f>
        <v>1552378466812366</v>
      </c>
      <c r="C5536" t="s">
        <v>40</v>
      </c>
      <c r="D5536">
        <v>5.1963730000000004</v>
      </c>
      <c r="E5536">
        <v>0.4754565</v>
      </c>
      <c r="F5536" t="s">
        <v>97</v>
      </c>
      <c r="G5536">
        <v>-279.68</v>
      </c>
      <c r="H5536">
        <v>1.146428</v>
      </c>
      <c r="I5536">
        <v>17.863309999999998</v>
      </c>
      <c r="J5536">
        <v>-357.45920000000001</v>
      </c>
      <c r="K5536">
        <v>1.1086389999999999</v>
      </c>
      <c r="L5536">
        <v>17.550840000000001</v>
      </c>
      <c r="M5536">
        <v>0.99987969999999904</v>
      </c>
      <c r="N5536">
        <v>0</v>
      </c>
      <c r="O5536">
        <v>1.2554559999999999E-2</v>
      </c>
      <c r="P5536">
        <v>0.99794119999999997</v>
      </c>
      <c r="Q5536">
        <v>-2.029123E-2</v>
      </c>
      <c r="R5536">
        <v>-6.0841079999999999E-2</v>
      </c>
      <c r="S5536">
        <v>3.0068969999999999</v>
      </c>
      <c r="T5536">
        <v>1.45936E-3</v>
      </c>
      <c r="U5536">
        <v>1.211548E-2</v>
      </c>
      <c r="V5536">
        <v>7.3350940000000003E-2</v>
      </c>
      <c r="W5536">
        <v>-1.128618E-2</v>
      </c>
      <c r="X5536">
        <v>0.99724230000000003</v>
      </c>
      <c r="Y5536">
        <v>8.5261009999999995E-3</v>
      </c>
      <c r="Z5536" s="1">
        <v>8.1622800000000001E-6</v>
      </c>
      <c r="AA5536">
        <v>0.99996359999999995</v>
      </c>
      <c r="AB5536">
        <v>27</v>
      </c>
      <c r="AC5536">
        <v>77.779200000000003</v>
      </c>
      <c r="AD5536">
        <v>3.7789000000000003E-2</v>
      </c>
      <c r="AE5536">
        <v>0.31247000000000102</v>
      </c>
      <c r="AF5536">
        <v>0.66407861593806905</v>
      </c>
      <c r="AG5536">
        <v>3.7789000000000003E-2</v>
      </c>
      <c r="AH5536">
        <v>77.776974315774893</v>
      </c>
      <c r="AI5536">
        <v>89.972163083694099</v>
      </c>
      <c r="AJ5536">
        <v>89.5108066657899</v>
      </c>
      <c r="AK5536">
        <v>77.779818475832002</v>
      </c>
      <c r="AL5536">
        <v>90.6466642281475</v>
      </c>
      <c r="AM5536">
        <v>85.793254354118702</v>
      </c>
      <c r="AN5536">
        <v>0.999999971583582</v>
      </c>
    </row>
    <row r="5537" spans="1:40" x14ac:dyDescent="0.25">
      <c r="A5537" t="str">
        <f>"20190312161426833"</f>
        <v>20190312161426833</v>
      </c>
      <c r="B5537" t="str">
        <f>"1552378466822124"</f>
        <v>1552378466822124</v>
      </c>
      <c r="C5537" t="s">
        <v>40</v>
      </c>
      <c r="D5537">
        <v>5.2183080000000004</v>
      </c>
      <c r="E5537">
        <v>0.47550239999999999</v>
      </c>
      <c r="F5537" t="s">
        <v>97</v>
      </c>
      <c r="G5537">
        <v>-279.68</v>
      </c>
      <c r="H5537">
        <v>1.114881</v>
      </c>
      <c r="I5537">
        <v>17.847660000000001</v>
      </c>
      <c r="J5537">
        <v>-357.3236</v>
      </c>
      <c r="K5537">
        <v>1.1086640000000001</v>
      </c>
      <c r="L5537">
        <v>17.55228</v>
      </c>
      <c r="M5537">
        <v>0.99988390000000005</v>
      </c>
      <c r="N5537">
        <v>0</v>
      </c>
      <c r="O5537">
        <v>1.2242629999999999E-2</v>
      </c>
      <c r="P5537">
        <v>0.99792340000000002</v>
      </c>
      <c r="Q5537">
        <v>-2.0422240000000001E-2</v>
      </c>
      <c r="R5537">
        <v>-6.109204E-2</v>
      </c>
      <c r="S5537">
        <v>3.0068969999999999</v>
      </c>
      <c r="T5537">
        <v>2.4139880000000001E-4</v>
      </c>
      <c r="U5537">
        <v>1.147461E-2</v>
      </c>
      <c r="V5537">
        <v>7.3291159999999994E-2</v>
      </c>
      <c r="W5537">
        <v>-1.1458400000000001E-2</v>
      </c>
      <c r="X5537">
        <v>0.99724480000000004</v>
      </c>
      <c r="Y5537">
        <v>8.4272630000000008E-3</v>
      </c>
      <c r="Z5537" s="1">
        <v>1.321148E-6</v>
      </c>
      <c r="AA5537">
        <v>0.99996450000000003</v>
      </c>
      <c r="AB5537">
        <v>27</v>
      </c>
      <c r="AC5537">
        <v>77.643599999999907</v>
      </c>
      <c r="AD5537">
        <v>6.2170000000001304E-3</v>
      </c>
      <c r="AE5537">
        <v>0.29538000000000098</v>
      </c>
      <c r="AF5537">
        <v>0.65524312137913499</v>
      </c>
      <c r="AG5537">
        <v>6.2170000000001304E-3</v>
      </c>
      <c r="AH5537">
        <v>77.641396493456398</v>
      </c>
      <c r="AI5537">
        <v>89.995412303330397</v>
      </c>
      <c r="AJ5537">
        <v>89.516472193349401</v>
      </c>
      <c r="AK5537">
        <v>77.644161606995894</v>
      </c>
      <c r="AL5537">
        <v>90.656532300742796</v>
      </c>
      <c r="AM5537">
        <v>85.796681000204998</v>
      </c>
      <c r="AN5537">
        <v>1.00000004009587</v>
      </c>
    </row>
    <row r="5538" spans="1:40" x14ac:dyDescent="0.25">
      <c r="A5538" t="str">
        <f>"20190312161426845"</f>
        <v>20190312161426845</v>
      </c>
      <c r="B5538" t="str">
        <f>"1552378466831884"</f>
        <v>1552378466831884</v>
      </c>
      <c r="C5538" t="s">
        <v>40</v>
      </c>
      <c r="D5538">
        <v>5.1990360000000004</v>
      </c>
      <c r="E5538">
        <v>0.47550239999999999</v>
      </c>
      <c r="F5538" t="s">
        <v>97</v>
      </c>
      <c r="G5538">
        <v>-279.68</v>
      </c>
      <c r="H5538">
        <v>1.06677</v>
      </c>
      <c r="I5538">
        <v>17.820209999999999</v>
      </c>
      <c r="J5538">
        <v>-357.18049999999999</v>
      </c>
      <c r="K5538">
        <v>1.1086940000000001</v>
      </c>
      <c r="L5538">
        <v>17.55377</v>
      </c>
      <c r="M5538">
        <v>0.99988849999999996</v>
      </c>
      <c r="N5538">
        <v>0</v>
      </c>
      <c r="O5538">
        <v>1.188288E-2</v>
      </c>
      <c r="P5538">
        <v>0.99792289999999995</v>
      </c>
      <c r="Q5538">
        <v>-2.0213249999999999E-2</v>
      </c>
      <c r="R5538">
        <v>-6.1165810000000001E-2</v>
      </c>
      <c r="S5538">
        <v>3.006866</v>
      </c>
      <c r="T5538">
        <v>-1.6223190000000001E-3</v>
      </c>
      <c r="U5538">
        <v>1.037598E-2</v>
      </c>
      <c r="V5538">
        <v>7.3007329999999995E-2</v>
      </c>
      <c r="W5538">
        <v>-1.1285949999999999E-2</v>
      </c>
      <c r="X5538">
        <v>0.99726749999999997</v>
      </c>
      <c r="Y5538">
        <v>8.4327989999999995E-3</v>
      </c>
      <c r="Z5538" s="1">
        <v>-8.6862669999999999E-6</v>
      </c>
      <c r="AA5538">
        <v>0.99996439999999998</v>
      </c>
      <c r="AB5538">
        <v>27</v>
      </c>
      <c r="AC5538">
        <v>77.500499999999903</v>
      </c>
      <c r="AD5538">
        <v>-4.1924000000000003E-2</v>
      </c>
      <c r="AE5538">
        <v>0.26643999999999901</v>
      </c>
      <c r="AF5538">
        <v>0.65454542442944397</v>
      </c>
      <c r="AG5538">
        <v>-4.1924000000000003E-2</v>
      </c>
      <c r="AH5538">
        <v>77.498171240158598</v>
      </c>
      <c r="AI5538">
        <v>90.030994052086299</v>
      </c>
      <c r="AJ5538">
        <v>89.516094405606196</v>
      </c>
      <c r="AK5538">
        <v>77.500946658111005</v>
      </c>
      <c r="AL5538">
        <v>90.646651060178201</v>
      </c>
      <c r="AM5538">
        <v>85.812995889416996</v>
      </c>
      <c r="AN5538">
        <v>0.99999995472868897</v>
      </c>
    </row>
    <row r="5539" spans="1:40" x14ac:dyDescent="0.25">
      <c r="A5539" t="str">
        <f>"20190312161426857"</f>
        <v>20190312161426857</v>
      </c>
      <c r="B5539" t="str">
        <f>"1552378466852380"</f>
        <v>1552378466852380</v>
      </c>
      <c r="C5539" t="s">
        <v>40</v>
      </c>
      <c r="D5539">
        <v>5.1140970000000001</v>
      </c>
      <c r="E5539">
        <v>0.50375130000000001</v>
      </c>
      <c r="F5539" t="s">
        <v>97</v>
      </c>
      <c r="G5539">
        <v>-279.68</v>
      </c>
      <c r="H5539">
        <v>1.0837639999999999</v>
      </c>
      <c r="I5539">
        <v>17.814910000000001</v>
      </c>
      <c r="J5539">
        <v>-357.04149999999998</v>
      </c>
      <c r="K5539">
        <v>1.1087100000000001</v>
      </c>
      <c r="L5539">
        <v>17.555209999999999</v>
      </c>
      <c r="M5539">
        <v>0.99989289999999997</v>
      </c>
      <c r="N5539">
        <v>0</v>
      </c>
      <c r="O5539">
        <v>1.1550309999999999E-2</v>
      </c>
      <c r="P5539">
        <v>0.99791209999999997</v>
      </c>
      <c r="Q5539">
        <v>-2.0151949999999998E-2</v>
      </c>
      <c r="R5539">
        <v>-6.1363809999999998E-2</v>
      </c>
      <c r="S5539">
        <v>3.006866</v>
      </c>
      <c r="T5539">
        <v>-9.6714499999999998E-4</v>
      </c>
      <c r="U5539">
        <v>1.013184E-2</v>
      </c>
      <c r="V5539">
        <v>7.2874309999999998E-2</v>
      </c>
      <c r="W5539">
        <v>-1.125661E-2</v>
      </c>
      <c r="X5539">
        <v>0.99727759999999999</v>
      </c>
      <c r="Y5539">
        <v>8.1813919999999991E-3</v>
      </c>
      <c r="Z5539" s="1">
        <v>-5.030916E-6</v>
      </c>
      <c r="AA5539">
        <v>0.99996649999999998</v>
      </c>
      <c r="AB5539">
        <v>27</v>
      </c>
      <c r="AC5539">
        <v>77.361499999999893</v>
      </c>
      <c r="AD5539">
        <v>-2.49460000000001E-2</v>
      </c>
      <c r="AE5539">
        <v>0.25970000000000198</v>
      </c>
      <c r="AF5539">
        <v>0.63390265851167105</v>
      </c>
      <c r="AG5539">
        <v>-2.49460000000001E-2</v>
      </c>
      <c r="AH5539">
        <v>77.359330718109803</v>
      </c>
      <c r="AI5539">
        <v>90.018475502172507</v>
      </c>
      <c r="AJ5539">
        <v>89.530513853491797</v>
      </c>
      <c r="AK5539">
        <v>77.361931878910994</v>
      </c>
      <c r="AL5539">
        <v>90.644969869877002</v>
      </c>
      <c r="AM5539">
        <v>85.820639768229995</v>
      </c>
      <c r="AN5539">
        <v>0.99999999389421401</v>
      </c>
    </row>
    <row r="5540" spans="1:40" x14ac:dyDescent="0.25">
      <c r="A5540" t="str">
        <f>"20190312161426868"</f>
        <v>20190312161426868</v>
      </c>
      <c r="B5540" t="str">
        <f>"1552378466862139"</f>
        <v>1552378466862139</v>
      </c>
      <c r="C5540" t="s">
        <v>40</v>
      </c>
      <c r="D5540">
        <v>5.1491559999999996</v>
      </c>
      <c r="E5540">
        <v>0.50601980000000002</v>
      </c>
      <c r="F5540" t="s">
        <v>42</v>
      </c>
      <c r="G5540">
        <v>-333.93329999999997</v>
      </c>
      <c r="H5540" s="1">
        <v>-3.2411490000000001E-6</v>
      </c>
      <c r="I5540">
        <v>15.916589999999999</v>
      </c>
      <c r="J5540">
        <v>-356.90460000000002</v>
      </c>
      <c r="K5540">
        <v>1.1087290000000001</v>
      </c>
      <c r="L5540">
        <v>17.556609999999999</v>
      </c>
      <c r="M5540">
        <v>0.99989680000000003</v>
      </c>
      <c r="N5540">
        <v>0</v>
      </c>
      <c r="O5540">
        <v>1.1228989999999999E-2</v>
      </c>
      <c r="P5540">
        <v>0.99792000000000003</v>
      </c>
      <c r="Q5540">
        <v>-1.986487E-2</v>
      </c>
      <c r="R5540">
        <v>-6.132845E-2</v>
      </c>
      <c r="S5540">
        <v>2.990326</v>
      </c>
      <c r="T5540">
        <v>-0.14347370000000001</v>
      </c>
      <c r="U5540">
        <v>-0.21203610000000001</v>
      </c>
      <c r="V5540">
        <v>7.251929E-2</v>
      </c>
      <c r="W5540">
        <v>-1.0999470000000001E-2</v>
      </c>
      <c r="X5540">
        <v>0.99730629999999998</v>
      </c>
      <c r="Y5540">
        <v>8.182014E-2</v>
      </c>
      <c r="Z5540">
        <v>-2.4970959999999999E-3</v>
      </c>
      <c r="AA5540">
        <v>0.99664399999999997</v>
      </c>
      <c r="AB5540">
        <v>27</v>
      </c>
      <c r="AC5540">
        <v>22.971299999999999</v>
      </c>
      <c r="AD5540">
        <v>-1.1087322411489999</v>
      </c>
      <c r="AE5540">
        <v>-1.64001999999999</v>
      </c>
      <c r="AF5540">
        <v>1.89348275196107</v>
      </c>
      <c r="AG5540">
        <v>-1.1087322411489999</v>
      </c>
      <c r="AH5540">
        <v>22.8983614991152</v>
      </c>
      <c r="AI5540">
        <v>92.762666122613794</v>
      </c>
      <c r="AJ5540">
        <v>85.272923485716504</v>
      </c>
      <c r="AK5540">
        <v>23.0032502803125</v>
      </c>
      <c r="AL5540">
        <v>90.630235950952098</v>
      </c>
      <c r="AM5540">
        <v>85.8410479020406</v>
      </c>
      <c r="AN5540">
        <v>0.99999994589103602</v>
      </c>
    </row>
    <row r="5541" spans="1:40" x14ac:dyDescent="0.25">
      <c r="A5541" t="str">
        <f>"20190312161426881"</f>
        <v>20190312161426881</v>
      </c>
      <c r="B5541" t="str">
        <f>"1552378466871900"</f>
        <v>1552378466871900</v>
      </c>
      <c r="C5541" t="s">
        <v>40</v>
      </c>
      <c r="D5541">
        <v>5.125057</v>
      </c>
      <c r="E5541">
        <v>0.50756869999999998</v>
      </c>
      <c r="F5541" t="s">
        <v>42</v>
      </c>
      <c r="G5541">
        <v>-332.26119999999997</v>
      </c>
      <c r="H5541" s="1">
        <v>-4.0042029999999996E-6</v>
      </c>
      <c r="I5541">
        <v>15.65892</v>
      </c>
      <c r="J5541">
        <v>-356.74709999999999</v>
      </c>
      <c r="K5541">
        <v>1.108738</v>
      </c>
      <c r="L5541">
        <v>17.558139999999899</v>
      </c>
      <c r="M5541">
        <v>0.99990060000000003</v>
      </c>
      <c r="N5541">
        <v>0</v>
      </c>
      <c r="O5541">
        <v>1.0913839999999999E-2</v>
      </c>
      <c r="P5541">
        <v>0.99790719999999999</v>
      </c>
      <c r="Q5541">
        <v>-1.9756099999999999E-2</v>
      </c>
      <c r="R5541">
        <v>-6.157522E-2</v>
      </c>
      <c r="S5541">
        <v>2.9894409999999998</v>
      </c>
      <c r="T5541">
        <v>-0.134497799999999</v>
      </c>
      <c r="U5541">
        <v>-0.23019410000000001</v>
      </c>
      <c r="V5541">
        <v>7.2451440000000006E-2</v>
      </c>
      <c r="W5541">
        <v>-1.092449E-2</v>
      </c>
      <c r="X5541">
        <v>0.99731210000000003</v>
      </c>
      <c r="Y5541">
        <v>8.7553569999999997E-2</v>
      </c>
      <c r="Z5541">
        <v>-2.4557730000000001E-3</v>
      </c>
      <c r="AA5541">
        <v>0.99615679999999995</v>
      </c>
      <c r="AB5541">
        <v>27</v>
      </c>
      <c r="AC5541">
        <v>24.485900000000001</v>
      </c>
      <c r="AD5541">
        <v>-1.1087420042030001</v>
      </c>
      <c r="AE5541">
        <v>-1.8992199999999899</v>
      </c>
      <c r="AF5541">
        <v>2.1619464726061199</v>
      </c>
      <c r="AG5541">
        <v>-1.1087420042030001</v>
      </c>
      <c r="AH5541">
        <v>24.413955049651999</v>
      </c>
      <c r="AI5541">
        <v>92.590137574684306</v>
      </c>
      <c r="AJ5541">
        <v>84.939446077211201</v>
      </c>
      <c r="AK5541">
        <v>24.534557720666701</v>
      </c>
      <c r="AL5541">
        <v>90.625939627280502</v>
      </c>
      <c r="AM5541">
        <v>85.844949517252601</v>
      </c>
      <c r="AN5541">
        <v>0.99999999022312103</v>
      </c>
    </row>
    <row r="5542" spans="1:40" x14ac:dyDescent="0.25">
      <c r="A5542" t="str">
        <f>"20190312161426899"</f>
        <v>20190312161426899</v>
      </c>
      <c r="B5542" t="str">
        <f>"1552378466892396"</f>
        <v>1552378466892396</v>
      </c>
      <c r="C5542" t="s">
        <v>40</v>
      </c>
      <c r="D5542">
        <v>5.0560479999999997</v>
      </c>
      <c r="E5542">
        <v>0.50887009999999999</v>
      </c>
      <c r="F5542" t="s">
        <v>42</v>
      </c>
      <c r="G5542">
        <v>-330.71140000000003</v>
      </c>
      <c r="H5542" s="1">
        <v>-4.7082860000000003E-6</v>
      </c>
      <c r="I5542">
        <v>15.43769</v>
      </c>
      <c r="J5542">
        <v>-356.53280000000001</v>
      </c>
      <c r="K5542">
        <v>1.108746</v>
      </c>
      <c r="L5542">
        <v>17.560120000000001</v>
      </c>
      <c r="M5542">
        <v>0.99990509999999999</v>
      </c>
      <c r="N5542">
        <v>0</v>
      </c>
      <c r="O5542">
        <v>1.051991E-2</v>
      </c>
      <c r="P5542">
        <v>0.99790179999999995</v>
      </c>
      <c r="Q5542">
        <v>-1.9585890000000002E-2</v>
      </c>
      <c r="R5542">
        <v>-6.1713949999999997E-2</v>
      </c>
      <c r="S5542">
        <v>2.9887700000000001</v>
      </c>
      <c r="T5542">
        <v>-0.12727819999999901</v>
      </c>
      <c r="U5542">
        <v>-0.24340819999999999</v>
      </c>
      <c r="V5542">
        <v>7.2197280000000003E-2</v>
      </c>
      <c r="W5542">
        <v>-1.0796709999999999E-2</v>
      </c>
      <c r="X5542">
        <v>0.99733190000000005</v>
      </c>
      <c r="Y5542">
        <v>9.1561379999999998E-2</v>
      </c>
      <c r="Z5542">
        <v>-2.3926059999999998E-3</v>
      </c>
      <c r="AA5542">
        <v>0.99579660000000003</v>
      </c>
      <c r="AB5542">
        <v>27</v>
      </c>
      <c r="AC5542">
        <v>25.821399999999901</v>
      </c>
      <c r="AD5542">
        <v>-1.108750708286</v>
      </c>
      <c r="AE5542">
        <v>-2.12243</v>
      </c>
      <c r="AF5542">
        <v>2.38958580101301</v>
      </c>
      <c r="AG5542">
        <v>-1.108750708286</v>
      </c>
      <c r="AH5542">
        <v>25.7504828736962</v>
      </c>
      <c r="AI5542">
        <v>92.454953909597606</v>
      </c>
      <c r="AJ5542">
        <v>84.698266644111897</v>
      </c>
      <c r="AK5542">
        <v>25.884876214926098</v>
      </c>
      <c r="AL5542">
        <v>90.618617954753702</v>
      </c>
      <c r="AM5542">
        <v>85.859556587360601</v>
      </c>
      <c r="AN5542">
        <v>0.999999967471915</v>
      </c>
    </row>
    <row r="5543" spans="1:40" x14ac:dyDescent="0.25">
      <c r="A5543" t="str">
        <f>"20190312161426910"</f>
        <v>20190312161426910</v>
      </c>
      <c r="B5543" t="str">
        <f>"1552378466902156"</f>
        <v>1552378466902156</v>
      </c>
      <c r="C5543" t="s">
        <v>40</v>
      </c>
      <c r="D5543">
        <v>5.0783820000000004</v>
      </c>
      <c r="E5543">
        <v>0.50905679999999998</v>
      </c>
      <c r="F5543" t="s">
        <v>42</v>
      </c>
      <c r="G5543">
        <v>-330.14080000000001</v>
      </c>
      <c r="H5543" s="1">
        <v>-4.9749929999999998E-6</v>
      </c>
      <c r="I5543">
        <v>15.314249999999999</v>
      </c>
      <c r="J5543">
        <v>-356.39530000000002</v>
      </c>
      <c r="K5543">
        <v>1.108751</v>
      </c>
      <c r="L5543">
        <v>17.56137</v>
      </c>
      <c r="M5543">
        <v>0.99990789999999996</v>
      </c>
      <c r="N5543">
        <v>0</v>
      </c>
      <c r="O5543">
        <v>1.028342E-2</v>
      </c>
      <c r="P5543">
        <v>0.99788049999999995</v>
      </c>
      <c r="Q5543">
        <v>-1.9506289999999999E-2</v>
      </c>
      <c r="R5543">
        <v>-6.2083760000000002E-2</v>
      </c>
      <c r="S5543">
        <v>2.988159</v>
      </c>
      <c r="T5543">
        <v>-0.12553499999999901</v>
      </c>
      <c r="U5543">
        <v>-0.25427250000000001</v>
      </c>
      <c r="V5543">
        <v>7.2330740000000004E-2</v>
      </c>
      <c r="W5543">
        <v>-1.0742929999999999E-2</v>
      </c>
      <c r="X5543">
        <v>0.99732290000000001</v>
      </c>
      <c r="Y5543">
        <v>9.4937079999999993E-2</v>
      </c>
      <c r="Z5543">
        <v>-2.420827E-3</v>
      </c>
      <c r="AA5543">
        <v>0.99548040000000004</v>
      </c>
      <c r="AB5543">
        <v>27</v>
      </c>
      <c r="AC5543">
        <v>26.2545</v>
      </c>
      <c r="AD5543">
        <v>-1.108755974993</v>
      </c>
      <c r="AE5543">
        <v>-2.2471199999999998</v>
      </c>
      <c r="AF5543">
        <v>2.5125493581631302</v>
      </c>
      <c r="AG5543">
        <v>-1.108755974993</v>
      </c>
      <c r="AH5543">
        <v>26.183644682905399</v>
      </c>
      <c r="AI5543">
        <v>92.413688002670995</v>
      </c>
      <c r="AJ5543">
        <v>84.518752421812195</v>
      </c>
      <c r="AK5543">
        <v>26.327276596145001</v>
      </c>
      <c r="AL5543">
        <v>90.615536354000497</v>
      </c>
      <c r="AM5543">
        <v>85.851892176547196</v>
      </c>
      <c r="AN5543">
        <v>1.00000005667916</v>
      </c>
    </row>
    <row r="5544" spans="1:40" x14ac:dyDescent="0.25">
      <c r="A5544" t="str">
        <f>"20190312161426921"</f>
        <v>20190312161426921</v>
      </c>
      <c r="B5544" t="str">
        <f>"1552378466911916"</f>
        <v>1552378466911916</v>
      </c>
      <c r="C5544" t="s">
        <v>40</v>
      </c>
      <c r="D5544">
        <v>5.0691829999999998</v>
      </c>
      <c r="E5544">
        <v>0.50927279999999997</v>
      </c>
      <c r="F5544" t="s">
        <v>42</v>
      </c>
      <c r="G5544">
        <v>-328.08249999999998</v>
      </c>
      <c r="H5544" s="1">
        <v>-1.915404E-6</v>
      </c>
      <c r="I5544">
        <v>15.125780000000001</v>
      </c>
      <c r="J5544">
        <v>-356.25940000000003</v>
      </c>
      <c r="K5544">
        <v>1.1087590000000001</v>
      </c>
      <c r="L5544">
        <v>17.5625</v>
      </c>
      <c r="M5544">
        <v>0.99991039999999998</v>
      </c>
      <c r="N5544">
        <v>0</v>
      </c>
      <c r="O5544">
        <v>1.005959E-2</v>
      </c>
      <c r="P5544">
        <v>0.99785950000000001</v>
      </c>
      <c r="Q5544">
        <v>-1.9872520000000001E-2</v>
      </c>
      <c r="R5544">
        <v>-6.2302679999999999E-2</v>
      </c>
      <c r="S5544">
        <v>2.9880979999999999</v>
      </c>
      <c r="T5544">
        <v>-0.1170163</v>
      </c>
      <c r="U5544">
        <v>-0.25704959999999999</v>
      </c>
      <c r="V5544">
        <v>7.2325650000000005E-2</v>
      </c>
      <c r="W5544">
        <v>-1.1132070000000001E-2</v>
      </c>
      <c r="X5544">
        <v>0.99731890000000001</v>
      </c>
      <c r="Y5544">
        <v>9.5646110000000006E-2</v>
      </c>
      <c r="Z5544">
        <v>-2.2617430000000001E-3</v>
      </c>
      <c r="AA5544">
        <v>0.99541279999999999</v>
      </c>
      <c r="AB5544">
        <v>27</v>
      </c>
      <c r="AC5544">
        <v>28.1769</v>
      </c>
      <c r="AD5544">
        <v>-1.1087609154039999</v>
      </c>
      <c r="AE5544">
        <v>-2.4367200000000002</v>
      </c>
      <c r="AF5544">
        <v>2.71588169629787</v>
      </c>
      <c r="AG5544">
        <v>-1.1087609154039999</v>
      </c>
      <c r="AH5544">
        <v>28.1077612008262</v>
      </c>
      <c r="AI5544">
        <v>92.248502302521402</v>
      </c>
      <c r="AJ5544">
        <v>84.480990878316206</v>
      </c>
      <c r="AK5544">
        <v>28.260424693880299</v>
      </c>
      <c r="AL5544">
        <v>90.637833830825798</v>
      </c>
      <c r="AM5544">
        <v>85.852166487165505</v>
      </c>
      <c r="AN5544">
        <v>0.99999995546380704</v>
      </c>
    </row>
    <row r="5545" spans="1:40" x14ac:dyDescent="0.25">
      <c r="A5545" t="str">
        <f>"20190312161426934"</f>
        <v>20190312161426934</v>
      </c>
      <c r="B5545" t="str">
        <f>"1552378466921677"</f>
        <v>1552378466921677</v>
      </c>
      <c r="C5545" t="s">
        <v>40</v>
      </c>
      <c r="D5545">
        <v>5.0847689999999997</v>
      </c>
      <c r="E5545">
        <v>0.50957169999999996</v>
      </c>
      <c r="F5545" t="s">
        <v>42</v>
      </c>
      <c r="G5545">
        <v>-327.43560000000002</v>
      </c>
      <c r="H5545" s="1">
        <v>-2.1814929999999998E-6</v>
      </c>
      <c r="I5545">
        <v>15.05927</v>
      </c>
      <c r="J5545">
        <v>-356.11250000000001</v>
      </c>
      <c r="K5545">
        <v>1.108771</v>
      </c>
      <c r="L5545">
        <v>17.563690000000001</v>
      </c>
      <c r="M5545">
        <v>0.9999131</v>
      </c>
      <c r="N5545">
        <v>0</v>
      </c>
      <c r="O5545">
        <v>9.8152250000000003E-3</v>
      </c>
      <c r="P5545">
        <v>0.99785639999999998</v>
      </c>
      <c r="Q5545">
        <v>-1.953473E-2</v>
      </c>
      <c r="R5545">
        <v>-6.2460729999999999E-2</v>
      </c>
      <c r="S5545">
        <v>2.987946</v>
      </c>
      <c r="T5545">
        <v>-0.11493680000000001</v>
      </c>
      <c r="U5545">
        <v>-0.25949100000000003</v>
      </c>
      <c r="V5545">
        <v>7.2240280000000004E-2</v>
      </c>
      <c r="W5545">
        <v>-1.0817240000000001E-2</v>
      </c>
      <c r="X5545">
        <v>0.99732860000000001</v>
      </c>
      <c r="Y5545">
        <v>9.6217070000000002E-2</v>
      </c>
      <c r="Z5545">
        <v>-2.2231920000000001E-3</v>
      </c>
      <c r="AA5545">
        <v>0.99535790000000002</v>
      </c>
      <c r="AB5545">
        <v>27</v>
      </c>
      <c r="AC5545">
        <v>28.6768999999999</v>
      </c>
      <c r="AD5545">
        <v>-1.108773181493</v>
      </c>
      <c r="AE5545">
        <v>-2.5044200000000001</v>
      </c>
      <c r="AF5545">
        <v>2.7816535751039302</v>
      </c>
      <c r="AG5545">
        <v>-1.108773181493</v>
      </c>
      <c r="AH5545">
        <v>28.608492123245899</v>
      </c>
      <c r="AI5545">
        <v>92.209081984300695</v>
      </c>
      <c r="AJ5545">
        <v>84.446488532574904</v>
      </c>
      <c r="AK5545">
        <v>28.764783957918201</v>
      </c>
      <c r="AL5545">
        <v>90.619794283474803</v>
      </c>
      <c r="AM5545">
        <v>85.857085502838402</v>
      </c>
      <c r="AN5545">
        <v>1.0000000035568199</v>
      </c>
    </row>
    <row r="5546" spans="1:40" x14ac:dyDescent="0.25">
      <c r="A5546" t="str">
        <f>"20190312161426946"</f>
        <v>20190312161426946</v>
      </c>
      <c r="B5546" t="str">
        <f>"1552378466942171"</f>
        <v>1552378466942171</v>
      </c>
      <c r="C5546" t="s">
        <v>40</v>
      </c>
      <c r="D5546">
        <v>5.076778</v>
      </c>
      <c r="E5546">
        <v>0.50984759999999996</v>
      </c>
      <c r="F5546" t="s">
        <v>42</v>
      </c>
      <c r="G5546">
        <v>-326.25619999999998</v>
      </c>
      <c r="H5546" s="1">
        <v>-2.6656700000000002E-6</v>
      </c>
      <c r="I5546">
        <v>14.941739999999999</v>
      </c>
      <c r="J5546">
        <v>-355.9581</v>
      </c>
      <c r="K5546">
        <v>1.108786</v>
      </c>
      <c r="L5546">
        <v>17.564910000000001</v>
      </c>
      <c r="M5546">
        <v>0.99991560000000002</v>
      </c>
      <c r="N5546">
        <v>0</v>
      </c>
      <c r="O5546">
        <v>9.556007E-3</v>
      </c>
      <c r="P5546">
        <v>0.99783679999999997</v>
      </c>
      <c r="Q5546">
        <v>-1.9589269999999999E-2</v>
      </c>
      <c r="R5546">
        <v>-6.2755169999999999E-2</v>
      </c>
      <c r="S5546">
        <v>2.987854</v>
      </c>
      <c r="T5546">
        <v>-0.1109599</v>
      </c>
      <c r="U5546">
        <v>-0.26239010000000001</v>
      </c>
      <c r="V5546">
        <v>7.2275859999999997E-2</v>
      </c>
      <c r="W5546">
        <v>-1.089418E-2</v>
      </c>
      <c r="X5546">
        <v>0.99732520000000002</v>
      </c>
      <c r="Y5546">
        <v>9.6925129999999998E-2</v>
      </c>
      <c r="Z5546">
        <v>-2.1498070000000001E-3</v>
      </c>
      <c r="AA5546">
        <v>0.99528930000000004</v>
      </c>
      <c r="AB5546">
        <v>27</v>
      </c>
      <c r="AC5546">
        <v>29.701899999999998</v>
      </c>
      <c r="AD5546">
        <v>-1.1087886656699999</v>
      </c>
      <c r="AE5546">
        <v>-2.62317</v>
      </c>
      <c r="AF5546">
        <v>2.902878718982</v>
      </c>
      <c r="AG5546">
        <v>-1.1087886656699999</v>
      </c>
      <c r="AH5546">
        <v>29.634497560196401</v>
      </c>
      <c r="AI5546">
        <v>92.132551609183807</v>
      </c>
      <c r="AJ5546">
        <v>84.4053796253245</v>
      </c>
      <c r="AK5546">
        <v>29.796972376527201</v>
      </c>
      <c r="AL5546">
        <v>90.624202870980994</v>
      </c>
      <c r="AM5546">
        <v>85.855038050818905</v>
      </c>
      <c r="AN5546">
        <v>1.00000001882582</v>
      </c>
    </row>
    <row r="5547" spans="1:40" x14ac:dyDescent="0.25">
      <c r="A5547" t="str">
        <f>"20190312161426966"</f>
        <v>20190312161426966</v>
      </c>
      <c r="B5547" t="str">
        <f>"1552378466961692"</f>
        <v>1552378466961692</v>
      </c>
      <c r="C5547" t="s">
        <v>40</v>
      </c>
      <c r="D5547">
        <v>5.0213020000000004</v>
      </c>
      <c r="E5547">
        <v>0.51000719999999999</v>
      </c>
      <c r="F5547" t="s">
        <v>42</v>
      </c>
      <c r="G5547">
        <v>-324.40679999999998</v>
      </c>
      <c r="H5547" s="1">
        <v>-3.4858569999999998E-6</v>
      </c>
      <c r="I5547">
        <v>14.759840000000001</v>
      </c>
      <c r="J5547">
        <v>-355.71800000000002</v>
      </c>
      <c r="K5547">
        <v>1.1088180000000001</v>
      </c>
      <c r="L5547">
        <v>17.566739999999999</v>
      </c>
      <c r="M5547">
        <v>0.99991980000000003</v>
      </c>
      <c r="N5547">
        <v>0</v>
      </c>
      <c r="O5547">
        <v>9.1388130000000008E-3</v>
      </c>
      <c r="P5547">
        <v>0.99779830000000003</v>
      </c>
      <c r="Q5547">
        <v>-1.930892E-2</v>
      </c>
      <c r="R5547">
        <v>-6.3447699999999996E-2</v>
      </c>
      <c r="S5547">
        <v>2.9877319999999998</v>
      </c>
      <c r="T5547">
        <v>-0.1049963</v>
      </c>
      <c r="U5547">
        <v>-0.265625</v>
      </c>
      <c r="V5547">
        <v>7.2552740000000004E-2</v>
      </c>
      <c r="W5547">
        <v>-1.064324E-2</v>
      </c>
      <c r="X5547">
        <v>0.99730779999999997</v>
      </c>
      <c r="Y5547">
        <v>9.7590129999999997E-2</v>
      </c>
      <c r="Z5547">
        <v>-2.0313509999999998E-3</v>
      </c>
      <c r="AA5547">
        <v>0.99522460000000001</v>
      </c>
      <c r="AB5547">
        <v>27</v>
      </c>
      <c r="AC5547">
        <v>31.311199999999999</v>
      </c>
      <c r="AD5547">
        <v>-1.108821485857</v>
      </c>
      <c r="AE5547">
        <v>-2.8069000000000002</v>
      </c>
      <c r="AF5547">
        <v>3.0890978970809302</v>
      </c>
      <c r="AG5547">
        <v>-1.108821485857</v>
      </c>
      <c r="AH5547">
        <v>31.2453679476533</v>
      </c>
      <c r="AI5547">
        <v>92.022581286337001</v>
      </c>
      <c r="AJ5547">
        <v>84.353756249010502</v>
      </c>
      <c r="AK5547">
        <v>31.417272782491601</v>
      </c>
      <c r="AL5547">
        <v>90.609824237944594</v>
      </c>
      <c r="AM5547">
        <v>85.839142530122999</v>
      </c>
      <c r="AN5547">
        <v>1.00000001329002</v>
      </c>
    </row>
    <row r="5548" spans="1:40" x14ac:dyDescent="0.25">
      <c r="A5548" t="str">
        <f>"20190312161426980"</f>
        <v>20190312161426980</v>
      </c>
      <c r="B5548" t="str">
        <f>"1552378466972429"</f>
        <v>1552378466972429</v>
      </c>
      <c r="C5548" t="s">
        <v>40</v>
      </c>
      <c r="D5548">
        <v>5.0377320000000001</v>
      </c>
      <c r="E5548">
        <v>0.51023019999999997</v>
      </c>
      <c r="F5548" t="s">
        <v>42</v>
      </c>
      <c r="G5548">
        <v>-321.98469999999998</v>
      </c>
      <c r="H5548" s="1">
        <v>-4.6718279999999998E-6</v>
      </c>
      <c r="I5548">
        <v>14.528639999999999</v>
      </c>
      <c r="J5548">
        <v>-355.55160000000001</v>
      </c>
      <c r="K5548">
        <v>1.1088469999999999</v>
      </c>
      <c r="L5548">
        <v>17.567900000000002</v>
      </c>
      <c r="M5548">
        <v>0.99992270000000005</v>
      </c>
      <c r="N5548">
        <v>0</v>
      </c>
      <c r="O5548">
        <v>8.8421439999999997E-3</v>
      </c>
      <c r="P5548">
        <v>0.99777210000000005</v>
      </c>
      <c r="Q5548">
        <v>-1.9061419999999999E-2</v>
      </c>
      <c r="R5548">
        <v>-6.3934069999999996E-2</v>
      </c>
      <c r="S5548">
        <v>2.9876399999999999</v>
      </c>
      <c r="T5548">
        <v>-9.8204369999999999E-2</v>
      </c>
      <c r="U5548">
        <v>-0.26907350000000002</v>
      </c>
      <c r="V5548">
        <v>7.2743459999999996E-2</v>
      </c>
      <c r="W5548">
        <v>-1.04125E-2</v>
      </c>
      <c r="X5548">
        <v>0.99729630000000002</v>
      </c>
      <c r="Y5548">
        <v>9.8445000000000005E-2</v>
      </c>
      <c r="Z5548">
        <v>-1.904268E-3</v>
      </c>
      <c r="AA5548">
        <v>0.99514069999999999</v>
      </c>
      <c r="AB5548">
        <v>27</v>
      </c>
      <c r="AC5548">
        <v>33.566899999999997</v>
      </c>
      <c r="AD5548">
        <v>-1.1088516718279999</v>
      </c>
      <c r="AE5548">
        <v>-3.0392600000000001</v>
      </c>
      <c r="AF5548">
        <v>3.3323490240857501</v>
      </c>
      <c r="AG5548">
        <v>-1.1088516718279999</v>
      </c>
      <c r="AH5548">
        <v>33.502450800524599</v>
      </c>
      <c r="AI5548">
        <v>91.886360858032404</v>
      </c>
      <c r="AJ5548">
        <v>84.319711210111606</v>
      </c>
      <c r="AK5548">
        <v>33.686025465911101</v>
      </c>
      <c r="AL5548">
        <v>90.596603102708201</v>
      </c>
      <c r="AM5548">
        <v>85.828195479114399</v>
      </c>
      <c r="AN5548">
        <v>0.99999997056135503</v>
      </c>
    </row>
    <row r="5549" spans="1:40" x14ac:dyDescent="0.25">
      <c r="A5549" t="str">
        <f>"20190312161427011"</f>
        <v>20190312161427011</v>
      </c>
      <c r="B5549" t="str">
        <f>"1552378467002380"</f>
        <v>1552378467002380</v>
      </c>
      <c r="C5549" t="s">
        <v>40</v>
      </c>
      <c r="D5549">
        <v>5.0291829999999997</v>
      </c>
      <c r="E5549">
        <v>0.51053040000000005</v>
      </c>
      <c r="F5549" t="s">
        <v>42</v>
      </c>
      <c r="G5549">
        <v>-322.95589999999999</v>
      </c>
      <c r="H5549" s="1">
        <v>-4.2004989999999996E-6</v>
      </c>
      <c r="I5549">
        <v>14.597659999999999</v>
      </c>
      <c r="J5549">
        <v>-355.16899999999998</v>
      </c>
      <c r="K5549">
        <v>1.108903</v>
      </c>
      <c r="L5549">
        <v>17.57047</v>
      </c>
      <c r="M5549">
        <v>0.99992890000000001</v>
      </c>
      <c r="N5549">
        <v>0</v>
      </c>
      <c r="O5549">
        <v>8.1555669999999903E-3</v>
      </c>
      <c r="P5549">
        <v>0.99772349999999999</v>
      </c>
      <c r="Q5549">
        <v>-1.8888160000000001E-2</v>
      </c>
      <c r="R5549">
        <v>-6.4740770000000003E-2</v>
      </c>
      <c r="S5549">
        <v>2.9873349999999999</v>
      </c>
      <c r="T5549">
        <v>-0.10162409999999999</v>
      </c>
      <c r="U5549">
        <v>-0.27221679999999998</v>
      </c>
      <c r="V5549">
        <v>7.2865559999999996E-2</v>
      </c>
      <c r="W5549">
        <v>-1.027102E-2</v>
      </c>
      <c r="X5549">
        <v>0.99728890000000003</v>
      </c>
      <c r="Y5549">
        <v>9.8805480000000001E-2</v>
      </c>
      <c r="Z5549">
        <v>-1.953462E-3</v>
      </c>
      <c r="AA5549">
        <v>0.99510480000000001</v>
      </c>
      <c r="AB5549">
        <v>27</v>
      </c>
      <c r="AC5549">
        <v>32.213099999999997</v>
      </c>
      <c r="AD5549">
        <v>-1.1089072004989999</v>
      </c>
      <c r="AE5549">
        <v>-2.9728099999999902</v>
      </c>
      <c r="AF5549">
        <v>3.2316399468960202</v>
      </c>
      <c r="AG5549">
        <v>-1.1089072004989999</v>
      </c>
      <c r="AH5549">
        <v>32.150006091277398</v>
      </c>
      <c r="AI5549">
        <v>91.965546692285201</v>
      </c>
      <c r="AJ5549">
        <v>84.260048356938498</v>
      </c>
      <c r="AK5549">
        <v>32.331038702690499</v>
      </c>
      <c r="AL5549">
        <v>90.588496434798898</v>
      </c>
      <c r="AM5549">
        <v>85.821186986897104</v>
      </c>
      <c r="AN5549">
        <v>1.00000001687458</v>
      </c>
    </row>
    <row r="5550" spans="1:40" x14ac:dyDescent="0.25">
      <c r="A5550" t="str">
        <f>"20190312161427021"</f>
        <v>20190312161427021</v>
      </c>
      <c r="B5550" t="str">
        <f>"1552378467012037"</f>
        <v>1552378467012037</v>
      </c>
      <c r="C5550" t="s">
        <v>40</v>
      </c>
      <c r="D5550">
        <v>5.088444</v>
      </c>
      <c r="E5550">
        <v>0.51090570000000002</v>
      </c>
      <c r="F5550" t="s">
        <v>42</v>
      </c>
      <c r="G5550">
        <v>-323.6277</v>
      </c>
      <c r="H5550" s="1">
        <v>-3.874327E-6</v>
      </c>
      <c r="I5550">
        <v>14.64621</v>
      </c>
      <c r="J5550">
        <v>-355.02690000000001</v>
      </c>
      <c r="K5550">
        <v>1.108916</v>
      </c>
      <c r="L5550">
        <v>17.571349999999999</v>
      </c>
      <c r="M5550">
        <v>0.99993100000000001</v>
      </c>
      <c r="N5550">
        <v>0</v>
      </c>
      <c r="O5550">
        <v>7.9016179999999991E-3</v>
      </c>
      <c r="P5550">
        <v>0.99770009999999998</v>
      </c>
      <c r="Q5550">
        <v>-1.904289E-2</v>
      </c>
      <c r="R5550">
        <v>-6.5055459999999996E-2</v>
      </c>
      <c r="S5550">
        <v>2.986847</v>
      </c>
      <c r="T5550">
        <v>-0.1050093</v>
      </c>
      <c r="U5550">
        <v>-0.27691650000000001</v>
      </c>
      <c r="V5550">
        <v>7.2926920000000006E-2</v>
      </c>
      <c r="W5550">
        <v>-1.043556E-2</v>
      </c>
      <c r="X5550">
        <v>0.99728269999999997</v>
      </c>
      <c r="Y5550">
        <v>0.1001152</v>
      </c>
      <c r="Z5550">
        <v>-2.0327370000000002E-3</v>
      </c>
      <c r="AA5550">
        <v>0.99497380000000002</v>
      </c>
      <c r="AB5550">
        <v>27</v>
      </c>
      <c r="AC5550">
        <v>31.3992</v>
      </c>
      <c r="AD5550">
        <v>-1.1089198743269999</v>
      </c>
      <c r="AE5550">
        <v>-2.9251399999999901</v>
      </c>
      <c r="AF5550">
        <v>3.1692436172968201</v>
      </c>
      <c r="AG5550">
        <v>-1.1089198743269999</v>
      </c>
      <c r="AH5550">
        <v>31.336356636075699</v>
      </c>
      <c r="AI5550">
        <v>92.016439161707893</v>
      </c>
      <c r="AJ5550">
        <v>84.224952735200603</v>
      </c>
      <c r="AK5550">
        <v>31.515727115470099</v>
      </c>
      <c r="AL5550">
        <v>90.597924391542193</v>
      </c>
      <c r="AM5550">
        <v>85.817654586313395</v>
      </c>
      <c r="AN5550">
        <v>1.0000000101462401</v>
      </c>
    </row>
    <row r="5551" spans="1:40" x14ac:dyDescent="0.25">
      <c r="A5551" t="str">
        <f>"20190312161427033"</f>
        <v>20190312161427033</v>
      </c>
      <c r="B5551" t="str">
        <f>"1552378467021797"</f>
        <v>1552378467021797</v>
      </c>
      <c r="C5551" t="s">
        <v>40</v>
      </c>
      <c r="D5551">
        <v>4.9896570000000002</v>
      </c>
      <c r="E5551">
        <v>0.51140249999999998</v>
      </c>
      <c r="F5551" t="s">
        <v>42</v>
      </c>
      <c r="G5551">
        <v>-323.57150000000001</v>
      </c>
      <c r="H5551" s="1">
        <v>-3.9067369999999998E-6</v>
      </c>
      <c r="I5551">
        <v>14.61309</v>
      </c>
      <c r="J5551">
        <v>-354.89769999999999</v>
      </c>
      <c r="K5551">
        <v>1.108932</v>
      </c>
      <c r="L5551">
        <v>17.57217</v>
      </c>
      <c r="M5551">
        <v>0.99993279999999995</v>
      </c>
      <c r="N5551">
        <v>0</v>
      </c>
      <c r="O5551">
        <v>7.6719010000000001E-3</v>
      </c>
      <c r="P5551">
        <v>0.99768579999999996</v>
      </c>
      <c r="Q5551">
        <v>-1.9242209999999999E-2</v>
      </c>
      <c r="R5551">
        <v>-6.5212880000000001E-2</v>
      </c>
      <c r="S5551">
        <v>2.9866640000000002</v>
      </c>
      <c r="T5551">
        <v>-0.105291</v>
      </c>
      <c r="U5551">
        <v>-0.28088380000000002</v>
      </c>
      <c r="V5551">
        <v>7.2855119999999995E-2</v>
      </c>
      <c r="W5551">
        <v>-1.0643100000000001E-2</v>
      </c>
      <c r="X5551">
        <v>0.99728570000000005</v>
      </c>
      <c r="Y5551">
        <v>0.1012015</v>
      </c>
      <c r="Z5551">
        <v>-2.049206E-3</v>
      </c>
      <c r="AA5551">
        <v>0.99486379999999996</v>
      </c>
      <c r="AB5551">
        <v>27</v>
      </c>
      <c r="AC5551">
        <v>31.326199999999901</v>
      </c>
      <c r="AD5551">
        <v>-1.1089359067369999</v>
      </c>
      <c r="AE5551">
        <v>-2.9590799999999899</v>
      </c>
      <c r="AF5551">
        <v>3.1953646848927999</v>
      </c>
      <c r="AG5551">
        <v>-1.1089359067369999</v>
      </c>
      <c r="AH5551">
        <v>31.263744215083101</v>
      </c>
      <c r="AI5551">
        <v>92.0209302938691</v>
      </c>
      <c r="AJ5551">
        <v>84.164250623287899</v>
      </c>
      <c r="AK5551">
        <v>31.446173005007299</v>
      </c>
      <c r="AL5551">
        <v>90.6098162511677</v>
      </c>
      <c r="AM5551">
        <v>85.821770237311796</v>
      </c>
      <c r="AN5551">
        <v>0.99999995575615597</v>
      </c>
    </row>
    <row r="5552" spans="1:40" x14ac:dyDescent="0.25">
      <c r="A5552" t="str">
        <f>"20190312161427044"</f>
        <v>20190312161427044</v>
      </c>
      <c r="B5552" t="str">
        <f>"1552378467032533"</f>
        <v>1552378467032533</v>
      </c>
      <c r="C5552" t="s">
        <v>40</v>
      </c>
      <c r="D5552">
        <v>5.1360099999999997</v>
      </c>
      <c r="E5552">
        <v>0.51140249999999998</v>
      </c>
      <c r="F5552" t="s">
        <v>42</v>
      </c>
      <c r="G5552">
        <v>-323.28269999999998</v>
      </c>
      <c r="H5552" s="1">
        <v>-4.054136E-6</v>
      </c>
      <c r="I5552">
        <v>14.5517</v>
      </c>
      <c r="J5552">
        <v>-354.7593</v>
      </c>
      <c r="K5552">
        <v>1.108948</v>
      </c>
      <c r="L5552">
        <v>17.572970000000002</v>
      </c>
      <c r="M5552">
        <v>0.99993469999999995</v>
      </c>
      <c r="N5552">
        <v>0</v>
      </c>
      <c r="O5552">
        <v>7.4270930000000001E-3</v>
      </c>
      <c r="P5552">
        <v>0.99767910000000004</v>
      </c>
      <c r="Q5552">
        <v>-1.916665E-2</v>
      </c>
      <c r="R5552">
        <v>-6.5339560000000005E-2</v>
      </c>
      <c r="S5552">
        <v>2.9862980000000001</v>
      </c>
      <c r="T5552">
        <v>-0.1047482</v>
      </c>
      <c r="U5552">
        <v>-0.28530879999999997</v>
      </c>
      <c r="V5552">
        <v>7.2737689999999994E-2</v>
      </c>
      <c r="W5552">
        <v>-1.057553E-2</v>
      </c>
      <c r="X5552">
        <v>0.99729500000000004</v>
      </c>
      <c r="Y5552">
        <v>0.1024304</v>
      </c>
      <c r="Z5552">
        <v>-2.051686E-3</v>
      </c>
      <c r="AA5552">
        <v>0.99473800000000001</v>
      </c>
      <c r="AB5552">
        <v>27</v>
      </c>
      <c r="AC5552">
        <v>31.476600000000001</v>
      </c>
      <c r="AD5552">
        <v>-1.1089520541360001</v>
      </c>
      <c r="AE5552">
        <v>-3.0212699999999999</v>
      </c>
      <c r="AF5552">
        <v>3.2509767658419699</v>
      </c>
      <c r="AG5552">
        <v>-1.1089520541360001</v>
      </c>
      <c r="AH5552">
        <v>31.414655031776999</v>
      </c>
      <c r="AI5552">
        <v>92.010997715247598</v>
      </c>
      <c r="AJ5552">
        <v>84.091720751984994</v>
      </c>
      <c r="AK5552">
        <v>31.601885629752701</v>
      </c>
      <c r="AL5552">
        <v>90.605944551549001</v>
      </c>
      <c r="AM5552">
        <v>85.828519799405399</v>
      </c>
      <c r="AN5552">
        <v>0.99999996520315804</v>
      </c>
    </row>
    <row r="5553" spans="1:40" x14ac:dyDescent="0.25">
      <c r="A5553" t="str">
        <f>"20190312161427054"</f>
        <v>20190312161427054</v>
      </c>
      <c r="B5553" t="str">
        <f>"1552378467052052"</f>
        <v>1552378467052052</v>
      </c>
      <c r="C5553" t="s">
        <v>40</v>
      </c>
      <c r="D5553">
        <v>4.6376910000000002</v>
      </c>
      <c r="E5553">
        <v>0.52566979999999996</v>
      </c>
      <c r="F5553" t="s">
        <v>42</v>
      </c>
      <c r="G5553">
        <v>-323.07929999999999</v>
      </c>
      <c r="H5553" s="1">
        <v>-4.15196E-6</v>
      </c>
      <c r="I5553">
        <v>14.542389999999999</v>
      </c>
      <c r="J5553">
        <v>-354.62869999999998</v>
      </c>
      <c r="K5553">
        <v>1.1089639999999901</v>
      </c>
      <c r="L5553">
        <v>17.573699999999999</v>
      </c>
      <c r="M5553">
        <v>0.99993650000000001</v>
      </c>
      <c r="N5553">
        <v>0</v>
      </c>
      <c r="O5553">
        <v>7.1972199999999998E-3</v>
      </c>
      <c r="P5553">
        <v>0.99767039999999996</v>
      </c>
      <c r="Q5553">
        <v>-1.9025859999999999E-2</v>
      </c>
      <c r="R5553">
        <v>-6.5514859999999994E-2</v>
      </c>
      <c r="S5553">
        <v>2.9862980000000001</v>
      </c>
      <c r="T5553">
        <v>-0.1045349</v>
      </c>
      <c r="U5553">
        <v>-0.28567500000000001</v>
      </c>
      <c r="V5553">
        <v>7.2684059999999995E-2</v>
      </c>
      <c r="W5553">
        <v>-1.044173E-2</v>
      </c>
      <c r="X5553">
        <v>0.99730030000000003</v>
      </c>
      <c r="Y5553">
        <v>0.1023231</v>
      </c>
      <c r="Z5553">
        <v>-2.0375969999999999E-3</v>
      </c>
      <c r="AA5553">
        <v>0.99474910000000005</v>
      </c>
      <c r="AB5553">
        <v>27</v>
      </c>
      <c r="AC5553">
        <v>31.549399999999899</v>
      </c>
      <c r="AD5553">
        <v>-1.1089681519600001</v>
      </c>
      <c r="AE5553">
        <v>-3.0313099999999902</v>
      </c>
      <c r="AF5553">
        <v>3.2543239326830702</v>
      </c>
      <c r="AG5553">
        <v>-1.1089681519600001</v>
      </c>
      <c r="AH5553">
        <v>31.4882159714614</v>
      </c>
      <c r="AI5553">
        <v>92.006360469962601</v>
      </c>
      <c r="AJ5553">
        <v>84.099399846443902</v>
      </c>
      <c r="AK5553">
        <v>31.675356030931901</v>
      </c>
      <c r="AL5553">
        <v>90.598277964532699</v>
      </c>
      <c r="AM5553">
        <v>85.831606689473404</v>
      </c>
      <c r="AN5553">
        <v>0.99999994534178105</v>
      </c>
    </row>
    <row r="5554" spans="1:40" x14ac:dyDescent="0.25">
      <c r="A5554" t="str">
        <f>"20190312161427064"</f>
        <v>20190312161427064</v>
      </c>
      <c r="B5554" t="str">
        <f>"1552378467061813"</f>
        <v>1552378467061813</v>
      </c>
      <c r="C5554" t="s">
        <v>40</v>
      </c>
      <c r="D5554">
        <v>3.895324</v>
      </c>
      <c r="E5554">
        <v>0.53428140000000002</v>
      </c>
      <c r="F5554" t="s">
        <v>43</v>
      </c>
      <c r="G5554">
        <v>-353.77319999999997</v>
      </c>
      <c r="H5554">
        <v>0.95796329999999996</v>
      </c>
      <c r="I5554">
        <v>17.461469999999998</v>
      </c>
      <c r="J5554">
        <v>-354.50049999999999</v>
      </c>
      <c r="K5554">
        <v>1.108975</v>
      </c>
      <c r="L5554">
        <v>17.574400000000001</v>
      </c>
      <c r="M5554">
        <v>0.99993810000000005</v>
      </c>
      <c r="N5554">
        <v>0</v>
      </c>
      <c r="O5554">
        <v>6.9728780000000001E-3</v>
      </c>
      <c r="P5554">
        <v>0.99766779999999999</v>
      </c>
      <c r="Q5554">
        <v>-1.8924090000000001E-2</v>
      </c>
      <c r="R5554">
        <v>-6.5580139999999995E-2</v>
      </c>
      <c r="S5554">
        <v>2.9714049999999999</v>
      </c>
      <c r="T5554">
        <v>-0.52447310000000003</v>
      </c>
      <c r="U5554">
        <v>-0.38992310000000002</v>
      </c>
      <c r="V5554">
        <v>7.252567E-2</v>
      </c>
      <c r="W5554">
        <v>-1.034625E-2</v>
      </c>
      <c r="X5554">
        <v>0.99731289999999995</v>
      </c>
      <c r="Y5554">
        <v>0.13486429999999999</v>
      </c>
      <c r="Z5554">
        <v>-1.297806E-2</v>
      </c>
      <c r="AA5554">
        <v>0.99077910000000002</v>
      </c>
      <c r="AB5554">
        <v>28</v>
      </c>
      <c r="AC5554">
        <v>0.72730000000001305</v>
      </c>
      <c r="AD5554">
        <v>-0.1510117</v>
      </c>
      <c r="AE5554">
        <v>-0.112929999999998</v>
      </c>
      <c r="AF5554">
        <v>0.113232125897406</v>
      </c>
      <c r="AG5554">
        <v>-0.1510117</v>
      </c>
      <c r="AH5554">
        <v>0.69714727521921704</v>
      </c>
      <c r="AI5554">
        <v>102.068796157881</v>
      </c>
      <c r="AJ5554">
        <v>80.774462207321605</v>
      </c>
      <c r="AK5554">
        <v>0.72224675230679602</v>
      </c>
      <c r="AL5554">
        <v>90.592807023944204</v>
      </c>
      <c r="AM5554">
        <v>85.840710724510899</v>
      </c>
      <c r="AN5554">
        <v>1.00000001910221</v>
      </c>
    </row>
    <row r="5555" spans="1:40" x14ac:dyDescent="0.25">
      <c r="A5555" t="str">
        <f>"20190312161427077"</f>
        <v>20190312161427077</v>
      </c>
      <c r="B5555" t="str">
        <f>"1552378467072549"</f>
        <v>1552378467072549</v>
      </c>
      <c r="C5555" t="s">
        <v>40</v>
      </c>
      <c r="D5555">
        <v>4.2505750000000004</v>
      </c>
      <c r="E5555">
        <v>0.53893880000000005</v>
      </c>
      <c r="F5555" t="s">
        <v>43</v>
      </c>
      <c r="G5555">
        <v>-353.8458</v>
      </c>
      <c r="H5555">
        <v>0.78725239999999996</v>
      </c>
      <c r="I5555">
        <v>17.477460000000001</v>
      </c>
      <c r="J5555">
        <v>-354.34859999999998</v>
      </c>
      <c r="K5555">
        <v>1.1089850000000001</v>
      </c>
      <c r="L5555">
        <v>17.575199999999999</v>
      </c>
      <c r="M5555">
        <v>0.9999401</v>
      </c>
      <c r="N5555">
        <v>0</v>
      </c>
      <c r="O5555">
        <v>6.7075219999999996E-3</v>
      </c>
      <c r="P5555">
        <v>0.99766739999999998</v>
      </c>
      <c r="Q5555">
        <v>-1.868361E-2</v>
      </c>
      <c r="R5555">
        <v>-6.5658460000000002E-2</v>
      </c>
      <c r="S5555">
        <v>2.9507750000000001</v>
      </c>
      <c r="T5555">
        <v>-1.4499219999999999</v>
      </c>
      <c r="U5555">
        <v>-0.43704219999999999</v>
      </c>
      <c r="V5555">
        <v>7.2339699999999896E-2</v>
      </c>
      <c r="W5555">
        <v>-1.0112329999999999E-2</v>
      </c>
      <c r="X5555">
        <v>0.99732880000000002</v>
      </c>
      <c r="Y5555">
        <v>0.13705719999999999</v>
      </c>
      <c r="Z5555">
        <v>-3.4810929999999997E-2</v>
      </c>
      <c r="AA5555">
        <v>0.98995129999999998</v>
      </c>
      <c r="AB5555">
        <v>28</v>
      </c>
      <c r="AC5555">
        <v>0.50279999999997904</v>
      </c>
      <c r="AD5555">
        <v>-0.32173259999999998</v>
      </c>
      <c r="AE5555">
        <v>-9.7739999999998106E-2</v>
      </c>
      <c r="AF5555">
        <v>7.2504535903736497E-2</v>
      </c>
      <c r="AG5555">
        <v>-0.32173259999999998</v>
      </c>
      <c r="AH5555">
        <v>0.36007077695575201</v>
      </c>
      <c r="AI5555">
        <v>131.216549555022</v>
      </c>
      <c r="AJ5555">
        <v>78.6150572706281</v>
      </c>
      <c r="AK5555">
        <v>0.48828243675857902</v>
      </c>
      <c r="AL5555">
        <v>90.579403697482405</v>
      </c>
      <c r="AM5555">
        <v>85.851404578724797</v>
      </c>
      <c r="AN5555">
        <v>1.0000000133617699</v>
      </c>
    </row>
    <row r="5556" spans="1:40" x14ac:dyDescent="0.25">
      <c r="A5556" t="str">
        <f>"20190312161427088"</f>
        <v>20190312161427088</v>
      </c>
      <c r="B5556" t="str">
        <f>"1552378467082310"</f>
        <v>1552378467082310</v>
      </c>
      <c r="C5556" t="s">
        <v>40</v>
      </c>
      <c r="D5556">
        <v>8.2870609999999996</v>
      </c>
      <c r="E5556">
        <v>0.54161059999999905</v>
      </c>
      <c r="F5556" t="s">
        <v>43</v>
      </c>
      <c r="G5556">
        <v>-353.61329999999998</v>
      </c>
      <c r="H5556">
        <v>0.74592650000000005</v>
      </c>
      <c r="I5556">
        <v>17.45673</v>
      </c>
      <c r="J5556">
        <v>-354.21660000000003</v>
      </c>
      <c r="K5556">
        <v>1.108995</v>
      </c>
      <c r="L5556">
        <v>17.575869999999998</v>
      </c>
      <c r="M5556">
        <v>0.99994159999999999</v>
      </c>
      <c r="N5556">
        <v>0</v>
      </c>
      <c r="O5556">
        <v>6.4771990000000003E-3</v>
      </c>
      <c r="P5556">
        <v>0.99765159999999997</v>
      </c>
      <c r="Q5556">
        <v>-1.8736889999999999E-2</v>
      </c>
      <c r="R5556">
        <v>-6.588078E-2</v>
      </c>
      <c r="S5556">
        <v>2.9485779999999999</v>
      </c>
      <c r="T5556">
        <v>-1.4556389999999999</v>
      </c>
      <c r="U5556">
        <v>-0.47424319999999998</v>
      </c>
      <c r="V5556">
        <v>7.2332259999999995E-2</v>
      </c>
      <c r="W5556">
        <v>-1.0171319999999999E-2</v>
      </c>
      <c r="X5556">
        <v>0.99732869999999996</v>
      </c>
      <c r="Y5556">
        <v>0.14783060000000001</v>
      </c>
      <c r="Z5556">
        <v>-3.732278E-2</v>
      </c>
      <c r="AA5556">
        <v>0.98830819999999997</v>
      </c>
      <c r="AB5556">
        <v>28</v>
      </c>
      <c r="AC5556">
        <v>0.60330000000004702</v>
      </c>
      <c r="AD5556">
        <v>-0.36306850000000002</v>
      </c>
      <c r="AE5556">
        <v>-0.119140000000001</v>
      </c>
      <c r="AF5556">
        <v>9.1241044401917298E-2</v>
      </c>
      <c r="AG5556">
        <v>-0.36306850000000002</v>
      </c>
      <c r="AH5556">
        <v>0.446779651314338</v>
      </c>
      <c r="AI5556">
        <v>128.52683727376501</v>
      </c>
      <c r="AJ5556">
        <v>78.457805114024197</v>
      </c>
      <c r="AK5556">
        <v>0.58288568407910302</v>
      </c>
      <c r="AL5556">
        <v>90.5827837724121</v>
      </c>
      <c r="AM5556">
        <v>85.851829349864005</v>
      </c>
      <c r="AN5556">
        <v>0.999999973715469</v>
      </c>
    </row>
    <row r="5557" spans="1:40" x14ac:dyDescent="0.25">
      <c r="A5557" t="str">
        <f>"20190312161427099"</f>
        <v>20190312161427099</v>
      </c>
      <c r="B5557" t="str">
        <f>"1552378467092069"</f>
        <v>1552378467092069</v>
      </c>
      <c r="C5557" t="s">
        <v>40</v>
      </c>
      <c r="D5557">
        <v>5.3882680000000001</v>
      </c>
      <c r="E5557">
        <v>0.54278930000000003</v>
      </c>
      <c r="F5557" t="s">
        <v>43</v>
      </c>
      <c r="G5557">
        <v>-353.59140000000002</v>
      </c>
      <c r="H5557">
        <v>0.805075599999999</v>
      </c>
      <c r="I5557">
        <v>17.470220000000001</v>
      </c>
      <c r="J5557">
        <v>-354.06909999999999</v>
      </c>
      <c r="K5557">
        <v>1.109003</v>
      </c>
      <c r="L5557">
        <v>17.576539999999898</v>
      </c>
      <c r="M5557">
        <v>0.99994329999999998</v>
      </c>
      <c r="N5557">
        <v>0</v>
      </c>
      <c r="O5557">
        <v>6.2199259999999998E-3</v>
      </c>
      <c r="P5557">
        <v>0.99764750000000002</v>
      </c>
      <c r="Q5557">
        <v>-1.885479E-2</v>
      </c>
      <c r="R5557">
        <v>-6.5909209999999996E-2</v>
      </c>
      <c r="S5557">
        <v>2.9472960000000001</v>
      </c>
      <c r="T5557">
        <v>-1.432579</v>
      </c>
      <c r="U5557">
        <v>-0.49710080000000001</v>
      </c>
      <c r="V5557">
        <v>7.2103940000000005E-2</v>
      </c>
      <c r="W5557">
        <v>-1.029418E-2</v>
      </c>
      <c r="X5557">
        <v>0.99734400000000001</v>
      </c>
      <c r="Y5557">
        <v>0.1548901</v>
      </c>
      <c r="Z5557">
        <v>-3.828231E-2</v>
      </c>
      <c r="AA5557">
        <v>0.98718969999999995</v>
      </c>
      <c r="AB5557">
        <v>28</v>
      </c>
      <c r="AC5557">
        <v>0.47769999999996998</v>
      </c>
      <c r="AD5557">
        <v>-0.30392740000000001</v>
      </c>
      <c r="AE5557">
        <v>-0.106319999999996</v>
      </c>
      <c r="AF5557">
        <v>7.8870283134602204E-2</v>
      </c>
      <c r="AG5557">
        <v>-0.30392740000000001</v>
      </c>
      <c r="AH5557">
        <v>0.34425549346305401</v>
      </c>
      <c r="AI5557">
        <v>130.713912693227</v>
      </c>
      <c r="AJ5557">
        <v>77.096007093325497</v>
      </c>
      <c r="AK5557">
        <v>0.46594445035002102</v>
      </c>
      <c r="AL5557">
        <v>90.589823484361503</v>
      </c>
      <c r="AM5557">
        <v>85.864940958599107</v>
      </c>
      <c r="AN5557">
        <v>1.00000000132069</v>
      </c>
    </row>
    <row r="5558" spans="1:40" x14ac:dyDescent="0.25">
      <c r="A5558" t="str">
        <f>"20190312161427111"</f>
        <v>20190312161427111</v>
      </c>
      <c r="B5558" t="str">
        <f>"1552378467101829"</f>
        <v>1552378467101829</v>
      </c>
      <c r="C5558" t="s">
        <v>40</v>
      </c>
      <c r="D5558">
        <v>6.0670010000000003</v>
      </c>
      <c r="E5558">
        <v>0.54208529999999999</v>
      </c>
      <c r="F5558" t="s">
        <v>43</v>
      </c>
      <c r="G5558">
        <v>-353.35570000000001</v>
      </c>
      <c r="H5558">
        <v>0.77362310000000001</v>
      </c>
      <c r="I5558">
        <v>17.45365</v>
      </c>
      <c r="J5558">
        <v>-353.92579999999998</v>
      </c>
      <c r="K5558">
        <v>1.1090120000000001</v>
      </c>
      <c r="L5558">
        <v>17.577179999999998</v>
      </c>
      <c r="M5558">
        <v>0.99994479999999997</v>
      </c>
      <c r="N5558">
        <v>0</v>
      </c>
      <c r="O5558">
        <v>5.9700380000000004E-3</v>
      </c>
      <c r="P5558">
        <v>0.99762510000000004</v>
      </c>
      <c r="Q5558">
        <v>-1.8933720000000001E-2</v>
      </c>
      <c r="R5558">
        <v>-6.6225019999999996E-2</v>
      </c>
      <c r="S5558">
        <v>2.9473569999999998</v>
      </c>
      <c r="T5558">
        <v>-1.385572</v>
      </c>
      <c r="U5558">
        <v>-0.50741579999999997</v>
      </c>
      <c r="V5558">
        <v>7.2170280000000003E-2</v>
      </c>
      <c r="W5558">
        <v>-1.037809E-2</v>
      </c>
      <c r="X5558">
        <v>0.99733839999999996</v>
      </c>
      <c r="Y5558">
        <v>0.15872349999999999</v>
      </c>
      <c r="Z5558">
        <v>-3.78748E-2</v>
      </c>
      <c r="AA5558">
        <v>0.98659629999999998</v>
      </c>
      <c r="AB5558">
        <v>28</v>
      </c>
      <c r="AC5558">
        <v>0.57009999999996797</v>
      </c>
      <c r="AD5558">
        <v>-0.33538889999999999</v>
      </c>
      <c r="AE5558">
        <v>-0.123529999999998</v>
      </c>
      <c r="AF5558">
        <v>9.5395987199451901E-2</v>
      </c>
      <c r="AG5558">
        <v>-0.33538889999999999</v>
      </c>
      <c r="AH5558">
        <v>0.42789970747773798</v>
      </c>
      <c r="AI5558">
        <v>127.41676483799201</v>
      </c>
      <c r="AJ5558">
        <v>77.432004570376407</v>
      </c>
      <c r="AK5558">
        <v>0.55198212677268998</v>
      </c>
      <c r="AL5558">
        <v>90.594631389752607</v>
      </c>
      <c r="AM5558">
        <v>85.861126509779297</v>
      </c>
      <c r="AN5558">
        <v>1.0000000690909401</v>
      </c>
    </row>
    <row r="5559" spans="1:40" x14ac:dyDescent="0.25">
      <c r="A5559" t="str">
        <f>"20190312161427123"</f>
        <v>20190312161427123</v>
      </c>
      <c r="B5559" t="str">
        <f>"1552378467111589"</f>
        <v>1552378467111589</v>
      </c>
      <c r="C5559" t="s">
        <v>40</v>
      </c>
      <c r="D5559">
        <v>6.0184199999999999</v>
      </c>
      <c r="E5559">
        <v>0.54208529999999999</v>
      </c>
      <c r="F5559" t="s">
        <v>43</v>
      </c>
      <c r="G5559">
        <v>-353.11470000000003</v>
      </c>
      <c r="H5559">
        <v>0.74816139999999998</v>
      </c>
      <c r="I5559">
        <v>17.438140000000001</v>
      </c>
      <c r="J5559">
        <v>-353.77499999999998</v>
      </c>
      <c r="K5559">
        <v>1.1090139999999999</v>
      </c>
      <c r="L5559">
        <v>17.577819999999999</v>
      </c>
      <c r="M5559">
        <v>0.99994649999999996</v>
      </c>
      <c r="N5559">
        <v>0</v>
      </c>
      <c r="O5559">
        <v>5.7068529999999996E-3</v>
      </c>
      <c r="P5559">
        <v>0.99758990000000003</v>
      </c>
      <c r="Q5559">
        <v>-1.9276649999999999E-2</v>
      </c>
      <c r="R5559">
        <v>-6.6656869999999993E-2</v>
      </c>
      <c r="S5559">
        <v>2.9487920000000001</v>
      </c>
      <c r="T5559">
        <v>-1.311766</v>
      </c>
      <c r="U5559">
        <v>-0.50430299999999995</v>
      </c>
      <c r="V5559">
        <v>7.2339180000000003E-2</v>
      </c>
      <c r="W5559">
        <v>-1.072569E-2</v>
      </c>
      <c r="X5559">
        <v>0.99732240000000005</v>
      </c>
      <c r="Y5559">
        <v>0.15904889999999999</v>
      </c>
      <c r="Z5559">
        <v>-3.5976929999999997E-2</v>
      </c>
      <c r="AA5559">
        <v>0.98661500000000002</v>
      </c>
      <c r="AB5559">
        <v>28</v>
      </c>
      <c r="AC5559">
        <v>0.66029999999994904</v>
      </c>
      <c r="AD5559">
        <v>-0.36085259999999902</v>
      </c>
      <c r="AE5559">
        <v>-0.139680000000002</v>
      </c>
      <c r="AF5559">
        <v>0.111555882580331</v>
      </c>
      <c r="AG5559">
        <v>-0.36085259999999902</v>
      </c>
      <c r="AH5559">
        <v>0.51287710991431101</v>
      </c>
      <c r="AI5559">
        <v>124.508897036699</v>
      </c>
      <c r="AJ5559">
        <v>77.728734442764903</v>
      </c>
      <c r="AK5559">
        <v>0.63694759889577501</v>
      </c>
      <c r="AL5559">
        <v>90.614548562899301</v>
      </c>
      <c r="AM5559">
        <v>85.851407766830505</v>
      </c>
      <c r="AN5559">
        <v>0.99999998346540397</v>
      </c>
    </row>
    <row r="5560" spans="1:40" x14ac:dyDescent="0.25">
      <c r="A5560" t="str">
        <f>"20190312161427137"</f>
        <v>20190312161427137</v>
      </c>
      <c r="B5560" t="str">
        <f>"1552378467131770"</f>
        <v>1552378467131770</v>
      </c>
      <c r="C5560" t="s">
        <v>40</v>
      </c>
      <c r="D5560">
        <v>5.3139379999999896</v>
      </c>
      <c r="E5560">
        <v>0.53659590000000001</v>
      </c>
      <c r="F5560" t="s">
        <v>43</v>
      </c>
      <c r="G5560">
        <v>-353.09449999999998</v>
      </c>
      <c r="H5560">
        <v>0.80601529999999999</v>
      </c>
      <c r="I5560">
        <v>17.460819999999998</v>
      </c>
      <c r="J5560">
        <v>-353.60599999999999</v>
      </c>
      <c r="K5560">
        <v>1.1090199999999999</v>
      </c>
      <c r="L5560">
        <v>17.578489999999999</v>
      </c>
      <c r="M5560">
        <v>0.99994810000000001</v>
      </c>
      <c r="N5560">
        <v>0</v>
      </c>
      <c r="O5560">
        <v>5.4116579999999997E-3</v>
      </c>
      <c r="P5560">
        <v>0.99756560000000005</v>
      </c>
      <c r="Q5560">
        <v>-1.914749E-2</v>
      </c>
      <c r="R5560">
        <v>-6.7055699999999996E-2</v>
      </c>
      <c r="S5560">
        <v>2.9481199999999999</v>
      </c>
      <c r="T5560">
        <v>-1.3127549999999999</v>
      </c>
      <c r="U5560">
        <v>-0.5055847</v>
      </c>
      <c r="V5560">
        <v>7.2443430000000003E-2</v>
      </c>
      <c r="W5560">
        <v>-1.06009E-2</v>
      </c>
      <c r="X5560">
        <v>0.99731619999999999</v>
      </c>
      <c r="Y5560">
        <v>0.1591987</v>
      </c>
      <c r="Z5560">
        <v>-3.5914920000000003E-2</v>
      </c>
      <c r="AA5560">
        <v>0.9865931</v>
      </c>
      <c r="AB5560">
        <v>28</v>
      </c>
      <c r="AC5560">
        <v>0.51150000000001195</v>
      </c>
      <c r="AD5560">
        <v>-0.30300470000000002</v>
      </c>
      <c r="AE5560">
        <v>-0.117669999999996</v>
      </c>
      <c r="AF5560">
        <v>9.0330851850683902E-2</v>
      </c>
      <c r="AG5560">
        <v>-0.30300470000000002</v>
      </c>
      <c r="AH5560">
        <v>0.38315670103000998</v>
      </c>
      <c r="AI5560">
        <v>127.58585209968</v>
      </c>
      <c r="AJ5560">
        <v>76.734497602516697</v>
      </c>
      <c r="AK5560">
        <v>0.49677013654441898</v>
      </c>
      <c r="AL5560">
        <v>90.6073981960335</v>
      </c>
      <c r="AM5560">
        <v>85.845424297632903</v>
      </c>
      <c r="AN5560">
        <v>1.0000000162067</v>
      </c>
    </row>
    <row r="5561" spans="1:40" x14ac:dyDescent="0.25">
      <c r="A5561" t="str">
        <f>"20190312161427157"</f>
        <v>20190312161427157</v>
      </c>
      <c r="B5561" t="str">
        <f>"1552378467152265"</f>
        <v>1552378467152265</v>
      </c>
      <c r="C5561" t="s">
        <v>40</v>
      </c>
      <c r="D5561">
        <v>5.200259</v>
      </c>
      <c r="E5561">
        <v>0.54583169999999903</v>
      </c>
      <c r="F5561" t="s">
        <v>43</v>
      </c>
      <c r="G5561">
        <v>-352.79320000000001</v>
      </c>
      <c r="H5561">
        <v>0.93005389999999999</v>
      </c>
      <c r="I5561">
        <v>17.447140000000001</v>
      </c>
      <c r="J5561">
        <v>-353.36759999999998</v>
      </c>
      <c r="K5561">
        <v>1.10903</v>
      </c>
      <c r="L5561">
        <v>17.579350000000002</v>
      </c>
      <c r="M5561">
        <v>0.99995029999999996</v>
      </c>
      <c r="N5561">
        <v>0</v>
      </c>
      <c r="O5561">
        <v>4.994872E-3</v>
      </c>
      <c r="P5561">
        <v>0.9975292</v>
      </c>
      <c r="Q5561">
        <v>-1.8874370000000001E-2</v>
      </c>
      <c r="R5561">
        <v>-6.7672599999999999E-2</v>
      </c>
      <c r="S5561">
        <v>2.9626769999999998</v>
      </c>
      <c r="T5561">
        <v>-0.65233209999999997</v>
      </c>
      <c r="U5561">
        <v>-0.4784851</v>
      </c>
      <c r="V5561">
        <v>7.2644680000000003E-2</v>
      </c>
      <c r="W5561">
        <v>-1.033296E-2</v>
      </c>
      <c r="X5561">
        <v>0.99730439999999998</v>
      </c>
      <c r="Y5561">
        <v>0.16050210000000001</v>
      </c>
      <c r="Z5561">
        <v>-1.8432460000000001E-2</v>
      </c>
      <c r="AA5561">
        <v>0.98686339999999995</v>
      </c>
      <c r="AB5561">
        <v>28</v>
      </c>
      <c r="AC5561">
        <v>0.57439999999996805</v>
      </c>
      <c r="AD5561">
        <v>-0.178976099999999</v>
      </c>
      <c r="AE5561">
        <v>-0.13220999999999999</v>
      </c>
      <c r="AF5561">
        <v>0.123674444825425</v>
      </c>
      <c r="AG5561">
        <v>-0.178976099999999</v>
      </c>
      <c r="AH5561">
        <v>0.52529869469658497</v>
      </c>
      <c r="AI5561">
        <v>108.347862904599</v>
      </c>
      <c r="AJ5561">
        <v>76.751754647157995</v>
      </c>
      <c r="AK5561">
        <v>0.56856532722636499</v>
      </c>
      <c r="AL5561">
        <v>90.592045508237007</v>
      </c>
      <c r="AM5561">
        <v>85.833874225019002</v>
      </c>
      <c r="AN5561">
        <v>1.0000000429270099</v>
      </c>
    </row>
    <row r="5562" spans="1:40" x14ac:dyDescent="0.25">
      <c r="A5562" t="str">
        <f>"20190312161427173"</f>
        <v>20190312161427173</v>
      </c>
      <c r="B5562" t="str">
        <f>"1552378467162025"</f>
        <v>1552378467162025</v>
      </c>
      <c r="C5562" t="s">
        <v>40</v>
      </c>
      <c r="D5562">
        <v>5.2626670000000004</v>
      </c>
      <c r="E5562">
        <v>0.54549440000000005</v>
      </c>
      <c r="F5562" t="s">
        <v>43</v>
      </c>
      <c r="G5562">
        <v>-352.55119999999999</v>
      </c>
      <c r="H5562">
        <v>0.91000650000000005</v>
      </c>
      <c r="I5562">
        <v>17.426410000000001</v>
      </c>
      <c r="J5562">
        <v>-353.16590000000002</v>
      </c>
      <c r="K5562">
        <v>1.109038</v>
      </c>
      <c r="L5562">
        <v>17.57996</v>
      </c>
      <c r="M5562">
        <v>0.99995219999999996</v>
      </c>
      <c r="N5562">
        <v>0</v>
      </c>
      <c r="O5562">
        <v>4.6418520000000001E-3</v>
      </c>
      <c r="P5562">
        <v>0.99749120000000002</v>
      </c>
      <c r="Q5562">
        <v>-1.9024849999999999E-2</v>
      </c>
      <c r="R5562">
        <v>-6.8189730000000004E-2</v>
      </c>
      <c r="S5562">
        <v>2.956299</v>
      </c>
      <c r="T5562">
        <v>-0.72072049999999999</v>
      </c>
      <c r="U5562">
        <v>-0.55258180000000001</v>
      </c>
      <c r="V5562">
        <v>7.2809579999999999E-2</v>
      </c>
      <c r="W5562">
        <v>-1.048698E-2</v>
      </c>
      <c r="X5562">
        <v>0.99729069999999997</v>
      </c>
      <c r="Y5562">
        <v>0.18298229999999999</v>
      </c>
      <c r="Z5562">
        <v>-2.2908270000000001E-2</v>
      </c>
      <c r="AA5562">
        <v>0.98284930000000004</v>
      </c>
      <c r="AB5562">
        <v>28</v>
      </c>
      <c r="AC5562">
        <v>0.614700000000027</v>
      </c>
      <c r="AD5562">
        <v>-0.199031499999999</v>
      </c>
      <c r="AE5562">
        <v>-0.15354999999999899</v>
      </c>
      <c r="AF5562">
        <v>0.14235425782057001</v>
      </c>
      <c r="AG5562">
        <v>-0.199031499999999</v>
      </c>
      <c r="AH5562">
        <v>0.55883470080706998</v>
      </c>
      <c r="AI5562">
        <v>109.04123161518</v>
      </c>
      <c r="AJ5562">
        <v>75.708753529297994</v>
      </c>
      <c r="AK5562">
        <v>0.61006105886052298</v>
      </c>
      <c r="AL5562">
        <v>90.600870722238497</v>
      </c>
      <c r="AM5562">
        <v>85.824393569291004</v>
      </c>
      <c r="AN5562">
        <v>0.99999997599789303</v>
      </c>
    </row>
    <row r="5563" spans="1:40" x14ac:dyDescent="0.25">
      <c r="A5563" t="str">
        <f>"20190312161427190"</f>
        <v>20190312161427190</v>
      </c>
      <c r="B5563" t="str">
        <f>"1552378467181547"</f>
        <v>1552378467181547</v>
      </c>
      <c r="C5563" t="s">
        <v>40</v>
      </c>
      <c r="D5563">
        <v>5.4637089999999997</v>
      </c>
      <c r="E5563">
        <v>0.54351159999999998</v>
      </c>
      <c r="F5563" t="s">
        <v>43</v>
      </c>
      <c r="G5563">
        <v>-352.30680000000001</v>
      </c>
      <c r="H5563">
        <v>0.89613449999999994</v>
      </c>
      <c r="I5563">
        <v>17.41948</v>
      </c>
      <c r="J5563">
        <v>-352.94580000000002</v>
      </c>
      <c r="K5563">
        <v>1.1090439999999999</v>
      </c>
      <c r="L5563">
        <v>17.5806</v>
      </c>
      <c r="M5563">
        <v>0.99995369999999995</v>
      </c>
      <c r="N5563">
        <v>0</v>
      </c>
      <c r="O5563">
        <v>4.2568190000000002E-3</v>
      </c>
      <c r="P5563">
        <v>0.99747589999999997</v>
      </c>
      <c r="Q5563">
        <v>-1.8678130000000001E-2</v>
      </c>
      <c r="R5563">
        <v>-6.8505819999999995E-2</v>
      </c>
      <c r="S5563">
        <v>2.9558719999999998</v>
      </c>
      <c r="T5563">
        <v>-0.73252280000000003</v>
      </c>
      <c r="U5563">
        <v>-0.55117799999999995</v>
      </c>
      <c r="V5563">
        <v>7.2741920000000002E-2</v>
      </c>
      <c r="W5563">
        <v>-1.0142780000000001E-2</v>
      </c>
      <c r="X5563">
        <v>0.99729920000000005</v>
      </c>
      <c r="Y5563">
        <v>0.1820425</v>
      </c>
      <c r="Z5563">
        <v>-2.3069900000000001E-2</v>
      </c>
      <c r="AA5563">
        <v>0.98302</v>
      </c>
      <c r="AB5563">
        <v>28</v>
      </c>
      <c r="AC5563">
        <v>0.63900000000001</v>
      </c>
      <c r="AD5563">
        <v>-0.2129095</v>
      </c>
      <c r="AE5563">
        <v>-0.16112000000000001</v>
      </c>
      <c r="AF5563">
        <v>0.14835352558472001</v>
      </c>
      <c r="AG5563">
        <v>-0.2129095</v>
      </c>
      <c r="AH5563">
        <v>0.57797859954364705</v>
      </c>
      <c r="AI5563">
        <v>109.636554742115</v>
      </c>
      <c r="AJ5563">
        <v>75.604292608328393</v>
      </c>
      <c r="AK5563">
        <v>0.63356016705132401</v>
      </c>
      <c r="AL5563">
        <v>90.581148463617794</v>
      </c>
      <c r="AM5563">
        <v>85.828295573522794</v>
      </c>
      <c r="AN5563">
        <v>0.99999997861602696</v>
      </c>
    </row>
    <row r="5564" spans="1:40" x14ac:dyDescent="0.25">
      <c r="A5564" t="str">
        <f>"20190312161427203"</f>
        <v>20190312161427203</v>
      </c>
      <c r="B5564" t="str">
        <f>"1552378467192282"</f>
        <v>1552378467192282</v>
      </c>
      <c r="C5564" t="s">
        <v>40</v>
      </c>
      <c r="D5564">
        <v>5.3724970000000001</v>
      </c>
      <c r="E5564">
        <v>0.54441740000000005</v>
      </c>
      <c r="F5564" t="s">
        <v>43</v>
      </c>
      <c r="G5564">
        <v>-352.05810000000002</v>
      </c>
      <c r="H5564">
        <v>0.89222230000000002</v>
      </c>
      <c r="I5564">
        <v>17.419329999999999</v>
      </c>
      <c r="J5564">
        <v>-352.78500000000003</v>
      </c>
      <c r="K5564">
        <v>1.109048</v>
      </c>
      <c r="L5564">
        <v>17.58099</v>
      </c>
      <c r="M5564">
        <v>0.99995489999999998</v>
      </c>
      <c r="N5564">
        <v>0</v>
      </c>
      <c r="O5564">
        <v>3.9753719999999996E-3</v>
      </c>
      <c r="P5564">
        <v>0.99745039999999996</v>
      </c>
      <c r="Q5564">
        <v>-1.8843260000000001E-2</v>
      </c>
      <c r="R5564">
        <v>-6.88309E-2</v>
      </c>
      <c r="S5564">
        <v>2.957214</v>
      </c>
      <c r="T5564">
        <v>-0.72228169999999903</v>
      </c>
      <c r="U5564">
        <v>-0.53671259999999998</v>
      </c>
      <c r="V5564">
        <v>7.2786190000000001E-2</v>
      </c>
      <c r="W5564">
        <v>-1.030934E-2</v>
      </c>
      <c r="X5564">
        <v>0.99729429999999997</v>
      </c>
      <c r="Y5564">
        <v>0.17732290000000001</v>
      </c>
      <c r="Z5564">
        <v>-2.2125260000000001E-2</v>
      </c>
      <c r="AA5564">
        <v>0.983904</v>
      </c>
      <c r="AB5564">
        <v>28</v>
      </c>
      <c r="AC5564">
        <v>0.72689999999999999</v>
      </c>
      <c r="AD5564">
        <v>-0.21682570000000001</v>
      </c>
      <c r="AE5564">
        <v>-0.161660000000001</v>
      </c>
      <c r="AF5564">
        <v>0.15168803724270399</v>
      </c>
      <c r="AG5564">
        <v>-0.21682570000000001</v>
      </c>
      <c r="AH5564">
        <v>0.66949049675271699</v>
      </c>
      <c r="AI5564">
        <v>107.52928598961201</v>
      </c>
      <c r="AJ5564">
        <v>77.233897241154907</v>
      </c>
      <c r="AK5564">
        <v>0.71988899843325405</v>
      </c>
      <c r="AL5564">
        <v>90.590692125576993</v>
      </c>
      <c r="AM5564">
        <v>85.825745250931206</v>
      </c>
      <c r="AN5564">
        <v>1.00000001637922</v>
      </c>
    </row>
    <row r="5565" spans="1:40" x14ac:dyDescent="0.25">
      <c r="A5565" t="str">
        <f>"20190312161427214"</f>
        <v>20190312161427214</v>
      </c>
      <c r="B5565" t="str">
        <f>"1552378467202042"</f>
        <v>1552378467202042</v>
      </c>
      <c r="C5565" t="s">
        <v>40</v>
      </c>
      <c r="D5565">
        <v>5.4951610000000004</v>
      </c>
      <c r="E5565">
        <v>0.54299679999999995</v>
      </c>
      <c r="F5565" t="s">
        <v>43</v>
      </c>
      <c r="G5565">
        <v>-352.0455</v>
      </c>
      <c r="H5565">
        <v>0.92525400000000002</v>
      </c>
      <c r="I5565">
        <v>17.444589999999899</v>
      </c>
      <c r="J5565">
        <v>-352.64460000000003</v>
      </c>
      <c r="K5565">
        <v>1.109049</v>
      </c>
      <c r="L5565">
        <v>17.581299999999999</v>
      </c>
      <c r="M5565">
        <v>0.99995590000000001</v>
      </c>
      <c r="N5565">
        <v>0</v>
      </c>
      <c r="O5565">
        <v>3.7293859999999999E-3</v>
      </c>
      <c r="P5565">
        <v>0.99742690000000001</v>
      </c>
      <c r="Q5565">
        <v>-1.8627560000000001E-2</v>
      </c>
      <c r="R5565">
        <v>-6.9227990000000003E-2</v>
      </c>
      <c r="S5565">
        <v>2.956207</v>
      </c>
      <c r="T5565">
        <v>-0.73466350000000002</v>
      </c>
      <c r="U5565">
        <v>-0.5446472</v>
      </c>
      <c r="V5565">
        <v>7.2938039999999996E-2</v>
      </c>
      <c r="W5565">
        <v>-1.009474E-2</v>
      </c>
      <c r="X5565">
        <v>0.99728539999999999</v>
      </c>
      <c r="Y5565">
        <v>0.1794627</v>
      </c>
      <c r="Z5565">
        <v>-2.2695940000000001E-2</v>
      </c>
      <c r="AA5565">
        <v>0.98350289999999996</v>
      </c>
      <c r="AB5565">
        <v>28</v>
      </c>
      <c r="AC5565">
        <v>0.59910000000002095</v>
      </c>
      <c r="AD5565">
        <v>-0.18379499999999899</v>
      </c>
      <c r="AE5565">
        <v>-0.13671</v>
      </c>
      <c r="AF5565">
        <v>0.12753433051736801</v>
      </c>
      <c r="AG5565">
        <v>-0.18379499999999899</v>
      </c>
      <c r="AH5565">
        <v>0.54943420780292795</v>
      </c>
      <c r="AI5565">
        <v>108.048386382977</v>
      </c>
      <c r="AJ5565">
        <v>76.931958186059404</v>
      </c>
      <c r="AK5565">
        <v>0.59323145246147002</v>
      </c>
      <c r="AL5565">
        <v>90.578395812195396</v>
      </c>
      <c r="AM5565">
        <v>85.817030404434405</v>
      </c>
      <c r="AN5565">
        <v>1.0000000152539299</v>
      </c>
    </row>
    <row r="5566" spans="1:40" x14ac:dyDescent="0.25">
      <c r="A5566" t="str">
        <f>"20190312161427226"</f>
        <v>20190312161427226</v>
      </c>
      <c r="B5566" t="str">
        <f>"1552378467222161"</f>
        <v>1552378467222161</v>
      </c>
      <c r="C5566" t="s">
        <v>40</v>
      </c>
      <c r="D5566">
        <v>5.4665100000000004</v>
      </c>
      <c r="E5566">
        <v>0.54115049999999998</v>
      </c>
      <c r="F5566" t="s">
        <v>43</v>
      </c>
      <c r="G5566">
        <v>-351.80520000000001</v>
      </c>
      <c r="H5566">
        <v>0.89828799999999998</v>
      </c>
      <c r="I5566">
        <v>17.42952</v>
      </c>
      <c r="J5566">
        <v>-352.49849999999998</v>
      </c>
      <c r="K5566">
        <v>1.109057</v>
      </c>
      <c r="L5566">
        <v>17.581600000000002</v>
      </c>
      <c r="M5566">
        <v>0.99995679999999998</v>
      </c>
      <c r="N5566">
        <v>0</v>
      </c>
      <c r="O5566">
        <v>3.4736239999999998E-3</v>
      </c>
      <c r="P5566">
        <v>0.99741670000000004</v>
      </c>
      <c r="Q5566">
        <v>-1.884746E-2</v>
      </c>
      <c r="R5566">
        <v>-6.9315740000000001E-2</v>
      </c>
      <c r="S5566">
        <v>2.9567869999999998</v>
      </c>
      <c r="T5566">
        <v>-0.742446099999999</v>
      </c>
      <c r="U5566">
        <v>-0.53436280000000003</v>
      </c>
      <c r="V5566">
        <v>7.277053E-2</v>
      </c>
      <c r="W5566">
        <v>-1.0315080000000001E-2</v>
      </c>
      <c r="X5566">
        <v>0.99729540000000005</v>
      </c>
      <c r="Y5566">
        <v>0.17586579999999999</v>
      </c>
      <c r="Z5566">
        <v>-2.242779E-2</v>
      </c>
      <c r="AA5566">
        <v>0.98415859999999999</v>
      </c>
      <c r="AB5566">
        <v>28</v>
      </c>
      <c r="AC5566">
        <v>0.69329999999996506</v>
      </c>
      <c r="AD5566">
        <v>-0.21076900000000001</v>
      </c>
      <c r="AE5566">
        <v>-0.15208000000000099</v>
      </c>
      <c r="AF5566">
        <v>0.14196887752982101</v>
      </c>
      <c r="AG5566">
        <v>-0.21076900000000001</v>
      </c>
      <c r="AH5566">
        <v>0.636630598048045</v>
      </c>
      <c r="AI5566">
        <v>107.907328961499</v>
      </c>
      <c r="AJ5566">
        <v>77.428711217444103</v>
      </c>
      <c r="AK5566">
        <v>0.68547593095533899</v>
      </c>
      <c r="AL5566">
        <v>90.591021011077601</v>
      </c>
      <c r="AM5566">
        <v>85.826644758130399</v>
      </c>
      <c r="AN5566">
        <v>1.00000003288652</v>
      </c>
    </row>
    <row r="5567" spans="1:40" x14ac:dyDescent="0.25">
      <c r="A5567" t="str">
        <f>"20190312161427244"</f>
        <v>20190312161427244</v>
      </c>
      <c r="B5567" t="str">
        <f>"1552378467241681"</f>
        <v>1552378467241681</v>
      </c>
      <c r="C5567" t="s">
        <v>40</v>
      </c>
      <c r="D5567">
        <v>5.3811549999999997</v>
      </c>
      <c r="E5567">
        <v>0.54118769999999905</v>
      </c>
      <c r="F5567" t="s">
        <v>43</v>
      </c>
      <c r="G5567">
        <v>-351.78969999999998</v>
      </c>
      <c r="H5567">
        <v>0.93722649999999996</v>
      </c>
      <c r="I5567">
        <v>17.456810000000001</v>
      </c>
      <c r="J5567">
        <v>-352.26979999999998</v>
      </c>
      <c r="K5567">
        <v>1.109062</v>
      </c>
      <c r="L5567">
        <v>17.582000000000001</v>
      </c>
      <c r="M5567">
        <v>0.99995820000000002</v>
      </c>
      <c r="N5567">
        <v>0</v>
      </c>
      <c r="O5567">
        <v>3.0735559999999999E-3</v>
      </c>
      <c r="P5567">
        <v>0.99738530000000003</v>
      </c>
      <c r="Q5567">
        <v>-1.875077E-2</v>
      </c>
      <c r="R5567">
        <v>-6.9796280000000002E-2</v>
      </c>
      <c r="S5567">
        <v>2.958008</v>
      </c>
      <c r="T5567">
        <v>-0.71707030000000005</v>
      </c>
      <c r="U5567">
        <v>-0.52044679999999999</v>
      </c>
      <c r="V5567">
        <v>7.2851929999999995E-2</v>
      </c>
      <c r="W5567">
        <v>-1.0218929999999999E-2</v>
      </c>
      <c r="X5567">
        <v>0.99729040000000002</v>
      </c>
      <c r="Y5567">
        <v>0.17140520000000001</v>
      </c>
      <c r="Z5567">
        <v>-2.105868E-2</v>
      </c>
      <c r="AA5567">
        <v>0.9849755</v>
      </c>
      <c r="AB5567">
        <v>28</v>
      </c>
      <c r="AC5567">
        <v>0.48009999999999298</v>
      </c>
      <c r="AD5567">
        <v>-0.1718355</v>
      </c>
      <c r="AE5567">
        <v>-0.125189999999999</v>
      </c>
      <c r="AF5567">
        <v>0.11309906443623199</v>
      </c>
      <c r="AG5567">
        <v>-0.1718355</v>
      </c>
      <c r="AH5567">
        <v>0.42833498923457602</v>
      </c>
      <c r="AI5567">
        <v>111.20014823969601</v>
      </c>
      <c r="AJ5567">
        <v>75.208993096433304</v>
      </c>
      <c r="AK5567">
        <v>0.47517333725618999</v>
      </c>
      <c r="AL5567">
        <v>90.585511759083005</v>
      </c>
      <c r="AM5567">
        <v>85.821972155904206</v>
      </c>
      <c r="AN5567">
        <v>0.99999998608361496</v>
      </c>
    </row>
    <row r="5568" spans="1:40" x14ac:dyDescent="0.25">
      <c r="A5568" t="str">
        <f>"20190312161427256"</f>
        <v>20190312161427256</v>
      </c>
      <c r="B5568" t="str">
        <f>"1552378467252417"</f>
        <v>1552378467252417</v>
      </c>
      <c r="C5568" t="s">
        <v>40</v>
      </c>
      <c r="D5568">
        <v>6.1250879999999999</v>
      </c>
      <c r="E5568">
        <v>0.54091429999999996</v>
      </c>
      <c r="F5568" t="s">
        <v>43</v>
      </c>
      <c r="G5568">
        <v>-351.541</v>
      </c>
      <c r="H5568">
        <v>0.93105450000000001</v>
      </c>
      <c r="I5568">
        <v>17.45307</v>
      </c>
      <c r="J5568">
        <v>-352.12119999999999</v>
      </c>
      <c r="K5568">
        <v>1.109064</v>
      </c>
      <c r="L5568">
        <v>17.582179999999902</v>
      </c>
      <c r="M5568">
        <v>0.99995900000000004</v>
      </c>
      <c r="N5568">
        <v>0</v>
      </c>
      <c r="O5568">
        <v>2.8134369999999998E-3</v>
      </c>
      <c r="P5568">
        <v>0.99737520000000002</v>
      </c>
      <c r="Q5568">
        <v>-1.8611289999999999E-2</v>
      </c>
      <c r="R5568">
        <v>-6.9975419999999997E-2</v>
      </c>
      <c r="S5568">
        <v>2.9577330000000002</v>
      </c>
      <c r="T5568">
        <v>-0.72232390000000002</v>
      </c>
      <c r="U5568">
        <v>-0.52212519999999996</v>
      </c>
      <c r="V5568">
        <v>7.2771870000000002E-2</v>
      </c>
      <c r="W5568">
        <v>-1.007922E-2</v>
      </c>
      <c r="X5568">
        <v>0.99729769999999895</v>
      </c>
      <c r="Y5568">
        <v>0.17163629999999999</v>
      </c>
      <c r="Z5568">
        <v>-2.1175019999999999E-2</v>
      </c>
      <c r="AA5568">
        <v>0.98493280000000005</v>
      </c>
      <c r="AB5568">
        <v>28</v>
      </c>
      <c r="AC5568">
        <v>0.58019999999998995</v>
      </c>
      <c r="AD5568">
        <v>-0.17800949999999999</v>
      </c>
      <c r="AE5568">
        <v>-0.129109999999997</v>
      </c>
      <c r="AF5568">
        <v>0.119980894976918</v>
      </c>
      <c r="AG5568">
        <v>-0.17800949999999999</v>
      </c>
      <c r="AH5568">
        <v>0.53210985110366404</v>
      </c>
      <c r="AI5568">
        <v>108.073688089127</v>
      </c>
      <c r="AJ5568">
        <v>77.293363961530503</v>
      </c>
      <c r="AK5568">
        <v>0.57378017645373203</v>
      </c>
      <c r="AL5568">
        <v>90.577506534258205</v>
      </c>
      <c r="AM5568">
        <v>85.826577772194099</v>
      </c>
      <c r="AN5568">
        <v>1.0000000190821901</v>
      </c>
    </row>
    <row r="5569" spans="1:40" x14ac:dyDescent="0.25">
      <c r="A5569" t="str">
        <f>"20190312161427267"</f>
        <v>20190312161427267</v>
      </c>
      <c r="B5569" t="str">
        <f>"1552378467262176"</f>
        <v>1552378467262176</v>
      </c>
      <c r="C5569" t="s">
        <v>40</v>
      </c>
      <c r="D5569">
        <v>5.3995030000000002</v>
      </c>
      <c r="E5569">
        <v>0.54059060000000003</v>
      </c>
      <c r="F5569" t="s">
        <v>43</v>
      </c>
      <c r="G5569">
        <v>-351.2971</v>
      </c>
      <c r="H5569">
        <v>0.91070469999999903</v>
      </c>
      <c r="I5569">
        <v>17.437110000000001</v>
      </c>
      <c r="J5569">
        <v>-351.9828</v>
      </c>
      <c r="K5569">
        <v>1.109065</v>
      </c>
      <c r="L5569">
        <v>17.582339999999999</v>
      </c>
      <c r="M5569">
        <v>0.9999595</v>
      </c>
      <c r="N5569">
        <v>0</v>
      </c>
      <c r="O5569">
        <v>2.5716749999999998E-3</v>
      </c>
      <c r="P5569">
        <v>0.99736409999999998</v>
      </c>
      <c r="Q5569">
        <v>-1.8590760000000001E-2</v>
      </c>
      <c r="R5569">
        <v>-7.013875E-2</v>
      </c>
      <c r="S5569">
        <v>2.9580690000000001</v>
      </c>
      <c r="T5569">
        <v>-0.71201040000000004</v>
      </c>
      <c r="U5569">
        <v>-0.52078250000000004</v>
      </c>
      <c r="V5569">
        <v>7.2694010000000003E-2</v>
      </c>
      <c r="W5569">
        <v>-1.0058310000000001E-2</v>
      </c>
      <c r="X5569">
        <v>0.99730350000000001</v>
      </c>
      <c r="Y5569">
        <v>0.1711068</v>
      </c>
      <c r="Z5569">
        <v>-2.076012E-2</v>
      </c>
      <c r="AA5569">
        <v>0.98503379999999996</v>
      </c>
      <c r="AB5569">
        <v>28</v>
      </c>
      <c r="AC5569">
        <v>0.68569999999999698</v>
      </c>
      <c r="AD5569">
        <v>-0.19836029999999999</v>
      </c>
      <c r="AE5569">
        <v>-0.145229999999997</v>
      </c>
      <c r="AF5569">
        <v>0.136093145869813</v>
      </c>
      <c r="AG5569">
        <v>-0.19836029999999999</v>
      </c>
      <c r="AH5569">
        <v>0.634506009400162</v>
      </c>
      <c r="AI5569">
        <v>106.996798511446</v>
      </c>
      <c r="AJ5569">
        <v>77.894229355280103</v>
      </c>
      <c r="AK5569">
        <v>0.67857647242868002</v>
      </c>
      <c r="AL5569">
        <v>90.576308470194903</v>
      </c>
      <c r="AM5569">
        <v>85.831051403485304</v>
      </c>
      <c r="AN5569">
        <v>0.99999992990108999</v>
      </c>
    </row>
    <row r="5570" spans="1:40" x14ac:dyDescent="0.25">
      <c r="A5570" t="str">
        <f>"20190312161427278"</f>
        <v>20190312161427278</v>
      </c>
      <c r="B5570" t="str">
        <f>"1552378467271941"</f>
        <v>1552378467271941</v>
      </c>
      <c r="C5570" t="s">
        <v>40</v>
      </c>
      <c r="D5570">
        <v>5.5096530000000001</v>
      </c>
      <c r="E5570">
        <v>0.54121799999999998</v>
      </c>
      <c r="F5570" t="s">
        <v>43</v>
      </c>
      <c r="G5570">
        <v>-351.28379999999999</v>
      </c>
      <c r="H5570">
        <v>0.9431254</v>
      </c>
      <c r="I5570">
        <v>17.459700000000002</v>
      </c>
      <c r="J5570">
        <v>-351.8381</v>
      </c>
      <c r="K5570">
        <v>1.1090660000000001</v>
      </c>
      <c r="L5570">
        <v>17.582429999999999</v>
      </c>
      <c r="M5570">
        <v>0.99996010000000002</v>
      </c>
      <c r="N5570">
        <v>0</v>
      </c>
      <c r="O5570">
        <v>2.318587E-3</v>
      </c>
      <c r="P5570">
        <v>0.99733660000000002</v>
      </c>
      <c r="Q5570">
        <v>-1.8520539999999999E-2</v>
      </c>
      <c r="R5570">
        <v>-7.0547840000000001E-2</v>
      </c>
      <c r="S5570">
        <v>2.9583740000000001</v>
      </c>
      <c r="T5570">
        <v>-0.70225170000000003</v>
      </c>
      <c r="U5570">
        <v>-0.51901249999999999</v>
      </c>
      <c r="V5570">
        <v>7.2850789999999999E-2</v>
      </c>
      <c r="W5570">
        <v>-9.9878120000000004E-3</v>
      </c>
      <c r="X5570">
        <v>0.99729279999999998</v>
      </c>
      <c r="Y5570">
        <v>0.17042349999999901</v>
      </c>
      <c r="Z5570">
        <v>-2.034391E-2</v>
      </c>
      <c r="AA5570">
        <v>0.98516090000000001</v>
      </c>
      <c r="AB5570">
        <v>28</v>
      </c>
      <c r="AC5570">
        <v>0.55430000000001201</v>
      </c>
      <c r="AD5570">
        <v>-0.16594059999999899</v>
      </c>
      <c r="AE5570">
        <v>-0.12272999999999699</v>
      </c>
      <c r="AF5570">
        <v>0.114253770849591</v>
      </c>
      <c r="AG5570">
        <v>-0.16594059999999899</v>
      </c>
      <c r="AH5570">
        <v>0.51040783165751402</v>
      </c>
      <c r="AI5570">
        <v>107.602266239331</v>
      </c>
      <c r="AJ5570">
        <v>77.382456401184101</v>
      </c>
      <c r="AK5570">
        <v>0.54873159331228305</v>
      </c>
      <c r="AL5570">
        <v>90.572269011075093</v>
      </c>
      <c r="AM5570">
        <v>85.822047321646593</v>
      </c>
      <c r="AN5570">
        <v>0.99999996146200398</v>
      </c>
    </row>
    <row r="5571" spans="1:40" x14ac:dyDescent="0.25">
      <c r="A5571" t="str">
        <f>"20190312161427289"</f>
        <v>20190312161427289</v>
      </c>
      <c r="B5571" t="str">
        <f>"1552378467281697"</f>
        <v>1552378467281697</v>
      </c>
      <c r="C5571" t="s">
        <v>40</v>
      </c>
      <c r="D5571">
        <v>5.5238379999999996</v>
      </c>
      <c r="E5571">
        <v>0.54173879999999996</v>
      </c>
      <c r="F5571" t="s">
        <v>43</v>
      </c>
      <c r="G5571">
        <v>-351.04140000000001</v>
      </c>
      <c r="H5571">
        <v>0.91908250000000002</v>
      </c>
      <c r="I5571">
        <v>17.440570000000001</v>
      </c>
      <c r="J5571">
        <v>-351.69199999999898</v>
      </c>
      <c r="K5571">
        <v>1.109065</v>
      </c>
      <c r="L5571">
        <v>17.582550000000001</v>
      </c>
      <c r="M5571">
        <v>0.99996079999999998</v>
      </c>
      <c r="N5571">
        <v>0</v>
      </c>
      <c r="O5571">
        <v>2.063114E-3</v>
      </c>
      <c r="P5571">
        <v>0.99730790000000002</v>
      </c>
      <c r="Q5571">
        <v>-1.8728649999999999E-2</v>
      </c>
      <c r="R5571">
        <v>-7.089674E-2</v>
      </c>
      <c r="S5571">
        <v>2.9577330000000002</v>
      </c>
      <c r="T5571">
        <v>-0.70514239999999995</v>
      </c>
      <c r="U5571">
        <v>-0.52508540000000004</v>
      </c>
      <c r="V5571">
        <v>7.294465E-2</v>
      </c>
      <c r="W5571">
        <v>-1.019551E-2</v>
      </c>
      <c r="X5571">
        <v>0.9972839</v>
      </c>
      <c r="Y5571">
        <v>0.17209340000000001</v>
      </c>
      <c r="Z5571">
        <v>-2.056142E-2</v>
      </c>
      <c r="AA5571">
        <v>0.98486600000000002</v>
      </c>
      <c r="AB5571">
        <v>28</v>
      </c>
      <c r="AC5571">
        <v>0.65059999999994</v>
      </c>
      <c r="AD5571">
        <v>-0.189982499999999</v>
      </c>
      <c r="AE5571">
        <v>-0.14198</v>
      </c>
      <c r="AF5571">
        <v>0.132534468428189</v>
      </c>
      <c r="AG5571">
        <v>-0.189982499999999</v>
      </c>
      <c r="AH5571">
        <v>0.60135856559800405</v>
      </c>
      <c r="AI5571">
        <v>107.14594916255</v>
      </c>
      <c r="AJ5571">
        <v>77.571173665474305</v>
      </c>
      <c r="AK5571">
        <v>0.64443064797220895</v>
      </c>
      <c r="AL5571">
        <v>90.584169799970198</v>
      </c>
      <c r="AM5571">
        <v>85.816646399347107</v>
      </c>
      <c r="AN5571">
        <v>1.0000000237934901</v>
      </c>
    </row>
    <row r="5572" spans="1:40" x14ac:dyDescent="0.25">
      <c r="A5572" t="str">
        <f>"20190312161427301"</f>
        <v>20190312161427301</v>
      </c>
      <c r="B5572" t="str">
        <f>"1552378467292433"</f>
        <v>1552378467292433</v>
      </c>
      <c r="C5572" t="s">
        <v>40</v>
      </c>
      <c r="D5572">
        <v>5.4044470000000002</v>
      </c>
      <c r="E5572">
        <v>0.54183169999999903</v>
      </c>
      <c r="F5572" t="s">
        <v>43</v>
      </c>
      <c r="G5572">
        <v>-350.79820000000001</v>
      </c>
      <c r="H5572">
        <v>0.89382090000000003</v>
      </c>
      <c r="I5572">
        <v>17.422179999999901</v>
      </c>
      <c r="J5572">
        <v>-351.54700000000003</v>
      </c>
      <c r="K5572">
        <v>1.109065</v>
      </c>
      <c r="L5572">
        <v>17.58258</v>
      </c>
      <c r="M5572">
        <v>0.99996130000000005</v>
      </c>
      <c r="N5572">
        <v>0</v>
      </c>
      <c r="O5572">
        <v>1.809665E-3</v>
      </c>
      <c r="P5572">
        <v>0.99728600000000001</v>
      </c>
      <c r="Q5572">
        <v>-1.8993039999999999E-2</v>
      </c>
      <c r="R5572">
        <v>-7.1136809999999995E-2</v>
      </c>
      <c r="S5572">
        <v>2.9570620000000001</v>
      </c>
      <c r="T5572">
        <v>-0.71204009999999995</v>
      </c>
      <c r="U5572">
        <v>-0.52999879999999999</v>
      </c>
      <c r="V5572">
        <v>7.2931570000000001E-2</v>
      </c>
      <c r="W5572">
        <v>-1.0459070000000001E-2</v>
      </c>
      <c r="X5572">
        <v>0.99728209999999995</v>
      </c>
      <c r="Y5572">
        <v>0.17334829999999901</v>
      </c>
      <c r="Z5572">
        <v>-2.084685E-2</v>
      </c>
      <c r="AA5572">
        <v>0.98463990000000001</v>
      </c>
      <c r="AB5572">
        <v>28</v>
      </c>
      <c r="AC5572">
        <v>0.74879999999996005</v>
      </c>
      <c r="AD5572">
        <v>-0.21524409999999899</v>
      </c>
      <c r="AE5572">
        <v>-0.16040000000000201</v>
      </c>
      <c r="AF5572">
        <v>0.14991133635057899</v>
      </c>
      <c r="AG5572">
        <v>-0.21524409999999899</v>
      </c>
      <c r="AH5572">
        <v>0.693703454427267</v>
      </c>
      <c r="AI5572">
        <v>106.87158979953399</v>
      </c>
      <c r="AJ5572">
        <v>77.805733351922896</v>
      </c>
      <c r="AK5572">
        <v>0.74163866810971402</v>
      </c>
      <c r="AL5572">
        <v>90.599271496991904</v>
      </c>
      <c r="AM5572">
        <v>85.817386348578097</v>
      </c>
      <c r="AN5572">
        <v>0.99999999651416904</v>
      </c>
    </row>
    <row r="5573" spans="1:40" x14ac:dyDescent="0.25">
      <c r="A5573" t="str">
        <f>"20190312161427311"</f>
        <v>20190312161427311</v>
      </c>
      <c r="B5573" t="str">
        <f>"1552378467302194"</f>
        <v>1552378467302194</v>
      </c>
      <c r="C5573" t="s">
        <v>40</v>
      </c>
      <c r="D5573">
        <v>5.4767020000000004</v>
      </c>
      <c r="E5573">
        <v>0.54222569999999903</v>
      </c>
      <c r="F5573" t="s">
        <v>43</v>
      </c>
      <c r="G5573">
        <v>-350.786</v>
      </c>
      <c r="H5573">
        <v>0.92550399999999999</v>
      </c>
      <c r="I5573">
        <v>17.445640000000001</v>
      </c>
      <c r="J5573">
        <v>-351.41070000000002</v>
      </c>
      <c r="K5573">
        <v>1.1090660000000001</v>
      </c>
      <c r="L5573">
        <v>17.582609999999999</v>
      </c>
      <c r="M5573">
        <v>0.99996160000000001</v>
      </c>
      <c r="N5573">
        <v>0</v>
      </c>
      <c r="O5573">
        <v>1.5715950000000001E-3</v>
      </c>
      <c r="P5573">
        <v>0.99724999999999997</v>
      </c>
      <c r="Q5573">
        <v>-1.927398E-2</v>
      </c>
      <c r="R5573">
        <v>-7.1561369999999999E-2</v>
      </c>
      <c r="S5573">
        <v>2.9566650000000001</v>
      </c>
      <c r="T5573">
        <v>-0.71321639999999997</v>
      </c>
      <c r="U5573">
        <v>-0.53143309999999999</v>
      </c>
      <c r="V5573">
        <v>7.3118450000000001E-2</v>
      </c>
      <c r="W5573">
        <v>-1.0739449999999999E-2</v>
      </c>
      <c r="X5573">
        <v>0.99726550000000003</v>
      </c>
      <c r="Y5573">
        <v>0.1735833</v>
      </c>
      <c r="Z5573">
        <v>-2.0853719999999999E-2</v>
      </c>
      <c r="AA5573">
        <v>0.98459839999999998</v>
      </c>
      <c r="AB5573">
        <v>28</v>
      </c>
      <c r="AC5573">
        <v>0.62470000000001802</v>
      </c>
      <c r="AD5573">
        <v>-0.183561999999999</v>
      </c>
      <c r="AE5573">
        <v>-0.13696999999999801</v>
      </c>
      <c r="AF5573">
        <v>0.12745193646736</v>
      </c>
      <c r="AG5573">
        <v>-0.183561999999999</v>
      </c>
      <c r="AH5573">
        <v>0.57695354915631503</v>
      </c>
      <c r="AI5573">
        <v>107.258320337463</v>
      </c>
      <c r="AJ5573">
        <v>77.5431308029831</v>
      </c>
      <c r="AK5573">
        <v>0.61871997045298899</v>
      </c>
      <c r="AL5573">
        <v>90.615336950842703</v>
      </c>
      <c r="AM5573">
        <v>85.806637441859905</v>
      </c>
      <c r="AN5573">
        <v>1.00000006050347</v>
      </c>
    </row>
    <row r="5574" spans="1:40" x14ac:dyDescent="0.25">
      <c r="A5574" t="str">
        <f>"20190312161427322"</f>
        <v>20190312161427322</v>
      </c>
      <c r="B5574" t="str">
        <f>"1552378467311955"</f>
        <v>1552378467311955</v>
      </c>
      <c r="C5574" t="s">
        <v>40</v>
      </c>
      <c r="D5574">
        <v>5.5025700000000004</v>
      </c>
      <c r="E5574">
        <v>0.5426377</v>
      </c>
      <c r="F5574" t="s">
        <v>43</v>
      </c>
      <c r="G5574">
        <v>-350.54300000000001</v>
      </c>
      <c r="H5574">
        <v>0.89837559999999905</v>
      </c>
      <c r="I5574">
        <v>17.424969999999998</v>
      </c>
      <c r="J5574">
        <v>-351.27</v>
      </c>
      <c r="K5574">
        <v>1.109059</v>
      </c>
      <c r="L5574">
        <v>17.58258</v>
      </c>
      <c r="M5574">
        <v>0.99996200000000002</v>
      </c>
      <c r="N5574">
        <v>0</v>
      </c>
      <c r="O5574">
        <v>1.325835E-3</v>
      </c>
      <c r="P5574">
        <v>0.997228</v>
      </c>
      <c r="Q5574">
        <v>-1.945674E-2</v>
      </c>
      <c r="R5574">
        <v>-7.1819549999999996E-2</v>
      </c>
      <c r="S5574">
        <v>2.9559630000000001</v>
      </c>
      <c r="T5574">
        <v>-0.71772060000000004</v>
      </c>
      <c r="U5574">
        <v>-0.53576659999999998</v>
      </c>
      <c r="V5574">
        <v>7.3131310000000005E-2</v>
      </c>
      <c r="W5574">
        <v>-1.0921159999999999E-2</v>
      </c>
      <c r="X5574">
        <v>0.99726250000000005</v>
      </c>
      <c r="Y5574">
        <v>0.17469409999999999</v>
      </c>
      <c r="Z5574">
        <v>-2.1057490000000002E-2</v>
      </c>
      <c r="AA5574">
        <v>0.98439759999999998</v>
      </c>
      <c r="AB5574">
        <v>28</v>
      </c>
      <c r="AC5574">
        <v>0.726999999999975</v>
      </c>
      <c r="AD5574">
        <v>-0.21068339999999999</v>
      </c>
      <c r="AE5574">
        <v>-0.157609999999998</v>
      </c>
      <c r="AF5574">
        <v>0.14679861304851899</v>
      </c>
      <c r="AG5574">
        <v>-0.21068339999999999</v>
      </c>
      <c r="AH5574">
        <v>0.67282132939625705</v>
      </c>
      <c r="AI5574">
        <v>107.010808894005</v>
      </c>
      <c r="AJ5574">
        <v>77.691884028628493</v>
      </c>
      <c r="AK5574">
        <v>0.72015683647319195</v>
      </c>
      <c r="AL5574">
        <v>90.625748829179599</v>
      </c>
      <c r="AM5574">
        <v>85.805889977191697</v>
      </c>
      <c r="AN5574">
        <v>0.99999997707215504</v>
      </c>
    </row>
    <row r="5575" spans="1:40" x14ac:dyDescent="0.25">
      <c r="A5575" t="str">
        <f>"20190312161427334"</f>
        <v>20190312161427334</v>
      </c>
      <c r="B5575" t="str">
        <f>"1552378467322448"</f>
        <v>1552378467322448</v>
      </c>
      <c r="C5575" t="s">
        <v>40</v>
      </c>
      <c r="D5575">
        <v>5.570856</v>
      </c>
      <c r="E5575">
        <v>0.54223330000000003</v>
      </c>
      <c r="F5575" t="s">
        <v>43</v>
      </c>
      <c r="G5575">
        <v>-350.53129999999999</v>
      </c>
      <c r="H5575">
        <v>0.92868209999999995</v>
      </c>
      <c r="I5575">
        <v>17.447279999999999</v>
      </c>
      <c r="J5575">
        <v>-351.13760000000002</v>
      </c>
      <c r="K5575">
        <v>1.1090580000000001</v>
      </c>
      <c r="L5575">
        <v>17.582550000000001</v>
      </c>
      <c r="M5575">
        <v>0.99996220000000002</v>
      </c>
      <c r="N5575">
        <v>0</v>
      </c>
      <c r="O5575">
        <v>1.0946770000000001E-3</v>
      </c>
      <c r="P5575">
        <v>0.99722160000000004</v>
      </c>
      <c r="Q5575">
        <v>-1.951785E-2</v>
      </c>
      <c r="R5575">
        <v>-7.1892049999999999E-2</v>
      </c>
      <c r="S5575">
        <v>2.9553829999999999</v>
      </c>
      <c r="T5575">
        <v>-0.72165780000000002</v>
      </c>
      <c r="U5575">
        <v>-0.539856</v>
      </c>
      <c r="V5575">
        <v>7.2973060000000006E-2</v>
      </c>
      <c r="W5575">
        <v>-1.098083E-2</v>
      </c>
      <c r="X5575">
        <v>0.99727339999999998</v>
      </c>
      <c r="Y5575">
        <v>0.1757416</v>
      </c>
      <c r="Z5575">
        <v>-2.124113E-2</v>
      </c>
      <c r="AA5575">
        <v>0.98420719999999995</v>
      </c>
      <c r="AB5575">
        <v>28</v>
      </c>
      <c r="AC5575">
        <v>0.60630000000003204</v>
      </c>
      <c r="AD5575">
        <v>-0.18037590000000001</v>
      </c>
      <c r="AE5575">
        <v>-0.135270000000002</v>
      </c>
      <c r="AF5575">
        <v>0.12536406150005799</v>
      </c>
      <c r="AG5575">
        <v>-0.18037590000000001</v>
      </c>
      <c r="AH5575">
        <v>0.55901995415318395</v>
      </c>
      <c r="AI5575">
        <v>107.47633073054701</v>
      </c>
      <c r="AJ5575">
        <v>77.360149867574904</v>
      </c>
      <c r="AK5575">
        <v>0.60062877250264102</v>
      </c>
      <c r="AL5575">
        <v>90.629167896621993</v>
      </c>
      <c r="AM5575">
        <v>85.814978976278397</v>
      </c>
      <c r="AN5575">
        <v>0.99999994023040395</v>
      </c>
    </row>
    <row r="5576" spans="1:40" x14ac:dyDescent="0.25">
      <c r="A5576" t="str">
        <f>"20190312161427345"</f>
        <v>20190312161427345</v>
      </c>
      <c r="B5576" t="str">
        <f>"1552378467341969"</f>
        <v>1552378467341969</v>
      </c>
      <c r="C5576" t="s">
        <v>40</v>
      </c>
      <c r="D5576">
        <v>5.5122849999999897</v>
      </c>
      <c r="E5576">
        <v>0.54151099999999996</v>
      </c>
      <c r="F5576" t="s">
        <v>43</v>
      </c>
      <c r="G5576">
        <v>-350.28699999999998</v>
      </c>
      <c r="H5576">
        <v>0.90375300000000003</v>
      </c>
      <c r="I5576">
        <v>17.427969999999998</v>
      </c>
      <c r="J5576">
        <v>-350.98500000000001</v>
      </c>
      <c r="K5576">
        <v>1.1090549999999999</v>
      </c>
      <c r="L5576">
        <v>17.582429999999999</v>
      </c>
      <c r="M5576">
        <v>0.99996229999999997</v>
      </c>
      <c r="N5576">
        <v>0</v>
      </c>
      <c r="O5576">
        <v>8.2841049999999997E-4</v>
      </c>
      <c r="P5576">
        <v>0.99720759999999997</v>
      </c>
      <c r="Q5576">
        <v>-1.9528460000000001E-2</v>
      </c>
      <c r="R5576">
        <v>-7.2080290000000005E-2</v>
      </c>
      <c r="S5576">
        <v>2.9556580000000001</v>
      </c>
      <c r="T5576">
        <v>-0.71345599999999998</v>
      </c>
      <c r="U5576">
        <v>-0.53717040000000005</v>
      </c>
      <c r="V5576">
        <v>7.2895940000000006E-2</v>
      </c>
      <c r="W5576">
        <v>-1.0989759999999999E-2</v>
      </c>
      <c r="X5576">
        <v>0.99727900000000003</v>
      </c>
      <c r="Y5576">
        <v>0.17474509999999999</v>
      </c>
      <c r="Z5576">
        <v>-2.082558E-2</v>
      </c>
      <c r="AA5576">
        <v>0.98439339999999997</v>
      </c>
      <c r="AB5576">
        <v>28</v>
      </c>
      <c r="AC5576">
        <v>0.69800000000003504</v>
      </c>
      <c r="AD5576">
        <v>-0.20530199999999901</v>
      </c>
      <c r="AE5576">
        <v>-0.15445999999999599</v>
      </c>
      <c r="AF5576">
        <v>0.14322590035166299</v>
      </c>
      <c r="AG5576">
        <v>-0.20530199999999901</v>
      </c>
      <c r="AH5576">
        <v>0.64470122436690103</v>
      </c>
      <c r="AI5576">
        <v>107.268706468117</v>
      </c>
      <c r="AJ5576">
        <v>77.474667864273698</v>
      </c>
      <c r="AK5576">
        <v>0.69159398380532899</v>
      </c>
      <c r="AL5576">
        <v>90.629679542229695</v>
      </c>
      <c r="AM5576">
        <v>85.819409527713702</v>
      </c>
      <c r="AN5576">
        <v>0.99999999836717002</v>
      </c>
    </row>
    <row r="5577" spans="1:40" x14ac:dyDescent="0.25">
      <c r="A5577" t="str">
        <f>"20190312161427369"</f>
        <v>20190312161427369</v>
      </c>
      <c r="B5577" t="str">
        <f>"1552378467362465"</f>
        <v>1552378467362465</v>
      </c>
      <c r="C5577" t="s">
        <v>40</v>
      </c>
      <c r="D5577">
        <v>5.5600129999999996</v>
      </c>
      <c r="E5577">
        <v>0.54137639999999998</v>
      </c>
      <c r="F5577" t="s">
        <v>43</v>
      </c>
      <c r="G5577">
        <v>-350.27229999999997</v>
      </c>
      <c r="H5577">
        <v>0.94037079999999995</v>
      </c>
      <c r="I5577">
        <v>17.454059999999998</v>
      </c>
      <c r="J5577">
        <v>-350.69209999999998</v>
      </c>
      <c r="K5577">
        <v>1.1090530000000001</v>
      </c>
      <c r="L5577">
        <v>17.58212</v>
      </c>
      <c r="M5577">
        <v>0.99996280000000004</v>
      </c>
      <c r="N5577">
        <v>0</v>
      </c>
      <c r="O5577">
        <v>3.1685619999999998E-4</v>
      </c>
      <c r="P5577">
        <v>0.99720430000000004</v>
      </c>
      <c r="Q5577">
        <v>-1.955962E-2</v>
      </c>
      <c r="R5577">
        <v>-7.2122389999999995E-2</v>
      </c>
      <c r="S5577">
        <v>2.9561769999999998</v>
      </c>
      <c r="T5577">
        <v>-0.699658</v>
      </c>
      <c r="U5577">
        <v>-0.53240969999999999</v>
      </c>
      <c r="V5577">
        <v>7.2427779999999997E-2</v>
      </c>
      <c r="W5577">
        <v>-1.101656E-2</v>
      </c>
      <c r="X5577">
        <v>0.9973128</v>
      </c>
      <c r="Y5577">
        <v>0.1729232</v>
      </c>
      <c r="Z5577">
        <v>-2.0103309999999999E-2</v>
      </c>
      <c r="AA5577">
        <v>0.98473010000000005</v>
      </c>
      <c r="AB5577">
        <v>28</v>
      </c>
      <c r="AC5577">
        <v>0.419800000000009</v>
      </c>
      <c r="AD5577">
        <v>-0.1686822</v>
      </c>
      <c r="AE5577">
        <v>-0.12805999999999701</v>
      </c>
      <c r="AF5577">
        <v>0.11169455418068799</v>
      </c>
      <c r="AG5577">
        <v>-0.1686822</v>
      </c>
      <c r="AH5577">
        <v>0.36573630185684097</v>
      </c>
      <c r="AI5577">
        <v>113.802325329464</v>
      </c>
      <c r="AJ5577">
        <v>73.017516730691099</v>
      </c>
      <c r="AK5577">
        <v>0.41796219987743</v>
      </c>
      <c r="AL5577">
        <v>90.631215170852499</v>
      </c>
      <c r="AM5577">
        <v>85.846304560563198</v>
      </c>
      <c r="AN5577">
        <v>0.99999998447689997</v>
      </c>
    </row>
    <row r="5578" spans="1:40" x14ac:dyDescent="0.25">
      <c r="A5578" t="str">
        <f>"20190312161427381"</f>
        <v>20190312161427381</v>
      </c>
      <c r="B5578" t="str">
        <f>"1552378467372225"</f>
        <v>1552378467372225</v>
      </c>
      <c r="C5578" t="s">
        <v>40</v>
      </c>
      <c r="D5578">
        <v>5.5235300000000001</v>
      </c>
      <c r="E5578">
        <v>0.54130219999999996</v>
      </c>
      <c r="F5578" t="s">
        <v>43</v>
      </c>
      <c r="G5578">
        <v>-349.78129999999999</v>
      </c>
      <c r="H5578">
        <v>0.89442860000000002</v>
      </c>
      <c r="I5578">
        <v>17.418150000000001</v>
      </c>
      <c r="J5578">
        <v>-350.52879999999999</v>
      </c>
      <c r="K5578">
        <v>1.1090549999999999</v>
      </c>
      <c r="L5578">
        <v>17.581910000000001</v>
      </c>
      <c r="M5578">
        <v>0.99996260000000003</v>
      </c>
      <c r="N5578">
        <v>0</v>
      </c>
      <c r="O5578" s="1">
        <v>3.2233900000000003E-5</v>
      </c>
      <c r="P5578">
        <v>0.99718589999999996</v>
      </c>
      <c r="Q5578">
        <v>-1.9654850000000001E-2</v>
      </c>
      <c r="R5578">
        <v>-7.2348540000000003E-2</v>
      </c>
      <c r="S5578">
        <v>2.956299</v>
      </c>
      <c r="T5578">
        <v>-0.69656300000000004</v>
      </c>
      <c r="U5578">
        <v>-0.53170779999999995</v>
      </c>
      <c r="V5578">
        <v>7.237006E-2</v>
      </c>
      <c r="W5578">
        <v>-1.10982999999999E-2</v>
      </c>
      <c r="X5578">
        <v>0.99731610000000004</v>
      </c>
      <c r="Y5578">
        <v>0.1724697</v>
      </c>
      <c r="Z5578">
        <v>-1.989836E-2</v>
      </c>
      <c r="AA5578">
        <v>0.98481379999999996</v>
      </c>
      <c r="AB5578">
        <v>28</v>
      </c>
      <c r="AC5578">
        <v>0.74750000000000205</v>
      </c>
      <c r="AD5578">
        <v>-0.214626399999999</v>
      </c>
      <c r="AE5578">
        <v>-0.16375999999999899</v>
      </c>
      <c r="AF5578">
        <v>0.151839548068844</v>
      </c>
      <c r="AG5578">
        <v>-0.214626399999999</v>
      </c>
      <c r="AH5578">
        <v>0.69298096456731995</v>
      </c>
      <c r="AI5578">
        <v>106.832534869374</v>
      </c>
      <c r="AJ5578">
        <v>77.641191084929005</v>
      </c>
      <c r="AK5578">
        <v>0.74117633339669198</v>
      </c>
      <c r="AL5578">
        <v>90.635898804037197</v>
      </c>
      <c r="AM5578">
        <v>85.849616885488501</v>
      </c>
      <c r="AN5578">
        <v>1.0000000005832499</v>
      </c>
    </row>
    <row r="5579" spans="1:40" x14ac:dyDescent="0.25">
      <c r="A5579" t="str">
        <f>"20190312161427392"</f>
        <v>20190312161427392</v>
      </c>
      <c r="B5579" t="str">
        <f>"1552378467381985"</f>
        <v>1552378467381985</v>
      </c>
      <c r="C5579" t="s">
        <v>40</v>
      </c>
      <c r="D5579">
        <v>5.4990930000000002</v>
      </c>
      <c r="E5579">
        <v>0.54127250000000005</v>
      </c>
      <c r="F5579" t="s">
        <v>43</v>
      </c>
      <c r="G5579">
        <v>-349.76769999999999</v>
      </c>
      <c r="H5579">
        <v>0.92969990000000002</v>
      </c>
      <c r="I5579">
        <v>17.44483</v>
      </c>
      <c r="J5579">
        <v>-350.38600000000002</v>
      </c>
      <c r="K5579">
        <v>1.109059</v>
      </c>
      <c r="L5579">
        <v>17.581669999999999</v>
      </c>
      <c r="M5579">
        <v>0.99996249999999998</v>
      </c>
      <c r="N5579">
        <v>0</v>
      </c>
      <c r="O5579">
        <v>-2.169901E-4</v>
      </c>
      <c r="P5579">
        <v>0.99717440000000002</v>
      </c>
      <c r="Q5579">
        <v>-1.9880780000000001E-2</v>
      </c>
      <c r="R5579">
        <v>-7.2445220000000005E-2</v>
      </c>
      <c r="S5579">
        <v>2.9561459999999999</v>
      </c>
      <c r="T5579">
        <v>-0.69648840000000001</v>
      </c>
      <c r="U5579">
        <v>-0.5317383</v>
      </c>
      <c r="V5579">
        <v>7.2217959999999998E-2</v>
      </c>
      <c r="W5579">
        <v>-1.1309069999999999E-2</v>
      </c>
      <c r="X5579">
        <v>0.99732480000000001</v>
      </c>
      <c r="Y5579">
        <v>0.17225599999999999</v>
      </c>
      <c r="Z5579">
        <v>-1.9815119999999999E-2</v>
      </c>
      <c r="AA5579">
        <v>0.98485290000000003</v>
      </c>
      <c r="AB5579">
        <v>28</v>
      </c>
      <c r="AC5579">
        <v>0.61829999999997598</v>
      </c>
      <c r="AD5579">
        <v>-0.17935909999999999</v>
      </c>
      <c r="AE5579">
        <v>-0.13684000000000199</v>
      </c>
      <c r="AF5579">
        <v>0.12655373176176099</v>
      </c>
      <c r="AG5579">
        <v>-0.17935909999999999</v>
      </c>
      <c r="AH5579">
        <v>0.57241106868343905</v>
      </c>
      <c r="AI5579">
        <v>107.011563910696</v>
      </c>
      <c r="AJ5579">
        <v>77.533086124406793</v>
      </c>
      <c r="AK5579">
        <v>0.61305788089458102</v>
      </c>
      <c r="AL5579">
        <v>90.647975766165402</v>
      </c>
      <c r="AM5579">
        <v>85.858345354114604</v>
      </c>
      <c r="AN5579">
        <v>1.0000000427529301</v>
      </c>
    </row>
    <row r="5580" spans="1:40" x14ac:dyDescent="0.25">
      <c r="A5580" t="str">
        <f>"20190312161427403"</f>
        <v>20190312161427403</v>
      </c>
      <c r="B5580" t="str">
        <f>"1552378467391745"</f>
        <v>1552378467391745</v>
      </c>
      <c r="C5580" t="s">
        <v>40</v>
      </c>
      <c r="D5580">
        <v>5.6144550000000004</v>
      </c>
      <c r="E5580">
        <v>0.54089019999999899</v>
      </c>
      <c r="F5580" t="s">
        <v>43</v>
      </c>
      <c r="G5580">
        <v>-349.52199999999999</v>
      </c>
      <c r="H5580">
        <v>0.905061</v>
      </c>
      <c r="I5580">
        <v>17.42605</v>
      </c>
      <c r="J5580">
        <v>-350.23970000000003</v>
      </c>
      <c r="K5580">
        <v>1.1090610000000001</v>
      </c>
      <c r="L5580">
        <v>17.581389999999999</v>
      </c>
      <c r="M5580">
        <v>0.99996229999999997</v>
      </c>
      <c r="N5580">
        <v>0</v>
      </c>
      <c r="O5580">
        <v>-4.720816E-4</v>
      </c>
      <c r="P5580">
        <v>0.99717449999999996</v>
      </c>
      <c r="Q5580">
        <v>-1.980442E-2</v>
      </c>
      <c r="R5580">
        <v>-7.246466E-2</v>
      </c>
      <c r="S5580">
        <v>2.955994</v>
      </c>
      <c r="T5580">
        <v>-0.69794769999999995</v>
      </c>
      <c r="U5580">
        <v>-0.53161619999999998</v>
      </c>
      <c r="V5580">
        <v>7.1983069999999996E-2</v>
      </c>
      <c r="W5580">
        <v>-1.121202E-2</v>
      </c>
      <c r="X5580">
        <v>0.99734279999999997</v>
      </c>
      <c r="Y5580">
        <v>0.1719695</v>
      </c>
      <c r="Z5580">
        <v>-1.9764529999999999E-2</v>
      </c>
      <c r="AA5580">
        <v>0.984904</v>
      </c>
      <c r="AB5580">
        <v>28</v>
      </c>
      <c r="AC5580">
        <v>0.71770000000003598</v>
      </c>
      <c r="AD5580">
        <v>-0.20399999999999999</v>
      </c>
      <c r="AE5580">
        <v>-0.15533999999999801</v>
      </c>
      <c r="AF5580">
        <v>0.14389563686593401</v>
      </c>
      <c r="AG5580">
        <v>-0.20399999999999999</v>
      </c>
      <c r="AH5580">
        <v>0.66634625053307495</v>
      </c>
      <c r="AI5580">
        <v>106.659768701288</v>
      </c>
      <c r="AJ5580">
        <v>77.814254742998799</v>
      </c>
      <c r="AK5580">
        <v>0.71157521029652304</v>
      </c>
      <c r="AL5580">
        <v>90.642414907584893</v>
      </c>
      <c r="AM5580">
        <v>85.871843748120298</v>
      </c>
      <c r="AN5580">
        <v>0.99999996623547205</v>
      </c>
    </row>
    <row r="5581" spans="1:40" x14ac:dyDescent="0.25">
      <c r="A5581" t="str">
        <f>"20190312161427415"</f>
        <v>20190312161427415</v>
      </c>
      <c r="B5581" t="str">
        <f>"1552378467402481"</f>
        <v>1552378467402481</v>
      </c>
      <c r="C5581" t="s">
        <v>40</v>
      </c>
      <c r="D5581">
        <v>5.8194919999999897</v>
      </c>
      <c r="E5581">
        <v>0.54045859999999901</v>
      </c>
      <c r="F5581" t="s">
        <v>43</v>
      </c>
      <c r="G5581">
        <v>-349.50940000000003</v>
      </c>
      <c r="H5581">
        <v>0.9367299</v>
      </c>
      <c r="I5581">
        <v>17.450579999999999</v>
      </c>
      <c r="J5581">
        <v>-350.1046</v>
      </c>
      <c r="K5581">
        <v>1.1090660000000001</v>
      </c>
      <c r="L5581">
        <v>17.58109</v>
      </c>
      <c r="M5581">
        <v>0.99996189999999996</v>
      </c>
      <c r="N5581">
        <v>0</v>
      </c>
      <c r="O5581">
        <v>-7.0741849999999998E-4</v>
      </c>
      <c r="P5581">
        <v>0.99713799999999997</v>
      </c>
      <c r="Q5581">
        <v>-2.0178310000000001E-2</v>
      </c>
      <c r="R5581">
        <v>-7.2863360000000002E-2</v>
      </c>
      <c r="S5581">
        <v>2.9562379999999999</v>
      </c>
      <c r="T5581">
        <v>-0.69753859999999901</v>
      </c>
      <c r="U5581">
        <v>-0.5285339</v>
      </c>
      <c r="V5581">
        <v>7.214661E-2</v>
      </c>
      <c r="W5581">
        <v>-1.1559079999999999E-2</v>
      </c>
      <c r="X5581">
        <v>0.99732699999999996</v>
      </c>
      <c r="Y5581">
        <v>0.170771799999999</v>
      </c>
      <c r="Z5581">
        <v>-1.956072E-2</v>
      </c>
      <c r="AA5581">
        <v>0.9851164</v>
      </c>
      <c r="AB5581">
        <v>28</v>
      </c>
      <c r="AC5581">
        <v>0.59519999999997697</v>
      </c>
      <c r="AD5581">
        <v>-0.17233609999999899</v>
      </c>
      <c r="AE5581">
        <v>-0.13051000000000099</v>
      </c>
      <c r="AF5581">
        <v>0.120453865107289</v>
      </c>
      <c r="AG5581">
        <v>-0.17233609999999899</v>
      </c>
      <c r="AH5581">
        <v>0.55120187941379895</v>
      </c>
      <c r="AI5581">
        <v>106.98512735986201</v>
      </c>
      <c r="AJ5581">
        <v>77.6729706552332</v>
      </c>
      <c r="AK5581">
        <v>0.58994268946381501</v>
      </c>
      <c r="AL5581">
        <v>90.662301284446102</v>
      </c>
      <c r="AM5581">
        <v>85.862432109157297</v>
      </c>
      <c r="AN5581">
        <v>0.99999994529696701</v>
      </c>
    </row>
    <row r="5582" spans="1:40" x14ac:dyDescent="0.25">
      <c r="A5582" t="str">
        <f>"20190312161427426"</f>
        <v>20190312161427426</v>
      </c>
      <c r="B5582" t="str">
        <f>"1552378467422002"</f>
        <v>1552378467422002</v>
      </c>
      <c r="C5582" t="s">
        <v>40</v>
      </c>
      <c r="D5582">
        <v>5.5664730000000002</v>
      </c>
      <c r="E5582">
        <v>0.53991040000000001</v>
      </c>
      <c r="F5582" t="s">
        <v>43</v>
      </c>
      <c r="G5582">
        <v>-349.26389999999998</v>
      </c>
      <c r="H5582">
        <v>0.91168959999999999</v>
      </c>
      <c r="I5582">
        <v>17.43141</v>
      </c>
      <c r="J5582">
        <v>-349.95010000000002</v>
      </c>
      <c r="K5582">
        <v>1.109067</v>
      </c>
      <c r="L5582">
        <v>17.580719999999999</v>
      </c>
      <c r="M5582">
        <v>0.9999614</v>
      </c>
      <c r="N5582">
        <v>0</v>
      </c>
      <c r="O5582">
        <v>-9.7666120000000005E-4</v>
      </c>
      <c r="P5582">
        <v>0.99712299999999998</v>
      </c>
      <c r="Q5582">
        <v>-2.0536289999999999E-2</v>
      </c>
      <c r="R5582">
        <v>-7.2967920000000006E-2</v>
      </c>
      <c r="S5582">
        <v>2.9560550000000001</v>
      </c>
      <c r="T5582">
        <v>-0.69403519999999996</v>
      </c>
      <c r="U5582">
        <v>-0.52642819999999901</v>
      </c>
      <c r="V5582">
        <v>7.1982500000000005E-2</v>
      </c>
      <c r="W5582">
        <v>-1.1879789999999999E-2</v>
      </c>
      <c r="X5582">
        <v>0.99733510000000003</v>
      </c>
      <c r="Y5582">
        <v>0.16991059999999999</v>
      </c>
      <c r="Z5582">
        <v>-1.9306440000000001E-2</v>
      </c>
      <c r="AA5582">
        <v>0.98527039999999999</v>
      </c>
      <c r="AB5582">
        <v>29</v>
      </c>
      <c r="AC5582">
        <v>0.686200000000042</v>
      </c>
      <c r="AD5582">
        <v>-0.19737739999999901</v>
      </c>
      <c r="AE5582">
        <v>-0.149309999999999</v>
      </c>
      <c r="AF5582">
        <v>0.13775746810671499</v>
      </c>
      <c r="AG5582">
        <v>-0.19737739999999901</v>
      </c>
      <c r="AH5582">
        <v>0.63609659574910504</v>
      </c>
      <c r="AI5582">
        <v>106.870685131644</v>
      </c>
      <c r="AJ5582">
        <v>77.780337311298496</v>
      </c>
      <c r="AK5582">
        <v>0.68011310616215404</v>
      </c>
      <c r="AL5582">
        <v>90.680677869904798</v>
      </c>
      <c r="AM5582">
        <v>85.871844562731894</v>
      </c>
      <c r="AN5582">
        <v>0.99999995570435096</v>
      </c>
    </row>
    <row r="5583" spans="1:40" x14ac:dyDescent="0.25">
      <c r="A5583" t="str">
        <f>"20190312161427438"</f>
        <v>20190312161427438</v>
      </c>
      <c r="B5583" t="str">
        <f>"1552378467431761"</f>
        <v>1552378467431761</v>
      </c>
      <c r="C5583" t="s">
        <v>40</v>
      </c>
      <c r="D5583">
        <v>5.6260289999999999</v>
      </c>
      <c r="E5583">
        <v>0.53982859999999999</v>
      </c>
      <c r="F5583" t="s">
        <v>43</v>
      </c>
      <c r="G5583">
        <v>-349.24979999999999</v>
      </c>
      <c r="H5583">
        <v>0.94580039999999999</v>
      </c>
      <c r="I5583">
        <v>17.456969999999998</v>
      </c>
      <c r="J5583">
        <v>-349.79969999999997</v>
      </c>
      <c r="K5583">
        <v>1.109076</v>
      </c>
      <c r="L5583">
        <v>17.580289999999898</v>
      </c>
      <c r="M5583">
        <v>0.99996050000000003</v>
      </c>
      <c r="N5583">
        <v>0</v>
      </c>
      <c r="O5583">
        <v>-1.2383450000000001E-3</v>
      </c>
      <c r="P5583">
        <v>0.99711320000000003</v>
      </c>
      <c r="Q5583">
        <v>-2.0550479999999999E-2</v>
      </c>
      <c r="R5583">
        <v>-7.3096910000000001E-2</v>
      </c>
      <c r="S5583">
        <v>2.9562379999999999</v>
      </c>
      <c r="T5583">
        <v>-0.68922600000000001</v>
      </c>
      <c r="U5583">
        <v>-0.52252200000000004</v>
      </c>
      <c r="V5583">
        <v>7.1850490000000003E-2</v>
      </c>
      <c r="W5583">
        <v>-1.1842510000000001E-2</v>
      </c>
      <c r="X5583">
        <v>0.99734509999999998</v>
      </c>
      <c r="Y5583">
        <v>0.16848389999999999</v>
      </c>
      <c r="Z5583">
        <v>-1.895442E-2</v>
      </c>
      <c r="AA5583">
        <v>0.98552220000000001</v>
      </c>
      <c r="AB5583">
        <v>29</v>
      </c>
      <c r="AC5583">
        <v>0.54989999999997896</v>
      </c>
      <c r="AD5583">
        <v>-0.16327559999999899</v>
      </c>
      <c r="AE5583">
        <v>-0.123319999999996</v>
      </c>
      <c r="AF5583">
        <v>0.11314187023232</v>
      </c>
      <c r="AG5583">
        <v>-0.16327559999999899</v>
      </c>
      <c r="AH5583">
        <v>0.50745676072167101</v>
      </c>
      <c r="AI5583">
        <v>107.43446879511799</v>
      </c>
      <c r="AJ5583">
        <v>77.430990410912301</v>
      </c>
      <c r="AK5583">
        <v>0.54495171194992897</v>
      </c>
      <c r="AL5583">
        <v>90.678541707420607</v>
      </c>
      <c r="AM5583">
        <v>85.879430332870598</v>
      </c>
      <c r="AN5583">
        <v>0.99999999322517497</v>
      </c>
    </row>
    <row r="5584" spans="1:40" x14ac:dyDescent="0.25">
      <c r="A5584" t="str">
        <f>"20190312161427456"</f>
        <v>20190312161427456</v>
      </c>
      <c r="B5584" t="str">
        <f>"1552378467452256"</f>
        <v>1552378467452256</v>
      </c>
      <c r="C5584" t="s">
        <v>40</v>
      </c>
      <c r="D5584">
        <v>5.599488</v>
      </c>
      <c r="E5584">
        <v>0.55283590000000005</v>
      </c>
      <c r="F5584" t="s">
        <v>43</v>
      </c>
      <c r="G5584">
        <v>-349.00279999999998</v>
      </c>
      <c r="H5584">
        <v>0.92525970000000002</v>
      </c>
      <c r="I5584">
        <v>17.439209999999999</v>
      </c>
      <c r="J5584">
        <v>-349.57119999999998</v>
      </c>
      <c r="K5584">
        <v>1.1090869999999999</v>
      </c>
      <c r="L5584">
        <v>17.579619999999998</v>
      </c>
      <c r="M5584">
        <v>0.99995919999999905</v>
      </c>
      <c r="N5584">
        <v>0</v>
      </c>
      <c r="O5584">
        <v>-1.6356560000000001E-3</v>
      </c>
      <c r="P5584">
        <v>0.99708509999999995</v>
      </c>
      <c r="Q5584">
        <v>-2.1254249999999999E-2</v>
      </c>
      <c r="R5584">
        <v>-7.3279159999999996E-2</v>
      </c>
      <c r="S5584">
        <v>2.9563290000000002</v>
      </c>
      <c r="T5584">
        <v>-0.6818128</v>
      </c>
      <c r="U5584">
        <v>-0.52233890000000005</v>
      </c>
      <c r="V5584">
        <v>7.1636069999999996E-2</v>
      </c>
      <c r="W5584">
        <v>-1.245432E-2</v>
      </c>
      <c r="X5584">
        <v>0.99735309999999999</v>
      </c>
      <c r="Y5584">
        <v>0.16813929999999999</v>
      </c>
      <c r="Z5584">
        <v>-1.8626509999999999E-2</v>
      </c>
      <c r="AA5584">
        <v>0.9855872</v>
      </c>
      <c r="AB5584">
        <v>29</v>
      </c>
      <c r="AC5584">
        <v>0.56839999999999602</v>
      </c>
      <c r="AD5584">
        <v>-0.1838273</v>
      </c>
      <c r="AE5584">
        <v>-0.14041000000000201</v>
      </c>
      <c r="AF5584">
        <v>0.12696399830591701</v>
      </c>
      <c r="AG5584">
        <v>-0.1838273</v>
      </c>
      <c r="AH5584">
        <v>0.51760370376011799</v>
      </c>
      <c r="AI5584">
        <v>109.03061815521799</v>
      </c>
      <c r="AJ5584">
        <v>76.217922544223001</v>
      </c>
      <c r="AK5584">
        <v>0.56376052295039902</v>
      </c>
      <c r="AL5584">
        <v>90.713598406001907</v>
      </c>
      <c r="AM5584">
        <v>85.891717825849895</v>
      </c>
      <c r="AN5584">
        <v>1.0000000213456499</v>
      </c>
    </row>
    <row r="5585" spans="1:40" x14ac:dyDescent="0.25">
      <c r="A5585" t="str">
        <f>"20190312161427468"</f>
        <v>20190312161427468</v>
      </c>
      <c r="B5585" t="str">
        <f>"1552378467462017"</f>
        <v>1552378467462017</v>
      </c>
      <c r="C5585" t="s">
        <v>40</v>
      </c>
      <c r="D5585">
        <v>5.5707240000000002</v>
      </c>
      <c r="E5585">
        <v>0.55140259999999996</v>
      </c>
      <c r="F5585" t="s">
        <v>42</v>
      </c>
      <c r="G5585">
        <v>-338.54129999999998</v>
      </c>
      <c r="H5585" s="1">
        <v>-1.6550710000000001E-6</v>
      </c>
      <c r="I5585">
        <v>15.209199999999999</v>
      </c>
      <c r="J5585">
        <v>-349.41860000000003</v>
      </c>
      <c r="K5585">
        <v>1.1090990000000001</v>
      </c>
      <c r="L5585">
        <v>17.579129999999999</v>
      </c>
      <c r="M5585">
        <v>0.99995800000000001</v>
      </c>
      <c r="N5585">
        <v>0</v>
      </c>
      <c r="O5585">
        <v>-1.9006559999999999E-3</v>
      </c>
      <c r="P5585">
        <v>0.99706669999999997</v>
      </c>
      <c r="Q5585">
        <v>-2.1373940000000001E-2</v>
      </c>
      <c r="R5585">
        <v>-7.3495840000000007E-2</v>
      </c>
      <c r="S5585">
        <v>2.9557500000000001</v>
      </c>
      <c r="T5585">
        <v>-0.29720819999999998</v>
      </c>
      <c r="U5585">
        <v>-0.63519289999999995</v>
      </c>
      <c r="V5585">
        <v>7.1588070000000004E-2</v>
      </c>
      <c r="W5585">
        <v>-1.250422E-2</v>
      </c>
      <c r="X5585">
        <v>0.99735589999999996</v>
      </c>
      <c r="Y5585">
        <v>0.20725550000000001</v>
      </c>
      <c r="Z5585">
        <v>-1.008888E-2</v>
      </c>
      <c r="AA5585">
        <v>0.97823479999999996</v>
      </c>
      <c r="AB5585">
        <v>29</v>
      </c>
      <c r="AC5585">
        <v>10.8773</v>
      </c>
      <c r="AD5585">
        <v>-1.1091006550710001</v>
      </c>
      <c r="AE5585">
        <v>-2.3699300000000001</v>
      </c>
      <c r="AF5585">
        <v>2.3261622776345501</v>
      </c>
      <c r="AG5585">
        <v>-1.1091006550710001</v>
      </c>
      <c r="AH5585">
        <v>10.774837997229801</v>
      </c>
      <c r="AI5585">
        <v>95.745551301972796</v>
      </c>
      <c r="AJ5585">
        <v>77.8174774279356</v>
      </c>
      <c r="AK5585">
        <v>11.078730481039599</v>
      </c>
      <c r="AL5585">
        <v>90.716457703802604</v>
      </c>
      <c r="AM5585">
        <v>85.894472665176593</v>
      </c>
      <c r="AN5585">
        <v>0.99999999927447103</v>
      </c>
    </row>
    <row r="5586" spans="1:40" x14ac:dyDescent="0.25">
      <c r="A5586" t="str">
        <f>"20190312161427479"</f>
        <v>20190312161427479</v>
      </c>
      <c r="B5586" t="str">
        <f>"1552378467471777"</f>
        <v>1552378467471777</v>
      </c>
      <c r="C5586" t="s">
        <v>40</v>
      </c>
      <c r="D5586">
        <v>5.654827</v>
      </c>
      <c r="E5586">
        <v>0.55227859999999995</v>
      </c>
      <c r="F5586" t="s">
        <v>42</v>
      </c>
      <c r="G5586">
        <v>-337.54219999999998</v>
      </c>
      <c r="H5586" s="1">
        <v>-2.0325999999999998E-6</v>
      </c>
      <c r="I5586">
        <v>15.06817</v>
      </c>
      <c r="J5586">
        <v>-349.27289999999999</v>
      </c>
      <c r="K5586">
        <v>1.10911</v>
      </c>
      <c r="L5586">
        <v>17.57855</v>
      </c>
      <c r="M5586">
        <v>0.99995679999999998</v>
      </c>
      <c r="N5586">
        <v>0</v>
      </c>
      <c r="O5586">
        <v>-2.1535220000000002E-3</v>
      </c>
      <c r="P5586">
        <v>0.99705270000000001</v>
      </c>
      <c r="Q5586">
        <v>-2.1545470000000001E-2</v>
      </c>
      <c r="R5586">
        <v>-7.3632600000000006E-2</v>
      </c>
      <c r="S5586">
        <v>2.9568180000000002</v>
      </c>
      <c r="T5586">
        <v>-0.27612789999999998</v>
      </c>
      <c r="U5586">
        <v>-0.62512209999999901</v>
      </c>
      <c r="V5586">
        <v>7.1472759999999996E-2</v>
      </c>
      <c r="W5586">
        <v>-1.2601299999999999E-2</v>
      </c>
      <c r="X5586">
        <v>0.997363</v>
      </c>
      <c r="Y5586">
        <v>0.2038973</v>
      </c>
      <c r="Z5586">
        <v>-9.1983150000000003E-3</v>
      </c>
      <c r="AA5586">
        <v>0.97894910000000002</v>
      </c>
      <c r="AB5586">
        <v>29</v>
      </c>
      <c r="AC5586">
        <v>11.730700000000001</v>
      </c>
      <c r="AD5586">
        <v>-1.1091120325999999</v>
      </c>
      <c r="AE5586">
        <v>-2.5103800000000001</v>
      </c>
      <c r="AF5586">
        <v>2.4640485583262199</v>
      </c>
      <c r="AG5586">
        <v>-1.1091120325999999</v>
      </c>
      <c r="AH5586">
        <v>11.6366114066376</v>
      </c>
      <c r="AI5586">
        <v>95.327127626023795</v>
      </c>
      <c r="AJ5586">
        <v>78.044240592539694</v>
      </c>
      <c r="AK5586">
        <v>11.9462291049408</v>
      </c>
      <c r="AL5586">
        <v>90.722020379032699</v>
      </c>
      <c r="AM5586">
        <v>85.901092137304005</v>
      </c>
      <c r="AN5586">
        <v>1.00000005097635</v>
      </c>
    </row>
    <row r="5587" spans="1:40" x14ac:dyDescent="0.25">
      <c r="A5587" t="str">
        <f>"20190312161427490"</f>
        <v>20190312161427490</v>
      </c>
      <c r="B5587" t="str">
        <f>"1552378467482513"</f>
        <v>1552378467482513</v>
      </c>
      <c r="C5587" t="s">
        <v>40</v>
      </c>
      <c r="D5587">
        <v>5.6523589999999997</v>
      </c>
      <c r="E5587">
        <v>0.55234139999999998</v>
      </c>
      <c r="F5587" t="s">
        <v>42</v>
      </c>
      <c r="G5587">
        <v>-336.00599999999997</v>
      </c>
      <c r="H5587" s="1">
        <v>-2.643347E-6</v>
      </c>
      <c r="I5587">
        <v>14.73753</v>
      </c>
      <c r="J5587">
        <v>-349.1352</v>
      </c>
      <c r="K5587">
        <v>1.1091279999999999</v>
      </c>
      <c r="L5587">
        <v>17.578029999999998</v>
      </c>
      <c r="M5587">
        <v>0.99995579999999995</v>
      </c>
      <c r="N5587">
        <v>0</v>
      </c>
      <c r="O5587">
        <v>-2.392543E-3</v>
      </c>
      <c r="P5587">
        <v>0.99703359999999996</v>
      </c>
      <c r="Q5587">
        <v>-2.1684829999999999E-2</v>
      </c>
      <c r="R5587">
        <v>-7.3853849999999999E-2</v>
      </c>
      <c r="S5587">
        <v>2.9567260000000002</v>
      </c>
      <c r="T5587">
        <v>-0.24718280000000001</v>
      </c>
      <c r="U5587">
        <v>-0.63314820000000005</v>
      </c>
      <c r="V5587">
        <v>7.1455439999999995E-2</v>
      </c>
      <c r="W5587">
        <v>-1.2670030000000001E-2</v>
      </c>
      <c r="X5587">
        <v>0.99736329999999995</v>
      </c>
      <c r="Y5587">
        <v>0.20637079999999999</v>
      </c>
      <c r="Z5587">
        <v>-8.3178309999999995E-3</v>
      </c>
      <c r="AA5587">
        <v>0.97843849999999999</v>
      </c>
      <c r="AB5587">
        <v>29</v>
      </c>
      <c r="AC5587">
        <v>13.129200000000001</v>
      </c>
      <c r="AD5587">
        <v>-1.1091306433470001</v>
      </c>
      <c r="AE5587">
        <v>-2.8404999999999898</v>
      </c>
      <c r="AF5587">
        <v>2.7900573103416599</v>
      </c>
      <c r="AG5587">
        <v>-1.1091306433470001</v>
      </c>
      <c r="AH5587">
        <v>13.047011330311401</v>
      </c>
      <c r="AI5587">
        <v>94.752115656824401</v>
      </c>
      <c r="AJ5587">
        <v>77.929307073180595</v>
      </c>
      <c r="AK5587">
        <v>13.3880205867887</v>
      </c>
      <c r="AL5587">
        <v>90.725958683054401</v>
      </c>
      <c r="AM5587">
        <v>85.902083270084404</v>
      </c>
      <c r="AN5587">
        <v>0.99999998087634101</v>
      </c>
    </row>
    <row r="5588" spans="1:40" x14ac:dyDescent="0.25">
      <c r="A5588" t="str">
        <f>"20190312161427501"</f>
        <v>20190312161427501</v>
      </c>
      <c r="B5588" t="str">
        <f>"1552378467492272"</f>
        <v>1552378467492272</v>
      </c>
      <c r="C5588" t="s">
        <v>40</v>
      </c>
      <c r="D5588">
        <v>5.6823300000000003</v>
      </c>
      <c r="E5588">
        <v>0.55067580000000005</v>
      </c>
      <c r="F5588" t="s">
        <v>42</v>
      </c>
      <c r="G5588">
        <v>-335.05680000000001</v>
      </c>
      <c r="H5588" s="1">
        <v>-3.014503E-6</v>
      </c>
      <c r="I5588">
        <v>14.556660000000001</v>
      </c>
      <c r="J5588">
        <v>-348.99009999999998</v>
      </c>
      <c r="K5588">
        <v>1.1091390000000001</v>
      </c>
      <c r="L5588">
        <v>17.57742</v>
      </c>
      <c r="M5588">
        <v>0.99995429999999996</v>
      </c>
      <c r="N5588">
        <v>0</v>
      </c>
      <c r="O5588">
        <v>-2.643992E-3</v>
      </c>
      <c r="P5588">
        <v>0.99703399999999998</v>
      </c>
      <c r="Q5588">
        <v>-2.1588300000000001E-2</v>
      </c>
      <c r="R5588">
        <v>-7.3873190000000005E-2</v>
      </c>
      <c r="S5588">
        <v>2.9568479999999999</v>
      </c>
      <c r="T5588">
        <v>-0.23294699999999999</v>
      </c>
      <c r="U5588">
        <v>-0.634552</v>
      </c>
      <c r="V5588">
        <v>7.1224499999999996E-2</v>
      </c>
      <c r="W5588">
        <v>-1.2496719999999999E-2</v>
      </c>
      <c r="X5588">
        <v>0.99738199999999999</v>
      </c>
      <c r="Y5588">
        <v>0.20663670000000001</v>
      </c>
      <c r="Z5588">
        <v>-7.8303480000000009E-3</v>
      </c>
      <c r="AA5588">
        <v>0.97838639999999999</v>
      </c>
      <c r="AB5588">
        <v>29</v>
      </c>
      <c r="AC5588">
        <v>13.9332999999999</v>
      </c>
      <c r="AD5588">
        <v>-1.109142014503</v>
      </c>
      <c r="AE5588">
        <v>-3.0207599999999899</v>
      </c>
      <c r="AF5588">
        <v>2.9659575689785602</v>
      </c>
      <c r="AG5588">
        <v>-1.109142014503</v>
      </c>
      <c r="AH5588">
        <v>13.857369919981201</v>
      </c>
      <c r="AI5588">
        <v>94.475256796245205</v>
      </c>
      <c r="AJ5588">
        <v>77.918996039499703</v>
      </c>
      <c r="AK5588">
        <v>14.2145630044865</v>
      </c>
      <c r="AL5588">
        <v>90.716027968781802</v>
      </c>
      <c r="AM5588">
        <v>85.915358931348095</v>
      </c>
      <c r="AN5588">
        <v>0.99999997566750298</v>
      </c>
    </row>
    <row r="5589" spans="1:40" x14ac:dyDescent="0.25">
      <c r="A5589" t="str">
        <f>"20190312161427512"</f>
        <v>20190312161427512</v>
      </c>
      <c r="B5589" t="str">
        <f>"1552378467502034"</f>
        <v>1552378467502034</v>
      </c>
      <c r="C5589" t="s">
        <v>40</v>
      </c>
      <c r="D5589">
        <v>5.6143489999999998</v>
      </c>
      <c r="E5589">
        <v>0.55109359999999996</v>
      </c>
      <c r="F5589" t="s">
        <v>42</v>
      </c>
      <c r="G5589">
        <v>-332.3057</v>
      </c>
      <c r="H5589" s="1">
        <v>-4.2670129999999997E-6</v>
      </c>
      <c r="I5589">
        <v>14.06959</v>
      </c>
      <c r="J5589">
        <v>-348.8503</v>
      </c>
      <c r="K5589">
        <v>1.109151</v>
      </c>
      <c r="L5589">
        <v>17.576809999999998</v>
      </c>
      <c r="M5589">
        <v>0.99995310000000004</v>
      </c>
      <c r="N5589">
        <v>0</v>
      </c>
      <c r="O5589">
        <v>-2.8866040000000001E-3</v>
      </c>
      <c r="P5589">
        <v>0.99698989999999998</v>
      </c>
      <c r="Q5589">
        <v>-2.2028450000000002E-2</v>
      </c>
      <c r="R5589">
        <v>-7.4336029999999997E-2</v>
      </c>
      <c r="S5589">
        <v>2.9585569999999999</v>
      </c>
      <c r="T5589">
        <v>-0.19667799999999999</v>
      </c>
      <c r="U5589">
        <v>-0.62200929999999999</v>
      </c>
      <c r="V5589">
        <v>7.1445179999999997E-2</v>
      </c>
      <c r="W5589">
        <v>-1.2864220000000001E-2</v>
      </c>
      <c r="X5589">
        <v>0.99736150000000001</v>
      </c>
      <c r="Y5589">
        <v>0.20249519999999999</v>
      </c>
      <c r="Z5589">
        <v>-6.4612130000000004E-3</v>
      </c>
      <c r="AA5589">
        <v>0.97926190000000002</v>
      </c>
      <c r="AB5589">
        <v>29</v>
      </c>
      <c r="AC5589">
        <v>16.544599999999999</v>
      </c>
      <c r="AD5589">
        <v>-1.109155267013</v>
      </c>
      <c r="AE5589">
        <v>-3.5072199999999998</v>
      </c>
      <c r="AF5589">
        <v>3.4446298682502898</v>
      </c>
      <c r="AG5589">
        <v>-1.109155267013</v>
      </c>
      <c r="AH5589">
        <v>16.483756824298901</v>
      </c>
      <c r="AI5589">
        <v>93.768344136138396</v>
      </c>
      <c r="AJ5589">
        <v>78.196690643441897</v>
      </c>
      <c r="AK5589">
        <v>16.876312967535501</v>
      </c>
      <c r="AL5589">
        <v>90.737085893788603</v>
      </c>
      <c r="AM5589">
        <v>85.902662299852096</v>
      </c>
      <c r="AN5589">
        <v>0.99999993179184299</v>
      </c>
    </row>
    <row r="5590" spans="1:40" x14ac:dyDescent="0.25">
      <c r="A5590" t="str">
        <f>"20190312161427523"</f>
        <v>20190312161427523</v>
      </c>
      <c r="B5590" t="str">
        <f>"1552378467511793"</f>
        <v>1552378467511793</v>
      </c>
      <c r="C5590" t="s">
        <v>40</v>
      </c>
      <c r="D5590">
        <v>5.6935269999999996</v>
      </c>
      <c r="E5590">
        <v>0.55143050000000005</v>
      </c>
      <c r="F5590" t="s">
        <v>42</v>
      </c>
      <c r="G5590">
        <v>-331.452</v>
      </c>
      <c r="H5590" s="1">
        <v>-4.6650269999999999E-6</v>
      </c>
      <c r="I5590">
        <v>13.890409999999999</v>
      </c>
      <c r="J5590">
        <v>-348.71080000000001</v>
      </c>
      <c r="K5590">
        <v>1.109165</v>
      </c>
      <c r="L5590">
        <v>17.576170000000001</v>
      </c>
      <c r="M5590">
        <v>0.99995149999999999</v>
      </c>
      <c r="N5590">
        <v>0</v>
      </c>
      <c r="O5590">
        <v>-3.128376E-3</v>
      </c>
      <c r="P5590">
        <v>0.99696490000000004</v>
      </c>
      <c r="Q5590">
        <v>-2.2354269999999999E-2</v>
      </c>
      <c r="R5590">
        <v>-7.4576020000000007E-2</v>
      </c>
      <c r="S5590">
        <v>2.9581599999999999</v>
      </c>
      <c r="T5590">
        <v>-0.18858549999999999</v>
      </c>
      <c r="U5590">
        <v>-0.62676999999999905</v>
      </c>
      <c r="V5590">
        <v>7.1443610000000005E-2</v>
      </c>
      <c r="W5590">
        <v>-1.3118029999999999E-2</v>
      </c>
      <c r="X5590">
        <v>0.99735839999999998</v>
      </c>
      <c r="Y5590">
        <v>0.20382529999999999</v>
      </c>
      <c r="Z5590">
        <v>-6.2223529999999999E-3</v>
      </c>
      <c r="AA5590">
        <v>0.97898750000000001</v>
      </c>
      <c r="AB5590">
        <v>29</v>
      </c>
      <c r="AC5590">
        <v>17.258800000000001</v>
      </c>
      <c r="AD5590">
        <v>-1.109169665027</v>
      </c>
      <c r="AE5590">
        <v>-3.6857599999999899</v>
      </c>
      <c r="AF5590">
        <v>3.6174583314010902</v>
      </c>
      <c r="AG5590">
        <v>-1.109169665027</v>
      </c>
      <c r="AH5590">
        <v>17.202295986190698</v>
      </c>
      <c r="AI5590">
        <v>93.610459689043793</v>
      </c>
      <c r="AJ5590">
        <v>78.124347681317005</v>
      </c>
      <c r="AK5590">
        <v>17.613496226523299</v>
      </c>
      <c r="AL5590">
        <v>90.751629293789193</v>
      </c>
      <c r="AM5590">
        <v>85.902739340015302</v>
      </c>
      <c r="AN5590">
        <v>1.0000000250857299</v>
      </c>
    </row>
    <row r="5591" spans="1:40" x14ac:dyDescent="0.25">
      <c r="A5591" t="str">
        <f>"20190312161427536"</f>
        <v>20190312161427536</v>
      </c>
      <c r="B5591" t="str">
        <f>"1552378467532289"</f>
        <v>1552378467532289</v>
      </c>
      <c r="C5591" t="s">
        <v>40</v>
      </c>
      <c r="D5591">
        <v>5.6802599999999996</v>
      </c>
      <c r="E5591">
        <v>0.55289379999999999</v>
      </c>
      <c r="F5591" t="s">
        <v>42</v>
      </c>
      <c r="G5591">
        <v>-331.34789999999998</v>
      </c>
      <c r="H5591" s="1">
        <v>-4.7120790000000002E-6</v>
      </c>
      <c r="I5591">
        <v>13.87707</v>
      </c>
      <c r="J5591">
        <v>-348.55970000000002</v>
      </c>
      <c r="K5591">
        <v>1.109175</v>
      </c>
      <c r="L5591">
        <v>17.575410000000002</v>
      </c>
      <c r="M5591">
        <v>0.99995009999999995</v>
      </c>
      <c r="N5591">
        <v>0</v>
      </c>
      <c r="O5591">
        <v>-3.3909080000000002E-3</v>
      </c>
      <c r="P5591">
        <v>0.99693010000000004</v>
      </c>
      <c r="Q5591">
        <v>-2.2216360000000001E-2</v>
      </c>
      <c r="R5591">
        <v>-7.5080450000000007E-2</v>
      </c>
      <c r="S5591">
        <v>2.9577640000000001</v>
      </c>
      <c r="T5591">
        <v>-0.18894659999999999</v>
      </c>
      <c r="U5591">
        <v>-0.63012699999999999</v>
      </c>
      <c r="V5591">
        <v>7.1686659999999999E-2</v>
      </c>
      <c r="W5591">
        <v>-1.29047E-2</v>
      </c>
      <c r="X5591">
        <v>0.99734370000000006</v>
      </c>
      <c r="Y5591">
        <v>0.20465549999999999</v>
      </c>
      <c r="Z5591">
        <v>-6.2439640000000003E-3</v>
      </c>
      <c r="AA5591">
        <v>0.97881419999999997</v>
      </c>
      <c r="AB5591">
        <v>29</v>
      </c>
      <c r="AC5591">
        <v>17.2118</v>
      </c>
      <c r="AD5591">
        <v>-1.1091797120789999</v>
      </c>
      <c r="AE5591">
        <v>-3.69834</v>
      </c>
      <c r="AF5591">
        <v>3.6255604313411198</v>
      </c>
      <c r="AG5591">
        <v>-1.1091797120789999</v>
      </c>
      <c r="AH5591">
        <v>17.156138969810801</v>
      </c>
      <c r="AI5591">
        <v>93.619423829564397</v>
      </c>
      <c r="AJ5591">
        <v>78.067404068730497</v>
      </c>
      <c r="AK5591">
        <v>17.570090279405399</v>
      </c>
      <c r="AL5591">
        <v>90.739405382354505</v>
      </c>
      <c r="AM5591">
        <v>85.888787851682096</v>
      </c>
      <c r="AN5591">
        <v>0.99999998221686703</v>
      </c>
    </row>
    <row r="5592" spans="1:40" x14ac:dyDescent="0.25">
      <c r="A5592" t="str">
        <f>"20190312161427547"</f>
        <v>20190312161427547</v>
      </c>
      <c r="B5592" t="str">
        <f>"1552378467542049"</f>
        <v>1552378467542049</v>
      </c>
      <c r="C5592" t="s">
        <v>40</v>
      </c>
      <c r="D5592">
        <v>5.681019</v>
      </c>
      <c r="E5592">
        <v>0.55199299999999996</v>
      </c>
      <c r="F5592" t="s">
        <v>42</v>
      </c>
      <c r="G5592">
        <v>-329.84719999999999</v>
      </c>
      <c r="H5592" s="1">
        <v>-1.669519E-6</v>
      </c>
      <c r="I5592">
        <v>13.5029</v>
      </c>
      <c r="J5592">
        <v>-348.3938</v>
      </c>
      <c r="K5592">
        <v>1.1091839999999999</v>
      </c>
      <c r="L5592">
        <v>17.574579999999902</v>
      </c>
      <c r="M5592">
        <v>0.99994810000000001</v>
      </c>
      <c r="N5592">
        <v>0</v>
      </c>
      <c r="O5592">
        <v>-3.6787439999999999E-3</v>
      </c>
      <c r="P5592">
        <v>0.99687769999999998</v>
      </c>
      <c r="Q5592">
        <v>-2.213735E-2</v>
      </c>
      <c r="R5592">
        <v>-7.5793749999999993E-2</v>
      </c>
      <c r="S5592">
        <v>2.9568789999999998</v>
      </c>
      <c r="T5592">
        <v>-0.17526820000000001</v>
      </c>
      <c r="U5592">
        <v>-0.64352419999999899</v>
      </c>
      <c r="V5592">
        <v>7.2113289999999997E-2</v>
      </c>
      <c r="W5592">
        <v>-1.274487E-2</v>
      </c>
      <c r="X5592">
        <v>0.99731499999999995</v>
      </c>
      <c r="Y5592">
        <v>0.2087185</v>
      </c>
      <c r="Z5592">
        <v>-5.8937829999999997E-3</v>
      </c>
      <c r="AA5592">
        <v>0.97795799999999999</v>
      </c>
      <c r="AB5592">
        <v>29</v>
      </c>
      <c r="AC5592">
        <v>18.546600000000002</v>
      </c>
      <c r="AD5592">
        <v>-1.1091856695190001</v>
      </c>
      <c r="AE5592">
        <v>-4.07167999999999</v>
      </c>
      <c r="AF5592">
        <v>3.9898070731903599</v>
      </c>
      <c r="AG5592">
        <v>-1.1091856695190001</v>
      </c>
      <c r="AH5592">
        <v>18.4983334502646</v>
      </c>
      <c r="AI5592">
        <v>93.354470136200803</v>
      </c>
      <c r="AJ5592">
        <v>77.828629259359602</v>
      </c>
      <c r="AK5592">
        <v>18.9561914362544</v>
      </c>
      <c r="AL5592">
        <v>90.730247043421102</v>
      </c>
      <c r="AM5592">
        <v>85.864286771826599</v>
      </c>
      <c r="AN5592">
        <v>0.99999998376546995</v>
      </c>
    </row>
    <row r="5593" spans="1:40" x14ac:dyDescent="0.25">
      <c r="A5593" t="str">
        <f>"20190312161427560"</f>
        <v>20190312161427560</v>
      </c>
      <c r="B5593" t="str">
        <f>"1552378467551809"</f>
        <v>1552378467551809</v>
      </c>
      <c r="C5593" t="s">
        <v>40</v>
      </c>
      <c r="D5593">
        <v>5.6847310000000002</v>
      </c>
      <c r="E5593">
        <v>0.55229879999999998</v>
      </c>
      <c r="F5593" t="s">
        <v>42</v>
      </c>
      <c r="G5593">
        <v>-328.36489999999998</v>
      </c>
      <c r="H5593" s="1">
        <v>-2.3065380000000001E-6</v>
      </c>
      <c r="I5593">
        <v>13.24807</v>
      </c>
      <c r="J5593">
        <v>-348.23410000000001</v>
      </c>
      <c r="K5593">
        <v>1.109189</v>
      </c>
      <c r="L5593">
        <v>17.57367</v>
      </c>
      <c r="M5593">
        <v>0.99994640000000001</v>
      </c>
      <c r="N5593">
        <v>0</v>
      </c>
      <c r="O5593">
        <v>-3.9562820000000002E-3</v>
      </c>
      <c r="P5593">
        <v>0.99685250000000003</v>
      </c>
      <c r="Q5593">
        <v>-2.183701E-2</v>
      </c>
      <c r="R5593">
        <v>-7.6212409999999994E-2</v>
      </c>
      <c r="S5593">
        <v>2.9571839999999998</v>
      </c>
      <c r="T5593">
        <v>-0.1637672</v>
      </c>
      <c r="U5593">
        <v>-0.63879390000000003</v>
      </c>
      <c r="V5593">
        <v>7.2255520000000004E-2</v>
      </c>
      <c r="W5593">
        <v>-1.237153E-2</v>
      </c>
      <c r="X5593">
        <v>0.99730940000000001</v>
      </c>
      <c r="Y5593">
        <v>0.2069782</v>
      </c>
      <c r="Z5593">
        <v>-5.4452099999999998E-3</v>
      </c>
      <c r="AA5593">
        <v>0.97833040000000004</v>
      </c>
      <c r="AB5593">
        <v>29</v>
      </c>
      <c r="AC5593">
        <v>19.869199999999999</v>
      </c>
      <c r="AD5593">
        <v>-1.1091913065379999</v>
      </c>
      <c r="AE5593">
        <v>-4.3255999999999899</v>
      </c>
      <c r="AF5593">
        <v>4.2343555926605596</v>
      </c>
      <c r="AG5593">
        <v>-1.1091913065379999</v>
      </c>
      <c r="AH5593">
        <v>19.8271653157774</v>
      </c>
      <c r="AI5593">
        <v>93.131489845053196</v>
      </c>
      <c r="AJ5593">
        <v>77.944820845750598</v>
      </c>
      <c r="AK5593">
        <v>20.304594482499802</v>
      </c>
      <c r="AL5593">
        <v>90.708854554377893</v>
      </c>
      <c r="AM5593">
        <v>85.856135049417801</v>
      </c>
      <c r="AN5593">
        <v>0.99999997712668498</v>
      </c>
    </row>
    <row r="5594" spans="1:40" x14ac:dyDescent="0.25">
      <c r="A5594" t="str">
        <f>"20190312161427573"</f>
        <v>20190312161427573</v>
      </c>
      <c r="B5594" t="str">
        <f>"1552378467562545"</f>
        <v>1552378467562545</v>
      </c>
      <c r="C5594" t="s">
        <v>40</v>
      </c>
      <c r="D5594">
        <v>5.7278739999999999</v>
      </c>
      <c r="E5594">
        <v>0.55262109999999998</v>
      </c>
      <c r="F5594" t="s">
        <v>42</v>
      </c>
      <c r="G5594">
        <v>-327.9615</v>
      </c>
      <c r="H5594" s="1">
        <v>-2.4825590000000001E-6</v>
      </c>
      <c r="I5594">
        <v>13.16879</v>
      </c>
      <c r="J5594">
        <v>-348.06810000000002</v>
      </c>
      <c r="K5594">
        <v>1.1091959999999901</v>
      </c>
      <c r="L5594">
        <v>17.57272</v>
      </c>
      <c r="M5594">
        <v>0.99994459999999996</v>
      </c>
      <c r="N5594">
        <v>0</v>
      </c>
      <c r="O5594">
        <v>-4.245029E-3</v>
      </c>
      <c r="P5594">
        <v>0.99681129999999996</v>
      </c>
      <c r="Q5594">
        <v>-2.1895060000000001E-2</v>
      </c>
      <c r="R5594">
        <v>-7.6730779999999998E-2</v>
      </c>
      <c r="S5594">
        <v>2.9567869999999998</v>
      </c>
      <c r="T5594">
        <v>-0.1617767</v>
      </c>
      <c r="U5594">
        <v>-0.64245609999999997</v>
      </c>
      <c r="V5594">
        <v>7.2486179999999997E-2</v>
      </c>
      <c r="W5594">
        <v>-1.2356209999999999E-2</v>
      </c>
      <c r="X5594">
        <v>0.99729290000000004</v>
      </c>
      <c r="Y5594">
        <v>0.2078864</v>
      </c>
      <c r="Z5594">
        <v>-5.3880689999999997E-3</v>
      </c>
      <c r="AA5594">
        <v>0.97813810000000001</v>
      </c>
      <c r="AB5594">
        <v>29</v>
      </c>
      <c r="AC5594">
        <v>20.1066</v>
      </c>
      <c r="AD5594">
        <v>-1.10919848255899</v>
      </c>
      <c r="AE5594">
        <v>-4.4039299999999999</v>
      </c>
      <c r="AF5594">
        <v>4.3060287146466498</v>
      </c>
      <c r="AG5594">
        <v>-1.10919848255899</v>
      </c>
      <c r="AH5594">
        <v>20.066841162276202</v>
      </c>
      <c r="AI5594">
        <v>93.093535514256303</v>
      </c>
      <c r="AJ5594">
        <v>77.888888246156199</v>
      </c>
      <c r="AK5594">
        <v>20.553596249734301</v>
      </c>
      <c r="AL5594">
        <v>90.707976681807807</v>
      </c>
      <c r="AM5594">
        <v>85.842884428870406</v>
      </c>
      <c r="AN5594">
        <v>1.00000002530348</v>
      </c>
    </row>
    <row r="5595" spans="1:40" x14ac:dyDescent="0.25">
      <c r="A5595" t="str">
        <f>"20190312161427591"</f>
        <v>20190312161427591</v>
      </c>
      <c r="B5595" t="str">
        <f>"1552378467582065"</f>
        <v>1552378467582065</v>
      </c>
      <c r="C5595" t="s">
        <v>40</v>
      </c>
      <c r="D5595">
        <v>5.6315710000000001</v>
      </c>
      <c r="E5595">
        <v>0.5531471</v>
      </c>
      <c r="F5595" t="s">
        <v>42</v>
      </c>
      <c r="G5595">
        <v>-327.99900000000002</v>
      </c>
      <c r="H5595" s="1">
        <v>-2.4642489999999999E-6</v>
      </c>
      <c r="I5595">
        <v>13.1835</v>
      </c>
      <c r="J5595">
        <v>-347.83260000000001</v>
      </c>
      <c r="K5595">
        <v>1.109202</v>
      </c>
      <c r="L5595">
        <v>17.571290000000001</v>
      </c>
      <c r="M5595">
        <v>0.99994190000000005</v>
      </c>
      <c r="N5595">
        <v>0</v>
      </c>
      <c r="O5595">
        <v>-4.6551400000000003E-3</v>
      </c>
      <c r="P5595">
        <v>0.99672620000000001</v>
      </c>
      <c r="Q5595">
        <v>-2.213654E-2</v>
      </c>
      <c r="R5595">
        <v>-7.7764899999999901E-2</v>
      </c>
      <c r="S5595">
        <v>2.9562379999999999</v>
      </c>
      <c r="T5595">
        <v>-0.16338810000000001</v>
      </c>
      <c r="U5595">
        <v>-0.64654540000000005</v>
      </c>
      <c r="V5595">
        <v>7.3111529999999994E-2</v>
      </c>
      <c r="W5595">
        <v>-1.250068E-2</v>
      </c>
      <c r="X5595">
        <v>0.99724539999999995</v>
      </c>
      <c r="Y5595">
        <v>0.20880789999999999</v>
      </c>
      <c r="Z5595">
        <v>-5.444628E-3</v>
      </c>
      <c r="AA5595">
        <v>0.97794150000000002</v>
      </c>
      <c r="AB5595">
        <v>29</v>
      </c>
      <c r="AC5595">
        <v>19.833599999999901</v>
      </c>
      <c r="AD5595">
        <v>-1.109204464249</v>
      </c>
      <c r="AE5595">
        <v>-4.3877899999999999</v>
      </c>
      <c r="AF5595">
        <v>4.2826402270268096</v>
      </c>
      <c r="AG5595">
        <v>-1.109204464249</v>
      </c>
      <c r="AH5595">
        <v>19.794789102884099</v>
      </c>
      <c r="AI5595">
        <v>93.134845571239794</v>
      </c>
      <c r="AJ5595">
        <v>77.792104591518694</v>
      </c>
      <c r="AK5595">
        <v>20.283121492643001</v>
      </c>
      <c r="AL5595">
        <v>90.716254878047195</v>
      </c>
      <c r="AM5595">
        <v>85.806948680206801</v>
      </c>
      <c r="AN5595">
        <v>0.99999997532028095</v>
      </c>
    </row>
    <row r="5596" spans="1:40" x14ac:dyDescent="0.25">
      <c r="A5596" t="str">
        <f>"20190312161427601"</f>
        <v>20190312161427601</v>
      </c>
      <c r="B5596" t="str">
        <f>"1552378467591826"</f>
        <v>1552378467591826</v>
      </c>
      <c r="C5596" t="s">
        <v>40</v>
      </c>
      <c r="D5596">
        <v>5.7519799999999996</v>
      </c>
      <c r="E5596">
        <v>0.55341989999999996</v>
      </c>
      <c r="F5596" t="s">
        <v>42</v>
      </c>
      <c r="G5596">
        <v>-328.29680000000002</v>
      </c>
      <c r="H5596" s="1">
        <v>-2.3324119999999998E-6</v>
      </c>
      <c r="I5596">
        <v>13.24911</v>
      </c>
      <c r="J5596">
        <v>-347.6961</v>
      </c>
      <c r="K5596">
        <v>1.1092059999999999</v>
      </c>
      <c r="L5596">
        <v>17.570399999999999</v>
      </c>
      <c r="M5596">
        <v>0.9999403</v>
      </c>
      <c r="N5596">
        <v>0</v>
      </c>
      <c r="O5596">
        <v>-4.892403E-3</v>
      </c>
      <c r="P5596">
        <v>0.99668769999999995</v>
      </c>
      <c r="Q5596">
        <v>-2.2018909999999999E-2</v>
      </c>
      <c r="R5596">
        <v>-7.8289070000000002E-2</v>
      </c>
      <c r="S5596">
        <v>2.955139</v>
      </c>
      <c r="T5596">
        <v>-0.16778760000000001</v>
      </c>
      <c r="U5596">
        <v>-0.65380859999999996</v>
      </c>
      <c r="V5596">
        <v>7.3399519999999996E-2</v>
      </c>
      <c r="W5596">
        <v>-1.2330799999999999E-2</v>
      </c>
      <c r="X5596">
        <v>0.99722639999999996</v>
      </c>
      <c r="Y5596">
        <v>0.2109248</v>
      </c>
      <c r="Z5596">
        <v>-5.6376119999999898E-3</v>
      </c>
      <c r="AA5596">
        <v>0.97748599999999997</v>
      </c>
      <c r="AB5596">
        <v>29</v>
      </c>
      <c r="AC5596">
        <v>19.399299999999901</v>
      </c>
      <c r="AD5596">
        <v>-1.1092083324119999</v>
      </c>
      <c r="AE5596">
        <v>-4.3212899999999896</v>
      </c>
      <c r="AF5596">
        <v>4.2132015173083399</v>
      </c>
      <c r="AG5596">
        <v>-1.1092083324119999</v>
      </c>
      <c r="AH5596">
        <v>19.359909181726199</v>
      </c>
      <c r="AI5596">
        <v>93.2042855115305</v>
      </c>
      <c r="AJ5596">
        <v>77.722437728179301</v>
      </c>
      <c r="AK5596">
        <v>19.844079562298401</v>
      </c>
      <c r="AL5596">
        <v>90.706520692082606</v>
      </c>
      <c r="AM5596">
        <v>85.790411380854295</v>
      </c>
      <c r="AN5596">
        <v>1.0000000155109099</v>
      </c>
    </row>
    <row r="5597" spans="1:40" x14ac:dyDescent="0.25">
      <c r="A5597" t="str">
        <f>"20190312161427613"</f>
        <v>20190312161427613</v>
      </c>
      <c r="B5597" t="str">
        <f>"1552378467601585"</f>
        <v>1552378467601585</v>
      </c>
      <c r="C5597" t="s">
        <v>40</v>
      </c>
      <c r="D5597">
        <v>5.6867799999999997</v>
      </c>
      <c r="E5597">
        <v>0.55352060000000003</v>
      </c>
      <c r="F5597" t="s">
        <v>42</v>
      </c>
      <c r="G5597">
        <v>-328.23140000000001</v>
      </c>
      <c r="H5597" s="1">
        <v>-2.360289E-6</v>
      </c>
      <c r="I5597">
        <v>13.23884</v>
      </c>
      <c r="J5597">
        <v>-347.55450000000002</v>
      </c>
      <c r="K5597">
        <v>1.10921</v>
      </c>
      <c r="L5597">
        <v>17.569489999999998</v>
      </c>
      <c r="M5597">
        <v>0.99993829999999995</v>
      </c>
      <c r="N5597">
        <v>0</v>
      </c>
      <c r="O5597">
        <v>-5.1386069999999999E-3</v>
      </c>
      <c r="P5597">
        <v>0.99667110000000003</v>
      </c>
      <c r="Q5597">
        <v>-2.1762710000000001E-2</v>
      </c>
      <c r="R5597">
        <v>-7.8568139999999995E-2</v>
      </c>
      <c r="S5597">
        <v>2.9546199999999998</v>
      </c>
      <c r="T5597">
        <v>-0.16837009999999999</v>
      </c>
      <c r="U5597">
        <v>-0.65750120000000001</v>
      </c>
      <c r="V5597">
        <v>7.343355E-2</v>
      </c>
      <c r="W5597">
        <v>-1.202221E-2</v>
      </c>
      <c r="X5597">
        <v>0.99722770000000005</v>
      </c>
      <c r="Y5597">
        <v>0.21188119999999999</v>
      </c>
      <c r="Z5597">
        <v>-5.6704249999999998E-3</v>
      </c>
      <c r="AA5597">
        <v>0.97727889999999995</v>
      </c>
      <c r="AB5597">
        <v>29</v>
      </c>
      <c r="AC5597">
        <v>19.3231</v>
      </c>
      <c r="AD5597">
        <v>-1.1092123602890001</v>
      </c>
      <c r="AE5597">
        <v>-4.3306499999999897</v>
      </c>
      <c r="AF5597">
        <v>4.2180597745574504</v>
      </c>
      <c r="AG5597">
        <v>-1.1092123602890001</v>
      </c>
      <c r="AH5597">
        <v>19.2845928994636</v>
      </c>
      <c r="AI5597">
        <v>93.216048783063499</v>
      </c>
      <c r="AJ5597">
        <v>77.662174254511498</v>
      </c>
      <c r="AK5597">
        <v>19.771643928110699</v>
      </c>
      <c r="AL5597">
        <v>90.688838451156798</v>
      </c>
      <c r="AM5597">
        <v>85.788472193069694</v>
      </c>
      <c r="AN5597">
        <v>1.0000000527230799</v>
      </c>
    </row>
    <row r="5598" spans="1:40" x14ac:dyDescent="0.25">
      <c r="A5598" t="str">
        <f>"20190312161427624"</f>
        <v>20190312161427624</v>
      </c>
      <c r="B5598" t="str">
        <f>"1552378467612321"</f>
        <v>1552378467612321</v>
      </c>
      <c r="C5598" t="s">
        <v>40</v>
      </c>
      <c r="D5598">
        <v>5.8860260000000002</v>
      </c>
      <c r="E5598">
        <v>0.55416200000000004</v>
      </c>
      <c r="F5598" t="s">
        <v>42</v>
      </c>
      <c r="G5598">
        <v>-327.9273</v>
      </c>
      <c r="H5598" s="1">
        <v>-2.4897239999999999E-6</v>
      </c>
      <c r="I5598">
        <v>13.191140000000001</v>
      </c>
      <c r="J5598">
        <v>-347.41129999999998</v>
      </c>
      <c r="K5598">
        <v>1.1092120000000001</v>
      </c>
      <c r="L5598">
        <v>17.56851</v>
      </c>
      <c r="M5598">
        <v>0.99993659999999995</v>
      </c>
      <c r="N5598">
        <v>0</v>
      </c>
      <c r="O5598">
        <v>-5.3876619999999997E-3</v>
      </c>
      <c r="P5598">
        <v>0.99664989999999998</v>
      </c>
      <c r="Q5598">
        <v>-2.1659950000000001E-2</v>
      </c>
      <c r="R5598">
        <v>-7.8865290000000005E-2</v>
      </c>
      <c r="S5598">
        <v>2.9544069999999998</v>
      </c>
      <c r="T5598">
        <v>-0.166966</v>
      </c>
      <c r="U5598">
        <v>-0.65905760000000002</v>
      </c>
      <c r="V5598">
        <v>7.3482679999999995E-2</v>
      </c>
      <c r="W5598">
        <v>-1.1869309999999999E-2</v>
      </c>
      <c r="X5598">
        <v>0.9972259</v>
      </c>
      <c r="Y5598">
        <v>0.21214859999999999</v>
      </c>
      <c r="Z5598">
        <v>-5.6168540000000001E-3</v>
      </c>
      <c r="AA5598">
        <v>0.97722129999999996</v>
      </c>
      <c r="AB5598">
        <v>29</v>
      </c>
      <c r="AC5598">
        <v>19.483999999999899</v>
      </c>
      <c r="AD5598">
        <v>-1.1092144897239999</v>
      </c>
      <c r="AE5598">
        <v>-4.37737</v>
      </c>
      <c r="AF5598">
        <v>4.2591874952019397</v>
      </c>
      <c r="AG5598">
        <v>-1.1092144897239999</v>
      </c>
      <c r="AH5598">
        <v>19.4473024765127</v>
      </c>
      <c r="AI5598">
        <v>93.189013666171306</v>
      </c>
      <c r="AJ5598">
        <v>77.646601910983193</v>
      </c>
      <c r="AK5598">
        <v>19.939122561348501</v>
      </c>
      <c r="AL5598">
        <v>90.680077310300604</v>
      </c>
      <c r="AM5598">
        <v>85.785657080430596</v>
      </c>
      <c r="AN5598">
        <v>1.00000004020533</v>
      </c>
    </row>
    <row r="5599" spans="1:40" x14ac:dyDescent="0.25">
      <c r="A5599" t="str">
        <f>"20190312161427635"</f>
        <v>20190312161427635</v>
      </c>
      <c r="B5599" t="str">
        <f>"1552378467631841"</f>
        <v>1552378467631841</v>
      </c>
      <c r="C5599" t="s">
        <v>40</v>
      </c>
      <c r="D5599">
        <v>5.6686680000000003</v>
      </c>
      <c r="E5599">
        <v>0.55430279999999998</v>
      </c>
      <c r="F5599" t="s">
        <v>42</v>
      </c>
      <c r="G5599">
        <v>-327.63580000000002</v>
      </c>
      <c r="H5599" s="1">
        <v>-2.6217639999999999E-6</v>
      </c>
      <c r="I5599">
        <v>13.115640000000001</v>
      </c>
      <c r="J5599">
        <v>-347.26819999999998</v>
      </c>
      <c r="K5599">
        <v>1.1092150000000001</v>
      </c>
      <c r="L5599">
        <v>17.567499999999999</v>
      </c>
      <c r="M5599">
        <v>0.99993469999999995</v>
      </c>
      <c r="N5599">
        <v>0</v>
      </c>
      <c r="O5599">
        <v>-5.6362249999999999E-3</v>
      </c>
      <c r="P5599">
        <v>0.99663939999999995</v>
      </c>
      <c r="Q5599">
        <v>-2.1517629999999999E-2</v>
      </c>
      <c r="R5599">
        <v>-7.9039129999999999E-2</v>
      </c>
      <c r="S5599">
        <v>2.9538880000000001</v>
      </c>
      <c r="T5599">
        <v>-0.16568479999999999</v>
      </c>
      <c r="U5599">
        <v>-0.66513059999999902</v>
      </c>
      <c r="V5599">
        <v>7.3408829999999994E-2</v>
      </c>
      <c r="W5599">
        <v>-1.1680009999999999E-2</v>
      </c>
      <c r="X5599">
        <v>0.99723349999999999</v>
      </c>
      <c r="Y5599">
        <v>0.21385750000000001</v>
      </c>
      <c r="Z5599">
        <v>-5.6070819999999898E-3</v>
      </c>
      <c r="AA5599">
        <v>0.97684879999999996</v>
      </c>
      <c r="AB5599">
        <v>29</v>
      </c>
      <c r="AC5599">
        <v>19.632399999999901</v>
      </c>
      <c r="AD5599">
        <v>-1.109217621764</v>
      </c>
      <c r="AE5599">
        <v>-4.4518599999999999</v>
      </c>
      <c r="AF5599">
        <v>4.3279911501373602</v>
      </c>
      <c r="AG5599">
        <v>-1.109217621764</v>
      </c>
      <c r="AH5599">
        <v>19.597681330690101</v>
      </c>
      <c r="AI5599">
        <v>93.163389901495094</v>
      </c>
      <c r="AJ5599">
        <v>77.546573706602103</v>
      </c>
      <c r="AK5599">
        <v>20.100521999872999</v>
      </c>
      <c r="AL5599">
        <v>90.669230517218196</v>
      </c>
      <c r="AM5599">
        <v>85.7899092231401</v>
      </c>
      <c r="AN5599">
        <v>0.99999996623890897</v>
      </c>
    </row>
    <row r="5600" spans="1:40" x14ac:dyDescent="0.25">
      <c r="A5600" t="str">
        <f>"20190312161427645"</f>
        <v>20190312161427645</v>
      </c>
      <c r="B5600" t="str">
        <f>"1552378467641602"</f>
        <v>1552378467641602</v>
      </c>
      <c r="C5600" t="s">
        <v>40</v>
      </c>
      <c r="D5600">
        <v>5.6842980000000001</v>
      </c>
      <c r="E5600">
        <v>0.55441200000000002</v>
      </c>
      <c r="F5600" t="s">
        <v>42</v>
      </c>
      <c r="G5600">
        <v>-327.2765</v>
      </c>
      <c r="H5600" s="1">
        <v>-2.775994E-6</v>
      </c>
      <c r="I5600">
        <v>13.05456</v>
      </c>
      <c r="J5600">
        <v>-347.13220000000001</v>
      </c>
      <c r="K5600">
        <v>1.109219</v>
      </c>
      <c r="L5600">
        <v>17.566500000000001</v>
      </c>
      <c r="M5600">
        <v>0.99993310000000002</v>
      </c>
      <c r="N5600">
        <v>0</v>
      </c>
      <c r="O5600">
        <v>-5.8724880000000004E-3</v>
      </c>
      <c r="P5600">
        <v>0.99660879999999996</v>
      </c>
      <c r="Q5600">
        <v>-2.134312E-2</v>
      </c>
      <c r="R5600">
        <v>-7.9471470000000002E-2</v>
      </c>
      <c r="S5600">
        <v>2.953735</v>
      </c>
      <c r="T5600">
        <v>-0.1638848</v>
      </c>
      <c r="U5600">
        <v>-0.6667786</v>
      </c>
      <c r="V5600">
        <v>7.3605939999999995E-2</v>
      </c>
      <c r="W5600">
        <v>-1.146294E-2</v>
      </c>
      <c r="X5600">
        <v>0.99722149999999998</v>
      </c>
      <c r="Y5600">
        <v>0.21416279999999999</v>
      </c>
      <c r="Z5600">
        <v>-5.5416240000000002E-3</v>
      </c>
      <c r="AA5600">
        <v>0.97678229999999999</v>
      </c>
      <c r="AB5600">
        <v>29</v>
      </c>
      <c r="AC5600">
        <v>19.855699999999999</v>
      </c>
      <c r="AD5600">
        <v>-1.109221775994</v>
      </c>
      <c r="AE5600">
        <v>-4.5119400000000001</v>
      </c>
      <c r="AF5600">
        <v>4.3822494165602404</v>
      </c>
      <c r="AG5600">
        <v>-1.109221775994</v>
      </c>
      <c r="AH5600">
        <v>19.823029023716199</v>
      </c>
      <c r="AI5600">
        <v>93.127363048455607</v>
      </c>
      <c r="AJ5600">
        <v>77.534194469220793</v>
      </c>
      <c r="AK5600">
        <v>20.3319197955426</v>
      </c>
      <c r="AL5600">
        <v>90.6567924822766</v>
      </c>
      <c r="AM5600">
        <v>85.778594907683001</v>
      </c>
      <c r="AN5600">
        <v>0.99999997672948804</v>
      </c>
    </row>
    <row r="5601" spans="1:40" x14ac:dyDescent="0.25">
      <c r="A5601" t="str">
        <f>"20190312161427657"</f>
        <v>20190312161427657</v>
      </c>
      <c r="B5601" t="str">
        <f>"1552378467652337"</f>
        <v>1552378467652337</v>
      </c>
      <c r="C5601" t="s">
        <v>40</v>
      </c>
      <c r="D5601">
        <v>5.6365400000000001</v>
      </c>
      <c r="E5601">
        <v>0.55441799999999997</v>
      </c>
      <c r="F5601" t="s">
        <v>42</v>
      </c>
      <c r="G5601">
        <v>-327.0052</v>
      </c>
      <c r="H5601" s="1">
        <v>-2.8924980000000002E-6</v>
      </c>
      <c r="I5601">
        <v>13.00834</v>
      </c>
      <c r="J5601">
        <v>-346.98520000000002</v>
      </c>
      <c r="K5601">
        <v>1.109227</v>
      </c>
      <c r="L5601">
        <v>17.565339999999999</v>
      </c>
      <c r="M5601">
        <v>0.99993109999999996</v>
      </c>
      <c r="N5601">
        <v>0</v>
      </c>
      <c r="O5601">
        <v>-6.1277049999999998E-3</v>
      </c>
      <c r="P5601">
        <v>0.99662550000000005</v>
      </c>
      <c r="Q5601">
        <v>-2.1015909999999999E-2</v>
      </c>
      <c r="R5601">
        <v>-7.9349379999999997E-2</v>
      </c>
      <c r="S5601">
        <v>2.9533999999999998</v>
      </c>
      <c r="T5601">
        <v>-0.16276479999999999</v>
      </c>
      <c r="U5601">
        <v>-0.66885380000000005</v>
      </c>
      <c r="V5601">
        <v>7.3229569999999994E-2</v>
      </c>
      <c r="W5601">
        <v>-1.1092579999999999E-2</v>
      </c>
      <c r="X5601">
        <v>0.99725339999999996</v>
      </c>
      <c r="Y5601">
        <v>0.21459410000000001</v>
      </c>
      <c r="Z5601">
        <v>-5.5018510000000003E-3</v>
      </c>
      <c r="AA5601">
        <v>0.97668779999999999</v>
      </c>
      <c r="AB5601">
        <v>29</v>
      </c>
      <c r="AC5601">
        <v>19.98</v>
      </c>
      <c r="AD5601">
        <v>-1.109229892498</v>
      </c>
      <c r="AE5601">
        <v>-4.5569999999999897</v>
      </c>
      <c r="AF5601">
        <v>4.4215228628171301</v>
      </c>
      <c r="AG5601">
        <v>-1.109229892498</v>
      </c>
      <c r="AH5601">
        <v>19.949104609817599</v>
      </c>
      <c r="AI5601">
        <v>93.107286052823</v>
      </c>
      <c r="AJ5601">
        <v>77.502976173148298</v>
      </c>
      <c r="AK5601">
        <v>20.463309363694599</v>
      </c>
      <c r="AL5601">
        <v>90.635571065383104</v>
      </c>
      <c r="AM5601">
        <v>85.800236690453602</v>
      </c>
      <c r="AN5601">
        <v>0.99999997953249997</v>
      </c>
    </row>
    <row r="5602" spans="1:40" x14ac:dyDescent="0.25">
      <c r="A5602" t="str">
        <f>"20190312161427669"</f>
        <v>20190312161427669</v>
      </c>
      <c r="B5602" t="str">
        <f>"1552378467662097"</f>
        <v>1552378467662097</v>
      </c>
      <c r="C5602" t="s">
        <v>40</v>
      </c>
      <c r="D5602">
        <v>5.673184</v>
      </c>
      <c r="E5602">
        <v>0.55453830000000004</v>
      </c>
      <c r="F5602" t="s">
        <v>42</v>
      </c>
      <c r="G5602">
        <v>-326.76589999999999</v>
      </c>
      <c r="H5602" s="1">
        <v>-2.9897310000000002E-6</v>
      </c>
      <c r="I5602">
        <v>12.988149999999999</v>
      </c>
      <c r="J5602">
        <v>-346.82940000000002</v>
      </c>
      <c r="K5602">
        <v>1.1092310000000001</v>
      </c>
      <c r="L5602">
        <v>17.564150000000001</v>
      </c>
      <c r="M5602">
        <v>0.99992899999999996</v>
      </c>
      <c r="N5602">
        <v>0</v>
      </c>
      <c r="O5602">
        <v>-6.3980670000000003E-3</v>
      </c>
      <c r="P5602">
        <v>0.99662419999999996</v>
      </c>
      <c r="Q5602">
        <v>-2.1053970000000002E-2</v>
      </c>
      <c r="R5602">
        <v>-7.9353670000000001E-2</v>
      </c>
      <c r="S5602">
        <v>2.953522</v>
      </c>
      <c r="T5602">
        <v>-0.16203020000000001</v>
      </c>
      <c r="U5602">
        <v>-0.66860959999999903</v>
      </c>
      <c r="V5602">
        <v>7.296453E-2</v>
      </c>
      <c r="W5602">
        <v>-1.108694E-2</v>
      </c>
      <c r="X5602">
        <v>0.99727290000000002</v>
      </c>
      <c r="Y5602">
        <v>0.2142482</v>
      </c>
      <c r="Z5602">
        <v>-5.4528909999999996E-3</v>
      </c>
      <c r="AA5602">
        <v>0.97676399999999997</v>
      </c>
      <c r="AB5602">
        <v>29</v>
      </c>
      <c r="AC5602">
        <v>20.063500000000001</v>
      </c>
      <c r="AD5602">
        <v>-1.109233989731</v>
      </c>
      <c r="AE5602">
        <v>-4.5759999999999996</v>
      </c>
      <c r="AF5602">
        <v>4.4346476934645498</v>
      </c>
      <c r="AG5602">
        <v>-1.109233989731</v>
      </c>
      <c r="AH5602">
        <v>20.034160603910699</v>
      </c>
      <c r="AI5602">
        <v>93.094317407633298</v>
      </c>
      <c r="AJ5602">
        <v>77.518588853089696</v>
      </c>
      <c r="AK5602">
        <v>20.549065460804101</v>
      </c>
      <c r="AL5602">
        <v>90.635247890673199</v>
      </c>
      <c r="AM5602">
        <v>85.815464345301393</v>
      </c>
      <c r="AN5602">
        <v>0.99999998997554695</v>
      </c>
    </row>
    <row r="5603" spans="1:40" x14ac:dyDescent="0.25">
      <c r="A5603" t="str">
        <f>"20190312161427680"</f>
        <v>20190312161427680</v>
      </c>
      <c r="B5603" t="str">
        <f>"1552378467671857"</f>
        <v>1552378467671857</v>
      </c>
      <c r="C5603" t="s">
        <v>40</v>
      </c>
      <c r="D5603">
        <v>5.588508</v>
      </c>
      <c r="E5603">
        <v>0.55450529999999998</v>
      </c>
      <c r="F5603" t="s">
        <v>42</v>
      </c>
      <c r="G5603">
        <v>-326.68329999999997</v>
      </c>
      <c r="H5603" s="1">
        <v>-3.0191360000000002E-6</v>
      </c>
      <c r="I5603">
        <v>12.996930000000001</v>
      </c>
      <c r="J5603">
        <v>-346.68450000000001</v>
      </c>
      <c r="K5603">
        <v>1.1092329999999999</v>
      </c>
      <c r="L5603">
        <v>17.562929999999898</v>
      </c>
      <c r="M5603">
        <v>0.99992689999999995</v>
      </c>
      <c r="N5603">
        <v>0</v>
      </c>
      <c r="O5603">
        <v>-6.6494259999999999E-3</v>
      </c>
      <c r="P5603">
        <v>0.99660190000000004</v>
      </c>
      <c r="Q5603">
        <v>-2.064357E-2</v>
      </c>
      <c r="R5603">
        <v>-7.9739450000000003E-2</v>
      </c>
      <c r="S5603">
        <v>2.95343</v>
      </c>
      <c r="T5603">
        <v>-0.16261389999999901</v>
      </c>
      <c r="U5603">
        <v>-0.66955569999999998</v>
      </c>
      <c r="V5603">
        <v>7.3100129999999999E-2</v>
      </c>
      <c r="W5603">
        <v>-1.0642739999999999E-2</v>
      </c>
      <c r="X5603">
        <v>0.99726780000000004</v>
      </c>
      <c r="Y5603">
        <v>0.21430489999999999</v>
      </c>
      <c r="Z5603">
        <v>-5.4603669999999998E-3</v>
      </c>
      <c r="AA5603">
        <v>0.97675160000000005</v>
      </c>
      <c r="AB5603">
        <v>29</v>
      </c>
      <c r="AC5603">
        <v>20.001200000000001</v>
      </c>
      <c r="AD5603">
        <v>-1.109236019136</v>
      </c>
      <c r="AE5603">
        <v>-4.5659999999999901</v>
      </c>
      <c r="AF5603">
        <v>4.4199748708477102</v>
      </c>
      <c r="AG5603">
        <v>-1.109236019136</v>
      </c>
      <c r="AH5603">
        <v>19.972734391983401</v>
      </c>
      <c r="AI5603">
        <v>93.103856287483097</v>
      </c>
      <c r="AJ5603">
        <v>77.521531063641504</v>
      </c>
      <c r="AK5603">
        <v>20.486012337636399</v>
      </c>
      <c r="AL5603">
        <v>90.609795608173201</v>
      </c>
      <c r="AM5603">
        <v>85.807693986540997</v>
      </c>
      <c r="AN5603">
        <v>0.99999998091878195</v>
      </c>
    </row>
    <row r="5604" spans="1:40" x14ac:dyDescent="0.25">
      <c r="A5604" t="str">
        <f>"20190312161427692"</f>
        <v>20190312161427692</v>
      </c>
      <c r="B5604" t="str">
        <f>"1552378467681618"</f>
        <v>1552378467681618</v>
      </c>
      <c r="C5604" t="s">
        <v>40</v>
      </c>
      <c r="D5604">
        <v>5.5678080000000003</v>
      </c>
      <c r="E5604">
        <v>0.55464789999999997</v>
      </c>
      <c r="F5604" t="s">
        <v>42</v>
      </c>
      <c r="G5604">
        <v>-326.17930000000001</v>
      </c>
      <c r="H5604" s="1">
        <v>-3.2363210000000002E-6</v>
      </c>
      <c r="I5604">
        <v>12.908110000000001</v>
      </c>
      <c r="J5604">
        <v>-346.53199999999998</v>
      </c>
      <c r="K5604">
        <v>1.1092280000000001</v>
      </c>
      <c r="L5604">
        <v>17.561679999999999</v>
      </c>
      <c r="M5604">
        <v>0.99992479999999995</v>
      </c>
      <c r="N5604">
        <v>0</v>
      </c>
      <c r="O5604">
        <v>-6.9141269999999999E-3</v>
      </c>
      <c r="P5604">
        <v>0.99657130000000005</v>
      </c>
      <c r="Q5604">
        <v>-2.0735489999999999E-2</v>
      </c>
      <c r="R5604">
        <v>-8.0099719999999999E-2</v>
      </c>
      <c r="S5604">
        <v>2.9532780000000001</v>
      </c>
      <c r="T5604">
        <v>-0.15975799999999901</v>
      </c>
      <c r="U5604">
        <v>-0.67041019999999996</v>
      </c>
      <c r="V5604">
        <v>7.3196399999999995E-2</v>
      </c>
      <c r="W5604">
        <v>-1.070246E-2</v>
      </c>
      <c r="X5604">
        <v>0.99726009999999998</v>
      </c>
      <c r="Y5604">
        <v>0.21433679999999999</v>
      </c>
      <c r="Z5604">
        <v>-5.3514319999999997E-3</v>
      </c>
      <c r="AA5604">
        <v>0.97674519999999998</v>
      </c>
      <c r="AB5604">
        <v>29</v>
      </c>
      <c r="AC5604">
        <v>20.352699999999899</v>
      </c>
      <c r="AD5604">
        <v>-1.109231236321</v>
      </c>
      <c r="AE5604">
        <v>-4.6535699999999904</v>
      </c>
      <c r="AF5604">
        <v>4.5000280247436901</v>
      </c>
      <c r="AG5604">
        <v>-1.109231236321</v>
      </c>
      <c r="AH5604">
        <v>20.327012841763501</v>
      </c>
      <c r="AI5604">
        <v>93.049797069224397</v>
      </c>
      <c r="AJ5604">
        <v>77.517094254160497</v>
      </c>
      <c r="AK5604">
        <v>20.848695336359199</v>
      </c>
      <c r="AL5604">
        <v>90.613217506824896</v>
      </c>
      <c r="AM5604">
        <v>85.802160311627702</v>
      </c>
      <c r="AN5604">
        <v>0.99999998133751</v>
      </c>
    </row>
    <row r="5605" spans="1:40" x14ac:dyDescent="0.25">
      <c r="A5605" t="str">
        <f>"20190312161427704"</f>
        <v>20190312161427704</v>
      </c>
      <c r="B5605" t="str">
        <f>"1552378467692353"</f>
        <v>1552378467692353</v>
      </c>
      <c r="C5605" t="s">
        <v>40</v>
      </c>
      <c r="D5605">
        <v>5.5442879999999999</v>
      </c>
      <c r="E5605">
        <v>0.5548419</v>
      </c>
      <c r="F5605" t="s">
        <v>42</v>
      </c>
      <c r="G5605">
        <v>-325.44560000000001</v>
      </c>
      <c r="H5605" s="1">
        <v>-3.5579260000000001E-6</v>
      </c>
      <c r="I5605">
        <v>12.75822</v>
      </c>
      <c r="J5605">
        <v>-346.38339999999999</v>
      </c>
      <c r="K5605">
        <v>1.109227</v>
      </c>
      <c r="L5605">
        <v>17.560359999999999</v>
      </c>
      <c r="M5605">
        <v>0.9999228</v>
      </c>
      <c r="N5605">
        <v>0</v>
      </c>
      <c r="O5605">
        <v>-7.1722369999999997E-3</v>
      </c>
      <c r="P5605">
        <v>0.99651040000000002</v>
      </c>
      <c r="Q5605">
        <v>-2.062756E-2</v>
      </c>
      <c r="R5605">
        <v>-8.0879649999999997E-2</v>
      </c>
      <c r="S5605">
        <v>2.953033</v>
      </c>
      <c r="T5605">
        <v>-0.15534210000000001</v>
      </c>
      <c r="U5605">
        <v>-0.67269899999999905</v>
      </c>
      <c r="V5605">
        <v>7.3719519999999997E-2</v>
      </c>
      <c r="W5605">
        <v>-1.056959E-2</v>
      </c>
      <c r="X5605">
        <v>0.99722299999999997</v>
      </c>
      <c r="Y5605">
        <v>0.21483730000000001</v>
      </c>
      <c r="Z5605">
        <v>-5.2032889999999998E-3</v>
      </c>
      <c r="AA5605">
        <v>0.97663599999999995</v>
      </c>
      <c r="AB5605">
        <v>29</v>
      </c>
      <c r="AC5605">
        <v>20.9377999999999</v>
      </c>
      <c r="AD5605">
        <v>-1.109230557926</v>
      </c>
      <c r="AE5605">
        <v>-4.8021399999999996</v>
      </c>
      <c r="AF5605">
        <v>4.6394674351339704</v>
      </c>
      <c r="AG5605">
        <v>-1.109230557926</v>
      </c>
      <c r="AH5605">
        <v>20.915936067331899</v>
      </c>
      <c r="AI5605">
        <v>92.963807675282197</v>
      </c>
      <c r="AJ5605">
        <v>77.493430751568397</v>
      </c>
      <c r="AK5605">
        <v>21.453005199389199</v>
      </c>
      <c r="AL5605">
        <v>90.605604175845201</v>
      </c>
      <c r="AM5605">
        <v>85.772110872165698</v>
      </c>
      <c r="AN5605">
        <v>0.99999999779539905</v>
      </c>
    </row>
    <row r="5606" spans="1:40" x14ac:dyDescent="0.25">
      <c r="A5606" t="str">
        <f>"20190312161427714"</f>
        <v>20190312161427714</v>
      </c>
      <c r="B5606" t="str">
        <f>"1552378467711874"</f>
        <v>1552378467711874</v>
      </c>
      <c r="C5606" t="s">
        <v>40</v>
      </c>
      <c r="D5606">
        <v>5.5357079999999996</v>
      </c>
      <c r="E5606">
        <v>0.55522079999999996</v>
      </c>
      <c r="F5606" t="s">
        <v>42</v>
      </c>
      <c r="G5606">
        <v>-324.64769999999999</v>
      </c>
      <c r="H5606" s="1">
        <v>-3.9118810000000003E-6</v>
      </c>
      <c r="I5606">
        <v>12.57958</v>
      </c>
      <c r="J5606">
        <v>-346.24549999999999</v>
      </c>
      <c r="K5606">
        <v>1.109226</v>
      </c>
      <c r="L5606">
        <v>17.55911</v>
      </c>
      <c r="M5606">
        <v>0.9999207</v>
      </c>
      <c r="N5606">
        <v>0</v>
      </c>
      <c r="O5606">
        <v>-7.4114819999999996E-3</v>
      </c>
      <c r="P5606">
        <v>0.9964615</v>
      </c>
      <c r="Q5606">
        <v>-2.0431390000000001E-2</v>
      </c>
      <c r="R5606">
        <v>-8.1529229999999994E-2</v>
      </c>
      <c r="S5606">
        <v>2.952515</v>
      </c>
      <c r="T5606">
        <v>-0.15067459999999999</v>
      </c>
      <c r="U5606">
        <v>-0.67657469999999997</v>
      </c>
      <c r="V5606">
        <v>7.4131210000000003E-2</v>
      </c>
      <c r="W5606">
        <v>-1.03534E-2</v>
      </c>
      <c r="X5606">
        <v>0.99719480000000005</v>
      </c>
      <c r="Y5606">
        <v>0.21587419999999999</v>
      </c>
      <c r="Z5606">
        <v>-5.0613469999999999E-3</v>
      </c>
      <c r="AA5606">
        <v>0.9764081</v>
      </c>
      <c r="AB5606">
        <v>29</v>
      </c>
      <c r="AC5606">
        <v>21.597799999999999</v>
      </c>
      <c r="AD5606">
        <v>-1.1092299118810001</v>
      </c>
      <c r="AE5606">
        <v>-4.9795299999999996</v>
      </c>
      <c r="AF5606">
        <v>4.8072731220496498</v>
      </c>
      <c r="AG5606">
        <v>-1.1092299118810001</v>
      </c>
      <c r="AH5606">
        <v>21.5800658242316</v>
      </c>
      <c r="AI5606">
        <v>92.872172786662901</v>
      </c>
      <c r="AJ5606">
        <v>77.441586205471495</v>
      </c>
      <c r="AK5606">
        <v>22.1368359718719</v>
      </c>
      <c r="AL5606">
        <v>90.593216692867301</v>
      </c>
      <c r="AM5606">
        <v>85.748466577663905</v>
      </c>
      <c r="AN5606">
        <v>1.00000004916733</v>
      </c>
    </row>
    <row r="5607" spans="1:40" x14ac:dyDescent="0.25">
      <c r="A5607" t="str">
        <f>"20190312161427725"</f>
        <v>20190312161427725</v>
      </c>
      <c r="B5607" t="str">
        <f>"1552378467721634"</f>
        <v>1552378467721634</v>
      </c>
      <c r="C5607" t="s">
        <v>40</v>
      </c>
      <c r="D5607">
        <v>5.5037449999999897</v>
      </c>
      <c r="E5607">
        <v>0.55538569999999998</v>
      </c>
      <c r="F5607" t="s">
        <v>42</v>
      </c>
      <c r="G5607">
        <v>-322.73129999999998</v>
      </c>
      <c r="H5607" s="1">
        <v>-4.7678829999999999E-6</v>
      </c>
      <c r="I5607">
        <v>12.12837</v>
      </c>
      <c r="J5607">
        <v>-346.09710000000001</v>
      </c>
      <c r="K5607">
        <v>1.109232</v>
      </c>
      <c r="L5607">
        <v>17.557739999999999</v>
      </c>
      <c r="M5607">
        <v>0.99991859999999999</v>
      </c>
      <c r="N5607">
        <v>0</v>
      </c>
      <c r="O5607">
        <v>-7.66908E-3</v>
      </c>
      <c r="P5607">
        <v>0.99641380000000002</v>
      </c>
      <c r="Q5607">
        <v>-2.0422389999999999E-2</v>
      </c>
      <c r="R5607">
        <v>-8.2114229999999996E-2</v>
      </c>
      <c r="S5607">
        <v>2.9520569999999999</v>
      </c>
      <c r="T5607">
        <v>-0.13925650000000001</v>
      </c>
      <c r="U5607">
        <v>-0.68179319999999999</v>
      </c>
      <c r="V5607">
        <v>7.4459520000000001E-2</v>
      </c>
      <c r="W5607">
        <v>-1.0325000000000001E-2</v>
      </c>
      <c r="X5607">
        <v>0.99717060000000002</v>
      </c>
      <c r="Y5607">
        <v>0.217331</v>
      </c>
      <c r="Z5607">
        <v>-4.6999310000000001E-3</v>
      </c>
      <c r="AA5607">
        <v>0.97608660000000003</v>
      </c>
      <c r="AB5607">
        <v>29</v>
      </c>
      <c r="AC5607">
        <v>23.3658</v>
      </c>
      <c r="AD5607">
        <v>-1.109236767883</v>
      </c>
      <c r="AE5607">
        <v>-5.4293699999999898</v>
      </c>
      <c r="AF5607">
        <v>5.2388051682860297</v>
      </c>
      <c r="AG5607">
        <v>-1.109236767883</v>
      </c>
      <c r="AH5607">
        <v>23.356811562676299</v>
      </c>
      <c r="AI5607">
        <v>92.653165945798406</v>
      </c>
      <c r="AJ5607">
        <v>77.358094859967693</v>
      </c>
      <c r="AK5607">
        <v>23.9628072681991</v>
      </c>
      <c r="AL5607">
        <v>90.591589425673604</v>
      </c>
      <c r="AM5607">
        <v>85.729603765533298</v>
      </c>
      <c r="AN5607">
        <v>1.0000000156239901</v>
      </c>
    </row>
    <row r="5608" spans="1:40" x14ac:dyDescent="0.25">
      <c r="A5608" t="str">
        <f>"20190312161427737"</f>
        <v>20190312161427737</v>
      </c>
      <c r="B5608" t="str">
        <f>"1552378467732369"</f>
        <v>1552378467732369</v>
      </c>
      <c r="C5608" t="s">
        <v>40</v>
      </c>
      <c r="D5608">
        <v>5.4711480000000003</v>
      </c>
      <c r="E5608">
        <v>0.55552950000000001</v>
      </c>
      <c r="F5608" t="s">
        <v>42</v>
      </c>
      <c r="G5608">
        <v>-322.03699999999998</v>
      </c>
      <c r="H5608" s="1">
        <v>-5.1002300000000003E-6</v>
      </c>
      <c r="I5608">
        <v>11.97414</v>
      </c>
      <c r="J5608">
        <v>-345.96300000000002</v>
      </c>
      <c r="K5608">
        <v>1.1092340000000001</v>
      </c>
      <c r="L5608">
        <v>17.556519999999999</v>
      </c>
      <c r="M5608">
        <v>0.99991680000000005</v>
      </c>
      <c r="N5608">
        <v>0</v>
      </c>
      <c r="O5608">
        <v>-7.9018479999999995E-3</v>
      </c>
      <c r="P5608">
        <v>0.99632690000000002</v>
      </c>
      <c r="Q5608">
        <v>-2.026561E-2</v>
      </c>
      <c r="R5608">
        <v>-8.319944E-2</v>
      </c>
      <c r="S5608">
        <v>2.9515690000000001</v>
      </c>
      <c r="T5608">
        <v>-0.13607559999999999</v>
      </c>
      <c r="U5608">
        <v>-0.68496699999999999</v>
      </c>
      <c r="V5608">
        <v>7.5313690000000003E-2</v>
      </c>
      <c r="W5608">
        <v>-1.0156E-2</v>
      </c>
      <c r="X5608">
        <v>0.9971082</v>
      </c>
      <c r="Y5608">
        <v>0.2181447</v>
      </c>
      <c r="Z5608">
        <v>-4.6007979999999997E-3</v>
      </c>
      <c r="AA5608">
        <v>0.97590560000000004</v>
      </c>
      <c r="AB5608">
        <v>29</v>
      </c>
      <c r="AC5608">
        <v>23.925999999999899</v>
      </c>
      <c r="AD5608">
        <v>-1.1092391002299999</v>
      </c>
      <c r="AE5608">
        <v>-5.5823799999999997</v>
      </c>
      <c r="AF5608">
        <v>5.3821652544177896</v>
      </c>
      <c r="AG5608">
        <v>-1.1092391002299999</v>
      </c>
      <c r="AH5608">
        <v>23.920606612022901</v>
      </c>
      <c r="AI5608">
        <v>92.590333044573498</v>
      </c>
      <c r="AJ5608">
        <v>77.319550924945005</v>
      </c>
      <c r="AK5608">
        <v>24.543706625008699</v>
      </c>
      <c r="AL5608">
        <v>90.581905923318303</v>
      </c>
      <c r="AM5608">
        <v>85.680530539095002</v>
      </c>
      <c r="AN5608">
        <v>1.0000000293723199</v>
      </c>
    </row>
    <row r="5609" spans="1:40" x14ac:dyDescent="0.25">
      <c r="A5609" t="str">
        <f>"20190312161427748"</f>
        <v>20190312161427748</v>
      </c>
      <c r="B5609" t="str">
        <f>"1552378467742129"</f>
        <v>1552378467742129</v>
      </c>
      <c r="C5609" t="s">
        <v>40</v>
      </c>
      <c r="D5609">
        <v>5.4920669999999996</v>
      </c>
      <c r="E5609">
        <v>0.55564559999999996</v>
      </c>
      <c r="F5609" t="s">
        <v>42</v>
      </c>
      <c r="G5609">
        <v>-321.2072</v>
      </c>
      <c r="H5609" s="1">
        <v>-5.5280799999999999E-6</v>
      </c>
      <c r="I5609">
        <v>11.7736</v>
      </c>
      <c r="J5609">
        <v>-345.8066</v>
      </c>
      <c r="K5609">
        <v>1.1092329999999999</v>
      </c>
      <c r="L5609">
        <v>17.55499</v>
      </c>
      <c r="M5609">
        <v>0.99991430000000003</v>
      </c>
      <c r="N5609">
        <v>0</v>
      </c>
      <c r="O5609">
        <v>-8.1736020000000003E-3</v>
      </c>
      <c r="P5609">
        <v>0.99626950000000003</v>
      </c>
      <c r="Q5609">
        <v>-1.9686240000000001E-2</v>
      </c>
      <c r="R5609">
        <v>-8.4023539999999994E-2</v>
      </c>
      <c r="S5609">
        <v>2.950806</v>
      </c>
      <c r="T5609">
        <v>-0.1322169</v>
      </c>
      <c r="U5609">
        <v>-0.68930049999999998</v>
      </c>
      <c r="V5609">
        <v>7.5867680000000007E-2</v>
      </c>
      <c r="W5609">
        <v>-9.5630420000000008E-3</v>
      </c>
      <c r="X5609">
        <v>0.99707199999999996</v>
      </c>
      <c r="Y5609">
        <v>0.21930540000000001</v>
      </c>
      <c r="Z5609">
        <v>-4.4844940000000003E-3</v>
      </c>
      <c r="AA5609">
        <v>0.97564600000000001</v>
      </c>
      <c r="AB5609">
        <v>29</v>
      </c>
      <c r="AC5609">
        <v>24.599399999999999</v>
      </c>
      <c r="AD5609">
        <v>-1.1092385280799999</v>
      </c>
      <c r="AE5609">
        <v>-5.78139</v>
      </c>
      <c r="AF5609">
        <v>5.5693891664655002</v>
      </c>
      <c r="AG5609">
        <v>-1.1092385280799999</v>
      </c>
      <c r="AH5609">
        <v>24.598437532877501</v>
      </c>
      <c r="AI5609">
        <v>92.518283838509106</v>
      </c>
      <c r="AJ5609">
        <v>77.242619364198205</v>
      </c>
      <c r="AK5609">
        <v>25.245427999116899</v>
      </c>
      <c r="AL5609">
        <v>90.547930316881605</v>
      </c>
      <c r="AM5609">
        <v>85.648721734242699</v>
      </c>
      <c r="AN5609">
        <v>0.99999996491243703</v>
      </c>
    </row>
    <row r="5610" spans="1:40" x14ac:dyDescent="0.25">
      <c r="A5610" t="str">
        <f>"20190312161427761"</f>
        <v>20190312161427761</v>
      </c>
      <c r="B5610" t="str">
        <f>"1552378467751889"</f>
        <v>1552378467751889</v>
      </c>
      <c r="C5610" t="s">
        <v>40</v>
      </c>
      <c r="D5610">
        <v>5.5662919999999998</v>
      </c>
      <c r="E5610">
        <v>0.55579369999999995</v>
      </c>
      <c r="F5610" t="s">
        <v>42</v>
      </c>
      <c r="G5610">
        <v>-319.96010000000001</v>
      </c>
      <c r="H5610" s="1">
        <v>-6.1686310000000003E-6</v>
      </c>
      <c r="I5610">
        <v>11.48564</v>
      </c>
      <c r="J5610">
        <v>-345.63560000000001</v>
      </c>
      <c r="K5610">
        <v>1.1092360000000001</v>
      </c>
      <c r="L5610">
        <v>17.553279999999901</v>
      </c>
      <c r="M5610">
        <v>0.99991169999999996</v>
      </c>
      <c r="N5610">
        <v>0</v>
      </c>
      <c r="O5610">
        <v>-8.4705919999999903E-3</v>
      </c>
      <c r="P5610">
        <v>0.99621309999999996</v>
      </c>
      <c r="Q5610">
        <v>-1.9228329999999998E-2</v>
      </c>
      <c r="R5610">
        <v>-8.4793010000000002E-2</v>
      </c>
      <c r="S5610">
        <v>2.950348</v>
      </c>
      <c r="T5610">
        <v>-0.1266186</v>
      </c>
      <c r="U5610">
        <v>-0.69281009999999998</v>
      </c>
      <c r="V5610">
        <v>7.6341919999999994E-2</v>
      </c>
      <c r="W5610">
        <v>-9.0980599999999998E-3</v>
      </c>
      <c r="X5610">
        <v>0.99704020000000004</v>
      </c>
      <c r="Y5610">
        <v>0.22016540000000001</v>
      </c>
      <c r="Z5610">
        <v>-4.3004940000000002E-3</v>
      </c>
      <c r="AA5610">
        <v>0.97545309999999996</v>
      </c>
      <c r="AB5610">
        <v>29</v>
      </c>
      <c r="AC5610">
        <v>25.6755</v>
      </c>
      <c r="AD5610">
        <v>-1.1092421686309999</v>
      </c>
      <c r="AE5610">
        <v>-6.0676399999999902</v>
      </c>
      <c r="AF5610">
        <v>5.8396014186411502</v>
      </c>
      <c r="AG5610">
        <v>-1.1092421686309999</v>
      </c>
      <c r="AH5610">
        <v>25.680581848509298</v>
      </c>
      <c r="AI5610">
        <v>92.411792659835399</v>
      </c>
      <c r="AJ5610">
        <v>77.1891456602293</v>
      </c>
      <c r="AK5610">
        <v>26.359507715343401</v>
      </c>
      <c r="AL5610">
        <v>90.521287625276898</v>
      </c>
      <c r="AM5610">
        <v>85.621488737874699</v>
      </c>
      <c r="AN5610">
        <v>1.0000000119305399</v>
      </c>
    </row>
    <row r="5611" spans="1:40" x14ac:dyDescent="0.25">
      <c r="A5611" t="str">
        <f>"20190312161427782"</f>
        <v>20190312161427782</v>
      </c>
      <c r="B5611" t="str">
        <f>"1552378467772385"</f>
        <v>1552378467772385</v>
      </c>
      <c r="C5611" t="s">
        <v>40</v>
      </c>
      <c r="D5611">
        <v>5.4709989999999999</v>
      </c>
      <c r="E5611">
        <v>0.55594370000000004</v>
      </c>
      <c r="F5611" t="s">
        <v>41</v>
      </c>
      <c r="G5611">
        <v>-318.61779999999999</v>
      </c>
      <c r="H5611">
        <v>-0.05</v>
      </c>
      <c r="I5611">
        <v>11.17592</v>
      </c>
      <c r="J5611">
        <v>-345.3689</v>
      </c>
      <c r="K5611">
        <v>1.109232</v>
      </c>
      <c r="L5611">
        <v>17.550539999999899</v>
      </c>
      <c r="M5611">
        <v>0.99990780000000001</v>
      </c>
      <c r="N5611">
        <v>0</v>
      </c>
      <c r="O5611">
        <v>-8.9338709999999995E-3</v>
      </c>
      <c r="P5611">
        <v>0.99608059999999998</v>
      </c>
      <c r="Q5611">
        <v>-1.819571E-2</v>
      </c>
      <c r="R5611">
        <v>-8.6561399999999997E-2</v>
      </c>
      <c r="S5611">
        <v>2.9497070000000001</v>
      </c>
      <c r="T5611">
        <v>-0.12656139999999999</v>
      </c>
      <c r="U5611">
        <v>-0.6962585</v>
      </c>
      <c r="V5611">
        <v>7.7650549999999999E-2</v>
      </c>
      <c r="W5611">
        <v>-8.0610370000000001E-3</v>
      </c>
      <c r="X5611">
        <v>0.9969481</v>
      </c>
      <c r="Y5611">
        <v>0.22084110000000001</v>
      </c>
      <c r="Z5611">
        <v>-4.2935959999999898E-3</v>
      </c>
      <c r="AA5611">
        <v>0.97530039999999996</v>
      </c>
      <c r="AB5611">
        <v>29</v>
      </c>
      <c r="AC5611">
        <v>26.751100000000001</v>
      </c>
      <c r="AD5611">
        <v>-1.159232</v>
      </c>
      <c r="AE5611">
        <v>-6.3746199999999904</v>
      </c>
      <c r="AF5611">
        <v>6.1244794079392797</v>
      </c>
      <c r="AG5611">
        <v>-1.159232</v>
      </c>
      <c r="AH5611">
        <v>26.7594355764999</v>
      </c>
      <c r="AI5611">
        <v>92.418083682953196</v>
      </c>
      <c r="AJ5611">
        <v>77.108645571201194</v>
      </c>
      <c r="AK5611">
        <v>27.475815897274899</v>
      </c>
      <c r="AL5611">
        <v>90.461868377118904</v>
      </c>
      <c r="AM5611">
        <v>85.546323263016205</v>
      </c>
      <c r="AN5611">
        <v>1.0000000511632099</v>
      </c>
    </row>
    <row r="5612" spans="1:40" x14ac:dyDescent="0.25">
      <c r="A5612" t="str">
        <f>"20190312161427794"</f>
        <v>20190312161427794</v>
      </c>
      <c r="B5612" t="str">
        <f>"1552378467782145"</f>
        <v>1552378467782145</v>
      </c>
      <c r="C5612" t="s">
        <v>40</v>
      </c>
      <c r="D5612">
        <v>5.4606320000000004</v>
      </c>
      <c r="E5612">
        <v>0.55606309999999903</v>
      </c>
      <c r="F5612" t="s">
        <v>41</v>
      </c>
      <c r="G5612">
        <v>-316.4819</v>
      </c>
      <c r="H5612">
        <v>-0.05</v>
      </c>
      <c r="I5612">
        <v>10.66568</v>
      </c>
      <c r="J5612">
        <v>-345.21030000000002</v>
      </c>
      <c r="K5612">
        <v>1.1092249999999999</v>
      </c>
      <c r="L5612">
        <v>17.548829999999999</v>
      </c>
      <c r="M5612">
        <v>0.99990500000000004</v>
      </c>
      <c r="N5612">
        <v>0</v>
      </c>
      <c r="O5612">
        <v>-9.2092489999999992E-3</v>
      </c>
      <c r="P5612">
        <v>0.99603229999999998</v>
      </c>
      <c r="Q5612">
        <v>-1.8094160000000001E-2</v>
      </c>
      <c r="R5612">
        <v>-8.7134699999999995E-2</v>
      </c>
      <c r="S5612">
        <v>2.9485779999999999</v>
      </c>
      <c r="T5612">
        <v>-0.11832620000000001</v>
      </c>
      <c r="U5612">
        <v>-0.70275880000000002</v>
      </c>
      <c r="V5612">
        <v>7.7949840000000006E-2</v>
      </c>
      <c r="W5612">
        <v>-7.9587040000000005E-3</v>
      </c>
      <c r="X5612">
        <v>0.99692550000000002</v>
      </c>
      <c r="Y5612">
        <v>0.2227131</v>
      </c>
      <c r="Z5612">
        <v>-4.0410680000000001E-3</v>
      </c>
      <c r="AA5612">
        <v>0.97487570000000001</v>
      </c>
      <c r="AB5612">
        <v>29</v>
      </c>
      <c r="AC5612">
        <v>28.728400000000001</v>
      </c>
      <c r="AD5612">
        <v>-1.1592249999999999</v>
      </c>
      <c r="AE5612">
        <v>-6.8831499999999899</v>
      </c>
      <c r="AF5612">
        <v>6.6081018633692699</v>
      </c>
      <c r="AG5612">
        <v>-1.1592249999999999</v>
      </c>
      <c r="AH5612">
        <v>28.7463093280405</v>
      </c>
      <c r="AI5612">
        <v>92.2506241481464</v>
      </c>
      <c r="AJ5612">
        <v>77.053954502080799</v>
      </c>
      <c r="AK5612">
        <v>29.5188264133362</v>
      </c>
      <c r="AL5612">
        <v>90.456004970241295</v>
      </c>
      <c r="AM5612">
        <v>85.529125891787103</v>
      </c>
      <c r="AN5612">
        <v>0.99999998553781699</v>
      </c>
    </row>
    <row r="5613" spans="1:40" x14ac:dyDescent="0.25">
      <c r="A5613" t="str">
        <f>"20190312161427804"</f>
        <v>20190312161427804</v>
      </c>
      <c r="B5613" t="str">
        <f>"1552378467791905"</f>
        <v>1552378467791905</v>
      </c>
      <c r="C5613" t="s">
        <v>40</v>
      </c>
      <c r="D5613">
        <v>5.4910209999999999</v>
      </c>
      <c r="E5613">
        <v>0.55622579999999999</v>
      </c>
      <c r="F5613" t="s">
        <v>41</v>
      </c>
      <c r="G5613">
        <v>-315.50490000000002</v>
      </c>
      <c r="H5613">
        <v>-0.05</v>
      </c>
      <c r="I5613">
        <v>10.440810000000001</v>
      </c>
      <c r="J5613">
        <v>-345.07299999999998</v>
      </c>
      <c r="K5613">
        <v>1.109224</v>
      </c>
      <c r="L5613">
        <v>17.547329999999999</v>
      </c>
      <c r="M5613">
        <v>0.99990299999999999</v>
      </c>
      <c r="N5613">
        <v>0</v>
      </c>
      <c r="O5613">
        <v>-9.4479049999999995E-3</v>
      </c>
      <c r="P5613">
        <v>0.99600739999999999</v>
      </c>
      <c r="Q5613">
        <v>-1.7869909999999999E-2</v>
      </c>
      <c r="R5613">
        <v>-8.7465379999999995E-2</v>
      </c>
      <c r="S5613">
        <v>2.9481510000000002</v>
      </c>
      <c r="T5613">
        <v>-0.115049</v>
      </c>
      <c r="U5613">
        <v>-0.70544430000000002</v>
      </c>
      <c r="V5613">
        <v>7.8043150000000006E-2</v>
      </c>
      <c r="W5613">
        <v>-7.7343430000000003E-3</v>
      </c>
      <c r="X5613">
        <v>0.99692000000000003</v>
      </c>
      <c r="Y5613">
        <v>0.2233609</v>
      </c>
      <c r="Z5613">
        <v>-3.9326589999999998E-3</v>
      </c>
      <c r="AA5613">
        <v>0.97472789999999998</v>
      </c>
      <c r="AB5613">
        <v>29</v>
      </c>
      <c r="AC5613">
        <v>29.568100000000001</v>
      </c>
      <c r="AD5613">
        <v>-1.159224</v>
      </c>
      <c r="AE5613">
        <v>-7.10651999999999</v>
      </c>
      <c r="AF5613">
        <v>6.8169258113517497</v>
      </c>
      <c r="AG5613">
        <v>-1.159224</v>
      </c>
      <c r="AH5613">
        <v>29.5909265278937</v>
      </c>
      <c r="AI5613">
        <v>92.186209107851198</v>
      </c>
      <c r="AJ5613">
        <v>77.026984983398805</v>
      </c>
      <c r="AK5613">
        <v>30.388109690779601</v>
      </c>
      <c r="AL5613">
        <v>90.443149620685901</v>
      </c>
      <c r="AM5613">
        <v>85.523771165897102</v>
      </c>
      <c r="AN5613">
        <v>1.00000001986178</v>
      </c>
    </row>
    <row r="5614" spans="1:40" x14ac:dyDescent="0.25">
      <c r="A5614" t="str">
        <f>"20190312161427815"</f>
        <v>20190312161427815</v>
      </c>
      <c r="B5614" t="str">
        <f>"1552378467812401"</f>
        <v>1552378467812401</v>
      </c>
      <c r="C5614" t="s">
        <v>40</v>
      </c>
      <c r="D5614">
        <v>5.4452550000000004</v>
      </c>
      <c r="E5614">
        <v>0.55641689999999999</v>
      </c>
      <c r="F5614" t="s">
        <v>41</v>
      </c>
      <c r="G5614">
        <v>-314.4769</v>
      </c>
      <c r="H5614">
        <v>-0.05</v>
      </c>
      <c r="I5614">
        <v>10.20119</v>
      </c>
      <c r="J5614">
        <v>-344.93169999999998</v>
      </c>
      <c r="K5614">
        <v>1.109224</v>
      </c>
      <c r="L5614">
        <v>17.545750000000002</v>
      </c>
      <c r="M5614">
        <v>0.99990060000000003</v>
      </c>
      <c r="N5614">
        <v>0</v>
      </c>
      <c r="O5614">
        <v>-9.6931059999999999E-3</v>
      </c>
      <c r="P5614">
        <v>0.99596859999999998</v>
      </c>
      <c r="Q5614">
        <v>-1.771638E-2</v>
      </c>
      <c r="R5614">
        <v>-8.7937210000000002E-2</v>
      </c>
      <c r="S5614">
        <v>2.9479060000000001</v>
      </c>
      <c r="T5614">
        <v>-0.11169</v>
      </c>
      <c r="U5614">
        <v>-0.70779419999999904</v>
      </c>
      <c r="V5614">
        <v>7.8270909999999999E-2</v>
      </c>
      <c r="W5614">
        <v>-7.5833530000000001E-3</v>
      </c>
      <c r="X5614">
        <v>0.99690330000000005</v>
      </c>
      <c r="Y5614">
        <v>0.22388359999999999</v>
      </c>
      <c r="Z5614">
        <v>-3.8184870000000002E-3</v>
      </c>
      <c r="AA5614">
        <v>0.97460840000000004</v>
      </c>
      <c r="AB5614">
        <v>29</v>
      </c>
      <c r="AC5614">
        <v>30.454799999999899</v>
      </c>
      <c r="AD5614">
        <v>-1.159224</v>
      </c>
      <c r="AE5614">
        <v>-7.3445600000000004</v>
      </c>
      <c r="AF5614">
        <v>7.03935943543613</v>
      </c>
      <c r="AG5614">
        <v>-1.159224</v>
      </c>
      <c r="AH5614">
        <v>30.4828268473997</v>
      </c>
      <c r="AI5614">
        <v>92.122043540051294</v>
      </c>
      <c r="AJ5614">
        <v>76.996708827324099</v>
      </c>
      <c r="AK5614">
        <v>31.306534687697301</v>
      </c>
      <c r="AL5614">
        <v>90.434498279008295</v>
      </c>
      <c r="AM5614">
        <v>85.510686230166598</v>
      </c>
      <c r="AN5614">
        <v>1.0000000160729201</v>
      </c>
    </row>
    <row r="5615" spans="1:40" x14ac:dyDescent="0.25">
      <c r="A5615" t="str">
        <f>"20190312161427826"</f>
        <v>20190312161427826</v>
      </c>
      <c r="B5615" t="str">
        <f>"1552378467822162"</f>
        <v>1552378467822162</v>
      </c>
      <c r="C5615" t="s">
        <v>40</v>
      </c>
      <c r="D5615">
        <v>5.4346990000000002</v>
      </c>
      <c r="E5615">
        <v>0.55649939999999998</v>
      </c>
      <c r="F5615" t="s">
        <v>41</v>
      </c>
      <c r="G5615">
        <v>-312.86779999999999</v>
      </c>
      <c r="H5615">
        <v>-0.05</v>
      </c>
      <c r="I5615">
        <v>9.8132780000000004</v>
      </c>
      <c r="J5615">
        <v>-344.7946</v>
      </c>
      <c r="K5615">
        <v>1.109224</v>
      </c>
      <c r="L5615">
        <v>17.544160000000002</v>
      </c>
      <c r="M5615">
        <v>0.99989839999999997</v>
      </c>
      <c r="N5615">
        <v>0</v>
      </c>
      <c r="O5615">
        <v>-9.9311499999999997E-3</v>
      </c>
      <c r="P5615">
        <v>0.99590409999999996</v>
      </c>
      <c r="Q5615">
        <v>-1.7500310000000002E-2</v>
      </c>
      <c r="R5615">
        <v>-8.870691E-2</v>
      </c>
      <c r="S5615">
        <v>2.9475099999999999</v>
      </c>
      <c r="T5615">
        <v>-0.10656309999999999</v>
      </c>
      <c r="U5615">
        <v>-0.71081539999999999</v>
      </c>
      <c r="V5615">
        <v>7.8804109999999997E-2</v>
      </c>
      <c r="W5615">
        <v>-7.371285E-3</v>
      </c>
      <c r="X5615">
        <v>0.9968629</v>
      </c>
      <c r="Y5615">
        <v>0.22463830000000001</v>
      </c>
      <c r="Z5615">
        <v>-3.6483319999999998E-3</v>
      </c>
      <c r="AA5615">
        <v>0.97443539999999995</v>
      </c>
      <c r="AB5615">
        <v>29</v>
      </c>
      <c r="AC5615">
        <v>31.9268</v>
      </c>
      <c r="AD5615">
        <v>-1.159224</v>
      </c>
      <c r="AE5615">
        <v>-7.7308820000000003</v>
      </c>
      <c r="AF5615">
        <v>7.4041937606457102</v>
      </c>
      <c r="AG5615">
        <v>-1.159224</v>
      </c>
      <c r="AH5615">
        <v>31.962203005393199</v>
      </c>
      <c r="AI5615">
        <v>92.023585756191395</v>
      </c>
      <c r="AJ5615">
        <v>76.957225437852102</v>
      </c>
      <c r="AK5615">
        <v>32.829077149462002</v>
      </c>
      <c r="AL5615">
        <v>90.422347331188604</v>
      </c>
      <c r="AM5615">
        <v>85.480047834187204</v>
      </c>
      <c r="AN5615">
        <v>1.00000003249592</v>
      </c>
    </row>
    <row r="5616" spans="1:40" x14ac:dyDescent="0.25">
      <c r="A5616" t="str">
        <f>"20190312161427837"</f>
        <v>20190312161427837</v>
      </c>
      <c r="B5616" t="str">
        <f>"1552378467831922"</f>
        <v>1552378467831922</v>
      </c>
      <c r="C5616" t="s">
        <v>40</v>
      </c>
      <c r="D5616">
        <v>5.3860400000000004</v>
      </c>
      <c r="E5616">
        <v>0.55652179999999996</v>
      </c>
      <c r="F5616" t="s">
        <v>41</v>
      </c>
      <c r="G5616">
        <v>-311.87819999999999</v>
      </c>
      <c r="H5616">
        <v>-0.05</v>
      </c>
      <c r="I5616">
        <v>9.5713810000000006</v>
      </c>
      <c r="J5616">
        <v>-344.65570000000002</v>
      </c>
      <c r="K5616">
        <v>1.1092219999999999</v>
      </c>
      <c r="L5616">
        <v>17.542570000000001</v>
      </c>
      <c r="M5616">
        <v>0.99989600000000001</v>
      </c>
      <c r="N5616">
        <v>0</v>
      </c>
      <c r="O5616">
        <v>-1.0172520000000001E-2</v>
      </c>
      <c r="P5616">
        <v>0.99584760000000005</v>
      </c>
      <c r="Q5616">
        <v>-1.753671E-2</v>
      </c>
      <c r="R5616">
        <v>-8.9332040000000001E-2</v>
      </c>
      <c r="S5616">
        <v>2.9468990000000002</v>
      </c>
      <c r="T5616">
        <v>-0.10378130000000001</v>
      </c>
      <c r="U5616">
        <v>-0.71377559999999995</v>
      </c>
      <c r="V5616">
        <v>7.9189229999999999E-2</v>
      </c>
      <c r="W5616">
        <v>-7.4136810000000001E-3</v>
      </c>
      <c r="X5616">
        <v>0.99683200000000005</v>
      </c>
      <c r="Y5616">
        <v>0.22538030000000001</v>
      </c>
      <c r="Z5616">
        <v>-3.5579589999999999E-3</v>
      </c>
      <c r="AA5616">
        <v>0.97426440000000003</v>
      </c>
      <c r="AB5616">
        <v>29</v>
      </c>
      <c r="AC5616">
        <v>32.777500000000003</v>
      </c>
      <c r="AD5616">
        <v>-1.159222</v>
      </c>
      <c r="AE5616">
        <v>-7.9711889999999999</v>
      </c>
      <c r="AF5616">
        <v>7.62832073586147</v>
      </c>
      <c r="AG5616">
        <v>-1.159222</v>
      </c>
      <c r="AH5616">
        <v>32.818138964919903</v>
      </c>
      <c r="AI5616">
        <v>91.970505558940204</v>
      </c>
      <c r="AJ5616">
        <v>76.914408587631499</v>
      </c>
      <c r="AK5616">
        <v>33.712984412763703</v>
      </c>
      <c r="AL5616">
        <v>90.424776537380794</v>
      </c>
      <c r="AM5616">
        <v>85.4579105777743</v>
      </c>
      <c r="AN5616">
        <v>0.99999996651898004</v>
      </c>
    </row>
    <row r="5617" spans="1:40" x14ac:dyDescent="0.25">
      <c r="A5617" t="str">
        <f>"20190312161427846"</f>
        <v>20190312161427846</v>
      </c>
      <c r="B5617" t="str">
        <f>"1552378467841682"</f>
        <v>1552378467841682</v>
      </c>
      <c r="C5617" t="s">
        <v>40</v>
      </c>
      <c r="D5617">
        <v>5.3032680000000001</v>
      </c>
      <c r="E5617">
        <v>0.55666260000000001</v>
      </c>
      <c r="F5617" t="s">
        <v>41</v>
      </c>
      <c r="G5617">
        <v>-311.202</v>
      </c>
      <c r="H5617">
        <v>-0.05</v>
      </c>
      <c r="I5617">
        <v>9.4152070000000005</v>
      </c>
      <c r="J5617">
        <v>-344.52499999999998</v>
      </c>
      <c r="K5617">
        <v>1.1092200000000001</v>
      </c>
      <c r="L5617">
        <v>17.54102</v>
      </c>
      <c r="M5617">
        <v>0.99989360000000005</v>
      </c>
      <c r="N5617">
        <v>0</v>
      </c>
      <c r="O5617">
        <v>-1.0399230000000001E-2</v>
      </c>
      <c r="P5617">
        <v>0.99577130000000003</v>
      </c>
      <c r="Q5617">
        <v>-1.7437399999999999E-2</v>
      </c>
      <c r="R5617">
        <v>-9.0199139999999997E-2</v>
      </c>
      <c r="S5617">
        <v>2.9464419999999998</v>
      </c>
      <c r="T5617">
        <v>-0.10209890000000001</v>
      </c>
      <c r="U5617">
        <v>-0.71582029999999996</v>
      </c>
      <c r="V5617">
        <v>7.9831120000000005E-2</v>
      </c>
      <c r="W5617">
        <v>-7.3209190000000004E-3</v>
      </c>
      <c r="X5617">
        <v>0.99678149999999999</v>
      </c>
      <c r="Y5617">
        <v>0.22583639999999999</v>
      </c>
      <c r="Z5617">
        <v>-3.5006120000000002E-3</v>
      </c>
      <c r="AA5617">
        <v>0.97415890000000005</v>
      </c>
      <c r="AB5617">
        <v>29</v>
      </c>
      <c r="AC5617">
        <v>33.322999999999901</v>
      </c>
      <c r="AD5617">
        <v>-1.1592199999999999</v>
      </c>
      <c r="AE5617">
        <v>-8.1258129999999902</v>
      </c>
      <c r="AF5617">
        <v>7.7699467356800103</v>
      </c>
      <c r="AG5617">
        <v>-1.1592199999999999</v>
      </c>
      <c r="AH5617">
        <v>33.367590704397898</v>
      </c>
      <c r="AI5617">
        <v>91.937901412969893</v>
      </c>
      <c r="AJ5617">
        <v>76.891749666658797</v>
      </c>
      <c r="AK5617">
        <v>34.279906252787903</v>
      </c>
      <c r="AL5617">
        <v>90.419461515717003</v>
      </c>
      <c r="AM5617">
        <v>85.421018365262299</v>
      </c>
      <c r="AN5617">
        <v>0.99999998115885402</v>
      </c>
    </row>
    <row r="5618" spans="1:40" x14ac:dyDescent="0.25">
      <c r="A5618" t="str">
        <f>"20190312161427860"</f>
        <v>20190312161427860</v>
      </c>
      <c r="B5618" t="str">
        <f>"1552378467852417"</f>
        <v>1552378467852417</v>
      </c>
      <c r="C5618" t="s">
        <v>40</v>
      </c>
      <c r="D5618">
        <v>5.3705259999999999</v>
      </c>
      <c r="E5618">
        <v>0.55672010000000005</v>
      </c>
      <c r="F5618" t="s">
        <v>41</v>
      </c>
      <c r="G5618">
        <v>-311.30759999999998</v>
      </c>
      <c r="H5618">
        <v>-0.05</v>
      </c>
      <c r="I5618">
        <v>9.4279329999999995</v>
      </c>
      <c r="J5618">
        <v>-344.36099999999999</v>
      </c>
      <c r="K5618">
        <v>1.1092200000000001</v>
      </c>
      <c r="L5618">
        <v>17.539000000000001</v>
      </c>
      <c r="M5618">
        <v>0.99989070000000002</v>
      </c>
      <c r="N5618">
        <v>0</v>
      </c>
      <c r="O5618">
        <v>-1.0683740000000001E-2</v>
      </c>
      <c r="P5618">
        <v>0.99567260000000002</v>
      </c>
      <c r="Q5618">
        <v>-1.7218669999999998E-2</v>
      </c>
      <c r="R5618">
        <v>-9.1323039999999994E-2</v>
      </c>
      <c r="S5618">
        <v>2.94577</v>
      </c>
      <c r="T5618">
        <v>-0.10280160000000001</v>
      </c>
      <c r="U5618">
        <v>-0.71948239999999997</v>
      </c>
      <c r="V5618">
        <v>8.0672640000000004E-2</v>
      </c>
      <c r="W5618">
        <v>-7.1112190000000002E-3</v>
      </c>
      <c r="X5618">
        <v>0.99671529999999997</v>
      </c>
      <c r="Y5618">
        <v>0.22675120000000001</v>
      </c>
      <c r="Z5618">
        <v>-3.530909E-3</v>
      </c>
      <c r="AA5618">
        <v>0.97394630000000004</v>
      </c>
      <c r="AB5618">
        <v>29</v>
      </c>
      <c r="AC5618">
        <v>33.053400000000003</v>
      </c>
      <c r="AD5618">
        <v>-1.1592199999999999</v>
      </c>
      <c r="AE5618">
        <v>-8.1110670000000002</v>
      </c>
      <c r="AF5618">
        <v>7.74846247804689</v>
      </c>
      <c r="AG5618">
        <v>-1.1592199999999999</v>
      </c>
      <c r="AH5618">
        <v>33.099774565952501</v>
      </c>
      <c r="AI5618">
        <v>91.953035509863994</v>
      </c>
      <c r="AJ5618">
        <v>76.824645681337799</v>
      </c>
      <c r="AK5618">
        <v>34.014372522493701</v>
      </c>
      <c r="AL5618">
        <v>90.407446263165198</v>
      </c>
      <c r="AM5618">
        <v>85.372652679869404</v>
      </c>
      <c r="AN5618">
        <v>1.0000000167671601</v>
      </c>
    </row>
    <row r="5619" spans="1:40" x14ac:dyDescent="0.25">
      <c r="A5619" t="str">
        <f>"20190312161427870"</f>
        <v>20190312161427870</v>
      </c>
      <c r="B5619" t="str">
        <f>"1552378467862176"</f>
        <v>1552378467862176</v>
      </c>
      <c r="C5619" t="s">
        <v>40</v>
      </c>
      <c r="D5619">
        <v>5.3595709999999999</v>
      </c>
      <c r="E5619">
        <v>0.55673430000000002</v>
      </c>
      <c r="F5619" t="s">
        <v>41</v>
      </c>
      <c r="G5619">
        <v>-310.2518</v>
      </c>
      <c r="H5619">
        <v>-0.05</v>
      </c>
      <c r="I5619">
        <v>9.1620030000000003</v>
      </c>
      <c r="J5619">
        <v>-344.21589999999998</v>
      </c>
      <c r="K5619">
        <v>1.1092200000000001</v>
      </c>
      <c r="L5619">
        <v>17.537199999999999</v>
      </c>
      <c r="M5619">
        <v>0.99988809999999995</v>
      </c>
      <c r="N5619">
        <v>0</v>
      </c>
      <c r="O5619">
        <v>-1.093559E-2</v>
      </c>
      <c r="P5619">
        <v>0.99556140000000004</v>
      </c>
      <c r="Q5619">
        <v>-1.730195E-2</v>
      </c>
      <c r="R5619">
        <v>-9.2512520000000001E-2</v>
      </c>
      <c r="S5619">
        <v>2.9449770000000002</v>
      </c>
      <c r="T5619">
        <v>-0.1000867</v>
      </c>
      <c r="U5619">
        <v>-0.72326659999999998</v>
      </c>
      <c r="V5619">
        <v>8.1612149999999994E-2</v>
      </c>
      <c r="W5619">
        <v>-7.2029109999999898E-3</v>
      </c>
      <c r="X5619">
        <v>0.99663809999999997</v>
      </c>
      <c r="Y5619">
        <v>0.22775290000000001</v>
      </c>
      <c r="Z5619">
        <v>-3.446438E-3</v>
      </c>
      <c r="AA5619">
        <v>0.97371289999999999</v>
      </c>
      <c r="AB5619">
        <v>29</v>
      </c>
      <c r="AC5619">
        <v>33.964099999999902</v>
      </c>
      <c r="AD5619">
        <v>-1.1592199999999999</v>
      </c>
      <c r="AE5619">
        <v>-8.3751969999999893</v>
      </c>
      <c r="AF5619">
        <v>7.99448031440002</v>
      </c>
      <c r="AG5619">
        <v>-1.1592199999999999</v>
      </c>
      <c r="AH5619">
        <v>34.016306921820998</v>
      </c>
      <c r="AI5619">
        <v>91.900061739382593</v>
      </c>
      <c r="AJ5619">
        <v>76.774414167487393</v>
      </c>
      <c r="AK5619">
        <v>34.962331774429103</v>
      </c>
      <c r="AL5619">
        <v>90.412699984168896</v>
      </c>
      <c r="AM5619">
        <v>85.318639927446199</v>
      </c>
      <c r="AN5619">
        <v>0.99999996366305199</v>
      </c>
    </row>
    <row r="5620" spans="1:40" x14ac:dyDescent="0.25">
      <c r="A5620" t="str">
        <f>"20190312161427880"</f>
        <v>20190312161427880</v>
      </c>
      <c r="B5620" t="str">
        <f>"1552378467871938"</f>
        <v>1552378467871938</v>
      </c>
      <c r="C5620" t="s">
        <v>40</v>
      </c>
      <c r="D5620">
        <v>5.3189830000000002</v>
      </c>
      <c r="E5620">
        <v>0.55679969999999901</v>
      </c>
      <c r="F5620" t="s">
        <v>41</v>
      </c>
      <c r="G5620">
        <v>-309.779</v>
      </c>
      <c r="H5620">
        <v>-0.05</v>
      </c>
      <c r="I5620">
        <v>9.0343630000000008</v>
      </c>
      <c r="J5620">
        <v>-344.07639999999998</v>
      </c>
      <c r="K5620">
        <v>1.109219</v>
      </c>
      <c r="L5620">
        <v>17.535429999999899</v>
      </c>
      <c r="M5620">
        <v>0.99988549999999998</v>
      </c>
      <c r="N5620">
        <v>0</v>
      </c>
      <c r="O5620">
        <v>-1.1177670000000001E-2</v>
      </c>
      <c r="P5620">
        <v>0.99545939999999999</v>
      </c>
      <c r="Q5620">
        <v>-1.6959950000000001E-2</v>
      </c>
      <c r="R5620">
        <v>-9.3664810000000001E-2</v>
      </c>
      <c r="S5620">
        <v>2.9440919999999999</v>
      </c>
      <c r="T5620">
        <v>-9.9104639999999994E-2</v>
      </c>
      <c r="U5620">
        <v>-0.72692869999999998</v>
      </c>
      <c r="V5620">
        <v>8.2524630000000002E-2</v>
      </c>
      <c r="W5620">
        <v>-6.8688109999999998E-3</v>
      </c>
      <c r="X5620">
        <v>0.99656529999999999</v>
      </c>
      <c r="Y5620">
        <v>0.22872870000000001</v>
      </c>
      <c r="Z5620">
        <v>-3.4212919999999998E-3</v>
      </c>
      <c r="AA5620">
        <v>0.97348420000000002</v>
      </c>
      <c r="AB5620">
        <v>29</v>
      </c>
      <c r="AC5620">
        <v>34.297399999999897</v>
      </c>
      <c r="AD5620">
        <v>-1.159219</v>
      </c>
      <c r="AE5620">
        <v>-8.5010669999999902</v>
      </c>
      <c r="AF5620">
        <v>8.1084241786555395</v>
      </c>
      <c r="AG5620">
        <v>-1.159219</v>
      </c>
      <c r="AH5620">
        <v>34.353311331116998</v>
      </c>
      <c r="AI5620">
        <v>91.881009836410499</v>
      </c>
      <c r="AJ5620">
        <v>76.719516394749604</v>
      </c>
      <c r="AK5620">
        <v>35.316289878236297</v>
      </c>
      <c r="AL5620">
        <v>90.393556996517404</v>
      </c>
      <c r="AM5620">
        <v>85.266191413893196</v>
      </c>
      <c r="AN5620">
        <v>0.99999994614263799</v>
      </c>
    </row>
    <row r="5621" spans="1:40" x14ac:dyDescent="0.25">
      <c r="A5621" t="str">
        <f>"20190312161427892"</f>
        <v>20190312161427892</v>
      </c>
      <c r="B5621" t="str">
        <f>"1552378467881698"</f>
        <v>1552378467881698</v>
      </c>
      <c r="C5621" t="s">
        <v>40</v>
      </c>
      <c r="D5621">
        <v>5.3393189999999997</v>
      </c>
      <c r="E5621">
        <v>0.55682379999999998</v>
      </c>
      <c r="F5621" t="s">
        <v>41</v>
      </c>
      <c r="G5621">
        <v>-308.58920000000001</v>
      </c>
      <c r="H5621">
        <v>-0.05</v>
      </c>
      <c r="I5621">
        <v>8.7228549999999991</v>
      </c>
      <c r="J5621">
        <v>-343.93299999999999</v>
      </c>
      <c r="K5621">
        <v>1.10921</v>
      </c>
      <c r="L5621">
        <v>17.533570000000001</v>
      </c>
      <c r="M5621">
        <v>0.99988270000000001</v>
      </c>
      <c r="N5621">
        <v>0</v>
      </c>
      <c r="O5621">
        <v>-1.142642E-2</v>
      </c>
      <c r="P5621">
        <v>0.99535070000000003</v>
      </c>
      <c r="Q5621">
        <v>-1.6969379999999999E-2</v>
      </c>
      <c r="R5621">
        <v>-9.4810969999999994E-2</v>
      </c>
      <c r="S5621">
        <v>2.9432369999999999</v>
      </c>
      <c r="T5621">
        <v>-9.6143010000000001E-2</v>
      </c>
      <c r="U5621">
        <v>-0.73089599999999999</v>
      </c>
      <c r="V5621">
        <v>8.3423860000000002E-2</v>
      </c>
      <c r="W5621">
        <v>-6.8872289999999999E-3</v>
      </c>
      <c r="X5621">
        <v>0.9964904</v>
      </c>
      <c r="Y5621">
        <v>0.2297949</v>
      </c>
      <c r="Z5621">
        <v>-3.328662E-3</v>
      </c>
      <c r="AA5621">
        <v>0.97323340000000003</v>
      </c>
      <c r="AB5621">
        <v>29</v>
      </c>
      <c r="AC5621">
        <v>35.343800000000002</v>
      </c>
      <c r="AD5621">
        <v>-1.1592100000000001</v>
      </c>
      <c r="AE5621">
        <v>-8.8107150000000001</v>
      </c>
      <c r="AF5621">
        <v>8.3977605615750104</v>
      </c>
      <c r="AG5621">
        <v>-1.1592100000000001</v>
      </c>
      <c r="AH5621">
        <v>35.406313793804699</v>
      </c>
      <c r="AI5621">
        <v>91.824621060978799</v>
      </c>
      <c r="AJ5621">
        <v>76.6569989816294</v>
      </c>
      <c r="AK5621">
        <v>36.407048860612299</v>
      </c>
      <c r="AL5621">
        <v>90.394612255870101</v>
      </c>
      <c r="AM5621">
        <v>85.214489689040903</v>
      </c>
      <c r="AN5621">
        <v>1.00000004581637</v>
      </c>
    </row>
    <row r="5622" spans="1:40" x14ac:dyDescent="0.25">
      <c r="A5622" t="str">
        <f>"20190312161427903"</f>
        <v>20190312161427903</v>
      </c>
      <c r="B5622" t="str">
        <f>"1552378467892434"</f>
        <v>1552378467892434</v>
      </c>
      <c r="C5622" t="s">
        <v>40</v>
      </c>
      <c r="D5622">
        <v>5.3324949999999998</v>
      </c>
      <c r="E5622">
        <v>0.55683680000000002</v>
      </c>
      <c r="F5622" t="s">
        <v>41</v>
      </c>
      <c r="G5622">
        <v>-307.55759999999998</v>
      </c>
      <c r="H5622">
        <v>-0.05</v>
      </c>
      <c r="I5622">
        <v>8.45356799999999</v>
      </c>
      <c r="J5622">
        <v>-343.78809999999999</v>
      </c>
      <c r="K5622">
        <v>1.109205</v>
      </c>
      <c r="L5622">
        <v>17.531649999999999</v>
      </c>
      <c r="M5622">
        <v>0.99987990000000004</v>
      </c>
      <c r="N5622">
        <v>0</v>
      </c>
      <c r="O5622">
        <v>-1.167791E-2</v>
      </c>
      <c r="P5622">
        <v>0.99523189999999995</v>
      </c>
      <c r="Q5622">
        <v>-1.6732730000000001E-2</v>
      </c>
      <c r="R5622">
        <v>-9.6092040000000004E-2</v>
      </c>
      <c r="S5622">
        <v>2.9424739999999998</v>
      </c>
      <c r="T5622">
        <v>-9.3770619999999999E-2</v>
      </c>
      <c r="U5622">
        <v>-0.73449709999999901</v>
      </c>
      <c r="V5622">
        <v>8.4456080000000003E-2</v>
      </c>
      <c r="W5622">
        <v>-6.6613039999999998E-3</v>
      </c>
      <c r="X5622">
        <v>0.99640490000000004</v>
      </c>
      <c r="Y5622">
        <v>0.23073560000000001</v>
      </c>
      <c r="Z5622">
        <v>-3.253784E-3</v>
      </c>
      <c r="AA5622">
        <v>0.97301099999999996</v>
      </c>
      <c r="AB5622">
        <v>29</v>
      </c>
      <c r="AC5622">
        <v>36.230499999999999</v>
      </c>
      <c r="AD5622">
        <v>-1.15920499999999</v>
      </c>
      <c r="AE5622">
        <v>-9.0780820000000002</v>
      </c>
      <c r="AF5622">
        <v>8.6460163759102109</v>
      </c>
      <c r="AG5622">
        <v>-1.15920499999999</v>
      </c>
      <c r="AH5622">
        <v>36.299083589627699</v>
      </c>
      <c r="AI5622">
        <v>91.779363983553694</v>
      </c>
      <c r="AJ5622">
        <v>76.602457301893196</v>
      </c>
      <c r="AK5622">
        <v>37.332570563133103</v>
      </c>
      <c r="AL5622">
        <v>90.381667441808503</v>
      </c>
      <c r="AM5622">
        <v>85.155143993621706</v>
      </c>
      <c r="AN5622">
        <v>0.99999996358197696</v>
      </c>
    </row>
    <row r="5623" spans="1:40" x14ac:dyDescent="0.25">
      <c r="A5623" t="str">
        <f>"20190312161427914"</f>
        <v>20190312161427914</v>
      </c>
      <c r="B5623" t="str">
        <f>"1552378467902193"</f>
        <v>1552378467902193</v>
      </c>
      <c r="C5623" t="s">
        <v>40</v>
      </c>
      <c r="D5623">
        <v>5.3048580000000003</v>
      </c>
      <c r="E5623">
        <v>0.55698800000000004</v>
      </c>
      <c r="F5623" t="s">
        <v>41</v>
      </c>
      <c r="G5623">
        <v>-306.27080000000001</v>
      </c>
      <c r="H5623">
        <v>-0.05</v>
      </c>
      <c r="I5623">
        <v>8.1124880000000008</v>
      </c>
      <c r="J5623">
        <v>-343.64890000000003</v>
      </c>
      <c r="K5623">
        <v>1.1092040000000001</v>
      </c>
      <c r="L5623">
        <v>17.529789999999998</v>
      </c>
      <c r="M5623">
        <v>0.99987720000000002</v>
      </c>
      <c r="N5623">
        <v>0</v>
      </c>
      <c r="O5623">
        <v>-1.191949E-2</v>
      </c>
      <c r="P5623">
        <v>0.99511249999999996</v>
      </c>
      <c r="Q5623">
        <v>-1.6828269999999999E-2</v>
      </c>
      <c r="R5623">
        <v>-9.7305240000000001E-2</v>
      </c>
      <c r="S5623">
        <v>2.9414980000000002</v>
      </c>
      <c r="T5623">
        <v>-9.0885759999999996E-2</v>
      </c>
      <c r="U5623">
        <v>-0.73849489999999995</v>
      </c>
      <c r="V5623">
        <v>8.5429699999999997E-2</v>
      </c>
      <c r="W5623">
        <v>-6.7680290000000001E-3</v>
      </c>
      <c r="X5623">
        <v>0.99632120000000002</v>
      </c>
      <c r="Y5623">
        <v>0.23182659999999999</v>
      </c>
      <c r="Z5623">
        <v>-3.1634810000000001E-3</v>
      </c>
      <c r="AA5623">
        <v>0.97275199999999995</v>
      </c>
      <c r="AB5623">
        <v>29</v>
      </c>
      <c r="AC5623">
        <v>37.378100000000003</v>
      </c>
      <c r="AD5623">
        <v>-1.1592039999999999</v>
      </c>
      <c r="AE5623">
        <v>-9.4173019999999905</v>
      </c>
      <c r="AF5623">
        <v>8.9629759291757196</v>
      </c>
      <c r="AG5623">
        <v>-1.1592039999999999</v>
      </c>
      <c r="AH5623">
        <v>37.453826676154797</v>
      </c>
      <c r="AI5623">
        <v>91.724100795001505</v>
      </c>
      <c r="AJ5623">
        <v>76.541797238692695</v>
      </c>
      <c r="AK5623">
        <v>38.528792144421601</v>
      </c>
      <c r="AL5623">
        <v>90.387782462987204</v>
      </c>
      <c r="AM5623">
        <v>85.099152668279501</v>
      </c>
      <c r="AN5623">
        <v>0.999999986714037</v>
      </c>
    </row>
    <row r="5624" spans="1:40" x14ac:dyDescent="0.25">
      <c r="A5624" t="str">
        <f>"20190312161427924"</f>
        <v>20190312161427924</v>
      </c>
      <c r="B5624" t="str">
        <f>"1552378467921714"</f>
        <v>1552378467921714</v>
      </c>
      <c r="C5624" t="s">
        <v>40</v>
      </c>
      <c r="D5624">
        <v>5.2939910000000001</v>
      </c>
      <c r="E5624">
        <v>0.55726279999999995</v>
      </c>
      <c r="F5624" t="s">
        <v>41</v>
      </c>
      <c r="G5624">
        <v>-305.29230000000001</v>
      </c>
      <c r="H5624">
        <v>-0.05</v>
      </c>
      <c r="I5624">
        <v>7.8332519999999999</v>
      </c>
      <c r="J5624">
        <v>-343.5059</v>
      </c>
      <c r="K5624">
        <v>1.1092</v>
      </c>
      <c r="L5624">
        <v>17.52786</v>
      </c>
      <c r="M5624">
        <v>0.99987420000000005</v>
      </c>
      <c r="N5624">
        <v>0</v>
      </c>
      <c r="O5624">
        <v>-1.2167509999999999E-2</v>
      </c>
      <c r="P5624">
        <v>0.99497720000000001</v>
      </c>
      <c r="Q5624">
        <v>-1.679025E-2</v>
      </c>
      <c r="R5624">
        <v>-9.8684090000000002E-2</v>
      </c>
      <c r="S5624">
        <v>2.940582</v>
      </c>
      <c r="T5624">
        <v>-8.8869569999999995E-2</v>
      </c>
      <c r="U5624">
        <v>-0.74337769999999903</v>
      </c>
      <c r="V5624">
        <v>8.6562940000000005E-2</v>
      </c>
      <c r="W5624">
        <v>-6.7424669999999898E-3</v>
      </c>
      <c r="X5624">
        <v>0.99622359999999999</v>
      </c>
      <c r="Y5624">
        <v>0.23317930000000001</v>
      </c>
      <c r="Z5624">
        <v>-3.1063990000000001E-3</v>
      </c>
      <c r="AA5624">
        <v>0.97242879999999998</v>
      </c>
      <c r="AB5624">
        <v>29</v>
      </c>
      <c r="AC5624">
        <v>38.2135999999999</v>
      </c>
      <c r="AD5624">
        <v>-1.1592</v>
      </c>
      <c r="AE5624">
        <v>-9.6946080000000006</v>
      </c>
      <c r="AF5624">
        <v>9.2209298463789295</v>
      </c>
      <c r="AG5624">
        <v>-1.1592</v>
      </c>
      <c r="AH5624">
        <v>38.295627608451902</v>
      </c>
      <c r="AI5624">
        <v>91.685654259479804</v>
      </c>
      <c r="AJ5624">
        <v>76.461863863200193</v>
      </c>
      <c r="AK5624">
        <v>39.407161605437501</v>
      </c>
      <c r="AL5624">
        <v>90.386317817214902</v>
      </c>
      <c r="AM5624">
        <v>85.033980947579806</v>
      </c>
      <c r="AN5624">
        <v>1.0000000323198199</v>
      </c>
    </row>
    <row r="5625" spans="1:40" x14ac:dyDescent="0.25">
      <c r="A5625" t="str">
        <f>"20190312161427937"</f>
        <v>20190312161427937</v>
      </c>
      <c r="B5625" t="str">
        <f>"1552378467932449"</f>
        <v>1552378467932449</v>
      </c>
      <c r="C5625" t="s">
        <v>40</v>
      </c>
      <c r="D5625">
        <v>5.322406</v>
      </c>
      <c r="E5625">
        <v>0.55730259999999998</v>
      </c>
      <c r="F5625" t="s">
        <v>41</v>
      </c>
      <c r="G5625">
        <v>-303.48950000000002</v>
      </c>
      <c r="H5625">
        <v>-0.05</v>
      </c>
      <c r="I5625">
        <v>7.3214110000000003</v>
      </c>
      <c r="J5625">
        <v>-343.3458</v>
      </c>
      <c r="K5625">
        <v>1.1091979999999999</v>
      </c>
      <c r="L5625">
        <v>17.525600000000001</v>
      </c>
      <c r="M5625">
        <v>0.99987099999999995</v>
      </c>
      <c r="N5625">
        <v>0</v>
      </c>
      <c r="O5625">
        <v>-1.2445319999999999E-2</v>
      </c>
      <c r="P5625">
        <v>0.99481470000000005</v>
      </c>
      <c r="Q5625">
        <v>-1.6969270000000002E-2</v>
      </c>
      <c r="R5625">
        <v>-0.10027990000000001</v>
      </c>
      <c r="S5625">
        <v>2.9393310000000001</v>
      </c>
      <c r="T5625">
        <v>-8.5146780000000005E-2</v>
      </c>
      <c r="U5625">
        <v>-0.74969479999999999</v>
      </c>
      <c r="V5625">
        <v>8.7883630000000004E-2</v>
      </c>
      <c r="W5625">
        <v>-6.9353549999999998E-3</v>
      </c>
      <c r="X5625">
        <v>0.99610659999999895</v>
      </c>
      <c r="Y5625">
        <v>0.23497750000000001</v>
      </c>
      <c r="Z5625">
        <v>-2.9944939999999999E-3</v>
      </c>
      <c r="AA5625">
        <v>0.97199619999999998</v>
      </c>
      <c r="AB5625">
        <v>29</v>
      </c>
      <c r="AC5625">
        <v>39.856299999999898</v>
      </c>
      <c r="AD5625">
        <v>-1.159198</v>
      </c>
      <c r="AE5625">
        <v>-10.204189</v>
      </c>
      <c r="AF5625">
        <v>9.6996484299365804</v>
      </c>
      <c r="AG5625">
        <v>-1.159198</v>
      </c>
      <c r="AH5625">
        <v>39.9485000974705</v>
      </c>
      <c r="AI5625">
        <v>91.615199701033205</v>
      </c>
      <c r="AJ5625">
        <v>76.352465913967706</v>
      </c>
      <c r="AK5625">
        <v>41.125534400238202</v>
      </c>
      <c r="AL5625">
        <v>90.397369758452996</v>
      </c>
      <c r="AM5625">
        <v>84.958012886758198</v>
      </c>
      <c r="AN5625">
        <v>0.99999999506725601</v>
      </c>
    </row>
    <row r="5626" spans="1:40" x14ac:dyDescent="0.25">
      <c r="A5626" t="str">
        <f>"20190312161427949"</f>
        <v>20190312161427949</v>
      </c>
      <c r="B5626" t="str">
        <f>"1552378467942212"</f>
        <v>1552378467942212</v>
      </c>
      <c r="C5626" t="s">
        <v>40</v>
      </c>
      <c r="D5626">
        <v>5.3487330000000002</v>
      </c>
      <c r="E5626">
        <v>0.55734659999999903</v>
      </c>
      <c r="F5626" t="s">
        <v>41</v>
      </c>
      <c r="G5626">
        <v>-303.17200000000003</v>
      </c>
      <c r="H5626">
        <v>-0.05</v>
      </c>
      <c r="I5626">
        <v>7.2061159999999997</v>
      </c>
      <c r="J5626">
        <v>-343.19510000000002</v>
      </c>
      <c r="K5626">
        <v>1.1091959999999901</v>
      </c>
      <c r="L5626">
        <v>17.52347</v>
      </c>
      <c r="M5626">
        <v>0.99986770000000003</v>
      </c>
      <c r="N5626">
        <v>0</v>
      </c>
      <c r="O5626">
        <v>-1.2706449999999999E-2</v>
      </c>
      <c r="P5626">
        <v>0.99467269999999997</v>
      </c>
      <c r="Q5626">
        <v>-1.7047449999999999E-2</v>
      </c>
      <c r="R5626">
        <v>-0.1016643</v>
      </c>
      <c r="S5626">
        <v>2.9381710000000001</v>
      </c>
      <c r="T5626">
        <v>-8.477962E-2</v>
      </c>
      <c r="U5626">
        <v>-0.75473020000000002</v>
      </c>
      <c r="V5626">
        <v>8.9009599999999994E-2</v>
      </c>
      <c r="W5626">
        <v>-7.0262759999999997E-3</v>
      </c>
      <c r="X5626">
        <v>0.99600599999999995</v>
      </c>
      <c r="Y5626">
        <v>0.2363789</v>
      </c>
      <c r="Z5626">
        <v>-2.9945879999999999E-3</v>
      </c>
      <c r="AA5626">
        <v>0.97165630000000003</v>
      </c>
      <c r="AB5626">
        <v>29</v>
      </c>
      <c r="AC5626">
        <v>40.023099999999999</v>
      </c>
      <c r="AD5626">
        <v>-1.1591959999999999</v>
      </c>
      <c r="AE5626">
        <v>-10.3173539999999</v>
      </c>
      <c r="AF5626">
        <v>9.8002344439257403</v>
      </c>
      <c r="AG5626">
        <v>-1.1591959999999999</v>
      </c>
      <c r="AH5626">
        <v>40.119414612903903</v>
      </c>
      <c r="AI5626">
        <v>91.607775366543393</v>
      </c>
      <c r="AJ5626">
        <v>76.272806257149895</v>
      </c>
      <c r="AK5626">
        <v>41.315321121884203</v>
      </c>
      <c r="AL5626">
        <v>90.402579267065207</v>
      </c>
      <c r="AM5626">
        <v>84.893241007025594</v>
      </c>
      <c r="AN5626">
        <v>1.00000001474129</v>
      </c>
    </row>
    <row r="5627" spans="1:40" x14ac:dyDescent="0.25">
      <c r="A5627" t="str">
        <f>"20190312161427960"</f>
        <v>20190312161427960</v>
      </c>
      <c r="B5627" t="str">
        <f>"1552378467951969"</f>
        <v>1552378467951969</v>
      </c>
      <c r="C5627" t="s">
        <v>40</v>
      </c>
      <c r="D5627">
        <v>5.5213650000000003</v>
      </c>
      <c r="E5627">
        <v>0.55752119999999905</v>
      </c>
      <c r="F5627" t="s">
        <v>41</v>
      </c>
      <c r="G5627">
        <v>-302.76089999999999</v>
      </c>
      <c r="H5627">
        <v>-0.05</v>
      </c>
      <c r="I5627">
        <v>7.0722809999999896</v>
      </c>
      <c r="J5627">
        <v>-343.03129999999999</v>
      </c>
      <c r="K5627">
        <v>1.1091959999999901</v>
      </c>
      <c r="L5627">
        <v>17.521090000000001</v>
      </c>
      <c r="M5627">
        <v>0.99986430000000004</v>
      </c>
      <c r="N5627">
        <v>0</v>
      </c>
      <c r="O5627">
        <v>-1.299083E-2</v>
      </c>
      <c r="P5627">
        <v>0.99451089999999998</v>
      </c>
      <c r="Q5627">
        <v>-1.7046209999999999E-2</v>
      </c>
      <c r="R5627">
        <v>-0.1032363</v>
      </c>
      <c r="S5627">
        <v>2.9370729999999998</v>
      </c>
      <c r="T5627">
        <v>-8.4201929999999994E-2</v>
      </c>
      <c r="U5627">
        <v>-0.75915529999999998</v>
      </c>
      <c r="V5627">
        <v>9.0300370000000005E-2</v>
      </c>
      <c r="W5627">
        <v>-7.0381519999999998E-3</v>
      </c>
      <c r="X5627">
        <v>0.99588969999999999</v>
      </c>
      <c r="Y5627">
        <v>0.23756350000000001</v>
      </c>
      <c r="Z5627">
        <v>-2.9834089999999998E-3</v>
      </c>
      <c r="AA5627">
        <v>0.97136739999999999</v>
      </c>
      <c r="AB5627">
        <v>29</v>
      </c>
      <c r="AC5627">
        <v>40.270400000000002</v>
      </c>
      <c r="AD5627">
        <v>-1.1591959999999999</v>
      </c>
      <c r="AE5627">
        <v>-10.448808999999899</v>
      </c>
      <c r="AF5627">
        <v>9.9170555249941508</v>
      </c>
      <c r="AG5627">
        <v>-1.1591959999999999</v>
      </c>
      <c r="AH5627">
        <v>40.371405610504603</v>
      </c>
      <c r="AI5627">
        <v>91.597240035363896</v>
      </c>
      <c r="AJ5627">
        <v>76.198812493995504</v>
      </c>
      <c r="AK5627">
        <v>41.587764025252802</v>
      </c>
      <c r="AL5627">
        <v>90.403259737129503</v>
      </c>
      <c r="AM5627">
        <v>84.818983904924494</v>
      </c>
      <c r="AN5627">
        <v>0.99999999348590096</v>
      </c>
    </row>
    <row r="5628" spans="1:40" x14ac:dyDescent="0.25">
      <c r="A5628" t="str">
        <f>"20190312161427973"</f>
        <v>20190312161427973</v>
      </c>
      <c r="B5628" t="str">
        <f>"1552378467962705"</f>
        <v>1552378467962705</v>
      </c>
      <c r="C5628" t="s">
        <v>40</v>
      </c>
      <c r="D5628">
        <v>5.3446559999999996</v>
      </c>
      <c r="E5628">
        <v>0.55754479999999995</v>
      </c>
      <c r="F5628" t="s">
        <v>41</v>
      </c>
      <c r="G5628">
        <v>-302.22859999999997</v>
      </c>
      <c r="H5628">
        <v>-0.05</v>
      </c>
      <c r="I5628">
        <v>6.8861850000000002</v>
      </c>
      <c r="J5628">
        <v>-342.88279999999997</v>
      </c>
      <c r="K5628">
        <v>1.109194</v>
      </c>
      <c r="L5628">
        <v>17.518889999999999</v>
      </c>
      <c r="M5628">
        <v>0.99986090000000005</v>
      </c>
      <c r="N5628">
        <v>0</v>
      </c>
      <c r="O5628">
        <v>-1.3248269999999999E-2</v>
      </c>
      <c r="P5628">
        <v>0.99434469999999997</v>
      </c>
      <c r="Q5628">
        <v>-1.7031089999999999E-2</v>
      </c>
      <c r="R5628">
        <v>-0.10482710000000001</v>
      </c>
      <c r="S5628">
        <v>2.9356990000000001</v>
      </c>
      <c r="T5628">
        <v>-8.3402630000000005E-2</v>
      </c>
      <c r="U5628">
        <v>-0.76516719999999905</v>
      </c>
      <c r="V5628">
        <v>9.1636780000000001E-2</v>
      </c>
      <c r="W5628">
        <v>-7.0349409999999899E-3</v>
      </c>
      <c r="X5628">
        <v>0.99576770000000003</v>
      </c>
      <c r="Y5628">
        <v>0.2392879</v>
      </c>
      <c r="Z5628">
        <v>-2.972592E-3</v>
      </c>
      <c r="AA5628">
        <v>0.97094409999999998</v>
      </c>
      <c r="AB5628">
        <v>29</v>
      </c>
      <c r="AC5628">
        <v>40.654200000000003</v>
      </c>
      <c r="AD5628">
        <v>-1.1591940000000001</v>
      </c>
      <c r="AE5628">
        <v>-10.6327049999999</v>
      </c>
      <c r="AF5628">
        <v>10.085471569227201</v>
      </c>
      <c r="AG5628">
        <v>-1.1591940000000001</v>
      </c>
      <c r="AH5628">
        <v>40.760486497606003</v>
      </c>
      <c r="AI5628">
        <v>91.581341995433306</v>
      </c>
      <c r="AJ5628">
        <v>76.102290217550006</v>
      </c>
      <c r="AK5628">
        <v>42.005686841484298</v>
      </c>
      <c r="AL5628">
        <v>90.403075732600897</v>
      </c>
      <c r="AM5628">
        <v>84.742092946557094</v>
      </c>
      <c r="AN5628">
        <v>1.0000000511034599</v>
      </c>
    </row>
    <row r="5629" spans="1:40" x14ac:dyDescent="0.25">
      <c r="A5629" t="str">
        <f>"20190312161427985"</f>
        <v>20190312161427985</v>
      </c>
      <c r="B5629" t="str">
        <f>"1552378467972466"</f>
        <v>1552378467972466</v>
      </c>
      <c r="C5629" t="s">
        <v>40</v>
      </c>
      <c r="D5629">
        <v>5.2905040000000003</v>
      </c>
      <c r="E5629">
        <v>0.55760569999999998</v>
      </c>
      <c r="F5629" t="s">
        <v>41</v>
      </c>
      <c r="G5629">
        <v>-301.86290000000002</v>
      </c>
      <c r="H5629">
        <v>-0.05</v>
      </c>
      <c r="I5629">
        <v>6.7544399999999998</v>
      </c>
      <c r="J5629">
        <v>-342.71179999999998</v>
      </c>
      <c r="K5629">
        <v>1.109192</v>
      </c>
      <c r="L5629">
        <v>17.516359999999999</v>
      </c>
      <c r="M5629">
        <v>0.99985710000000005</v>
      </c>
      <c r="N5629">
        <v>0</v>
      </c>
      <c r="O5629">
        <v>-1.354493E-2</v>
      </c>
      <c r="P5629">
        <v>0.99419080000000004</v>
      </c>
      <c r="Q5629">
        <v>-1.694294E-2</v>
      </c>
      <c r="R5629">
        <v>-0.10629379999999999</v>
      </c>
      <c r="S5629">
        <v>2.934418</v>
      </c>
      <c r="T5629">
        <v>-8.2924600000000001E-2</v>
      </c>
      <c r="U5629">
        <v>-0.77005000000000001</v>
      </c>
      <c r="V5629">
        <v>9.2809799999999998E-2</v>
      </c>
      <c r="W5629">
        <v>-6.9592259999999998E-3</v>
      </c>
      <c r="X5629">
        <v>0.99565950000000003</v>
      </c>
      <c r="Y5629">
        <v>0.24061569999999999</v>
      </c>
      <c r="Z5629">
        <v>-2.9664100000000001E-3</v>
      </c>
      <c r="AA5629">
        <v>0.97061589999999998</v>
      </c>
      <c r="AB5629">
        <v>29</v>
      </c>
      <c r="AC5629">
        <v>40.848899999999901</v>
      </c>
      <c r="AD5629">
        <v>-1.159192</v>
      </c>
      <c r="AE5629">
        <v>-10.76192</v>
      </c>
      <c r="AF5629">
        <v>10.199928096240001</v>
      </c>
      <c r="AG5629">
        <v>-1.159192</v>
      </c>
      <c r="AH5629">
        <v>40.960085454641202</v>
      </c>
      <c r="AI5629">
        <v>91.573053149391498</v>
      </c>
      <c r="AJ5629">
        <v>76.016552919047896</v>
      </c>
      <c r="AK5629">
        <v>42.226897348879902</v>
      </c>
      <c r="AL5629">
        <v>90.398737511060204</v>
      </c>
      <c r="AM5629">
        <v>84.674596887785796</v>
      </c>
      <c r="AN5629">
        <v>0.99999996487140297</v>
      </c>
    </row>
    <row r="5630" spans="1:40" x14ac:dyDescent="0.25">
      <c r="A5630" t="str">
        <f>"20190312161427998"</f>
        <v>20190312161427998</v>
      </c>
      <c r="B5630" t="str">
        <f>"1552378467991985"</f>
        <v>1552378467991985</v>
      </c>
      <c r="C5630" t="s">
        <v>40</v>
      </c>
      <c r="D5630">
        <v>5.3337019999999997</v>
      </c>
      <c r="E5630">
        <v>0.55743259999999994</v>
      </c>
      <c r="F5630" t="s">
        <v>41</v>
      </c>
      <c r="G5630">
        <v>-301.55239999999998</v>
      </c>
      <c r="H5630">
        <v>-0.05</v>
      </c>
      <c r="I5630">
        <v>6.6444549999999998</v>
      </c>
      <c r="J5630">
        <v>-342.53800000000001</v>
      </c>
      <c r="K5630">
        <v>1.1091899999999999</v>
      </c>
      <c r="L5630">
        <v>17.513670000000001</v>
      </c>
      <c r="M5630">
        <v>0.99985299999999999</v>
      </c>
      <c r="N5630">
        <v>0</v>
      </c>
      <c r="O5630">
        <v>-1.384636E-2</v>
      </c>
      <c r="P5630">
        <v>0.99403470000000005</v>
      </c>
      <c r="Q5630">
        <v>-1.7003210000000001E-2</v>
      </c>
      <c r="R5630">
        <v>-0.1077318</v>
      </c>
      <c r="S5630">
        <v>2.933319</v>
      </c>
      <c r="T5630">
        <v>-8.2612399999999905E-2</v>
      </c>
      <c r="U5630">
        <v>-0.77481080000000002</v>
      </c>
      <c r="V5630">
        <v>9.3949939999999996E-2</v>
      </c>
      <c r="W5630">
        <v>-7.0312500000000002E-3</v>
      </c>
      <c r="X5630">
        <v>0.99555210000000005</v>
      </c>
      <c r="Y5630">
        <v>0.24188560000000001</v>
      </c>
      <c r="Z5630">
        <v>-2.9649569999999998E-3</v>
      </c>
      <c r="AA5630">
        <v>0.9703003</v>
      </c>
      <c r="AB5630">
        <v>29</v>
      </c>
      <c r="AC5630">
        <v>40.985599999999998</v>
      </c>
      <c r="AD5630">
        <v>-1.1591899999999999</v>
      </c>
      <c r="AE5630">
        <v>-10.869214999999899</v>
      </c>
      <c r="AF5630">
        <v>10.2929499900275</v>
      </c>
      <c r="AG5630">
        <v>-1.1591899999999999</v>
      </c>
      <c r="AH5630">
        <v>41.101459699084202</v>
      </c>
      <c r="AI5630">
        <v>91.567124397483596</v>
      </c>
      <c r="AJ5630">
        <v>75.940687111290202</v>
      </c>
      <c r="AK5630">
        <v>42.386537135613601</v>
      </c>
      <c r="AL5630">
        <v>90.402864266524304</v>
      </c>
      <c r="AM5630">
        <v>84.6089808834096</v>
      </c>
      <c r="AN5630">
        <v>1.00000000675848</v>
      </c>
    </row>
    <row r="5631" spans="1:40" x14ac:dyDescent="0.25">
      <c r="A5631" t="str">
        <f>"20190312161428014"</f>
        <v>20190312161428014</v>
      </c>
      <c r="B5631" t="str">
        <f>"1552378468002721"</f>
        <v>1552378468002721</v>
      </c>
      <c r="C5631" t="s">
        <v>40</v>
      </c>
      <c r="D5631">
        <v>5.3342400000000003</v>
      </c>
      <c r="E5631">
        <v>0.55728800000000001</v>
      </c>
      <c r="F5631" t="s">
        <v>41</v>
      </c>
      <c r="G5631">
        <v>-298.67939999999999</v>
      </c>
      <c r="H5631">
        <v>-0.05</v>
      </c>
      <c r="I5631">
        <v>5.8785249999999998</v>
      </c>
      <c r="J5631">
        <v>-342.33100000000002</v>
      </c>
      <c r="K5631">
        <v>1.1091899999999999</v>
      </c>
      <c r="L5631">
        <v>17.510439999999999</v>
      </c>
      <c r="M5631">
        <v>0.99984810000000002</v>
      </c>
      <c r="N5631">
        <v>0</v>
      </c>
      <c r="O5631">
        <v>-1.4205479999999999E-2</v>
      </c>
      <c r="P5631">
        <v>0.99383180000000004</v>
      </c>
      <c r="Q5631">
        <v>-1.6342289999999999E-2</v>
      </c>
      <c r="R5631">
        <v>-0.1096877</v>
      </c>
      <c r="S5631">
        <v>2.9323730000000001</v>
      </c>
      <c r="T5631">
        <v>-7.7503199999999994E-2</v>
      </c>
      <c r="U5631">
        <v>-0.77792359999999905</v>
      </c>
      <c r="V5631">
        <v>9.5551650000000002E-2</v>
      </c>
      <c r="W5631">
        <v>-6.3841380000000001E-3</v>
      </c>
      <c r="X5631">
        <v>0.99540399999999996</v>
      </c>
      <c r="Y5631">
        <v>0.24258689999999999</v>
      </c>
      <c r="Z5631">
        <v>-2.781936E-3</v>
      </c>
      <c r="AA5631">
        <v>0.97012569999999998</v>
      </c>
      <c r="AB5631">
        <v>29</v>
      </c>
      <c r="AC5631">
        <v>43.651599999999902</v>
      </c>
      <c r="AD5631">
        <v>-1.1591899999999999</v>
      </c>
      <c r="AE5631">
        <v>-11.631914999999999</v>
      </c>
      <c r="AF5631">
        <v>11.0033725677057</v>
      </c>
      <c r="AG5631">
        <v>-1.1591899999999999</v>
      </c>
      <c r="AH5631">
        <v>43.783611435157901</v>
      </c>
      <c r="AI5631">
        <v>91.4708600464147</v>
      </c>
      <c r="AJ5631">
        <v>75.892996702037394</v>
      </c>
      <c r="AK5631">
        <v>45.159966337728001</v>
      </c>
      <c r="AL5631">
        <v>90.365786648318505</v>
      </c>
      <c r="AM5631">
        <v>84.516816441327194</v>
      </c>
      <c r="AN5631">
        <v>0.99999999912586202</v>
      </c>
    </row>
    <row r="5632" spans="1:40" x14ac:dyDescent="0.25">
      <c r="A5632" t="str">
        <f>"20190312161428025"</f>
        <v>20190312161428025</v>
      </c>
      <c r="B5632" t="str">
        <f>"1552378468012481"</f>
        <v>1552378468012481</v>
      </c>
      <c r="C5632" t="s">
        <v>40</v>
      </c>
      <c r="D5632">
        <v>5.3302300000000002</v>
      </c>
      <c r="E5632">
        <v>0.55714359999999996</v>
      </c>
      <c r="F5632" t="s">
        <v>41</v>
      </c>
      <c r="G5632">
        <v>-295.97559999999999</v>
      </c>
      <c r="H5632">
        <v>-0.05</v>
      </c>
      <c r="I5632">
        <v>5.1334229999999996</v>
      </c>
      <c r="J5632">
        <v>-342.18880000000001</v>
      </c>
      <c r="K5632">
        <v>1.1091949999999999</v>
      </c>
      <c r="L5632">
        <v>17.508179999999999</v>
      </c>
      <c r="M5632">
        <v>0.99984470000000003</v>
      </c>
      <c r="N5632">
        <v>0</v>
      </c>
      <c r="O5632">
        <v>-1.445281E-2</v>
      </c>
      <c r="P5632">
        <v>0.99371109999999896</v>
      </c>
      <c r="Q5632">
        <v>-1.622614E-2</v>
      </c>
      <c r="R5632">
        <v>-0.1107935</v>
      </c>
      <c r="S5632">
        <v>2.9310299999999998</v>
      </c>
      <c r="T5632">
        <v>-7.3294999999999999E-2</v>
      </c>
      <c r="U5632">
        <v>-0.78259279999999998</v>
      </c>
      <c r="V5632">
        <v>9.6412730000000002E-2</v>
      </c>
      <c r="W5632">
        <v>-6.276663E-3</v>
      </c>
      <c r="X5632">
        <v>0.99532160000000003</v>
      </c>
      <c r="Y5632">
        <v>0.2439075</v>
      </c>
      <c r="Z5632">
        <v>-2.6417200000000002E-3</v>
      </c>
      <c r="AA5632">
        <v>0.96979490000000002</v>
      </c>
      <c r="AB5632">
        <v>29</v>
      </c>
      <c r="AC5632">
        <v>46.213200000000001</v>
      </c>
      <c r="AD5632">
        <v>-1.159195</v>
      </c>
      <c r="AE5632">
        <v>-12.374757000000001</v>
      </c>
      <c r="AF5632">
        <v>11.6986516106778</v>
      </c>
      <c r="AG5632">
        <v>-1.159195</v>
      </c>
      <c r="AH5632">
        <v>46.360014174703601</v>
      </c>
      <c r="AI5632">
        <v>91.388818720525805</v>
      </c>
      <c r="AJ5632">
        <v>75.837448194951307</v>
      </c>
      <c r="AK5632">
        <v>47.827325838214698</v>
      </c>
      <c r="AL5632">
        <v>90.359628678967695</v>
      </c>
      <c r="AM5632">
        <v>84.467253830056606</v>
      </c>
      <c r="AN5632">
        <v>0.99999994921551205</v>
      </c>
    </row>
    <row r="5633" spans="1:40" x14ac:dyDescent="0.25">
      <c r="A5633" t="str">
        <f>"20190312161428053"</f>
        <v>20190312161428053</v>
      </c>
      <c r="B5633" t="str">
        <f>"1552378468041761"</f>
        <v>1552378468041761</v>
      </c>
      <c r="C5633" t="s">
        <v>40</v>
      </c>
      <c r="D5633">
        <v>5.3509140000000004</v>
      </c>
      <c r="E5633">
        <v>0.55661930000000004</v>
      </c>
      <c r="F5633" t="s">
        <v>41</v>
      </c>
      <c r="G5633">
        <v>-294.13299999999998</v>
      </c>
      <c r="H5633">
        <v>-0.05</v>
      </c>
      <c r="I5633">
        <v>4.6375270000000004</v>
      </c>
      <c r="J5633">
        <v>-341.82870000000003</v>
      </c>
      <c r="K5633">
        <v>1.1091949999999999</v>
      </c>
      <c r="L5633">
        <v>17.502289999999999</v>
      </c>
      <c r="M5633">
        <v>0.99983560000000005</v>
      </c>
      <c r="N5633">
        <v>0</v>
      </c>
      <c r="O5633">
        <v>-1.508134E-2</v>
      </c>
      <c r="P5633">
        <v>0.99356599999999995</v>
      </c>
      <c r="Q5633">
        <v>-1.6257110000000002E-2</v>
      </c>
      <c r="R5633">
        <v>-0.1120826</v>
      </c>
      <c r="S5633">
        <v>2.9303279999999998</v>
      </c>
      <c r="T5633">
        <v>-7.0684910000000004E-2</v>
      </c>
      <c r="U5633">
        <v>-0.78482059999999998</v>
      </c>
      <c r="V5633">
        <v>9.707826E-2</v>
      </c>
      <c r="W5633">
        <v>-6.324756E-3</v>
      </c>
      <c r="X5633">
        <v>0.99525669999999999</v>
      </c>
      <c r="Y5633">
        <v>0.2440486</v>
      </c>
      <c r="Z5633">
        <v>-2.5348079999999999E-3</v>
      </c>
      <c r="AA5633">
        <v>0.9697597</v>
      </c>
      <c r="AB5633">
        <v>29</v>
      </c>
      <c r="AC5633">
        <v>47.695700000000002</v>
      </c>
      <c r="AD5633">
        <v>-1.159195</v>
      </c>
      <c r="AE5633">
        <v>-12.864763</v>
      </c>
      <c r="AF5633">
        <v>12.137265159670401</v>
      </c>
      <c r="AG5633">
        <v>-1.159195</v>
      </c>
      <c r="AH5633">
        <v>47.857950979234303</v>
      </c>
      <c r="AI5633">
        <v>91.344960467143807</v>
      </c>
      <c r="AJ5633">
        <v>75.769240171034994</v>
      </c>
      <c r="AK5633">
        <v>49.3866420252984</v>
      </c>
      <c r="AL5633">
        <v>90.362384225018502</v>
      </c>
      <c r="AM5633">
        <v>84.428940132475603</v>
      </c>
      <c r="AN5633">
        <v>1.0000000449989801</v>
      </c>
    </row>
    <row r="5634" spans="1:40" x14ac:dyDescent="0.25">
      <c r="A5634" t="str">
        <f>"20190312161428064"</f>
        <v>20190312161428064</v>
      </c>
      <c r="B5634" t="str">
        <f>"1552378468052497"</f>
        <v>1552378468052497</v>
      </c>
      <c r="C5634" t="s">
        <v>40</v>
      </c>
      <c r="D5634">
        <v>5.3667949999999998</v>
      </c>
      <c r="E5634">
        <v>0.55646509999999905</v>
      </c>
      <c r="F5634" t="s">
        <v>41</v>
      </c>
      <c r="G5634">
        <v>-289.91359999999997</v>
      </c>
      <c r="H5634">
        <v>-0.05</v>
      </c>
      <c r="I5634">
        <v>3.5971829999999998</v>
      </c>
      <c r="J5634">
        <v>-341.67599999999999</v>
      </c>
      <c r="K5634">
        <v>1.109194</v>
      </c>
      <c r="L5634">
        <v>17.499690000000001</v>
      </c>
      <c r="M5634">
        <v>0.99983149999999998</v>
      </c>
      <c r="N5634">
        <v>0</v>
      </c>
      <c r="O5634">
        <v>-1.534931E-2</v>
      </c>
      <c r="P5634">
        <v>0.9932976</v>
      </c>
      <c r="Q5634">
        <v>-1.6694480000000001E-2</v>
      </c>
      <c r="R5634">
        <v>-0.1143744</v>
      </c>
      <c r="S5634">
        <v>2.9298099999999998</v>
      </c>
      <c r="T5634">
        <v>-6.541872E-2</v>
      </c>
      <c r="U5634">
        <v>-0.78472900000000001</v>
      </c>
      <c r="V5634">
        <v>9.9106810000000004E-2</v>
      </c>
      <c r="W5634">
        <v>-6.7722909999999997E-3</v>
      </c>
      <c r="X5634">
        <v>0.99505379999999999</v>
      </c>
      <c r="Y5634">
        <v>0.24381240000000001</v>
      </c>
      <c r="Z5634">
        <v>-2.3379519999999999E-3</v>
      </c>
      <c r="AA5634">
        <v>0.9698196</v>
      </c>
      <c r="AB5634">
        <v>29</v>
      </c>
      <c r="AC5634">
        <v>51.7624</v>
      </c>
      <c r="AD5634">
        <v>-1.1591940000000001</v>
      </c>
      <c r="AE5634">
        <v>-13.902507</v>
      </c>
      <c r="AF5634">
        <v>13.100183731057401</v>
      </c>
      <c r="AG5634">
        <v>-1.1591940000000001</v>
      </c>
      <c r="AH5634">
        <v>51.945407534230696</v>
      </c>
      <c r="AI5634">
        <v>91.239580022755902</v>
      </c>
      <c r="AJ5634">
        <v>75.845646759550206</v>
      </c>
      <c r="AK5634">
        <v>53.584362536232597</v>
      </c>
      <c r="AL5634">
        <v>90.388026640852402</v>
      </c>
      <c r="AM5634">
        <v>84.312130429427199</v>
      </c>
      <c r="AN5634">
        <v>1.0000000443040999</v>
      </c>
    </row>
    <row r="5635" spans="1:40" x14ac:dyDescent="0.25">
      <c r="A5635" t="str">
        <f>"20190312161428082"</f>
        <v>20190312161428082</v>
      </c>
      <c r="B5635" t="str">
        <f>"1552378468072017"</f>
        <v>1552378468072017</v>
      </c>
      <c r="C5635" t="s">
        <v>40</v>
      </c>
      <c r="D5635">
        <v>5.3277380000000001</v>
      </c>
      <c r="E5635">
        <v>0.55613290000000004</v>
      </c>
      <c r="F5635" t="s">
        <v>41</v>
      </c>
      <c r="G5635">
        <v>-289.81330000000003</v>
      </c>
      <c r="H5635">
        <v>-0.05</v>
      </c>
      <c r="I5635">
        <v>3.5043639999999998</v>
      </c>
      <c r="J5635">
        <v>-341.43560000000002</v>
      </c>
      <c r="K5635">
        <v>1.1091899999999999</v>
      </c>
      <c r="L5635">
        <v>17.495570000000001</v>
      </c>
      <c r="M5635">
        <v>0.99982499999999996</v>
      </c>
      <c r="N5635">
        <v>0</v>
      </c>
      <c r="O5635">
        <v>-1.5772850000000001E-2</v>
      </c>
      <c r="P5635">
        <v>0.99305540000000003</v>
      </c>
      <c r="Q5635">
        <v>-1.6826580000000001E-2</v>
      </c>
      <c r="R5635">
        <v>-0.1164381</v>
      </c>
      <c r="S5635">
        <v>2.928223</v>
      </c>
      <c r="T5635">
        <v>-6.5449359999999998E-2</v>
      </c>
      <c r="U5635">
        <v>-0.79019169999999905</v>
      </c>
      <c r="V5635">
        <v>0.10075249999999999</v>
      </c>
      <c r="W5635">
        <v>-6.9163059999999997E-3</v>
      </c>
      <c r="X5635">
        <v>0.99488750000000004</v>
      </c>
      <c r="Y5635">
        <v>0.24521950000000001</v>
      </c>
      <c r="Z5635">
        <v>-2.3458730000000001E-3</v>
      </c>
      <c r="AA5635">
        <v>0.96946469999999996</v>
      </c>
      <c r="AB5635">
        <v>29</v>
      </c>
      <c r="AC5635">
        <v>51.622300000000003</v>
      </c>
      <c r="AD5635">
        <v>-1.1591899999999999</v>
      </c>
      <c r="AE5635">
        <v>-13.991206</v>
      </c>
      <c r="AF5635">
        <v>13.1690074393073</v>
      </c>
      <c r="AG5635">
        <v>-1.1591899999999999</v>
      </c>
      <c r="AH5635">
        <v>51.812232099722699</v>
      </c>
      <c r="AI5635">
        <v>91.242176767938105</v>
      </c>
      <c r="AJ5635">
        <v>75.739220781027001</v>
      </c>
      <c r="AK5635">
        <v>53.472178500115099</v>
      </c>
      <c r="AL5635">
        <v>90.396278295244201</v>
      </c>
      <c r="AM5635">
        <v>84.217356925133998</v>
      </c>
      <c r="AN5635">
        <v>1.00000001960059</v>
      </c>
    </row>
    <row r="5636" spans="1:40" x14ac:dyDescent="0.25">
      <c r="A5636" t="str">
        <f>"20190312161428093"</f>
        <v>20190312161428093</v>
      </c>
      <c r="B5636" t="str">
        <f>"1552378468081778"</f>
        <v>1552378468081778</v>
      </c>
      <c r="C5636" t="s">
        <v>40</v>
      </c>
      <c r="D5636">
        <v>5.7893589999999904</v>
      </c>
      <c r="E5636">
        <v>0.55598630000000004</v>
      </c>
      <c r="F5636" t="s">
        <v>41</v>
      </c>
      <c r="G5636">
        <v>-287.4135</v>
      </c>
      <c r="H5636">
        <v>-0.05</v>
      </c>
      <c r="I5636">
        <v>2.8436279999999998</v>
      </c>
      <c r="J5636">
        <v>-341.28980000000001</v>
      </c>
      <c r="K5636">
        <v>1.109189</v>
      </c>
      <c r="L5636">
        <v>17.493010000000002</v>
      </c>
      <c r="M5636">
        <v>0.99982090000000001</v>
      </c>
      <c r="N5636">
        <v>0</v>
      </c>
      <c r="O5636">
        <v>-1.6031409999999999E-2</v>
      </c>
      <c r="P5636">
        <v>0.99294020000000005</v>
      </c>
      <c r="Q5636">
        <v>-1.6645790000000001E-2</v>
      </c>
      <c r="R5636">
        <v>-0.11744209999999999</v>
      </c>
      <c r="S5636">
        <v>2.9268489999999998</v>
      </c>
      <c r="T5636">
        <v>-6.2803390000000001E-2</v>
      </c>
      <c r="U5636">
        <v>-0.79382319999999995</v>
      </c>
      <c r="V5636">
        <v>0.10150099999999999</v>
      </c>
      <c r="W5636">
        <v>-6.741787E-3</v>
      </c>
      <c r="X5636">
        <v>0.99481260000000005</v>
      </c>
      <c r="Y5636">
        <v>0.24620800000000001</v>
      </c>
      <c r="Z5636">
        <v>-2.25669E-3</v>
      </c>
      <c r="AA5636">
        <v>0.96921440000000003</v>
      </c>
      <c r="AB5636">
        <v>30</v>
      </c>
      <c r="AC5636">
        <v>53.876300000000001</v>
      </c>
      <c r="AD5636">
        <v>-1.159189</v>
      </c>
      <c r="AE5636">
        <v>-14.649381999999999</v>
      </c>
      <c r="AF5636">
        <v>13.7778034239363</v>
      </c>
      <c r="AG5636">
        <v>-1.159189</v>
      </c>
      <c r="AH5636">
        <v>54.080925712041399</v>
      </c>
      <c r="AI5636">
        <v>91.189912660097903</v>
      </c>
      <c r="AJ5636">
        <v>75.7072142798378</v>
      </c>
      <c r="AK5636">
        <v>55.820409459244303</v>
      </c>
      <c r="AL5636">
        <v>90.386278865017502</v>
      </c>
      <c r="AM5636">
        <v>84.174255900273707</v>
      </c>
      <c r="AN5636">
        <v>1.0000000069058499</v>
      </c>
    </row>
    <row r="5637" spans="1:40" x14ac:dyDescent="0.25">
      <c r="A5637" t="str">
        <f>"20190312161428103"</f>
        <v>20190312161428103</v>
      </c>
      <c r="B5637" t="str">
        <f>"1552378468092513"</f>
        <v>1552378468092513</v>
      </c>
      <c r="C5637" t="s">
        <v>40</v>
      </c>
      <c r="D5637">
        <v>5.3250099999999998</v>
      </c>
      <c r="E5637">
        <v>0.55584219999999995</v>
      </c>
      <c r="F5637" t="s">
        <v>41</v>
      </c>
      <c r="G5637">
        <v>-285.548</v>
      </c>
      <c r="H5637">
        <v>-0.05</v>
      </c>
      <c r="I5637">
        <v>2.338654</v>
      </c>
      <c r="J5637">
        <v>-341.14819999999997</v>
      </c>
      <c r="K5637">
        <v>1.1091869999999999</v>
      </c>
      <c r="L5637">
        <v>17.49051</v>
      </c>
      <c r="M5637">
        <v>0.99981690000000001</v>
      </c>
      <c r="N5637">
        <v>0</v>
      </c>
      <c r="O5637">
        <v>-1.6283789999999999E-2</v>
      </c>
      <c r="P5637">
        <v>0.9928458</v>
      </c>
      <c r="Q5637">
        <v>-1.6460329999999999E-2</v>
      </c>
      <c r="R5637">
        <v>-0.118265</v>
      </c>
      <c r="S5637">
        <v>2.9261780000000002</v>
      </c>
      <c r="T5637">
        <v>-6.0851929999999999E-2</v>
      </c>
      <c r="U5637">
        <v>-0.79553219999999902</v>
      </c>
      <c r="V5637">
        <v>0.1020742</v>
      </c>
      <c r="W5637">
        <v>-6.561781E-3</v>
      </c>
      <c r="X5637">
        <v>0.9947551</v>
      </c>
      <c r="Y5637">
        <v>0.24654960000000001</v>
      </c>
      <c r="Z5637">
        <v>-2.1852450000000002E-3</v>
      </c>
      <c r="AA5637">
        <v>0.96912770000000004</v>
      </c>
      <c r="AB5637">
        <v>30</v>
      </c>
      <c r="AC5637">
        <v>55.600199999999901</v>
      </c>
      <c r="AD5637">
        <v>-1.159187</v>
      </c>
      <c r="AE5637">
        <v>-15.151856</v>
      </c>
      <c r="AF5637">
        <v>14.238657917729</v>
      </c>
      <c r="AG5637">
        <v>-1.159187</v>
      </c>
      <c r="AH5637">
        <v>55.816984889646399</v>
      </c>
      <c r="AI5637">
        <v>91.152819525714406</v>
      </c>
      <c r="AJ5637">
        <v>75.689314216219401</v>
      </c>
      <c r="AK5637">
        <v>57.616133990142899</v>
      </c>
      <c r="AL5637">
        <v>90.375965072655404</v>
      </c>
      <c r="AM5637">
        <v>84.141248464119002</v>
      </c>
      <c r="AN5637">
        <v>0.99999995412576903</v>
      </c>
    </row>
    <row r="5638" spans="1:40" x14ac:dyDescent="0.25">
      <c r="A5638" t="str">
        <f>"20190312161428115"</f>
        <v>20190312161428115</v>
      </c>
      <c r="B5638" t="str">
        <f>"1552378468102273"</f>
        <v>1552378468102273</v>
      </c>
      <c r="C5638" t="s">
        <v>40</v>
      </c>
      <c r="D5638">
        <v>5.3297230000000004</v>
      </c>
      <c r="E5638">
        <v>0.55569349999999995</v>
      </c>
      <c r="F5638" t="s">
        <v>41</v>
      </c>
      <c r="G5638">
        <v>-283.64760000000001</v>
      </c>
      <c r="H5638">
        <v>-0.05</v>
      </c>
      <c r="I5638">
        <v>1.828506</v>
      </c>
      <c r="J5638">
        <v>-341.00040000000001</v>
      </c>
      <c r="K5638">
        <v>1.1091839999999999</v>
      </c>
      <c r="L5638">
        <v>17.487850000000002</v>
      </c>
      <c r="M5638">
        <v>0.99981260000000005</v>
      </c>
      <c r="N5638">
        <v>0</v>
      </c>
      <c r="O5638">
        <v>-1.6549520000000002E-2</v>
      </c>
      <c r="P5638">
        <v>0.99269660000000004</v>
      </c>
      <c r="Q5638">
        <v>-1.6154080000000001E-2</v>
      </c>
      <c r="R5638">
        <v>-0.1195518</v>
      </c>
      <c r="S5638">
        <v>2.9257200000000001</v>
      </c>
      <c r="T5638">
        <v>-5.8981180000000001E-2</v>
      </c>
      <c r="U5638">
        <v>-0.79690550000000004</v>
      </c>
      <c r="V5638">
        <v>0.10309939999999999</v>
      </c>
      <c r="W5638">
        <v>-6.2617549999999999E-3</v>
      </c>
      <c r="X5638">
        <v>0.99465130000000002</v>
      </c>
      <c r="Y5638">
        <v>0.2467568</v>
      </c>
      <c r="Z5638">
        <v>-2.1150650000000002E-3</v>
      </c>
      <c r="AA5638">
        <v>0.96907509999999997</v>
      </c>
      <c r="AB5638">
        <v>30</v>
      </c>
      <c r="AC5638">
        <v>57.352800000000002</v>
      </c>
      <c r="AD5638">
        <v>-1.159184</v>
      </c>
      <c r="AE5638">
        <v>-15.659344000000001</v>
      </c>
      <c r="AF5638">
        <v>14.7024007002682</v>
      </c>
      <c r="AG5638">
        <v>-1.159184</v>
      </c>
      <c r="AH5638">
        <v>57.5822216713944</v>
      </c>
      <c r="AI5638">
        <v>91.117422505406495</v>
      </c>
      <c r="AJ5638">
        <v>75.6767598338879</v>
      </c>
      <c r="AK5638">
        <v>59.440865963667598</v>
      </c>
      <c r="AL5638">
        <v>90.358774495577904</v>
      </c>
      <c r="AM5638">
        <v>84.082207403849495</v>
      </c>
      <c r="AN5638">
        <v>0.99999995222386295</v>
      </c>
    </row>
    <row r="5639" spans="1:40" x14ac:dyDescent="0.25">
      <c r="A5639" t="str">
        <f>"20190312161428126"</f>
        <v>20190312161428126</v>
      </c>
      <c r="B5639" t="str">
        <f>"1552378468121793"</f>
        <v>1552378468121793</v>
      </c>
      <c r="C5639" t="s">
        <v>40</v>
      </c>
      <c r="D5639">
        <v>5.3303379999999896</v>
      </c>
      <c r="E5639">
        <v>0.55544130000000003</v>
      </c>
      <c r="F5639" t="s">
        <v>41</v>
      </c>
      <c r="G5639">
        <v>-281.20490000000001</v>
      </c>
      <c r="H5639">
        <v>-0.05</v>
      </c>
      <c r="I5639">
        <v>1.141281</v>
      </c>
      <c r="J5639">
        <v>-340.84300000000002</v>
      </c>
      <c r="K5639">
        <v>1.109181</v>
      </c>
      <c r="L5639">
        <v>17.484919999999999</v>
      </c>
      <c r="M5639">
        <v>0.99980769999999997</v>
      </c>
      <c r="N5639">
        <v>0</v>
      </c>
      <c r="O5639">
        <v>-1.6833730000000002E-2</v>
      </c>
      <c r="P5639">
        <v>0.99257649999999997</v>
      </c>
      <c r="Q5639">
        <v>-1.622701E-2</v>
      </c>
      <c r="R5639">
        <v>-0.1205353</v>
      </c>
      <c r="S5639">
        <v>2.9248959999999999</v>
      </c>
      <c r="T5639">
        <v>-5.6701420000000002E-2</v>
      </c>
      <c r="U5639">
        <v>-0.7995911</v>
      </c>
      <c r="V5639">
        <v>0.1038018</v>
      </c>
      <c r="W5639">
        <v>-6.340325E-3</v>
      </c>
      <c r="X5639">
        <v>0.99457779999999996</v>
      </c>
      <c r="Y5639">
        <v>0.24738180000000001</v>
      </c>
      <c r="Z5639">
        <v>-2.034185E-3</v>
      </c>
      <c r="AA5639">
        <v>0.96891590000000005</v>
      </c>
      <c r="AB5639">
        <v>30</v>
      </c>
      <c r="AC5639">
        <v>59.638100000000001</v>
      </c>
      <c r="AD5639">
        <v>-1.159181</v>
      </c>
      <c r="AE5639">
        <v>-16.343639</v>
      </c>
      <c r="AF5639">
        <v>15.331952753617999</v>
      </c>
      <c r="AG5639">
        <v>-1.159181</v>
      </c>
      <c r="AH5639">
        <v>59.883743593976199</v>
      </c>
      <c r="AI5639">
        <v>91.074303509735202</v>
      </c>
      <c r="AJ5639">
        <v>75.639124050012498</v>
      </c>
      <c r="AK5639">
        <v>61.826169399850599</v>
      </c>
      <c r="AL5639">
        <v>90.363276294722596</v>
      </c>
      <c r="AM5639">
        <v>84.041742316404793</v>
      </c>
      <c r="AN5639">
        <v>1.0000000068285899</v>
      </c>
    </row>
    <row r="5640" spans="1:40" x14ac:dyDescent="0.25">
      <c r="A5640" t="str">
        <f>"20190312161428140"</f>
        <v>20190312161428140</v>
      </c>
      <c r="B5640" t="str">
        <f>"1552378468132530"</f>
        <v>1552378468132530</v>
      </c>
      <c r="C5640" t="s">
        <v>40</v>
      </c>
      <c r="D5640">
        <v>5.4306140000000003</v>
      </c>
      <c r="E5640">
        <v>0.55529919999999899</v>
      </c>
      <c r="F5640" t="s">
        <v>41</v>
      </c>
      <c r="G5640">
        <v>-278.39440000000002</v>
      </c>
      <c r="H5640">
        <v>-0.05</v>
      </c>
      <c r="I5640">
        <v>0.3895111</v>
      </c>
      <c r="J5640">
        <v>-340.67290000000003</v>
      </c>
      <c r="K5640">
        <v>1.1091759999999999</v>
      </c>
      <c r="L5640">
        <v>17.481750000000002</v>
      </c>
      <c r="M5640">
        <v>0.99980250000000004</v>
      </c>
      <c r="N5640">
        <v>0</v>
      </c>
      <c r="O5640">
        <v>-1.7145980000000002E-2</v>
      </c>
      <c r="P5640">
        <v>0.9924132</v>
      </c>
      <c r="Q5640">
        <v>-1.6131349999999999E-2</v>
      </c>
      <c r="R5640">
        <v>-0.1218849</v>
      </c>
      <c r="S5640">
        <v>2.9243160000000001</v>
      </c>
      <c r="T5640">
        <v>-5.4281709999999997E-2</v>
      </c>
      <c r="U5640">
        <v>-0.8005371</v>
      </c>
      <c r="V5640">
        <v>0.1048436</v>
      </c>
      <c r="W5640">
        <v>-6.25123E-3</v>
      </c>
      <c r="X5640">
        <v>0.99446900000000005</v>
      </c>
      <c r="Y5640">
        <v>0.24742310000000001</v>
      </c>
      <c r="Z5640">
        <v>-1.942374E-3</v>
      </c>
      <c r="AA5640">
        <v>0.96890560000000003</v>
      </c>
      <c r="AB5640">
        <v>30</v>
      </c>
      <c r="AC5640">
        <v>62.278500000000001</v>
      </c>
      <c r="AD5640">
        <v>-1.159176</v>
      </c>
      <c r="AE5640">
        <v>-17.092238899999899</v>
      </c>
      <c r="AF5640">
        <v>16.016686119456899</v>
      </c>
      <c r="AG5640">
        <v>-1.159176</v>
      </c>
      <c r="AH5640">
        <v>62.542272734090197</v>
      </c>
      <c r="AI5640">
        <v>91.028626818141007</v>
      </c>
      <c r="AJ5640">
        <v>75.635621637272607</v>
      </c>
      <c r="AK5640">
        <v>64.570998149273706</v>
      </c>
      <c r="AL5640">
        <v>90.3581714553643</v>
      </c>
      <c r="AM5640">
        <v>83.981725756744595</v>
      </c>
      <c r="AN5640">
        <v>0.99999992514923297</v>
      </c>
    </row>
    <row r="5641" spans="1:40" x14ac:dyDescent="0.25">
      <c r="A5641" t="str">
        <f>"20190312161428154"</f>
        <v>20190312161428154</v>
      </c>
      <c r="B5641" t="str">
        <f>"1552378468142290"</f>
        <v>1552378468142290</v>
      </c>
      <c r="C5641" t="s">
        <v>40</v>
      </c>
      <c r="D5641">
        <v>5.4127010000000002</v>
      </c>
      <c r="E5641">
        <v>0.55518710000000004</v>
      </c>
      <c r="F5641" t="s">
        <v>41</v>
      </c>
      <c r="G5641">
        <v>-276.41160000000002</v>
      </c>
      <c r="H5641">
        <v>-0.05</v>
      </c>
      <c r="I5641">
        <v>-0.18002319999999999</v>
      </c>
      <c r="J5641">
        <v>-340.49849999999998</v>
      </c>
      <c r="K5641">
        <v>1.1091690000000001</v>
      </c>
      <c r="L5641">
        <v>17.47842</v>
      </c>
      <c r="M5641">
        <v>0.99979700000000005</v>
      </c>
      <c r="N5641">
        <v>0</v>
      </c>
      <c r="O5641">
        <v>-1.7469680000000001E-2</v>
      </c>
      <c r="P5641">
        <v>0.99222889999999997</v>
      </c>
      <c r="Q5641">
        <v>-1.6377200000000001E-2</v>
      </c>
      <c r="R5641">
        <v>-0.1233457</v>
      </c>
      <c r="S5641">
        <v>2.9233699999999998</v>
      </c>
      <c r="T5641">
        <v>-5.2733059999999998E-2</v>
      </c>
      <c r="U5641">
        <v>-0.80346680000000004</v>
      </c>
      <c r="V5641">
        <v>0.1059848</v>
      </c>
      <c r="W5641">
        <v>-6.5039719999999898E-3</v>
      </c>
      <c r="X5641">
        <v>0.99434650000000002</v>
      </c>
      <c r="Y5641">
        <v>0.24809429999999999</v>
      </c>
      <c r="Z5641">
        <v>-1.887529E-3</v>
      </c>
      <c r="AA5641">
        <v>0.96873410000000004</v>
      </c>
      <c r="AB5641">
        <v>30</v>
      </c>
      <c r="AC5641">
        <v>64.086899999999901</v>
      </c>
      <c r="AD5641">
        <v>-1.1591689999999999</v>
      </c>
      <c r="AE5641">
        <v>-17.658443200000001</v>
      </c>
      <c r="AF5641">
        <v>16.531087470159299</v>
      </c>
      <c r="AG5641">
        <v>-1.1591689999999999</v>
      </c>
      <c r="AH5641">
        <v>64.366050015419304</v>
      </c>
      <c r="AI5641">
        <v>90.999304345459393</v>
      </c>
      <c r="AJ5641">
        <v>75.596079483950703</v>
      </c>
      <c r="AK5641">
        <v>66.465095503610598</v>
      </c>
      <c r="AL5641">
        <v>90.372652765266295</v>
      </c>
      <c r="AM5641">
        <v>83.915962899713904</v>
      </c>
      <c r="AN5641">
        <v>1.0000000207725299</v>
      </c>
    </row>
    <row r="5642" spans="1:40" x14ac:dyDescent="0.25">
      <c r="A5642" t="str">
        <f>"20190312161428165"</f>
        <v>20190312161428165</v>
      </c>
      <c r="B5642" t="str">
        <f>"1552378468152050"</f>
        <v>1552378468152050</v>
      </c>
      <c r="C5642" t="s">
        <v>40</v>
      </c>
      <c r="D5642">
        <v>5.4045709999999998</v>
      </c>
      <c r="E5642">
        <v>0.55511440000000001</v>
      </c>
      <c r="F5642" t="s">
        <v>41</v>
      </c>
      <c r="G5642">
        <v>-275.77199999999999</v>
      </c>
      <c r="H5642">
        <v>-0.05</v>
      </c>
      <c r="I5642">
        <v>-0.39389039999999997</v>
      </c>
      <c r="J5642">
        <v>-340.33179999999999</v>
      </c>
      <c r="K5642">
        <v>1.109159</v>
      </c>
      <c r="L5642">
        <v>17.47522</v>
      </c>
      <c r="M5642">
        <v>0.9997916</v>
      </c>
      <c r="N5642">
        <v>0</v>
      </c>
      <c r="O5642">
        <v>-1.7783489999999999E-2</v>
      </c>
      <c r="P5642">
        <v>0.99207069999999997</v>
      </c>
      <c r="Q5642">
        <v>-1.6553269999999998E-2</v>
      </c>
      <c r="R5642">
        <v>-0.1245874</v>
      </c>
      <c r="S5642">
        <v>2.9223330000000001</v>
      </c>
      <c r="T5642">
        <v>-5.2335260000000002E-2</v>
      </c>
      <c r="U5642">
        <v>-0.8069153</v>
      </c>
      <c r="V5642">
        <v>0.106917</v>
      </c>
      <c r="W5642">
        <v>-6.6862249999999996E-3</v>
      </c>
      <c r="X5642">
        <v>0.9942455</v>
      </c>
      <c r="Y5642">
        <v>0.24894089999999999</v>
      </c>
      <c r="Z5642">
        <v>-1.8755779999999999E-3</v>
      </c>
      <c r="AA5642">
        <v>0.96851690000000001</v>
      </c>
      <c r="AB5642">
        <v>30</v>
      </c>
      <c r="AC5642">
        <v>64.559799999999996</v>
      </c>
      <c r="AD5642">
        <v>-1.1591590000000001</v>
      </c>
      <c r="AE5642">
        <v>-17.8691104</v>
      </c>
      <c r="AF5642">
        <v>16.713123555170199</v>
      </c>
      <c r="AG5642">
        <v>-1.1591590000000001</v>
      </c>
      <c r="AH5642">
        <v>64.847962889443096</v>
      </c>
      <c r="AI5642">
        <v>90.991656034909397</v>
      </c>
      <c r="AJ5642">
        <v>75.5477945692856</v>
      </c>
      <c r="AK5642">
        <v>66.977088914555296</v>
      </c>
      <c r="AL5642">
        <v>90.383095315423503</v>
      </c>
      <c r="AM5642">
        <v>83.862238070954007</v>
      </c>
      <c r="AN5642">
        <v>1.00000003238199</v>
      </c>
    </row>
    <row r="5643" spans="1:40" x14ac:dyDescent="0.25">
      <c r="A5643" t="str">
        <f>"20190312161428185"</f>
        <v>20190312161428185</v>
      </c>
      <c r="B5643" t="str">
        <f>"1552378468172546"</f>
        <v>1552378468172546</v>
      </c>
      <c r="C5643" t="s">
        <v>40</v>
      </c>
      <c r="D5643">
        <v>5.4623169999999996</v>
      </c>
      <c r="E5643">
        <v>0.55484529999999999</v>
      </c>
      <c r="F5643" t="s">
        <v>41</v>
      </c>
      <c r="G5643">
        <v>-275.08010000000002</v>
      </c>
      <c r="H5643">
        <v>-0.05</v>
      </c>
      <c r="I5643">
        <v>-0.61679079999999997</v>
      </c>
      <c r="J5643">
        <v>-340.08240000000001</v>
      </c>
      <c r="K5643">
        <v>1.1091470000000001</v>
      </c>
      <c r="L5643">
        <v>17.470310000000001</v>
      </c>
      <c r="M5643">
        <v>0.99978299999999998</v>
      </c>
      <c r="N5643">
        <v>0</v>
      </c>
      <c r="O5643">
        <v>-1.82633E-2</v>
      </c>
      <c r="P5643">
        <v>0.99180420000000002</v>
      </c>
      <c r="Q5643">
        <v>-1.6690599999999899E-2</v>
      </c>
      <c r="R5643">
        <v>-0.12667419999999999</v>
      </c>
      <c r="S5643">
        <v>2.9213870000000002</v>
      </c>
      <c r="T5643">
        <v>-5.1896690000000002E-2</v>
      </c>
      <c r="U5643">
        <v>-0.80999759999999998</v>
      </c>
      <c r="V5643">
        <v>0.1085309</v>
      </c>
      <c r="W5643">
        <v>-6.832861E-3</v>
      </c>
      <c r="X5643">
        <v>0.9940696</v>
      </c>
      <c r="Y5643">
        <v>0.24950629999999999</v>
      </c>
      <c r="Z5643">
        <v>-1.8567620000000001E-3</v>
      </c>
      <c r="AA5643">
        <v>0.96837139999999999</v>
      </c>
      <c r="AB5643">
        <v>30</v>
      </c>
      <c r="AC5643">
        <v>65.002299999999906</v>
      </c>
      <c r="AD5643">
        <v>-1.1591469999999999</v>
      </c>
      <c r="AE5643">
        <v>-18.087100800000002</v>
      </c>
      <c r="AF5643">
        <v>16.891882156067901</v>
      </c>
      <c r="AG5643">
        <v>-1.1591469999999999</v>
      </c>
      <c r="AH5643">
        <v>65.302530452836294</v>
      </c>
      <c r="AI5643">
        <v>90.984519541418194</v>
      </c>
      <c r="AJ5643">
        <v>75.497122115011194</v>
      </c>
      <c r="AK5643">
        <v>67.461839495270993</v>
      </c>
      <c r="AL5643">
        <v>90.391497140990197</v>
      </c>
      <c r="AM5643">
        <v>83.769218696604298</v>
      </c>
      <c r="AN5643">
        <v>1.0000000069442001</v>
      </c>
    </row>
    <row r="5644" spans="1:40" x14ac:dyDescent="0.25">
      <c r="A5644" t="str">
        <f>"20190312161428197"</f>
        <v>20190312161428197</v>
      </c>
      <c r="B5644" t="str">
        <f>"1552378468192065"</f>
        <v>1552378468192065</v>
      </c>
      <c r="C5644" t="s">
        <v>40</v>
      </c>
      <c r="D5644">
        <v>5.4385629999999896</v>
      </c>
      <c r="E5644">
        <v>0.55465529999999996</v>
      </c>
      <c r="F5644" t="s">
        <v>41</v>
      </c>
      <c r="G5644">
        <v>-272.7303</v>
      </c>
      <c r="H5644">
        <v>-0.05</v>
      </c>
      <c r="I5644">
        <v>-1.310165</v>
      </c>
      <c r="J5644">
        <v>-339.90480000000002</v>
      </c>
      <c r="K5644">
        <v>1.109135</v>
      </c>
      <c r="L5644">
        <v>17.466670000000001</v>
      </c>
      <c r="M5644">
        <v>0.99977629999999995</v>
      </c>
      <c r="N5644">
        <v>0</v>
      </c>
      <c r="O5644">
        <v>-1.861293E-2</v>
      </c>
      <c r="P5644">
        <v>0.99167879999999997</v>
      </c>
      <c r="Q5644">
        <v>-1.6785029999999999E-2</v>
      </c>
      <c r="R5644">
        <v>-0.1276378</v>
      </c>
      <c r="S5644">
        <v>2.9199830000000002</v>
      </c>
      <c r="T5644">
        <v>-5.0253630000000001E-2</v>
      </c>
      <c r="U5644">
        <v>-0.81420899999999996</v>
      </c>
      <c r="V5644">
        <v>0.10914889999999999</v>
      </c>
      <c r="W5644">
        <v>-6.9304299999999996E-3</v>
      </c>
      <c r="X5644">
        <v>0.99400129999999998</v>
      </c>
      <c r="Y5644">
        <v>0.25058570000000002</v>
      </c>
      <c r="Z5644">
        <v>-1.8016950000000001E-3</v>
      </c>
      <c r="AA5644">
        <v>0.96809270000000003</v>
      </c>
      <c r="AB5644">
        <v>30</v>
      </c>
      <c r="AC5644">
        <v>67.174499999999995</v>
      </c>
      <c r="AD5644">
        <v>-1.159135</v>
      </c>
      <c r="AE5644">
        <v>-18.776834999999998</v>
      </c>
      <c r="AF5644">
        <v>17.518366339743899</v>
      </c>
      <c r="AG5644">
        <v>-1.159135</v>
      </c>
      <c r="AH5644">
        <v>67.493731179678605</v>
      </c>
      <c r="AI5644">
        <v>90.952348531829202</v>
      </c>
      <c r="AJ5644">
        <v>75.449643965105096</v>
      </c>
      <c r="AK5644">
        <v>69.739805718946599</v>
      </c>
      <c r="AL5644">
        <v>90.397087548612205</v>
      </c>
      <c r="AM5644">
        <v>83.733593491505701</v>
      </c>
      <c r="AN5644">
        <v>1.00000004881644</v>
      </c>
    </row>
    <row r="5645" spans="1:40" x14ac:dyDescent="0.25">
      <c r="A5645" t="str">
        <f>"20190312161428217"</f>
        <v>20190312161428217</v>
      </c>
      <c r="B5645" t="str">
        <f>"1552378468212561"</f>
        <v>1552378468212561</v>
      </c>
      <c r="C5645" t="s">
        <v>40</v>
      </c>
      <c r="D5645">
        <v>7.5804819999999999</v>
      </c>
      <c r="E5645">
        <v>0.55440590000000001</v>
      </c>
      <c r="F5645" t="s">
        <v>41</v>
      </c>
      <c r="G5645">
        <v>-270.33280000000002</v>
      </c>
      <c r="H5645">
        <v>-0.05</v>
      </c>
      <c r="I5645">
        <v>-1.9671940000000001</v>
      </c>
      <c r="J5645">
        <v>-339.6422</v>
      </c>
      <c r="K5645">
        <v>1.109119</v>
      </c>
      <c r="L5645">
        <v>17.46124</v>
      </c>
      <c r="M5645">
        <v>0.9997663</v>
      </c>
      <c r="N5645">
        <v>0</v>
      </c>
      <c r="O5645">
        <v>-1.9143380000000002E-2</v>
      </c>
      <c r="P5645">
        <v>0.99147980000000002</v>
      </c>
      <c r="Q5645">
        <v>-1.6487109999999999E-2</v>
      </c>
      <c r="R5645">
        <v>-0.12921379999999999</v>
      </c>
      <c r="S5645">
        <v>2.919403</v>
      </c>
      <c r="T5645">
        <v>-4.8640009999999997E-2</v>
      </c>
      <c r="U5645">
        <v>-0.81549069999999901</v>
      </c>
      <c r="V5645">
        <v>0.1102011</v>
      </c>
      <c r="W5645">
        <v>-6.6345919999999999E-3</v>
      </c>
      <c r="X5645">
        <v>0.99388719999999997</v>
      </c>
      <c r="Y5645">
        <v>0.25051820000000002</v>
      </c>
      <c r="Z5645">
        <v>-1.7348729999999901E-3</v>
      </c>
      <c r="AA5645">
        <v>0.96811029999999998</v>
      </c>
      <c r="AB5645">
        <v>30</v>
      </c>
      <c r="AC5645">
        <v>69.309399999999897</v>
      </c>
      <c r="AD5645">
        <v>-1.159119</v>
      </c>
      <c r="AE5645">
        <v>-19.428433999999999</v>
      </c>
      <c r="AF5645">
        <v>18.093298455087599</v>
      </c>
      <c r="AG5645">
        <v>-1.159119</v>
      </c>
      <c r="AH5645">
        <v>69.650581176261895</v>
      </c>
      <c r="AI5645">
        <v>90.922801175786006</v>
      </c>
      <c r="AJ5645">
        <v>75.437999415399901</v>
      </c>
      <c r="AK5645">
        <v>71.971622630256704</v>
      </c>
      <c r="AL5645">
        <v>90.380136896570903</v>
      </c>
      <c r="AM5645">
        <v>83.672952161019097</v>
      </c>
      <c r="AN5645">
        <v>1.0000000332880199</v>
      </c>
    </row>
    <row r="5646" spans="1:40" x14ac:dyDescent="0.25">
      <c r="A5646" t="str">
        <f>"20190312161428239"</f>
        <v>20190312161428239</v>
      </c>
      <c r="B5646" t="str">
        <f>"1552378468232081"</f>
        <v>1552378468232081</v>
      </c>
      <c r="C5646" t="s">
        <v>40</v>
      </c>
      <c r="D5646">
        <v>5.4714140000000002</v>
      </c>
      <c r="E5646">
        <v>0.55432910000000002</v>
      </c>
      <c r="F5646" t="s">
        <v>101</v>
      </c>
      <c r="G5646">
        <v>-279.02</v>
      </c>
      <c r="H5646">
        <v>0.14902299999999999</v>
      </c>
      <c r="I5646">
        <v>0.4642773</v>
      </c>
      <c r="J5646">
        <v>-339.33699999999999</v>
      </c>
      <c r="K5646">
        <v>1.1091059999999999</v>
      </c>
      <c r="L5646">
        <v>17.454740000000001</v>
      </c>
      <c r="M5646">
        <v>0.99975380000000003</v>
      </c>
      <c r="N5646">
        <v>0</v>
      </c>
      <c r="O5646">
        <v>-1.978336E-2</v>
      </c>
      <c r="P5646">
        <v>0.99128720000000003</v>
      </c>
      <c r="Q5646">
        <v>-1.6027130000000001E-2</v>
      </c>
      <c r="R5646">
        <v>-0.13074079999999999</v>
      </c>
      <c r="S5646">
        <v>2.9183650000000001</v>
      </c>
      <c r="T5646">
        <v>-4.621923E-2</v>
      </c>
      <c r="U5646">
        <v>-0.81823729999999995</v>
      </c>
      <c r="V5646">
        <v>0.1110956</v>
      </c>
      <c r="W5646">
        <v>-6.1739799999999999E-3</v>
      </c>
      <c r="X5646">
        <v>0.99379059999999997</v>
      </c>
      <c r="Y5646">
        <v>0.25083549999999999</v>
      </c>
      <c r="Z5646">
        <v>-1.641436E-3</v>
      </c>
      <c r="AA5646">
        <v>0.96802829999999995</v>
      </c>
      <c r="AB5646">
        <v>30</v>
      </c>
      <c r="AC5646">
        <v>60.317</v>
      </c>
      <c r="AD5646">
        <v>-0.96008300000000002</v>
      </c>
      <c r="AE5646">
        <v>-16.990462699999998</v>
      </c>
      <c r="AF5646">
        <v>15.7900975178732</v>
      </c>
      <c r="AG5646">
        <v>-0.96008300000000002</v>
      </c>
      <c r="AH5646">
        <v>60.627108312251799</v>
      </c>
      <c r="AI5646">
        <v>90.877968748098596</v>
      </c>
      <c r="AJ5646">
        <v>75.401841994051793</v>
      </c>
      <c r="AK5646">
        <v>62.656964507517799</v>
      </c>
      <c r="AL5646">
        <v>90.353745225239095</v>
      </c>
      <c r="AM5646">
        <v>83.621402316293398</v>
      </c>
      <c r="AN5646">
        <v>1.00000005350837</v>
      </c>
    </row>
    <row r="5647" spans="1:40" x14ac:dyDescent="0.25">
      <c r="A5647" t="str">
        <f>"20190312161428250"</f>
        <v>20190312161428250</v>
      </c>
      <c r="B5647" t="str">
        <f>"1552378468241842"</f>
        <v>1552378468241842</v>
      </c>
      <c r="C5647" t="s">
        <v>40</v>
      </c>
      <c r="D5647">
        <v>5.4668159999999997</v>
      </c>
      <c r="E5647">
        <v>0.55424280000000004</v>
      </c>
      <c r="F5647" t="s">
        <v>101</v>
      </c>
      <c r="G5647">
        <v>-279.02</v>
      </c>
      <c r="H5647">
        <v>0.19010730000000001</v>
      </c>
      <c r="I5647">
        <v>0.45666689999999999</v>
      </c>
      <c r="J5647">
        <v>-339.20049999999998</v>
      </c>
      <c r="K5647">
        <v>1.1090979999999999</v>
      </c>
      <c r="L5647">
        <v>17.451750000000001</v>
      </c>
      <c r="M5647">
        <v>0.99974790000000002</v>
      </c>
      <c r="N5647">
        <v>0</v>
      </c>
      <c r="O5647">
        <v>-2.007747E-2</v>
      </c>
      <c r="P5647">
        <v>0.99117730000000004</v>
      </c>
      <c r="Q5647">
        <v>-1.6095499999999999E-2</v>
      </c>
      <c r="R5647">
        <v>-0.13156219999999999</v>
      </c>
      <c r="S5647">
        <v>2.9172359999999999</v>
      </c>
      <c r="T5647">
        <v>-4.4447420000000001E-2</v>
      </c>
      <c r="U5647">
        <v>-0.82211299999999898</v>
      </c>
      <c r="V5647">
        <v>0.1116267</v>
      </c>
      <c r="W5647">
        <v>-6.2423130000000002E-3</v>
      </c>
      <c r="X5647">
        <v>0.99373060000000002</v>
      </c>
      <c r="Y5647">
        <v>0.25184179999999901</v>
      </c>
      <c r="Z5647">
        <v>-1.5819600000000001E-3</v>
      </c>
      <c r="AA5647">
        <v>0.96776709999999999</v>
      </c>
      <c r="AB5647">
        <v>30</v>
      </c>
      <c r="AC5647">
        <v>60.180500000000002</v>
      </c>
      <c r="AD5647">
        <v>-0.91899070000000005</v>
      </c>
      <c r="AE5647">
        <v>-16.995083099999999</v>
      </c>
      <c r="AF5647">
        <v>15.7799158450185</v>
      </c>
      <c r="AG5647">
        <v>-0.91899070000000005</v>
      </c>
      <c r="AH5647">
        <v>60.496538289059401</v>
      </c>
      <c r="AI5647">
        <v>90.842129148413605</v>
      </c>
      <c r="AJ5647">
        <v>75.380713117274894</v>
      </c>
      <c r="AK5647">
        <v>62.527445437521202</v>
      </c>
      <c r="AL5647">
        <v>90.357660513550499</v>
      </c>
      <c r="AM5647">
        <v>83.590778379725194</v>
      </c>
      <c r="AN5647">
        <v>0.99999999600042</v>
      </c>
    </row>
    <row r="5648" spans="1:40" x14ac:dyDescent="0.25">
      <c r="A5648" t="str">
        <f>"20190312161428261"</f>
        <v>20190312161428261</v>
      </c>
      <c r="B5648" t="str">
        <f>"1552378468252578"</f>
        <v>1552378468252578</v>
      </c>
      <c r="C5648" t="s">
        <v>40</v>
      </c>
      <c r="D5648">
        <v>5.4895969999999998</v>
      </c>
      <c r="E5648">
        <v>0.55414819999999998</v>
      </c>
      <c r="F5648" t="s">
        <v>101</v>
      </c>
      <c r="G5648">
        <v>-279.02</v>
      </c>
      <c r="H5648">
        <v>0.1944448</v>
      </c>
      <c r="I5648">
        <v>0.45126909999999998</v>
      </c>
      <c r="J5648">
        <v>-339.05619999999999</v>
      </c>
      <c r="K5648">
        <v>1.109092</v>
      </c>
      <c r="L5648">
        <v>17.448550000000001</v>
      </c>
      <c r="M5648">
        <v>0.99974130000000005</v>
      </c>
      <c r="N5648">
        <v>0</v>
      </c>
      <c r="O5648">
        <v>-2.0397229999999999E-2</v>
      </c>
      <c r="P5648">
        <v>0.9910871</v>
      </c>
      <c r="Q5648">
        <v>-1.5998060000000001E-2</v>
      </c>
      <c r="R5648">
        <v>-0.132251799999999</v>
      </c>
      <c r="S5648">
        <v>2.916595</v>
      </c>
      <c r="T5648">
        <v>-4.4327859999999997E-2</v>
      </c>
      <c r="U5648">
        <v>-0.82391360000000002</v>
      </c>
      <c r="V5648">
        <v>0.112</v>
      </c>
      <c r="W5648">
        <v>-6.1444029999999997E-3</v>
      </c>
      <c r="X5648">
        <v>0.99368920000000005</v>
      </c>
      <c r="Y5648">
        <v>0.25214130000000001</v>
      </c>
      <c r="Z5648">
        <v>-1.575382E-3</v>
      </c>
      <c r="AA5648">
        <v>0.96768920000000003</v>
      </c>
      <c r="AB5648">
        <v>30</v>
      </c>
      <c r="AC5648">
        <v>60.036200000000001</v>
      </c>
      <c r="AD5648">
        <v>-0.91464719999999999</v>
      </c>
      <c r="AE5648">
        <v>-16.9972808999999</v>
      </c>
      <c r="AF5648">
        <v>15.7657224120283</v>
      </c>
      <c r="AG5648">
        <v>-0.91464719999999999</v>
      </c>
      <c r="AH5648">
        <v>60.357453934007602</v>
      </c>
      <c r="AI5648">
        <v>90.840005498627306</v>
      </c>
      <c r="AJ5648">
        <v>75.361085379917597</v>
      </c>
      <c r="AK5648">
        <v>62.3892364760897</v>
      </c>
      <c r="AL5648">
        <v>90.352050578293301</v>
      </c>
      <c r="AM5648">
        <v>83.569258348481199</v>
      </c>
      <c r="AN5648">
        <v>0.999999989942433</v>
      </c>
    </row>
    <row r="5649" spans="1:40" x14ac:dyDescent="0.25">
      <c r="A5649" t="str">
        <f>"20190312161428272"</f>
        <v>20190312161428272</v>
      </c>
      <c r="B5649" t="str">
        <f>"1552378468262337"</f>
        <v>1552378468262337</v>
      </c>
      <c r="C5649" t="s">
        <v>40</v>
      </c>
      <c r="D5649">
        <v>5.5181649999999998</v>
      </c>
      <c r="E5649">
        <v>0.55407790000000001</v>
      </c>
      <c r="F5649" t="s">
        <v>101</v>
      </c>
      <c r="G5649">
        <v>-279.02</v>
      </c>
      <c r="H5649">
        <v>0.20984330000000001</v>
      </c>
      <c r="I5649">
        <v>0.459343</v>
      </c>
      <c r="J5649">
        <v>-338.91329999999999</v>
      </c>
      <c r="K5649">
        <v>1.1090799999999901</v>
      </c>
      <c r="L5649">
        <v>17.445309999999999</v>
      </c>
      <c r="M5649">
        <v>0.99973480000000003</v>
      </c>
      <c r="N5649">
        <v>0</v>
      </c>
      <c r="O5649">
        <v>-2.0719029999999999E-2</v>
      </c>
      <c r="P5649">
        <v>0.9909983</v>
      </c>
      <c r="Q5649">
        <v>-1.6031159999999999E-2</v>
      </c>
      <c r="R5649">
        <v>-0.13291159999999999</v>
      </c>
      <c r="S5649">
        <v>2.9161679999999999</v>
      </c>
      <c r="T5649">
        <v>-4.3679709999999997E-2</v>
      </c>
      <c r="U5649">
        <v>-0.82522580000000001</v>
      </c>
      <c r="V5649">
        <v>0.1123415</v>
      </c>
      <c r="W5649">
        <v>-6.1771250000000003E-3</v>
      </c>
      <c r="X5649">
        <v>0.99365040000000004</v>
      </c>
      <c r="Y5649">
        <v>0.25227080000000002</v>
      </c>
      <c r="Z5649">
        <v>-1.5487070000000001E-3</v>
      </c>
      <c r="AA5649">
        <v>0.96765540000000005</v>
      </c>
      <c r="AB5649">
        <v>30</v>
      </c>
      <c r="AC5649">
        <v>59.893300000000004</v>
      </c>
      <c r="AD5649">
        <v>-0.899236699999999</v>
      </c>
      <c r="AE5649">
        <v>-16.985966999999999</v>
      </c>
      <c r="AF5649">
        <v>15.7380430422931</v>
      </c>
      <c r="AG5649">
        <v>-0.899236699999999</v>
      </c>
      <c r="AH5649">
        <v>60.219828243859801</v>
      </c>
      <c r="AI5649">
        <v>90.827713922421594</v>
      </c>
      <c r="AJ5649">
        <v>75.353720399554803</v>
      </c>
      <c r="AK5649">
        <v>62.248874199969897</v>
      </c>
      <c r="AL5649">
        <v>90.353925462842398</v>
      </c>
      <c r="AM5649">
        <v>83.5495655864176</v>
      </c>
      <c r="AN5649">
        <v>0.99999994345783605</v>
      </c>
    </row>
    <row r="5650" spans="1:40" x14ac:dyDescent="0.25">
      <c r="A5650" t="str">
        <f>"20190312161428282"</f>
        <v>20190312161428282</v>
      </c>
      <c r="B5650" t="str">
        <f>"1552378468272098"</f>
        <v>1552378468272098</v>
      </c>
      <c r="C5650" t="s">
        <v>40</v>
      </c>
      <c r="D5650">
        <v>5.6251550000000003</v>
      </c>
      <c r="E5650">
        <v>0.55398669999999905</v>
      </c>
      <c r="F5650" t="s">
        <v>101</v>
      </c>
      <c r="G5650">
        <v>-279.02</v>
      </c>
      <c r="H5650">
        <v>0.2181111</v>
      </c>
      <c r="I5650">
        <v>0.46440320000000002</v>
      </c>
      <c r="J5650">
        <v>-338.76190000000003</v>
      </c>
      <c r="K5650">
        <v>1.1090679999999999</v>
      </c>
      <c r="L5650">
        <v>17.441800000000001</v>
      </c>
      <c r="M5650">
        <v>0.99972740000000004</v>
      </c>
      <c r="N5650">
        <v>0</v>
      </c>
      <c r="O5650">
        <v>-2.106922E-2</v>
      </c>
      <c r="P5650">
        <v>0.99083659999999996</v>
      </c>
      <c r="Q5650">
        <v>-1.60755E-2</v>
      </c>
      <c r="R5650">
        <v>-0.1341059</v>
      </c>
      <c r="S5650">
        <v>2.9157099999999998</v>
      </c>
      <c r="T5650">
        <v>-4.337394E-2</v>
      </c>
      <c r="U5650">
        <v>-0.82666019999999896</v>
      </c>
      <c r="V5650">
        <v>0.11319070000000001</v>
      </c>
      <c r="W5650">
        <v>-6.2225249999999996E-3</v>
      </c>
      <c r="X5650">
        <v>0.99355380000000004</v>
      </c>
      <c r="Y5650">
        <v>0.25241269999999999</v>
      </c>
      <c r="Z5650">
        <v>-1.5339329999999999E-3</v>
      </c>
      <c r="AA5650">
        <v>0.96761850000000005</v>
      </c>
      <c r="AB5650">
        <v>30</v>
      </c>
      <c r="AC5650">
        <v>59.741900000000001</v>
      </c>
      <c r="AD5650">
        <v>-0.89095689999999905</v>
      </c>
      <c r="AE5650">
        <v>-16.977396800000001</v>
      </c>
      <c r="AF5650">
        <v>15.711615512573699</v>
      </c>
      <c r="AG5650">
        <v>-0.89095689999999905</v>
      </c>
      <c r="AH5650">
        <v>60.073993018975401</v>
      </c>
      <c r="AI5650">
        <v>90.822045175369098</v>
      </c>
      <c r="AJ5650">
        <v>75.343288341273706</v>
      </c>
      <c r="AK5650">
        <v>62.100992773517802</v>
      </c>
      <c r="AL5650">
        <v>90.356526719810304</v>
      </c>
      <c r="AM5650">
        <v>83.500595278402301</v>
      </c>
      <c r="AN5650">
        <v>1.0000000039391499</v>
      </c>
    </row>
    <row r="5651" spans="1:40" x14ac:dyDescent="0.25">
      <c r="A5651" t="str">
        <f>"20190312161428294"</f>
        <v>20190312161428294</v>
      </c>
      <c r="B5651" t="str">
        <f>"1552378468281858"</f>
        <v>1552378468281858</v>
      </c>
      <c r="C5651" t="s">
        <v>40</v>
      </c>
      <c r="D5651">
        <v>5.5201520000000004</v>
      </c>
      <c r="E5651">
        <v>0.55391880000000004</v>
      </c>
      <c r="F5651" t="s">
        <v>101</v>
      </c>
      <c r="G5651">
        <v>-279.02</v>
      </c>
      <c r="H5651">
        <v>0.22538079999999999</v>
      </c>
      <c r="I5651">
        <v>0.44345469999999998</v>
      </c>
      <c r="J5651">
        <v>-338.62110000000001</v>
      </c>
      <c r="K5651">
        <v>1.1090530000000001</v>
      </c>
      <c r="L5651">
        <v>17.43854</v>
      </c>
      <c r="M5651">
        <v>0.99972030000000001</v>
      </c>
      <c r="N5651">
        <v>0</v>
      </c>
      <c r="O5651">
        <v>-2.140295E-2</v>
      </c>
      <c r="P5651">
        <v>0.99075420000000003</v>
      </c>
      <c r="Q5651">
        <v>-1.5984760000000001E-2</v>
      </c>
      <c r="R5651">
        <v>-0.13472390000000001</v>
      </c>
      <c r="S5651">
        <v>2.9147949999999998</v>
      </c>
      <c r="T5651">
        <v>-4.3114899999999998E-2</v>
      </c>
      <c r="U5651">
        <v>-0.82934569999999996</v>
      </c>
      <c r="V5651">
        <v>0.1134786</v>
      </c>
      <c r="W5651">
        <v>-6.1316169999999998E-3</v>
      </c>
      <c r="X5651">
        <v>0.99352149999999995</v>
      </c>
      <c r="Y5651">
        <v>0.25299460000000001</v>
      </c>
      <c r="Z5651">
        <v>-1.5244340000000001E-3</v>
      </c>
      <c r="AA5651">
        <v>0.96746650000000001</v>
      </c>
      <c r="AB5651">
        <v>30</v>
      </c>
      <c r="AC5651">
        <v>59.601100000000002</v>
      </c>
      <c r="AD5651">
        <v>-0.88367220000000002</v>
      </c>
      <c r="AE5651">
        <v>-16.9950853</v>
      </c>
      <c r="AF5651">
        <v>15.7122937028679</v>
      </c>
      <c r="AG5651">
        <v>-0.88367220000000002</v>
      </c>
      <c r="AH5651">
        <v>59.939023975686503</v>
      </c>
      <c r="AI5651">
        <v>90.817040340394399</v>
      </c>
      <c r="AJ5651">
        <v>75.311103774681598</v>
      </c>
      <c r="AK5651">
        <v>61.970506251927297</v>
      </c>
      <c r="AL5651">
        <v>90.351317984080595</v>
      </c>
      <c r="AM5651">
        <v>83.483996045802698</v>
      </c>
      <c r="AN5651">
        <v>0.99999998017362202</v>
      </c>
    </row>
    <row r="5652" spans="1:40" x14ac:dyDescent="0.25">
      <c r="A5652" t="str">
        <f>"20190312161428304"</f>
        <v>20190312161428304</v>
      </c>
      <c r="B5652" t="str">
        <f>"1552378468292594"</f>
        <v>1552378468292594</v>
      </c>
      <c r="C5652" t="s">
        <v>40</v>
      </c>
      <c r="D5652">
        <v>5.5532890000000004</v>
      </c>
      <c r="E5652">
        <v>0.55382830000000005</v>
      </c>
      <c r="F5652" t="s">
        <v>101</v>
      </c>
      <c r="G5652">
        <v>-279.02</v>
      </c>
      <c r="H5652">
        <v>0.23719209999999999</v>
      </c>
      <c r="I5652">
        <v>0.44870759999999998</v>
      </c>
      <c r="J5652">
        <v>-338.4742</v>
      </c>
      <c r="K5652">
        <v>1.1090409999999999</v>
      </c>
      <c r="L5652">
        <v>17.435029999999902</v>
      </c>
      <c r="M5652">
        <v>0.9997125</v>
      </c>
      <c r="N5652">
        <v>0</v>
      </c>
      <c r="O5652">
        <v>-2.1758159999999999E-2</v>
      </c>
      <c r="P5652">
        <v>0.9906433</v>
      </c>
      <c r="Q5652">
        <v>-1.596935E-2</v>
      </c>
      <c r="R5652">
        <v>-0.13553870000000001</v>
      </c>
      <c r="S5652">
        <v>2.914307</v>
      </c>
      <c r="T5652">
        <v>-4.2631269999999999E-2</v>
      </c>
      <c r="U5652">
        <v>-0.83074950000000003</v>
      </c>
      <c r="V5652">
        <v>0.11394269999999999</v>
      </c>
      <c r="W5652">
        <v>-6.1165480000000003E-3</v>
      </c>
      <c r="X5652">
        <v>0.99346849999999998</v>
      </c>
      <c r="Y5652">
        <v>0.25312509999999999</v>
      </c>
      <c r="Z5652">
        <v>-1.5033309999999999E-3</v>
      </c>
      <c r="AA5652">
        <v>0.96743239999999997</v>
      </c>
      <c r="AB5652">
        <v>30</v>
      </c>
      <c r="AC5652">
        <v>59.4542</v>
      </c>
      <c r="AD5652">
        <v>-0.87184889999999904</v>
      </c>
      <c r="AE5652">
        <v>-16.986322399999999</v>
      </c>
      <c r="AF5652">
        <v>15.6855026057945</v>
      </c>
      <c r="AG5652">
        <v>-0.87184889999999904</v>
      </c>
      <c r="AH5652">
        <v>59.797844999228197</v>
      </c>
      <c r="AI5652">
        <v>90.807979064506995</v>
      </c>
      <c r="AJ5652">
        <v>75.301943860032694</v>
      </c>
      <c r="AK5652">
        <v>61.826995552529802</v>
      </c>
      <c r="AL5652">
        <v>90.350454568801396</v>
      </c>
      <c r="AM5652">
        <v>83.457231741231396</v>
      </c>
      <c r="AN5652">
        <v>1.00000000576748</v>
      </c>
    </row>
    <row r="5653" spans="1:40" x14ac:dyDescent="0.25">
      <c r="A5653" t="str">
        <f>"20190312161428316"</f>
        <v>20190312161428316</v>
      </c>
      <c r="B5653" t="str">
        <f>"1552378468312114"</f>
        <v>1552378468312114</v>
      </c>
      <c r="C5653" t="s">
        <v>40</v>
      </c>
      <c r="D5653">
        <v>5.5665129999999996</v>
      </c>
      <c r="E5653">
        <v>0.55371269999999995</v>
      </c>
      <c r="F5653" t="s">
        <v>101</v>
      </c>
      <c r="G5653">
        <v>-279.02</v>
      </c>
      <c r="H5653">
        <v>0.24908930000000001</v>
      </c>
      <c r="I5653">
        <v>0.44795800000000002</v>
      </c>
      <c r="J5653">
        <v>-338.32400000000001</v>
      </c>
      <c r="K5653">
        <v>1.1090260000000001</v>
      </c>
      <c r="L5653">
        <v>17.4314</v>
      </c>
      <c r="M5653">
        <v>0.99970420000000004</v>
      </c>
      <c r="N5653">
        <v>0</v>
      </c>
      <c r="O5653">
        <v>-2.2132209999999999E-2</v>
      </c>
      <c r="P5653">
        <v>0.99054410000000004</v>
      </c>
      <c r="Q5653">
        <v>-1.5467399999999999E-2</v>
      </c>
      <c r="R5653">
        <v>-0.13631989999999999</v>
      </c>
      <c r="S5653">
        <v>2.9137879999999998</v>
      </c>
      <c r="T5653">
        <v>-4.2145370000000001E-2</v>
      </c>
      <c r="U5653">
        <v>-0.83251949999999997</v>
      </c>
      <c r="V5653">
        <v>0.1143545</v>
      </c>
      <c r="W5653">
        <v>-5.6149819999999897E-3</v>
      </c>
      <c r="X5653">
        <v>0.99342410000000003</v>
      </c>
      <c r="Y5653">
        <v>0.25335249999999998</v>
      </c>
      <c r="Z5653">
        <v>-1.4826479999999901E-3</v>
      </c>
      <c r="AA5653">
        <v>0.96737289999999998</v>
      </c>
      <c r="AB5653">
        <v>30</v>
      </c>
      <c r="AC5653">
        <v>59.304000000000002</v>
      </c>
      <c r="AD5653">
        <v>-0.8599367</v>
      </c>
      <c r="AE5653">
        <v>-16.983442</v>
      </c>
      <c r="AF5653">
        <v>15.663642349419</v>
      </c>
      <c r="AG5653">
        <v>-0.8599367</v>
      </c>
      <c r="AH5653">
        <v>59.653780058415101</v>
      </c>
      <c r="AI5653">
        <v>90.798812970507797</v>
      </c>
      <c r="AJ5653">
        <v>75.287630135558999</v>
      </c>
      <c r="AK5653">
        <v>61.681947586277403</v>
      </c>
      <c r="AL5653">
        <v>90.3217164736933</v>
      </c>
      <c r="AM5653">
        <v>83.433500764040005</v>
      </c>
      <c r="AN5653">
        <v>0.99999996107695899</v>
      </c>
    </row>
    <row r="5654" spans="1:40" x14ac:dyDescent="0.25">
      <c r="A5654" t="str">
        <f>"20190312161428327"</f>
        <v>20190312161428327</v>
      </c>
      <c r="B5654" t="str">
        <f>"1552378468321877"</f>
        <v>1552378468321877</v>
      </c>
      <c r="C5654" t="s">
        <v>40</v>
      </c>
      <c r="D5654">
        <v>5.7385060000000001</v>
      </c>
      <c r="E5654">
        <v>0.55359329999999995</v>
      </c>
      <c r="F5654" t="s">
        <v>101</v>
      </c>
      <c r="G5654">
        <v>-279.02</v>
      </c>
      <c r="H5654">
        <v>0.3044364</v>
      </c>
      <c r="I5654">
        <v>0.45872689999999999</v>
      </c>
      <c r="J5654">
        <v>-338.17059999999998</v>
      </c>
      <c r="K5654">
        <v>1.1090180000000001</v>
      </c>
      <c r="L5654">
        <v>17.42764</v>
      </c>
      <c r="M5654">
        <v>0.99969549999999996</v>
      </c>
      <c r="N5654">
        <v>0</v>
      </c>
      <c r="O5654">
        <v>-2.2519379999999999E-2</v>
      </c>
      <c r="P5654">
        <v>0.99043239999999999</v>
      </c>
      <c r="Q5654">
        <v>-1.5212969999999999E-2</v>
      </c>
      <c r="R5654">
        <v>-0.137158</v>
      </c>
      <c r="S5654">
        <v>2.9132690000000001</v>
      </c>
      <c r="T5654">
        <v>-3.9524910000000003E-2</v>
      </c>
      <c r="U5654">
        <v>-0.83377080000000003</v>
      </c>
      <c r="V5654">
        <v>0.1148103</v>
      </c>
      <c r="W5654">
        <v>-5.3612240000000004E-3</v>
      </c>
      <c r="X5654">
        <v>0.99337299999999995</v>
      </c>
      <c r="Y5654">
        <v>0.25341010000000003</v>
      </c>
      <c r="Z5654">
        <v>-1.3858710000000001E-3</v>
      </c>
      <c r="AA5654">
        <v>0.96735789999999999</v>
      </c>
      <c r="AB5654">
        <v>30</v>
      </c>
      <c r="AC5654">
        <v>59.150599999999997</v>
      </c>
      <c r="AD5654">
        <v>-0.80458160000000001</v>
      </c>
      <c r="AE5654">
        <v>-16.968913100000002</v>
      </c>
      <c r="AF5654">
        <v>15.6298348669044</v>
      </c>
      <c r="AG5654">
        <v>-0.80458160000000001</v>
      </c>
      <c r="AH5654">
        <v>59.5075741650558</v>
      </c>
      <c r="AI5654">
        <v>90.749220430877102</v>
      </c>
      <c r="AJ5654">
        <v>75.283502479148794</v>
      </c>
      <c r="AK5654">
        <v>61.531215431903902</v>
      </c>
      <c r="AL5654">
        <v>90.307176969794895</v>
      </c>
      <c r="AM5654">
        <v>83.407221478331394</v>
      </c>
      <c r="AN5654">
        <v>1.00000003241893</v>
      </c>
    </row>
    <row r="5655" spans="1:40" x14ac:dyDescent="0.25">
      <c r="A5655" t="str">
        <f>"20190312161428351"</f>
        <v>20190312161428351</v>
      </c>
      <c r="B5655" t="str">
        <f>"1552378468342369"</f>
        <v>1552378468342369</v>
      </c>
      <c r="C5655" t="s">
        <v>40</v>
      </c>
      <c r="D5655">
        <v>5.7699009999999999</v>
      </c>
      <c r="E5655">
        <v>0.55359329999999995</v>
      </c>
      <c r="F5655" t="s">
        <v>101</v>
      </c>
      <c r="G5655">
        <v>-279.02</v>
      </c>
      <c r="H5655">
        <v>0.33200109999999999</v>
      </c>
      <c r="I5655">
        <v>0.46223829999999999</v>
      </c>
      <c r="J5655">
        <v>-337.85320000000002</v>
      </c>
      <c r="K5655">
        <v>1.108986</v>
      </c>
      <c r="L5655">
        <v>17.419619999999998</v>
      </c>
      <c r="M5655">
        <v>0.99967620000000001</v>
      </c>
      <c r="N5655">
        <v>0</v>
      </c>
      <c r="O5655">
        <v>-2.3359810000000002E-2</v>
      </c>
      <c r="P5655">
        <v>0.99022010000000005</v>
      </c>
      <c r="Q5655">
        <v>-1.4961550000000001E-2</v>
      </c>
      <c r="R5655">
        <v>-0.13871120000000001</v>
      </c>
      <c r="S5655">
        <v>2.9127200000000002</v>
      </c>
      <c r="T5655">
        <v>-3.8262249999999998E-2</v>
      </c>
      <c r="U5655">
        <v>-0.83541869999999996</v>
      </c>
      <c r="V5655">
        <v>0.11553289999999999</v>
      </c>
      <c r="W5655">
        <v>-5.1113590000000002E-3</v>
      </c>
      <c r="X5655">
        <v>0.99329049999999997</v>
      </c>
      <c r="Y5655">
        <v>0.25315219999999999</v>
      </c>
      <c r="Z5655">
        <v>-1.32928E-3</v>
      </c>
      <c r="AA5655">
        <v>0.96742550000000005</v>
      </c>
      <c r="AB5655">
        <v>30</v>
      </c>
      <c r="AC5655">
        <v>58.833199999999998</v>
      </c>
      <c r="AD5655">
        <v>-0.77698489999999998</v>
      </c>
      <c r="AE5655">
        <v>-16.957381699999999</v>
      </c>
      <c r="AF5655">
        <v>15.5758433337589</v>
      </c>
      <c r="AG5655">
        <v>-0.77698489999999998</v>
      </c>
      <c r="AH5655">
        <v>59.203751581495297</v>
      </c>
      <c r="AI5655">
        <v>90.727160031051795</v>
      </c>
      <c r="AJ5655">
        <v>75.260140227933107</v>
      </c>
      <c r="AK5655">
        <v>61.223319106497698</v>
      </c>
      <c r="AL5655">
        <v>90.2928605743231</v>
      </c>
      <c r="AM5655">
        <v>83.365550075963995</v>
      </c>
      <c r="AN5655">
        <v>0.99999999718174304</v>
      </c>
    </row>
    <row r="5656" spans="1:40" x14ac:dyDescent="0.25">
      <c r="A5656" t="str">
        <f>"20190312161428362"</f>
        <v>20190312161428362</v>
      </c>
      <c r="B5656" t="str">
        <f>"1552378468352130"</f>
        <v>1552378468352130</v>
      </c>
      <c r="C5656" t="s">
        <v>40</v>
      </c>
      <c r="D5656">
        <v>5.7290479999999997</v>
      </c>
      <c r="E5656">
        <v>0.51790879999999995</v>
      </c>
      <c r="F5656" t="s">
        <v>101</v>
      </c>
      <c r="G5656">
        <v>-279.02</v>
      </c>
      <c r="H5656">
        <v>0.35591610000000001</v>
      </c>
      <c r="I5656">
        <v>0.44574360000000002</v>
      </c>
      <c r="J5656">
        <v>-337.6986</v>
      </c>
      <c r="K5656">
        <v>1.10897</v>
      </c>
      <c r="L5656">
        <v>17.415589999999899</v>
      </c>
      <c r="M5656">
        <v>0.9996661</v>
      </c>
      <c r="N5656">
        <v>0</v>
      </c>
      <c r="O5656">
        <v>-2.3785270000000001E-2</v>
      </c>
      <c r="P5656">
        <v>0.99010390000000004</v>
      </c>
      <c r="Q5656">
        <v>-1.5405220000000001E-2</v>
      </c>
      <c r="R5656">
        <v>-0.13948820000000001</v>
      </c>
      <c r="S5656">
        <v>2.9114070000000001</v>
      </c>
      <c r="T5656">
        <v>-3.7266250000000001E-2</v>
      </c>
      <c r="U5656">
        <v>-0.83996579999999998</v>
      </c>
      <c r="V5656">
        <v>0.11588900000000001</v>
      </c>
      <c r="W5656">
        <v>-5.5562519999999898E-3</v>
      </c>
      <c r="X5656">
        <v>0.99324659999999998</v>
      </c>
      <c r="Y5656">
        <v>0.25425219999999998</v>
      </c>
      <c r="Z5656">
        <v>-1.296541E-3</v>
      </c>
      <c r="AA5656">
        <v>0.96713709999999997</v>
      </c>
      <c r="AB5656">
        <v>30</v>
      </c>
      <c r="AC5656">
        <v>58.678600000000003</v>
      </c>
      <c r="AD5656">
        <v>-0.75305390000000005</v>
      </c>
      <c r="AE5656">
        <v>-16.969846399999899</v>
      </c>
      <c r="AF5656">
        <v>15.5669215008867</v>
      </c>
      <c r="AG5656">
        <v>-0.75305390000000005</v>
      </c>
      <c r="AH5656">
        <v>59.056674626601897</v>
      </c>
      <c r="AI5656">
        <v>90.706433221173</v>
      </c>
      <c r="AJ5656">
        <v>75.233128696595898</v>
      </c>
      <c r="AK5656">
        <v>61.078531032953002</v>
      </c>
      <c r="AL5656">
        <v>90.318351436990397</v>
      </c>
      <c r="AM5656">
        <v>83.344992757880405</v>
      </c>
      <c r="AN5656">
        <v>0.99999997033442301</v>
      </c>
    </row>
    <row r="5657" spans="1:40" x14ac:dyDescent="0.25">
      <c r="A5657" t="str">
        <f>"20190312161428375"</f>
        <v>20190312161428375</v>
      </c>
      <c r="B5657" t="str">
        <f>"1552378468372625"</f>
        <v>1552378468372625</v>
      </c>
      <c r="C5657" t="s">
        <v>40</v>
      </c>
      <c r="D5657">
        <v>6.339124</v>
      </c>
      <c r="E5657">
        <v>0.5170498</v>
      </c>
      <c r="F5657" t="s">
        <v>43</v>
      </c>
      <c r="G5657">
        <v>-336.91980000000001</v>
      </c>
      <c r="H5657">
        <v>1.0015670000000001</v>
      </c>
      <c r="I5657">
        <v>17.270789999999899</v>
      </c>
      <c r="J5657">
        <v>-337.53050000000002</v>
      </c>
      <c r="K5657">
        <v>1.108951</v>
      </c>
      <c r="L5657">
        <v>17.41113</v>
      </c>
      <c r="M5657">
        <v>0.99965479999999995</v>
      </c>
      <c r="N5657">
        <v>0</v>
      </c>
      <c r="O5657">
        <v>-2.425855E-2</v>
      </c>
      <c r="P5657">
        <v>0.99000540000000004</v>
      </c>
      <c r="Q5657">
        <v>-1.5715159999999999E-2</v>
      </c>
      <c r="R5657">
        <v>-0.1401531</v>
      </c>
      <c r="S5657">
        <v>2.9466549999999998</v>
      </c>
      <c r="T5657">
        <v>-0.40628039999999999</v>
      </c>
      <c r="U5657">
        <v>-0.54666139999999996</v>
      </c>
      <c r="V5657">
        <v>0.11608499999999999</v>
      </c>
      <c r="W5657">
        <v>-5.8670349999999996E-3</v>
      </c>
      <c r="X5657">
        <v>0.99322189999999999</v>
      </c>
      <c r="Y5657">
        <v>0.15728490000000001</v>
      </c>
      <c r="Z5657">
        <v>-7.402713E-3</v>
      </c>
      <c r="AA5657">
        <v>0.98752549999999995</v>
      </c>
      <c r="AB5657">
        <v>30</v>
      </c>
      <c r="AC5657">
        <v>0.61070000000000801</v>
      </c>
      <c r="AD5657">
        <v>-0.10738399999999899</v>
      </c>
      <c r="AE5657">
        <v>-0.14034000000000099</v>
      </c>
      <c r="AF5657">
        <v>0.121903197505824</v>
      </c>
      <c r="AG5657">
        <v>-0.10738399999999899</v>
      </c>
      <c r="AH5657">
        <v>0.59640955061400203</v>
      </c>
      <c r="AI5657">
        <v>100.00425947153801</v>
      </c>
      <c r="AJ5657">
        <v>78.448137460489306</v>
      </c>
      <c r="AK5657">
        <v>0.61813919555528896</v>
      </c>
      <c r="AL5657">
        <v>90.336158290478593</v>
      </c>
      <c r="AM5657">
        <v>83.333674248278001</v>
      </c>
      <c r="AN5657">
        <v>0.99999994598214903</v>
      </c>
    </row>
    <row r="5658" spans="1:40" x14ac:dyDescent="0.25">
      <c r="A5658" t="str">
        <f>"20190312161428389"</f>
        <v>20190312161428389</v>
      </c>
      <c r="B5658" t="str">
        <f>"1552378468382386"</f>
        <v>1552378468382386</v>
      </c>
      <c r="C5658" t="s">
        <v>40</v>
      </c>
      <c r="D5658">
        <v>6.3400829999999999</v>
      </c>
      <c r="E5658">
        <v>0.51666210000000001</v>
      </c>
      <c r="F5658" t="s">
        <v>43</v>
      </c>
      <c r="G5658">
        <v>-336.67189999999999</v>
      </c>
      <c r="H5658">
        <v>0.95815300000000003</v>
      </c>
      <c r="I5658">
        <v>17.25442</v>
      </c>
      <c r="J5658">
        <v>-337.35489999999999</v>
      </c>
      <c r="K5658">
        <v>1.1089340000000001</v>
      </c>
      <c r="L5658">
        <v>17.406400000000001</v>
      </c>
      <c r="M5658">
        <v>0.99964240000000004</v>
      </c>
      <c r="N5658">
        <v>0</v>
      </c>
      <c r="O5658">
        <v>-2.4761410000000001E-2</v>
      </c>
      <c r="P5658">
        <v>0.98987080000000005</v>
      </c>
      <c r="Q5658">
        <v>-1.595386E-2</v>
      </c>
      <c r="R5658">
        <v>-0.14107129999999901</v>
      </c>
      <c r="S5658">
        <v>2.9459840000000002</v>
      </c>
      <c r="T5658">
        <v>-0.5174242</v>
      </c>
      <c r="U5658">
        <v>-0.53741459999999996</v>
      </c>
      <c r="V5658">
        <v>0.116506399999999</v>
      </c>
      <c r="W5658">
        <v>-6.1072979999999997E-3</v>
      </c>
      <c r="X5658">
        <v>0.99317120000000003</v>
      </c>
      <c r="Y5658">
        <v>0.15314520000000001</v>
      </c>
      <c r="Z5658">
        <v>-8.9610760000000001E-3</v>
      </c>
      <c r="AA5658">
        <v>0.98816309999999996</v>
      </c>
      <c r="AB5658">
        <v>30</v>
      </c>
      <c r="AC5658">
        <v>0.68299999999999195</v>
      </c>
      <c r="AD5658">
        <v>-0.150781</v>
      </c>
      <c r="AE5658">
        <v>-0.151980000000001</v>
      </c>
      <c r="AF5658">
        <v>0.12902879140095999</v>
      </c>
      <c r="AG5658">
        <v>-0.150781</v>
      </c>
      <c r="AH5658">
        <v>0.65608731838700496</v>
      </c>
      <c r="AI5658">
        <v>102.707597782639</v>
      </c>
      <c r="AJ5658">
        <v>78.873969163691399</v>
      </c>
      <c r="AK5658">
        <v>0.68544431452864496</v>
      </c>
      <c r="AL5658">
        <v>90.349924562218703</v>
      </c>
      <c r="AM5658">
        <v>83.309355372127897</v>
      </c>
      <c r="AN5658">
        <v>1.00000003641963</v>
      </c>
    </row>
    <row r="5659" spans="1:40" x14ac:dyDescent="0.25">
      <c r="A5659" t="str">
        <f>"20190312161428406"</f>
        <v>20190312161428406</v>
      </c>
      <c r="B5659" t="str">
        <f>"1552378468401906"</f>
        <v>1552378468401906</v>
      </c>
      <c r="C5659" t="s">
        <v>40</v>
      </c>
      <c r="D5659">
        <v>5.6498699999999999</v>
      </c>
      <c r="E5659">
        <v>0.51636769999999999</v>
      </c>
      <c r="F5659" t="s">
        <v>43</v>
      </c>
      <c r="G5659">
        <v>-336.41250000000002</v>
      </c>
      <c r="H5659">
        <v>0.93733359999999999</v>
      </c>
      <c r="I5659">
        <v>17.234760000000001</v>
      </c>
      <c r="J5659">
        <v>-337.1037</v>
      </c>
      <c r="K5659">
        <v>1.108903</v>
      </c>
      <c r="L5659">
        <v>17.39941</v>
      </c>
      <c r="M5659">
        <v>0.9996235</v>
      </c>
      <c r="N5659">
        <v>0</v>
      </c>
      <c r="O5659">
        <v>-2.5508889999999999E-2</v>
      </c>
      <c r="P5659">
        <v>0.98962439999999996</v>
      </c>
      <c r="Q5659">
        <v>-1.5702359999999999E-2</v>
      </c>
      <c r="R5659">
        <v>-0.1428191</v>
      </c>
      <c r="S5659">
        <v>2.9456479999999998</v>
      </c>
      <c r="T5659">
        <v>-0.53632939999999996</v>
      </c>
      <c r="U5659">
        <v>-0.53613279999999996</v>
      </c>
      <c r="V5659">
        <v>0.117517</v>
      </c>
      <c r="W5659">
        <v>-5.8596029999999997E-3</v>
      </c>
      <c r="X5659">
        <v>0.99305359999999998</v>
      </c>
      <c r="Y5659">
        <v>0.15190090000000001</v>
      </c>
      <c r="Z5659">
        <v>-9.0395749999999993E-3</v>
      </c>
      <c r="AA5659">
        <v>0.98835439999999997</v>
      </c>
      <c r="AB5659">
        <v>30</v>
      </c>
      <c r="AC5659">
        <v>0.69119999999998005</v>
      </c>
      <c r="AD5659">
        <v>-0.17156940000000001</v>
      </c>
      <c r="AE5659">
        <v>-0.16464999999999799</v>
      </c>
      <c r="AF5659">
        <v>0.13886717947941599</v>
      </c>
      <c r="AG5659">
        <v>-0.17156940000000001</v>
      </c>
      <c r="AH5659">
        <v>0.65687641124329099</v>
      </c>
      <c r="AI5659">
        <v>104.33469676729101</v>
      </c>
      <c r="AJ5659">
        <v>78.063123750790893</v>
      </c>
      <c r="AK5659">
        <v>0.692969531942634</v>
      </c>
      <c r="AL5659">
        <v>90.335732437275993</v>
      </c>
      <c r="AM5659">
        <v>83.251060552994005</v>
      </c>
      <c r="AN5659">
        <v>1.0000000163546301</v>
      </c>
    </row>
    <row r="5660" spans="1:40" x14ac:dyDescent="0.25">
      <c r="A5660" t="str">
        <f>"20190312161428419"</f>
        <v>20190312161428419</v>
      </c>
      <c r="B5660" t="str">
        <f>"1552378468412642"</f>
        <v>1552378468412642</v>
      </c>
      <c r="C5660" t="s">
        <v>40</v>
      </c>
      <c r="D5660">
        <v>6.7337100000000003</v>
      </c>
      <c r="E5660">
        <v>0.51612230000000003</v>
      </c>
      <c r="F5660" t="s">
        <v>43</v>
      </c>
      <c r="G5660">
        <v>-336.39550000000003</v>
      </c>
      <c r="H5660">
        <v>0.97388680000000005</v>
      </c>
      <c r="I5660">
        <v>17.269960000000001</v>
      </c>
      <c r="J5660">
        <v>-336.94049999999999</v>
      </c>
      <c r="K5660">
        <v>1.108886</v>
      </c>
      <c r="L5660">
        <v>17.394739999999999</v>
      </c>
      <c r="M5660">
        <v>0.99961049999999996</v>
      </c>
      <c r="N5660">
        <v>0</v>
      </c>
      <c r="O5660">
        <v>-2.60103E-2</v>
      </c>
      <c r="P5660">
        <v>0.98953139999999995</v>
      </c>
      <c r="Q5660">
        <v>-1.559436E-2</v>
      </c>
      <c r="R5660">
        <v>-0.14347370000000001</v>
      </c>
      <c r="S5660">
        <v>2.9449459999999998</v>
      </c>
      <c r="T5660">
        <v>-0.56135869999999999</v>
      </c>
      <c r="U5660">
        <v>-0.53781129999999999</v>
      </c>
      <c r="V5660">
        <v>0.1176758</v>
      </c>
      <c r="W5660">
        <v>-5.7527309999999996E-3</v>
      </c>
      <c r="X5660">
        <v>0.99303540000000001</v>
      </c>
      <c r="Y5660">
        <v>0.15181129999999901</v>
      </c>
      <c r="Z5660">
        <v>-9.3537849999999999E-3</v>
      </c>
      <c r="AA5660">
        <v>0.98836520000000005</v>
      </c>
      <c r="AB5660">
        <v>30</v>
      </c>
      <c r="AC5660">
        <v>0.54499999999995896</v>
      </c>
      <c r="AD5660">
        <v>-0.13499920000000001</v>
      </c>
      <c r="AE5660">
        <v>-0.124779999999997</v>
      </c>
      <c r="AF5660">
        <v>0.104470637902808</v>
      </c>
      <c r="AG5660">
        <v>-0.13499920000000001</v>
      </c>
      <c r="AH5660">
        <v>0.51786876030123696</v>
      </c>
      <c r="AI5660">
        <v>104.33430448330201</v>
      </c>
      <c r="AJ5660">
        <v>78.594686557524199</v>
      </c>
      <c r="AK5660">
        <v>0.54527694897217205</v>
      </c>
      <c r="AL5660">
        <v>90.329609026075602</v>
      </c>
      <c r="AM5660">
        <v>83.241902332077402</v>
      </c>
      <c r="AN5660">
        <v>0.99999999673637896</v>
      </c>
    </row>
    <row r="5661" spans="1:40" x14ac:dyDescent="0.25">
      <c r="A5661" t="str">
        <f>"20190312161428430"</f>
        <v>20190312161428430</v>
      </c>
      <c r="B5661" t="str">
        <f>"1552378468422402"</f>
        <v>1552378468422402</v>
      </c>
      <c r="C5661" t="s">
        <v>40</v>
      </c>
      <c r="D5661">
        <v>5.8906929999999997</v>
      </c>
      <c r="E5661">
        <v>0.51618739999999996</v>
      </c>
      <c r="F5661" t="s">
        <v>43</v>
      </c>
      <c r="G5661">
        <v>-336.13569999999999</v>
      </c>
      <c r="H5661">
        <v>0.95412490000000005</v>
      </c>
      <c r="I5661">
        <v>17.247699999999998</v>
      </c>
      <c r="J5661">
        <v>-336.7987</v>
      </c>
      <c r="K5661">
        <v>1.1088720000000001</v>
      </c>
      <c r="L5661">
        <v>17.39066</v>
      </c>
      <c r="M5661">
        <v>0.99959889999999996</v>
      </c>
      <c r="N5661">
        <v>0</v>
      </c>
      <c r="O5661">
        <v>-2.644956E-2</v>
      </c>
      <c r="P5661">
        <v>0.98942180000000002</v>
      </c>
      <c r="Q5661">
        <v>-1.5677460000000001E-2</v>
      </c>
      <c r="R5661">
        <v>-0.1442175</v>
      </c>
      <c r="S5661">
        <v>2.9448850000000002</v>
      </c>
      <c r="T5661">
        <v>-0.56624129999999995</v>
      </c>
      <c r="U5661">
        <v>-0.53775019999999996</v>
      </c>
      <c r="V5661">
        <v>0.1179857</v>
      </c>
      <c r="W5661">
        <v>-5.837086E-3</v>
      </c>
      <c r="X5661">
        <v>0.99299809999999999</v>
      </c>
      <c r="Y5661">
        <v>0.1513391</v>
      </c>
      <c r="Z5661">
        <v>-9.3063810000000007E-3</v>
      </c>
      <c r="AA5661">
        <v>0.98843809999999999</v>
      </c>
      <c r="AB5661">
        <v>30</v>
      </c>
      <c r="AC5661">
        <v>0.66300000000001003</v>
      </c>
      <c r="AD5661">
        <v>-0.154747099999999</v>
      </c>
      <c r="AE5661">
        <v>-0.142960000000002</v>
      </c>
      <c r="AF5661">
        <v>0.119169395479486</v>
      </c>
      <c r="AG5661">
        <v>-0.154747099999999</v>
      </c>
      <c r="AH5661">
        <v>0.63356767321386698</v>
      </c>
      <c r="AI5661">
        <v>103.497788008927</v>
      </c>
      <c r="AJ5661">
        <v>79.347547508578998</v>
      </c>
      <c r="AK5661">
        <v>0.66299020077146698</v>
      </c>
      <c r="AL5661">
        <v>90.334442304414694</v>
      </c>
      <c r="AM5661">
        <v>83.224017942755196</v>
      </c>
      <c r="AN5661">
        <v>0.99999996179053496</v>
      </c>
    </row>
    <row r="5662" spans="1:40" x14ac:dyDescent="0.25">
      <c r="A5662" t="str">
        <f>"20190312161428439"</f>
        <v>20190312161428439</v>
      </c>
      <c r="B5662" t="str">
        <f>"1552378468432162"</f>
        <v>1552378468432162</v>
      </c>
      <c r="C5662" t="s">
        <v>40</v>
      </c>
      <c r="D5662">
        <v>5.8741859999999999</v>
      </c>
      <c r="E5662">
        <v>0.51623079999999999</v>
      </c>
      <c r="F5662" t="s">
        <v>43</v>
      </c>
      <c r="G5662">
        <v>-335.87720000000002</v>
      </c>
      <c r="H5662">
        <v>0.9300872</v>
      </c>
      <c r="I5662">
        <v>17.221219999999999</v>
      </c>
      <c r="J5662">
        <v>-336.6524</v>
      </c>
      <c r="K5662">
        <v>1.1088549999999999</v>
      </c>
      <c r="L5662">
        <v>17.386320000000001</v>
      </c>
      <c r="M5662">
        <v>0.99958630000000004</v>
      </c>
      <c r="N5662">
        <v>0</v>
      </c>
      <c r="O5662">
        <v>-2.6918910000000001E-2</v>
      </c>
      <c r="P5662">
        <v>0.98931690000000005</v>
      </c>
      <c r="Q5662">
        <v>-1.5869629999999999E-2</v>
      </c>
      <c r="R5662">
        <v>-0.14491509999999999</v>
      </c>
      <c r="S5662">
        <v>2.9442439999999999</v>
      </c>
      <c r="T5662">
        <v>-0.57119629999999999</v>
      </c>
      <c r="U5662">
        <v>-0.5404968</v>
      </c>
      <c r="V5662">
        <v>0.118219</v>
      </c>
      <c r="W5662">
        <v>-6.0285169999999997E-3</v>
      </c>
      <c r="X5662">
        <v>0.9929692</v>
      </c>
      <c r="Y5662">
        <v>0.15176700000000001</v>
      </c>
      <c r="Z5662">
        <v>-9.3390369999999997E-3</v>
      </c>
      <c r="AA5662">
        <v>0.98837209999999998</v>
      </c>
      <c r="AB5662">
        <v>30</v>
      </c>
      <c r="AC5662">
        <v>0.77519999999998301</v>
      </c>
      <c r="AD5662">
        <v>-0.1787678</v>
      </c>
      <c r="AE5662">
        <v>-0.165099999999998</v>
      </c>
      <c r="AF5662">
        <v>0.137192206541463</v>
      </c>
      <c r="AG5662">
        <v>-0.1787678</v>
      </c>
      <c r="AH5662">
        <v>0.74163458228310197</v>
      </c>
      <c r="AI5662">
        <v>103.334415438677</v>
      </c>
      <c r="AJ5662">
        <v>79.519543133741706</v>
      </c>
      <c r="AK5662">
        <v>0.77511385066375105</v>
      </c>
      <c r="AL5662">
        <v>90.345410689095303</v>
      </c>
      <c r="AM5662">
        <v>83.210548590657496</v>
      </c>
      <c r="AN5662">
        <v>0.99999995356342797</v>
      </c>
    </row>
    <row r="5663" spans="1:40" x14ac:dyDescent="0.25">
      <c r="A5663" t="str">
        <f>"20190312161428451"</f>
        <v>20190312161428451</v>
      </c>
      <c r="B5663" t="str">
        <f>"1552378468441922"</f>
        <v>1552378468441922</v>
      </c>
      <c r="C5663" t="s">
        <v>40</v>
      </c>
      <c r="D5663">
        <v>5.8075939999999999</v>
      </c>
      <c r="E5663">
        <v>0.51623160000000001</v>
      </c>
      <c r="F5663" t="s">
        <v>43</v>
      </c>
      <c r="G5663">
        <v>-335.86599999999999</v>
      </c>
      <c r="H5663">
        <v>0.95459740000000004</v>
      </c>
      <c r="I5663">
        <v>17.241039999999899</v>
      </c>
      <c r="J5663">
        <v>-336.50689999999997</v>
      </c>
      <c r="K5663">
        <v>1.1088370000000001</v>
      </c>
      <c r="L5663">
        <v>17.381959999999999</v>
      </c>
      <c r="M5663">
        <v>0.9995735</v>
      </c>
      <c r="N5663">
        <v>0</v>
      </c>
      <c r="O5663">
        <v>-2.7390999999999999E-2</v>
      </c>
      <c r="P5663">
        <v>0.98919279999999998</v>
      </c>
      <c r="Q5663">
        <v>-1.5949649999999999E-2</v>
      </c>
      <c r="R5663">
        <v>-0.14575080000000001</v>
      </c>
      <c r="S5663">
        <v>2.9436339999999999</v>
      </c>
      <c r="T5663">
        <v>-0.57734229999999997</v>
      </c>
      <c r="U5663">
        <v>-0.54275509999999905</v>
      </c>
      <c r="V5663">
        <v>0.1185884</v>
      </c>
      <c r="W5663">
        <v>-6.1078449999999998E-3</v>
      </c>
      <c r="X5663">
        <v>0.99292469999999999</v>
      </c>
      <c r="Y5663">
        <v>0.15202539999999901</v>
      </c>
      <c r="Z5663">
        <v>-9.3730259999999996E-3</v>
      </c>
      <c r="AA5663">
        <v>0.98833219999999999</v>
      </c>
      <c r="AB5663">
        <v>30</v>
      </c>
      <c r="AC5663">
        <v>0.64089999999998704</v>
      </c>
      <c r="AD5663">
        <v>-0.1542396</v>
      </c>
      <c r="AE5663">
        <v>-0.14092000000000099</v>
      </c>
      <c r="AF5663">
        <v>0.11685544986541201</v>
      </c>
      <c r="AG5663">
        <v>-0.1542396</v>
      </c>
      <c r="AH5663">
        <v>0.61077626697193499</v>
      </c>
      <c r="AI5663">
        <v>103.930053492401</v>
      </c>
      <c r="AJ5663">
        <v>79.168898355660701</v>
      </c>
      <c r="AK5663">
        <v>0.64069704125084004</v>
      </c>
      <c r="AL5663">
        <v>90.349955920843698</v>
      </c>
      <c r="AM5663">
        <v>83.189230131705997</v>
      </c>
      <c r="AN5663">
        <v>0.99999998712759697</v>
      </c>
    </row>
    <row r="5664" spans="1:40" x14ac:dyDescent="0.25">
      <c r="A5664" t="str">
        <f>"20190312161428462"</f>
        <v>20190312161428462</v>
      </c>
      <c r="B5664" t="str">
        <f>"1552378468452657"</f>
        <v>1552378468452657</v>
      </c>
      <c r="C5664" t="s">
        <v>40</v>
      </c>
      <c r="D5664">
        <v>5.7343440000000001</v>
      </c>
      <c r="E5664">
        <v>0.51614579999999999</v>
      </c>
      <c r="F5664" t="s">
        <v>43</v>
      </c>
      <c r="G5664">
        <v>-335.60700000000003</v>
      </c>
      <c r="H5664">
        <v>0.93114629999999998</v>
      </c>
      <c r="I5664">
        <v>17.215239999999898</v>
      </c>
      <c r="J5664">
        <v>-336.35919999999999</v>
      </c>
      <c r="K5664">
        <v>1.108819</v>
      </c>
      <c r="L5664">
        <v>17.37744</v>
      </c>
      <c r="M5664">
        <v>0.99955959999999999</v>
      </c>
      <c r="N5664">
        <v>0</v>
      </c>
      <c r="O5664">
        <v>-2.7883020000000001E-2</v>
      </c>
      <c r="P5664">
        <v>0.98905120000000002</v>
      </c>
      <c r="Q5664">
        <v>-1.627839E-2</v>
      </c>
      <c r="R5664">
        <v>-0.14667349999999901</v>
      </c>
      <c r="S5664">
        <v>2.943146</v>
      </c>
      <c r="T5664">
        <v>-0.58112719999999995</v>
      </c>
      <c r="U5664">
        <v>-0.54516600000000004</v>
      </c>
      <c r="V5664">
        <v>0.11902509999999999</v>
      </c>
      <c r="W5664">
        <v>-6.4351119999999998E-3</v>
      </c>
      <c r="X5664">
        <v>0.99287040000000004</v>
      </c>
      <c r="Y5664">
        <v>0.1523246</v>
      </c>
      <c r="Z5664">
        <v>-9.3679149999999992E-3</v>
      </c>
      <c r="AA5664">
        <v>0.98828609999999995</v>
      </c>
      <c r="AB5664">
        <v>30</v>
      </c>
      <c r="AC5664">
        <v>0.75220000000001597</v>
      </c>
      <c r="AD5664">
        <v>-0.17767269999999999</v>
      </c>
      <c r="AE5664">
        <v>-0.16220000000000201</v>
      </c>
      <c r="AF5664">
        <v>0.13401732171373701</v>
      </c>
      <c r="AG5664">
        <v>-0.17767269999999999</v>
      </c>
      <c r="AH5664">
        <v>0.71814369260593702</v>
      </c>
      <c r="AI5664">
        <v>103.669337130127</v>
      </c>
      <c r="AJ5664">
        <v>79.4292650099691</v>
      </c>
      <c r="AK5664">
        <v>0.75183681346040998</v>
      </c>
      <c r="AL5664">
        <v>90.368707300056002</v>
      </c>
      <c r="AM5664">
        <v>83.164016155452501</v>
      </c>
      <c r="AN5664">
        <v>1.0000000081463101</v>
      </c>
    </row>
    <row r="5665" spans="1:40" x14ac:dyDescent="0.25">
      <c r="A5665" t="str">
        <f>"20190312161428473"</f>
        <v>20190312161428473</v>
      </c>
      <c r="B5665" t="str">
        <f>"1552378468462418"</f>
        <v>1552378468462418</v>
      </c>
      <c r="C5665" t="s">
        <v>40</v>
      </c>
      <c r="D5665">
        <v>5.9449969999999999</v>
      </c>
      <c r="E5665">
        <v>0.51597740000000003</v>
      </c>
      <c r="F5665" t="s">
        <v>43</v>
      </c>
      <c r="G5665">
        <v>-335.5951</v>
      </c>
      <c r="H5665">
        <v>0.95694880000000004</v>
      </c>
      <c r="I5665">
        <v>17.235389999999999</v>
      </c>
      <c r="J5665">
        <v>-336.21089999999998</v>
      </c>
      <c r="K5665">
        <v>1.1088009999999999</v>
      </c>
      <c r="L5665">
        <v>17.372800000000002</v>
      </c>
      <c r="M5665">
        <v>0.99954560000000003</v>
      </c>
      <c r="N5665">
        <v>0</v>
      </c>
      <c r="O5665">
        <v>-2.8384940000000001E-2</v>
      </c>
      <c r="P5665">
        <v>0.98892619999999998</v>
      </c>
      <c r="Q5665">
        <v>-1.6563950000000001E-2</v>
      </c>
      <c r="R5665">
        <v>-0.147481</v>
      </c>
      <c r="S5665">
        <v>2.9424440000000001</v>
      </c>
      <c r="T5665">
        <v>-0.58475659999999996</v>
      </c>
      <c r="U5665">
        <v>-0.546875</v>
      </c>
      <c r="V5665">
        <v>0.1193366</v>
      </c>
      <c r="W5665">
        <v>-6.7176880000000003E-3</v>
      </c>
      <c r="X5665">
        <v>0.99283109999999997</v>
      </c>
      <c r="Y5665">
        <v>0.15240409999999999</v>
      </c>
      <c r="Z5665">
        <v>-9.3369690000000005E-3</v>
      </c>
      <c r="AA5665">
        <v>0.98827419999999999</v>
      </c>
      <c r="AB5665">
        <v>30</v>
      </c>
      <c r="AC5665">
        <v>0.61579999999997803</v>
      </c>
      <c r="AD5665">
        <v>-0.15185219999999899</v>
      </c>
      <c r="AE5665">
        <v>-0.137410000000002</v>
      </c>
      <c r="AF5665">
        <v>0.113310847536124</v>
      </c>
      <c r="AG5665">
        <v>-0.15185219999999899</v>
      </c>
      <c r="AH5665">
        <v>0.58553576294548604</v>
      </c>
      <c r="AI5665">
        <v>104.284849628321</v>
      </c>
      <c r="AJ5665">
        <v>79.047696878026798</v>
      </c>
      <c r="AK5665">
        <v>0.61542714313097002</v>
      </c>
      <c r="AL5665">
        <v>90.384898076096206</v>
      </c>
      <c r="AM5665">
        <v>83.146026975923206</v>
      </c>
      <c r="AN5665">
        <v>0.99999997227941695</v>
      </c>
    </row>
    <row r="5666" spans="1:40" x14ac:dyDescent="0.25">
      <c r="A5666" t="str">
        <f>"20190312161428483"</f>
        <v>20190312161428483</v>
      </c>
      <c r="B5666" t="str">
        <f>"1552378468472177"</f>
        <v>1552378468472177</v>
      </c>
      <c r="C5666" t="s">
        <v>40</v>
      </c>
      <c r="D5666">
        <v>6.3204459999999996</v>
      </c>
      <c r="E5666">
        <v>0.51581330000000003</v>
      </c>
      <c r="F5666" t="s">
        <v>43</v>
      </c>
      <c r="G5666">
        <v>-335.33569999999997</v>
      </c>
      <c r="H5666">
        <v>0.93406149999999999</v>
      </c>
      <c r="I5666">
        <v>17.209489999999999</v>
      </c>
      <c r="J5666">
        <v>-336.06220000000002</v>
      </c>
      <c r="K5666">
        <v>1.108784</v>
      </c>
      <c r="L5666">
        <v>17.368099999999998</v>
      </c>
      <c r="M5666">
        <v>0.99953080000000005</v>
      </c>
      <c r="N5666">
        <v>0</v>
      </c>
      <c r="O5666">
        <v>-2.8898090000000001E-2</v>
      </c>
      <c r="P5666">
        <v>0.98879740000000005</v>
      </c>
      <c r="Q5666">
        <v>-1.6942260000000001E-2</v>
      </c>
      <c r="R5666">
        <v>-0.1483005</v>
      </c>
      <c r="S5666">
        <v>2.942078</v>
      </c>
      <c r="T5666">
        <v>-0.58723930000000002</v>
      </c>
      <c r="U5666">
        <v>-0.5476685</v>
      </c>
      <c r="V5666">
        <v>0.1196487</v>
      </c>
      <c r="W5666">
        <v>-7.0916900000000003E-3</v>
      </c>
      <c r="X5666">
        <v>0.99279090000000003</v>
      </c>
      <c r="Y5666">
        <v>0.15217069999999999</v>
      </c>
      <c r="Z5666">
        <v>-9.2534669999999996E-3</v>
      </c>
      <c r="AA5666">
        <v>0.98831089999999999</v>
      </c>
      <c r="AB5666">
        <v>30</v>
      </c>
      <c r="AC5666">
        <v>0.726500000000044</v>
      </c>
      <c r="AD5666">
        <v>-0.1747225</v>
      </c>
      <c r="AE5666">
        <v>-0.158609999999999</v>
      </c>
      <c r="AF5666">
        <v>0.130351709860756</v>
      </c>
      <c r="AG5666">
        <v>-0.1747225</v>
      </c>
      <c r="AH5666">
        <v>0.69254602340842297</v>
      </c>
      <c r="AI5666">
        <v>103.924913034057</v>
      </c>
      <c r="AJ5666">
        <v>79.340442291554297</v>
      </c>
      <c r="AK5666">
        <v>0.72604374166347097</v>
      </c>
      <c r="AL5666">
        <v>90.4063273379805</v>
      </c>
      <c r="AM5666">
        <v>83.127997428548895</v>
      </c>
      <c r="AN5666">
        <v>0.99999993730077597</v>
      </c>
    </row>
    <row r="5667" spans="1:40" x14ac:dyDescent="0.25">
      <c r="A5667" t="str">
        <f>"20190312161428494"</f>
        <v>20190312161428494</v>
      </c>
      <c r="B5667" t="str">
        <f>"1552378468492674"</f>
        <v>1552378468492674</v>
      </c>
      <c r="C5667" t="s">
        <v>40</v>
      </c>
      <c r="D5667">
        <v>5.6811129999999999</v>
      </c>
      <c r="E5667">
        <v>0.51556629999999903</v>
      </c>
      <c r="F5667" t="s">
        <v>43</v>
      </c>
      <c r="G5667">
        <v>-335.32339999999999</v>
      </c>
      <c r="H5667">
        <v>0.96047689999999997</v>
      </c>
      <c r="I5667">
        <v>17.229970000000002</v>
      </c>
      <c r="J5667">
        <v>-335.92419999999998</v>
      </c>
      <c r="K5667">
        <v>1.1087720000000001</v>
      </c>
      <c r="L5667">
        <v>17.36365</v>
      </c>
      <c r="M5667">
        <v>0.99951650000000003</v>
      </c>
      <c r="N5667">
        <v>0</v>
      </c>
      <c r="O5667">
        <v>-2.9384049999999998E-2</v>
      </c>
      <c r="P5667">
        <v>0.98869379999999996</v>
      </c>
      <c r="Q5667">
        <v>-1.7096299999999998E-2</v>
      </c>
      <c r="R5667">
        <v>-0.1489711</v>
      </c>
      <c r="S5667">
        <v>2.9416199999999999</v>
      </c>
      <c r="T5667">
        <v>-0.5903735</v>
      </c>
      <c r="U5667">
        <v>-0.54846189999999995</v>
      </c>
      <c r="V5667">
        <v>0.119838899999999</v>
      </c>
      <c r="W5667">
        <v>-7.2391139999999996E-3</v>
      </c>
      <c r="X5667">
        <v>0.99276699999999996</v>
      </c>
      <c r="Y5667">
        <v>0.1519636</v>
      </c>
      <c r="Z5667">
        <v>-9.1870739999999999E-3</v>
      </c>
      <c r="AA5667">
        <v>0.98834339999999998</v>
      </c>
      <c r="AB5667">
        <v>30</v>
      </c>
      <c r="AC5667">
        <v>0.60079999999999201</v>
      </c>
      <c r="AD5667">
        <v>-0.14829509999999901</v>
      </c>
      <c r="AE5667">
        <v>-0.13367999999999799</v>
      </c>
      <c r="AF5667">
        <v>0.10960477730752501</v>
      </c>
      <c r="AG5667">
        <v>-0.14829509999999901</v>
      </c>
      <c r="AH5667">
        <v>0.57130415219773401</v>
      </c>
      <c r="AI5667">
        <v>104.301458302345</v>
      </c>
      <c r="AJ5667">
        <v>79.139756375096695</v>
      </c>
      <c r="AK5667">
        <v>0.60032747580884005</v>
      </c>
      <c r="AL5667">
        <v>90.414774285143594</v>
      </c>
      <c r="AM5667">
        <v>83.117013926064701</v>
      </c>
      <c r="AN5667">
        <v>1.00000004150685</v>
      </c>
    </row>
    <row r="5668" spans="1:40" x14ac:dyDescent="0.25">
      <c r="A5668" t="str">
        <f>"20190312161428505"</f>
        <v>20190312161428505</v>
      </c>
      <c r="B5668" t="str">
        <f>"1552378468502434"</f>
        <v>1552378468502434</v>
      </c>
      <c r="C5668" t="s">
        <v>40</v>
      </c>
      <c r="D5668">
        <v>5.883502</v>
      </c>
      <c r="E5668">
        <v>0.51548509999999903</v>
      </c>
      <c r="F5668" t="s">
        <v>43</v>
      </c>
      <c r="G5668">
        <v>-335.065</v>
      </c>
      <c r="H5668">
        <v>0.93498970000000003</v>
      </c>
      <c r="I5668">
        <v>17.203399999999998</v>
      </c>
      <c r="J5668">
        <v>-335.77530000000002</v>
      </c>
      <c r="K5668">
        <v>1.1087549999999999</v>
      </c>
      <c r="L5668">
        <v>17.35876</v>
      </c>
      <c r="M5668">
        <v>0.99950050000000001</v>
      </c>
      <c r="N5668">
        <v>0</v>
      </c>
      <c r="O5668">
        <v>-2.9915580000000001E-2</v>
      </c>
      <c r="P5668">
        <v>0.98862110000000003</v>
      </c>
      <c r="Q5668">
        <v>-1.7236749999999999E-2</v>
      </c>
      <c r="R5668">
        <v>-0.14943709999999999</v>
      </c>
      <c r="S5668">
        <v>2.9413450000000001</v>
      </c>
      <c r="T5668">
        <v>-0.59488629999999998</v>
      </c>
      <c r="U5668">
        <v>-0.54849239999999999</v>
      </c>
      <c r="V5668">
        <v>0.1197783</v>
      </c>
      <c r="W5668">
        <v>-7.370003E-3</v>
      </c>
      <c r="X5668">
        <v>0.99277329999999997</v>
      </c>
      <c r="Y5668">
        <v>0.1514489</v>
      </c>
      <c r="Z5668">
        <v>-9.1003019999999994E-3</v>
      </c>
      <c r="AA5668">
        <v>0.98842319999999995</v>
      </c>
      <c r="AB5668">
        <v>30</v>
      </c>
      <c r="AC5668">
        <v>0.71030000000001703</v>
      </c>
      <c r="AD5668">
        <v>-0.17376529999999901</v>
      </c>
      <c r="AE5668">
        <v>-0.155360000000001</v>
      </c>
      <c r="AF5668">
        <v>0.126798282129437</v>
      </c>
      <c r="AG5668">
        <v>-0.17376529999999901</v>
      </c>
      <c r="AH5668">
        <v>0.67601938812373596</v>
      </c>
      <c r="AI5668">
        <v>104.178318688194</v>
      </c>
      <c r="AJ5668">
        <v>79.376689253540604</v>
      </c>
      <c r="AK5668">
        <v>0.70941835115413798</v>
      </c>
      <c r="AL5668">
        <v>90.422273893257398</v>
      </c>
      <c r="AM5668">
        <v>83.120504380026702</v>
      </c>
      <c r="AN5668">
        <v>0.999999991644</v>
      </c>
    </row>
    <row r="5669" spans="1:40" x14ac:dyDescent="0.25">
      <c r="A5669" t="str">
        <f>"20190312161428519"</f>
        <v>20190312161428519</v>
      </c>
      <c r="B5669" t="str">
        <f>"1552378468512194"</f>
        <v>1552378468512194</v>
      </c>
      <c r="C5669" t="s">
        <v>40</v>
      </c>
      <c r="D5669">
        <v>5.7974019999999999</v>
      </c>
      <c r="E5669">
        <v>0.51538439999999996</v>
      </c>
      <c r="F5669" t="s">
        <v>43</v>
      </c>
      <c r="G5669">
        <v>-335.05259999999998</v>
      </c>
      <c r="H5669">
        <v>0.96148219999999995</v>
      </c>
      <c r="I5669">
        <v>17.223790000000001</v>
      </c>
      <c r="J5669">
        <v>-335.60410000000002</v>
      </c>
      <c r="K5669">
        <v>1.108738</v>
      </c>
      <c r="L5669">
        <v>17.35303</v>
      </c>
      <c r="M5669">
        <v>0.99948130000000002</v>
      </c>
      <c r="N5669">
        <v>0</v>
      </c>
      <c r="O5669">
        <v>-3.0543170000000001E-2</v>
      </c>
      <c r="P5669">
        <v>0.98848860000000005</v>
      </c>
      <c r="Q5669">
        <v>-1.7261519999999999E-2</v>
      </c>
      <c r="R5669">
        <v>-0.15030859999999999</v>
      </c>
      <c r="S5669">
        <v>2.9410400000000001</v>
      </c>
      <c r="T5669">
        <v>-0.59929529999999998</v>
      </c>
      <c r="U5669">
        <v>-0.54913330000000005</v>
      </c>
      <c r="V5669">
        <v>0.1200297</v>
      </c>
      <c r="W5669">
        <v>-7.3786759999999998E-3</v>
      </c>
      <c r="X5669">
        <v>0.99274289999999998</v>
      </c>
      <c r="Y5669">
        <v>0.15104029999999999</v>
      </c>
      <c r="Z5669">
        <v>-9.0009870000000002E-3</v>
      </c>
      <c r="AA5669">
        <v>0.98848659999999999</v>
      </c>
      <c r="AB5669">
        <v>30</v>
      </c>
      <c r="AC5669">
        <v>0.55150000000003196</v>
      </c>
      <c r="AD5669">
        <v>-0.14725579999999899</v>
      </c>
      <c r="AE5669">
        <v>-0.12923999999999899</v>
      </c>
      <c r="AF5669">
        <v>0.10522300300910301</v>
      </c>
      <c r="AG5669">
        <v>-0.14725579999999899</v>
      </c>
      <c r="AH5669">
        <v>0.52004426641836499</v>
      </c>
      <c r="AI5669">
        <v>105.511251804282</v>
      </c>
      <c r="AJ5669">
        <v>78.561501697983402</v>
      </c>
      <c r="AK5669">
        <v>0.55063798455111101</v>
      </c>
      <c r="AL5669">
        <v>90.4227708212414</v>
      </c>
      <c r="AM5669">
        <v>83.105994897713998</v>
      </c>
      <c r="AN5669">
        <v>1.0000000196209999</v>
      </c>
    </row>
    <row r="5670" spans="1:40" x14ac:dyDescent="0.25">
      <c r="A5670" t="str">
        <f>"20190312161428529"</f>
        <v>20190312161428529</v>
      </c>
      <c r="B5670" t="str">
        <f>"1552378468521956"</f>
        <v>1552378468521956</v>
      </c>
      <c r="C5670" t="s">
        <v>40</v>
      </c>
      <c r="D5670">
        <v>5.7903229999999999</v>
      </c>
      <c r="E5670">
        <v>0.51538439999999996</v>
      </c>
      <c r="F5670" t="s">
        <v>43</v>
      </c>
      <c r="G5670">
        <v>-334.79129999999998</v>
      </c>
      <c r="H5670">
        <v>0.94206230000000002</v>
      </c>
      <c r="I5670">
        <v>17.200500000000002</v>
      </c>
      <c r="J5670">
        <v>-335.44720000000001</v>
      </c>
      <c r="K5670">
        <v>1.108719</v>
      </c>
      <c r="L5670">
        <v>17.34769</v>
      </c>
      <c r="M5670">
        <v>0.99946310000000005</v>
      </c>
      <c r="N5670">
        <v>0</v>
      </c>
      <c r="O5670">
        <v>-3.1124619999999999E-2</v>
      </c>
      <c r="P5670">
        <v>0.98844770000000004</v>
      </c>
      <c r="Q5670">
        <v>-1.755342E-2</v>
      </c>
      <c r="R5670">
        <v>-0.15054229999999999</v>
      </c>
      <c r="S5670">
        <v>2.9406129999999999</v>
      </c>
      <c r="T5670">
        <v>-0.60294019999999904</v>
      </c>
      <c r="U5670">
        <v>-0.55084230000000001</v>
      </c>
      <c r="V5670">
        <v>0.11968620000000001</v>
      </c>
      <c r="W5670">
        <v>-7.6508660000000001E-3</v>
      </c>
      <c r="X5670">
        <v>0.99278230000000001</v>
      </c>
      <c r="Y5670">
        <v>0.1510291</v>
      </c>
      <c r="Z5670">
        <v>-8.9375319999999998E-3</v>
      </c>
      <c r="AA5670">
        <v>0.9884889</v>
      </c>
      <c r="AB5670">
        <v>30</v>
      </c>
      <c r="AC5670">
        <v>0.65590000000003101</v>
      </c>
      <c r="AD5670">
        <v>-0.16665669999999999</v>
      </c>
      <c r="AE5670">
        <v>-0.14718999999999799</v>
      </c>
      <c r="AF5670">
        <v>0.11936606280857601</v>
      </c>
      <c r="AG5670">
        <v>-0.16665669999999999</v>
      </c>
      <c r="AH5670">
        <v>0.621935977626078</v>
      </c>
      <c r="AI5670">
        <v>104.743747823314</v>
      </c>
      <c r="AJ5670">
        <v>79.135530242661304</v>
      </c>
      <c r="AK5670">
        <v>0.65484889315857897</v>
      </c>
      <c r="AL5670">
        <v>90.438366604360397</v>
      </c>
      <c r="AM5670">
        <v>83.125805250682305</v>
      </c>
      <c r="AN5670">
        <v>1.0000000087071399</v>
      </c>
    </row>
    <row r="5671" spans="1:40" x14ac:dyDescent="0.25">
      <c r="A5671" t="str">
        <f>"20190312161428540"</f>
        <v>20190312161428540</v>
      </c>
      <c r="B5671" t="str">
        <f>"1552378468532689"</f>
        <v>1552378468532689</v>
      </c>
      <c r="C5671" t="s">
        <v>40</v>
      </c>
      <c r="D5671">
        <v>5.7240690000000001</v>
      </c>
      <c r="E5671">
        <v>0.51526779999999905</v>
      </c>
      <c r="F5671" t="s">
        <v>43</v>
      </c>
      <c r="G5671">
        <v>-334.53050000000002</v>
      </c>
      <c r="H5671">
        <v>0.92046760000000005</v>
      </c>
      <c r="I5671">
        <v>17.175789999999999</v>
      </c>
      <c r="J5671">
        <v>-335.30110000000002</v>
      </c>
      <c r="K5671">
        <v>1.1087100000000001</v>
      </c>
      <c r="L5671">
        <v>17.342589999999898</v>
      </c>
      <c r="M5671">
        <v>0.99944529999999998</v>
      </c>
      <c r="N5671">
        <v>0</v>
      </c>
      <c r="O5671">
        <v>-3.1682009999999997E-2</v>
      </c>
      <c r="P5671">
        <v>0.98833369999999998</v>
      </c>
      <c r="Q5671">
        <v>-1.7565480000000001E-2</v>
      </c>
      <c r="R5671">
        <v>-0.15128829999999999</v>
      </c>
      <c r="S5671">
        <v>2.940369</v>
      </c>
      <c r="T5671">
        <v>-0.6038386</v>
      </c>
      <c r="U5671">
        <v>-0.55160520000000002</v>
      </c>
      <c r="V5671">
        <v>0.1198815</v>
      </c>
      <c r="W5671">
        <v>-7.6368030000000002E-3</v>
      </c>
      <c r="X5671">
        <v>0.99275880000000005</v>
      </c>
      <c r="Y5671">
        <v>0.1507502</v>
      </c>
      <c r="Z5671">
        <v>-8.8108579999999995E-3</v>
      </c>
      <c r="AA5671">
        <v>0.98853259999999998</v>
      </c>
      <c r="AB5671">
        <v>30</v>
      </c>
      <c r="AC5671">
        <v>0.77060000000000095</v>
      </c>
      <c r="AD5671">
        <v>-0.1882424</v>
      </c>
      <c r="AE5671">
        <v>-0.16679999999999801</v>
      </c>
      <c r="AF5671">
        <v>0.13462679586205301</v>
      </c>
      <c r="AG5671">
        <v>-0.1882424</v>
      </c>
      <c r="AH5671">
        <v>0.73367679058683599</v>
      </c>
      <c r="AI5671">
        <v>104.16346882501099</v>
      </c>
      <c r="AJ5671">
        <v>79.602122420080093</v>
      </c>
      <c r="AK5671">
        <v>0.769312165747847</v>
      </c>
      <c r="AL5671">
        <v>90.437560849452893</v>
      </c>
      <c r="AM5671">
        <v>83.1145343395455</v>
      </c>
      <c r="AN5671">
        <v>0.99999996488987397</v>
      </c>
    </row>
    <row r="5672" spans="1:40" x14ac:dyDescent="0.25">
      <c r="A5672" t="str">
        <f>"20190312161428552"</f>
        <v>20190312161428552</v>
      </c>
      <c r="B5672" t="str">
        <f>"1552378468542450"</f>
        <v>1552378468542450</v>
      </c>
      <c r="C5672" t="s">
        <v>40</v>
      </c>
      <c r="D5672">
        <v>6.5096559999999997</v>
      </c>
      <c r="E5672">
        <v>0.51516229999999996</v>
      </c>
      <c r="F5672" t="s">
        <v>43</v>
      </c>
      <c r="G5672">
        <v>-334.51839999999999</v>
      </c>
      <c r="H5672">
        <v>0.94708700000000001</v>
      </c>
      <c r="I5672">
        <v>17.195489999999999</v>
      </c>
      <c r="J5672">
        <v>-335.1472</v>
      </c>
      <c r="K5672">
        <v>1.1087</v>
      </c>
      <c r="L5672">
        <v>17.337160000000001</v>
      </c>
      <c r="M5672">
        <v>0.99942600000000004</v>
      </c>
      <c r="N5672">
        <v>0</v>
      </c>
      <c r="O5672">
        <v>-3.2274980000000002E-2</v>
      </c>
      <c r="P5672">
        <v>0.98823209999999995</v>
      </c>
      <c r="Q5672">
        <v>-1.759517E-2</v>
      </c>
      <c r="R5672">
        <v>-0.151947</v>
      </c>
      <c r="S5672">
        <v>2.939972</v>
      </c>
      <c r="T5672">
        <v>-0.60710759999999997</v>
      </c>
      <c r="U5672">
        <v>-0.55279540000000005</v>
      </c>
      <c r="V5672">
        <v>0.11995400000000001</v>
      </c>
      <c r="W5672">
        <v>-7.6349410000000001E-3</v>
      </c>
      <c r="X5672">
        <v>0.99275009999999997</v>
      </c>
      <c r="Y5672">
        <v>0.15056429999999901</v>
      </c>
      <c r="Z5672">
        <v>-8.7196759999999904E-3</v>
      </c>
      <c r="AA5672">
        <v>0.98856169999999999</v>
      </c>
      <c r="AB5672">
        <v>30</v>
      </c>
      <c r="AC5672">
        <v>0.62880000000001202</v>
      </c>
      <c r="AD5672">
        <v>-0.16161299999999901</v>
      </c>
      <c r="AE5672">
        <v>-0.14167000000000099</v>
      </c>
      <c r="AF5672">
        <v>0.11412584028664</v>
      </c>
      <c r="AG5672">
        <v>-0.16161299999999901</v>
      </c>
      <c r="AH5672">
        <v>0.59560128074498497</v>
      </c>
      <c r="AI5672">
        <v>104.922289127761</v>
      </c>
      <c r="AJ5672">
        <v>79.152778539664993</v>
      </c>
      <c r="AK5672">
        <v>0.62760206724898304</v>
      </c>
      <c r="AL5672">
        <v>90.437454142849901</v>
      </c>
      <c r="AM5672">
        <v>83.110350473280505</v>
      </c>
      <c r="AN5672">
        <v>1.0000000077450399</v>
      </c>
    </row>
    <row r="5673" spans="1:40" x14ac:dyDescent="0.25">
      <c r="A5673" t="str">
        <f>"20190312161428562"</f>
        <v>20190312161428562</v>
      </c>
      <c r="B5673" t="str">
        <f>"1552378468552210"</f>
        <v>1552378468552210</v>
      </c>
      <c r="C5673" t="s">
        <v>40</v>
      </c>
      <c r="D5673">
        <v>5.7392919999999998</v>
      </c>
      <c r="E5673">
        <v>0.51516229999999996</v>
      </c>
      <c r="F5673" t="s">
        <v>43</v>
      </c>
      <c r="G5673">
        <v>-334.25839999999999</v>
      </c>
      <c r="H5673">
        <v>0.9238809</v>
      </c>
      <c r="I5673">
        <v>17.169460000000001</v>
      </c>
      <c r="J5673">
        <v>-334.99340000000001</v>
      </c>
      <c r="K5673">
        <v>1.1086929999999999</v>
      </c>
      <c r="L5673">
        <v>17.331600000000002</v>
      </c>
      <c r="M5673">
        <v>0.99940580000000001</v>
      </c>
      <c r="N5673">
        <v>0</v>
      </c>
      <c r="O5673">
        <v>-3.2878600000000001E-2</v>
      </c>
      <c r="P5673">
        <v>0.98813119999999999</v>
      </c>
      <c r="Q5673">
        <v>-1.7517439999999999E-2</v>
      </c>
      <c r="R5673">
        <v>-0.1526102</v>
      </c>
      <c r="S5673">
        <v>2.939667</v>
      </c>
      <c r="T5673">
        <v>-0.61116280000000001</v>
      </c>
      <c r="U5673">
        <v>-0.55386349999999995</v>
      </c>
      <c r="V5673">
        <v>0.1200205</v>
      </c>
      <c r="W5673">
        <v>-7.5182159999999899E-3</v>
      </c>
      <c r="X5673">
        <v>0.99274300000000004</v>
      </c>
      <c r="Y5673">
        <v>0.15031829999999999</v>
      </c>
      <c r="Z5673">
        <v>-8.6293589999999996E-3</v>
      </c>
      <c r="AA5673">
        <v>0.98860000000000003</v>
      </c>
      <c r="AB5673">
        <v>30</v>
      </c>
      <c r="AC5673">
        <v>0.73500000000001298</v>
      </c>
      <c r="AD5673">
        <v>-0.18481209999999901</v>
      </c>
      <c r="AE5673">
        <v>-0.16214000000000001</v>
      </c>
      <c r="AF5673">
        <v>0.13004478286473201</v>
      </c>
      <c r="AG5673">
        <v>-0.18481209999999901</v>
      </c>
      <c r="AH5673">
        <v>0.69785941516903005</v>
      </c>
      <c r="AI5673">
        <v>104.592749910929</v>
      </c>
      <c r="AJ5673">
        <v>79.444114997667398</v>
      </c>
      <c r="AK5673">
        <v>0.73353590314094796</v>
      </c>
      <c r="AL5673">
        <v>90.430766081135204</v>
      </c>
      <c r="AM5673">
        <v>83.106518910269799</v>
      </c>
      <c r="AN5673">
        <v>1.00000005402053</v>
      </c>
    </row>
    <row r="5674" spans="1:40" x14ac:dyDescent="0.25">
      <c r="A5674" t="str">
        <f>"20190312161428575"</f>
        <v>20190312161428575</v>
      </c>
      <c r="B5674" t="str">
        <f>"1552378468572706"</f>
        <v>1552378468572706</v>
      </c>
      <c r="C5674" t="s">
        <v>40</v>
      </c>
      <c r="D5674">
        <v>5.6393589999999998</v>
      </c>
      <c r="E5674">
        <v>0.52118529999999996</v>
      </c>
      <c r="F5674" t="s">
        <v>43</v>
      </c>
      <c r="G5674">
        <v>-334.2448</v>
      </c>
      <c r="H5674">
        <v>0.95307509999999995</v>
      </c>
      <c r="I5674">
        <v>17.189810000000001</v>
      </c>
      <c r="J5674">
        <v>-334.83199999999999</v>
      </c>
      <c r="K5674">
        <v>1.1086879999999999</v>
      </c>
      <c r="L5674">
        <v>17.325620000000001</v>
      </c>
      <c r="M5674">
        <v>0.99938389999999999</v>
      </c>
      <c r="N5674">
        <v>0</v>
      </c>
      <c r="O5674">
        <v>-3.3522370000000003E-2</v>
      </c>
      <c r="P5674">
        <v>0.98802820000000002</v>
      </c>
      <c r="Q5674">
        <v>-1.758933E-2</v>
      </c>
      <c r="R5674">
        <v>-0.1532686</v>
      </c>
      <c r="S5674">
        <v>2.939362</v>
      </c>
      <c r="T5674">
        <v>-0.61086859999999998</v>
      </c>
      <c r="U5674">
        <v>-0.55584719999999999</v>
      </c>
      <c r="V5674">
        <v>0.1200421</v>
      </c>
      <c r="W5674">
        <v>-7.5369490000000003E-3</v>
      </c>
      <c r="X5674">
        <v>0.99274019999999996</v>
      </c>
      <c r="Y5674">
        <v>0.150359299999999</v>
      </c>
      <c r="Z5674">
        <v>-8.4988230000000008E-3</v>
      </c>
      <c r="AA5674">
        <v>0.98859490000000005</v>
      </c>
      <c r="AB5674">
        <v>30</v>
      </c>
      <c r="AC5674">
        <v>0.58719999999999495</v>
      </c>
      <c r="AD5674">
        <v>-0.155612899999999</v>
      </c>
      <c r="AE5674">
        <v>-0.13580999999999899</v>
      </c>
      <c r="AF5674">
        <v>0.108795575295872</v>
      </c>
      <c r="AG5674">
        <v>-0.155612899999999</v>
      </c>
      <c r="AH5674">
        <v>0.55446060604853598</v>
      </c>
      <c r="AI5674">
        <v>105.397803841246</v>
      </c>
      <c r="AJ5674">
        <v>78.898534362406707</v>
      </c>
      <c r="AK5674">
        <v>0.58607031618234995</v>
      </c>
      <c r="AL5674">
        <v>90.431839453184693</v>
      </c>
      <c r="AM5674">
        <v>83.105270977307597</v>
      </c>
      <c r="AN5674">
        <v>1.0000000080343301</v>
      </c>
    </row>
    <row r="5675" spans="1:40" x14ac:dyDescent="0.25">
      <c r="A5675" t="str">
        <f>"20190312161428591"</f>
        <v>20190312161428591</v>
      </c>
      <c r="B5675" t="str">
        <f>"1552378468582465"</f>
        <v>1552378468582465</v>
      </c>
      <c r="C5675" t="s">
        <v>40</v>
      </c>
      <c r="D5675">
        <v>5.9551129999999999</v>
      </c>
      <c r="E5675">
        <v>0.51951000000000003</v>
      </c>
      <c r="F5675" t="s">
        <v>43</v>
      </c>
      <c r="G5675">
        <v>-334.01190000000003</v>
      </c>
      <c r="H5675">
        <v>0.86698569999999997</v>
      </c>
      <c r="I5675">
        <v>17.158470000000001</v>
      </c>
      <c r="J5675">
        <v>-334.62540000000001</v>
      </c>
      <c r="K5675">
        <v>1.1086849999999999</v>
      </c>
      <c r="L5675">
        <v>17.317900000000002</v>
      </c>
      <c r="M5675">
        <v>0.99935439999999998</v>
      </c>
      <c r="N5675">
        <v>0</v>
      </c>
      <c r="O5675">
        <v>-3.4357529999999997E-2</v>
      </c>
      <c r="P5675">
        <v>0.98790469999999997</v>
      </c>
      <c r="Q5675">
        <v>-1.7468419999999998E-2</v>
      </c>
      <c r="R5675">
        <v>-0.15407570000000001</v>
      </c>
      <c r="S5675">
        <v>2.9285580000000002</v>
      </c>
      <c r="T5675">
        <v>-0.86299490000000001</v>
      </c>
      <c r="U5675">
        <v>-0.59585569999999999</v>
      </c>
      <c r="V5675">
        <v>0.12002350000000001</v>
      </c>
      <c r="W5675">
        <v>-7.33009099999999E-3</v>
      </c>
      <c r="X5675">
        <v>0.99274399999999996</v>
      </c>
      <c r="Y5675">
        <v>0.16044849999999999</v>
      </c>
      <c r="Z5675">
        <v>-1.3117790000000001E-2</v>
      </c>
      <c r="AA5675">
        <v>0.98695710000000003</v>
      </c>
      <c r="AB5675">
        <v>30</v>
      </c>
      <c r="AC5675">
        <v>0.61349999999998694</v>
      </c>
      <c r="AD5675">
        <v>-0.24169930000000001</v>
      </c>
      <c r="AE5675">
        <v>-0.15942999999999999</v>
      </c>
      <c r="AF5675">
        <v>0.12070657835482899</v>
      </c>
      <c r="AG5675">
        <v>-0.24169930000000001</v>
      </c>
      <c r="AH5675">
        <v>0.54009077130683403</v>
      </c>
      <c r="AI5675">
        <v>113.592892351307</v>
      </c>
      <c r="AJ5675">
        <v>77.401819915772407</v>
      </c>
      <c r="AK5675">
        <v>0.60389293002106903</v>
      </c>
      <c r="AL5675">
        <v>90.419987034536703</v>
      </c>
      <c r="AM5675">
        <v>83.106355137968094</v>
      </c>
      <c r="AN5675">
        <v>1.0000000101611499</v>
      </c>
    </row>
    <row r="5676" spans="1:40" x14ac:dyDescent="0.25">
      <c r="A5676" t="str">
        <f>"20190312161428607"</f>
        <v>20190312161428607</v>
      </c>
      <c r="B5676" t="str">
        <f>"1552378468601986"</f>
        <v>1552378468601986</v>
      </c>
      <c r="C5676" t="s">
        <v>40</v>
      </c>
      <c r="D5676">
        <v>5.6185510000000001</v>
      </c>
      <c r="E5676">
        <v>0.51757470000000005</v>
      </c>
      <c r="F5676" t="s">
        <v>43</v>
      </c>
      <c r="G5676">
        <v>-333.74259999999998</v>
      </c>
      <c r="H5676">
        <v>0.86398779999999997</v>
      </c>
      <c r="I5676">
        <v>17.14095</v>
      </c>
      <c r="J5676">
        <v>-334.39249999999998</v>
      </c>
      <c r="K5676">
        <v>1.108698</v>
      </c>
      <c r="L5676">
        <v>17.308900000000001</v>
      </c>
      <c r="M5676">
        <v>0.99931939999999997</v>
      </c>
      <c r="N5676">
        <v>0</v>
      </c>
      <c r="O5676">
        <v>-3.531658E-2</v>
      </c>
      <c r="P5676">
        <v>0.98776200000000003</v>
      </c>
      <c r="Q5676">
        <v>-1.7405830000000001E-2</v>
      </c>
      <c r="R5676">
        <v>-0.1549952</v>
      </c>
      <c r="S5676">
        <v>2.930847</v>
      </c>
      <c r="T5676">
        <v>-0.81228520000000004</v>
      </c>
      <c r="U5676">
        <v>-0.58697509999999997</v>
      </c>
      <c r="V5676">
        <v>0.1199947</v>
      </c>
      <c r="W5676">
        <v>-7.1262779999999998E-3</v>
      </c>
      <c r="X5676">
        <v>0.99274899999999999</v>
      </c>
      <c r="Y5676">
        <v>0.15720880000000001</v>
      </c>
      <c r="Z5676">
        <v>-1.1674800000000001E-2</v>
      </c>
      <c r="AA5676">
        <v>0.98749640000000005</v>
      </c>
      <c r="AB5676">
        <v>30</v>
      </c>
      <c r="AC5676">
        <v>0.64990000000000203</v>
      </c>
      <c r="AD5676">
        <v>-0.24471019999999899</v>
      </c>
      <c r="AE5676">
        <v>-0.16795000000000099</v>
      </c>
      <c r="AF5676">
        <v>0.12789414775213101</v>
      </c>
      <c r="AG5676">
        <v>-0.24471019999999899</v>
      </c>
      <c r="AH5676">
        <v>0.57853696412213296</v>
      </c>
      <c r="AI5676">
        <v>112.441097777056</v>
      </c>
      <c r="AJ5676">
        <v>77.534403434195397</v>
      </c>
      <c r="AK5676">
        <v>0.64104993087039497</v>
      </c>
      <c r="AL5676">
        <v>90.408309090860996</v>
      </c>
      <c r="AM5676">
        <v>83.108027754673401</v>
      </c>
      <c r="AN5676">
        <v>1.0000000444336099</v>
      </c>
    </row>
    <row r="5677" spans="1:40" x14ac:dyDescent="0.25">
      <c r="A5677" t="str">
        <f>"20190312161428619"</f>
        <v>20190312161428619</v>
      </c>
      <c r="B5677" t="str">
        <f>"1552378468612721"</f>
        <v>1552378468612721</v>
      </c>
      <c r="C5677" t="s">
        <v>40</v>
      </c>
      <c r="D5677">
        <v>6.4340729999999997</v>
      </c>
      <c r="E5677">
        <v>0.51703299999999996</v>
      </c>
      <c r="F5677" t="s">
        <v>43</v>
      </c>
      <c r="G5677">
        <v>-333.71350000000001</v>
      </c>
      <c r="H5677">
        <v>0.93208809999999997</v>
      </c>
      <c r="I5677">
        <v>17.175319999999999</v>
      </c>
      <c r="J5677">
        <v>-334.22980000000001</v>
      </c>
      <c r="K5677">
        <v>1.1087129999999901</v>
      </c>
      <c r="L5677">
        <v>17.30246</v>
      </c>
      <c r="M5677">
        <v>0.9992936</v>
      </c>
      <c r="N5677">
        <v>0</v>
      </c>
      <c r="O5677">
        <v>-3.5998839999999997E-2</v>
      </c>
      <c r="P5677">
        <v>0.98761069999999995</v>
      </c>
      <c r="Q5677">
        <v>-1.7383889999999999E-2</v>
      </c>
      <c r="R5677">
        <v>-0.1559586</v>
      </c>
      <c r="S5677">
        <v>2.9332889999999998</v>
      </c>
      <c r="T5677">
        <v>-0.76287479999999996</v>
      </c>
      <c r="U5677">
        <v>-0.57641600000000004</v>
      </c>
      <c r="V5677">
        <v>0.1202855</v>
      </c>
      <c r="W5677">
        <v>-6.9752440000000002E-3</v>
      </c>
      <c r="X5677">
        <v>0.99271480000000001</v>
      </c>
      <c r="Y5677">
        <v>0.15360770000000001</v>
      </c>
      <c r="Z5677">
        <v>-1.0353330000000001E-2</v>
      </c>
      <c r="AA5677">
        <v>0.98807769999999995</v>
      </c>
      <c r="AB5677">
        <v>30</v>
      </c>
      <c r="AC5677">
        <v>0.51630000000000098</v>
      </c>
      <c r="AD5677">
        <v>-0.176624899999999</v>
      </c>
      <c r="AE5677">
        <v>-0.12713999999999701</v>
      </c>
      <c r="AF5677">
        <v>9.7691099118294197E-2</v>
      </c>
      <c r="AG5677">
        <v>-0.176624899999999</v>
      </c>
      <c r="AH5677">
        <v>0.46881373347629102</v>
      </c>
      <c r="AI5677">
        <v>110.245289493805</v>
      </c>
      <c r="AJ5677">
        <v>78.229184430913193</v>
      </c>
      <c r="AK5677">
        <v>0.51041769448455498</v>
      </c>
      <c r="AL5677">
        <v>90.399655297177702</v>
      </c>
      <c r="AM5677">
        <v>83.091250989643896</v>
      </c>
      <c r="AN5677">
        <v>0.99999996483907405</v>
      </c>
    </row>
    <row r="5678" spans="1:40" x14ac:dyDescent="0.25">
      <c r="A5678" t="str">
        <f>"20190312161428630"</f>
        <v>20190312161428630</v>
      </c>
      <c r="B5678" t="str">
        <f>"1552378468622482"</f>
        <v>1552378468622482</v>
      </c>
      <c r="C5678" t="s">
        <v>40</v>
      </c>
      <c r="D5678">
        <v>6.3686319999999998</v>
      </c>
      <c r="E5678">
        <v>0.51686569999999998</v>
      </c>
      <c r="F5678" t="s">
        <v>43</v>
      </c>
      <c r="G5678">
        <v>-333.45310000000001</v>
      </c>
      <c r="H5678">
        <v>0.91012289999999996</v>
      </c>
      <c r="I5678">
        <v>17.14977</v>
      </c>
      <c r="J5678">
        <v>-334.08109999999999</v>
      </c>
      <c r="K5678">
        <v>1.108727</v>
      </c>
      <c r="L5678">
        <v>17.296479999999999</v>
      </c>
      <c r="M5678">
        <v>0.99926939999999997</v>
      </c>
      <c r="N5678">
        <v>0</v>
      </c>
      <c r="O5678">
        <v>-3.6626579999999999E-2</v>
      </c>
      <c r="P5678">
        <v>0.98745300000000003</v>
      </c>
      <c r="Q5678">
        <v>-1.719934E-2</v>
      </c>
      <c r="R5678">
        <v>-0.15697369999999999</v>
      </c>
      <c r="S5678">
        <v>2.9335629999999999</v>
      </c>
      <c r="T5678">
        <v>-0.74990950000000001</v>
      </c>
      <c r="U5678">
        <v>-0.57534790000000002</v>
      </c>
      <c r="V5678">
        <v>0.1206826</v>
      </c>
      <c r="W5678">
        <v>-6.666033E-3</v>
      </c>
      <c r="X5678">
        <v>0.99266869999999996</v>
      </c>
      <c r="Y5678">
        <v>0.15279319999999999</v>
      </c>
      <c r="Z5678">
        <v>-9.9244599999999995E-3</v>
      </c>
      <c r="AA5678">
        <v>0.98820839999999999</v>
      </c>
      <c r="AB5678">
        <v>30</v>
      </c>
      <c r="AC5678">
        <v>0.62799999999998501</v>
      </c>
      <c r="AD5678">
        <v>-0.19860410000000001</v>
      </c>
      <c r="AE5678">
        <v>-0.14670999999999801</v>
      </c>
      <c r="AF5678">
        <v>0.11290141704083401</v>
      </c>
      <c r="AG5678">
        <v>-0.19860410000000001</v>
      </c>
      <c r="AH5678">
        <v>0.57812458749612805</v>
      </c>
      <c r="AI5678">
        <v>108.632176939282</v>
      </c>
      <c r="AJ5678">
        <v>78.949835708548207</v>
      </c>
      <c r="AK5678">
        <v>0.62162557635139704</v>
      </c>
      <c r="AL5678">
        <v>90.381938409747804</v>
      </c>
      <c r="AM5678">
        <v>83.068345806256602</v>
      </c>
      <c r="AN5678">
        <v>0.99999993694920097</v>
      </c>
    </row>
    <row r="5679" spans="1:40" x14ac:dyDescent="0.25">
      <c r="A5679" t="str">
        <f>"20190312161428641"</f>
        <v>20190312161428641</v>
      </c>
      <c r="B5679" t="str">
        <f>"1552378468632242"</f>
        <v>1552378468632242</v>
      </c>
      <c r="C5679" t="s">
        <v>40</v>
      </c>
      <c r="D5679">
        <v>5.6113780000000002</v>
      </c>
      <c r="E5679">
        <v>0.51661259999999998</v>
      </c>
      <c r="F5679" t="s">
        <v>43</v>
      </c>
      <c r="G5679">
        <v>-333.1936</v>
      </c>
      <c r="H5679">
        <v>0.88497250000000005</v>
      </c>
      <c r="I5679">
        <v>17.12162</v>
      </c>
      <c r="J5679">
        <v>-333.93830000000003</v>
      </c>
      <c r="K5679">
        <v>1.108744</v>
      </c>
      <c r="L5679">
        <v>17.290620000000001</v>
      </c>
      <c r="M5679">
        <v>0.9992451</v>
      </c>
      <c r="N5679">
        <v>0</v>
      </c>
      <c r="O5679">
        <v>-3.7241389999999999E-2</v>
      </c>
      <c r="P5679">
        <v>0.98732819999999999</v>
      </c>
      <c r="Q5679">
        <v>-1.7298689999999999E-2</v>
      </c>
      <c r="R5679">
        <v>-0.1577471</v>
      </c>
      <c r="S5679">
        <v>2.9334720000000001</v>
      </c>
      <c r="T5679">
        <v>-0.73943729999999996</v>
      </c>
      <c r="U5679">
        <v>-0.57730099999999995</v>
      </c>
      <c r="V5679">
        <v>0.1208491</v>
      </c>
      <c r="W5679">
        <v>-6.6254089999999996E-3</v>
      </c>
      <c r="X5679">
        <v>0.9926488</v>
      </c>
      <c r="Y5679">
        <v>0.15293760000000001</v>
      </c>
      <c r="Z5679">
        <v>-9.6565880000000007E-3</v>
      </c>
      <c r="AA5679">
        <v>0.98818870000000003</v>
      </c>
      <c r="AB5679">
        <v>30</v>
      </c>
      <c r="AC5679">
        <v>0.74470000000002201</v>
      </c>
      <c r="AD5679">
        <v>-0.22377149999999901</v>
      </c>
      <c r="AE5679">
        <v>-0.16900000000000001</v>
      </c>
      <c r="AF5679">
        <v>0.12998562946902401</v>
      </c>
      <c r="AG5679">
        <v>-0.22377149999999901</v>
      </c>
      <c r="AH5679">
        <v>0.69113068207283501</v>
      </c>
      <c r="AI5679">
        <v>107.650918971788</v>
      </c>
      <c r="AJ5679">
        <v>79.348423657560602</v>
      </c>
      <c r="AK5679">
        <v>0.73799157704080198</v>
      </c>
      <c r="AL5679">
        <v>90.379610742705694</v>
      </c>
      <c r="AM5679">
        <v>83.058737972311604</v>
      </c>
      <c r="AN5679">
        <v>1.0000000205783299</v>
      </c>
    </row>
    <row r="5680" spans="1:40" x14ac:dyDescent="0.25">
      <c r="A5680" t="str">
        <f>"20190312161428652"</f>
        <v>20190312161428652</v>
      </c>
      <c r="B5680" t="str">
        <f>"1552378468642002"</f>
        <v>1552378468642002</v>
      </c>
      <c r="C5680" t="s">
        <v>40</v>
      </c>
      <c r="D5680">
        <v>5.574192</v>
      </c>
      <c r="E5680">
        <v>0.51733580000000001</v>
      </c>
      <c r="F5680" t="s">
        <v>43</v>
      </c>
      <c r="G5680">
        <v>-333.17910000000001</v>
      </c>
      <c r="H5680">
        <v>0.91941019999999896</v>
      </c>
      <c r="I5680">
        <v>17.14087</v>
      </c>
      <c r="J5680">
        <v>-333.78530000000001</v>
      </c>
      <c r="K5680">
        <v>1.1087640000000001</v>
      </c>
      <c r="L5680">
        <v>17.28424</v>
      </c>
      <c r="M5680">
        <v>0.9992183</v>
      </c>
      <c r="N5680">
        <v>0</v>
      </c>
      <c r="O5680">
        <v>-3.7907209999999997E-2</v>
      </c>
      <c r="P5680">
        <v>0.98716280000000001</v>
      </c>
      <c r="Q5680">
        <v>-1.744859E-2</v>
      </c>
      <c r="R5680">
        <v>-0.15876189999999901</v>
      </c>
      <c r="S5680">
        <v>2.933319</v>
      </c>
      <c r="T5680">
        <v>-0.73141599999999996</v>
      </c>
      <c r="U5680">
        <v>-0.57788090000000003</v>
      </c>
      <c r="V5680">
        <v>0.12120789999999999</v>
      </c>
      <c r="W5680">
        <v>-6.6227949999999999E-3</v>
      </c>
      <c r="X5680">
        <v>0.99260499999999996</v>
      </c>
      <c r="Y5680">
        <v>0.1525812</v>
      </c>
      <c r="Z5680">
        <v>-9.3501450000000007E-3</v>
      </c>
      <c r="AA5680">
        <v>0.98824670000000003</v>
      </c>
      <c r="AB5680">
        <v>30</v>
      </c>
      <c r="AC5680">
        <v>0.60620000000000096</v>
      </c>
      <c r="AD5680">
        <v>-0.18935379999999999</v>
      </c>
      <c r="AE5680">
        <v>-0.14337</v>
      </c>
      <c r="AF5680">
        <v>0.11011166403054699</v>
      </c>
      <c r="AG5680">
        <v>-0.18935379999999999</v>
      </c>
      <c r="AH5680">
        <v>0.55950065507508595</v>
      </c>
      <c r="AI5680">
        <v>108.369467580554</v>
      </c>
      <c r="AJ5680">
        <v>78.866279454081806</v>
      </c>
      <c r="AK5680">
        <v>0.60084975090239201</v>
      </c>
      <c r="AL5680">
        <v>90.379460994570294</v>
      </c>
      <c r="AM5680">
        <v>83.038027183297103</v>
      </c>
      <c r="AN5680">
        <v>0.999999951230509</v>
      </c>
    </row>
    <row r="5681" spans="1:40" x14ac:dyDescent="0.25">
      <c r="A5681" t="str">
        <f>"20190312161428662"</f>
        <v>20190312161428662</v>
      </c>
      <c r="B5681" t="str">
        <f>"1552378468652738"</f>
        <v>1552378468652738</v>
      </c>
      <c r="C5681" t="s">
        <v>40</v>
      </c>
      <c r="D5681">
        <v>5.5552619999999999</v>
      </c>
      <c r="E5681">
        <v>0.51811549999999995</v>
      </c>
      <c r="F5681" t="s">
        <v>43</v>
      </c>
      <c r="G5681">
        <v>-332.92180000000002</v>
      </c>
      <c r="H5681">
        <v>0.89031709999999997</v>
      </c>
      <c r="I5681">
        <v>17.11129</v>
      </c>
      <c r="J5681">
        <v>-333.64609999999999</v>
      </c>
      <c r="K5681">
        <v>1.1087720000000001</v>
      </c>
      <c r="L5681">
        <v>17.278379999999999</v>
      </c>
      <c r="M5681">
        <v>0.99919309999999995</v>
      </c>
      <c r="N5681">
        <v>0</v>
      </c>
      <c r="O5681">
        <v>-3.8522519999999998E-2</v>
      </c>
      <c r="P5681">
        <v>0.98703609999999997</v>
      </c>
      <c r="Q5681">
        <v>-1.7441740000000001E-2</v>
      </c>
      <c r="R5681">
        <v>-0.15954930000000001</v>
      </c>
      <c r="S5681">
        <v>2.9316409999999999</v>
      </c>
      <c r="T5681">
        <v>-0.74150669999999996</v>
      </c>
      <c r="U5681">
        <v>-0.58612059999999999</v>
      </c>
      <c r="V5681">
        <v>0.1213886</v>
      </c>
      <c r="W5681">
        <v>-6.4719679999999998E-3</v>
      </c>
      <c r="X5681">
        <v>0.99258400000000002</v>
      </c>
      <c r="Y5681">
        <v>0.15461539999999999</v>
      </c>
      <c r="Z5681">
        <v>-9.5776320000000009E-3</v>
      </c>
      <c r="AA5681">
        <v>0.98792829999999998</v>
      </c>
      <c r="AB5681">
        <v>30</v>
      </c>
      <c r="AC5681">
        <v>0.72429999999997097</v>
      </c>
      <c r="AD5681">
        <v>-0.21845489999999901</v>
      </c>
      <c r="AE5681">
        <v>-0.16708999999999799</v>
      </c>
      <c r="AF5681">
        <v>0.128006263143632</v>
      </c>
      <c r="AG5681">
        <v>-0.21845489999999901</v>
      </c>
      <c r="AH5681">
        <v>0.67214555058630798</v>
      </c>
      <c r="AI5681">
        <v>107.706879275974</v>
      </c>
      <c r="AJ5681">
        <v>79.2174674778595</v>
      </c>
      <c r="AK5681">
        <v>0.71825328952325596</v>
      </c>
      <c r="AL5681">
        <v>90.370819026261202</v>
      </c>
      <c r="AM5681">
        <v>83.027604113170199</v>
      </c>
      <c r="AN5681">
        <v>1.0000000378178699</v>
      </c>
    </row>
    <row r="5682" spans="1:40" x14ac:dyDescent="0.25">
      <c r="A5682" t="str">
        <f>"20190312161428674"</f>
        <v>20190312161428674</v>
      </c>
      <c r="B5682" t="str">
        <f>"1552378468662498"</f>
        <v>1552378468662498</v>
      </c>
      <c r="C5682" t="s">
        <v>40</v>
      </c>
      <c r="D5682">
        <v>5.5553749999999997</v>
      </c>
      <c r="E5682">
        <v>0.51811549999999995</v>
      </c>
      <c r="F5682" t="s">
        <v>43</v>
      </c>
      <c r="G5682">
        <v>-332.90910000000002</v>
      </c>
      <c r="H5682">
        <v>0.9203249</v>
      </c>
      <c r="I5682">
        <v>17.128520000000002</v>
      </c>
      <c r="J5682">
        <v>-333.49849999999998</v>
      </c>
      <c r="K5682">
        <v>1.108786</v>
      </c>
      <c r="L5682">
        <v>17.272029999999901</v>
      </c>
      <c r="M5682">
        <v>0.99916550000000004</v>
      </c>
      <c r="N5682">
        <v>0</v>
      </c>
      <c r="O5682">
        <v>-3.9183559999999999E-2</v>
      </c>
      <c r="P5682">
        <v>0.98690840000000002</v>
      </c>
      <c r="Q5682">
        <v>-1.7591320000000001E-2</v>
      </c>
      <c r="R5682">
        <v>-0.16032070000000001</v>
      </c>
      <c r="S5682">
        <v>2.9300540000000002</v>
      </c>
      <c r="T5682">
        <v>-0.74900730000000004</v>
      </c>
      <c r="U5682">
        <v>-0.59451290000000001</v>
      </c>
      <c r="V5682">
        <v>0.1215077</v>
      </c>
      <c r="W5682">
        <v>-6.471358E-3</v>
      </c>
      <c r="X5682">
        <v>0.99256940000000005</v>
      </c>
      <c r="Y5682">
        <v>0.15666959999999999</v>
      </c>
      <c r="Z5682">
        <v>-9.7656989999999992E-3</v>
      </c>
      <c r="AA5682">
        <v>0.9876028</v>
      </c>
      <c r="AB5682">
        <v>30</v>
      </c>
      <c r="AC5682">
        <v>0.58939999999995496</v>
      </c>
      <c r="AD5682">
        <v>-0.18846109999999999</v>
      </c>
      <c r="AE5682">
        <v>-0.143509999999995</v>
      </c>
      <c r="AF5682">
        <v>0.109714019602631</v>
      </c>
      <c r="AG5682">
        <v>-0.18846109999999999</v>
      </c>
      <c r="AH5682">
        <v>0.54223519639436102</v>
      </c>
      <c r="AI5682">
        <v>108.81192343105</v>
      </c>
      <c r="AJ5682">
        <v>78.561398022376295</v>
      </c>
      <c r="AK5682">
        <v>0.58444312000348497</v>
      </c>
      <c r="AL5682">
        <v>90.370784086634004</v>
      </c>
      <c r="AM5682">
        <v>83.020728960621895</v>
      </c>
      <c r="AN5682">
        <v>1.0000000067249999</v>
      </c>
    </row>
    <row r="5683" spans="1:40" x14ac:dyDescent="0.25">
      <c r="A5683" t="str">
        <f>"20190312161428684"</f>
        <v>20190312161428684</v>
      </c>
      <c r="B5683" t="str">
        <f>"1552378468672258"</f>
        <v>1552378468672258</v>
      </c>
      <c r="C5683" t="s">
        <v>40</v>
      </c>
      <c r="D5683">
        <v>5.518154</v>
      </c>
      <c r="E5683">
        <v>0.53108169999999899</v>
      </c>
      <c r="F5683" t="s">
        <v>43</v>
      </c>
      <c r="G5683">
        <v>-332.65179999999998</v>
      </c>
      <c r="H5683">
        <v>0.892109499999999</v>
      </c>
      <c r="I5683">
        <v>17.099039999999999</v>
      </c>
      <c r="J5683">
        <v>-333.34089999999998</v>
      </c>
      <c r="K5683">
        <v>1.108798</v>
      </c>
      <c r="L5683">
        <v>17.265139999999999</v>
      </c>
      <c r="M5683">
        <v>0.99913549999999995</v>
      </c>
      <c r="N5683">
        <v>0</v>
      </c>
      <c r="O5683">
        <v>-3.9897620000000002E-2</v>
      </c>
      <c r="P5683">
        <v>0.98677269999999995</v>
      </c>
      <c r="Q5683">
        <v>-1.7704640000000001E-2</v>
      </c>
      <c r="R5683">
        <v>-0.16114249999999999</v>
      </c>
      <c r="S5683">
        <v>2.9294129999999998</v>
      </c>
      <c r="T5683">
        <v>-0.74945989999999996</v>
      </c>
      <c r="U5683">
        <v>-0.59719849999999997</v>
      </c>
      <c r="V5683">
        <v>0.121624499999999</v>
      </c>
      <c r="W5683">
        <v>-6.4270169999999897E-3</v>
      </c>
      <c r="X5683">
        <v>0.99255539999999998</v>
      </c>
      <c r="Y5683">
        <v>0.1568861</v>
      </c>
      <c r="Z5683">
        <v>-9.6220290000000007E-3</v>
      </c>
      <c r="AA5683">
        <v>0.98756980000000005</v>
      </c>
      <c r="AB5683">
        <v>30</v>
      </c>
      <c r="AC5683">
        <v>0.68909999999999605</v>
      </c>
      <c r="AD5683">
        <v>-0.21668850000000001</v>
      </c>
      <c r="AE5683">
        <v>-0.1661</v>
      </c>
      <c r="AF5683">
        <v>0.126638042963577</v>
      </c>
      <c r="AG5683">
        <v>-0.21668850000000001</v>
      </c>
      <c r="AH5683">
        <v>0.63576616811376196</v>
      </c>
      <c r="AI5683">
        <v>108.48291550144801</v>
      </c>
      <c r="AJ5683">
        <v>78.734718142094707</v>
      </c>
      <c r="AK5683">
        <v>0.68351278003849403</v>
      </c>
      <c r="AL5683">
        <v>90.368243475365503</v>
      </c>
      <c r="AM5683">
        <v>83.013988793794994</v>
      </c>
      <c r="AN5683">
        <v>1.0000000238084601</v>
      </c>
    </row>
    <row r="5684" spans="1:40" x14ac:dyDescent="0.25">
      <c r="A5684" t="str">
        <f>"20190312161428695"</f>
        <v>20190312161428695</v>
      </c>
      <c r="B5684" t="str">
        <f>"1552378468692755"</f>
        <v>1552378468692755</v>
      </c>
      <c r="C5684" t="s">
        <v>40</v>
      </c>
      <c r="D5684">
        <v>5.4598559999999896</v>
      </c>
      <c r="E5684">
        <v>0.54173649999999995</v>
      </c>
      <c r="F5684" t="s">
        <v>43</v>
      </c>
      <c r="G5684">
        <v>-332.6046</v>
      </c>
      <c r="H5684">
        <v>0.99507089999999998</v>
      </c>
      <c r="I5684">
        <v>17.084669999999999</v>
      </c>
      <c r="J5684">
        <v>-333.2072</v>
      </c>
      <c r="K5684">
        <v>1.10880499999999</v>
      </c>
      <c r="L5684">
        <v>17.25919</v>
      </c>
      <c r="M5684">
        <v>0.99910909999999997</v>
      </c>
      <c r="N5684">
        <v>0</v>
      </c>
      <c r="O5684">
        <v>-4.0512180000000002E-2</v>
      </c>
      <c r="P5684">
        <v>0.98667439999999995</v>
      </c>
      <c r="Q5684">
        <v>-1.828169E-2</v>
      </c>
      <c r="R5684">
        <v>-0.16167719999999999</v>
      </c>
      <c r="S5684">
        <v>2.9156490000000002</v>
      </c>
      <c r="T5684">
        <v>-0.4502003</v>
      </c>
      <c r="U5684">
        <v>-0.71319580000000005</v>
      </c>
      <c r="V5684">
        <v>0.1215511</v>
      </c>
      <c r="W5684">
        <v>-6.8763849999999996E-3</v>
      </c>
      <c r="X5684">
        <v>0.99256129999999998</v>
      </c>
      <c r="Y5684">
        <v>0.19631609999999999</v>
      </c>
      <c r="Z5684">
        <v>-8.7304619999999996E-3</v>
      </c>
      <c r="AA5684">
        <v>0.98050179999999998</v>
      </c>
      <c r="AB5684">
        <v>30</v>
      </c>
      <c r="AC5684">
        <v>0.60259999999999503</v>
      </c>
      <c r="AD5684">
        <v>-0.11373409999999901</v>
      </c>
      <c r="AE5684">
        <v>-0.17451999999999701</v>
      </c>
      <c r="AF5684">
        <v>0.145190559680448</v>
      </c>
      <c r="AG5684">
        <v>-0.11373409999999901</v>
      </c>
      <c r="AH5684">
        <v>0.58979193011380504</v>
      </c>
      <c r="AI5684">
        <v>100.60567508540601</v>
      </c>
      <c r="AJ5684">
        <v>76.170340777320007</v>
      </c>
      <c r="AK5684">
        <v>0.61795652351156505</v>
      </c>
      <c r="AL5684">
        <v>90.3939909657024</v>
      </c>
      <c r="AM5684">
        <v>83.018204297102102</v>
      </c>
      <c r="AN5684">
        <v>0.99999994441978202</v>
      </c>
    </row>
    <row r="5685" spans="1:40" x14ac:dyDescent="0.25">
      <c r="A5685" t="str">
        <f>"20190312161428707"</f>
        <v>20190312161428707</v>
      </c>
      <c r="B5685" t="str">
        <f>"1552378468702515"</f>
        <v>1552378468702515</v>
      </c>
      <c r="C5685" t="s">
        <v>40</v>
      </c>
      <c r="D5685">
        <v>5.4821</v>
      </c>
      <c r="E5685">
        <v>0.54598610000000003</v>
      </c>
      <c r="F5685" t="s">
        <v>42</v>
      </c>
      <c r="G5685">
        <v>-323.9067</v>
      </c>
      <c r="H5685" s="1">
        <v>-3.7350600000000002E-6</v>
      </c>
      <c r="I5685">
        <v>14.687729999999901</v>
      </c>
      <c r="J5685">
        <v>-333.04450000000003</v>
      </c>
      <c r="K5685">
        <v>1.1088100000000001</v>
      </c>
      <c r="L5685">
        <v>17.25189</v>
      </c>
      <c r="M5685">
        <v>0.99907639999999998</v>
      </c>
      <c r="N5685">
        <v>0</v>
      </c>
      <c r="O5685">
        <v>-4.1264429999999998E-2</v>
      </c>
      <c r="P5685">
        <v>0.98651350000000004</v>
      </c>
      <c r="Q5685">
        <v>-1.8422729999999998E-2</v>
      </c>
      <c r="R5685">
        <v>-0.16264020000000001</v>
      </c>
      <c r="S5685">
        <v>2.9025569999999998</v>
      </c>
      <c r="T5685">
        <v>-0.34604600000000002</v>
      </c>
      <c r="U5685">
        <v>-0.80252080000000003</v>
      </c>
      <c r="V5685">
        <v>0.1217723</v>
      </c>
      <c r="W5685">
        <v>-6.8662169999999896E-3</v>
      </c>
      <c r="X5685">
        <v>0.99253429999999998</v>
      </c>
      <c r="Y5685">
        <v>0.22527949999999999</v>
      </c>
      <c r="Z5685">
        <v>-8.3322309999999903E-3</v>
      </c>
      <c r="AA5685">
        <v>0.97425850000000003</v>
      </c>
      <c r="AB5685">
        <v>30</v>
      </c>
      <c r="AC5685">
        <v>9.1378000000000199</v>
      </c>
      <c r="AD5685">
        <v>-1.10881373506</v>
      </c>
      <c r="AE5685">
        <v>-2.5641600000000002</v>
      </c>
      <c r="AF5685">
        <v>2.15546156599417</v>
      </c>
      <c r="AG5685">
        <v>-1.10881373506</v>
      </c>
      <c r="AH5685">
        <v>9.1114652464053698</v>
      </c>
      <c r="AI5685">
        <v>96.753836317877003</v>
      </c>
      <c r="AJ5685">
        <v>76.690456943469101</v>
      </c>
      <c r="AK5685">
        <v>9.42837639246485</v>
      </c>
      <c r="AL5685">
        <v>90.3934083515487</v>
      </c>
      <c r="AM5685">
        <v>83.005436105786004</v>
      </c>
      <c r="AN5685">
        <v>0.99999998732983497</v>
      </c>
    </row>
    <row r="5686" spans="1:40" x14ac:dyDescent="0.25">
      <c r="A5686" t="str">
        <f>"20190312161428719"</f>
        <v>20190312161428719</v>
      </c>
      <c r="B5686" t="str">
        <f>"1552378468712274"</f>
        <v>1552378468712274</v>
      </c>
      <c r="C5686" t="s">
        <v>40</v>
      </c>
      <c r="D5686">
        <v>5.4934510000000003</v>
      </c>
      <c r="E5686">
        <v>0.54865810000000004</v>
      </c>
      <c r="F5686" t="s">
        <v>42</v>
      </c>
      <c r="G5686">
        <v>-322.92759999999998</v>
      </c>
      <c r="H5686" s="1">
        <v>-4.2634200000000003E-6</v>
      </c>
      <c r="I5686">
        <v>14.318160000000001</v>
      </c>
      <c r="J5686">
        <v>-332.88929999999999</v>
      </c>
      <c r="K5686">
        <v>1.1088119999999999</v>
      </c>
      <c r="L5686">
        <v>17.244720000000001</v>
      </c>
      <c r="M5686">
        <v>0.9990443</v>
      </c>
      <c r="N5686">
        <v>0</v>
      </c>
      <c r="O5686">
        <v>-4.1995739999999997E-2</v>
      </c>
      <c r="P5686">
        <v>0.98637370000000002</v>
      </c>
      <c r="Q5686">
        <v>-1.8470710000000001E-2</v>
      </c>
      <c r="R5686">
        <v>-0.16348089999999901</v>
      </c>
      <c r="S5686">
        <v>2.896576</v>
      </c>
      <c r="T5686">
        <v>-0.31746829999999998</v>
      </c>
      <c r="U5686">
        <v>-0.83996579999999998</v>
      </c>
      <c r="V5686">
        <v>0.1218916</v>
      </c>
      <c r="W5686">
        <v>-6.7794739999999997E-3</v>
      </c>
      <c r="X5686">
        <v>0.99252030000000002</v>
      </c>
      <c r="Y5686">
        <v>0.2368557</v>
      </c>
      <c r="Z5686">
        <v>-8.1922450000000008E-3</v>
      </c>
      <c r="AA5686">
        <v>0.97151030000000005</v>
      </c>
      <c r="AB5686">
        <v>30</v>
      </c>
      <c r="AC5686">
        <v>9.9617000000000004</v>
      </c>
      <c r="AD5686">
        <v>-1.1088162634200001</v>
      </c>
      <c r="AE5686">
        <v>-2.9265599999999998</v>
      </c>
      <c r="AF5686">
        <v>2.47734371610583</v>
      </c>
      <c r="AG5686">
        <v>-1.1088162634200001</v>
      </c>
      <c r="AH5686">
        <v>9.9622024454488702</v>
      </c>
      <c r="AI5686">
        <v>96.164772903186403</v>
      </c>
      <c r="AJ5686">
        <v>76.035267775425993</v>
      </c>
      <c r="AK5686">
        <v>10.325317571768</v>
      </c>
      <c r="AL5686">
        <v>90.388438209610797</v>
      </c>
      <c r="AM5686">
        <v>82.998553751431004</v>
      </c>
      <c r="AN5686">
        <v>1.0000000346651801</v>
      </c>
    </row>
    <row r="5687" spans="1:40" x14ac:dyDescent="0.25">
      <c r="A5687" t="str">
        <f>"20190312161428729"</f>
        <v>20190312161428729</v>
      </c>
      <c r="B5687" t="str">
        <f>"1552378468722034"</f>
        <v>1552378468722034</v>
      </c>
      <c r="C5687" t="s">
        <v>40</v>
      </c>
      <c r="D5687">
        <v>5.6074640000000002</v>
      </c>
      <c r="E5687">
        <v>0.55153949999999996</v>
      </c>
      <c r="F5687" t="s">
        <v>42</v>
      </c>
      <c r="G5687">
        <v>-322.0829</v>
      </c>
      <c r="H5687" s="1">
        <v>-4.7163769999999999E-6</v>
      </c>
      <c r="I5687">
        <v>14.01577</v>
      </c>
      <c r="J5687">
        <v>-332.7491</v>
      </c>
      <c r="K5687">
        <v>1.1088100000000001</v>
      </c>
      <c r="L5687">
        <v>17.238160000000001</v>
      </c>
      <c r="M5687">
        <v>0.99901459999999997</v>
      </c>
      <c r="N5687">
        <v>0</v>
      </c>
      <c r="O5687">
        <v>-4.2659219999999998E-2</v>
      </c>
      <c r="P5687">
        <v>0.98626460000000005</v>
      </c>
      <c r="Q5687">
        <v>-1.866054E-2</v>
      </c>
      <c r="R5687">
        <v>-0.1641165</v>
      </c>
      <c r="S5687">
        <v>2.892639</v>
      </c>
      <c r="T5687">
        <v>-0.29680600000000001</v>
      </c>
      <c r="U5687">
        <v>-0.86431880000000005</v>
      </c>
      <c r="V5687">
        <v>0.12187149999999999</v>
      </c>
      <c r="W5687">
        <v>-6.8488719999999998E-3</v>
      </c>
      <c r="X5687">
        <v>0.99252220000000002</v>
      </c>
      <c r="Y5687">
        <v>0.2441865</v>
      </c>
      <c r="Z5687">
        <v>-7.9639800000000007E-3</v>
      </c>
      <c r="AA5687">
        <v>0.96969559999999999</v>
      </c>
      <c r="AB5687">
        <v>30</v>
      </c>
      <c r="AC5687">
        <v>10.6662</v>
      </c>
      <c r="AD5687">
        <v>-1.1088147163769999</v>
      </c>
      <c r="AE5687">
        <v>-3.2223899999999901</v>
      </c>
      <c r="AF5687">
        <v>2.73730281614097</v>
      </c>
      <c r="AG5687">
        <v>-1.1088147163769999</v>
      </c>
      <c r="AH5687">
        <v>10.688119700322099</v>
      </c>
      <c r="AI5687">
        <v>95.738908396912905</v>
      </c>
      <c r="AJ5687">
        <v>75.634907285030096</v>
      </c>
      <c r="AK5687">
        <v>11.0886518346876</v>
      </c>
      <c r="AL5687">
        <v>90.392414550062</v>
      </c>
      <c r="AM5687">
        <v>82.999710105719601</v>
      </c>
      <c r="AN5687">
        <v>0.999999943526379</v>
      </c>
    </row>
    <row r="5688" spans="1:40" x14ac:dyDescent="0.25">
      <c r="A5688" t="str">
        <f>"20190312161428741"</f>
        <v>20190312161428741</v>
      </c>
      <c r="B5688" t="str">
        <f>"1552378468731794"</f>
        <v>1552378468731794</v>
      </c>
      <c r="C5688" t="s">
        <v>40</v>
      </c>
      <c r="D5688">
        <v>5.4064209999999999</v>
      </c>
      <c r="E5688">
        <v>0.55282430000000005</v>
      </c>
      <c r="F5688" t="s">
        <v>42</v>
      </c>
      <c r="G5688">
        <v>-321.11709999999999</v>
      </c>
      <c r="H5688" s="1">
        <v>-5.2368600000000004E-6</v>
      </c>
      <c r="I5688">
        <v>13.65544</v>
      </c>
      <c r="J5688">
        <v>-332.58519999999999</v>
      </c>
      <c r="K5688">
        <v>1.1088039999999999</v>
      </c>
      <c r="L5688">
        <v>17.230350000000001</v>
      </c>
      <c r="M5688">
        <v>0.99897899999999995</v>
      </c>
      <c r="N5688">
        <v>0</v>
      </c>
      <c r="O5688">
        <v>-4.3450519999999999E-2</v>
      </c>
      <c r="P5688">
        <v>0.98611850000000001</v>
      </c>
      <c r="Q5688">
        <v>-1.8760280000000001E-2</v>
      </c>
      <c r="R5688">
        <v>-0.1649815</v>
      </c>
      <c r="S5688">
        <v>2.8885190000000001</v>
      </c>
      <c r="T5688">
        <v>-0.27534690000000001</v>
      </c>
      <c r="U5688">
        <v>-0.889679</v>
      </c>
      <c r="V5688">
        <v>0.12195590000000001</v>
      </c>
      <c r="W5688">
        <v>-6.8183849999999997E-3</v>
      </c>
      <c r="X5688">
        <v>0.99251210000000001</v>
      </c>
      <c r="Y5688">
        <v>0.25169279999999999</v>
      </c>
      <c r="Z5688">
        <v>-7.6674150000000003E-3</v>
      </c>
      <c r="AA5688">
        <v>0.96777679999999999</v>
      </c>
      <c r="AB5688">
        <v>30</v>
      </c>
      <c r="AC5688">
        <v>11.4680999999999</v>
      </c>
      <c r="AD5688">
        <v>-1.10880923686</v>
      </c>
      <c r="AE5688">
        <v>-3.57491</v>
      </c>
      <c r="AF5688">
        <v>3.0472368257696298</v>
      </c>
      <c r="AG5688">
        <v>-1.10880923686</v>
      </c>
      <c r="AH5688">
        <v>11.5145040640824</v>
      </c>
      <c r="AI5688">
        <v>95.318450878907996</v>
      </c>
      <c r="AJ5688">
        <v>75.176868793941694</v>
      </c>
      <c r="AK5688">
        <v>11.9623958318492</v>
      </c>
      <c r="AL5688">
        <v>90.3906677105727</v>
      </c>
      <c r="AM5688">
        <v>82.994839749586006</v>
      </c>
      <c r="AN5688">
        <v>1.0000000002826099</v>
      </c>
    </row>
    <row r="5689" spans="1:40" x14ac:dyDescent="0.25">
      <c r="A5689" t="str">
        <f>"20190312161428752"</f>
        <v>20190312161428752</v>
      </c>
      <c r="B5689" t="str">
        <f>"1552378468742531"</f>
        <v>1552378468742531</v>
      </c>
      <c r="C5689" t="s">
        <v>40</v>
      </c>
      <c r="D5689">
        <v>5.4865919999999999</v>
      </c>
      <c r="E5689">
        <v>0.55401650000000002</v>
      </c>
      <c r="F5689" t="s">
        <v>42</v>
      </c>
      <c r="G5689">
        <v>-320.52800000000002</v>
      </c>
      <c r="H5689" s="1">
        <v>-5.550116E-6</v>
      </c>
      <c r="I5689">
        <v>13.45932</v>
      </c>
      <c r="J5689">
        <v>-332.4443</v>
      </c>
      <c r="K5689">
        <v>1.108803</v>
      </c>
      <c r="L5689">
        <v>17.22354</v>
      </c>
      <c r="M5689">
        <v>0.99894729999999998</v>
      </c>
      <c r="N5689">
        <v>0</v>
      </c>
      <c r="O5689">
        <v>-4.4137059999999999E-2</v>
      </c>
      <c r="P5689">
        <v>0.9860293</v>
      </c>
      <c r="Q5689">
        <v>-1.8879150000000001E-2</v>
      </c>
      <c r="R5689">
        <v>-0.16549829999999999</v>
      </c>
      <c r="S5689">
        <v>2.8861690000000002</v>
      </c>
      <c r="T5689">
        <v>-0.2654183</v>
      </c>
      <c r="U5689">
        <v>-0.90267940000000002</v>
      </c>
      <c r="V5689">
        <v>0.12179379999999999</v>
      </c>
      <c r="W5689">
        <v>-6.8280729999999996E-3</v>
      </c>
      <c r="X5689">
        <v>0.99253199999999997</v>
      </c>
      <c r="Y5689">
        <v>0.25527339999999998</v>
      </c>
      <c r="Z5689">
        <v>-7.4922469999999996E-3</v>
      </c>
      <c r="AA5689">
        <v>0.96683989999999997</v>
      </c>
      <c r="AB5689">
        <v>30</v>
      </c>
      <c r="AC5689">
        <v>11.9162999999999</v>
      </c>
      <c r="AD5689">
        <v>-1.1088085501160001</v>
      </c>
      <c r="AE5689">
        <v>-3.7642199999999901</v>
      </c>
      <c r="AF5689">
        <v>3.2092938784076099</v>
      </c>
      <c r="AG5689">
        <v>-1.1088085501160001</v>
      </c>
      <c r="AH5689">
        <v>11.976552650893099</v>
      </c>
      <c r="AI5689">
        <v>95.110174735751997</v>
      </c>
      <c r="AJ5689">
        <v>74.999168592880906</v>
      </c>
      <c r="AK5689">
        <v>12.4485676685476</v>
      </c>
      <c r="AL5689">
        <v>90.391222780993004</v>
      </c>
      <c r="AM5689">
        <v>83.004197338011295</v>
      </c>
      <c r="AN5689">
        <v>1.00000006166166</v>
      </c>
    </row>
    <row r="5690" spans="1:40" x14ac:dyDescent="0.25">
      <c r="A5690" t="str">
        <f>"20190312161428763"</f>
        <v>20190312161428763</v>
      </c>
      <c r="B5690" t="str">
        <f>"1552378468752290"</f>
        <v>1552378468752290</v>
      </c>
      <c r="C5690" t="s">
        <v>40</v>
      </c>
      <c r="D5690">
        <v>5.5530799999999996</v>
      </c>
      <c r="E5690">
        <v>0.55476809999999999</v>
      </c>
      <c r="F5690" t="s">
        <v>42</v>
      </c>
      <c r="G5690">
        <v>-320.01859999999999</v>
      </c>
      <c r="H5690" s="1">
        <v>-5.8217480000000002E-6</v>
      </c>
      <c r="I5690">
        <v>13.2854299999999</v>
      </c>
      <c r="J5690">
        <v>-332.3023</v>
      </c>
      <c r="K5690">
        <v>1.1087940000000001</v>
      </c>
      <c r="L5690">
        <v>17.216550000000002</v>
      </c>
      <c r="M5690">
        <v>0.99891479999999999</v>
      </c>
      <c r="N5690">
        <v>0</v>
      </c>
      <c r="O5690">
        <v>-4.4839299999999999E-2</v>
      </c>
      <c r="P5690">
        <v>0.98587029999999998</v>
      </c>
      <c r="Q5690">
        <v>-1.891147E-2</v>
      </c>
      <c r="R5690">
        <v>-0.16644039999999999</v>
      </c>
      <c r="S5690">
        <v>2.8841860000000001</v>
      </c>
      <c r="T5690">
        <v>-0.25737070000000001</v>
      </c>
      <c r="U5690">
        <v>-0.91409300000000004</v>
      </c>
      <c r="V5690">
        <v>0.12204429999999999</v>
      </c>
      <c r="W5690">
        <v>-6.758305E-3</v>
      </c>
      <c r="X5690">
        <v>0.99250159999999998</v>
      </c>
      <c r="Y5690">
        <v>0.2583028</v>
      </c>
      <c r="Z5690">
        <v>-7.33744699999999E-3</v>
      </c>
      <c r="AA5690">
        <v>0.96603609999999895</v>
      </c>
      <c r="AB5690">
        <v>30</v>
      </c>
      <c r="AC5690">
        <v>12.2837</v>
      </c>
      <c r="AD5690">
        <v>-1.108799821748</v>
      </c>
      <c r="AE5690">
        <v>-3.9311199999999999</v>
      </c>
      <c r="AF5690">
        <v>3.3515580084391998</v>
      </c>
      <c r="AG5690">
        <v>-1.108799821748</v>
      </c>
      <c r="AH5690">
        <v>12.3563007818122</v>
      </c>
      <c r="AI5690">
        <v>94.949818441302796</v>
      </c>
      <c r="AJ5690">
        <v>74.824075085871101</v>
      </c>
      <c r="AK5690">
        <v>12.850702204130901</v>
      </c>
      <c r="AL5690">
        <v>90.387225317999594</v>
      </c>
      <c r="AM5690">
        <v>82.989739123850498</v>
      </c>
      <c r="AN5690">
        <v>0.99999995592575996</v>
      </c>
    </row>
    <row r="5691" spans="1:40" x14ac:dyDescent="0.25">
      <c r="A5691" t="str">
        <f>"20190312161428774"</f>
        <v>20190312161428774</v>
      </c>
      <c r="B5691" t="str">
        <f>"1552378468762051"</f>
        <v>1552378468762051</v>
      </c>
      <c r="C5691" t="s">
        <v>40</v>
      </c>
      <c r="D5691">
        <v>5.5211169999999896</v>
      </c>
      <c r="E5691">
        <v>0.55531819999999998</v>
      </c>
      <c r="F5691" t="s">
        <v>41</v>
      </c>
      <c r="G5691">
        <v>-319.22179999999997</v>
      </c>
      <c r="H5691">
        <v>-0.05</v>
      </c>
      <c r="I5691">
        <v>13.028499999999999</v>
      </c>
      <c r="J5691">
        <v>-332.14929999999998</v>
      </c>
      <c r="K5691">
        <v>1.108787</v>
      </c>
      <c r="L5691">
        <v>17.208919999999999</v>
      </c>
      <c r="M5691">
        <v>0.9988785</v>
      </c>
      <c r="N5691">
        <v>0</v>
      </c>
      <c r="O5691">
        <v>-4.5606679999999997E-2</v>
      </c>
      <c r="P5691">
        <v>0.98575259999999998</v>
      </c>
      <c r="Q5691">
        <v>-1.9433619999999999E-2</v>
      </c>
      <c r="R5691">
        <v>-0.1670748</v>
      </c>
      <c r="S5691">
        <v>2.8823240000000001</v>
      </c>
      <c r="T5691">
        <v>-0.25534499999999999</v>
      </c>
      <c r="U5691">
        <v>-0.92285159999999999</v>
      </c>
      <c r="V5691">
        <v>0.1219196</v>
      </c>
      <c r="W5691">
        <v>-7.1746450000000003E-3</v>
      </c>
      <c r="X5691">
        <v>0.99251409999999995</v>
      </c>
      <c r="Y5691">
        <v>0.26041189999999997</v>
      </c>
      <c r="Z5691">
        <v>-7.3062250000000004E-3</v>
      </c>
      <c r="AA5691">
        <v>0.96547000000000005</v>
      </c>
      <c r="AB5691">
        <v>30</v>
      </c>
      <c r="AC5691">
        <v>12.9275</v>
      </c>
      <c r="AD5691">
        <v>-1.158787</v>
      </c>
      <c r="AE5691">
        <v>-4.1804199999999998</v>
      </c>
      <c r="AF5691">
        <v>3.5605413607954501</v>
      </c>
      <c r="AG5691">
        <v>-1.158787</v>
      </c>
      <c r="AH5691">
        <v>13.0100791557718</v>
      </c>
      <c r="AI5691">
        <v>94.910182011573994</v>
      </c>
      <c r="AJ5691">
        <v>74.694319414647296</v>
      </c>
      <c r="AK5691">
        <v>13.5381831030885</v>
      </c>
      <c r="AL5691">
        <v>90.411080383629397</v>
      </c>
      <c r="AM5691">
        <v>82.996918089585094</v>
      </c>
      <c r="AN5691">
        <v>1.0000000515469201</v>
      </c>
    </row>
    <row r="5692" spans="1:40" x14ac:dyDescent="0.25">
      <c r="A5692" t="str">
        <f>"20190312161428788"</f>
        <v>20190312161428788</v>
      </c>
      <c r="B5692" t="str">
        <f>"1552378468782546"</f>
        <v>1552378468782546</v>
      </c>
      <c r="C5692" t="s">
        <v>40</v>
      </c>
      <c r="D5692">
        <v>5.460979</v>
      </c>
      <c r="E5692">
        <v>0.55677659999999995</v>
      </c>
      <c r="F5692" t="s">
        <v>41</v>
      </c>
      <c r="G5692">
        <v>-318.7724</v>
      </c>
      <c r="H5692">
        <v>-0.05</v>
      </c>
      <c r="I5692">
        <v>12.893420000000001</v>
      </c>
      <c r="J5692">
        <v>-331.95949999999999</v>
      </c>
      <c r="K5692">
        <v>1.108776</v>
      </c>
      <c r="L5692">
        <v>17.199279999999899</v>
      </c>
      <c r="M5692">
        <v>0.99883239999999995</v>
      </c>
      <c r="N5692">
        <v>0</v>
      </c>
      <c r="O5692">
        <v>-4.6570840000000002E-2</v>
      </c>
      <c r="P5692">
        <v>0.9855971</v>
      </c>
      <c r="Q5692">
        <v>-1.9809810000000001E-2</v>
      </c>
      <c r="R5692">
        <v>-0.16794629999999999</v>
      </c>
      <c r="S5692">
        <v>2.8809200000000001</v>
      </c>
      <c r="T5692">
        <v>-0.24956249999999999</v>
      </c>
      <c r="U5692">
        <v>-0.92941280000000004</v>
      </c>
      <c r="V5692">
        <v>0.1218383</v>
      </c>
      <c r="W5692">
        <v>-7.4264459999999997E-3</v>
      </c>
      <c r="X5692">
        <v>0.99252220000000002</v>
      </c>
      <c r="Y5692">
        <v>0.2616425</v>
      </c>
      <c r="Z5692">
        <v>-7.1132069999999999E-3</v>
      </c>
      <c r="AA5692">
        <v>0.96513870000000002</v>
      </c>
      <c r="AB5692">
        <v>30</v>
      </c>
      <c r="AC5692">
        <v>13.1870999999999</v>
      </c>
      <c r="AD5692">
        <v>-1.158776</v>
      </c>
      <c r="AE5692">
        <v>-4.3058599999999903</v>
      </c>
      <c r="AF5692">
        <v>3.66145431651938</v>
      </c>
      <c r="AG5692">
        <v>-1.158776</v>
      </c>
      <c r="AH5692">
        <v>13.280666917296401</v>
      </c>
      <c r="AI5692">
        <v>94.808095411836504</v>
      </c>
      <c r="AJ5692">
        <v>74.586570679472999</v>
      </c>
      <c r="AK5692">
        <v>13.824801022014899</v>
      </c>
      <c r="AL5692">
        <v>90.425507915208499</v>
      </c>
      <c r="AM5692">
        <v>83.001598197596394</v>
      </c>
      <c r="AN5692">
        <v>1.0000000204699599</v>
      </c>
    </row>
    <row r="5693" spans="1:40" x14ac:dyDescent="0.25">
      <c r="A5693" t="str">
        <f>"20190312161428801"</f>
        <v>20190312161428801</v>
      </c>
      <c r="B5693" t="str">
        <f>"1552378468792307"</f>
        <v>1552378468792307</v>
      </c>
      <c r="C5693" t="s">
        <v>40</v>
      </c>
      <c r="D5693">
        <v>5.5120690000000003</v>
      </c>
      <c r="E5693">
        <v>0.55746560000000001</v>
      </c>
      <c r="F5693" t="s">
        <v>41</v>
      </c>
      <c r="G5693">
        <v>-317.85219999999998</v>
      </c>
      <c r="H5693">
        <v>-0.05</v>
      </c>
      <c r="I5693">
        <v>12.5732</v>
      </c>
      <c r="J5693">
        <v>-331.79700000000003</v>
      </c>
      <c r="K5693">
        <v>1.10876</v>
      </c>
      <c r="L5693">
        <v>17.190799999999999</v>
      </c>
      <c r="M5693">
        <v>0.99879110000000004</v>
      </c>
      <c r="N5693">
        <v>0</v>
      </c>
      <c r="O5693">
        <v>-4.7419219999999998E-2</v>
      </c>
      <c r="P5693">
        <v>0.98544189999999998</v>
      </c>
      <c r="Q5693">
        <v>-2.012767E-2</v>
      </c>
      <c r="R5693">
        <v>-0.16881650000000001</v>
      </c>
      <c r="S5693">
        <v>2.8782649999999999</v>
      </c>
      <c r="T5693">
        <v>-0.23642170000000001</v>
      </c>
      <c r="U5693">
        <v>-0.94384769999999896</v>
      </c>
      <c r="V5693">
        <v>0.1218712</v>
      </c>
      <c r="W5693">
        <v>-7.6495E-3</v>
      </c>
      <c r="X5693">
        <v>0.99251650000000002</v>
      </c>
      <c r="Y5693">
        <v>0.26552300000000001</v>
      </c>
      <c r="Z5693">
        <v>-6.8283440000000001E-3</v>
      </c>
      <c r="AA5693">
        <v>0.9640803</v>
      </c>
      <c r="AB5693">
        <v>30</v>
      </c>
      <c r="AC5693">
        <v>13.944799999999899</v>
      </c>
      <c r="AD5693">
        <v>-1.15876</v>
      </c>
      <c r="AE5693">
        <v>-4.6176000000000004</v>
      </c>
      <c r="AF5693">
        <v>3.9266633562780502</v>
      </c>
      <c r="AG5693">
        <v>-1.15876</v>
      </c>
      <c r="AH5693">
        <v>14.0605974918484</v>
      </c>
      <c r="AI5693">
        <v>94.538322618205399</v>
      </c>
      <c r="AJ5693">
        <v>74.396696141968206</v>
      </c>
      <c r="AK5693">
        <v>14.6445147300589</v>
      </c>
      <c r="AL5693">
        <v>90.438288316400701</v>
      </c>
      <c r="AM5693">
        <v>82.9996873632019</v>
      </c>
      <c r="AN5693">
        <v>1.0000000535059601</v>
      </c>
    </row>
    <row r="5694" spans="1:40" x14ac:dyDescent="0.25">
      <c r="A5694" t="str">
        <f>"20190312161428813"</f>
        <v>20190312161428813</v>
      </c>
      <c r="B5694" t="str">
        <f>"1552378468802066"</f>
        <v>1552378468802066</v>
      </c>
      <c r="C5694" t="s">
        <v>40</v>
      </c>
      <c r="D5694">
        <v>5.5443389999999999</v>
      </c>
      <c r="E5694">
        <v>0.55802810000000003</v>
      </c>
      <c r="F5694" t="s">
        <v>41</v>
      </c>
      <c r="G5694">
        <v>-317.40370000000001</v>
      </c>
      <c r="H5694">
        <v>-0.05</v>
      </c>
      <c r="I5694">
        <v>12.426410000000001</v>
      </c>
      <c r="J5694">
        <v>-331.63099999999997</v>
      </c>
      <c r="K5694">
        <v>1.1087499999999999</v>
      </c>
      <c r="L5694">
        <v>17.182040000000001</v>
      </c>
      <c r="M5694">
        <v>0.99874799999999997</v>
      </c>
      <c r="N5694">
        <v>0</v>
      </c>
      <c r="O5694">
        <v>-4.8295020000000001E-2</v>
      </c>
      <c r="P5694">
        <v>0.98527509999999996</v>
      </c>
      <c r="Q5694">
        <v>-2.06451E-2</v>
      </c>
      <c r="R5694">
        <v>-0.1697263</v>
      </c>
      <c r="S5694">
        <v>2.876465</v>
      </c>
      <c r="T5694">
        <v>-0.23157510000000001</v>
      </c>
      <c r="U5694">
        <v>-0.95214840000000001</v>
      </c>
      <c r="V5694">
        <v>0.1219158</v>
      </c>
      <c r="W5694">
        <v>-8.0743350000000002E-3</v>
      </c>
      <c r="X5694">
        <v>0.99250760000000005</v>
      </c>
      <c r="Y5694">
        <v>0.2673893</v>
      </c>
      <c r="Z5694">
        <v>-6.6946870000000004E-3</v>
      </c>
      <c r="AA5694">
        <v>0.96356529999999996</v>
      </c>
      <c r="AB5694">
        <v>30</v>
      </c>
      <c r="AC5694">
        <v>14.2272999999999</v>
      </c>
      <c r="AD5694">
        <v>-1.1587499999999999</v>
      </c>
      <c r="AE5694">
        <v>-4.75563</v>
      </c>
      <c r="AF5694">
        <v>4.0388151774715997</v>
      </c>
      <c r="AG5694">
        <v>-1.1587499999999999</v>
      </c>
      <c r="AH5694">
        <v>14.3547377395066</v>
      </c>
      <c r="AI5694">
        <v>94.443262183816302</v>
      </c>
      <c r="AJ5694">
        <v>74.285646933832794</v>
      </c>
      <c r="AK5694">
        <v>14.957046004151</v>
      </c>
      <c r="AL5694">
        <v>90.462630346388295</v>
      </c>
      <c r="AM5694">
        <v>82.997088788026602</v>
      </c>
      <c r="AN5694">
        <v>0.99999999661654604</v>
      </c>
    </row>
    <row r="5695" spans="1:40" x14ac:dyDescent="0.25">
      <c r="A5695" t="str">
        <f>"20190312161428830"</f>
        <v>20190312161428830</v>
      </c>
      <c r="B5695" t="str">
        <f>"1552378468822562"</f>
        <v>1552378468822562</v>
      </c>
      <c r="C5695" t="s">
        <v>40</v>
      </c>
      <c r="D5695">
        <v>5.4169479999999997</v>
      </c>
      <c r="E5695">
        <v>0.55875569999999997</v>
      </c>
      <c r="F5695" t="s">
        <v>41</v>
      </c>
      <c r="G5695">
        <v>-317.05110000000002</v>
      </c>
      <c r="H5695">
        <v>-0.05</v>
      </c>
      <c r="I5695">
        <v>12.317349999999999</v>
      </c>
      <c r="J5695">
        <v>-331.39429999999999</v>
      </c>
      <c r="K5695">
        <v>1.1087279999999999</v>
      </c>
      <c r="L5695">
        <v>17.169280000000001</v>
      </c>
      <c r="M5695">
        <v>0.99868389999999996</v>
      </c>
      <c r="N5695">
        <v>0</v>
      </c>
      <c r="O5695">
        <v>-4.9567449999999999E-2</v>
      </c>
      <c r="P5695">
        <v>0.98502489999999998</v>
      </c>
      <c r="Q5695">
        <v>-2.0754140000000001E-2</v>
      </c>
      <c r="R5695">
        <v>-0.1711597</v>
      </c>
      <c r="S5695">
        <v>2.8747859999999998</v>
      </c>
      <c r="T5695">
        <v>-0.22847770000000001</v>
      </c>
      <c r="U5695">
        <v>-0.959198</v>
      </c>
      <c r="V5695">
        <v>0.12209489999999899</v>
      </c>
      <c r="W5695">
        <v>-8.0633449999999995E-3</v>
      </c>
      <c r="X5695">
        <v>0.99248570000000003</v>
      </c>
      <c r="Y5695">
        <v>0.2684745</v>
      </c>
      <c r="Z5695">
        <v>-6.5507040000000001E-3</v>
      </c>
      <c r="AA5695">
        <v>0.96326449999999997</v>
      </c>
      <c r="AB5695">
        <v>30</v>
      </c>
      <c r="AC5695">
        <v>14.3431999999999</v>
      </c>
      <c r="AD5695">
        <v>-1.158728</v>
      </c>
      <c r="AE5695">
        <v>-4.8519300000000003</v>
      </c>
      <c r="AF5695">
        <v>4.11087308857606</v>
      </c>
      <c r="AG5695">
        <v>-1.158728</v>
      </c>
      <c r="AH5695">
        <v>14.4812788812657</v>
      </c>
      <c r="AI5695">
        <v>94.401616538452103</v>
      </c>
      <c r="AJ5695">
        <v>74.152081046722898</v>
      </c>
      <c r="AK5695">
        <v>15.0979921236354</v>
      </c>
      <c r="AL5695">
        <v>90.462000632886102</v>
      </c>
      <c r="AM5695">
        <v>82.986750348325899</v>
      </c>
      <c r="AN5695">
        <v>1.00000002342154</v>
      </c>
    </row>
    <row r="5696" spans="1:40" x14ac:dyDescent="0.25">
      <c r="A5696" t="str">
        <f>"20190312161428840"</f>
        <v>20190312161428840</v>
      </c>
      <c r="B5696" t="str">
        <f>"1552378468831904"</f>
        <v>1552378468831904</v>
      </c>
      <c r="C5696" t="s">
        <v>40</v>
      </c>
      <c r="D5696">
        <v>5.4138820000000001</v>
      </c>
      <c r="E5696">
        <v>0.55901160000000005</v>
      </c>
      <c r="F5696" t="s">
        <v>41</v>
      </c>
      <c r="G5696">
        <v>-316.34109999999998</v>
      </c>
      <c r="H5696">
        <v>-0.05</v>
      </c>
      <c r="I5696">
        <v>12.08844</v>
      </c>
      <c r="J5696">
        <v>-331.25199999999899</v>
      </c>
      <c r="K5696">
        <v>1.1087180000000001</v>
      </c>
      <c r="L5696">
        <v>17.16141</v>
      </c>
      <c r="M5696">
        <v>0.99864399999999998</v>
      </c>
      <c r="N5696">
        <v>0</v>
      </c>
      <c r="O5696">
        <v>-5.0349320000000003E-2</v>
      </c>
      <c r="P5696">
        <v>0.98485619999999996</v>
      </c>
      <c r="Q5696">
        <v>-2.1012039999999999E-2</v>
      </c>
      <c r="R5696">
        <v>-0.17209650000000001</v>
      </c>
      <c r="S5696">
        <v>2.8724980000000002</v>
      </c>
      <c r="T5696">
        <v>-0.22111230000000001</v>
      </c>
      <c r="U5696">
        <v>-0.9695435</v>
      </c>
      <c r="V5696">
        <v>0.1222612</v>
      </c>
      <c r="W5696">
        <v>-8.2571509999999904E-3</v>
      </c>
      <c r="X5696">
        <v>0.9924636</v>
      </c>
      <c r="Y5696">
        <v>0.27110200000000001</v>
      </c>
      <c r="Z5696">
        <v>-6.3815139999999996E-3</v>
      </c>
      <c r="AA5696">
        <v>0.96252950000000004</v>
      </c>
      <c r="AB5696">
        <v>30</v>
      </c>
      <c r="AC5696">
        <v>14.9108999999999</v>
      </c>
      <c r="AD5696">
        <v>-1.1587179999999999</v>
      </c>
      <c r="AE5696">
        <v>-5.0729699999999998</v>
      </c>
      <c r="AF5696">
        <v>4.2924830727085199</v>
      </c>
      <c r="AG5696">
        <v>-1.1587179999999999</v>
      </c>
      <c r="AH5696">
        <v>15.0658866819661</v>
      </c>
      <c r="AI5696">
        <v>94.230262752068896</v>
      </c>
      <c r="AJ5696">
        <v>74.097001806153898</v>
      </c>
      <c r="AK5696">
        <v>15.7082456005392</v>
      </c>
      <c r="AL5696">
        <v>90.473105284294803</v>
      </c>
      <c r="AM5696">
        <v>82.977138417495098</v>
      </c>
      <c r="AN5696">
        <v>0.99999998944651802</v>
      </c>
    </row>
    <row r="5697" spans="1:40" x14ac:dyDescent="0.25">
      <c r="A5697" t="str">
        <f>"20190312161428853"</f>
        <v>20190312161428853</v>
      </c>
      <c r="B5697" t="str">
        <f>"1552378468842640"</f>
        <v>1552378468842640</v>
      </c>
      <c r="C5697" t="s">
        <v>40</v>
      </c>
      <c r="D5697">
        <v>5.5409160000000002</v>
      </c>
      <c r="E5697">
        <v>0.55967829999999996</v>
      </c>
      <c r="F5697" t="s">
        <v>41</v>
      </c>
      <c r="G5697">
        <v>-316.0136</v>
      </c>
      <c r="H5697">
        <v>-0.05</v>
      </c>
      <c r="I5697">
        <v>11.99001</v>
      </c>
      <c r="J5697">
        <v>-331.10210000000001</v>
      </c>
      <c r="K5697">
        <v>1.1087049999999901</v>
      </c>
      <c r="L5697">
        <v>17.153020000000001</v>
      </c>
      <c r="M5697">
        <v>0.99860070000000001</v>
      </c>
      <c r="N5697">
        <v>0</v>
      </c>
      <c r="O5697">
        <v>-5.1180450000000002E-2</v>
      </c>
      <c r="P5697">
        <v>0.98466379999999998</v>
      </c>
      <c r="Q5697">
        <v>-2.09891E-2</v>
      </c>
      <c r="R5697">
        <v>-0.17319689999999999</v>
      </c>
      <c r="S5697">
        <v>2.871216</v>
      </c>
      <c r="T5697">
        <v>-0.2183253</v>
      </c>
      <c r="U5697">
        <v>-0.97439580000000003</v>
      </c>
      <c r="V5697">
        <v>0.1225441</v>
      </c>
      <c r="W5697">
        <v>-8.1704540000000006E-3</v>
      </c>
      <c r="X5697">
        <v>0.99242940000000002</v>
      </c>
      <c r="Y5697">
        <v>0.27190510000000001</v>
      </c>
      <c r="Z5697">
        <v>-6.2709119999999896E-3</v>
      </c>
      <c r="AA5697">
        <v>0.96230360000000004</v>
      </c>
      <c r="AB5697">
        <v>30</v>
      </c>
      <c r="AC5697">
        <v>15.0885</v>
      </c>
      <c r="AD5697">
        <v>-1.1587050000000001</v>
      </c>
      <c r="AE5697">
        <v>-5.1630099999999999</v>
      </c>
      <c r="AF5697">
        <v>4.36091558367254</v>
      </c>
      <c r="AG5697">
        <v>-1.1587050000000001</v>
      </c>
      <c r="AH5697">
        <v>15.2524699625379</v>
      </c>
      <c r="AI5697">
        <v>94.177551529565406</v>
      </c>
      <c r="AJ5697">
        <v>74.0439529462232</v>
      </c>
      <c r="AK5697">
        <v>15.905911541407001</v>
      </c>
      <c r="AL5697">
        <v>90.4681377566761</v>
      </c>
      <c r="AM5697">
        <v>82.960810923480096</v>
      </c>
      <c r="AN5697">
        <v>0.99999996337386698</v>
      </c>
    </row>
    <row r="5698" spans="1:40" x14ac:dyDescent="0.25">
      <c r="A5698" t="str">
        <f>"20190312161428864"</f>
        <v>20190312161428864</v>
      </c>
      <c r="B5698" t="str">
        <f>"1552378468852400"</f>
        <v>1552378468852400</v>
      </c>
      <c r="C5698" t="s">
        <v>40</v>
      </c>
      <c r="D5698">
        <v>5.5428319999999998</v>
      </c>
      <c r="E5698">
        <v>0.56019819999999998</v>
      </c>
      <c r="F5698" t="s">
        <v>41</v>
      </c>
      <c r="G5698">
        <v>-315.52870000000001</v>
      </c>
      <c r="H5698">
        <v>-0.05</v>
      </c>
      <c r="I5698">
        <v>11.817310000000001</v>
      </c>
      <c r="J5698">
        <v>-330.95159999999998</v>
      </c>
      <c r="K5698">
        <v>1.108697</v>
      </c>
      <c r="L5698">
        <v>17.144439999999999</v>
      </c>
      <c r="M5698">
        <v>0.998556</v>
      </c>
      <c r="N5698">
        <v>0</v>
      </c>
      <c r="O5698">
        <v>-5.202801E-2</v>
      </c>
      <c r="P5698">
        <v>0.98447499999999999</v>
      </c>
      <c r="Q5698">
        <v>-2.1132950000000001E-2</v>
      </c>
      <c r="R5698">
        <v>-0.17424879999999901</v>
      </c>
      <c r="S5698">
        <v>2.8692929999999999</v>
      </c>
      <c r="T5698">
        <v>-0.21348259999999999</v>
      </c>
      <c r="U5698">
        <v>-0.98306269999999996</v>
      </c>
      <c r="V5698">
        <v>0.12276140000000001</v>
      </c>
      <c r="W5698">
        <v>-8.2548949999999999E-3</v>
      </c>
      <c r="X5698">
        <v>0.99240189999999995</v>
      </c>
      <c r="Y5698">
        <v>0.27390989999999998</v>
      </c>
      <c r="Z5698">
        <v>-6.1447289999999998E-3</v>
      </c>
      <c r="AA5698">
        <v>0.96173569999999997</v>
      </c>
      <c r="AB5698">
        <v>30</v>
      </c>
      <c r="AC5698">
        <v>15.422899999999901</v>
      </c>
      <c r="AD5698">
        <v>-1.1586969999999901</v>
      </c>
      <c r="AE5698">
        <v>-5.3271299999999897</v>
      </c>
      <c r="AF5698">
        <v>4.4947536444058702</v>
      </c>
      <c r="AG5698">
        <v>-1.1586969999999901</v>
      </c>
      <c r="AH5698">
        <v>15.6005245247778</v>
      </c>
      <c r="AI5698">
        <v>94.0822651460049</v>
      </c>
      <c r="AJ5698">
        <v>73.927486400842398</v>
      </c>
      <c r="AK5698">
        <v>16.2764171275469</v>
      </c>
      <c r="AL5698">
        <v>90.472976007164306</v>
      </c>
      <c r="AM5698">
        <v>82.948260875908204</v>
      </c>
      <c r="AN5698">
        <v>1.0000000178725099</v>
      </c>
    </row>
    <row r="5699" spans="1:40" x14ac:dyDescent="0.25">
      <c r="A5699" t="str">
        <f>"20190312161428874"</f>
        <v>20190312161428874</v>
      </c>
      <c r="B5699" t="str">
        <f>"1552378468862160"</f>
        <v>1552378468862160</v>
      </c>
      <c r="C5699" t="s">
        <v>40</v>
      </c>
      <c r="D5699">
        <v>5.4707939999999997</v>
      </c>
      <c r="E5699">
        <v>0.56054539999999997</v>
      </c>
      <c r="F5699" t="s">
        <v>41</v>
      </c>
      <c r="G5699">
        <v>-315.09559999999999</v>
      </c>
      <c r="H5699">
        <v>-0.05</v>
      </c>
      <c r="I5699">
        <v>11.667909999999999</v>
      </c>
      <c r="J5699">
        <v>-330.81310000000002</v>
      </c>
      <c r="K5699">
        <v>1.108687</v>
      </c>
      <c r="L5699">
        <v>17.136410000000001</v>
      </c>
      <c r="M5699">
        <v>0.99851380000000001</v>
      </c>
      <c r="N5699">
        <v>0</v>
      </c>
      <c r="O5699">
        <v>-5.2819089999999999E-2</v>
      </c>
      <c r="P5699">
        <v>0.98428680000000002</v>
      </c>
      <c r="Q5699">
        <v>-2.123572E-2</v>
      </c>
      <c r="R5699">
        <v>-0.17529649999999999</v>
      </c>
      <c r="S5699">
        <v>2.8675229999999998</v>
      </c>
      <c r="T5699">
        <v>-0.2095475</v>
      </c>
      <c r="U5699">
        <v>-0.99041749999999995</v>
      </c>
      <c r="V5699">
        <v>0.1230311</v>
      </c>
      <c r="W5699">
        <v>-8.3077659999999994E-3</v>
      </c>
      <c r="X5699">
        <v>0.99236800000000003</v>
      </c>
      <c r="Y5699">
        <v>0.2755531</v>
      </c>
      <c r="Z5699">
        <v>-6.0353369999999896E-3</v>
      </c>
      <c r="AA5699">
        <v>0.96126690000000004</v>
      </c>
      <c r="AB5699">
        <v>30</v>
      </c>
      <c r="AC5699">
        <v>15.717499999999999</v>
      </c>
      <c r="AD5699">
        <v>-1.158687</v>
      </c>
      <c r="AE5699">
        <v>-5.4684999999999997</v>
      </c>
      <c r="AF5699">
        <v>4.6082665124015998</v>
      </c>
      <c r="AG5699">
        <v>-1.158687</v>
      </c>
      <c r="AH5699">
        <v>15.907308596483601</v>
      </c>
      <c r="AI5699">
        <v>94.002079484885201</v>
      </c>
      <c r="AJ5699">
        <v>73.843966015560895</v>
      </c>
      <c r="AK5699">
        <v>16.601841542342601</v>
      </c>
      <c r="AL5699">
        <v>90.476005424181395</v>
      </c>
      <c r="AM5699">
        <v>82.932686103658199</v>
      </c>
      <c r="AN5699">
        <v>0.99999995898355898</v>
      </c>
    </row>
    <row r="5700" spans="1:40" x14ac:dyDescent="0.25">
      <c r="A5700" t="str">
        <f>"20190312161428885"</f>
        <v>20190312161428885</v>
      </c>
      <c r="B5700" t="str">
        <f>"1552378468881761"</f>
        <v>1552378468881761</v>
      </c>
      <c r="C5700" t="s">
        <v>40</v>
      </c>
      <c r="D5700">
        <v>5.4891860000000001</v>
      </c>
      <c r="E5700">
        <v>0.56143409999999905</v>
      </c>
      <c r="F5700" t="s">
        <v>41</v>
      </c>
      <c r="G5700">
        <v>-314.84800000000001</v>
      </c>
      <c r="H5700">
        <v>-0.05</v>
      </c>
      <c r="I5700">
        <v>11.586460000000001</v>
      </c>
      <c r="J5700">
        <v>-330.65989999999999</v>
      </c>
      <c r="K5700">
        <v>1.108668</v>
      </c>
      <c r="L5700">
        <v>17.127469999999999</v>
      </c>
      <c r="M5700">
        <v>0.99846579999999996</v>
      </c>
      <c r="N5700">
        <v>0</v>
      </c>
      <c r="O5700">
        <v>-5.3702630000000001E-2</v>
      </c>
      <c r="P5700">
        <v>0.98406640000000001</v>
      </c>
      <c r="Q5700">
        <v>-2.1536679999999999E-2</v>
      </c>
      <c r="R5700">
        <v>-0.1764927</v>
      </c>
      <c r="S5700">
        <v>2.8659970000000001</v>
      </c>
      <c r="T5700">
        <v>-0.20800360000000001</v>
      </c>
      <c r="U5700">
        <v>-0.99630739999999995</v>
      </c>
      <c r="V5700">
        <v>0.1233582</v>
      </c>
      <c r="W5700">
        <v>-8.5570509999999995E-3</v>
      </c>
      <c r="X5700">
        <v>0.99232529999999997</v>
      </c>
      <c r="Y5700">
        <v>0.27663120000000002</v>
      </c>
      <c r="Z5700">
        <v>-5.9681630000000003E-3</v>
      </c>
      <c r="AA5700">
        <v>0.96095759999999997</v>
      </c>
      <c r="AB5700">
        <v>30</v>
      </c>
      <c r="AC5700">
        <v>15.8118999999999</v>
      </c>
      <c r="AD5700">
        <v>-1.158668</v>
      </c>
      <c r="AE5700">
        <v>-5.54101</v>
      </c>
      <c r="AF5700">
        <v>4.66150160085623</v>
      </c>
      <c r="AG5700">
        <v>-1.158668</v>
      </c>
      <c r="AH5700">
        <v>16.010105945745</v>
      </c>
      <c r="AI5700">
        <v>93.974845743210594</v>
      </c>
      <c r="AJ5700">
        <v>73.766555646388099</v>
      </c>
      <c r="AK5700">
        <v>16.715130902957</v>
      </c>
      <c r="AL5700">
        <v>90.490288898356695</v>
      </c>
      <c r="AM5700">
        <v>82.913785344024504</v>
      </c>
      <c r="AN5700">
        <v>0.99999998482457297</v>
      </c>
    </row>
    <row r="5701" spans="1:40" x14ac:dyDescent="0.25">
      <c r="A5701" t="str">
        <f>"20190312161428897"</f>
        <v>20190312161428897</v>
      </c>
      <c r="B5701" t="str">
        <f>"1552378468892497"</f>
        <v>1552378468892497</v>
      </c>
      <c r="C5701" t="s">
        <v>40</v>
      </c>
      <c r="D5701">
        <v>5.506564</v>
      </c>
      <c r="E5701">
        <v>0.56173509999999904</v>
      </c>
      <c r="F5701" t="s">
        <v>41</v>
      </c>
      <c r="G5701">
        <v>-314.23439999999999</v>
      </c>
      <c r="H5701">
        <v>-0.05</v>
      </c>
      <c r="I5701">
        <v>11.35159</v>
      </c>
      <c r="J5701">
        <v>-330.51139999999998</v>
      </c>
      <c r="K5701">
        <v>1.108654</v>
      </c>
      <c r="L5701">
        <v>17.118559999999999</v>
      </c>
      <c r="M5701">
        <v>0.99841760000000002</v>
      </c>
      <c r="N5701">
        <v>0</v>
      </c>
      <c r="O5701">
        <v>-5.4578010000000003E-2</v>
      </c>
      <c r="P5701">
        <v>0.98384070000000001</v>
      </c>
      <c r="Q5701">
        <v>-2.1413689999999999E-2</v>
      </c>
      <c r="R5701">
        <v>-0.17776110000000001</v>
      </c>
      <c r="S5701">
        <v>2.8635250000000001</v>
      </c>
      <c r="T5701">
        <v>-0.20199439999999999</v>
      </c>
      <c r="U5701">
        <v>-1.0069269999999999</v>
      </c>
      <c r="V5701">
        <v>0.1237674</v>
      </c>
      <c r="W5701">
        <v>-8.3898510000000003E-3</v>
      </c>
      <c r="X5701">
        <v>0.99227580000000004</v>
      </c>
      <c r="Y5701">
        <v>0.2792462</v>
      </c>
      <c r="Z5701">
        <v>-5.8273999999999904E-3</v>
      </c>
      <c r="AA5701">
        <v>0.96020190000000005</v>
      </c>
      <c r="AB5701">
        <v>30</v>
      </c>
      <c r="AC5701">
        <v>16.276999999999902</v>
      </c>
      <c r="AD5701">
        <v>-1.1586540000000001</v>
      </c>
      <c r="AE5701">
        <v>-5.7669699999999997</v>
      </c>
      <c r="AF5701">
        <v>4.8480990460099198</v>
      </c>
      <c r="AG5701">
        <v>-1.1586540000000001</v>
      </c>
      <c r="AH5701">
        <v>16.493261429464699</v>
      </c>
      <c r="AI5701">
        <v>93.855831246154693</v>
      </c>
      <c r="AJ5701">
        <v>73.619605024990506</v>
      </c>
      <c r="AK5701">
        <v>17.2300381901</v>
      </c>
      <c r="AL5701">
        <v>90.4807086873098</v>
      </c>
      <c r="AM5701">
        <v>82.8901682898329</v>
      </c>
      <c r="AN5701">
        <v>1.0000000110841001</v>
      </c>
    </row>
    <row r="5702" spans="1:40" x14ac:dyDescent="0.25">
      <c r="A5702" t="str">
        <f>"20190312161428909"</f>
        <v>20190312161428909</v>
      </c>
      <c r="B5702" t="str">
        <f>"1552378468902258"</f>
        <v>1552378468902258</v>
      </c>
      <c r="C5702" t="s">
        <v>40</v>
      </c>
      <c r="D5702">
        <v>5.5190070000000002</v>
      </c>
      <c r="E5702">
        <v>0.56204809999999905</v>
      </c>
      <c r="F5702" t="s">
        <v>41</v>
      </c>
      <c r="G5702">
        <v>-313.92970000000003</v>
      </c>
      <c r="H5702">
        <v>-0.05</v>
      </c>
      <c r="I5702">
        <v>11.24892</v>
      </c>
      <c r="J5702">
        <v>-330.36020000000002</v>
      </c>
      <c r="K5702">
        <v>1.1086389999999999</v>
      </c>
      <c r="L5702">
        <v>17.109470000000002</v>
      </c>
      <c r="M5702">
        <v>0.99836769999999997</v>
      </c>
      <c r="N5702">
        <v>0</v>
      </c>
      <c r="O5702">
        <v>-5.5474139999999998E-2</v>
      </c>
      <c r="P5702">
        <v>0.98365340000000001</v>
      </c>
      <c r="Q5702">
        <v>-2.1212390000000001E-2</v>
      </c>
      <c r="R5702">
        <v>-0.17881910000000001</v>
      </c>
      <c r="S5702">
        <v>2.8618769999999998</v>
      </c>
      <c r="T5702">
        <v>-0.19997529999999999</v>
      </c>
      <c r="U5702">
        <v>-1.0130619999999999</v>
      </c>
      <c r="V5702">
        <v>0.1239441</v>
      </c>
      <c r="W5702">
        <v>-8.1439960000000006E-3</v>
      </c>
      <c r="X5702">
        <v>0.99225580000000002</v>
      </c>
      <c r="Y5702">
        <v>0.2803966</v>
      </c>
      <c r="Z5702">
        <v>-5.7490750000000002E-3</v>
      </c>
      <c r="AA5702">
        <v>0.95986700000000003</v>
      </c>
      <c r="AB5702">
        <v>30</v>
      </c>
      <c r="AC5702">
        <v>16.430499999999899</v>
      </c>
      <c r="AD5702">
        <v>-1.158639</v>
      </c>
      <c r="AE5702">
        <v>-5.8605499999999999</v>
      </c>
      <c r="AF5702">
        <v>4.9182749908782704</v>
      </c>
      <c r="AG5702">
        <v>-1.158639</v>
      </c>
      <c r="AH5702">
        <v>16.656852090101001</v>
      </c>
      <c r="AI5702">
        <v>93.816657304417603</v>
      </c>
      <c r="AJ5702">
        <v>73.549690592088197</v>
      </c>
      <c r="AK5702">
        <v>17.406395226172499</v>
      </c>
      <c r="AL5702">
        <v>90.466621748671201</v>
      </c>
      <c r="AM5702">
        <v>82.879979803462206</v>
      </c>
      <c r="AN5702">
        <v>1.0000000186146401</v>
      </c>
    </row>
    <row r="5703" spans="1:40" x14ac:dyDescent="0.25">
      <c r="A5703" t="str">
        <f>"20190312161428919"</f>
        <v>20190312161428919</v>
      </c>
      <c r="B5703" t="str">
        <f>"1552378468912017"</f>
        <v>1552378468912017</v>
      </c>
      <c r="C5703" t="s">
        <v>40</v>
      </c>
      <c r="D5703">
        <v>5.5407039999999999</v>
      </c>
      <c r="E5703">
        <v>0.56237459999999995</v>
      </c>
      <c r="F5703" t="s">
        <v>41</v>
      </c>
      <c r="G5703">
        <v>-313.65219999999999</v>
      </c>
      <c r="H5703">
        <v>-0.05</v>
      </c>
      <c r="I5703">
        <v>11.15889</v>
      </c>
      <c r="J5703">
        <v>-330.2022</v>
      </c>
      <c r="K5703">
        <v>1.1086259999999999</v>
      </c>
      <c r="L5703">
        <v>17.099640000000001</v>
      </c>
      <c r="M5703">
        <v>0.99831309999999995</v>
      </c>
      <c r="N5703">
        <v>0</v>
      </c>
      <c r="O5703">
        <v>-5.643368E-2</v>
      </c>
      <c r="P5703">
        <v>0.98344399999999998</v>
      </c>
      <c r="Q5703">
        <v>-2.113228E-2</v>
      </c>
      <c r="R5703">
        <v>-0.17997589999999999</v>
      </c>
      <c r="S5703">
        <v>2.8604129999999999</v>
      </c>
      <c r="T5703">
        <v>-0.19835900000000001</v>
      </c>
      <c r="U5703">
        <v>-1.0187379999999999</v>
      </c>
      <c r="V5703">
        <v>0.1241573</v>
      </c>
      <c r="W5703">
        <v>-8.0238389999999996E-3</v>
      </c>
      <c r="X5703">
        <v>0.9922301</v>
      </c>
      <c r="Y5703">
        <v>0.28132790000000002</v>
      </c>
      <c r="Z5703">
        <v>-5.6708619999999996E-3</v>
      </c>
      <c r="AA5703">
        <v>0.95959499999999998</v>
      </c>
      <c r="AB5703">
        <v>30</v>
      </c>
      <c r="AC5703">
        <v>16.55</v>
      </c>
      <c r="AD5703">
        <v>-1.1586259999999999</v>
      </c>
      <c r="AE5703">
        <v>-5.9407500000000004</v>
      </c>
      <c r="AF5703">
        <v>4.9756140550684398</v>
      </c>
      <c r="AG5703">
        <v>-1.1586259999999999</v>
      </c>
      <c r="AH5703">
        <v>16.786030832176799</v>
      </c>
      <c r="AI5703">
        <v>93.786154631985099</v>
      </c>
      <c r="AJ5703">
        <v>73.489440699252199</v>
      </c>
      <c r="AK5703">
        <v>17.546224110379399</v>
      </c>
      <c r="AL5703">
        <v>90.459737046061306</v>
      </c>
      <c r="AM5703">
        <v>82.867675630304404</v>
      </c>
      <c r="AN5703">
        <v>0.999999994240799</v>
      </c>
    </row>
    <row r="5704" spans="1:40" x14ac:dyDescent="0.25">
      <c r="A5704" t="str">
        <f>"20190312161428931"</f>
        <v>20190312161428931</v>
      </c>
      <c r="B5704" t="str">
        <f>"1552378468921777"</f>
        <v>1552378468921777</v>
      </c>
      <c r="C5704" t="s">
        <v>40</v>
      </c>
      <c r="D5704">
        <v>5.4441680000000003</v>
      </c>
      <c r="E5704">
        <v>0.56285069999999904</v>
      </c>
      <c r="F5704" t="s">
        <v>41</v>
      </c>
      <c r="G5704">
        <v>-313.32490000000001</v>
      </c>
      <c r="H5704">
        <v>-0.05</v>
      </c>
      <c r="I5704">
        <v>11.04982</v>
      </c>
      <c r="J5704">
        <v>-330.06360000000001</v>
      </c>
      <c r="K5704">
        <v>1.1086119999999999</v>
      </c>
      <c r="L5704">
        <v>17.090969999999999</v>
      </c>
      <c r="M5704">
        <v>0.99826440000000005</v>
      </c>
      <c r="N5704">
        <v>0</v>
      </c>
      <c r="O5704">
        <v>-5.7280589999999999E-2</v>
      </c>
      <c r="P5704">
        <v>0.98327750000000003</v>
      </c>
      <c r="Q5704">
        <v>-2.0913319999999999E-2</v>
      </c>
      <c r="R5704">
        <v>-0.18090909999999999</v>
      </c>
      <c r="S5704">
        <v>2.858765</v>
      </c>
      <c r="T5704">
        <v>-0.19625400000000001</v>
      </c>
      <c r="U5704">
        <v>-1.02475</v>
      </c>
      <c r="V5704">
        <v>0.12425750000000001</v>
      </c>
      <c r="W5704">
        <v>-7.770463E-3</v>
      </c>
      <c r="X5704">
        <v>0.99221959999999998</v>
      </c>
      <c r="Y5704">
        <v>0.2824873</v>
      </c>
      <c r="Z5704">
        <v>-5.5945550000000002E-3</v>
      </c>
      <c r="AA5704">
        <v>0.95925470000000002</v>
      </c>
      <c r="AB5704">
        <v>30</v>
      </c>
      <c r="AC5704">
        <v>16.738699999999898</v>
      </c>
      <c r="AD5704">
        <v>-1.158612</v>
      </c>
      <c r="AE5704">
        <v>-6.04115</v>
      </c>
      <c r="AF5704">
        <v>5.0509264511704899</v>
      </c>
      <c r="AG5704">
        <v>-1.158612</v>
      </c>
      <c r="AH5704">
        <v>16.985285522115799</v>
      </c>
      <c r="AI5704">
        <v>93.740847164645004</v>
      </c>
      <c r="AJ5704">
        <v>73.439063932961204</v>
      </c>
      <c r="AK5704">
        <v>17.758213988165501</v>
      </c>
      <c r="AL5704">
        <v>90.445219206102706</v>
      </c>
      <c r="AM5704">
        <v>82.861904146788106</v>
      </c>
      <c r="AN5704">
        <v>1.0000000205128201</v>
      </c>
    </row>
    <row r="5705" spans="1:40" x14ac:dyDescent="0.25">
      <c r="A5705" t="str">
        <f>"20190312161428941"</f>
        <v>20190312161428941</v>
      </c>
      <c r="B5705" t="str">
        <f>"1552378468932122"</f>
        <v>1552378468932122</v>
      </c>
      <c r="C5705" t="s">
        <v>40</v>
      </c>
      <c r="D5705">
        <v>5.6286820000000004</v>
      </c>
      <c r="E5705">
        <v>0.56321199999999905</v>
      </c>
      <c r="F5705" t="s">
        <v>41</v>
      </c>
      <c r="G5705">
        <v>-313.3689</v>
      </c>
      <c r="H5705">
        <v>-0.05</v>
      </c>
      <c r="I5705">
        <v>11.06523</v>
      </c>
      <c r="J5705">
        <v>-329.90780000000001</v>
      </c>
      <c r="K5705">
        <v>1.1085969999999901</v>
      </c>
      <c r="L5705">
        <v>17.081050000000001</v>
      </c>
      <c r="M5705">
        <v>0.99820770000000003</v>
      </c>
      <c r="N5705">
        <v>0</v>
      </c>
      <c r="O5705">
        <v>-5.8247920000000002E-2</v>
      </c>
      <c r="P5705">
        <v>0.98302849999999997</v>
      </c>
      <c r="Q5705">
        <v>-2.0975440000000001E-2</v>
      </c>
      <c r="R5705">
        <v>-0.18224940000000001</v>
      </c>
      <c r="S5705">
        <v>2.8571469999999999</v>
      </c>
      <c r="T5705">
        <v>-0.19828570000000001</v>
      </c>
      <c r="U5705">
        <v>-1.03125</v>
      </c>
      <c r="V5705">
        <v>0.1246482</v>
      </c>
      <c r="W5705">
        <v>-7.7993999999999997E-3</v>
      </c>
      <c r="X5705">
        <v>0.99217029999999995</v>
      </c>
      <c r="Y5705">
        <v>0.28365220000000002</v>
      </c>
      <c r="Z5705">
        <v>-5.6278419999999897E-3</v>
      </c>
      <c r="AA5705">
        <v>0.9589107</v>
      </c>
      <c r="AB5705">
        <v>30</v>
      </c>
      <c r="AC5705">
        <v>16.538900000000002</v>
      </c>
      <c r="AD5705">
        <v>-1.1585970000000001</v>
      </c>
      <c r="AE5705">
        <v>-6.0158199999999997</v>
      </c>
      <c r="AF5705">
        <v>5.0203983708098301</v>
      </c>
      <c r="AG5705">
        <v>-1.1585970000000001</v>
      </c>
      <c r="AH5705">
        <v>16.788494944918</v>
      </c>
      <c r="AI5705">
        <v>93.782798308448093</v>
      </c>
      <c r="AJ5705">
        <v>73.351335298919906</v>
      </c>
      <c r="AK5705">
        <v>17.5613299418232</v>
      </c>
      <c r="AL5705">
        <v>90.446877253871904</v>
      </c>
      <c r="AM5705">
        <v>82.8393404970289</v>
      </c>
      <c r="AN5705">
        <v>0.99999995430284405</v>
      </c>
    </row>
    <row r="5706" spans="1:40" x14ac:dyDescent="0.25">
      <c r="A5706" t="str">
        <f>"20190312161428953"</f>
        <v>20190312161428953</v>
      </c>
      <c r="B5706" t="str">
        <f>"1552378468941882"</f>
        <v>1552378468941882</v>
      </c>
      <c r="C5706" t="s">
        <v>40</v>
      </c>
      <c r="D5706">
        <v>5.6293749999999996</v>
      </c>
      <c r="E5706">
        <v>0.56363920000000001</v>
      </c>
      <c r="F5706" t="s">
        <v>41</v>
      </c>
      <c r="G5706">
        <v>-313.0772</v>
      </c>
      <c r="H5706">
        <v>-0.05</v>
      </c>
      <c r="I5706">
        <v>10.961880000000001</v>
      </c>
      <c r="J5706">
        <v>-329.76740000000001</v>
      </c>
      <c r="K5706">
        <v>1.108587</v>
      </c>
      <c r="L5706">
        <v>17.071960000000001</v>
      </c>
      <c r="M5706">
        <v>0.99815549999999997</v>
      </c>
      <c r="N5706">
        <v>0</v>
      </c>
      <c r="O5706">
        <v>-5.912862E-2</v>
      </c>
      <c r="P5706">
        <v>0.98285670000000003</v>
      </c>
      <c r="Q5706">
        <v>-2.090355E-2</v>
      </c>
      <c r="R5706">
        <v>-0.1831826</v>
      </c>
      <c r="S5706">
        <v>2.8551329999999999</v>
      </c>
      <c r="T5706">
        <v>-0.1965442</v>
      </c>
      <c r="U5706">
        <v>-1.0380549999999999</v>
      </c>
      <c r="V5706">
        <v>0.1247147</v>
      </c>
      <c r="W5706">
        <v>-7.6980869999999898E-3</v>
      </c>
      <c r="X5706">
        <v>0.99216280000000001</v>
      </c>
      <c r="Y5706">
        <v>0.28504940000000001</v>
      </c>
      <c r="Z5706">
        <v>-5.5683269999999997E-3</v>
      </c>
      <c r="AA5706">
        <v>0.95849669999999998</v>
      </c>
      <c r="AB5706">
        <v>30</v>
      </c>
      <c r="AC5706">
        <v>16.690200000000001</v>
      </c>
      <c r="AD5706">
        <v>-1.158587</v>
      </c>
      <c r="AE5706">
        <v>-6.11008</v>
      </c>
      <c r="AF5706">
        <v>5.0907935351681504</v>
      </c>
      <c r="AG5706">
        <v>-1.158587</v>
      </c>
      <c r="AH5706">
        <v>16.950281483518602</v>
      </c>
      <c r="AI5706">
        <v>93.745429339198793</v>
      </c>
      <c r="AJ5706">
        <v>73.283052807710405</v>
      </c>
      <c r="AK5706">
        <v>17.736136699540602</v>
      </c>
      <c r="AL5706">
        <v>90.441072243338795</v>
      </c>
      <c r="AM5706">
        <v>82.835506366229197</v>
      </c>
      <c r="AN5706">
        <v>1.00000001932169</v>
      </c>
    </row>
    <row r="5707" spans="1:40" x14ac:dyDescent="0.25">
      <c r="A5707" t="str">
        <f>"20190312161428963"</f>
        <v>20190312161428963</v>
      </c>
      <c r="B5707" t="str">
        <f>"1552378468952617"</f>
        <v>1552378468952617</v>
      </c>
      <c r="C5707" t="s">
        <v>40</v>
      </c>
      <c r="D5707">
        <v>5.5591220000000003</v>
      </c>
      <c r="E5707">
        <v>0.56397929999999996</v>
      </c>
      <c r="F5707" t="s">
        <v>41</v>
      </c>
      <c r="G5707">
        <v>-312.73860000000002</v>
      </c>
      <c r="H5707">
        <v>-0.05</v>
      </c>
      <c r="I5707">
        <v>10.84145</v>
      </c>
      <c r="J5707">
        <v>-329.6318</v>
      </c>
      <c r="K5707">
        <v>1.108576</v>
      </c>
      <c r="L5707">
        <v>17.06305</v>
      </c>
      <c r="M5707">
        <v>0.99810379999999999</v>
      </c>
      <c r="N5707">
        <v>0</v>
      </c>
      <c r="O5707">
        <v>-5.9988300000000001E-2</v>
      </c>
      <c r="P5707">
        <v>0.98264720000000005</v>
      </c>
      <c r="Q5707">
        <v>-2.103768E-2</v>
      </c>
      <c r="R5707">
        <v>-0.18428829999999999</v>
      </c>
      <c r="S5707">
        <v>2.853577</v>
      </c>
      <c r="T5707">
        <v>-0.1941483</v>
      </c>
      <c r="U5707">
        <v>-1.0440670000000001</v>
      </c>
      <c r="V5707">
        <v>0.1249757</v>
      </c>
      <c r="W5707">
        <v>-7.8071119999999997E-3</v>
      </c>
      <c r="X5707">
        <v>0.99212909999999999</v>
      </c>
      <c r="Y5707">
        <v>0.28618449999999901</v>
      </c>
      <c r="Z5707">
        <v>-5.4826819999999896E-3</v>
      </c>
      <c r="AA5707">
        <v>0.95815890000000004</v>
      </c>
      <c r="AB5707">
        <v>30</v>
      </c>
      <c r="AC5707">
        <v>16.893199999999901</v>
      </c>
      <c r="AD5707">
        <v>-1.1585760000000001</v>
      </c>
      <c r="AE5707">
        <v>-6.2215999999999996</v>
      </c>
      <c r="AF5707">
        <v>5.1754669568713503</v>
      </c>
      <c r="AG5707">
        <v>-1.1585760000000001</v>
      </c>
      <c r="AH5707">
        <v>17.164936489965001</v>
      </c>
      <c r="AI5707">
        <v>93.697489118277204</v>
      </c>
      <c r="AJ5707">
        <v>73.221210867129599</v>
      </c>
      <c r="AK5707">
        <v>17.965600498563202</v>
      </c>
      <c r="AL5707">
        <v>90.447319105770006</v>
      </c>
      <c r="AM5707">
        <v>82.820427653233907</v>
      </c>
      <c r="AN5707">
        <v>1.00000001382754</v>
      </c>
    </row>
    <row r="5708" spans="1:40" x14ac:dyDescent="0.25">
      <c r="A5708" t="str">
        <f>"20190312161428975"</f>
        <v>20190312161428975</v>
      </c>
      <c r="B5708" t="str">
        <f>"1552378468972139"</f>
        <v>1552378468972139</v>
      </c>
      <c r="C5708" t="s">
        <v>40</v>
      </c>
      <c r="D5708">
        <v>5.5906549999999999</v>
      </c>
      <c r="E5708">
        <v>0.56454759999999904</v>
      </c>
      <c r="F5708" t="s">
        <v>41</v>
      </c>
      <c r="G5708">
        <v>-312.39679999999998</v>
      </c>
      <c r="H5708">
        <v>-0.05</v>
      </c>
      <c r="I5708">
        <v>10.717560000000001</v>
      </c>
      <c r="J5708">
        <v>-329.47899999999998</v>
      </c>
      <c r="K5708">
        <v>1.108562</v>
      </c>
      <c r="L5708">
        <v>17.052859999999999</v>
      </c>
      <c r="M5708">
        <v>0.99804380000000004</v>
      </c>
      <c r="N5708">
        <v>0</v>
      </c>
      <c r="O5708">
        <v>-6.0969719999999998E-2</v>
      </c>
      <c r="P5708">
        <v>0.98241719999999999</v>
      </c>
      <c r="Q5708">
        <v>-2.0828800000000001E-2</v>
      </c>
      <c r="R5708">
        <v>-0.18553359999999999</v>
      </c>
      <c r="S5708">
        <v>2.8519589999999999</v>
      </c>
      <c r="T5708">
        <v>-0.191715</v>
      </c>
      <c r="U5708">
        <v>-1.0500179999999999</v>
      </c>
      <c r="V5708">
        <v>0.12525810000000001</v>
      </c>
      <c r="W5708">
        <v>-7.57215699999999E-3</v>
      </c>
      <c r="X5708">
        <v>0.99209530000000001</v>
      </c>
      <c r="Y5708">
        <v>0.28719080000000002</v>
      </c>
      <c r="Z5708">
        <v>-5.3844879999999998E-3</v>
      </c>
      <c r="AA5708">
        <v>0.95785830000000005</v>
      </c>
      <c r="AB5708">
        <v>30</v>
      </c>
      <c r="AC5708">
        <v>17.0822</v>
      </c>
      <c r="AD5708">
        <v>-1.1585620000000001</v>
      </c>
      <c r="AE5708">
        <v>-6.3352999999999904</v>
      </c>
      <c r="AF5708">
        <v>5.2606424691727698</v>
      </c>
      <c r="AG5708">
        <v>-1.1585620000000001</v>
      </c>
      <c r="AH5708">
        <v>17.366487493329799</v>
      </c>
      <c r="AI5708">
        <v>93.653231831531599</v>
      </c>
      <c r="AJ5708">
        <v>73.147431849152397</v>
      </c>
      <c r="AK5708">
        <v>18.1827256744496</v>
      </c>
      <c r="AL5708">
        <v>90.4338567811063</v>
      </c>
      <c r="AM5708">
        <v>82.804131687537094</v>
      </c>
      <c r="AN5708">
        <v>1.0000000067296599</v>
      </c>
    </row>
    <row r="5709" spans="1:40" x14ac:dyDescent="0.25">
      <c r="A5709" t="str">
        <f>"20190312161428987"</f>
        <v>20190312161428987</v>
      </c>
      <c r="B5709" t="str">
        <f>"1552378468981898"</f>
        <v>1552378468981898</v>
      </c>
      <c r="C5709" t="s">
        <v>40</v>
      </c>
      <c r="D5709">
        <v>5.5340470000000002</v>
      </c>
      <c r="E5709">
        <v>0.56491119999999995</v>
      </c>
      <c r="F5709" t="s">
        <v>41</v>
      </c>
      <c r="G5709">
        <v>-312.04610000000002</v>
      </c>
      <c r="H5709">
        <v>-0.05</v>
      </c>
      <c r="I5709">
        <v>10.579739999999999</v>
      </c>
      <c r="J5709">
        <v>-329.30990000000003</v>
      </c>
      <c r="K5709">
        <v>1.1085480000000001</v>
      </c>
      <c r="L5709">
        <v>17.04147</v>
      </c>
      <c r="M5709">
        <v>0.99797590000000003</v>
      </c>
      <c r="N5709">
        <v>0</v>
      </c>
      <c r="O5709">
        <v>-6.206503E-2</v>
      </c>
      <c r="P5709">
        <v>0.98219939999999994</v>
      </c>
      <c r="Q5709">
        <v>-2.0766639999999999E-2</v>
      </c>
      <c r="R5709">
        <v>-0.1866903</v>
      </c>
      <c r="S5709">
        <v>2.8498540000000001</v>
      </c>
      <c r="T5709">
        <v>-0.1893967</v>
      </c>
      <c r="U5709">
        <v>-1.0581969999999901</v>
      </c>
      <c r="V5709">
        <v>0.12533730000000001</v>
      </c>
      <c r="W5709">
        <v>-7.4818019999999897E-3</v>
      </c>
      <c r="X5709">
        <v>0.99208600000000002</v>
      </c>
      <c r="Y5709">
        <v>0.28879650000000001</v>
      </c>
      <c r="Z5709">
        <v>-5.3024069999999899E-3</v>
      </c>
      <c r="AA5709">
        <v>0.9573758</v>
      </c>
      <c r="AB5709">
        <v>30</v>
      </c>
      <c r="AC5709">
        <v>17.2638</v>
      </c>
      <c r="AD5709">
        <v>-1.1585479999999999</v>
      </c>
      <c r="AE5709">
        <v>-6.4617300000000002</v>
      </c>
      <c r="AF5709">
        <v>5.3565298101591496</v>
      </c>
      <c r="AG5709">
        <v>-1.1585479999999999</v>
      </c>
      <c r="AH5709">
        <v>17.562223356109701</v>
      </c>
      <c r="AI5709">
        <v>93.610491989131305</v>
      </c>
      <c r="AJ5709">
        <v>73.038139840371997</v>
      </c>
      <c r="AK5709">
        <v>18.397454559946901</v>
      </c>
      <c r="AL5709">
        <v>90.428679667021299</v>
      </c>
      <c r="AM5709">
        <v>82.799562729347201</v>
      </c>
      <c r="AN5709">
        <v>1.0000000237642199</v>
      </c>
    </row>
    <row r="5710" spans="1:40" x14ac:dyDescent="0.25">
      <c r="A5710" t="str">
        <f>"20190312161429000"</f>
        <v>20190312161429000</v>
      </c>
      <c r="B5710" t="str">
        <f>"1552378468992634"</f>
        <v>1552378468992634</v>
      </c>
      <c r="C5710" t="s">
        <v>40</v>
      </c>
      <c r="D5710">
        <v>5.5056820000000002</v>
      </c>
      <c r="E5710">
        <v>0.5652298</v>
      </c>
      <c r="F5710" t="s">
        <v>41</v>
      </c>
      <c r="G5710">
        <v>-311.81909999999999</v>
      </c>
      <c r="H5710">
        <v>-0.05</v>
      </c>
      <c r="I5710">
        <v>10.50394</v>
      </c>
      <c r="J5710">
        <v>-329.14530000000002</v>
      </c>
      <c r="K5710">
        <v>1.108536</v>
      </c>
      <c r="L5710">
        <v>17.030089999999898</v>
      </c>
      <c r="M5710">
        <v>0.9979074</v>
      </c>
      <c r="N5710">
        <v>0</v>
      </c>
      <c r="O5710">
        <v>-6.3150970000000001E-2</v>
      </c>
      <c r="P5710">
        <v>0.98193750000000002</v>
      </c>
      <c r="Q5710">
        <v>-2.0703929999999999E-2</v>
      </c>
      <c r="R5710">
        <v>-0.18806990000000001</v>
      </c>
      <c r="S5710">
        <v>2.8480530000000002</v>
      </c>
      <c r="T5710">
        <v>-0.1886475</v>
      </c>
      <c r="U5710">
        <v>-1.064514</v>
      </c>
      <c r="V5710">
        <v>0.12565100000000001</v>
      </c>
      <c r="W5710">
        <v>-7.3967449999999997E-3</v>
      </c>
      <c r="X5710">
        <v>0.99204700000000001</v>
      </c>
      <c r="Y5710">
        <v>0.28982029999999998</v>
      </c>
      <c r="Z5710">
        <v>-5.246428E-3</v>
      </c>
      <c r="AA5710">
        <v>0.95706670000000005</v>
      </c>
      <c r="AB5710">
        <v>30</v>
      </c>
      <c r="AC5710">
        <v>17.3262</v>
      </c>
      <c r="AD5710">
        <v>-1.158536</v>
      </c>
      <c r="AE5710">
        <v>-6.5261499999999897</v>
      </c>
      <c r="AF5710">
        <v>5.3977143159983996</v>
      </c>
      <c r="AG5710">
        <v>-1.158536</v>
      </c>
      <c r="AH5710">
        <v>17.634732593363601</v>
      </c>
      <c r="AI5710">
        <v>93.5945649770199</v>
      </c>
      <c r="AJ5710">
        <v>72.981474287450197</v>
      </c>
      <c r="AK5710">
        <v>18.478672006934602</v>
      </c>
      <c r="AL5710">
        <v>90.423806106442896</v>
      </c>
      <c r="AM5710">
        <v>82.781450215360493</v>
      </c>
      <c r="AN5710">
        <v>1.0000000679232901</v>
      </c>
    </row>
    <row r="5711" spans="1:40" x14ac:dyDescent="0.25">
      <c r="A5711" t="str">
        <f>"20190312161429013"</f>
        <v>20190312161429013</v>
      </c>
      <c r="B5711" t="str">
        <f>"1552378469002393"</f>
        <v>1552378469002393</v>
      </c>
      <c r="C5711" t="s">
        <v>40</v>
      </c>
      <c r="D5711">
        <v>5.5158199999999997</v>
      </c>
      <c r="E5711">
        <v>0.56551070000000003</v>
      </c>
      <c r="F5711" t="s">
        <v>41</v>
      </c>
      <c r="G5711">
        <v>-311.63440000000003</v>
      </c>
      <c r="H5711">
        <v>-0.05</v>
      </c>
      <c r="I5711">
        <v>10.440659999999999</v>
      </c>
      <c r="J5711">
        <v>-328.98219999999998</v>
      </c>
      <c r="K5711">
        <v>1.1085199999999999</v>
      </c>
      <c r="L5711">
        <v>17.01868</v>
      </c>
      <c r="M5711">
        <v>0.99783790000000006</v>
      </c>
      <c r="N5711">
        <v>0</v>
      </c>
      <c r="O5711">
        <v>-6.4234869999999999E-2</v>
      </c>
      <c r="P5711">
        <v>0.98168900000000003</v>
      </c>
      <c r="Q5711">
        <v>-2.0414769999999999E-2</v>
      </c>
      <c r="R5711">
        <v>-0.18939549999999999</v>
      </c>
      <c r="S5711">
        <v>2.84613</v>
      </c>
      <c r="T5711">
        <v>-0.18830259999999999</v>
      </c>
      <c r="U5711">
        <v>-1.0710139999999999</v>
      </c>
      <c r="V5711">
        <v>0.12591330000000001</v>
      </c>
      <c r="W5711">
        <v>-7.0865360000000001E-3</v>
      </c>
      <c r="X5711">
        <v>0.99201600000000001</v>
      </c>
      <c r="Y5711">
        <v>0.29091030000000001</v>
      </c>
      <c r="Z5711">
        <v>-5.2042649999999996E-3</v>
      </c>
      <c r="AA5711">
        <v>0.95673620000000004</v>
      </c>
      <c r="AB5711">
        <v>30</v>
      </c>
      <c r="AC5711">
        <v>17.3477999999999</v>
      </c>
      <c r="AD5711">
        <v>-1.15852</v>
      </c>
      <c r="AE5711">
        <v>-6.5780199999999898</v>
      </c>
      <c r="AF5711">
        <v>5.4288229835724504</v>
      </c>
      <c r="AG5711">
        <v>-1.15852</v>
      </c>
      <c r="AH5711">
        <v>17.6656637212097</v>
      </c>
      <c r="AI5711">
        <v>93.587009401101994</v>
      </c>
      <c r="AJ5711">
        <v>72.917319305048807</v>
      </c>
      <c r="AK5711">
        <v>18.517288200172001</v>
      </c>
      <c r="AL5711">
        <v>90.406031977793006</v>
      </c>
      <c r="AM5711">
        <v>82.766317085889995</v>
      </c>
      <c r="AN5711">
        <v>1.00000006118268</v>
      </c>
    </row>
    <row r="5712" spans="1:40" x14ac:dyDescent="0.25">
      <c r="A5712" t="str">
        <f>"20190312161429024"</f>
        <v>20190312161429024</v>
      </c>
      <c r="B5712" t="str">
        <f>"1552378469012154"</f>
        <v>1552378469012154</v>
      </c>
      <c r="C5712" t="s">
        <v>40</v>
      </c>
      <c r="D5712">
        <v>5.6041670000000003</v>
      </c>
      <c r="E5712">
        <v>0.56570859999999901</v>
      </c>
      <c r="F5712" t="s">
        <v>41</v>
      </c>
      <c r="G5712">
        <v>-311.38819999999998</v>
      </c>
      <c r="H5712">
        <v>-0.05</v>
      </c>
      <c r="I5712">
        <v>10.35628</v>
      </c>
      <c r="J5712">
        <v>-328.8254</v>
      </c>
      <c r="K5712">
        <v>1.108503</v>
      </c>
      <c r="L5712">
        <v>17.00751</v>
      </c>
      <c r="M5712">
        <v>0.99776900000000002</v>
      </c>
      <c r="N5712">
        <v>0</v>
      </c>
      <c r="O5712">
        <v>-6.5288680000000002E-2</v>
      </c>
      <c r="P5712">
        <v>0.98149140000000001</v>
      </c>
      <c r="Q5712">
        <v>-2.0553600000000002E-2</v>
      </c>
      <c r="R5712">
        <v>-0.1904004</v>
      </c>
      <c r="S5712">
        <v>2.8442989999999999</v>
      </c>
      <c r="T5712">
        <v>-0.18728880000000001</v>
      </c>
      <c r="U5712">
        <v>-1.0770569999999999</v>
      </c>
      <c r="V5712">
        <v>0.12588089999999999</v>
      </c>
      <c r="W5712">
        <v>-7.2057989999999997E-3</v>
      </c>
      <c r="X5712">
        <v>0.99201919999999999</v>
      </c>
      <c r="Y5712">
        <v>0.29188639999999999</v>
      </c>
      <c r="Z5712">
        <v>-5.1421280000000002E-3</v>
      </c>
      <c r="AA5712">
        <v>0.95643920000000004</v>
      </c>
      <c r="AB5712">
        <v>30</v>
      </c>
      <c r="AC5712">
        <v>17.437200000000001</v>
      </c>
      <c r="AD5712">
        <v>-1.1585030000000001</v>
      </c>
      <c r="AE5712">
        <v>-6.65123</v>
      </c>
      <c r="AF5712">
        <v>5.4773671985304997</v>
      </c>
      <c r="AG5712">
        <v>-1.1585030000000001</v>
      </c>
      <c r="AH5712">
        <v>17.765821978915898</v>
      </c>
      <c r="AI5712">
        <v>93.565787014915003</v>
      </c>
      <c r="AJ5712">
        <v>72.8649857348165</v>
      </c>
      <c r="AK5712">
        <v>18.627080050697099</v>
      </c>
      <c r="AL5712">
        <v>90.412865440025499</v>
      </c>
      <c r="AM5712">
        <v>82.768181828649006</v>
      </c>
      <c r="AN5712">
        <v>1.0000000088463299</v>
      </c>
    </row>
    <row r="5713" spans="1:40" x14ac:dyDescent="0.25">
      <c r="A5713" t="str">
        <f>"20190312161429038"</f>
        <v>20190312161429038</v>
      </c>
      <c r="B5713" t="str">
        <f>"1552378469032225"</f>
        <v>1552378469032225</v>
      </c>
      <c r="C5713" t="s">
        <v>40</v>
      </c>
      <c r="D5713">
        <v>5.593343</v>
      </c>
      <c r="E5713">
        <v>0.56617059999999997</v>
      </c>
      <c r="F5713" t="s">
        <v>41</v>
      </c>
      <c r="G5713">
        <v>-311.2527</v>
      </c>
      <c r="H5713">
        <v>-0.05</v>
      </c>
      <c r="I5713">
        <v>10.322749999999999</v>
      </c>
      <c r="J5713">
        <v>-328.65609999999998</v>
      </c>
      <c r="K5713">
        <v>1.1084909999999999</v>
      </c>
      <c r="L5713">
        <v>16.995270000000001</v>
      </c>
      <c r="M5713">
        <v>0.99769269999999999</v>
      </c>
      <c r="N5713">
        <v>0</v>
      </c>
      <c r="O5713">
        <v>-6.6438570000000002E-2</v>
      </c>
      <c r="P5713">
        <v>0.9812244</v>
      </c>
      <c r="Q5713">
        <v>-2.0714420000000001E-2</v>
      </c>
      <c r="R5713">
        <v>-0.19175429999999999</v>
      </c>
      <c r="S5713">
        <v>2.8428960000000001</v>
      </c>
      <c r="T5713">
        <v>-0.1874208</v>
      </c>
      <c r="U5713">
        <v>-1.0814509999999999</v>
      </c>
      <c r="V5713">
        <v>0.12610550000000001</v>
      </c>
      <c r="W5713">
        <v>-7.3489749999999998E-3</v>
      </c>
      <c r="X5713">
        <v>0.99198960000000003</v>
      </c>
      <c r="Y5713">
        <v>0.29223359999999998</v>
      </c>
      <c r="Z5713">
        <v>-5.0852320000000003E-3</v>
      </c>
      <c r="AA5713">
        <v>0.95633349999999995</v>
      </c>
      <c r="AB5713">
        <v>30</v>
      </c>
      <c r="AC5713">
        <v>17.403399999999898</v>
      </c>
      <c r="AD5713">
        <v>-1.1584909999999999</v>
      </c>
      <c r="AE5713">
        <v>-6.6725199999999996</v>
      </c>
      <c r="AF5713">
        <v>5.48023283978491</v>
      </c>
      <c r="AG5713">
        <v>-1.1584909999999999</v>
      </c>
      <c r="AH5713">
        <v>17.739762537272</v>
      </c>
      <c r="AI5713">
        <v>93.570358052668993</v>
      </c>
      <c r="AJ5713">
        <v>72.832842416388502</v>
      </c>
      <c r="AK5713">
        <v>18.603070398569699</v>
      </c>
      <c r="AL5713">
        <v>90.421069047538595</v>
      </c>
      <c r="AM5713">
        <v>82.755201722516603</v>
      </c>
      <c r="AN5713">
        <v>0.99999998553598002</v>
      </c>
    </row>
    <row r="5714" spans="1:40" x14ac:dyDescent="0.25">
      <c r="A5714" t="str">
        <f>"20190312161429053"</f>
        <v>20190312161429053</v>
      </c>
      <c r="B5714" t="str">
        <f>"1552378469041985"</f>
        <v>1552378469041985</v>
      </c>
      <c r="C5714" t="s">
        <v>40</v>
      </c>
      <c r="D5714">
        <v>5.6392490000000004</v>
      </c>
      <c r="E5714">
        <v>0.56617059999999997</v>
      </c>
      <c r="F5714" t="s">
        <v>41</v>
      </c>
      <c r="G5714">
        <v>-310.94819999999999</v>
      </c>
      <c r="H5714">
        <v>-0.05</v>
      </c>
      <c r="I5714">
        <v>10.20589</v>
      </c>
      <c r="J5714">
        <v>-328.44819999999999</v>
      </c>
      <c r="K5714">
        <v>1.108479</v>
      </c>
      <c r="L5714">
        <v>16.97992</v>
      </c>
      <c r="M5714">
        <v>0.99759659999999994</v>
      </c>
      <c r="N5714">
        <v>0</v>
      </c>
      <c r="O5714">
        <v>-6.7863309999999996E-2</v>
      </c>
      <c r="P5714">
        <v>0.98081629999999997</v>
      </c>
      <c r="Q5714">
        <v>-2.064204E-2</v>
      </c>
      <c r="R5714">
        <v>-0.19383890000000001</v>
      </c>
      <c r="S5714">
        <v>2.8406069999999999</v>
      </c>
      <c r="T5714">
        <v>-0.18583830000000001</v>
      </c>
      <c r="U5714">
        <v>-1.0891109999999999</v>
      </c>
      <c r="V5714">
        <v>0.12679669999999901</v>
      </c>
      <c r="W5714">
        <v>-7.2592459999999996E-3</v>
      </c>
      <c r="X5714">
        <v>0.99190219999999996</v>
      </c>
      <c r="Y5714">
        <v>0.29338180000000003</v>
      </c>
      <c r="Z5714">
        <v>-4.990927E-3</v>
      </c>
      <c r="AA5714">
        <v>0.95598229999999995</v>
      </c>
      <c r="AB5714">
        <v>29</v>
      </c>
      <c r="AC5714">
        <v>17.5</v>
      </c>
      <c r="AD5714">
        <v>-1.158479</v>
      </c>
      <c r="AE5714">
        <v>-6.7740299999999998</v>
      </c>
      <c r="AF5714">
        <v>5.5495356924137003</v>
      </c>
      <c r="AG5714">
        <v>-1.158479</v>
      </c>
      <c r="AH5714">
        <v>17.851365663752301</v>
      </c>
      <c r="AI5714">
        <v>93.546105851783395</v>
      </c>
      <c r="AJ5714">
        <v>72.730859050692999</v>
      </c>
      <c r="AK5714">
        <v>18.729940631401099</v>
      </c>
      <c r="AL5714">
        <v>90.415927795881899</v>
      </c>
      <c r="AM5714">
        <v>82.715282489880195</v>
      </c>
      <c r="AN5714">
        <v>1.0000000370741</v>
      </c>
    </row>
    <row r="5715" spans="1:40" x14ac:dyDescent="0.25">
      <c r="A5715" t="str">
        <f>"20190312161429063"</f>
        <v>20190312161429063</v>
      </c>
      <c r="B5715" t="str">
        <f>"1552378469052721"</f>
        <v>1552378469052721</v>
      </c>
      <c r="C5715" t="s">
        <v>40</v>
      </c>
      <c r="D5715">
        <v>5.661009</v>
      </c>
      <c r="E5715">
        <v>0.57475120000000002</v>
      </c>
      <c r="F5715" t="s">
        <v>41</v>
      </c>
      <c r="G5715">
        <v>-310.75150000000002</v>
      </c>
      <c r="H5715">
        <v>-0.05</v>
      </c>
      <c r="I5715">
        <v>10.151809999999999</v>
      </c>
      <c r="J5715">
        <v>-328.30410000000001</v>
      </c>
      <c r="K5715">
        <v>1.108471</v>
      </c>
      <c r="L5715">
        <v>16.969089999999898</v>
      </c>
      <c r="M5715">
        <v>0.99752810000000003</v>
      </c>
      <c r="N5715">
        <v>0</v>
      </c>
      <c r="O5715">
        <v>-6.8859649999999994E-2</v>
      </c>
      <c r="P5715">
        <v>0.98053939999999995</v>
      </c>
      <c r="Q5715">
        <v>-2.0794940000000001E-2</v>
      </c>
      <c r="R5715">
        <v>-0.19522020000000001</v>
      </c>
      <c r="S5715">
        <v>2.8383479999999999</v>
      </c>
      <c r="T5715">
        <v>-0.1858069</v>
      </c>
      <c r="U5715">
        <v>-1.095154</v>
      </c>
      <c r="V5715">
        <v>0.12720209999999901</v>
      </c>
      <c r="W5715">
        <v>-7.40127199999999E-3</v>
      </c>
      <c r="X5715">
        <v>0.99184919999999999</v>
      </c>
      <c r="Y5715">
        <v>0.29445369999999998</v>
      </c>
      <c r="Z5715">
        <v>-4.9634600000000003E-3</v>
      </c>
      <c r="AA5715">
        <v>0.95565279999999997</v>
      </c>
      <c r="AB5715">
        <v>29</v>
      </c>
      <c r="AC5715">
        <v>17.552599999999899</v>
      </c>
      <c r="AD5715">
        <v>-1.15847099999999</v>
      </c>
      <c r="AE5715">
        <v>-6.8172799999999896</v>
      </c>
      <c r="AF5715">
        <v>5.5712233982052402</v>
      </c>
      <c r="AG5715">
        <v>-1.15847099999999</v>
      </c>
      <c r="AH5715">
        <v>17.912609963543101</v>
      </c>
      <c r="AI5715">
        <v>93.533840168506799</v>
      </c>
      <c r="AJ5715">
        <v>72.723134636762694</v>
      </c>
      <c r="AK5715">
        <v>18.794738117797099</v>
      </c>
      <c r="AL5715">
        <v>90.424065522738303</v>
      </c>
      <c r="AM5715">
        <v>82.691856574898793</v>
      </c>
      <c r="AN5715">
        <v>0.99999999430613395</v>
      </c>
    </row>
    <row r="5716" spans="1:40" x14ac:dyDescent="0.25">
      <c r="A5716" t="str">
        <f>"20190312161429076"</f>
        <v>20190312161429076</v>
      </c>
      <c r="B5716" t="str">
        <f>"1552378469072241"</f>
        <v>1552378469072241</v>
      </c>
      <c r="C5716" t="s">
        <v>40</v>
      </c>
      <c r="D5716">
        <v>5.7282820000000001</v>
      </c>
      <c r="E5716">
        <v>0.57713599999999998</v>
      </c>
      <c r="F5716" t="s">
        <v>101</v>
      </c>
      <c r="G5716">
        <v>-279.02</v>
      </c>
      <c r="H5716">
        <v>0.89117060000000003</v>
      </c>
      <c r="I5716">
        <v>-3.4771290000000001</v>
      </c>
      <c r="J5716">
        <v>-328.15789999999998</v>
      </c>
      <c r="K5716">
        <v>1.108463</v>
      </c>
      <c r="L5716">
        <v>16.957979999999999</v>
      </c>
      <c r="M5716">
        <v>0.99745700000000004</v>
      </c>
      <c r="N5716">
        <v>0</v>
      </c>
      <c r="O5716">
        <v>-6.9879449999999996E-2</v>
      </c>
      <c r="P5716">
        <v>0.98028760000000004</v>
      </c>
      <c r="Q5716">
        <v>-2.0713329999999999E-2</v>
      </c>
      <c r="R5716">
        <v>-0.196488</v>
      </c>
      <c r="S5716">
        <v>2.8258969999999999</v>
      </c>
      <c r="T5716">
        <v>-1.245975E-2</v>
      </c>
      <c r="U5716">
        <v>-1.1723629999999901</v>
      </c>
      <c r="V5716">
        <v>0.127470899999999</v>
      </c>
      <c r="W5716">
        <v>-7.3089490000000003E-3</v>
      </c>
      <c r="X5716">
        <v>0.99181540000000001</v>
      </c>
      <c r="Y5716">
        <v>0.31770569999999998</v>
      </c>
      <c r="Z5716">
        <v>-3.7790190000000002E-4</v>
      </c>
      <c r="AA5716">
        <v>0.94818930000000001</v>
      </c>
      <c r="AB5716">
        <v>29</v>
      </c>
      <c r="AC5716">
        <v>49.137900000000002</v>
      </c>
      <c r="AD5716">
        <v>-0.217292399999999</v>
      </c>
      <c r="AE5716">
        <v>-20.435109000000001</v>
      </c>
      <c r="AF5716">
        <v>16.950795135813699</v>
      </c>
      <c r="AG5716">
        <v>-0.217292399999999</v>
      </c>
      <c r="AH5716">
        <v>50.445049419172904</v>
      </c>
      <c r="AI5716">
        <v>90.233946009520395</v>
      </c>
      <c r="AJ5716">
        <v>71.426367060495195</v>
      </c>
      <c r="AK5716">
        <v>53.217287441452903</v>
      </c>
      <c r="AL5716">
        <v>90.418775650867502</v>
      </c>
      <c r="AM5716">
        <v>82.676333821692197</v>
      </c>
      <c r="AN5716">
        <v>1.0000000193797201</v>
      </c>
    </row>
    <row r="5717" spans="1:40" x14ac:dyDescent="0.25">
      <c r="A5717" t="str">
        <f>"20190312161429085"</f>
        <v>20190312161429085</v>
      </c>
      <c r="B5717" t="str">
        <f>"1552378469082001"</f>
        <v>1552378469082001</v>
      </c>
      <c r="C5717" t="s">
        <v>40</v>
      </c>
      <c r="D5717">
        <v>5.6648489999999896</v>
      </c>
      <c r="E5717">
        <v>0.57903019999999905</v>
      </c>
      <c r="F5717" t="s">
        <v>101</v>
      </c>
      <c r="G5717">
        <v>-279.02</v>
      </c>
      <c r="H5717">
        <v>0.63282179999999999</v>
      </c>
      <c r="I5717">
        <v>-3.848948</v>
      </c>
      <c r="J5717">
        <v>-328.01069999999999</v>
      </c>
      <c r="K5717">
        <v>1.108455</v>
      </c>
      <c r="L5717">
        <v>16.946619999999999</v>
      </c>
      <c r="M5717">
        <v>0.99738389999999999</v>
      </c>
      <c r="N5717">
        <v>0</v>
      </c>
      <c r="O5717">
        <v>-7.0911639999999998E-2</v>
      </c>
      <c r="P5717">
        <v>0.98008269999999997</v>
      </c>
      <c r="Q5717">
        <v>-2.0810120000000001E-2</v>
      </c>
      <c r="R5717">
        <v>-0.19749800000000001</v>
      </c>
      <c r="S5717">
        <v>2.8203429999999998</v>
      </c>
      <c r="T5717">
        <v>-2.7300120000000001E-2</v>
      </c>
      <c r="U5717">
        <v>-1.1942440000000001</v>
      </c>
      <c r="V5717">
        <v>0.127466</v>
      </c>
      <c r="W5717">
        <v>-7.3940909999999898E-3</v>
      </c>
      <c r="X5717">
        <v>0.99181540000000001</v>
      </c>
      <c r="Y5717">
        <v>0.32362610000000003</v>
      </c>
      <c r="Z5717">
        <v>-8.4632619999999996E-4</v>
      </c>
      <c r="AA5717">
        <v>0.94618460000000004</v>
      </c>
      <c r="AB5717">
        <v>29</v>
      </c>
      <c r="AC5717">
        <v>48.990699999999997</v>
      </c>
      <c r="AD5717">
        <v>-0.47563319999999898</v>
      </c>
      <c r="AE5717">
        <v>-20.795567999999999</v>
      </c>
      <c r="AF5717">
        <v>17.267474892717001</v>
      </c>
      <c r="AG5717">
        <v>-0.47563319999999898</v>
      </c>
      <c r="AH5717">
        <v>50.338119214751998</v>
      </c>
      <c r="AI5717">
        <v>90.512070263823006</v>
      </c>
      <c r="AJ5717">
        <v>71.066504160390394</v>
      </c>
      <c r="AK5717">
        <v>53.219528015476897</v>
      </c>
      <c r="AL5717">
        <v>90.423654059299395</v>
      </c>
      <c r="AM5717">
        <v>82.676612288229904</v>
      </c>
      <c r="AN5717">
        <v>1.00000002070743</v>
      </c>
    </row>
    <row r="5718" spans="1:40" x14ac:dyDescent="0.25">
      <c r="A5718" t="str">
        <f>"20190312161429097"</f>
        <v>20190312161429097</v>
      </c>
      <c r="B5718" t="str">
        <f>"1552378469092736"</f>
        <v>1552378469092736</v>
      </c>
      <c r="C5718" t="s">
        <v>40</v>
      </c>
      <c r="D5718">
        <v>5.6595040000000001</v>
      </c>
      <c r="E5718">
        <v>0.58089550000000001</v>
      </c>
      <c r="F5718" t="s">
        <v>101</v>
      </c>
      <c r="G5718">
        <v>-279.02</v>
      </c>
      <c r="H5718">
        <v>0.69031290000000001</v>
      </c>
      <c r="I5718">
        <v>-4.1383219999999996</v>
      </c>
      <c r="J5718">
        <v>-327.86279999999999</v>
      </c>
      <c r="K5718">
        <v>1.108447</v>
      </c>
      <c r="L5718">
        <v>16.934999999999999</v>
      </c>
      <c r="M5718">
        <v>0.99730859999999999</v>
      </c>
      <c r="N5718">
        <v>0</v>
      </c>
      <c r="O5718">
        <v>-7.1959789999999996E-2</v>
      </c>
      <c r="P5718">
        <v>0.97979989999999995</v>
      </c>
      <c r="Q5718">
        <v>-2.0618379999999999E-2</v>
      </c>
      <c r="R5718">
        <v>-0.19891529999999999</v>
      </c>
      <c r="S5718">
        <v>2.8162229999999999</v>
      </c>
      <c r="T5718">
        <v>-2.403688E-2</v>
      </c>
      <c r="U5718">
        <v>-1.212067</v>
      </c>
      <c r="V5718">
        <v>0.12785850000000001</v>
      </c>
      <c r="W5718">
        <v>-7.1945610000000004E-3</v>
      </c>
      <c r="X5718">
        <v>0.99176629999999999</v>
      </c>
      <c r="Y5718">
        <v>0.3281906</v>
      </c>
      <c r="Z5718">
        <v>-7.5547679999999901E-4</v>
      </c>
      <c r="AA5718">
        <v>0.94461130000000004</v>
      </c>
      <c r="AB5718">
        <v>29</v>
      </c>
      <c r="AC5718">
        <v>48.842799999999997</v>
      </c>
      <c r="AD5718">
        <v>-0.41813410000000001</v>
      </c>
      <c r="AE5718">
        <v>-21.073322000000001</v>
      </c>
      <c r="AF5718">
        <v>17.502533428978602</v>
      </c>
      <c r="AG5718">
        <v>-0.41813410000000001</v>
      </c>
      <c r="AH5718">
        <v>50.229629658963297</v>
      </c>
      <c r="AI5718">
        <v>90.450386745636294</v>
      </c>
      <c r="AJ5718">
        <v>70.789089352135207</v>
      </c>
      <c r="AK5718">
        <v>53.193319206783002</v>
      </c>
      <c r="AL5718">
        <v>90.412221547003796</v>
      </c>
      <c r="AM5718">
        <v>82.653947957857199</v>
      </c>
      <c r="AN5718">
        <v>0.99999997577296096</v>
      </c>
    </row>
    <row r="5719" spans="1:40" x14ac:dyDescent="0.25">
      <c r="A5719" t="str">
        <f>"20190312161429110"</f>
        <v>20190312161429110</v>
      </c>
      <c r="B5719" t="str">
        <f>"1552378469102497"</f>
        <v>1552378469102497</v>
      </c>
      <c r="C5719" t="s">
        <v>40</v>
      </c>
      <c r="D5719">
        <v>5.6638909999999996</v>
      </c>
      <c r="E5719">
        <v>0.58228769999999996</v>
      </c>
      <c r="F5719" t="s">
        <v>101</v>
      </c>
      <c r="G5719">
        <v>-279.02</v>
      </c>
      <c r="H5719">
        <v>0.37714360000000002</v>
      </c>
      <c r="I5719">
        <v>-4.4347409999999998</v>
      </c>
      <c r="J5719">
        <v>-327.70229999999998</v>
      </c>
      <c r="K5719">
        <v>1.1084400000000001</v>
      </c>
      <c r="L5719">
        <v>16.9223</v>
      </c>
      <c r="M5719">
        <v>0.99722549999999999</v>
      </c>
      <c r="N5719">
        <v>0</v>
      </c>
      <c r="O5719">
        <v>-7.3102E-2</v>
      </c>
      <c r="P5719">
        <v>0.97951060000000001</v>
      </c>
      <c r="Q5719">
        <v>-2.0555529999999999E-2</v>
      </c>
      <c r="R5719">
        <v>-0.20034160000000001</v>
      </c>
      <c r="S5719">
        <v>2.8112490000000001</v>
      </c>
      <c r="T5719">
        <v>-4.2091730000000001E-2</v>
      </c>
      <c r="U5719">
        <v>-1.2299800000000001</v>
      </c>
      <c r="V5719">
        <v>0.12816630000000001</v>
      </c>
      <c r="W5719">
        <v>-7.1232550000000002E-3</v>
      </c>
      <c r="X5719">
        <v>0.99172709999999997</v>
      </c>
      <c r="Y5719">
        <v>0.33275909999999997</v>
      </c>
      <c r="Z5719">
        <v>-1.3399970000000001E-3</v>
      </c>
      <c r="AA5719">
        <v>0.94301089999999999</v>
      </c>
      <c r="AB5719">
        <v>29</v>
      </c>
      <c r="AC5719">
        <v>48.682299999999998</v>
      </c>
      <c r="AD5719">
        <v>-0.73129639999999996</v>
      </c>
      <c r="AE5719">
        <v>-21.357040999999999</v>
      </c>
      <c r="AF5719">
        <v>17.7374069584049</v>
      </c>
      <c r="AG5719">
        <v>-0.73129639999999996</v>
      </c>
      <c r="AH5719">
        <v>50.1039383944698</v>
      </c>
      <c r="AI5719">
        <v>90.788275235158494</v>
      </c>
      <c r="AJ5719">
        <v>70.505414241422301</v>
      </c>
      <c r="AK5719">
        <v>53.155950209450197</v>
      </c>
      <c r="AL5719">
        <v>90.408135903120694</v>
      </c>
      <c r="AM5719">
        <v>82.6361694419587</v>
      </c>
      <c r="AN5719">
        <v>0.99999999104594695</v>
      </c>
    </row>
    <row r="5720" spans="1:40" x14ac:dyDescent="0.25">
      <c r="A5720" t="str">
        <f>"20190312161429121"</f>
        <v>20190312161429121</v>
      </c>
      <c r="B5720" t="str">
        <f>"1552378469112257"</f>
        <v>1552378469112257</v>
      </c>
      <c r="C5720" t="s">
        <v>40</v>
      </c>
      <c r="D5720">
        <v>5.6357999999999997</v>
      </c>
      <c r="E5720">
        <v>0.58349459999999997</v>
      </c>
      <c r="F5720" t="s">
        <v>101</v>
      </c>
      <c r="G5720">
        <v>-279.02</v>
      </c>
      <c r="H5720">
        <v>0.17923529999999999</v>
      </c>
      <c r="I5720">
        <v>-4.6624660000000002</v>
      </c>
      <c r="J5720">
        <v>-327.55119999999999</v>
      </c>
      <c r="K5720">
        <v>1.1084350000000001</v>
      </c>
      <c r="L5720">
        <v>16.9101</v>
      </c>
      <c r="M5720">
        <v>0.99714480000000005</v>
      </c>
      <c r="N5720">
        <v>0</v>
      </c>
      <c r="O5720">
        <v>-7.4189829999999998E-2</v>
      </c>
      <c r="P5720">
        <v>0.97925209999999996</v>
      </c>
      <c r="Q5720">
        <v>-2.0464429999999999E-2</v>
      </c>
      <c r="R5720">
        <v>-0.20161000000000001</v>
      </c>
      <c r="S5720">
        <v>2.8070680000000001</v>
      </c>
      <c r="T5720">
        <v>-5.3578849999999997E-2</v>
      </c>
      <c r="U5720">
        <v>-1.2445980000000001</v>
      </c>
      <c r="V5720">
        <v>0.12836889999999901</v>
      </c>
      <c r="W5720">
        <v>-7.0252309999999998E-3</v>
      </c>
      <c r="X5720">
        <v>0.99170159999999996</v>
      </c>
      <c r="Y5720">
        <v>0.33633999999999997</v>
      </c>
      <c r="Z5720">
        <v>-1.7193149999999999E-3</v>
      </c>
      <c r="AA5720">
        <v>0.94173899999999999</v>
      </c>
      <c r="AB5720">
        <v>29</v>
      </c>
      <c r="AC5720">
        <v>48.531199999999998</v>
      </c>
      <c r="AD5720">
        <v>-0.92919969999999996</v>
      </c>
      <c r="AE5720">
        <v>-21.572565999999998</v>
      </c>
      <c r="AF5720">
        <v>17.9067436584827</v>
      </c>
      <c r="AG5720">
        <v>-0.92919969999999996</v>
      </c>
      <c r="AH5720">
        <v>49.982751797054803</v>
      </c>
      <c r="AI5720">
        <v>91.002640973976895</v>
      </c>
      <c r="AJ5720">
        <v>70.289507370790005</v>
      </c>
      <c r="AK5720">
        <v>53.1016982566384</v>
      </c>
      <c r="AL5720">
        <v>90.402519399082706</v>
      </c>
      <c r="AM5720">
        <v>82.624469507705996</v>
      </c>
      <c r="AN5720">
        <v>0.99999999590018596</v>
      </c>
    </row>
    <row r="5721" spans="1:40" x14ac:dyDescent="0.25">
      <c r="A5721" t="str">
        <f>"20190312161429132"</f>
        <v>20190312161429132</v>
      </c>
      <c r="B5721" t="str">
        <f>"1552378469122017"</f>
        <v>1552378469122017</v>
      </c>
      <c r="C5721" t="s">
        <v>40</v>
      </c>
      <c r="D5721">
        <v>5.6689660000000002</v>
      </c>
      <c r="E5721">
        <v>0.58446980000000004</v>
      </c>
      <c r="F5721" t="s">
        <v>41</v>
      </c>
      <c r="G5721">
        <v>-277.3261</v>
      </c>
      <c r="H5721">
        <v>-0.05</v>
      </c>
      <c r="I5721">
        <v>-5.615189</v>
      </c>
      <c r="J5721">
        <v>-327.41090000000003</v>
      </c>
      <c r="K5721">
        <v>1.108428</v>
      </c>
      <c r="L5721">
        <v>16.89865</v>
      </c>
      <c r="M5721">
        <v>0.99706859999999997</v>
      </c>
      <c r="N5721">
        <v>0</v>
      </c>
      <c r="O5721">
        <v>-7.5205049999999996E-2</v>
      </c>
      <c r="P5721">
        <v>0.9789563</v>
      </c>
      <c r="Q5721">
        <v>-2.0353509999999998E-2</v>
      </c>
      <c r="R5721">
        <v>-0.20305239999999999</v>
      </c>
      <c r="S5721">
        <v>2.8033450000000002</v>
      </c>
      <c r="T5721">
        <v>-6.4658759999999996E-2</v>
      </c>
      <c r="U5721">
        <v>-1.257263</v>
      </c>
      <c r="V5721">
        <v>0.1288204</v>
      </c>
      <c r="W5721">
        <v>-6.9100129999999996E-3</v>
      </c>
      <c r="X5721">
        <v>0.99164379999999996</v>
      </c>
      <c r="Y5721">
        <v>0.33937240000000002</v>
      </c>
      <c r="Z5721">
        <v>-2.086793E-3</v>
      </c>
      <c r="AA5721">
        <v>0.94064979999999998</v>
      </c>
      <c r="AB5721">
        <v>29</v>
      </c>
      <c r="AC5721">
        <v>50.084800000000001</v>
      </c>
      <c r="AD5721">
        <v>-1.158428</v>
      </c>
      <c r="AE5721">
        <v>-22.513839000000001</v>
      </c>
      <c r="AF5721">
        <v>18.674754554793999</v>
      </c>
      <c r="AG5721">
        <v>-1.158428</v>
      </c>
      <c r="AH5721">
        <v>51.613288595303899</v>
      </c>
      <c r="AI5721">
        <v>91.209068337674495</v>
      </c>
      <c r="AJ5721">
        <v>70.108829022836105</v>
      </c>
      <c r="AK5721">
        <v>54.9000908262921</v>
      </c>
      <c r="AL5721">
        <v>90.395917757826695</v>
      </c>
      <c r="AM5721">
        <v>82.598388747200303</v>
      </c>
      <c r="AN5721">
        <v>0.99999993490712702</v>
      </c>
    </row>
    <row r="5722" spans="1:40" x14ac:dyDescent="0.25">
      <c r="A5722" t="str">
        <f>"20190312161429143"</f>
        <v>20190312161429143</v>
      </c>
      <c r="B5722" t="str">
        <f>"1552378469131882"</f>
        <v>1552378469131882</v>
      </c>
      <c r="C5722" t="s">
        <v>40</v>
      </c>
      <c r="D5722">
        <v>5.8432399999999998</v>
      </c>
      <c r="E5722">
        <v>0.58577609999999902</v>
      </c>
      <c r="F5722" t="s">
        <v>42</v>
      </c>
      <c r="G5722">
        <v>-286.29239999999999</v>
      </c>
      <c r="H5722">
        <v>7.9986650000000006E-2</v>
      </c>
      <c r="I5722">
        <v>-1.7343219999999999</v>
      </c>
      <c r="J5722">
        <v>-327.2552</v>
      </c>
      <c r="K5722">
        <v>1.108419</v>
      </c>
      <c r="L5722">
        <v>16.885739999999998</v>
      </c>
      <c r="M5722">
        <v>0.99698200000000003</v>
      </c>
      <c r="N5722">
        <v>0</v>
      </c>
      <c r="O5722">
        <v>-7.6340450000000004E-2</v>
      </c>
      <c r="P5722">
        <v>0.97867130000000002</v>
      </c>
      <c r="Q5722">
        <v>-2.046282E-2</v>
      </c>
      <c r="R5722">
        <v>-0.20441100000000001</v>
      </c>
      <c r="S5722">
        <v>2.7998660000000002</v>
      </c>
      <c r="T5722">
        <v>-7.0029259999999996E-2</v>
      </c>
      <c r="U5722">
        <v>-1.2687679999999999</v>
      </c>
      <c r="V5722">
        <v>0.12906699999999999</v>
      </c>
      <c r="W5722">
        <v>-7.0141819999999999E-3</v>
      </c>
      <c r="X5722">
        <v>0.99161109999999997</v>
      </c>
      <c r="Y5722">
        <v>0.34193759999999901</v>
      </c>
      <c r="Z5722">
        <v>-2.2646649999999999E-3</v>
      </c>
      <c r="AA5722">
        <v>0.93971990000000005</v>
      </c>
      <c r="AB5722">
        <v>29</v>
      </c>
      <c r="AC5722">
        <v>40.962800000000001</v>
      </c>
      <c r="AD5722">
        <v>-1.0284323500000001</v>
      </c>
      <c r="AE5722">
        <v>-18.620062000000001</v>
      </c>
      <c r="AF5722">
        <v>15.430223777328401</v>
      </c>
      <c r="AG5722">
        <v>-1.0284323500000001</v>
      </c>
      <c r="AH5722">
        <v>42.242776863354798</v>
      </c>
      <c r="AI5722">
        <v>91.310007209182203</v>
      </c>
      <c r="AJ5722">
        <v>69.934022932152104</v>
      </c>
      <c r="AK5722">
        <v>44.984460384049697</v>
      </c>
      <c r="AL5722">
        <v>90.401886308130798</v>
      </c>
      <c r="AM5722">
        <v>82.584135628067003</v>
      </c>
      <c r="AN5722">
        <v>1.0000000314406601</v>
      </c>
    </row>
    <row r="5723" spans="1:40" x14ac:dyDescent="0.25">
      <c r="A5723" t="str">
        <f>"20190312161429157"</f>
        <v>20190312161429157</v>
      </c>
      <c r="B5723" t="str">
        <f>"1552378469152378"</f>
        <v>1552378469152378</v>
      </c>
      <c r="C5723" t="s">
        <v>40</v>
      </c>
      <c r="D5723">
        <v>5.6827750000000004</v>
      </c>
      <c r="E5723">
        <v>0.58713130000000002</v>
      </c>
      <c r="F5723" t="s">
        <v>41</v>
      </c>
      <c r="G5723">
        <v>-278.28019999999998</v>
      </c>
      <c r="H5723">
        <v>-0.05</v>
      </c>
      <c r="I5723">
        <v>-5.588654</v>
      </c>
      <c r="J5723">
        <v>-327.09140000000002</v>
      </c>
      <c r="K5723">
        <v>1.1084099999999999</v>
      </c>
      <c r="L5723">
        <v>16.871919999999999</v>
      </c>
      <c r="M5723">
        <v>0.99688889999999997</v>
      </c>
      <c r="N5723">
        <v>0</v>
      </c>
      <c r="O5723">
        <v>-7.7546809999999994E-2</v>
      </c>
      <c r="P5723">
        <v>0.97835090000000002</v>
      </c>
      <c r="Q5723">
        <v>-2.0531480000000001E-2</v>
      </c>
      <c r="R5723">
        <v>-0.205933</v>
      </c>
      <c r="S5723">
        <v>2.7960210000000001</v>
      </c>
      <c r="T5723">
        <v>-6.6135050000000001E-2</v>
      </c>
      <c r="U5723">
        <v>-1.2830809999999999</v>
      </c>
      <c r="V5723">
        <v>0.12940889999999999</v>
      </c>
      <c r="W5723">
        <v>-7.0790699999999998E-3</v>
      </c>
      <c r="X5723">
        <v>0.99156610000000001</v>
      </c>
      <c r="Y5723">
        <v>0.34527229999999998</v>
      </c>
      <c r="Z5723">
        <v>-2.1500199999999999E-3</v>
      </c>
      <c r="AA5723">
        <v>0.93850009999999995</v>
      </c>
      <c r="AB5723">
        <v>29</v>
      </c>
      <c r="AC5723">
        <v>48.811199999999999</v>
      </c>
      <c r="AD5723">
        <v>-1.1584099999999999</v>
      </c>
      <c r="AE5723">
        <v>-22.460573999999902</v>
      </c>
      <c r="AF5723">
        <v>18.598750807553301</v>
      </c>
      <c r="AG5723">
        <v>-1.1584099999999999</v>
      </c>
      <c r="AH5723">
        <v>50.3826869156538</v>
      </c>
      <c r="AI5723">
        <v>91.235649277255703</v>
      </c>
      <c r="AJ5723">
        <v>69.738393241620301</v>
      </c>
      <c r="AK5723">
        <v>53.718438046636898</v>
      </c>
      <c r="AL5723">
        <v>90.405604199854395</v>
      </c>
      <c r="AM5723">
        <v>82.564376780193399</v>
      </c>
      <c r="AN5723">
        <v>1.00000005365024</v>
      </c>
    </row>
    <row r="5724" spans="1:40" x14ac:dyDescent="0.25">
      <c r="A5724" t="str">
        <f>"20190312161429169"</f>
        <v>20190312161429169</v>
      </c>
      <c r="B5724" t="str">
        <f>"1552378469162139"</f>
        <v>1552378469162139</v>
      </c>
      <c r="C5724" t="s">
        <v>40</v>
      </c>
      <c r="D5724">
        <v>5.708304</v>
      </c>
      <c r="E5724">
        <v>0.58749869999999904</v>
      </c>
      <c r="F5724" t="s">
        <v>42</v>
      </c>
      <c r="G5724">
        <v>-289.60430000000002</v>
      </c>
      <c r="H5724">
        <v>7.9986790000000002E-2</v>
      </c>
      <c r="I5724">
        <v>-0.55382629999999999</v>
      </c>
      <c r="J5724">
        <v>-326.92750000000001</v>
      </c>
      <c r="K5724">
        <v>1.1083989999999999</v>
      </c>
      <c r="L5724">
        <v>16.857970000000002</v>
      </c>
      <c r="M5724">
        <v>0.9967937</v>
      </c>
      <c r="N5724">
        <v>0</v>
      </c>
      <c r="O5724">
        <v>-7.8761029999999996E-2</v>
      </c>
      <c r="P5724">
        <v>0.97802350000000005</v>
      </c>
      <c r="Q5724">
        <v>-2.0391900000000001E-2</v>
      </c>
      <c r="R5724">
        <v>-0.20749570000000001</v>
      </c>
      <c r="S5724">
        <v>2.791595</v>
      </c>
      <c r="T5724">
        <v>-7.6584819999999998E-2</v>
      </c>
      <c r="U5724">
        <v>-1.297668</v>
      </c>
      <c r="V5724">
        <v>0.12978529999999999</v>
      </c>
      <c r="W5724">
        <v>-6.9366159999999996E-3</v>
      </c>
      <c r="X5724">
        <v>0.9915178</v>
      </c>
      <c r="Y5724">
        <v>0.34870980000000001</v>
      </c>
      <c r="Z5724">
        <v>-2.5042229999999999E-3</v>
      </c>
      <c r="AA5724">
        <v>0.93722740000000004</v>
      </c>
      <c r="AB5724">
        <v>29</v>
      </c>
      <c r="AC5724">
        <v>37.3231999999999</v>
      </c>
      <c r="AD5724">
        <v>-1.0284122099999999</v>
      </c>
      <c r="AE5724">
        <v>-17.411796299999999</v>
      </c>
      <c r="AF5724">
        <v>14.408805600651499</v>
      </c>
      <c r="AG5724">
        <v>-1.0284122099999999</v>
      </c>
      <c r="AH5724">
        <v>38.554700662944903</v>
      </c>
      <c r="AI5724">
        <v>91.431306757957202</v>
      </c>
      <c r="AJ5724">
        <v>69.508092378685703</v>
      </c>
      <c r="AK5724">
        <v>41.172032421539797</v>
      </c>
      <c r="AL5724">
        <v>90.397442030375601</v>
      </c>
      <c r="AM5724">
        <v>82.542633342487093</v>
      </c>
      <c r="AN5724">
        <v>0.99999994422722904</v>
      </c>
    </row>
    <row r="5725" spans="1:40" x14ac:dyDescent="0.25">
      <c r="A5725" t="str">
        <f>"20190312161429182"</f>
        <v>20190312161429182</v>
      </c>
      <c r="B5725" t="str">
        <f>"1552378469171898"</f>
        <v>1552378469171898</v>
      </c>
      <c r="C5725" t="s">
        <v>40</v>
      </c>
      <c r="D5725">
        <v>5.7212449999999997</v>
      </c>
      <c r="E5725">
        <v>0.58751149999999996</v>
      </c>
      <c r="F5725" t="s">
        <v>42</v>
      </c>
      <c r="G5725">
        <v>-289.95510000000002</v>
      </c>
      <c r="H5725">
        <v>5.262083E-2</v>
      </c>
      <c r="I5725">
        <v>-0.43899149999999998</v>
      </c>
      <c r="J5725">
        <v>-326.7552</v>
      </c>
      <c r="K5725">
        <v>1.108384</v>
      </c>
      <c r="L5725">
        <v>16.84299</v>
      </c>
      <c r="M5725">
        <v>0.99669030000000003</v>
      </c>
      <c r="N5725">
        <v>0</v>
      </c>
      <c r="O5725">
        <v>-8.0056959999999996E-2</v>
      </c>
      <c r="P5725">
        <v>0.97769090000000003</v>
      </c>
      <c r="Q5725">
        <v>-2.024186E-2</v>
      </c>
      <c r="R5725">
        <v>-0.2090718</v>
      </c>
      <c r="S5725">
        <v>2.7889710000000001</v>
      </c>
      <c r="T5725">
        <v>-7.9641580000000003E-2</v>
      </c>
      <c r="U5725">
        <v>-1.3047789999999999</v>
      </c>
      <c r="V5725">
        <v>0.1300943</v>
      </c>
      <c r="W5725">
        <v>-6.7847979999999999E-3</v>
      </c>
      <c r="X5725">
        <v>0.99147839999999998</v>
      </c>
      <c r="Y5725">
        <v>0.34978369999999998</v>
      </c>
      <c r="Z5725">
        <v>-2.5848680000000001E-3</v>
      </c>
      <c r="AA5725">
        <v>0.93682690000000002</v>
      </c>
      <c r="AB5725">
        <v>29</v>
      </c>
      <c r="AC5725">
        <v>36.800099999999901</v>
      </c>
      <c r="AD5725">
        <v>-1.0557631700000001</v>
      </c>
      <c r="AE5725">
        <v>-17.281981500000001</v>
      </c>
      <c r="AF5725">
        <v>14.270479244091501</v>
      </c>
      <c r="AG5725">
        <v>-1.0557631700000001</v>
      </c>
      <c r="AH5725">
        <v>38.039987485572297</v>
      </c>
      <c r="AI5725">
        <v>91.488534895558104</v>
      </c>
      <c r="AJ5725">
        <v>69.436713568584395</v>
      </c>
      <c r="AK5725">
        <v>40.642365354758397</v>
      </c>
      <c r="AL5725">
        <v>90.3887432770901</v>
      </c>
      <c r="AM5725">
        <v>82.524785292858795</v>
      </c>
      <c r="AN5725">
        <v>0.99999998902147502</v>
      </c>
    </row>
    <row r="5726" spans="1:40" x14ac:dyDescent="0.25">
      <c r="A5726" t="str">
        <f>"20190312161429194"</f>
        <v>20190312161429194</v>
      </c>
      <c r="B5726" t="str">
        <f>"1552378469182634"</f>
        <v>1552378469182634</v>
      </c>
      <c r="C5726" t="s">
        <v>40</v>
      </c>
      <c r="D5726">
        <v>5.673413</v>
      </c>
      <c r="E5726">
        <v>0.58775129999999998</v>
      </c>
      <c r="F5726" t="s">
        <v>41</v>
      </c>
      <c r="G5726">
        <v>-288.88</v>
      </c>
      <c r="H5726">
        <v>-0.05</v>
      </c>
      <c r="I5726">
        <v>-0.95193479999999997</v>
      </c>
      <c r="J5726">
        <v>-326.5994</v>
      </c>
      <c r="K5726">
        <v>1.1083809999999901</v>
      </c>
      <c r="L5726">
        <v>16.829249999999998</v>
      </c>
      <c r="M5726">
        <v>0.99659439999999999</v>
      </c>
      <c r="N5726">
        <v>0</v>
      </c>
      <c r="O5726">
        <v>-8.123938E-2</v>
      </c>
      <c r="P5726">
        <v>0.97739200000000004</v>
      </c>
      <c r="Q5726">
        <v>-2.0138779999999998E-2</v>
      </c>
      <c r="R5726">
        <v>-0.21047389999999999</v>
      </c>
      <c r="S5726">
        <v>2.786743</v>
      </c>
      <c r="T5726">
        <v>-8.5230349999999996E-2</v>
      </c>
      <c r="U5726">
        <v>-1.309296</v>
      </c>
      <c r="V5726">
        <v>0.13034009999999999</v>
      </c>
      <c r="W5726">
        <v>-6.6807009999999998E-3</v>
      </c>
      <c r="X5726">
        <v>0.99144690000000002</v>
      </c>
      <c r="Y5726">
        <v>0.35019139999999999</v>
      </c>
      <c r="Z5726">
        <v>-2.7392779999999999E-3</v>
      </c>
      <c r="AA5726">
        <v>0.93667409999999995</v>
      </c>
      <c r="AB5726">
        <v>29</v>
      </c>
      <c r="AC5726">
        <v>37.7194</v>
      </c>
      <c r="AD5726">
        <v>-1.1583810000000001</v>
      </c>
      <c r="AE5726">
        <v>-17.781184799999998</v>
      </c>
      <c r="AF5726">
        <v>14.6464906415488</v>
      </c>
      <c r="AG5726">
        <v>-1.1583810000000001</v>
      </c>
      <c r="AH5726">
        <v>39.009273143513902</v>
      </c>
      <c r="AI5726">
        <v>91.592417533584296</v>
      </c>
      <c r="AJ5726">
        <v>69.420762838464995</v>
      </c>
      <c r="AK5726">
        <v>41.684348691558299</v>
      </c>
      <c r="AL5726">
        <v>90.3827787941932</v>
      </c>
      <c r="AM5726">
        <v>82.5105865630632</v>
      </c>
      <c r="AN5726">
        <v>1.00000006447673</v>
      </c>
    </row>
    <row r="5727" spans="1:40" x14ac:dyDescent="0.25">
      <c r="A5727" t="str">
        <f>"20190312161429211"</f>
        <v>20190312161429211</v>
      </c>
      <c r="B5727" t="str">
        <f>"1552378469201832"</f>
        <v>1552378469201832</v>
      </c>
      <c r="C5727" t="s">
        <v>40</v>
      </c>
      <c r="D5727">
        <v>5.7670349999999999</v>
      </c>
      <c r="E5727">
        <v>0.58794650000000004</v>
      </c>
      <c r="F5727" t="s">
        <v>41</v>
      </c>
      <c r="G5727">
        <v>-291.49040000000002</v>
      </c>
      <c r="H5727">
        <v>-0.05</v>
      </c>
      <c r="I5727">
        <v>0.25042720000000002</v>
      </c>
      <c r="J5727">
        <v>-326.3845</v>
      </c>
      <c r="K5727">
        <v>1.10836</v>
      </c>
      <c r="L5727">
        <v>16.810029999999902</v>
      </c>
      <c r="M5727">
        <v>0.99645839999999997</v>
      </c>
      <c r="N5727">
        <v>0</v>
      </c>
      <c r="O5727">
        <v>-8.2889489999999996E-2</v>
      </c>
      <c r="P5727">
        <v>0.97693560000000002</v>
      </c>
      <c r="Q5727">
        <v>-2.0179949999999999E-2</v>
      </c>
      <c r="R5727">
        <v>-0.21257880000000001</v>
      </c>
      <c r="S5727">
        <v>2.784332</v>
      </c>
      <c r="T5727">
        <v>-9.1865779999999994E-2</v>
      </c>
      <c r="U5727">
        <v>-1.314789</v>
      </c>
      <c r="V5727">
        <v>0.13083359999999999</v>
      </c>
      <c r="W5727">
        <v>-6.7228359999999899E-3</v>
      </c>
      <c r="X5727">
        <v>0.99138150000000003</v>
      </c>
      <c r="Y5727">
        <v>0.3504488</v>
      </c>
      <c r="Z5727">
        <v>-2.9065610000000002E-3</v>
      </c>
      <c r="AA5727">
        <v>0.9365774</v>
      </c>
      <c r="AB5727">
        <v>29</v>
      </c>
      <c r="AC5727">
        <v>34.894099999999902</v>
      </c>
      <c r="AD5727">
        <v>-1.1583600000000001</v>
      </c>
      <c r="AE5727">
        <v>-16.559602799999901</v>
      </c>
      <c r="AF5727">
        <v>13.597731838489</v>
      </c>
      <c r="AG5727">
        <v>-1.1583600000000001</v>
      </c>
      <c r="AH5727">
        <v>36.114268219453997</v>
      </c>
      <c r="AI5727">
        <v>91.7193655549802</v>
      </c>
      <c r="AJ5727">
        <v>69.367657722946902</v>
      </c>
      <c r="AK5727">
        <v>38.606741355205301</v>
      </c>
      <c r="AL5727">
        <v>90.385193048873106</v>
      </c>
      <c r="AM5727">
        <v>82.482063253870507</v>
      </c>
      <c r="AN5727">
        <v>0.99999995297754496</v>
      </c>
    </row>
    <row r="5728" spans="1:40" x14ac:dyDescent="0.25">
      <c r="A5728" t="str">
        <f>"20190312161429224"</f>
        <v>20190312161429224</v>
      </c>
      <c r="B5728" t="str">
        <f>"1552378469212568"</f>
        <v>1552378469212568</v>
      </c>
      <c r="C5728" t="s">
        <v>40</v>
      </c>
      <c r="D5728">
        <v>5.7568869999999999</v>
      </c>
      <c r="E5728">
        <v>0.58838100000000004</v>
      </c>
      <c r="F5728" t="s">
        <v>41</v>
      </c>
      <c r="G5728">
        <v>-294.01179999999999</v>
      </c>
      <c r="H5728">
        <v>-0.05</v>
      </c>
      <c r="I5728">
        <v>1.419754</v>
      </c>
      <c r="J5728">
        <v>-326.214</v>
      </c>
      <c r="K5728">
        <v>1.1083480000000001</v>
      </c>
      <c r="L5728">
        <v>16.794460000000001</v>
      </c>
      <c r="M5728">
        <v>0.99634659999999997</v>
      </c>
      <c r="N5728">
        <v>0</v>
      </c>
      <c r="O5728">
        <v>-8.4221740000000003E-2</v>
      </c>
      <c r="P5728">
        <v>0.97661169999999997</v>
      </c>
      <c r="Q5728">
        <v>-2.0481989999999999E-2</v>
      </c>
      <c r="R5728">
        <v>-0.21403340000000001</v>
      </c>
      <c r="S5728">
        <v>2.7810670000000002</v>
      </c>
      <c r="T5728">
        <v>-9.9512100000000006E-2</v>
      </c>
      <c r="U5728">
        <v>-1.322144</v>
      </c>
      <c r="V5728">
        <v>0.1309833</v>
      </c>
      <c r="W5728">
        <v>-7.0256049999999999E-3</v>
      </c>
      <c r="X5728">
        <v>0.99135969999999995</v>
      </c>
      <c r="Y5728">
        <v>0.35162270000000001</v>
      </c>
      <c r="Z5728">
        <v>-3.1253140000000001E-3</v>
      </c>
      <c r="AA5728">
        <v>0.93613659999999999</v>
      </c>
      <c r="AB5728">
        <v>29</v>
      </c>
      <c r="AC5728">
        <v>32.202199999999998</v>
      </c>
      <c r="AD5728">
        <v>-1.1583479999999999</v>
      </c>
      <c r="AE5728">
        <v>-15.374706</v>
      </c>
      <c r="AF5728">
        <v>12.5944015266417</v>
      </c>
      <c r="AG5728">
        <v>-1.1583479999999999</v>
      </c>
      <c r="AH5728">
        <v>33.3476388225316</v>
      </c>
      <c r="AI5728">
        <v>91.861187458041499</v>
      </c>
      <c r="AJ5728">
        <v>69.309955281642402</v>
      </c>
      <c r="AK5728">
        <v>35.665469784392201</v>
      </c>
      <c r="AL5728">
        <v>90.402540818775705</v>
      </c>
      <c r="AM5728">
        <v>82.473396170608794</v>
      </c>
      <c r="AN5728">
        <v>1.00000001939429</v>
      </c>
    </row>
    <row r="5729" spans="1:40" x14ac:dyDescent="0.25">
      <c r="A5729" t="str">
        <f>"20190312161429235"</f>
        <v>20190312161429235</v>
      </c>
      <c r="B5729" t="str">
        <f>"1552378469222328"</f>
        <v>1552378469222328</v>
      </c>
      <c r="C5729" t="s">
        <v>40</v>
      </c>
      <c r="D5729">
        <v>5.6381579999999998</v>
      </c>
      <c r="E5729">
        <v>0.58882970000000001</v>
      </c>
      <c r="F5729" t="s">
        <v>41</v>
      </c>
      <c r="G5729">
        <v>-293.95749999999998</v>
      </c>
      <c r="H5729">
        <v>-0.05</v>
      </c>
      <c r="I5729">
        <v>1.3592219999999999</v>
      </c>
      <c r="J5729">
        <v>-326.06189999999998</v>
      </c>
      <c r="K5729">
        <v>1.1083320000000001</v>
      </c>
      <c r="L5729">
        <v>16.780329999999999</v>
      </c>
      <c r="M5729">
        <v>0.99624420000000002</v>
      </c>
      <c r="N5729">
        <v>0</v>
      </c>
      <c r="O5729">
        <v>-8.5425570000000006E-2</v>
      </c>
      <c r="P5729">
        <v>0.97622189999999998</v>
      </c>
      <c r="Q5729">
        <v>-2.0643620000000001E-2</v>
      </c>
      <c r="R5729">
        <v>-0.21578919999999999</v>
      </c>
      <c r="S5729">
        <v>2.778381</v>
      </c>
      <c r="T5729">
        <v>-9.9773050000000002E-2</v>
      </c>
      <c r="U5729">
        <v>-1.3294979999999901</v>
      </c>
      <c r="V5729">
        <v>0.1315672</v>
      </c>
      <c r="W5729">
        <v>-7.1915549999999996E-3</v>
      </c>
      <c r="X5729">
        <v>0.99128119999999997</v>
      </c>
      <c r="Y5729">
        <v>0.3528599</v>
      </c>
      <c r="Z5729">
        <v>-3.115189E-3</v>
      </c>
      <c r="AA5729">
        <v>0.93567100000000003</v>
      </c>
      <c r="AB5729">
        <v>29</v>
      </c>
      <c r="AC5729">
        <v>32.104399999999998</v>
      </c>
      <c r="AD5729">
        <v>-1.1583319999999999</v>
      </c>
      <c r="AE5729">
        <v>-15.421107999999901</v>
      </c>
      <c r="AF5729">
        <v>12.6085783085259</v>
      </c>
      <c r="AG5729">
        <v>-1.1583319999999999</v>
      </c>
      <c r="AH5729">
        <v>33.269319347950599</v>
      </c>
      <c r="AI5729">
        <v>91.864728775921805</v>
      </c>
      <c r="AJ5729">
        <v>69.244035313248702</v>
      </c>
      <c r="AK5729">
        <v>35.5972694157905</v>
      </c>
      <c r="AL5729">
        <v>90.412049288250998</v>
      </c>
      <c r="AM5729">
        <v>82.4396393939559</v>
      </c>
      <c r="AN5729">
        <v>1.0000000320262901</v>
      </c>
    </row>
    <row r="5730" spans="1:40" x14ac:dyDescent="0.25">
      <c r="A5730" t="str">
        <f>"20190312161429246"</f>
        <v>20190312161429246</v>
      </c>
      <c r="B5730" t="str">
        <f>"1552378469241848"</f>
        <v>1552378469241848</v>
      </c>
      <c r="C5730" t="s">
        <v>40</v>
      </c>
      <c r="D5730">
        <v>5.7422360000000001</v>
      </c>
      <c r="E5730">
        <v>0.58899299999999999</v>
      </c>
      <c r="F5730" t="s">
        <v>41</v>
      </c>
      <c r="G5730">
        <v>-294.63159999999999</v>
      </c>
      <c r="H5730">
        <v>-0.05</v>
      </c>
      <c r="I5730">
        <v>1.6252439999999999</v>
      </c>
      <c r="J5730">
        <v>-325.91329999999999</v>
      </c>
      <c r="K5730">
        <v>1.1083130000000001</v>
      </c>
      <c r="L5730">
        <v>16.76642</v>
      </c>
      <c r="M5730">
        <v>0.99614170000000002</v>
      </c>
      <c r="N5730">
        <v>0</v>
      </c>
      <c r="O5730">
        <v>-8.6611170000000001E-2</v>
      </c>
      <c r="P5730">
        <v>0.9758616</v>
      </c>
      <c r="Q5730">
        <v>-2.0460969999999998E-2</v>
      </c>
      <c r="R5730">
        <v>-0.2174297</v>
      </c>
      <c r="S5730">
        <v>2.7751160000000001</v>
      </c>
      <c r="T5730">
        <v>-0.1022739</v>
      </c>
      <c r="U5730">
        <v>-1.338104</v>
      </c>
      <c r="V5730">
        <v>0.1320537</v>
      </c>
      <c r="W5730">
        <v>-7.0130619999999996E-3</v>
      </c>
      <c r="X5730">
        <v>0.99121769999999998</v>
      </c>
      <c r="Y5730">
        <v>0.35452420000000001</v>
      </c>
      <c r="Z5730">
        <v>-3.1828519999999999E-3</v>
      </c>
      <c r="AA5730">
        <v>0.93504140000000002</v>
      </c>
      <c r="AB5730">
        <v>29</v>
      </c>
      <c r="AC5730">
        <v>31.281700000000001</v>
      </c>
      <c r="AD5730">
        <v>-1.1583129999999999</v>
      </c>
      <c r="AE5730">
        <v>-15.141176</v>
      </c>
      <c r="AF5730">
        <v>12.3609198716457</v>
      </c>
      <c r="AG5730">
        <v>-1.1583129999999999</v>
      </c>
      <c r="AH5730">
        <v>32.4396163990086</v>
      </c>
      <c r="AI5730">
        <v>91.911050370228196</v>
      </c>
      <c r="AJ5730">
        <v>69.140960019014699</v>
      </c>
      <c r="AK5730">
        <v>34.734172527844102</v>
      </c>
      <c r="AL5730">
        <v>90.401822169711195</v>
      </c>
      <c r="AM5730">
        <v>82.411527929940803</v>
      </c>
      <c r="AN5730">
        <v>0.99999994575779605</v>
      </c>
    </row>
    <row r="5731" spans="1:40" x14ac:dyDescent="0.25">
      <c r="A5731" t="str">
        <f>"20190312161429259"</f>
        <v>20190312161429259</v>
      </c>
      <c r="B5731" t="str">
        <f>"1552378469252584"</f>
        <v>1552378469252584</v>
      </c>
      <c r="C5731" t="s">
        <v>40</v>
      </c>
      <c r="D5731">
        <v>5.635472</v>
      </c>
      <c r="E5731">
        <v>0.5891168</v>
      </c>
      <c r="F5731" t="s">
        <v>41</v>
      </c>
      <c r="G5731">
        <v>-295.8415</v>
      </c>
      <c r="H5731">
        <v>-0.05</v>
      </c>
      <c r="I5731">
        <v>2.191589</v>
      </c>
      <c r="J5731">
        <v>-325.76330000000002</v>
      </c>
      <c r="K5731">
        <v>1.1082939999999999</v>
      </c>
      <c r="L5731">
        <v>16.752079999999999</v>
      </c>
      <c r="M5731">
        <v>0.99603430000000004</v>
      </c>
      <c r="N5731">
        <v>0</v>
      </c>
      <c r="O5731">
        <v>-8.7836059999999994E-2</v>
      </c>
      <c r="P5731">
        <v>0.97550490000000001</v>
      </c>
      <c r="Q5731">
        <v>-2.0454569999999998E-2</v>
      </c>
      <c r="R5731">
        <v>-0.21902530000000001</v>
      </c>
      <c r="S5731">
        <v>2.772583</v>
      </c>
      <c r="T5731">
        <v>-0.1067951</v>
      </c>
      <c r="U5731">
        <v>-1.3437809999999999</v>
      </c>
      <c r="V5731">
        <v>0.1324552</v>
      </c>
      <c r="W5731">
        <v>-7.0118749999999999E-3</v>
      </c>
      <c r="X5731">
        <v>0.99116420000000005</v>
      </c>
      <c r="Y5731">
        <v>0.35524679999999997</v>
      </c>
      <c r="Z5731">
        <v>-3.2939309999999999E-3</v>
      </c>
      <c r="AA5731">
        <v>0.93476669999999995</v>
      </c>
      <c r="AB5731">
        <v>29</v>
      </c>
      <c r="AC5731">
        <v>29.921800000000001</v>
      </c>
      <c r="AD5731">
        <v>-1.1582939999999999</v>
      </c>
      <c r="AE5731">
        <v>-14.560491000000001</v>
      </c>
      <c r="AF5731">
        <v>11.861354677262399</v>
      </c>
      <c r="AG5731">
        <v>-1.1582939999999999</v>
      </c>
      <c r="AH5731">
        <v>31.047574099032701</v>
      </c>
      <c r="AI5731">
        <v>91.995972799693902</v>
      </c>
      <c r="AJ5731">
        <v>69.091240627830402</v>
      </c>
      <c r="AK5731">
        <v>33.256356342888502</v>
      </c>
      <c r="AL5731">
        <v>90.401754132584998</v>
      </c>
      <c r="AM5731">
        <v>82.388319774394503</v>
      </c>
      <c r="AN5731">
        <v>1.00000000887984</v>
      </c>
    </row>
    <row r="5732" spans="1:40" x14ac:dyDescent="0.25">
      <c r="A5732" t="str">
        <f>"20190312161429270"</f>
        <v>20190312161429270</v>
      </c>
      <c r="B5732" t="str">
        <f>"1552378469262344"</f>
        <v>1552378469262344</v>
      </c>
      <c r="C5732" t="s">
        <v>40</v>
      </c>
      <c r="D5732">
        <v>5.6494330000000001</v>
      </c>
      <c r="E5732">
        <v>0.58901789999999998</v>
      </c>
      <c r="F5732" t="s">
        <v>41</v>
      </c>
      <c r="G5732">
        <v>-296.65879999999999</v>
      </c>
      <c r="H5732">
        <v>-0.05</v>
      </c>
      <c r="I5732">
        <v>2.5783079999999998</v>
      </c>
      <c r="J5732">
        <v>-325.61529999999999</v>
      </c>
      <c r="K5732">
        <v>1.1082719999999999</v>
      </c>
      <c r="L5732">
        <v>16.737819999999999</v>
      </c>
      <c r="M5732">
        <v>0.99592599999999998</v>
      </c>
      <c r="N5732">
        <v>0</v>
      </c>
      <c r="O5732">
        <v>-8.9054889999999998E-2</v>
      </c>
      <c r="P5732">
        <v>0.97513079999999996</v>
      </c>
      <c r="Q5732">
        <v>-2.0583710000000002E-2</v>
      </c>
      <c r="R5732">
        <v>-0.22067239999999999</v>
      </c>
      <c r="S5732">
        <v>2.770111</v>
      </c>
      <c r="T5732">
        <v>-0.11024390000000001</v>
      </c>
      <c r="U5732">
        <v>-1.34903</v>
      </c>
      <c r="V5732">
        <v>0.13291520000000001</v>
      </c>
      <c r="W5732">
        <v>-7.1471829999999997E-3</v>
      </c>
      <c r="X5732">
        <v>0.99110160000000003</v>
      </c>
      <c r="Y5732">
        <v>0.35585290000000003</v>
      </c>
      <c r="Z5732">
        <v>-3.3677939999999999E-3</v>
      </c>
      <c r="AA5732">
        <v>0.93453589999999997</v>
      </c>
      <c r="AB5732">
        <v>29</v>
      </c>
      <c r="AC5732">
        <v>28.956499999999998</v>
      </c>
      <c r="AD5732">
        <v>-1.158272</v>
      </c>
      <c r="AE5732">
        <v>-14.159511999999999</v>
      </c>
      <c r="AF5732">
        <v>11.509402562700499</v>
      </c>
      <c r="AG5732">
        <v>-1.158272</v>
      </c>
      <c r="AH5732">
        <v>30.063704447090402</v>
      </c>
      <c r="AI5732">
        <v>92.0606520610621</v>
      </c>
      <c r="AJ5732">
        <v>69.051464428622097</v>
      </c>
      <c r="AK5732">
        <v>32.212330969029303</v>
      </c>
      <c r="AL5732">
        <v>90.409506925359494</v>
      </c>
      <c r="AM5732">
        <v>82.361720178374995</v>
      </c>
      <c r="AN5732">
        <v>0.99999995706921596</v>
      </c>
    </row>
    <row r="5733" spans="1:40" x14ac:dyDescent="0.25">
      <c r="A5733" t="str">
        <f>"20190312161429280"</f>
        <v>20190312161429280</v>
      </c>
      <c r="B5733" t="str">
        <f>"1552378469272104"</f>
        <v>1552378469272104</v>
      </c>
      <c r="C5733" t="s">
        <v>40</v>
      </c>
      <c r="D5733">
        <v>5.6564740000000002</v>
      </c>
      <c r="E5733">
        <v>0.58916899999999905</v>
      </c>
      <c r="F5733" t="s">
        <v>41</v>
      </c>
      <c r="G5733">
        <v>-296.50259999999997</v>
      </c>
      <c r="H5733">
        <v>-0.05</v>
      </c>
      <c r="I5733">
        <v>2.5072779999999999</v>
      </c>
      <c r="J5733">
        <v>-325.4751</v>
      </c>
      <c r="K5733">
        <v>1.108244</v>
      </c>
      <c r="L5733">
        <v>16.724060000000001</v>
      </c>
      <c r="M5733">
        <v>0.99581949999999997</v>
      </c>
      <c r="N5733">
        <v>0</v>
      </c>
      <c r="O5733">
        <v>-9.0237659999999997E-2</v>
      </c>
      <c r="P5733">
        <v>0.97472139999999996</v>
      </c>
      <c r="Q5733">
        <v>-2.0628210000000001E-2</v>
      </c>
      <c r="R5733">
        <v>-0.22246930000000001</v>
      </c>
      <c r="S5733">
        <v>2.768005</v>
      </c>
      <c r="T5733">
        <v>-0.1101274</v>
      </c>
      <c r="U5733">
        <v>-1.353027</v>
      </c>
      <c r="V5733">
        <v>0.133564299999999</v>
      </c>
      <c r="W5733">
        <v>-7.2005649999999999E-3</v>
      </c>
      <c r="X5733">
        <v>0.99101399999999995</v>
      </c>
      <c r="Y5733">
        <v>0.35611379999999998</v>
      </c>
      <c r="Z5733">
        <v>-3.326557E-3</v>
      </c>
      <c r="AA5733">
        <v>0.93443670000000001</v>
      </c>
      <c r="AB5733">
        <v>29</v>
      </c>
      <c r="AC5733">
        <v>28.9725</v>
      </c>
      <c r="AD5733">
        <v>-1.1582440000000001</v>
      </c>
      <c r="AE5733">
        <v>-14.216782</v>
      </c>
      <c r="AF5733">
        <v>11.529246377627899</v>
      </c>
      <c r="AG5733">
        <v>-1.1582440000000001</v>
      </c>
      <c r="AH5733">
        <v>30.098525566680799</v>
      </c>
      <c r="AI5733">
        <v>92.058071810682605</v>
      </c>
      <c r="AJ5733">
        <v>69.040651652781506</v>
      </c>
      <c r="AK5733">
        <v>32.251919206269299</v>
      </c>
      <c r="AL5733">
        <v>90.412565545957705</v>
      </c>
      <c r="AM5733">
        <v>82.324191374113099</v>
      </c>
      <c r="AN5733">
        <v>1.0000000092834</v>
      </c>
    </row>
    <row r="5734" spans="1:40" x14ac:dyDescent="0.25">
      <c r="A5734" t="str">
        <f>"20190312161429291"</f>
        <v>20190312161429291</v>
      </c>
      <c r="B5734" t="str">
        <f>"1552378469281864"</f>
        <v>1552378469281864</v>
      </c>
      <c r="C5734" t="s">
        <v>40</v>
      </c>
      <c r="D5734">
        <v>5.6557040000000001</v>
      </c>
      <c r="E5734">
        <v>0.58956569999999997</v>
      </c>
      <c r="F5734" t="s">
        <v>41</v>
      </c>
      <c r="G5734">
        <v>-296.05079999999998</v>
      </c>
      <c r="H5734">
        <v>-0.05</v>
      </c>
      <c r="I5734">
        <v>2.2582089999999999</v>
      </c>
      <c r="J5734">
        <v>-325.33519999999999</v>
      </c>
      <c r="K5734">
        <v>1.1082129999999999</v>
      </c>
      <c r="L5734">
        <v>16.710170000000002</v>
      </c>
      <c r="M5734">
        <v>0.99571069999999995</v>
      </c>
      <c r="N5734">
        <v>0</v>
      </c>
      <c r="O5734">
        <v>-9.1429620000000003E-2</v>
      </c>
      <c r="P5734">
        <v>0.97430280000000002</v>
      </c>
      <c r="Q5734">
        <v>-2.0887019999999999E-2</v>
      </c>
      <c r="R5734">
        <v>-0.22427240000000001</v>
      </c>
      <c r="S5734">
        <v>2.765228</v>
      </c>
      <c r="T5734">
        <v>-0.1088489</v>
      </c>
      <c r="U5734">
        <v>-1.359467</v>
      </c>
      <c r="V5734">
        <v>0.1342102</v>
      </c>
      <c r="W5734">
        <v>-7.4687030000000001E-3</v>
      </c>
      <c r="X5734">
        <v>0.99092469999999999</v>
      </c>
      <c r="Y5734">
        <v>0.35712319999999997</v>
      </c>
      <c r="Z5734">
        <v>-3.2644340000000001E-3</v>
      </c>
      <c r="AA5734">
        <v>0.93405159999999998</v>
      </c>
      <c r="AB5734">
        <v>29</v>
      </c>
      <c r="AC5734">
        <v>29.284400000000002</v>
      </c>
      <c r="AD5734">
        <v>-1.1582129999999999</v>
      </c>
      <c r="AE5734">
        <v>-14.451960999999899</v>
      </c>
      <c r="AF5734">
        <v>11.6989708994643</v>
      </c>
      <c r="AG5734">
        <v>-1.1582129999999999</v>
      </c>
      <c r="AH5734">
        <v>30.4448924949541</v>
      </c>
      <c r="AI5734">
        <v>92.033795648811306</v>
      </c>
      <c r="AJ5734">
        <v>68.979874115069194</v>
      </c>
      <c r="AK5734">
        <v>32.635852317492699</v>
      </c>
      <c r="AL5734">
        <v>90.427929155859303</v>
      </c>
      <c r="AM5734">
        <v>82.286831180306194</v>
      </c>
      <c r="AN5734">
        <v>0.99999996018931503</v>
      </c>
    </row>
    <row r="5735" spans="1:40" x14ac:dyDescent="0.25">
      <c r="A5735" t="str">
        <f>"20190312161429301"</f>
        <v>20190312161429301</v>
      </c>
      <c r="B5735" t="str">
        <f>"1552378469292600"</f>
        <v>1552378469292600</v>
      </c>
      <c r="C5735" t="s">
        <v>40</v>
      </c>
      <c r="D5735">
        <v>5.6086769999999904</v>
      </c>
      <c r="E5735">
        <v>0.58979619999999999</v>
      </c>
      <c r="F5735" t="s">
        <v>41</v>
      </c>
      <c r="G5735">
        <v>-296.80860000000001</v>
      </c>
      <c r="H5735">
        <v>-0.05</v>
      </c>
      <c r="I5735">
        <v>2.5852659999999998</v>
      </c>
      <c r="J5735">
        <v>-325.19670000000002</v>
      </c>
      <c r="K5735">
        <v>1.108187</v>
      </c>
      <c r="L5735">
        <v>16.69623</v>
      </c>
      <c r="M5735">
        <v>0.99559960000000003</v>
      </c>
      <c r="N5735">
        <v>0</v>
      </c>
      <c r="O5735">
        <v>-9.2631619999999998E-2</v>
      </c>
      <c r="P5735">
        <v>0.9738945</v>
      </c>
      <c r="Q5735">
        <v>-2.0983669999999999E-2</v>
      </c>
      <c r="R5735">
        <v>-0.22602990000000001</v>
      </c>
      <c r="S5735">
        <v>2.7619020000000001</v>
      </c>
      <c r="T5735">
        <v>-0.1121365</v>
      </c>
      <c r="U5735">
        <v>-1.3675539999999999</v>
      </c>
      <c r="V5735">
        <v>0.134800799999999</v>
      </c>
      <c r="W5735">
        <v>-7.5749669999999898E-3</v>
      </c>
      <c r="X5735">
        <v>0.99084380000000005</v>
      </c>
      <c r="Y5735">
        <v>0.35862919999999998</v>
      </c>
      <c r="Z5735">
        <v>-3.3480559999999999E-3</v>
      </c>
      <c r="AA5735">
        <v>0.93347409999999997</v>
      </c>
      <c r="AB5735">
        <v>29</v>
      </c>
      <c r="AC5735">
        <v>28.388100000000001</v>
      </c>
      <c r="AD5735">
        <v>-1.1581870000000001</v>
      </c>
      <c r="AE5735">
        <v>-14.110963999999999</v>
      </c>
      <c r="AF5735">
        <v>11.4051585174543</v>
      </c>
      <c r="AG5735">
        <v>-1.1581870000000001</v>
      </c>
      <c r="AH5735">
        <v>29.5338526639914</v>
      </c>
      <c r="AI5735">
        <v>92.0950923726203</v>
      </c>
      <c r="AJ5735">
        <v>68.884815736785399</v>
      </c>
      <c r="AK5735">
        <v>31.680711657309399</v>
      </c>
      <c r="AL5735">
        <v>90.434017774201706</v>
      </c>
      <c r="AM5735">
        <v>82.252675361307098</v>
      </c>
      <c r="AN5735">
        <v>1.00000003590206</v>
      </c>
    </row>
    <row r="5736" spans="1:40" x14ac:dyDescent="0.25">
      <c r="A5736" t="str">
        <f>"20190312161429312"</f>
        <v>20190312161429312</v>
      </c>
      <c r="B5736" t="str">
        <f>"1552378469302361"</f>
        <v>1552378469302361</v>
      </c>
      <c r="C5736" t="s">
        <v>40</v>
      </c>
      <c r="D5736">
        <v>5.6111420000000001</v>
      </c>
      <c r="E5736">
        <v>0.59006349999999996</v>
      </c>
      <c r="F5736" t="s">
        <v>41</v>
      </c>
      <c r="G5736">
        <v>-297.0308</v>
      </c>
      <c r="H5736">
        <v>-0.05</v>
      </c>
      <c r="I5736">
        <v>2.6682429999999999</v>
      </c>
      <c r="J5736">
        <v>-325.07420000000002</v>
      </c>
      <c r="K5736">
        <v>1.108163</v>
      </c>
      <c r="L5736">
        <v>16.683779999999999</v>
      </c>
      <c r="M5736">
        <v>0.99549869999999996</v>
      </c>
      <c r="N5736">
        <v>0</v>
      </c>
      <c r="O5736">
        <v>-9.3707079999999998E-2</v>
      </c>
      <c r="P5736">
        <v>0.9735608</v>
      </c>
      <c r="Q5736">
        <v>-2.0718400000000001E-2</v>
      </c>
      <c r="R5736">
        <v>-0.2274871</v>
      </c>
      <c r="S5736">
        <v>2.759064</v>
      </c>
      <c r="T5736">
        <v>-0.1134529</v>
      </c>
      <c r="U5736">
        <v>-1.3741460000000001</v>
      </c>
      <c r="V5736">
        <v>0.13521349999999999</v>
      </c>
      <c r="W5736">
        <v>-7.3176909999999899E-3</v>
      </c>
      <c r="X5736">
        <v>0.99078949999999999</v>
      </c>
      <c r="Y5736">
        <v>0.35978670000000001</v>
      </c>
      <c r="Z5736">
        <v>-3.3701479999999999E-3</v>
      </c>
      <c r="AA5736">
        <v>0.93302850000000004</v>
      </c>
      <c r="AB5736">
        <v>29</v>
      </c>
      <c r="AC5736">
        <v>28.043399999999998</v>
      </c>
      <c r="AD5736">
        <v>-1.1581629999999901</v>
      </c>
      <c r="AE5736">
        <v>-14.015536999999901</v>
      </c>
      <c r="AF5736">
        <v>11.3102884432179</v>
      </c>
      <c r="AG5736">
        <v>-1.1581629999999901</v>
      </c>
      <c r="AH5736">
        <v>29.1936249020535</v>
      </c>
      <c r="AI5736">
        <v>92.118551956313297</v>
      </c>
      <c r="AJ5736">
        <v>68.822474966025098</v>
      </c>
      <c r="AK5736">
        <v>31.329406332153098</v>
      </c>
      <c r="AL5736">
        <v>90.419276536885306</v>
      </c>
      <c r="AM5736">
        <v>82.228825191545198</v>
      </c>
      <c r="AN5736">
        <v>1.00000003624703</v>
      </c>
    </row>
    <row r="5737" spans="1:40" x14ac:dyDescent="0.25">
      <c r="A5737" t="str">
        <f>"20190312161429321"</f>
        <v>20190312161429321</v>
      </c>
      <c r="B5737" t="str">
        <f>"1552378469312120"</f>
        <v>1552378469312120</v>
      </c>
      <c r="C5737" t="s">
        <v>40</v>
      </c>
      <c r="D5737">
        <v>5.6073170000000001</v>
      </c>
      <c r="E5737">
        <v>0.59030300000000002</v>
      </c>
      <c r="F5737" t="s">
        <v>41</v>
      </c>
      <c r="G5737">
        <v>-296.85480000000001</v>
      </c>
      <c r="H5737">
        <v>-0.05</v>
      </c>
      <c r="I5737">
        <v>2.5496669999999999</v>
      </c>
      <c r="J5737">
        <v>-324.93869999999998</v>
      </c>
      <c r="K5737">
        <v>1.1081350000000001</v>
      </c>
      <c r="L5737">
        <v>16.66977</v>
      </c>
      <c r="M5737">
        <v>0.99538409999999999</v>
      </c>
      <c r="N5737">
        <v>0</v>
      </c>
      <c r="O5737">
        <v>-9.4918279999999994E-2</v>
      </c>
      <c r="P5737">
        <v>0.97316990000000003</v>
      </c>
      <c r="Q5737">
        <v>-2.0635919999999999E-2</v>
      </c>
      <c r="R5737">
        <v>-0.22916149999999999</v>
      </c>
      <c r="S5737">
        <v>2.7564700000000002</v>
      </c>
      <c r="T5737">
        <v>-0.1131289</v>
      </c>
      <c r="U5737">
        <v>-1.3806149999999999</v>
      </c>
      <c r="V5737">
        <v>0.135712</v>
      </c>
      <c r="W5737">
        <v>-7.2448579999999999E-3</v>
      </c>
      <c r="X5737">
        <v>0.99072179999999999</v>
      </c>
      <c r="Y5737">
        <v>0.3607552</v>
      </c>
      <c r="Z5737">
        <v>-3.3343029999999998E-3</v>
      </c>
      <c r="AA5737">
        <v>0.9326546</v>
      </c>
      <c r="AB5737">
        <v>29</v>
      </c>
      <c r="AC5737">
        <v>28.0838999999999</v>
      </c>
      <c r="AD5737">
        <v>-1.1581349999999999</v>
      </c>
      <c r="AE5737">
        <v>-14.120103</v>
      </c>
      <c r="AF5737">
        <v>11.3749544274554</v>
      </c>
      <c r="AG5737">
        <v>-1.1581349999999999</v>
      </c>
      <c r="AH5737">
        <v>29.257752112071</v>
      </c>
      <c r="AI5737">
        <v>92.112892329035006</v>
      </c>
      <c r="AJ5737">
        <v>68.754700380136001</v>
      </c>
      <c r="AK5737">
        <v>31.4125281306091</v>
      </c>
      <c r="AL5737">
        <v>90.415103434571805</v>
      </c>
      <c r="AM5737">
        <v>82.200000302763598</v>
      </c>
      <c r="AN5737">
        <v>0.99999995995333901</v>
      </c>
    </row>
    <row r="5738" spans="1:40" x14ac:dyDescent="0.25">
      <c r="A5738" t="str">
        <f>"20190312161429332"</f>
        <v>20190312161429332</v>
      </c>
      <c r="B5738" t="str">
        <f>"1552378469321880"</f>
        <v>1552378469321880</v>
      </c>
      <c r="C5738" t="s">
        <v>40</v>
      </c>
      <c r="D5738">
        <v>5.5871700000000004</v>
      </c>
      <c r="E5738">
        <v>0.5904855</v>
      </c>
      <c r="F5738" t="s">
        <v>41</v>
      </c>
      <c r="G5738">
        <v>-296.62909999999999</v>
      </c>
      <c r="H5738">
        <v>-0.05</v>
      </c>
      <c r="I5738">
        <v>2.4098510000000002</v>
      </c>
      <c r="J5738">
        <v>-324.80360000000002</v>
      </c>
      <c r="K5738">
        <v>1.108107</v>
      </c>
      <c r="L5738">
        <v>16.655639999999998</v>
      </c>
      <c r="M5738">
        <v>0.99526669999999995</v>
      </c>
      <c r="N5738">
        <v>0</v>
      </c>
      <c r="O5738">
        <v>-9.6141409999999997E-2</v>
      </c>
      <c r="P5738">
        <v>0.97279490000000002</v>
      </c>
      <c r="Q5738">
        <v>-2.0517839999999999E-2</v>
      </c>
      <c r="R5738">
        <v>-0.23075870000000001</v>
      </c>
      <c r="S5738">
        <v>2.7536619999999998</v>
      </c>
      <c r="T5738">
        <v>-0.1126511</v>
      </c>
      <c r="U5738">
        <v>-1.387054</v>
      </c>
      <c r="V5738">
        <v>0.13612070000000001</v>
      </c>
      <c r="W5738">
        <v>-7.1361389999999997E-3</v>
      </c>
      <c r="X5738">
        <v>0.99066659999999995</v>
      </c>
      <c r="Y5738">
        <v>0.36173240000000001</v>
      </c>
      <c r="Z5738">
        <v>-3.2940560000000001E-3</v>
      </c>
      <c r="AA5738">
        <v>0.93227610000000005</v>
      </c>
      <c r="AB5738">
        <v>29</v>
      </c>
      <c r="AC5738">
        <v>28.174499999999998</v>
      </c>
      <c r="AD5738">
        <v>-1.158107</v>
      </c>
      <c r="AE5738">
        <v>-14.245788999999901</v>
      </c>
      <c r="AF5738">
        <v>11.4553620250688</v>
      </c>
      <c r="AG5738">
        <v>-1.158107</v>
      </c>
      <c r="AH5738">
        <v>29.374182817292098</v>
      </c>
      <c r="AI5738">
        <v>92.103623828181597</v>
      </c>
      <c r="AJ5738">
        <v>68.695180190361597</v>
      </c>
      <c r="AK5738">
        <v>31.550105342653499</v>
      </c>
      <c r="AL5738">
        <v>90.408874100328305</v>
      </c>
      <c r="AM5738">
        <v>82.176370340815694</v>
      </c>
      <c r="AN5738">
        <v>1.0000000409019301</v>
      </c>
    </row>
    <row r="5739" spans="1:40" x14ac:dyDescent="0.25">
      <c r="A5739" t="str">
        <f>"20190312161429342"</f>
        <v>20190312161429342</v>
      </c>
      <c r="B5739" t="str">
        <f>"1552378469332618"</f>
        <v>1552378469332618</v>
      </c>
      <c r="C5739" t="s">
        <v>40</v>
      </c>
      <c r="D5739">
        <v>5.679182</v>
      </c>
      <c r="E5739">
        <v>0.59067979999999998</v>
      </c>
      <c r="F5739" t="s">
        <v>41</v>
      </c>
      <c r="G5739">
        <v>-296.42410000000001</v>
      </c>
      <c r="H5739">
        <v>-0.05</v>
      </c>
      <c r="I5739">
        <v>2.2857970000000001</v>
      </c>
      <c r="J5739">
        <v>-324.666</v>
      </c>
      <c r="K5739">
        <v>1.1080810000000001</v>
      </c>
      <c r="L5739">
        <v>16.64105</v>
      </c>
      <c r="M5739">
        <v>0.99514320000000001</v>
      </c>
      <c r="N5739">
        <v>0</v>
      </c>
      <c r="O5739">
        <v>-9.7409259999999998E-2</v>
      </c>
      <c r="P5739">
        <v>0.97242960000000001</v>
      </c>
      <c r="Q5739">
        <v>-2.0674519999999998E-2</v>
      </c>
      <c r="R5739">
        <v>-0.23227880000000001</v>
      </c>
      <c r="S5739">
        <v>2.751099</v>
      </c>
      <c r="T5739">
        <v>-0.1122663</v>
      </c>
      <c r="U5739">
        <v>-1.3930049999999901</v>
      </c>
      <c r="V5739">
        <v>0.13640579999999999</v>
      </c>
      <c r="W5739">
        <v>-7.3019560000000001E-3</v>
      </c>
      <c r="X5739">
        <v>0.99062620000000001</v>
      </c>
      <c r="Y5739">
        <v>0.36250169999999998</v>
      </c>
      <c r="Z5739">
        <v>-3.2508720000000001E-3</v>
      </c>
      <c r="AA5739">
        <v>0.93197750000000001</v>
      </c>
      <c r="AB5739">
        <v>29</v>
      </c>
      <c r="AC5739">
        <v>28.241899999999902</v>
      </c>
      <c r="AD5739">
        <v>-1.1580809999999999</v>
      </c>
      <c r="AE5739">
        <v>-14.355252999999999</v>
      </c>
      <c r="AF5739">
        <v>11.5202779845521</v>
      </c>
      <c r="AG5739">
        <v>-1.1580809999999999</v>
      </c>
      <c r="AH5739">
        <v>29.466666981228499</v>
      </c>
      <c r="AI5739">
        <v>92.096285402930803</v>
      </c>
      <c r="AJ5739">
        <v>68.646506664200601</v>
      </c>
      <c r="AK5739">
        <v>31.6597918411751</v>
      </c>
      <c r="AL5739">
        <v>90.418374951927404</v>
      </c>
      <c r="AM5739">
        <v>82.159871831677194</v>
      </c>
      <c r="AN5739">
        <v>1.0000000644807501</v>
      </c>
    </row>
    <row r="5740" spans="1:40" x14ac:dyDescent="0.25">
      <c r="A5740" t="str">
        <f>"20190312161429355"</f>
        <v>20190312161429355</v>
      </c>
      <c r="B5740" t="str">
        <f>"1552378469342376"</f>
        <v>1552378469342376</v>
      </c>
      <c r="C5740" t="s">
        <v>40</v>
      </c>
      <c r="D5740">
        <v>5.6651600000000002</v>
      </c>
      <c r="E5740">
        <v>0.59083280000000005</v>
      </c>
      <c r="F5740" t="s">
        <v>41</v>
      </c>
      <c r="G5740">
        <v>-295.91480000000001</v>
      </c>
      <c r="H5740">
        <v>-0.05</v>
      </c>
      <c r="I5740">
        <v>2.0084689999999998</v>
      </c>
      <c r="J5740">
        <v>-324.52269999999999</v>
      </c>
      <c r="K5740">
        <v>1.108052</v>
      </c>
      <c r="L5740">
        <v>16.62567</v>
      </c>
      <c r="M5740">
        <v>0.99501090000000003</v>
      </c>
      <c r="N5740">
        <v>0</v>
      </c>
      <c r="O5740">
        <v>-9.875225E-2</v>
      </c>
      <c r="P5740">
        <v>0.97198980000000001</v>
      </c>
      <c r="Q5740">
        <v>-2.0654369999999998E-2</v>
      </c>
      <c r="R5740">
        <v>-0.2341133</v>
      </c>
      <c r="S5740">
        <v>2.748535</v>
      </c>
      <c r="T5740">
        <v>-0.11070919999999999</v>
      </c>
      <c r="U5740">
        <v>-1.3988339999999999</v>
      </c>
      <c r="V5740">
        <v>0.1369378</v>
      </c>
      <c r="W5740">
        <v>-7.293234E-3</v>
      </c>
      <c r="X5740">
        <v>0.99055280000000001</v>
      </c>
      <c r="Y5740">
        <v>0.3631703</v>
      </c>
      <c r="Z5740">
        <v>-3.1696160000000001E-3</v>
      </c>
      <c r="AA5740">
        <v>0.93171740000000003</v>
      </c>
      <c r="AB5740">
        <v>29</v>
      </c>
      <c r="AC5740">
        <v>28.607899999999901</v>
      </c>
      <c r="AD5740">
        <v>-1.1580520000000001</v>
      </c>
      <c r="AE5740">
        <v>-14.617201</v>
      </c>
      <c r="AF5740">
        <v>11.705149806002799</v>
      </c>
      <c r="AG5740">
        <v>-1.1580520000000001</v>
      </c>
      <c r="AH5740">
        <v>29.872847628459901</v>
      </c>
      <c r="AI5740">
        <v>92.067143544396998</v>
      </c>
      <c r="AJ5740">
        <v>68.603144386910799</v>
      </c>
      <c r="AK5740">
        <v>32.105118623809098</v>
      </c>
      <c r="AL5740">
        <v>90.417875231408004</v>
      </c>
      <c r="AM5740">
        <v>82.129100908945205</v>
      </c>
      <c r="AN5740">
        <v>1.0000000009594201</v>
      </c>
    </row>
    <row r="5741" spans="1:40" x14ac:dyDescent="0.25">
      <c r="A5741" t="str">
        <f>"20190312161429365"</f>
        <v>20190312161429365</v>
      </c>
      <c r="B5741" t="str">
        <f>"1552378469361896"</f>
        <v>1552378469361896</v>
      </c>
      <c r="C5741" t="s">
        <v>40</v>
      </c>
      <c r="D5741">
        <v>5.62887</v>
      </c>
      <c r="E5741">
        <v>0.59121499999999905</v>
      </c>
      <c r="F5741" t="s">
        <v>41</v>
      </c>
      <c r="G5741">
        <v>-295.44439999999997</v>
      </c>
      <c r="H5741">
        <v>-0.05</v>
      </c>
      <c r="I5741">
        <v>1.743744</v>
      </c>
      <c r="J5741">
        <v>-324.37509999999997</v>
      </c>
      <c r="K5741">
        <v>1.1080209999999999</v>
      </c>
      <c r="L5741">
        <v>16.60962</v>
      </c>
      <c r="M5741">
        <v>0.9948707</v>
      </c>
      <c r="N5741">
        <v>0</v>
      </c>
      <c r="O5741">
        <v>-0.1001547</v>
      </c>
      <c r="P5741">
        <v>0.97154529999999995</v>
      </c>
      <c r="Q5741">
        <v>-2.072719E-2</v>
      </c>
      <c r="R5741">
        <v>-0.2359453</v>
      </c>
      <c r="S5741">
        <v>2.7456360000000002</v>
      </c>
      <c r="T5741">
        <v>-0.1093457</v>
      </c>
      <c r="U5741">
        <v>-1.4051819999999999</v>
      </c>
      <c r="V5741">
        <v>0.1374078</v>
      </c>
      <c r="W5741">
        <v>-7.3776040000000003E-3</v>
      </c>
      <c r="X5741">
        <v>0.99048709999999995</v>
      </c>
      <c r="Y5741">
        <v>0.3639675</v>
      </c>
      <c r="Z5741">
        <v>-3.0952699999999998E-3</v>
      </c>
      <c r="AA5741">
        <v>0.93140650000000003</v>
      </c>
      <c r="AB5741">
        <v>29</v>
      </c>
      <c r="AC5741">
        <v>28.930700000000002</v>
      </c>
      <c r="AD5741">
        <v>-1.158021</v>
      </c>
      <c r="AE5741">
        <v>-14.865876</v>
      </c>
      <c r="AF5741">
        <v>11.878220251228001</v>
      </c>
      <c r="AG5741">
        <v>-1.158021</v>
      </c>
      <c r="AH5741">
        <v>30.235916073653701</v>
      </c>
      <c r="AI5741">
        <v>92.041581296610303</v>
      </c>
      <c r="AJ5741">
        <v>68.5525515263665</v>
      </c>
      <c r="AK5741">
        <v>32.506057124575399</v>
      </c>
      <c r="AL5741">
        <v>90.4227094009117</v>
      </c>
      <c r="AM5741">
        <v>82.101909353138893</v>
      </c>
      <c r="AN5741">
        <v>1.0000000139040099</v>
      </c>
    </row>
    <row r="5742" spans="1:40" x14ac:dyDescent="0.25">
      <c r="A5742" t="str">
        <f>"20190312161429377"</f>
        <v>20190312161429377</v>
      </c>
      <c r="B5742" t="str">
        <f>"1552378469372631"</f>
        <v>1552378469372631</v>
      </c>
      <c r="C5742" t="s">
        <v>40</v>
      </c>
      <c r="D5742">
        <v>5.7045870000000001</v>
      </c>
      <c r="E5742">
        <v>0.59139849999999905</v>
      </c>
      <c r="F5742" t="s">
        <v>41</v>
      </c>
      <c r="G5742">
        <v>-295.59649999999999</v>
      </c>
      <c r="H5742">
        <v>-0.05</v>
      </c>
      <c r="I5742">
        <v>1.7785340000000001</v>
      </c>
      <c r="J5742">
        <v>-324.2303</v>
      </c>
      <c r="K5742">
        <v>1.10799</v>
      </c>
      <c r="L5742">
        <v>16.59357</v>
      </c>
      <c r="M5742">
        <v>0.99472780000000005</v>
      </c>
      <c r="N5742">
        <v>0</v>
      </c>
      <c r="O5742">
        <v>-0.1015625</v>
      </c>
      <c r="P5742">
        <v>0.9711109</v>
      </c>
      <c r="Q5742">
        <v>-2.0939240000000001E-2</v>
      </c>
      <c r="R5742">
        <v>-0.23770849999999999</v>
      </c>
      <c r="S5742">
        <v>2.74234</v>
      </c>
      <c r="T5742">
        <v>-0.1103489</v>
      </c>
      <c r="U5742">
        <v>-1.4132690000000001</v>
      </c>
      <c r="V5742">
        <v>0.1378026</v>
      </c>
      <c r="W5742">
        <v>-7.6008289999999999E-3</v>
      </c>
      <c r="X5742">
        <v>0.99043049999999999</v>
      </c>
      <c r="Y5742">
        <v>0.36527290000000001</v>
      </c>
      <c r="Z5742">
        <v>-3.0974010000000001E-3</v>
      </c>
      <c r="AA5742">
        <v>0.93089529999999998</v>
      </c>
      <c r="AB5742">
        <v>29</v>
      </c>
      <c r="AC5742">
        <v>28.633800000000001</v>
      </c>
      <c r="AD5742">
        <v>-1.1579899999999901</v>
      </c>
      <c r="AE5742">
        <v>-14.815035999999999</v>
      </c>
      <c r="AF5742">
        <v>11.814758108959801</v>
      </c>
      <c r="AG5742">
        <v>-1.1579899999999901</v>
      </c>
      <c r="AH5742">
        <v>29.951871132550899</v>
      </c>
      <c r="AI5742">
        <v>92.059743308157906</v>
      </c>
      <c r="AJ5742">
        <v>68.472843221367697</v>
      </c>
      <c r="AK5742">
        <v>32.218690761020497</v>
      </c>
      <c r="AL5742">
        <v>90.4354996366894</v>
      </c>
      <c r="AM5742">
        <v>82.079057275936094</v>
      </c>
      <c r="AN5742">
        <v>0.99999995224924698</v>
      </c>
    </row>
    <row r="5743" spans="1:40" x14ac:dyDescent="0.25">
      <c r="A5743" t="str">
        <f>"20190312161429389"</f>
        <v>20190312161429389</v>
      </c>
      <c r="B5743" t="str">
        <f>"1552378469382392"</f>
        <v>1552378469382392</v>
      </c>
      <c r="C5743" t="s">
        <v>40</v>
      </c>
      <c r="D5743">
        <v>5.7873299999999999</v>
      </c>
      <c r="E5743">
        <v>0.59133049999999998</v>
      </c>
      <c r="F5743" t="s">
        <v>41</v>
      </c>
      <c r="G5743">
        <v>-295.30239999999998</v>
      </c>
      <c r="H5743">
        <v>-0.05</v>
      </c>
      <c r="I5743">
        <v>1.599442</v>
      </c>
      <c r="J5743">
        <v>-324.0797</v>
      </c>
      <c r="K5743">
        <v>1.107961</v>
      </c>
      <c r="L5743">
        <v>16.576750000000001</v>
      </c>
      <c r="M5743">
        <v>0.99457600000000002</v>
      </c>
      <c r="N5743">
        <v>0</v>
      </c>
      <c r="O5743">
        <v>-0.1030389</v>
      </c>
      <c r="P5743">
        <v>0.97068189999999999</v>
      </c>
      <c r="Q5743">
        <v>-2.0968190000000001E-2</v>
      </c>
      <c r="R5743">
        <v>-0.23945179999999999</v>
      </c>
      <c r="S5743">
        <v>2.7393190000000001</v>
      </c>
      <c r="T5743">
        <v>-0.1096553</v>
      </c>
      <c r="U5743">
        <v>-1.419861</v>
      </c>
      <c r="V5743">
        <v>0.13810999999999901</v>
      </c>
      <c r="W5743">
        <v>-7.6408400000000003E-3</v>
      </c>
      <c r="X5743">
        <v>0.99038740000000003</v>
      </c>
      <c r="Y5743">
        <v>0.36607889999999998</v>
      </c>
      <c r="Z5743">
        <v>-3.0399659999999998E-3</v>
      </c>
      <c r="AA5743">
        <v>0.93057880000000004</v>
      </c>
      <c r="AB5743">
        <v>29</v>
      </c>
      <c r="AC5743">
        <v>28.7773</v>
      </c>
      <c r="AD5743">
        <v>-1.157961</v>
      </c>
      <c r="AE5743">
        <v>-14.977307999999899</v>
      </c>
      <c r="AF5743">
        <v>11.916909656694401</v>
      </c>
      <c r="AG5743">
        <v>-1.157961</v>
      </c>
      <c r="AH5743">
        <v>30.129111892152601</v>
      </c>
      <c r="AI5743">
        <v>92.046837737478597</v>
      </c>
      <c r="AJ5743">
        <v>68.419811906253898</v>
      </c>
      <c r="AK5743">
        <v>32.4209344845763</v>
      </c>
      <c r="AL5743">
        <v>90.437792153397496</v>
      </c>
      <c r="AM5743">
        <v>82.061271767435699</v>
      </c>
      <c r="AN5743">
        <v>0.999999978307332</v>
      </c>
    </row>
    <row r="5744" spans="1:40" x14ac:dyDescent="0.25">
      <c r="A5744" t="str">
        <f>"20190312161429400"</f>
        <v>20190312161429400</v>
      </c>
      <c r="B5744" t="str">
        <f>"1552378469392151"</f>
        <v>1552378469392151</v>
      </c>
      <c r="C5744" t="s">
        <v>40</v>
      </c>
      <c r="D5744">
        <v>5.7121510000000004</v>
      </c>
      <c r="E5744">
        <v>0.59153610000000001</v>
      </c>
      <c r="F5744" t="s">
        <v>41</v>
      </c>
      <c r="G5744">
        <v>-296.8553</v>
      </c>
      <c r="H5744">
        <v>-0.05</v>
      </c>
      <c r="I5744">
        <v>2.4125369999999999</v>
      </c>
      <c r="J5744">
        <v>-323.91840000000002</v>
      </c>
      <c r="K5744">
        <v>1.107926</v>
      </c>
      <c r="L5744">
        <v>16.55829</v>
      </c>
      <c r="M5744">
        <v>0.99440620000000002</v>
      </c>
      <c r="N5744">
        <v>0</v>
      </c>
      <c r="O5744">
        <v>-0.1046647</v>
      </c>
      <c r="P5744">
        <v>0.97017509999999996</v>
      </c>
      <c r="Q5744">
        <v>-2.102658E-2</v>
      </c>
      <c r="R5744">
        <v>-0.24149219999999999</v>
      </c>
      <c r="S5744">
        <v>2.736847</v>
      </c>
      <c r="T5744">
        <v>-0.1164091</v>
      </c>
      <c r="U5744">
        <v>-1.4239200000000001</v>
      </c>
      <c r="V5744">
        <v>0.13857259999999999</v>
      </c>
      <c r="W5744">
        <v>-7.712623E-3</v>
      </c>
      <c r="X5744">
        <v>0.99032220000000004</v>
      </c>
      <c r="Y5744">
        <v>0.36596820000000002</v>
      </c>
      <c r="Z5744">
        <v>-3.1625619999999998E-3</v>
      </c>
      <c r="AA5744">
        <v>0.93062199999999995</v>
      </c>
      <c r="AB5744">
        <v>29</v>
      </c>
      <c r="AC5744">
        <v>27.063099999999999</v>
      </c>
      <c r="AD5744">
        <v>-1.157926</v>
      </c>
      <c r="AE5744">
        <v>-14.145752999999999</v>
      </c>
      <c r="AF5744">
        <v>11.219074786774099</v>
      </c>
      <c r="AG5744">
        <v>-1.157926</v>
      </c>
      <c r="AH5744">
        <v>28.354369286679301</v>
      </c>
      <c r="AI5744">
        <v>92.174659175090198</v>
      </c>
      <c r="AJ5744">
        <v>68.412603317747497</v>
      </c>
      <c r="AK5744">
        <v>30.515220617555599</v>
      </c>
      <c r="AL5744">
        <v>90.441905147959602</v>
      </c>
      <c r="AM5744">
        <v>82.034504006351398</v>
      </c>
      <c r="AN5744">
        <v>0.99999995491856897</v>
      </c>
    </row>
    <row r="5745" spans="1:40" x14ac:dyDescent="0.25">
      <c r="A5745" t="str">
        <f>"20190312161429423"</f>
        <v>20190312161429423</v>
      </c>
      <c r="B5745" t="str">
        <f>"1552378469411671"</f>
        <v>1552378469411671</v>
      </c>
      <c r="C5745" t="s">
        <v>40</v>
      </c>
      <c r="D5745">
        <v>5.8001969999999998</v>
      </c>
      <c r="E5745">
        <v>0.591246099999999</v>
      </c>
      <c r="F5745" t="s">
        <v>41</v>
      </c>
      <c r="G5745">
        <v>-296.43959999999998</v>
      </c>
      <c r="H5745">
        <v>-0.05</v>
      </c>
      <c r="I5745">
        <v>2.1700439999999999</v>
      </c>
      <c r="J5745">
        <v>-323.64299999999997</v>
      </c>
      <c r="K5745">
        <v>1.1078680000000001</v>
      </c>
      <c r="L5745">
        <v>16.526250000000001</v>
      </c>
      <c r="M5745">
        <v>0.99410480000000001</v>
      </c>
      <c r="N5745">
        <v>0</v>
      </c>
      <c r="O5745">
        <v>-0.10749</v>
      </c>
      <c r="P5745">
        <v>0.9693695</v>
      </c>
      <c r="Q5745">
        <v>-2.101517E-2</v>
      </c>
      <c r="R5745">
        <v>-0.2447077</v>
      </c>
      <c r="S5745">
        <v>2.7334589999999999</v>
      </c>
      <c r="T5745">
        <v>-0.115185</v>
      </c>
      <c r="U5745">
        <v>-1.4312739999999999</v>
      </c>
      <c r="V5745">
        <v>0.13904059999999999</v>
      </c>
      <c r="W5745">
        <v>-7.7217129999999998E-3</v>
      </c>
      <c r="X5745">
        <v>0.99025660000000004</v>
      </c>
      <c r="Y5745">
        <v>0.36576920000000002</v>
      </c>
      <c r="Z5745">
        <v>-3.0172350000000001E-3</v>
      </c>
      <c r="AA5745">
        <v>0.93070070000000005</v>
      </c>
      <c r="AB5745">
        <v>29</v>
      </c>
      <c r="AC5745">
        <v>27.203399999999899</v>
      </c>
      <c r="AD5745">
        <v>-1.1578679999999999</v>
      </c>
      <c r="AE5745">
        <v>-14.356206</v>
      </c>
      <c r="AF5745">
        <v>11.332565299139899</v>
      </c>
      <c r="AG5745">
        <v>-1.1578679999999999</v>
      </c>
      <c r="AH5745">
        <v>28.548606932511301</v>
      </c>
      <c r="AI5745">
        <v>92.158821100176993</v>
      </c>
      <c r="AJ5745">
        <v>68.349057727166795</v>
      </c>
      <c r="AK5745">
        <v>30.737447069523</v>
      </c>
      <c r="AL5745">
        <v>90.442425951753606</v>
      </c>
      <c r="AM5745">
        <v>82.007426632595596</v>
      </c>
      <c r="AN5745">
        <v>1.0000000235717801</v>
      </c>
    </row>
    <row r="5746" spans="1:40" x14ac:dyDescent="0.25">
      <c r="A5746" t="str">
        <f>"20190312161429436"</f>
        <v>20190312161429436</v>
      </c>
      <c r="B5746" t="str">
        <f>"1552378469422408"</f>
        <v>1552378469422408</v>
      </c>
      <c r="C5746" t="s">
        <v>40</v>
      </c>
      <c r="D5746">
        <v>5.8835300000000004</v>
      </c>
      <c r="E5746">
        <v>0.59118000000000004</v>
      </c>
      <c r="F5746" t="s">
        <v>41</v>
      </c>
      <c r="G5746">
        <v>-298.16899999999998</v>
      </c>
      <c r="H5746">
        <v>-0.05</v>
      </c>
      <c r="I5746">
        <v>3.1063079999999998</v>
      </c>
      <c r="J5746">
        <v>-323.48200000000003</v>
      </c>
      <c r="K5746">
        <v>1.107836</v>
      </c>
      <c r="L5746">
        <v>16.507079999999998</v>
      </c>
      <c r="M5746">
        <v>0.99392040000000004</v>
      </c>
      <c r="N5746">
        <v>0</v>
      </c>
      <c r="O5746">
        <v>-0.10918070000000001</v>
      </c>
      <c r="P5746">
        <v>0.96884630000000005</v>
      </c>
      <c r="Q5746">
        <v>-2.1302640000000001E-2</v>
      </c>
      <c r="R5746">
        <v>-0.24674499999999999</v>
      </c>
      <c r="S5746">
        <v>2.7291560000000001</v>
      </c>
      <c r="T5746">
        <v>-0.12404809999999999</v>
      </c>
      <c r="U5746">
        <v>-1.4377439999999999</v>
      </c>
      <c r="V5746">
        <v>0.13943659999999999</v>
      </c>
      <c r="W5746">
        <v>-8.0223080000000006E-3</v>
      </c>
      <c r="X5746">
        <v>0.99019849999999998</v>
      </c>
      <c r="Y5746">
        <v>0.36648979999999998</v>
      </c>
      <c r="Z5746">
        <v>-3.1967300000000001E-3</v>
      </c>
      <c r="AA5746">
        <v>0.93041660000000004</v>
      </c>
      <c r="AB5746">
        <v>29</v>
      </c>
      <c r="AC5746">
        <v>25.312999999999899</v>
      </c>
      <c r="AD5746">
        <v>-1.1578360000000001</v>
      </c>
      <c r="AE5746">
        <v>-13.4007719999999</v>
      </c>
      <c r="AF5746">
        <v>10.5394512882035</v>
      </c>
      <c r="AG5746">
        <v>-1.1578360000000001</v>
      </c>
      <c r="AH5746">
        <v>26.581459993866901</v>
      </c>
      <c r="AI5746">
        <v>92.318716778884294</v>
      </c>
      <c r="AJ5746">
        <v>68.371855872028206</v>
      </c>
      <c r="AK5746">
        <v>28.6180822744093</v>
      </c>
      <c r="AL5746">
        <v>90.459649322533494</v>
      </c>
      <c r="AM5746">
        <v>81.984494301264405</v>
      </c>
      <c r="AN5746">
        <v>0.99999999612372803</v>
      </c>
    </row>
    <row r="5747" spans="1:40" x14ac:dyDescent="0.25">
      <c r="A5747" t="str">
        <f>"20190312161429447"</f>
        <v>20190312161429447</v>
      </c>
      <c r="B5747" t="str">
        <f>"1552378469441929"</f>
        <v>1552378469441929</v>
      </c>
      <c r="C5747" t="s">
        <v>40</v>
      </c>
      <c r="D5747">
        <v>5.8572069999999998</v>
      </c>
      <c r="E5747">
        <v>0.59104109999999999</v>
      </c>
      <c r="F5747" t="s">
        <v>41</v>
      </c>
      <c r="G5747">
        <v>-298.93</v>
      </c>
      <c r="H5747">
        <v>-0.05</v>
      </c>
      <c r="I5747">
        <v>3.5123289999999998</v>
      </c>
      <c r="J5747">
        <v>-323.33179999999999</v>
      </c>
      <c r="K5747">
        <v>1.1078059999999901</v>
      </c>
      <c r="L5747">
        <v>16.48901</v>
      </c>
      <c r="M5747">
        <v>0.99374390000000001</v>
      </c>
      <c r="N5747">
        <v>0</v>
      </c>
      <c r="O5747">
        <v>-0.110776399999999</v>
      </c>
      <c r="P5747">
        <v>0.96841359999999999</v>
      </c>
      <c r="Q5747">
        <v>-2.1308959999999998E-2</v>
      </c>
      <c r="R5747">
        <v>-0.2484383</v>
      </c>
      <c r="S5747">
        <v>2.7261350000000002</v>
      </c>
      <c r="T5747">
        <v>-0.12856029999999999</v>
      </c>
      <c r="U5747">
        <v>-1.442871</v>
      </c>
      <c r="V5747">
        <v>0.1395769</v>
      </c>
      <c r="W5747">
        <v>-8.0392250000000005E-3</v>
      </c>
      <c r="X5747">
        <v>0.99017860000000002</v>
      </c>
      <c r="Y5747">
        <v>0.36677490000000001</v>
      </c>
      <c r="Z5747">
        <v>-3.2519039999999999E-3</v>
      </c>
      <c r="AA5747">
        <v>0.93030400000000002</v>
      </c>
      <c r="AB5747">
        <v>29</v>
      </c>
      <c r="AC5747">
        <v>24.401799999999898</v>
      </c>
      <c r="AD5747">
        <v>-1.1578059999999999</v>
      </c>
      <c r="AE5747">
        <v>-12.976680999999999</v>
      </c>
      <c r="AF5747">
        <v>10.1755241600959</v>
      </c>
      <c r="AG5747">
        <v>-1.1578059999999999</v>
      </c>
      <c r="AH5747">
        <v>25.644235469190299</v>
      </c>
      <c r="AI5747">
        <v>92.403053182081393</v>
      </c>
      <c r="AJ5747">
        <v>68.357031425503394</v>
      </c>
      <c r="AK5747">
        <v>27.613558616477</v>
      </c>
      <c r="AL5747">
        <v>90.460618624699507</v>
      </c>
      <c r="AM5747">
        <v>81.976374986355097</v>
      </c>
      <c r="AN5747">
        <v>1.0000000000250799</v>
      </c>
    </row>
    <row r="5748" spans="1:40" x14ac:dyDescent="0.25">
      <c r="A5748" t="str">
        <f>"20190312161429458"</f>
        <v>20190312161429458</v>
      </c>
      <c r="B5748" t="str">
        <f>"1552378469451687"</f>
        <v>1552378469451687</v>
      </c>
      <c r="C5748" t="s">
        <v>40</v>
      </c>
      <c r="D5748">
        <v>5.8570129999999896</v>
      </c>
      <c r="E5748">
        <v>0.5909508</v>
      </c>
      <c r="F5748" t="s">
        <v>41</v>
      </c>
      <c r="G5748">
        <v>-300.31470000000002</v>
      </c>
      <c r="H5748">
        <v>-0.05</v>
      </c>
      <c r="I5748">
        <v>4.2665249999999997</v>
      </c>
      <c r="J5748">
        <v>-323.19540000000001</v>
      </c>
      <c r="K5748">
        <v>1.107774</v>
      </c>
      <c r="L5748">
        <v>16.47223</v>
      </c>
      <c r="M5748">
        <v>0.99357740000000005</v>
      </c>
      <c r="N5748">
        <v>0</v>
      </c>
      <c r="O5748">
        <v>-0.1122595</v>
      </c>
      <c r="P5748">
        <v>0.96795989999999998</v>
      </c>
      <c r="Q5748">
        <v>-2.11668E-2</v>
      </c>
      <c r="R5748">
        <v>-0.25021209999999999</v>
      </c>
      <c r="S5748">
        <v>2.7237849999999999</v>
      </c>
      <c r="T5748">
        <v>-0.13701199999999999</v>
      </c>
      <c r="U5748">
        <v>-1.4463809999999999</v>
      </c>
      <c r="V5748">
        <v>0.1399128</v>
      </c>
      <c r="W5748">
        <v>-7.9083309999999993E-3</v>
      </c>
      <c r="X5748">
        <v>0.99013220000000002</v>
      </c>
      <c r="Y5748">
        <v>0.36662539999999999</v>
      </c>
      <c r="Z5748">
        <v>-3.3950320000000001E-3</v>
      </c>
      <c r="AA5748">
        <v>0.93036249999999998</v>
      </c>
      <c r="AB5748">
        <v>29</v>
      </c>
      <c r="AC5748">
        <v>22.880699999999901</v>
      </c>
      <c r="AD5748">
        <v>-1.1577740000000001</v>
      </c>
      <c r="AE5748">
        <v>-12.205705</v>
      </c>
      <c r="AF5748">
        <v>9.5406845784924794</v>
      </c>
      <c r="AG5748">
        <v>-1.1577740000000001</v>
      </c>
      <c r="AH5748">
        <v>24.058431320533199</v>
      </c>
      <c r="AI5748">
        <v>92.561378620027</v>
      </c>
      <c r="AJ5748">
        <v>68.368553087719405</v>
      </c>
      <c r="AK5748">
        <v>25.9070110291822</v>
      </c>
      <c r="AL5748">
        <v>90.453118733632195</v>
      </c>
      <c r="AM5748">
        <v>81.956946048029707</v>
      </c>
      <c r="AN5748">
        <v>0.99999995338994097</v>
      </c>
    </row>
    <row r="5749" spans="1:40" x14ac:dyDescent="0.25">
      <c r="A5749" t="str">
        <f>"20190312161429469"</f>
        <v>20190312161429469</v>
      </c>
      <c r="B5749" t="str">
        <f>"1552378469462424"</f>
        <v>1552378469462424</v>
      </c>
      <c r="C5749" t="s">
        <v>40</v>
      </c>
      <c r="D5749">
        <v>5.856007</v>
      </c>
      <c r="E5749">
        <v>0.59089389999999997</v>
      </c>
      <c r="F5749" t="s">
        <v>41</v>
      </c>
      <c r="G5749">
        <v>-300.76819999999998</v>
      </c>
      <c r="H5749">
        <v>-0.05</v>
      </c>
      <c r="I5749">
        <v>4.5198970000000003</v>
      </c>
      <c r="J5749">
        <v>-323.05520000000001</v>
      </c>
      <c r="K5749">
        <v>1.107745</v>
      </c>
      <c r="L5749">
        <v>16.454929999999901</v>
      </c>
      <c r="M5749">
        <v>0.99340329999999999</v>
      </c>
      <c r="N5749">
        <v>0</v>
      </c>
      <c r="O5749">
        <v>-0.11379</v>
      </c>
      <c r="P5749">
        <v>0.96747490000000003</v>
      </c>
      <c r="Q5749">
        <v>-2.1340990000000001E-2</v>
      </c>
      <c r="R5749">
        <v>-0.25206620000000002</v>
      </c>
      <c r="S5749">
        <v>2.7213440000000002</v>
      </c>
      <c r="T5749">
        <v>-0.14048620000000001</v>
      </c>
      <c r="U5749">
        <v>-1.4503170000000001</v>
      </c>
      <c r="V5749">
        <v>0.140283299999999</v>
      </c>
      <c r="W5749">
        <v>-8.0945440000000004E-3</v>
      </c>
      <c r="X5749">
        <v>0.99007829999999997</v>
      </c>
      <c r="Y5749">
        <v>0.3665756</v>
      </c>
      <c r="Z5749">
        <v>-3.4089290000000002E-3</v>
      </c>
      <c r="AA5749">
        <v>0.93038200000000004</v>
      </c>
      <c r="AB5749">
        <v>29</v>
      </c>
      <c r="AC5749">
        <v>22.286999999999999</v>
      </c>
      <c r="AD5749">
        <v>-1.157745</v>
      </c>
      <c r="AE5749">
        <v>-11.935032999999899</v>
      </c>
      <c r="AF5749">
        <v>9.3016970197513906</v>
      </c>
      <c r="AG5749">
        <v>-1.157745</v>
      </c>
      <c r="AH5749">
        <v>23.451257460375299</v>
      </c>
      <c r="AI5749">
        <v>92.6274686566382</v>
      </c>
      <c r="AJ5749">
        <v>68.364763305159201</v>
      </c>
      <c r="AK5749">
        <v>25.255166152791102</v>
      </c>
      <c r="AL5749">
        <v>90.463788280948904</v>
      </c>
      <c r="AM5749">
        <v>81.935493976095302</v>
      </c>
      <c r="AN5749">
        <v>0.99999998301617299</v>
      </c>
    </row>
    <row r="5750" spans="1:40" x14ac:dyDescent="0.25">
      <c r="A5750" t="str">
        <f>"20190312161429479"</f>
        <v>20190312161429479</v>
      </c>
      <c r="B5750" t="str">
        <f>"1552378469472183"</f>
        <v>1552378469472183</v>
      </c>
      <c r="C5750" t="s">
        <v>40</v>
      </c>
      <c r="D5750">
        <v>5.7994779999999997</v>
      </c>
      <c r="E5750">
        <v>0.59077429999999997</v>
      </c>
      <c r="F5750" t="s">
        <v>41</v>
      </c>
      <c r="G5750">
        <v>-301.23759999999999</v>
      </c>
      <c r="H5750">
        <v>-0.05</v>
      </c>
      <c r="I5750">
        <v>4.7766270000000004</v>
      </c>
      <c r="J5750">
        <v>-322.92059999999998</v>
      </c>
      <c r="K5750">
        <v>1.1077109999999999</v>
      </c>
      <c r="L5750">
        <v>16.437899999999999</v>
      </c>
      <c r="M5750">
        <v>0.99322929999999998</v>
      </c>
      <c r="N5750">
        <v>0</v>
      </c>
      <c r="O5750">
        <v>-0.11529830000000001</v>
      </c>
      <c r="P5750">
        <v>0.9669719</v>
      </c>
      <c r="Q5750">
        <v>-2.1087419999999999E-2</v>
      </c>
      <c r="R5750">
        <v>-0.2540095</v>
      </c>
      <c r="S5750">
        <v>2.7185670000000002</v>
      </c>
      <c r="T5750">
        <v>-0.14426029999999901</v>
      </c>
      <c r="U5750">
        <v>-1.4551700000000001</v>
      </c>
      <c r="V5750">
        <v>0.14076930000000001</v>
      </c>
      <c r="W5750">
        <v>-7.8539509999999996E-3</v>
      </c>
      <c r="X5750">
        <v>0.99001130000000004</v>
      </c>
      <c r="Y5750">
        <v>0.3668362</v>
      </c>
      <c r="Z5750">
        <v>-3.435254E-3</v>
      </c>
      <c r="AA5750">
        <v>0.93027930000000003</v>
      </c>
      <c r="AB5750">
        <v>29</v>
      </c>
      <c r="AC5750">
        <v>21.683</v>
      </c>
      <c r="AD5750">
        <v>-1.1577109999999999</v>
      </c>
      <c r="AE5750">
        <v>-11.661273</v>
      </c>
      <c r="AF5750">
        <v>9.06318124436768</v>
      </c>
      <c r="AG5750">
        <v>-1.1577109999999999</v>
      </c>
      <c r="AH5750">
        <v>22.8325381429879</v>
      </c>
      <c r="AI5750">
        <v>92.698206332825706</v>
      </c>
      <c r="AJ5750">
        <v>68.349819387577298</v>
      </c>
      <c r="AK5750">
        <v>24.592810882019499</v>
      </c>
      <c r="AL5750">
        <v>90.450002858991795</v>
      </c>
      <c r="AM5750">
        <v>81.907384193761303</v>
      </c>
      <c r="AN5750">
        <v>1.0000000272482401</v>
      </c>
    </row>
    <row r="5751" spans="1:40" x14ac:dyDescent="0.25">
      <c r="A5751" t="str">
        <f>"20190312161429489"</f>
        <v>20190312161429489</v>
      </c>
      <c r="B5751" t="str">
        <f>"1552378469481946"</f>
        <v>1552378469481946</v>
      </c>
      <c r="C5751" t="s">
        <v>40</v>
      </c>
      <c r="D5751">
        <v>5.8501599999999998</v>
      </c>
      <c r="E5751">
        <v>0.5907348</v>
      </c>
      <c r="F5751" t="s">
        <v>41</v>
      </c>
      <c r="G5751">
        <v>-301.5172</v>
      </c>
      <c r="H5751">
        <v>-0.05</v>
      </c>
      <c r="I5751">
        <v>4.9366909999999997</v>
      </c>
      <c r="J5751">
        <v>-322.7921</v>
      </c>
      <c r="K5751">
        <v>1.107685</v>
      </c>
      <c r="L5751">
        <v>16.42154</v>
      </c>
      <c r="M5751">
        <v>0.99306050000000001</v>
      </c>
      <c r="N5751">
        <v>0</v>
      </c>
      <c r="O5751">
        <v>-0.1167424</v>
      </c>
      <c r="P5751">
        <v>0.96649410000000002</v>
      </c>
      <c r="Q5751">
        <v>-2.1162770000000001E-2</v>
      </c>
      <c r="R5751">
        <v>-0.25581500000000001</v>
      </c>
      <c r="S5751">
        <v>2.7159119999999999</v>
      </c>
      <c r="T5751">
        <v>-0.14690420000000001</v>
      </c>
      <c r="U5751">
        <v>-1.4594119999999999</v>
      </c>
      <c r="V5751">
        <v>0.14117779999999999</v>
      </c>
      <c r="W5751">
        <v>-7.9414640000000005E-3</v>
      </c>
      <c r="X5751">
        <v>0.98995239999999995</v>
      </c>
      <c r="Y5751">
        <v>0.36698130000000001</v>
      </c>
      <c r="Z5751">
        <v>-3.4320459999999998E-3</v>
      </c>
      <c r="AA5751">
        <v>0.93022199999999999</v>
      </c>
      <c r="AB5751">
        <v>29</v>
      </c>
      <c r="AC5751">
        <v>21.274899999999999</v>
      </c>
      <c r="AD5751">
        <v>-1.1576850000000001</v>
      </c>
      <c r="AE5751">
        <v>-11.484849000000001</v>
      </c>
      <c r="AF5751">
        <v>8.9019574402249404</v>
      </c>
      <c r="AG5751">
        <v>-1.1576850000000001</v>
      </c>
      <c r="AH5751">
        <v>22.418898323014201</v>
      </c>
      <c r="AI5751">
        <v>92.747727822827002</v>
      </c>
      <c r="AJ5751">
        <v>68.343269092827697</v>
      </c>
      <c r="AK5751">
        <v>24.1493702370155</v>
      </c>
      <c r="AL5751">
        <v>90.455017154935504</v>
      </c>
      <c r="AM5751">
        <v>81.883736124255705</v>
      </c>
      <c r="AN5751">
        <v>0.99999999616453095</v>
      </c>
    </row>
    <row r="5752" spans="1:40" x14ac:dyDescent="0.25">
      <c r="A5752" t="str">
        <f>"20190312161429500"</f>
        <v>20190312161429500</v>
      </c>
      <c r="B5752" t="str">
        <f>"1552378469491704"</f>
        <v>1552378469491704</v>
      </c>
      <c r="C5752" t="s">
        <v>40</v>
      </c>
      <c r="D5752">
        <v>5.8444629999999904</v>
      </c>
      <c r="E5752">
        <v>0.59065509999999999</v>
      </c>
      <c r="F5752" t="s">
        <v>41</v>
      </c>
      <c r="G5752">
        <v>-301.89109999999999</v>
      </c>
      <c r="H5752">
        <v>-0.05</v>
      </c>
      <c r="I5752">
        <v>5.1429289999999996</v>
      </c>
      <c r="J5752">
        <v>-322.64999999999998</v>
      </c>
      <c r="K5752">
        <v>1.1076520000000001</v>
      </c>
      <c r="L5752">
        <v>16.403110000000002</v>
      </c>
      <c r="M5752">
        <v>0.99286719999999895</v>
      </c>
      <c r="N5752">
        <v>0</v>
      </c>
      <c r="O5752">
        <v>-0.11837490000000001</v>
      </c>
      <c r="P5752">
        <v>0.96596539999999997</v>
      </c>
      <c r="Q5752">
        <v>-2.1345900000000001E-2</v>
      </c>
      <c r="R5752">
        <v>-0.2577892</v>
      </c>
      <c r="S5752">
        <v>2.713165</v>
      </c>
      <c r="T5752">
        <v>-0.15027939999999901</v>
      </c>
      <c r="U5752">
        <v>-1.464081</v>
      </c>
      <c r="V5752">
        <v>0.14157159999999999</v>
      </c>
      <c r="W5752">
        <v>-8.1375119999999995E-3</v>
      </c>
      <c r="X5752">
        <v>0.98989459999999996</v>
      </c>
      <c r="Y5752">
        <v>0.36707410000000001</v>
      </c>
      <c r="Z5752">
        <v>-3.432212E-3</v>
      </c>
      <c r="AA5752">
        <v>0.93018540000000005</v>
      </c>
      <c r="AB5752">
        <v>29</v>
      </c>
      <c r="AC5752">
        <v>20.758899999999901</v>
      </c>
      <c r="AD5752">
        <v>-1.1576519999999999</v>
      </c>
      <c r="AE5752">
        <v>-11.260180999999999</v>
      </c>
      <c r="AF5752">
        <v>8.7025019360060902</v>
      </c>
      <c r="AG5752">
        <v>-1.1576519999999999</v>
      </c>
      <c r="AH5752">
        <v>21.893363813690399</v>
      </c>
      <c r="AI5752">
        <v>92.813094348907299</v>
      </c>
      <c r="AJ5752">
        <v>68.322428149303505</v>
      </c>
      <c r="AK5752">
        <v>23.5879858652218</v>
      </c>
      <c r="AL5752">
        <v>90.466250226124899</v>
      </c>
      <c r="AM5752">
        <v>81.8609307388448</v>
      </c>
      <c r="AN5752">
        <v>1.0000000280686301</v>
      </c>
    </row>
    <row r="5753" spans="1:40" x14ac:dyDescent="0.25">
      <c r="A5753" t="str">
        <f>"20190312161429511"</f>
        <v>20190312161429511</v>
      </c>
      <c r="B5753" t="str">
        <f>"1552378469502441"</f>
        <v>1552378469502441</v>
      </c>
      <c r="C5753" t="s">
        <v>40</v>
      </c>
      <c r="D5753">
        <v>5.7596999999999996</v>
      </c>
      <c r="E5753">
        <v>0.59063480000000002</v>
      </c>
      <c r="F5753" t="s">
        <v>41</v>
      </c>
      <c r="G5753">
        <v>-302.21879999999999</v>
      </c>
      <c r="H5753">
        <v>-0.05</v>
      </c>
      <c r="I5753">
        <v>5.3298489999999896</v>
      </c>
      <c r="J5753">
        <v>-322.5095</v>
      </c>
      <c r="K5753">
        <v>1.1076220000000001</v>
      </c>
      <c r="L5753">
        <v>16.38477</v>
      </c>
      <c r="M5753">
        <v>0.9926722</v>
      </c>
      <c r="N5753">
        <v>0</v>
      </c>
      <c r="O5753">
        <v>-0.1200001</v>
      </c>
      <c r="P5753">
        <v>0.96543570000000001</v>
      </c>
      <c r="Q5753">
        <v>-2.1690850000000001E-2</v>
      </c>
      <c r="R5753">
        <v>-0.25973829999999998</v>
      </c>
      <c r="S5753">
        <v>2.7102659999999998</v>
      </c>
      <c r="T5753">
        <v>-0.15356639999999999</v>
      </c>
      <c r="U5753">
        <v>-1.4689030000000001</v>
      </c>
      <c r="V5753">
        <v>0.14194699999999999</v>
      </c>
      <c r="W5753">
        <v>-8.495374E-3</v>
      </c>
      <c r="X5753">
        <v>0.98983779999999999</v>
      </c>
      <c r="Y5753">
        <v>0.36723610000000001</v>
      </c>
      <c r="Z5753">
        <v>-3.4291830000000001E-3</v>
      </c>
      <c r="AA5753">
        <v>0.93012139999999999</v>
      </c>
      <c r="AB5753">
        <v>29</v>
      </c>
      <c r="AC5753">
        <v>20.290700000000001</v>
      </c>
      <c r="AD5753">
        <v>-1.1576219999999999</v>
      </c>
      <c r="AE5753">
        <v>-11.054921</v>
      </c>
      <c r="AF5753">
        <v>8.51850827949219</v>
      </c>
      <c r="AG5753">
        <v>-1.1576219999999999</v>
      </c>
      <c r="AH5753">
        <v>21.4170184867695</v>
      </c>
      <c r="AI5753">
        <v>92.875237101146297</v>
      </c>
      <c r="AJ5753">
        <v>68.310066703774297</v>
      </c>
      <c r="AK5753">
        <v>23.077992825748201</v>
      </c>
      <c r="AL5753">
        <v>90.486754932493398</v>
      </c>
      <c r="AM5753">
        <v>81.839177022701605</v>
      </c>
      <c r="AN5753">
        <v>0.99999999624862002</v>
      </c>
    </row>
    <row r="5754" spans="1:40" x14ac:dyDescent="0.25">
      <c r="A5754" t="str">
        <f>"20190312161429521"</f>
        <v>20190312161429521</v>
      </c>
      <c r="B5754" t="str">
        <f>"1552378469512200"</f>
        <v>1552378469512200</v>
      </c>
      <c r="C5754" t="s">
        <v>40</v>
      </c>
      <c r="D5754">
        <v>5.7437860000000001</v>
      </c>
      <c r="E5754">
        <v>0.59062209999999904</v>
      </c>
      <c r="F5754" t="s">
        <v>41</v>
      </c>
      <c r="G5754">
        <v>-302.74310000000003</v>
      </c>
      <c r="H5754">
        <v>-0.05</v>
      </c>
      <c r="I5754">
        <v>5.6221920000000001</v>
      </c>
      <c r="J5754">
        <v>-322.37520000000001</v>
      </c>
      <c r="K5754">
        <v>1.107591</v>
      </c>
      <c r="L5754">
        <v>16.366879999999998</v>
      </c>
      <c r="M5754">
        <v>0.99247969999999996</v>
      </c>
      <c r="N5754">
        <v>0</v>
      </c>
      <c r="O5754">
        <v>-0.1215821</v>
      </c>
      <c r="P5754">
        <v>0.96485799999999999</v>
      </c>
      <c r="Q5754">
        <v>-2.1831619999999999E-2</v>
      </c>
      <c r="R5754">
        <v>-0.26186369999999998</v>
      </c>
      <c r="S5754">
        <v>2.7072449999999999</v>
      </c>
      <c r="T5754">
        <v>-0.15855</v>
      </c>
      <c r="U5754">
        <v>-1.4740599999999999</v>
      </c>
      <c r="V5754">
        <v>0.14254810000000001</v>
      </c>
      <c r="W5754">
        <v>-8.6507349999999997E-3</v>
      </c>
      <c r="X5754">
        <v>0.98975009999999997</v>
      </c>
      <c r="Y5754">
        <v>0.36753780000000003</v>
      </c>
      <c r="Z5754">
        <v>-3.4659170000000002E-3</v>
      </c>
      <c r="AA5754">
        <v>0.93000210000000005</v>
      </c>
      <c r="AB5754">
        <v>29</v>
      </c>
      <c r="AC5754">
        <v>19.632099999999902</v>
      </c>
      <c r="AD5754">
        <v>-1.157591</v>
      </c>
      <c r="AE5754">
        <v>-10.744687999999901</v>
      </c>
      <c r="AF5754">
        <v>8.2557209253691006</v>
      </c>
      <c r="AG5754">
        <v>-1.157591</v>
      </c>
      <c r="AH5754">
        <v>20.737440192883401</v>
      </c>
      <c r="AI5754">
        <v>92.968846238541801</v>
      </c>
      <c r="AJ5754">
        <v>68.292150327204297</v>
      </c>
      <c r="AK5754">
        <v>22.350355045821399</v>
      </c>
      <c r="AL5754">
        <v>90.495656773416698</v>
      </c>
      <c r="AM5754">
        <v>81.804370700203094</v>
      </c>
      <c r="AN5754">
        <v>1.00000002823982</v>
      </c>
    </row>
    <row r="5755" spans="1:40" x14ac:dyDescent="0.25">
      <c r="A5755" t="str">
        <f>"20190312161429532"</f>
        <v>20190312161429532</v>
      </c>
      <c r="B5755" t="str">
        <f>"1552378469521960"</f>
        <v>1552378469521960</v>
      </c>
      <c r="C5755" t="s">
        <v>40</v>
      </c>
      <c r="D5755">
        <v>5.86449</v>
      </c>
      <c r="E5755">
        <v>0.59057469999999901</v>
      </c>
      <c r="F5755" t="s">
        <v>41</v>
      </c>
      <c r="G5755">
        <v>-303.17910000000001</v>
      </c>
      <c r="H5755">
        <v>-0.05</v>
      </c>
      <c r="I5755">
        <v>5.8622889999999996</v>
      </c>
      <c r="J5755">
        <v>-322.23770000000002</v>
      </c>
      <c r="K5755">
        <v>1.107558</v>
      </c>
      <c r="L5755">
        <v>16.34836</v>
      </c>
      <c r="M5755">
        <v>0.99227759999999998</v>
      </c>
      <c r="N5755">
        <v>0</v>
      </c>
      <c r="O5755">
        <v>-0.1232188</v>
      </c>
      <c r="P5755">
        <v>0.96433290000000005</v>
      </c>
      <c r="Q5755">
        <v>-2.21072E-2</v>
      </c>
      <c r="R5755">
        <v>-0.2637678</v>
      </c>
      <c r="S5755">
        <v>2.7040099999999998</v>
      </c>
      <c r="T5755">
        <v>-0.1630614</v>
      </c>
      <c r="U5755">
        <v>-1.479706</v>
      </c>
      <c r="V5755">
        <v>0.14286740000000001</v>
      </c>
      <c r="W5755">
        <v>-8.9390130000000009E-3</v>
      </c>
      <c r="X5755">
        <v>0.98970139999999995</v>
      </c>
      <c r="Y5755">
        <v>0.3679499</v>
      </c>
      <c r="Z5755">
        <v>-3.48804E-3</v>
      </c>
      <c r="AA5755">
        <v>0.92983910000000003</v>
      </c>
      <c r="AB5755">
        <v>29</v>
      </c>
      <c r="AC5755">
        <v>19.058599999999998</v>
      </c>
      <c r="AD5755">
        <v>-1.1575580000000001</v>
      </c>
      <c r="AE5755">
        <v>-10.486071000000001</v>
      </c>
      <c r="AF5755">
        <v>8.0347782470304896</v>
      </c>
      <c r="AG5755">
        <v>-1.1575580000000001</v>
      </c>
      <c r="AH5755">
        <v>20.148491672451101</v>
      </c>
      <c r="AI5755">
        <v>93.054674109521997</v>
      </c>
      <c r="AJ5755">
        <v>68.258966629737301</v>
      </c>
      <c r="AK5755">
        <v>21.722323049737302</v>
      </c>
      <c r="AL5755">
        <v>90.5121745746047</v>
      </c>
      <c r="AM5755">
        <v>81.785864489514296</v>
      </c>
      <c r="AN5755">
        <v>0.999999930549064</v>
      </c>
    </row>
    <row r="5756" spans="1:40" x14ac:dyDescent="0.25">
      <c r="A5756" t="str">
        <f>"20190312161429544"</f>
        <v>20190312161429544</v>
      </c>
      <c r="B5756" t="str">
        <f>"1552378469531719"</f>
        <v>1552378469531719</v>
      </c>
      <c r="C5756" t="s">
        <v>40</v>
      </c>
      <c r="D5756">
        <v>5.845542</v>
      </c>
      <c r="E5756">
        <v>0.59048719999999999</v>
      </c>
      <c r="F5756" t="s">
        <v>41</v>
      </c>
      <c r="G5756">
        <v>-303.4316</v>
      </c>
      <c r="H5756">
        <v>-0.05</v>
      </c>
      <c r="I5756">
        <v>6.0112459999999999</v>
      </c>
      <c r="J5756">
        <v>-322.09210000000002</v>
      </c>
      <c r="K5756">
        <v>1.107521</v>
      </c>
      <c r="L5756">
        <v>16.328489999999999</v>
      </c>
      <c r="M5756">
        <v>0.99205739999999998</v>
      </c>
      <c r="N5756">
        <v>0</v>
      </c>
      <c r="O5756">
        <v>-0.12497850000000001</v>
      </c>
      <c r="P5756">
        <v>0.96374040000000005</v>
      </c>
      <c r="Q5756">
        <v>-2.2230380000000001E-2</v>
      </c>
      <c r="R5756">
        <v>-0.26591389999999998</v>
      </c>
      <c r="S5756">
        <v>2.70105</v>
      </c>
      <c r="T5756">
        <v>-0.1662555</v>
      </c>
      <c r="U5756">
        <v>-1.48468</v>
      </c>
      <c r="V5756">
        <v>0.14331429999999901</v>
      </c>
      <c r="W5756">
        <v>-9.0767420000000005E-3</v>
      </c>
      <c r="X5756">
        <v>0.98963559999999995</v>
      </c>
      <c r="Y5756">
        <v>0.368035</v>
      </c>
      <c r="Z5756">
        <v>-3.4619189999999999E-3</v>
      </c>
      <c r="AA5756">
        <v>0.92980549999999995</v>
      </c>
      <c r="AB5756">
        <v>29</v>
      </c>
      <c r="AC5756">
        <v>18.660499999999999</v>
      </c>
      <c r="AD5756">
        <v>-1.157521</v>
      </c>
      <c r="AE5756">
        <v>-10.317244000000001</v>
      </c>
      <c r="AF5756">
        <v>7.8807132468208199</v>
      </c>
      <c r="AG5756">
        <v>-1.157521</v>
      </c>
      <c r="AH5756">
        <v>19.7455370156611</v>
      </c>
      <c r="AI5756">
        <v>93.116431726472399</v>
      </c>
      <c r="AJ5756">
        <v>68.242383555710205</v>
      </c>
      <c r="AK5756">
        <v>21.291588202407599</v>
      </c>
      <c r="AL5756">
        <v>90.520066150511695</v>
      </c>
      <c r="AM5756">
        <v>81.759981984289695</v>
      </c>
      <c r="AN5756">
        <v>0.99999999830859199</v>
      </c>
    </row>
    <row r="5757" spans="1:40" x14ac:dyDescent="0.25">
      <c r="A5757" t="str">
        <f>"20190312161429556"</f>
        <v>20190312161429556</v>
      </c>
      <c r="B5757" t="str">
        <f>"1552378469552216"</f>
        <v>1552378469552216</v>
      </c>
      <c r="C5757" t="s">
        <v>40</v>
      </c>
      <c r="D5757">
        <v>5.6938300000000002</v>
      </c>
      <c r="E5757">
        <v>0.59076580000000001</v>
      </c>
      <c r="F5757" t="s">
        <v>41</v>
      </c>
      <c r="G5757">
        <v>-303.64389999999997</v>
      </c>
      <c r="H5757">
        <v>-0.05</v>
      </c>
      <c r="I5757">
        <v>6.1406710000000002</v>
      </c>
      <c r="J5757">
        <v>-321.94959999999998</v>
      </c>
      <c r="K5757">
        <v>1.1074790000000001</v>
      </c>
      <c r="L5757">
        <v>16.308720000000001</v>
      </c>
      <c r="M5757">
        <v>0.99183509999999997</v>
      </c>
      <c r="N5757">
        <v>0</v>
      </c>
      <c r="O5757">
        <v>-0.1267324</v>
      </c>
      <c r="P5757">
        <v>0.96308210000000005</v>
      </c>
      <c r="Q5757">
        <v>-2.2478350000000001E-2</v>
      </c>
      <c r="R5757">
        <v>-0.26826840000000002</v>
      </c>
      <c r="S5757">
        <v>2.6978759999999999</v>
      </c>
      <c r="T5757">
        <v>-0.16927609999999901</v>
      </c>
      <c r="U5757">
        <v>-1.489868</v>
      </c>
      <c r="V5757">
        <v>0.14398089999999999</v>
      </c>
      <c r="W5757">
        <v>-9.3414650000000002E-3</v>
      </c>
      <c r="X5757">
        <v>0.98953630000000004</v>
      </c>
      <c r="Y5757">
        <v>0.36821340000000002</v>
      </c>
      <c r="Z5757">
        <v>-3.4318500000000002E-3</v>
      </c>
      <c r="AA5757">
        <v>0.92973490000000003</v>
      </c>
      <c r="AB5757">
        <v>29</v>
      </c>
      <c r="AC5757">
        <v>18.305700000000002</v>
      </c>
      <c r="AD5757">
        <v>-1.1574789999999999</v>
      </c>
      <c r="AE5757">
        <v>-10.168049</v>
      </c>
      <c r="AF5757">
        <v>7.7422314795334097</v>
      </c>
      <c r="AG5757">
        <v>-1.1574789999999999</v>
      </c>
      <c r="AH5757">
        <v>19.387584688837499</v>
      </c>
      <c r="AI5757">
        <v>93.173492316233194</v>
      </c>
      <c r="AJ5757">
        <v>68.231214050772095</v>
      </c>
      <c r="AK5757">
        <v>20.908379802963399</v>
      </c>
      <c r="AL5757">
        <v>90.535234343246003</v>
      </c>
      <c r="AM5757">
        <v>81.721365804978504</v>
      </c>
      <c r="AN5757">
        <v>0.99999992577541996</v>
      </c>
    </row>
    <row r="5758" spans="1:40" x14ac:dyDescent="0.25">
      <c r="A5758" t="str">
        <f>"20190312161429567"</f>
        <v>20190312161429567</v>
      </c>
      <c r="B5758" t="str">
        <f>"1552378469561976"</f>
        <v>1552378469561976</v>
      </c>
      <c r="C5758" t="s">
        <v>40</v>
      </c>
      <c r="D5758">
        <v>5.6131900000000003</v>
      </c>
      <c r="E5758">
        <v>0.59092159999999905</v>
      </c>
      <c r="F5758" t="s">
        <v>41</v>
      </c>
      <c r="G5758">
        <v>-303.12310000000002</v>
      </c>
      <c r="H5758">
        <v>-0.05</v>
      </c>
      <c r="I5758">
        <v>5.8341059999999896</v>
      </c>
      <c r="J5758">
        <v>-321.79930000000002</v>
      </c>
      <c r="K5758">
        <v>1.1074389999999901</v>
      </c>
      <c r="L5758">
        <v>16.287659999999999</v>
      </c>
      <c r="M5758">
        <v>0.99159450000000005</v>
      </c>
      <c r="N5758">
        <v>0</v>
      </c>
      <c r="O5758">
        <v>-0.12860050000000001</v>
      </c>
      <c r="P5758">
        <v>0.96244680000000005</v>
      </c>
      <c r="Q5758">
        <v>-2.2237570000000002E-2</v>
      </c>
      <c r="R5758">
        <v>-0.27055839999999998</v>
      </c>
      <c r="S5758">
        <v>2.6936650000000002</v>
      </c>
      <c r="T5758">
        <v>-0.1656098</v>
      </c>
      <c r="U5758">
        <v>-1.498688</v>
      </c>
      <c r="V5758">
        <v>0.1444706</v>
      </c>
      <c r="W5758">
        <v>-9.1168429999999995E-3</v>
      </c>
      <c r="X5758">
        <v>0.98946710000000004</v>
      </c>
      <c r="Y5758">
        <v>0.36942069999999999</v>
      </c>
      <c r="Z5758">
        <v>-3.290046E-3</v>
      </c>
      <c r="AA5758">
        <v>0.92925639999999998</v>
      </c>
      <c r="AB5758">
        <v>29</v>
      </c>
      <c r="AC5758">
        <v>18.676199999999898</v>
      </c>
      <c r="AD5758">
        <v>-1.1574390000000001</v>
      </c>
      <c r="AE5758">
        <v>-10.453553999999899</v>
      </c>
      <c r="AF5758">
        <v>7.9414982763770201</v>
      </c>
      <c r="AG5758">
        <v>-1.1574390000000001</v>
      </c>
      <c r="AH5758">
        <v>19.807630367234701</v>
      </c>
      <c r="AI5758">
        <v>93.104519110793206</v>
      </c>
      <c r="AJ5758">
        <v>68.152607456759199</v>
      </c>
      <c r="AK5758">
        <v>21.371693444306601</v>
      </c>
      <c r="AL5758">
        <v>90.522363859343599</v>
      </c>
      <c r="AM5758">
        <v>81.693028367167301</v>
      </c>
      <c r="AN5758">
        <v>1.00000000653652</v>
      </c>
    </row>
    <row r="5759" spans="1:40" x14ac:dyDescent="0.25">
      <c r="A5759" t="str">
        <f>"20190312161429578"</f>
        <v>20190312161429578</v>
      </c>
      <c r="B5759" t="str">
        <f>"1552378469571736"</f>
        <v>1552378469571736</v>
      </c>
      <c r="C5759" t="s">
        <v>40</v>
      </c>
      <c r="D5759">
        <v>5.5640169999999998</v>
      </c>
      <c r="E5759">
        <v>0.59101079999999995</v>
      </c>
      <c r="F5759" t="s">
        <v>41</v>
      </c>
      <c r="G5759">
        <v>-302.7971</v>
      </c>
      <c r="H5759">
        <v>-0.05</v>
      </c>
      <c r="I5759">
        <v>5.6455380000000002</v>
      </c>
      <c r="J5759">
        <v>-321.66199999999998</v>
      </c>
      <c r="K5759">
        <v>1.1074029999999999</v>
      </c>
      <c r="L5759">
        <v>16.267969999999998</v>
      </c>
      <c r="M5759">
        <v>0.99136599999999997</v>
      </c>
      <c r="N5759">
        <v>0</v>
      </c>
      <c r="O5759">
        <v>-0.1303511</v>
      </c>
      <c r="P5759">
        <v>0.96177349999999995</v>
      </c>
      <c r="Q5759">
        <v>-2.2250220000000001E-2</v>
      </c>
      <c r="R5759">
        <v>-0.27294159999999901</v>
      </c>
      <c r="S5759">
        <v>2.6897890000000002</v>
      </c>
      <c r="T5759">
        <v>-0.16383719999999999</v>
      </c>
      <c r="U5759">
        <v>-1.5064090000000001</v>
      </c>
      <c r="V5759">
        <v>0.14517330000000001</v>
      </c>
      <c r="W5759">
        <v>-9.1473330000000005E-3</v>
      </c>
      <c r="X5759">
        <v>0.98936400000000002</v>
      </c>
      <c r="Y5759">
        <v>0.37039</v>
      </c>
      <c r="Z5759">
        <v>-3.187647E-3</v>
      </c>
      <c r="AA5759">
        <v>0.92887090000000005</v>
      </c>
      <c r="AB5759">
        <v>29</v>
      </c>
      <c r="AC5759">
        <v>18.864899999999999</v>
      </c>
      <c r="AD5759">
        <v>-1.157403</v>
      </c>
      <c r="AE5759">
        <v>-10.622432</v>
      </c>
      <c r="AF5759">
        <v>8.0494679875246202</v>
      </c>
      <c r="AG5759">
        <v>-1.157403</v>
      </c>
      <c r="AH5759">
        <v>20.031446704922399</v>
      </c>
      <c r="AI5759">
        <v>93.068838945611404</v>
      </c>
      <c r="AJ5759">
        <v>68.107687822066794</v>
      </c>
      <c r="AK5759">
        <v>21.6192593230837</v>
      </c>
      <c r="AL5759">
        <v>90.524110861587999</v>
      </c>
      <c r="AM5759">
        <v>81.652333884694698</v>
      </c>
      <c r="AN5759">
        <v>1.00000004261495</v>
      </c>
    </row>
    <row r="5760" spans="1:40" x14ac:dyDescent="0.25">
      <c r="A5760" t="str">
        <f>"20190312161429591"</f>
        <v>20190312161429591</v>
      </c>
      <c r="B5760" t="str">
        <f>"1552378469582473"</f>
        <v>1552378469582473</v>
      </c>
      <c r="C5760" t="s">
        <v>40</v>
      </c>
      <c r="D5760">
        <v>5.8634029999999999</v>
      </c>
      <c r="E5760">
        <v>0.59091210000000005</v>
      </c>
      <c r="F5760" t="s">
        <v>41</v>
      </c>
      <c r="G5760">
        <v>-302.58420000000001</v>
      </c>
      <c r="H5760">
        <v>-0.05</v>
      </c>
      <c r="I5760">
        <v>5.5165410000000001</v>
      </c>
      <c r="J5760">
        <v>-321.5095</v>
      </c>
      <c r="K5760">
        <v>1.1073569999999999</v>
      </c>
      <c r="L5760">
        <v>16.24597</v>
      </c>
      <c r="M5760">
        <v>0.99110620000000005</v>
      </c>
      <c r="N5760">
        <v>0</v>
      </c>
      <c r="O5760">
        <v>-0.13231089999999901</v>
      </c>
      <c r="P5760">
        <v>0.96117430000000004</v>
      </c>
      <c r="Q5760">
        <v>-2.2026489999999999E-2</v>
      </c>
      <c r="R5760">
        <v>-0.27506170000000002</v>
      </c>
      <c r="S5760">
        <v>2.685883</v>
      </c>
      <c r="T5760">
        <v>-0.162944899999999</v>
      </c>
      <c r="U5760">
        <v>-1.513641</v>
      </c>
      <c r="V5760">
        <v>0.14539869999999999</v>
      </c>
      <c r="W5760">
        <v>-8.9389559999999996E-3</v>
      </c>
      <c r="X5760">
        <v>0.98933269999999995</v>
      </c>
      <c r="Y5760">
        <v>0.37103510000000001</v>
      </c>
      <c r="Z5760">
        <v>-3.0828639999999998E-3</v>
      </c>
      <c r="AA5760">
        <v>0.92861369999999999</v>
      </c>
      <c r="AB5760">
        <v>29</v>
      </c>
      <c r="AC5760">
        <v>18.9253</v>
      </c>
      <c r="AD5760">
        <v>-1.157357</v>
      </c>
      <c r="AE5760">
        <v>-10.729429</v>
      </c>
      <c r="AF5760">
        <v>8.1078562532149601</v>
      </c>
      <c r="AG5760">
        <v>-1.157357</v>
      </c>
      <c r="AH5760">
        <v>20.121696580252198</v>
      </c>
      <c r="AI5760">
        <v>93.053818777375895</v>
      </c>
      <c r="AJ5760">
        <v>68.053474141586506</v>
      </c>
      <c r="AK5760">
        <v>21.724628455188299</v>
      </c>
      <c r="AL5760">
        <v>90.512171304238706</v>
      </c>
      <c r="AM5760">
        <v>81.639295359834193</v>
      </c>
      <c r="AN5760">
        <v>0.99999993909267304</v>
      </c>
    </row>
    <row r="5761" spans="1:40" x14ac:dyDescent="0.25">
      <c r="A5761" t="str">
        <f>"20190312161429602"</f>
        <v>20190312161429602</v>
      </c>
      <c r="B5761" t="str">
        <f>"1552378469592232"</f>
        <v>1552378469592232</v>
      </c>
      <c r="C5761" t="s">
        <v>40</v>
      </c>
      <c r="D5761">
        <v>5.6017469999999996</v>
      </c>
      <c r="E5761">
        <v>0.59095379999999997</v>
      </c>
      <c r="F5761" t="s">
        <v>41</v>
      </c>
      <c r="G5761">
        <v>-302.53969999999998</v>
      </c>
      <c r="H5761">
        <v>-0.05</v>
      </c>
      <c r="I5761">
        <v>5.5065770000000001</v>
      </c>
      <c r="J5761">
        <v>-321.3433</v>
      </c>
      <c r="K5761">
        <v>1.107307</v>
      </c>
      <c r="L5761">
        <v>16.221499999999999</v>
      </c>
      <c r="M5761">
        <v>0.99081129999999995</v>
      </c>
      <c r="N5761">
        <v>0</v>
      </c>
      <c r="O5761">
        <v>-0.134500799999999</v>
      </c>
      <c r="P5761">
        <v>0.96038089999999998</v>
      </c>
      <c r="Q5761">
        <v>-2.199036E-2</v>
      </c>
      <c r="R5761">
        <v>-0.27782279999999998</v>
      </c>
      <c r="S5761">
        <v>2.6827700000000001</v>
      </c>
      <c r="T5761">
        <v>-0.16367699999999999</v>
      </c>
      <c r="U5761">
        <v>-1.518799</v>
      </c>
      <c r="V5761">
        <v>0.14605409999999999</v>
      </c>
      <c r="W5761">
        <v>-8.9243280000000005E-3</v>
      </c>
      <c r="X5761">
        <v>0.98923640000000002</v>
      </c>
      <c r="Y5761">
        <v>0.37079709999999999</v>
      </c>
      <c r="Z5761">
        <v>-2.9706680000000001E-3</v>
      </c>
      <c r="AA5761">
        <v>0.92870909999999995</v>
      </c>
      <c r="AB5761">
        <v>29</v>
      </c>
      <c r="AC5761">
        <v>18.803599999999999</v>
      </c>
      <c r="AD5761">
        <v>-1.1573069999999901</v>
      </c>
      <c r="AE5761">
        <v>-10.714923000000001</v>
      </c>
      <c r="AF5761">
        <v>8.0651240833992102</v>
      </c>
      <c r="AG5761">
        <v>-1.1573069999999901</v>
      </c>
      <c r="AH5761">
        <v>20.016779175089201</v>
      </c>
      <c r="AI5761">
        <v>93.069686612508093</v>
      </c>
      <c r="AJ5761">
        <v>68.054598672613096</v>
      </c>
      <c r="AK5761">
        <v>21.611502366035499</v>
      </c>
      <c r="AL5761">
        <v>90.511333091676605</v>
      </c>
      <c r="AM5761">
        <v>81.601339000067796</v>
      </c>
      <c r="AN5761">
        <v>1.000000049421</v>
      </c>
    </row>
    <row r="5762" spans="1:40" x14ac:dyDescent="0.25">
      <c r="A5762" t="str">
        <f>"20190312161429616"</f>
        <v>20190312161429616</v>
      </c>
      <c r="B5762" t="str">
        <f>"1552378469601992"</f>
        <v>1552378469601992</v>
      </c>
      <c r="C5762" t="s">
        <v>40</v>
      </c>
      <c r="D5762">
        <v>5.7905730000000002</v>
      </c>
      <c r="E5762">
        <v>0.59089309999999995</v>
      </c>
      <c r="F5762" t="s">
        <v>41</v>
      </c>
      <c r="G5762">
        <v>-302.39769999999999</v>
      </c>
      <c r="H5762">
        <v>-0.05</v>
      </c>
      <c r="I5762">
        <v>5.4213100000000001</v>
      </c>
      <c r="J5762">
        <v>-321.18619999999999</v>
      </c>
      <c r="K5762">
        <v>1.1072439999999999</v>
      </c>
      <c r="L5762">
        <v>16.198029999999999</v>
      </c>
      <c r="M5762">
        <v>0.99047359999999895</v>
      </c>
      <c r="N5762">
        <v>0</v>
      </c>
      <c r="O5762">
        <v>-0.13698279999999999</v>
      </c>
      <c r="P5762">
        <v>0.95953940000000004</v>
      </c>
      <c r="Q5762">
        <v>-2.191156E-2</v>
      </c>
      <c r="R5762">
        <v>-0.2807211</v>
      </c>
      <c r="S5762">
        <v>2.6783450000000002</v>
      </c>
      <c r="T5762">
        <v>-0.1636087</v>
      </c>
      <c r="U5762">
        <v>-1.5268250000000001</v>
      </c>
      <c r="V5762">
        <v>0.14656159999999999</v>
      </c>
      <c r="W5762">
        <v>-9.018514E-3</v>
      </c>
      <c r="X5762">
        <v>0.98916040000000005</v>
      </c>
      <c r="Y5762">
        <v>0.37123450000000002</v>
      </c>
      <c r="Z5762">
        <v>-2.8470510000000002E-3</v>
      </c>
      <c r="AA5762">
        <v>0.92853479999999999</v>
      </c>
      <c r="AB5762">
        <v>29</v>
      </c>
      <c r="AC5762">
        <v>18.788499999999999</v>
      </c>
      <c r="AD5762">
        <v>-1.1572439999999999</v>
      </c>
      <c r="AE5762">
        <v>-10.776719999999999</v>
      </c>
      <c r="AF5762">
        <v>8.0780968169356893</v>
      </c>
      <c r="AG5762">
        <v>-1.1572439999999999</v>
      </c>
      <c r="AH5762">
        <v>20.030546069938701</v>
      </c>
      <c r="AI5762">
        <v>93.067020650430507</v>
      </c>
      <c r="AJ5762">
        <v>68.036326801282897</v>
      </c>
      <c r="AK5762">
        <v>21.629092392406498</v>
      </c>
      <c r="AL5762">
        <v>90.516729811703499</v>
      </c>
      <c r="AM5762">
        <v>81.571936014734504</v>
      </c>
      <c r="AN5762">
        <v>0.99999996655874301</v>
      </c>
    </row>
    <row r="5763" spans="1:40" x14ac:dyDescent="0.25">
      <c r="A5763" t="str">
        <f>"20190312161429629"</f>
        <v>20190312161429629</v>
      </c>
      <c r="B5763" t="str">
        <f>"1552378469622488"</f>
        <v>1552378469622488</v>
      </c>
      <c r="C5763" t="s">
        <v>40</v>
      </c>
      <c r="D5763">
        <v>5.6232100000000003</v>
      </c>
      <c r="E5763">
        <v>0.59107149999999997</v>
      </c>
      <c r="F5763" t="s">
        <v>41</v>
      </c>
      <c r="G5763">
        <v>-302.57249999999999</v>
      </c>
      <c r="H5763">
        <v>-0.05</v>
      </c>
      <c r="I5763">
        <v>5.5159149999999997</v>
      </c>
      <c r="J5763">
        <v>-321.02350000000001</v>
      </c>
      <c r="K5763">
        <v>1.10717</v>
      </c>
      <c r="L5763">
        <v>16.173579999999902</v>
      </c>
      <c r="M5763">
        <v>0.99008110000000005</v>
      </c>
      <c r="N5763">
        <v>0</v>
      </c>
      <c r="O5763">
        <v>-0.13982020000000001</v>
      </c>
      <c r="P5763">
        <v>0.95854539999999999</v>
      </c>
      <c r="Q5763">
        <v>-2.1752609999999999E-2</v>
      </c>
      <c r="R5763">
        <v>-0.28410930000000001</v>
      </c>
      <c r="S5763">
        <v>2.6737980000000001</v>
      </c>
      <c r="T5763">
        <v>-0.16623450000000001</v>
      </c>
      <c r="U5763">
        <v>-1.534454</v>
      </c>
      <c r="V5763">
        <v>0.14722089999999999</v>
      </c>
      <c r="W5763">
        <v>-9.1451850000000001E-3</v>
      </c>
      <c r="X5763">
        <v>0.98906139999999998</v>
      </c>
      <c r="Y5763">
        <v>0.37124289999999999</v>
      </c>
      <c r="Z5763">
        <v>-2.7360869999999999E-3</v>
      </c>
      <c r="AA5763">
        <v>0.92853180000000002</v>
      </c>
      <c r="AB5763">
        <v>28</v>
      </c>
      <c r="AC5763">
        <v>18.451000000000001</v>
      </c>
      <c r="AD5763">
        <v>-1.15717</v>
      </c>
      <c r="AE5763">
        <v>-10.6576649999999</v>
      </c>
      <c r="AF5763">
        <v>7.9494415091294597</v>
      </c>
      <c r="AG5763">
        <v>-1.15717</v>
      </c>
      <c r="AH5763">
        <v>19.701911589928699</v>
      </c>
      <c r="AI5763">
        <v>93.117667905584895</v>
      </c>
      <c r="AJ5763">
        <v>68.026624042763004</v>
      </c>
      <c r="AK5763">
        <v>21.276700472896099</v>
      </c>
      <c r="AL5763">
        <v>90.5239877862779</v>
      </c>
      <c r="AM5763">
        <v>81.533735882141002</v>
      </c>
      <c r="AN5763">
        <v>1.0000000403877201</v>
      </c>
    </row>
    <row r="5764" spans="1:40" x14ac:dyDescent="0.25">
      <c r="A5764" t="str">
        <f>"20190312161429641"</f>
        <v>20190312161429641</v>
      </c>
      <c r="B5764" t="str">
        <f>"1552378469632249"</f>
        <v>1552378469632249</v>
      </c>
      <c r="C5764" t="s">
        <v>40</v>
      </c>
      <c r="D5764">
        <v>5.6307650000000002</v>
      </c>
      <c r="E5764">
        <v>0.59119109999999997</v>
      </c>
      <c r="F5764" t="s">
        <v>41</v>
      </c>
      <c r="G5764">
        <v>-302.35559999999998</v>
      </c>
      <c r="H5764">
        <v>-0.05</v>
      </c>
      <c r="I5764">
        <v>5.3614649999999999</v>
      </c>
      <c r="J5764">
        <v>-320.8612</v>
      </c>
      <c r="K5764">
        <v>1.106894</v>
      </c>
      <c r="L5764">
        <v>16.148529999999901</v>
      </c>
      <c r="M5764">
        <v>0.98971350000000002</v>
      </c>
      <c r="N5764">
        <v>0</v>
      </c>
      <c r="O5764">
        <v>-0.1424356</v>
      </c>
      <c r="P5764">
        <v>0.95764439999999995</v>
      </c>
      <c r="Q5764">
        <v>-2.160368E-2</v>
      </c>
      <c r="R5764">
        <v>-0.2871417</v>
      </c>
      <c r="S5764">
        <v>2.667999</v>
      </c>
      <c r="T5764">
        <v>-0.16538139999999901</v>
      </c>
      <c r="U5764">
        <v>-1.545258</v>
      </c>
      <c r="V5764">
        <v>0.14773349999999999</v>
      </c>
      <c r="W5764">
        <v>-9.4411800000000004E-3</v>
      </c>
      <c r="X5764">
        <v>0.98898209999999998</v>
      </c>
      <c r="Y5764">
        <v>0.37248629999999999</v>
      </c>
      <c r="Z5764">
        <v>-2.614576E-3</v>
      </c>
      <c r="AA5764">
        <v>0.92803400000000003</v>
      </c>
      <c r="AB5764">
        <v>29</v>
      </c>
      <c r="AC5764">
        <v>18.505600000000001</v>
      </c>
      <c r="AD5764">
        <v>-1.1568940000000001</v>
      </c>
      <c r="AE5764">
        <v>-10.787064999999901</v>
      </c>
      <c r="AF5764">
        <v>8.0175806373379999</v>
      </c>
      <c r="AG5764">
        <v>-1.1568940000000001</v>
      </c>
      <c r="AH5764">
        <v>19.795738511135902</v>
      </c>
      <c r="AI5764">
        <v>93.100536024362697</v>
      </c>
      <c r="AJ5764">
        <v>67.9512903277531</v>
      </c>
      <c r="AK5764">
        <v>21.3890454720337</v>
      </c>
      <c r="AL5764">
        <v>90.540947826579895</v>
      </c>
      <c r="AM5764">
        <v>81.504015855201203</v>
      </c>
      <c r="AN5764">
        <v>0.99999995851122503</v>
      </c>
    </row>
    <row r="5765" spans="1:40" x14ac:dyDescent="0.25">
      <c r="A5765" t="str">
        <f>"20190312161429656"</f>
        <v>20190312161429656</v>
      </c>
      <c r="B5765" t="str">
        <f>"1552378469651768"</f>
        <v>1552378469651768</v>
      </c>
      <c r="C5765" t="s">
        <v>40</v>
      </c>
      <c r="D5765">
        <v>5.7024559999999997</v>
      </c>
      <c r="E5765">
        <v>0.59135519999999997</v>
      </c>
      <c r="F5765" t="s">
        <v>41</v>
      </c>
      <c r="G5765">
        <v>-302.10570000000001</v>
      </c>
      <c r="H5765">
        <v>-0.05</v>
      </c>
      <c r="I5765">
        <v>5.198639</v>
      </c>
      <c r="J5765">
        <v>-320.67329999999998</v>
      </c>
      <c r="K5765">
        <v>1.10653</v>
      </c>
      <c r="L5765">
        <v>16.11908</v>
      </c>
      <c r="M5765">
        <v>0.98930879999999999</v>
      </c>
      <c r="N5765">
        <v>0</v>
      </c>
      <c r="O5765">
        <v>-0.14524479999999901</v>
      </c>
      <c r="P5765">
        <v>0.95634430000000004</v>
      </c>
      <c r="Q5765">
        <v>-2.1896510000000001E-2</v>
      </c>
      <c r="R5765">
        <v>-0.29142109999999999</v>
      </c>
      <c r="S5765">
        <v>2.6628419999999999</v>
      </c>
      <c r="T5765">
        <v>-0.1642516</v>
      </c>
      <c r="U5765">
        <v>-1.5546260000000001</v>
      </c>
      <c r="V5765">
        <v>0.14933979999999999</v>
      </c>
      <c r="W5765">
        <v>-1.008859E-2</v>
      </c>
      <c r="X5765">
        <v>0.98873449999999996</v>
      </c>
      <c r="Y5765">
        <v>0.37307760000000001</v>
      </c>
      <c r="Z5765">
        <v>-2.460205E-3</v>
      </c>
      <c r="AA5765">
        <v>0.92779679999999998</v>
      </c>
      <c r="AB5765">
        <v>29</v>
      </c>
      <c r="AC5765">
        <v>18.567599999999899</v>
      </c>
      <c r="AD5765">
        <v>-1.1565299999999901</v>
      </c>
      <c r="AE5765">
        <v>-10.920441</v>
      </c>
      <c r="AF5765">
        <v>8.0842348620574107</v>
      </c>
      <c r="AG5765">
        <v>-1.1565299999999901</v>
      </c>
      <c r="AH5765">
        <v>19.8995815907323</v>
      </c>
      <c r="AI5765">
        <v>93.082094405043307</v>
      </c>
      <c r="AJ5765">
        <v>67.8904779085006</v>
      </c>
      <c r="AK5765">
        <v>21.5101316228427</v>
      </c>
      <c r="AL5765">
        <v>90.578043414664407</v>
      </c>
      <c r="AM5765">
        <v>81.4108909253615</v>
      </c>
      <c r="AN5765">
        <v>1.00000003350123</v>
      </c>
    </row>
    <row r="5766" spans="1:40" x14ac:dyDescent="0.25">
      <c r="A5766" t="str">
        <f>"20190312161429667"</f>
        <v>20190312161429667</v>
      </c>
      <c r="B5766" t="str">
        <f>"1552378469662505"</f>
        <v>1552378469662505</v>
      </c>
      <c r="C5766" t="s">
        <v>40</v>
      </c>
      <c r="D5766">
        <v>5.7209130000000004</v>
      </c>
      <c r="E5766">
        <v>0.5913484</v>
      </c>
      <c r="F5766" t="s">
        <v>41</v>
      </c>
      <c r="G5766">
        <v>-301.84480000000002</v>
      </c>
      <c r="H5766">
        <v>-0.05</v>
      </c>
      <c r="I5766">
        <v>5.0022890000000002</v>
      </c>
      <c r="J5766">
        <v>-320.52719999999999</v>
      </c>
      <c r="K5766">
        <v>1.1062099999999999</v>
      </c>
      <c r="L5766">
        <v>16.09592</v>
      </c>
      <c r="M5766">
        <v>0.98900969999999999</v>
      </c>
      <c r="N5766">
        <v>0</v>
      </c>
      <c r="O5766">
        <v>-0.14727290000000001</v>
      </c>
      <c r="P5766">
        <v>0.95552380000000003</v>
      </c>
      <c r="Q5766">
        <v>-2.1673009999999999E-2</v>
      </c>
      <c r="R5766">
        <v>-0.29411690000000001</v>
      </c>
      <c r="S5766">
        <v>2.6554570000000002</v>
      </c>
      <c r="T5766">
        <v>-0.1631097</v>
      </c>
      <c r="U5766">
        <v>-1.567841</v>
      </c>
      <c r="V5766">
        <v>0.15009620000000001</v>
      </c>
      <c r="W5766">
        <v>-1.0015359999999999E-2</v>
      </c>
      <c r="X5766">
        <v>0.98862059999999996</v>
      </c>
      <c r="Y5766">
        <v>0.37573089999999998</v>
      </c>
      <c r="Z5766">
        <v>-2.4102199999999998E-3</v>
      </c>
      <c r="AA5766">
        <v>0.92672569999999999</v>
      </c>
      <c r="AB5766">
        <v>29</v>
      </c>
      <c r="AC5766">
        <v>18.682399999999902</v>
      </c>
      <c r="AD5766">
        <v>-1.15621</v>
      </c>
      <c r="AE5766">
        <v>-11.093630999999901</v>
      </c>
      <c r="AF5766">
        <v>8.1977851199179899</v>
      </c>
      <c r="AG5766">
        <v>-1.15621</v>
      </c>
      <c r="AH5766">
        <v>20.055789887482199</v>
      </c>
      <c r="AI5766">
        <v>93.0546278938955</v>
      </c>
      <c r="AJ5766">
        <v>67.767757238022</v>
      </c>
      <c r="AK5766">
        <v>21.697354918221802</v>
      </c>
      <c r="AL5766">
        <v>90.573847490141901</v>
      </c>
      <c r="AM5766">
        <v>81.367061603604995</v>
      </c>
      <c r="AN5766">
        <v>0.99999993371736196</v>
      </c>
    </row>
    <row r="5767" spans="1:40" x14ac:dyDescent="0.25">
      <c r="A5767" t="str">
        <f>"20190312161429679"</f>
        <v>20190312161429679</v>
      </c>
      <c r="B5767" t="str">
        <f>"1552378469672263"</f>
        <v>1552378469672263</v>
      </c>
      <c r="C5767" t="s">
        <v>40</v>
      </c>
      <c r="D5767">
        <v>5.6669609999999997</v>
      </c>
      <c r="E5767">
        <v>0.59137200000000001</v>
      </c>
      <c r="F5767" t="s">
        <v>41</v>
      </c>
      <c r="G5767">
        <v>-301.56909999999999</v>
      </c>
      <c r="H5767">
        <v>-0.05</v>
      </c>
      <c r="I5767">
        <v>4.8312839999999904</v>
      </c>
      <c r="J5767">
        <v>-320.37830000000002</v>
      </c>
      <c r="K5767">
        <v>1.105855</v>
      </c>
      <c r="L5767">
        <v>16.07169</v>
      </c>
      <c r="M5767">
        <v>0.9887089</v>
      </c>
      <c r="N5767">
        <v>0</v>
      </c>
      <c r="O5767">
        <v>-0.14926389999999901</v>
      </c>
      <c r="P5767">
        <v>0.95469119999999996</v>
      </c>
      <c r="Q5767">
        <v>-2.1813430000000002E-2</v>
      </c>
      <c r="R5767">
        <v>-0.29679820000000001</v>
      </c>
      <c r="S5767">
        <v>2.6511230000000001</v>
      </c>
      <c r="T5767">
        <v>-0.16168550000000001</v>
      </c>
      <c r="U5767">
        <v>-1.575256</v>
      </c>
      <c r="V5767">
        <v>0.15087700000000001</v>
      </c>
      <c r="W5767">
        <v>-1.004523E-2</v>
      </c>
      <c r="X5767">
        <v>0.98850150000000003</v>
      </c>
      <c r="Y5767">
        <v>0.37645289999999998</v>
      </c>
      <c r="Z5767">
        <v>-2.3027149999999999E-3</v>
      </c>
      <c r="AA5767">
        <v>0.9264329</v>
      </c>
      <c r="AB5767">
        <v>29</v>
      </c>
      <c r="AC5767">
        <v>18.809200000000001</v>
      </c>
      <c r="AD5767">
        <v>-1.1558549999999901</v>
      </c>
      <c r="AE5767">
        <v>-11.240406</v>
      </c>
      <c r="AF5767">
        <v>8.2836320183601604</v>
      </c>
      <c r="AG5767">
        <v>-1.1558549999999901</v>
      </c>
      <c r="AH5767">
        <v>20.220120721767799</v>
      </c>
      <c r="AI5767">
        <v>93.027941874486899</v>
      </c>
      <c r="AJ5767">
        <v>67.722425504328598</v>
      </c>
      <c r="AK5767">
        <v>21.8816782308736</v>
      </c>
      <c r="AL5767">
        <v>90.575558965645996</v>
      </c>
      <c r="AM5767">
        <v>81.321805327432003</v>
      </c>
      <c r="AN5767">
        <v>0.99999999563850095</v>
      </c>
    </row>
    <row r="5768" spans="1:40" x14ac:dyDescent="0.25">
      <c r="A5768" t="str">
        <f>"20190312161429689"</f>
        <v>20190312161429689</v>
      </c>
      <c r="B5768" t="str">
        <f>"1552378469682025"</f>
        <v>1552378469682025</v>
      </c>
      <c r="C5768" t="s">
        <v>40</v>
      </c>
      <c r="D5768">
        <v>5.6531169999999999</v>
      </c>
      <c r="E5768">
        <v>0.5913889</v>
      </c>
      <c r="F5768" t="s">
        <v>41</v>
      </c>
      <c r="G5768">
        <v>-301.55560000000003</v>
      </c>
      <c r="H5768">
        <v>-0.05</v>
      </c>
      <c r="I5768">
        <v>4.8131409999999999</v>
      </c>
      <c r="J5768">
        <v>-320.23840000000001</v>
      </c>
      <c r="K5768">
        <v>1.105497</v>
      </c>
      <c r="L5768">
        <v>16.0488</v>
      </c>
      <c r="M5768">
        <v>0.98841939999999995</v>
      </c>
      <c r="N5768">
        <v>0</v>
      </c>
      <c r="O5768">
        <v>-0.15114830000000001</v>
      </c>
      <c r="P5768">
        <v>0.95385120000000001</v>
      </c>
      <c r="Q5768">
        <v>-2.1735600000000001E-2</v>
      </c>
      <c r="R5768">
        <v>-0.29949239999999999</v>
      </c>
      <c r="S5768">
        <v>2.646515</v>
      </c>
      <c r="T5768">
        <v>-0.16251579999999999</v>
      </c>
      <c r="U5768">
        <v>-1.5829770000000001</v>
      </c>
      <c r="V5768">
        <v>0.15178120000000001</v>
      </c>
      <c r="W5768">
        <v>-9.8207079999999992E-3</v>
      </c>
      <c r="X5768">
        <v>0.98836539999999995</v>
      </c>
      <c r="Y5768">
        <v>0.37738559999999999</v>
      </c>
      <c r="Z5768">
        <v>-2.2395200000000001E-3</v>
      </c>
      <c r="AA5768">
        <v>0.92605349999999997</v>
      </c>
      <c r="AB5768">
        <v>29</v>
      </c>
      <c r="AC5768">
        <v>18.682799999999901</v>
      </c>
      <c r="AD5768">
        <v>-1.155497</v>
      </c>
      <c r="AE5768">
        <v>-11.235658999999901</v>
      </c>
      <c r="AF5768">
        <v>8.2592188808887403</v>
      </c>
      <c r="AG5768">
        <v>-1.155497</v>
      </c>
      <c r="AH5768">
        <v>20.110027750595801</v>
      </c>
      <c r="AI5768">
        <v>93.042449025270002</v>
      </c>
      <c r="AJ5768">
        <v>67.671969677791395</v>
      </c>
      <c r="AK5768">
        <v>21.770693281776101</v>
      </c>
      <c r="AL5768">
        <v>90.562694125234998</v>
      </c>
      <c r="AM5768">
        <v>81.269412478716504</v>
      </c>
      <c r="AN5768">
        <v>1.0000000714481001</v>
      </c>
    </row>
    <row r="5769" spans="1:40" x14ac:dyDescent="0.25">
      <c r="A5769" t="str">
        <f>"20190312161429701"</f>
        <v>20190312161429701</v>
      </c>
      <c r="B5769" t="str">
        <f>"1552378469691785"</f>
        <v>1552378469691785</v>
      </c>
      <c r="C5769" t="s">
        <v>40</v>
      </c>
      <c r="D5769">
        <v>5.9546409999999996</v>
      </c>
      <c r="E5769">
        <v>0.59129449999999995</v>
      </c>
      <c r="F5769" t="s">
        <v>41</v>
      </c>
      <c r="G5769">
        <v>-301.39170000000001</v>
      </c>
      <c r="H5769">
        <v>-0.05</v>
      </c>
      <c r="I5769">
        <v>4.7025449999999998</v>
      </c>
      <c r="J5769">
        <v>-320.09350000000001</v>
      </c>
      <c r="K5769">
        <v>1.105062</v>
      </c>
      <c r="L5769">
        <v>16.024570000000001</v>
      </c>
      <c r="M5769">
        <v>0.98809800000000003</v>
      </c>
      <c r="N5769">
        <v>0</v>
      </c>
      <c r="O5769">
        <v>-0.153203799999999</v>
      </c>
      <c r="P5769">
        <v>0.95301159999999996</v>
      </c>
      <c r="Q5769">
        <v>-2.2198840000000001E-2</v>
      </c>
      <c r="R5769">
        <v>-0.30211979999999999</v>
      </c>
      <c r="S5769">
        <v>2.642029</v>
      </c>
      <c r="T5769">
        <v>-0.161983399999999</v>
      </c>
      <c r="U5769">
        <v>-1.590576</v>
      </c>
      <c r="V5769">
        <v>0.15244479999999999</v>
      </c>
      <c r="W5769">
        <v>-9.9954210000000009E-3</v>
      </c>
      <c r="X5769">
        <v>0.98826150000000001</v>
      </c>
      <c r="Y5769">
        <v>0.37811230000000001</v>
      </c>
      <c r="Z5769">
        <v>-2.1420839999999998E-3</v>
      </c>
      <c r="AA5769">
        <v>0.92575719999999995</v>
      </c>
      <c r="AB5769">
        <v>29</v>
      </c>
      <c r="AC5769">
        <v>18.701799999999899</v>
      </c>
      <c r="AD5769">
        <v>-1.155062</v>
      </c>
      <c r="AE5769">
        <v>-11.322025</v>
      </c>
      <c r="AF5769">
        <v>8.2997096995215092</v>
      </c>
      <c r="AG5769">
        <v>-1.155062</v>
      </c>
      <c r="AH5769">
        <v>20.159444119497099</v>
      </c>
      <c r="AI5769">
        <v>93.0327978539122</v>
      </c>
      <c r="AJ5769">
        <v>67.622873190519499</v>
      </c>
      <c r="AK5769">
        <v>21.8316865250329</v>
      </c>
      <c r="AL5769">
        <v>90.572704940616305</v>
      </c>
      <c r="AM5769">
        <v>81.230926029496601</v>
      </c>
      <c r="AN5769">
        <v>1.0000000589351199</v>
      </c>
    </row>
    <row r="5770" spans="1:40" x14ac:dyDescent="0.25">
      <c r="A5770" t="str">
        <f>"20190312161429712"</f>
        <v>20190312161429712</v>
      </c>
      <c r="B5770" t="str">
        <f>"1552378469702521"</f>
        <v>1552378469702521</v>
      </c>
      <c r="C5770" t="s">
        <v>40</v>
      </c>
      <c r="D5770">
        <v>5.6720110000000004</v>
      </c>
      <c r="E5770">
        <v>0.59132030000000002</v>
      </c>
      <c r="F5770" t="s">
        <v>41</v>
      </c>
      <c r="G5770">
        <v>-301.62799999999999</v>
      </c>
      <c r="H5770">
        <v>-0.05</v>
      </c>
      <c r="I5770">
        <v>4.8446350000000002</v>
      </c>
      <c r="J5770">
        <v>-319.96129999999999</v>
      </c>
      <c r="K5770">
        <v>1.1046309999999999</v>
      </c>
      <c r="L5770">
        <v>16.002320000000001</v>
      </c>
      <c r="M5770">
        <v>0.98780290000000004</v>
      </c>
      <c r="N5770">
        <v>0</v>
      </c>
      <c r="O5770">
        <v>-0.15506</v>
      </c>
      <c r="P5770">
        <v>0.95222739999999995</v>
      </c>
      <c r="Q5770">
        <v>-2.2285619999999999E-2</v>
      </c>
      <c r="R5770">
        <v>-0.30457659999999998</v>
      </c>
      <c r="S5770">
        <v>2.6377869999999999</v>
      </c>
      <c r="T5770">
        <v>-0.1649997</v>
      </c>
      <c r="U5770">
        <v>-1.597046</v>
      </c>
      <c r="V5770">
        <v>0.15313570000000001</v>
      </c>
      <c r="W5770">
        <v>-9.7537649999999993E-3</v>
      </c>
      <c r="X5770">
        <v>0.98815699999999995</v>
      </c>
      <c r="Y5770">
        <v>0.3786833</v>
      </c>
      <c r="Z5770">
        <v>-2.0966869999999999E-3</v>
      </c>
      <c r="AA5770">
        <v>0.92552389999999995</v>
      </c>
      <c r="AB5770">
        <v>29</v>
      </c>
      <c r="AC5770">
        <v>18.333300000000001</v>
      </c>
      <c r="AD5770">
        <v>-1.154631</v>
      </c>
      <c r="AE5770">
        <v>-11.157685000000001</v>
      </c>
      <c r="AF5770">
        <v>8.1560506909073602</v>
      </c>
      <c r="AG5770">
        <v>-1.154631</v>
      </c>
      <c r="AH5770">
        <v>19.784535546354899</v>
      </c>
      <c r="AI5770">
        <v>93.088420153290201</v>
      </c>
      <c r="AJ5770">
        <v>67.596401809567098</v>
      </c>
      <c r="AK5770">
        <v>21.4308698471105</v>
      </c>
      <c r="AL5770">
        <v>90.558858448463099</v>
      </c>
      <c r="AM5770">
        <v>81.190888395516495</v>
      </c>
      <c r="AN5770">
        <v>0.99999996759758203</v>
      </c>
    </row>
    <row r="5771" spans="1:40" x14ac:dyDescent="0.25">
      <c r="A5771" t="str">
        <f>"20190312161429723"</f>
        <v>20190312161429723</v>
      </c>
      <c r="B5771" t="str">
        <f>"1552378469712280"</f>
        <v>1552378469712280</v>
      </c>
      <c r="C5771" t="s">
        <v>40</v>
      </c>
      <c r="D5771">
        <v>5.7844959999999999</v>
      </c>
      <c r="E5771">
        <v>0.59131990000000001</v>
      </c>
      <c r="F5771" t="s">
        <v>41</v>
      </c>
      <c r="G5771">
        <v>-301.57799999999997</v>
      </c>
      <c r="H5771">
        <v>-0.05</v>
      </c>
      <c r="I5771">
        <v>4.8045809999999998</v>
      </c>
      <c r="J5771">
        <v>-319.82260000000002</v>
      </c>
      <c r="K5771">
        <v>1.104125</v>
      </c>
      <c r="L5771">
        <v>15.97852</v>
      </c>
      <c r="M5771">
        <v>0.9874927</v>
      </c>
      <c r="N5771">
        <v>0</v>
      </c>
      <c r="O5771">
        <v>-0.1569731</v>
      </c>
      <c r="P5771">
        <v>0.95144669999999998</v>
      </c>
      <c r="Q5771">
        <v>-2.2830159999999999E-2</v>
      </c>
      <c r="R5771">
        <v>-0.30696639999999997</v>
      </c>
      <c r="S5771">
        <v>2.6335449999999998</v>
      </c>
      <c r="T5771">
        <v>-0.16540920000000001</v>
      </c>
      <c r="U5771">
        <v>-1.6041559999999999</v>
      </c>
      <c r="V5771">
        <v>0.15369969999999999</v>
      </c>
      <c r="W5771">
        <v>-9.8223560000000008E-3</v>
      </c>
      <c r="X5771">
        <v>0.98806879999999997</v>
      </c>
      <c r="Y5771">
        <v>0.3793744</v>
      </c>
      <c r="Z5771">
        <v>-2.016557E-3</v>
      </c>
      <c r="AA5771">
        <v>0.92524110000000004</v>
      </c>
      <c r="AB5771">
        <v>29</v>
      </c>
      <c r="AC5771">
        <v>18.244599999999998</v>
      </c>
      <c r="AD5771">
        <v>-1.1541250000000001</v>
      </c>
      <c r="AE5771">
        <v>-11.173939000000001</v>
      </c>
      <c r="AF5771">
        <v>8.1474512359907294</v>
      </c>
      <c r="AG5771">
        <v>-1.1541250000000001</v>
      </c>
      <c r="AH5771">
        <v>19.715196042341301</v>
      </c>
      <c r="AI5771">
        <v>93.096800460157496</v>
      </c>
      <c r="AJ5771">
        <v>67.546775492856796</v>
      </c>
      <c r="AK5771">
        <v>21.363565272360798</v>
      </c>
      <c r="AL5771">
        <v>90.562788584999296</v>
      </c>
      <c r="AM5771">
        <v>81.158179274777098</v>
      </c>
      <c r="AN5771">
        <v>1.00000001499546</v>
      </c>
    </row>
    <row r="5772" spans="1:40" x14ac:dyDescent="0.25">
      <c r="A5772" t="str">
        <f>"20190312161429733"</f>
        <v>20190312161429733</v>
      </c>
      <c r="B5772" t="str">
        <f>"1552378469722040"</f>
        <v>1552378469722040</v>
      </c>
      <c r="C5772" t="s">
        <v>40</v>
      </c>
      <c r="D5772">
        <v>5.7460269999999998</v>
      </c>
      <c r="E5772">
        <v>0.59130869999999902</v>
      </c>
      <c r="F5772" t="s">
        <v>41</v>
      </c>
      <c r="G5772">
        <v>-301.61070000000001</v>
      </c>
      <c r="H5772">
        <v>-0.05</v>
      </c>
      <c r="I5772">
        <v>4.8243099999999997</v>
      </c>
      <c r="J5772">
        <v>-319.68180000000001</v>
      </c>
      <c r="K5772">
        <v>1.103566</v>
      </c>
      <c r="L5772">
        <v>15.95407</v>
      </c>
      <c r="M5772">
        <v>0.98718159999999999</v>
      </c>
      <c r="N5772">
        <v>0</v>
      </c>
      <c r="O5772">
        <v>-0.15885769999999999</v>
      </c>
      <c r="P5772">
        <v>0.95054609999999995</v>
      </c>
      <c r="Q5772">
        <v>-2.3503260000000002E-2</v>
      </c>
      <c r="R5772">
        <v>-0.3096933</v>
      </c>
      <c r="S5772">
        <v>2.629486</v>
      </c>
      <c r="T5772">
        <v>-0.16663559999999999</v>
      </c>
      <c r="U5772">
        <v>-1.610474</v>
      </c>
      <c r="V5772">
        <v>0.154644</v>
      </c>
      <c r="W5772">
        <v>-9.9325349999999993E-3</v>
      </c>
      <c r="X5772">
        <v>0.98792029999999997</v>
      </c>
      <c r="Y5772">
        <v>0.37985669999999999</v>
      </c>
      <c r="Z5772">
        <v>-1.94096E-3</v>
      </c>
      <c r="AA5772">
        <v>0.92504330000000001</v>
      </c>
      <c r="AB5772">
        <v>29</v>
      </c>
      <c r="AC5772">
        <v>18.071100000000001</v>
      </c>
      <c r="AD5772">
        <v>-1.1535660000000001</v>
      </c>
      <c r="AE5772">
        <v>-11.129759999999999</v>
      </c>
      <c r="AF5772">
        <v>8.0934115234985899</v>
      </c>
      <c r="AG5772">
        <v>-1.1535660000000001</v>
      </c>
      <c r="AH5772">
        <v>19.552064376140098</v>
      </c>
      <c r="AI5772">
        <v>93.120325590361603</v>
      </c>
      <c r="AJ5772">
        <v>67.513304821892703</v>
      </c>
      <c r="AK5772">
        <v>21.1923865096356</v>
      </c>
      <c r="AL5772">
        <v>90.569101709855303</v>
      </c>
      <c r="AM5772">
        <v>81.103407305486002</v>
      </c>
      <c r="AN5772">
        <v>0.99999997056980705</v>
      </c>
    </row>
    <row r="5773" spans="1:40" x14ac:dyDescent="0.25">
      <c r="A5773" t="str">
        <f>"20190312161429744"</f>
        <v>20190312161429744</v>
      </c>
      <c r="B5773" t="str">
        <f>"1552378469731802"</f>
        <v>1552378469731802</v>
      </c>
      <c r="C5773" t="s">
        <v>40</v>
      </c>
      <c r="D5773">
        <v>5.6585519999999896</v>
      </c>
      <c r="E5773">
        <v>0.591319699999999</v>
      </c>
      <c r="F5773" t="s">
        <v>41</v>
      </c>
      <c r="G5773">
        <v>-301.64609999999999</v>
      </c>
      <c r="H5773">
        <v>-0.05</v>
      </c>
      <c r="I5773">
        <v>4.8359829999999997</v>
      </c>
      <c r="J5773">
        <v>-319.54329999999999</v>
      </c>
      <c r="K5773">
        <v>1.1029709999999999</v>
      </c>
      <c r="L5773">
        <v>15.92975</v>
      </c>
      <c r="M5773">
        <v>0.98687879999999994</v>
      </c>
      <c r="N5773">
        <v>0</v>
      </c>
      <c r="O5773">
        <v>-0.16066050000000001</v>
      </c>
      <c r="P5773">
        <v>0.94976780000000005</v>
      </c>
      <c r="Q5773">
        <v>-2.4120349999999999E-2</v>
      </c>
      <c r="R5773">
        <v>-0.31202560000000001</v>
      </c>
      <c r="S5773">
        <v>2.6247859999999998</v>
      </c>
      <c r="T5773">
        <v>-0.16788129999999901</v>
      </c>
      <c r="U5773">
        <v>-1.618042</v>
      </c>
      <c r="V5773">
        <v>0.15526309999999999</v>
      </c>
      <c r="W5773">
        <v>-9.9137440000000004E-3</v>
      </c>
      <c r="X5773">
        <v>0.98782340000000002</v>
      </c>
      <c r="Y5773">
        <v>0.38083430000000001</v>
      </c>
      <c r="Z5773">
        <v>-1.883633E-3</v>
      </c>
      <c r="AA5773">
        <v>0.92464139999999995</v>
      </c>
      <c r="AB5773">
        <v>29</v>
      </c>
      <c r="AC5773">
        <v>17.897199999999899</v>
      </c>
      <c r="AD5773">
        <v>-1.152971</v>
      </c>
      <c r="AE5773">
        <v>-11.093767</v>
      </c>
      <c r="AF5773">
        <v>8.0497390750797404</v>
      </c>
      <c r="AG5773">
        <v>-1.152971</v>
      </c>
      <c r="AH5773">
        <v>19.389078366532502</v>
      </c>
      <c r="AI5773">
        <v>93.143520845341101</v>
      </c>
      <c r="AJ5773">
        <v>67.453303215455406</v>
      </c>
      <c r="AK5773">
        <v>21.0253181000251</v>
      </c>
      <c r="AL5773">
        <v>90.568025000176902</v>
      </c>
      <c r="AM5773">
        <v>81.067501860543203</v>
      </c>
      <c r="AN5773">
        <v>0.999999991064633</v>
      </c>
    </row>
    <row r="5774" spans="1:40" x14ac:dyDescent="0.25">
      <c r="A5774" t="str">
        <f>"20190312161429756"</f>
        <v>20190312161429756</v>
      </c>
      <c r="B5774" t="str">
        <f>"1552378469752296"</f>
        <v>1552378469752296</v>
      </c>
      <c r="C5774" t="s">
        <v>40</v>
      </c>
      <c r="D5774">
        <v>5.6631809999999998</v>
      </c>
      <c r="E5774">
        <v>0.59133590000000003</v>
      </c>
      <c r="F5774" t="s">
        <v>41</v>
      </c>
      <c r="G5774">
        <v>-301.78030000000001</v>
      </c>
      <c r="H5774">
        <v>-0.05</v>
      </c>
      <c r="I5774">
        <v>4.9176330000000004</v>
      </c>
      <c r="J5774">
        <v>-319.4006</v>
      </c>
      <c r="K5774">
        <v>1.1023350000000001</v>
      </c>
      <c r="L5774">
        <v>15.90414</v>
      </c>
      <c r="M5774">
        <v>0.98654719999999996</v>
      </c>
      <c r="N5774">
        <v>0</v>
      </c>
      <c r="O5774">
        <v>-0.16259849999999901</v>
      </c>
      <c r="P5774">
        <v>0.94887809999999995</v>
      </c>
      <c r="Q5774">
        <v>-2.5019420000000001E-2</v>
      </c>
      <c r="R5774">
        <v>-0.31464979999999998</v>
      </c>
      <c r="S5774">
        <v>2.6206049999999999</v>
      </c>
      <c r="T5774">
        <v>-0.17009939999999901</v>
      </c>
      <c r="U5774">
        <v>-1.6246339999999999</v>
      </c>
      <c r="V5774">
        <v>0.1560523</v>
      </c>
      <c r="W5774">
        <v>-1.0024959999999999E-2</v>
      </c>
      <c r="X5774">
        <v>0.98769790000000002</v>
      </c>
      <c r="Y5774">
        <v>0.38135029999999998</v>
      </c>
      <c r="Z5774">
        <v>-1.8138729999999999E-3</v>
      </c>
      <c r="AA5774">
        <v>0.92442880000000005</v>
      </c>
      <c r="AB5774">
        <v>29</v>
      </c>
      <c r="AC5774">
        <v>17.620299999999901</v>
      </c>
      <c r="AD5774">
        <v>-1.1523350000000001</v>
      </c>
      <c r="AE5774">
        <v>-10.986507</v>
      </c>
      <c r="AF5774">
        <v>7.9503310507226796</v>
      </c>
      <c r="AG5774">
        <v>-1.1523350000000001</v>
      </c>
      <c r="AH5774">
        <v>19.1135295120067</v>
      </c>
      <c r="AI5774">
        <v>93.186107152153696</v>
      </c>
      <c r="AJ5774">
        <v>67.414982300490706</v>
      </c>
      <c r="AK5774">
        <v>20.733129290453501</v>
      </c>
      <c r="AL5774">
        <v>90.574397530167701</v>
      </c>
      <c r="AM5774">
        <v>81.021713635669997</v>
      </c>
      <c r="AN5774">
        <v>0.99999998091135001</v>
      </c>
    </row>
    <row r="5775" spans="1:40" x14ac:dyDescent="0.25">
      <c r="A5775" t="str">
        <f>"20190312161429768"</f>
        <v>20190312161429768</v>
      </c>
      <c r="B5775" t="str">
        <f>"1552378469762061"</f>
        <v>1552378469762061</v>
      </c>
      <c r="C5775" t="s">
        <v>40</v>
      </c>
      <c r="D5775">
        <v>5.6623279999999996</v>
      </c>
      <c r="E5775">
        <v>0.59133259999999999</v>
      </c>
      <c r="F5775" t="s">
        <v>41</v>
      </c>
      <c r="G5775">
        <v>-302.03039999999999</v>
      </c>
      <c r="H5775">
        <v>-0.05</v>
      </c>
      <c r="I5775">
        <v>5.0666500000000001</v>
      </c>
      <c r="J5775">
        <v>-319.25009999999997</v>
      </c>
      <c r="K5775">
        <v>1.1016570000000001</v>
      </c>
      <c r="L5775">
        <v>15.87701</v>
      </c>
      <c r="M5775">
        <v>0.98618629999999996</v>
      </c>
      <c r="N5775">
        <v>0</v>
      </c>
      <c r="O5775">
        <v>-0.1646755</v>
      </c>
      <c r="P5775">
        <v>0.94794699999999998</v>
      </c>
      <c r="Q5775">
        <v>-2.6013169999999999E-2</v>
      </c>
      <c r="R5775">
        <v>-0.31736429999999999</v>
      </c>
      <c r="S5775">
        <v>2.615875</v>
      </c>
      <c r="T5775">
        <v>-0.17353689999999999</v>
      </c>
      <c r="U5775">
        <v>-1.63208</v>
      </c>
      <c r="V5775">
        <v>0.15679870000000001</v>
      </c>
      <c r="W5775">
        <v>-1.01298E-2</v>
      </c>
      <c r="X5775">
        <v>0.98757859999999997</v>
      </c>
      <c r="Y5775">
        <v>0.3820347</v>
      </c>
      <c r="Z5775">
        <v>-1.7510430000000001E-3</v>
      </c>
      <c r="AA5775">
        <v>0.92414629999999998</v>
      </c>
      <c r="AB5775">
        <v>28</v>
      </c>
      <c r="AC5775">
        <v>17.2196999999999</v>
      </c>
      <c r="AD5775">
        <v>-1.1516569999999999</v>
      </c>
      <c r="AE5775">
        <v>-10.810359999999999</v>
      </c>
      <c r="AF5775">
        <v>7.80158199249336</v>
      </c>
      <c r="AG5775">
        <v>-1.1516569999999999</v>
      </c>
      <c r="AH5775">
        <v>18.705008793600602</v>
      </c>
      <c r="AI5775">
        <v>93.252328507954601</v>
      </c>
      <c r="AJ5775">
        <v>67.359706151086797</v>
      </c>
      <c r="AK5775">
        <v>20.299466726983699</v>
      </c>
      <c r="AL5775">
        <v>90.580404732236303</v>
      </c>
      <c r="AM5775">
        <v>80.978403089584205</v>
      </c>
      <c r="AN5775">
        <v>0.99999996817384396</v>
      </c>
    </row>
    <row r="5776" spans="1:40" x14ac:dyDescent="0.25">
      <c r="A5776" t="str">
        <f>"20190312161429779"</f>
        <v>20190312161429779</v>
      </c>
      <c r="B5776" t="str">
        <f>"1552378469771816"</f>
        <v>1552378469771816</v>
      </c>
      <c r="C5776" t="s">
        <v>40</v>
      </c>
      <c r="D5776">
        <v>5.702299</v>
      </c>
      <c r="E5776">
        <v>0.59133519999999995</v>
      </c>
      <c r="F5776" t="s">
        <v>41</v>
      </c>
      <c r="G5776">
        <v>-302.2801</v>
      </c>
      <c r="H5776">
        <v>-0.05</v>
      </c>
      <c r="I5776">
        <v>5.2225039999999998</v>
      </c>
      <c r="J5776">
        <v>-319.10719999999998</v>
      </c>
      <c r="K5776">
        <v>1.1009799999999901</v>
      </c>
      <c r="L5776">
        <v>15.850619999999999</v>
      </c>
      <c r="M5776">
        <v>0.98578920000000003</v>
      </c>
      <c r="N5776">
        <v>0</v>
      </c>
      <c r="O5776">
        <v>-0.166930299999999</v>
      </c>
      <c r="P5776">
        <v>0.94695549999999995</v>
      </c>
      <c r="Q5776">
        <v>-2.689853E-2</v>
      </c>
      <c r="R5776">
        <v>-0.32023760000000001</v>
      </c>
      <c r="S5776">
        <v>2.6110229999999999</v>
      </c>
      <c r="T5776">
        <v>-0.17719509999999999</v>
      </c>
      <c r="U5776">
        <v>-1.639313</v>
      </c>
      <c r="V5776">
        <v>0.1575367</v>
      </c>
      <c r="W5776">
        <v>-1.007475E-2</v>
      </c>
      <c r="X5776">
        <v>0.9874617</v>
      </c>
      <c r="Y5776">
        <v>0.38251629999999998</v>
      </c>
      <c r="Z5776">
        <v>-1.66938E-3</v>
      </c>
      <c r="AA5776">
        <v>0.92394719999999997</v>
      </c>
      <c r="AB5776">
        <v>28</v>
      </c>
      <c r="AC5776">
        <v>16.827099999999898</v>
      </c>
      <c r="AD5776">
        <v>-1.1509799999999999</v>
      </c>
      <c r="AE5776">
        <v>-10.628116</v>
      </c>
      <c r="AF5776">
        <v>7.6439219190487604</v>
      </c>
      <c r="AG5776">
        <v>-1.1509799999999999</v>
      </c>
      <c r="AH5776">
        <v>18.3041613987373</v>
      </c>
      <c r="AI5776">
        <v>93.320831783425604</v>
      </c>
      <c r="AJ5776">
        <v>67.334307237296798</v>
      </c>
      <c r="AK5776">
        <v>19.869489721075801</v>
      </c>
      <c r="AL5776">
        <v>90.577250442825999</v>
      </c>
      <c r="AM5776">
        <v>80.935589439527504</v>
      </c>
      <c r="AN5776">
        <v>0.99999996070066999</v>
      </c>
    </row>
    <row r="5777" spans="1:40" x14ac:dyDescent="0.25">
      <c r="A5777" t="str">
        <f>"20190312161429791"</f>
        <v>20190312161429791</v>
      </c>
      <c r="B5777" t="str">
        <f>"1552378469782552"</f>
        <v>1552378469782552</v>
      </c>
      <c r="C5777" t="s">
        <v>40</v>
      </c>
      <c r="D5777">
        <v>5.7438979999999997</v>
      </c>
      <c r="E5777">
        <v>0.59135850000000001</v>
      </c>
      <c r="F5777" t="s">
        <v>41</v>
      </c>
      <c r="G5777">
        <v>-302.46120000000002</v>
      </c>
      <c r="H5777">
        <v>-0.05</v>
      </c>
      <c r="I5777">
        <v>5.327896</v>
      </c>
      <c r="J5777">
        <v>-318.96039999999999</v>
      </c>
      <c r="K5777">
        <v>1.1002620000000001</v>
      </c>
      <c r="L5777">
        <v>15.8233</v>
      </c>
      <c r="M5777">
        <v>0.9853615</v>
      </c>
      <c r="N5777">
        <v>0</v>
      </c>
      <c r="O5777">
        <v>-0.16932429999999901</v>
      </c>
      <c r="P5777">
        <v>0.94583799999999996</v>
      </c>
      <c r="Q5777">
        <v>-2.79358E-2</v>
      </c>
      <c r="R5777">
        <v>-0.32343490000000003</v>
      </c>
      <c r="S5777">
        <v>2.6058349999999999</v>
      </c>
      <c r="T5777">
        <v>-0.1801797</v>
      </c>
      <c r="U5777">
        <v>-1.64727799999999</v>
      </c>
      <c r="V5777">
        <v>0.158474799999999</v>
      </c>
      <c r="W5777">
        <v>-1.015451E-2</v>
      </c>
      <c r="X5777">
        <v>0.98731080000000004</v>
      </c>
      <c r="Y5777">
        <v>0.38310850000000002</v>
      </c>
      <c r="Z5777">
        <v>-1.571942E-3</v>
      </c>
      <c r="AA5777">
        <v>0.92370200000000002</v>
      </c>
      <c r="AB5777">
        <v>28</v>
      </c>
      <c r="AC5777">
        <v>16.499199999999899</v>
      </c>
      <c r="AD5777">
        <v>-1.1502619999999999</v>
      </c>
      <c r="AE5777">
        <v>-10.495403999999899</v>
      </c>
      <c r="AF5777">
        <v>7.5234985377895303</v>
      </c>
      <c r="AG5777">
        <v>-1.1502619999999999</v>
      </c>
      <c r="AH5777">
        <v>17.976138119708398</v>
      </c>
      <c r="AI5777">
        <v>93.378080458420996</v>
      </c>
      <c r="AJ5777">
        <v>67.289375149760005</v>
      </c>
      <c r="AK5777">
        <v>19.520954756763199</v>
      </c>
      <c r="AL5777">
        <v>90.581820567593695</v>
      </c>
      <c r="AM5777">
        <v>80.881146559768595</v>
      </c>
      <c r="AN5777">
        <v>0.99999999605251</v>
      </c>
    </row>
    <row r="5778" spans="1:40" x14ac:dyDescent="0.25">
      <c r="A5778" t="str">
        <f>"20190312161429802"</f>
        <v>20190312161429802</v>
      </c>
      <c r="B5778" t="str">
        <f>"1552378469792313"</f>
        <v>1552378469792313</v>
      </c>
      <c r="C5778" t="s">
        <v>40</v>
      </c>
      <c r="D5778">
        <v>5.7343659999999996</v>
      </c>
      <c r="E5778">
        <v>0.59130000000000005</v>
      </c>
      <c r="F5778" t="s">
        <v>41</v>
      </c>
      <c r="G5778">
        <v>-302.72899999999998</v>
      </c>
      <c r="H5778">
        <v>-0.05</v>
      </c>
      <c r="I5778">
        <v>5.4843900000000003</v>
      </c>
      <c r="J5778">
        <v>-318.8168</v>
      </c>
      <c r="K5778">
        <v>1.0995090000000001</v>
      </c>
      <c r="L5778">
        <v>15.7960799999999</v>
      </c>
      <c r="M5778">
        <v>0.98490109999999997</v>
      </c>
      <c r="N5778">
        <v>0</v>
      </c>
      <c r="O5778">
        <v>-0.17187079999999999</v>
      </c>
      <c r="P5778">
        <v>0.94477699999999998</v>
      </c>
      <c r="Q5778">
        <v>-2.8998079999999999E-2</v>
      </c>
      <c r="R5778">
        <v>-0.32642870000000002</v>
      </c>
      <c r="S5778">
        <v>2.600006</v>
      </c>
      <c r="T5778">
        <v>-0.18425349999999999</v>
      </c>
      <c r="U5778">
        <v>-1.6561279999999901</v>
      </c>
      <c r="V5778">
        <v>0.15904989999999999</v>
      </c>
      <c r="W5778">
        <v>-1.029148E-2</v>
      </c>
      <c r="X5778">
        <v>0.98721689999999995</v>
      </c>
      <c r="Y5778">
        <v>0.38387919999999998</v>
      </c>
      <c r="Z5778">
        <v>-1.4754810000000001E-3</v>
      </c>
      <c r="AA5778">
        <v>0.92338220000000004</v>
      </c>
      <c r="AB5778">
        <v>28</v>
      </c>
      <c r="AC5778">
        <v>16.087799999999898</v>
      </c>
      <c r="AD5778">
        <v>-1.1495089999999999</v>
      </c>
      <c r="AE5778">
        <v>-10.31169</v>
      </c>
      <c r="AF5778">
        <v>7.3659070803953099</v>
      </c>
      <c r="AG5778">
        <v>-1.1495089999999999</v>
      </c>
      <c r="AH5778">
        <v>17.5574259681317</v>
      </c>
      <c r="AI5778">
        <v>93.454954365850796</v>
      </c>
      <c r="AJ5778">
        <v>67.240377695173194</v>
      </c>
      <c r="AK5778">
        <v>19.0746209578204</v>
      </c>
      <c r="AL5778">
        <v>90.589668780435105</v>
      </c>
      <c r="AM5778">
        <v>80.847757778448795</v>
      </c>
      <c r="AN5778">
        <v>0.999999996448105</v>
      </c>
    </row>
    <row r="5779" spans="1:40" x14ac:dyDescent="0.25">
      <c r="A5779" t="str">
        <f>"20190312161429814"</f>
        <v>20190312161429814</v>
      </c>
      <c r="B5779" t="str">
        <f>"1552378469802073"</f>
        <v>1552378469802073</v>
      </c>
      <c r="C5779" t="s">
        <v>40</v>
      </c>
      <c r="D5779">
        <v>5.7058239999999998</v>
      </c>
      <c r="E5779">
        <v>0.5913081</v>
      </c>
      <c r="F5779" t="s">
        <v>41</v>
      </c>
      <c r="G5779">
        <v>-302.90969999999999</v>
      </c>
      <c r="H5779">
        <v>-0.05</v>
      </c>
      <c r="I5779">
        <v>5.595078</v>
      </c>
      <c r="J5779">
        <v>-318.68060000000003</v>
      </c>
      <c r="K5779">
        <v>1.0987579999999999</v>
      </c>
      <c r="L5779">
        <v>15.76999</v>
      </c>
      <c r="M5779">
        <v>0.98442050000000003</v>
      </c>
      <c r="N5779">
        <v>0</v>
      </c>
      <c r="O5779">
        <v>-0.17450550000000001</v>
      </c>
      <c r="P5779">
        <v>0.94361499999999998</v>
      </c>
      <c r="Q5779">
        <v>-2.9683480000000002E-2</v>
      </c>
      <c r="R5779">
        <v>-0.32971230000000001</v>
      </c>
      <c r="S5779">
        <v>2.5946959999999999</v>
      </c>
      <c r="T5779">
        <v>-0.18750259999999999</v>
      </c>
      <c r="U5779">
        <v>-1.66394</v>
      </c>
      <c r="V5779">
        <v>0.15984300000000001</v>
      </c>
      <c r="W5779">
        <v>-1.0193900000000001E-2</v>
      </c>
      <c r="X5779">
        <v>0.98708980000000002</v>
      </c>
      <c r="Y5779">
        <v>0.38422509999999999</v>
      </c>
      <c r="Z5779">
        <v>-1.3472639999999999E-3</v>
      </c>
      <c r="AA5779">
        <v>0.92323849999999996</v>
      </c>
      <c r="AB5779">
        <v>28</v>
      </c>
      <c r="AC5779">
        <v>15.770899999999999</v>
      </c>
      <c r="AD5779">
        <v>-1.1487579999999999</v>
      </c>
      <c r="AE5779">
        <v>-10.174912000000001</v>
      </c>
      <c r="AF5779">
        <v>7.2388503504691197</v>
      </c>
      <c r="AG5779">
        <v>-1.1487579999999999</v>
      </c>
      <c r="AH5779">
        <v>17.2402040147498</v>
      </c>
      <c r="AI5779">
        <v>93.515637267861507</v>
      </c>
      <c r="AJ5779">
        <v>67.223344424835304</v>
      </c>
      <c r="AK5779">
        <v>18.733532336675001</v>
      </c>
      <c r="AL5779">
        <v>90.584077570607306</v>
      </c>
      <c r="AM5779">
        <v>80.801734293833803</v>
      </c>
      <c r="AN5779">
        <v>0.99999998675512403</v>
      </c>
    </row>
    <row r="5780" spans="1:40" x14ac:dyDescent="0.25">
      <c r="A5780" t="str">
        <f>"20190312161429827"</f>
        <v>20190312161429827</v>
      </c>
      <c r="B5780" t="str">
        <f>"1552378469822569"</f>
        <v>1552378469822569</v>
      </c>
      <c r="C5780" t="s">
        <v>40</v>
      </c>
      <c r="D5780">
        <v>5.6727679999999996</v>
      </c>
      <c r="E5780">
        <v>0.59136160000000004</v>
      </c>
      <c r="F5780" t="s">
        <v>41</v>
      </c>
      <c r="G5780">
        <v>-302.92329999999998</v>
      </c>
      <c r="H5780">
        <v>-0.05</v>
      </c>
      <c r="I5780">
        <v>5.5869450000000001</v>
      </c>
      <c r="J5780">
        <v>-318.51319999999998</v>
      </c>
      <c r="K5780">
        <v>1.097791</v>
      </c>
      <c r="L5780">
        <v>15.73746</v>
      </c>
      <c r="M5780">
        <v>0.98377369999999997</v>
      </c>
      <c r="N5780">
        <v>0</v>
      </c>
      <c r="O5780">
        <v>-0.17800650000000001</v>
      </c>
      <c r="P5780">
        <v>0.94208239999999999</v>
      </c>
      <c r="Q5780">
        <v>-3.0346350000000001E-2</v>
      </c>
      <c r="R5780">
        <v>-0.33400619999999998</v>
      </c>
      <c r="S5780">
        <v>2.5887760000000002</v>
      </c>
      <c r="T5780">
        <v>-0.1887296</v>
      </c>
      <c r="U5780">
        <v>-1.672974</v>
      </c>
      <c r="V5780">
        <v>0.16082879999999899</v>
      </c>
      <c r="W5780">
        <v>-1.000216E-2</v>
      </c>
      <c r="X5780">
        <v>0.98693160000000002</v>
      </c>
      <c r="Y5780">
        <v>0.38417400000000002</v>
      </c>
      <c r="Z5780">
        <v>-1.132259E-3</v>
      </c>
      <c r="AA5780">
        <v>0.92325999999999997</v>
      </c>
      <c r="AB5780">
        <v>28</v>
      </c>
      <c r="AC5780">
        <v>15.5899</v>
      </c>
      <c r="AD5780">
        <v>-1.147791</v>
      </c>
      <c r="AE5780">
        <v>-10.150514999999899</v>
      </c>
      <c r="AF5780">
        <v>7.1851683430344497</v>
      </c>
      <c r="AG5780">
        <v>-1.147791</v>
      </c>
      <c r="AH5780">
        <v>17.083073889608499</v>
      </c>
      <c r="AI5780">
        <v>93.544004215104394</v>
      </c>
      <c r="AJ5780">
        <v>67.188299659570404</v>
      </c>
      <c r="AK5780">
        <v>18.568130811022701</v>
      </c>
      <c r="AL5780">
        <v>90.573091130220803</v>
      </c>
      <c r="AM5780">
        <v>80.744526616637899</v>
      </c>
      <c r="AN5780">
        <v>0.999999964596332</v>
      </c>
    </row>
    <row r="5781" spans="1:40" x14ac:dyDescent="0.25">
      <c r="A5781" t="str">
        <f>"20190312161429840"</f>
        <v>20190312161429840</v>
      </c>
      <c r="B5781" t="str">
        <f>"1552378469832328"</f>
        <v>1552378469832328</v>
      </c>
      <c r="C5781" t="s">
        <v>40</v>
      </c>
      <c r="D5781">
        <v>5.7448030000000001</v>
      </c>
      <c r="E5781">
        <v>0.59138999999999997</v>
      </c>
      <c r="F5781" t="s">
        <v>41</v>
      </c>
      <c r="G5781">
        <v>-302.99950000000001</v>
      </c>
      <c r="H5781">
        <v>-0.05</v>
      </c>
      <c r="I5781">
        <v>5.6071010000000001</v>
      </c>
      <c r="J5781">
        <v>-318.3553</v>
      </c>
      <c r="K5781">
        <v>1.0967290000000001</v>
      </c>
      <c r="L5781">
        <v>15.706020000000001</v>
      </c>
      <c r="M5781">
        <v>0.983155</v>
      </c>
      <c r="N5781">
        <v>0</v>
      </c>
      <c r="O5781">
        <v>-0.18131269999999999</v>
      </c>
      <c r="P5781">
        <v>0.94066680000000003</v>
      </c>
      <c r="Q5781">
        <v>-3.1112999999999998E-2</v>
      </c>
      <c r="R5781">
        <v>-0.33790249999999999</v>
      </c>
      <c r="S5781">
        <v>2.5807799999999999</v>
      </c>
      <c r="T5781">
        <v>-0.19094130000000001</v>
      </c>
      <c r="U5781">
        <v>-1.6852419999999999</v>
      </c>
      <c r="V5781">
        <v>0.1615935</v>
      </c>
      <c r="W5781">
        <v>-1.018233E-2</v>
      </c>
      <c r="X5781">
        <v>0.98680489999999998</v>
      </c>
      <c r="Y5781">
        <v>0.38544850000000003</v>
      </c>
      <c r="Z5781">
        <v>-9.7689960000000003E-4</v>
      </c>
      <c r="AA5781">
        <v>0.92272880000000002</v>
      </c>
      <c r="AB5781">
        <v>28</v>
      </c>
      <c r="AC5781">
        <v>15.355799999999901</v>
      </c>
      <c r="AD5781">
        <v>-1.1467290000000001</v>
      </c>
      <c r="AE5781">
        <v>-10.098919</v>
      </c>
      <c r="AF5781">
        <v>7.1187892616013997</v>
      </c>
      <c r="AG5781">
        <v>-1.1467290000000001</v>
      </c>
      <c r="AH5781">
        <v>16.867035939532901</v>
      </c>
      <c r="AI5781">
        <v>93.584109211788601</v>
      </c>
      <c r="AJ5781">
        <v>67.1176598969585</v>
      </c>
      <c r="AK5781">
        <v>18.343637843569201</v>
      </c>
      <c r="AL5781">
        <v>90.583414601781897</v>
      </c>
      <c r="AM5781">
        <v>80.700113068441894</v>
      </c>
      <c r="AN5781">
        <v>1.0000000248752401</v>
      </c>
    </row>
    <row r="5782" spans="1:40" x14ac:dyDescent="0.25">
      <c r="A5782" t="str">
        <f>"20190312161429851"</f>
        <v>20190312161429851</v>
      </c>
      <c r="B5782" t="str">
        <f>"1552378469842088"</f>
        <v>1552378469842088</v>
      </c>
      <c r="C5782" t="s">
        <v>40</v>
      </c>
      <c r="D5782">
        <v>5.6905029999999996</v>
      </c>
      <c r="E5782">
        <v>0.59135439999999995</v>
      </c>
      <c r="F5782" t="s">
        <v>41</v>
      </c>
      <c r="G5782">
        <v>-303.02600000000001</v>
      </c>
      <c r="H5782">
        <v>-0.05</v>
      </c>
      <c r="I5782">
        <v>5.6041109999999996</v>
      </c>
      <c r="J5782">
        <v>-318.19869999999997</v>
      </c>
      <c r="K5782">
        <v>1.095604</v>
      </c>
      <c r="L5782">
        <v>15.674530000000001</v>
      </c>
      <c r="M5782">
        <v>0.98254490000000005</v>
      </c>
      <c r="N5782">
        <v>0</v>
      </c>
      <c r="O5782">
        <v>-0.18451590000000001</v>
      </c>
      <c r="P5782">
        <v>0.93931160000000002</v>
      </c>
      <c r="Q5782">
        <v>-3.1289200000000003E-2</v>
      </c>
      <c r="R5782">
        <v>-0.34163569999999999</v>
      </c>
      <c r="S5782">
        <v>2.573639</v>
      </c>
      <c r="T5782">
        <v>-0.19252459999999999</v>
      </c>
      <c r="U5782">
        <v>-1.6960139999999999</v>
      </c>
      <c r="V5782">
        <v>0.1622963</v>
      </c>
      <c r="W5782">
        <v>-9.845052E-3</v>
      </c>
      <c r="X5782">
        <v>0.98669300000000004</v>
      </c>
      <c r="Y5782">
        <v>0.38630589999999998</v>
      </c>
      <c r="Z5782">
        <v>-8.0708319999999996E-4</v>
      </c>
      <c r="AA5782">
        <v>0.92237040000000003</v>
      </c>
      <c r="AB5782">
        <v>28</v>
      </c>
      <c r="AC5782">
        <v>15.172699999999899</v>
      </c>
      <c r="AD5782">
        <v>-1.1456040000000001</v>
      </c>
      <c r="AE5782">
        <v>-10.070418999999999</v>
      </c>
      <c r="AF5782">
        <v>7.0690438882041402</v>
      </c>
      <c r="AG5782">
        <v>-1.1456040000000001</v>
      </c>
      <c r="AH5782">
        <v>16.704594140777299</v>
      </c>
      <c r="AI5782">
        <v>93.6138735169379</v>
      </c>
      <c r="AJ5782">
        <v>67.062908711783194</v>
      </c>
      <c r="AK5782">
        <v>18.174907301724101</v>
      </c>
      <c r="AL5782">
        <v>90.564089015863004</v>
      </c>
      <c r="AM5782">
        <v>80.659336797198904</v>
      </c>
      <c r="AN5782">
        <v>1.00000004514578</v>
      </c>
    </row>
    <row r="5783" spans="1:40" x14ac:dyDescent="0.25">
      <c r="A5783" t="str">
        <f>"20190312161429861"</f>
        <v>20190312161429861</v>
      </c>
      <c r="B5783" t="str">
        <f>"1552378469851848"</f>
        <v>1552378469851848</v>
      </c>
      <c r="C5783" t="s">
        <v>40</v>
      </c>
      <c r="D5783">
        <v>5.5810420000000001</v>
      </c>
      <c r="E5783">
        <v>0.5914431</v>
      </c>
      <c r="F5783" t="s">
        <v>41</v>
      </c>
      <c r="G5783">
        <v>-302.95209999999997</v>
      </c>
      <c r="H5783">
        <v>-0.05</v>
      </c>
      <c r="I5783">
        <v>5.5417329999999998</v>
      </c>
      <c r="J5783">
        <v>-318.07220000000001</v>
      </c>
      <c r="K5783">
        <v>1.0946</v>
      </c>
      <c r="L5783">
        <v>15.648529999999999</v>
      </c>
      <c r="M5783">
        <v>0.98206959999999999</v>
      </c>
      <c r="N5783">
        <v>0</v>
      </c>
      <c r="O5783">
        <v>-0.1869767</v>
      </c>
      <c r="P5783">
        <v>0.93818939999999995</v>
      </c>
      <c r="Q5783">
        <v>-3.1751109999999999E-2</v>
      </c>
      <c r="R5783">
        <v>-0.34466289999999999</v>
      </c>
      <c r="S5783">
        <v>2.5668950000000001</v>
      </c>
      <c r="T5783">
        <v>-0.19287099999999999</v>
      </c>
      <c r="U5783">
        <v>-1.7059329999999999</v>
      </c>
      <c r="V5783">
        <v>0.16300229999999999</v>
      </c>
      <c r="W5783">
        <v>-9.9763969999999997E-3</v>
      </c>
      <c r="X5783">
        <v>0.98657519999999999</v>
      </c>
      <c r="Y5783">
        <v>0.38758300000000001</v>
      </c>
      <c r="Z5783">
        <v>-6.9296270000000001E-4</v>
      </c>
      <c r="AA5783">
        <v>0.92183459999999995</v>
      </c>
      <c r="AB5783">
        <v>28</v>
      </c>
      <c r="AC5783">
        <v>15.120100000000001</v>
      </c>
      <c r="AD5783">
        <v>-1.1446000000000001</v>
      </c>
      <c r="AE5783">
        <v>-10.106797</v>
      </c>
      <c r="AF5783">
        <v>7.0725144782147904</v>
      </c>
      <c r="AG5783">
        <v>-1.1446000000000001</v>
      </c>
      <c r="AH5783">
        <v>16.6775170774321</v>
      </c>
      <c r="AI5783">
        <v>93.615401906093695</v>
      </c>
      <c r="AJ5783">
        <v>67.019423636571901</v>
      </c>
      <c r="AK5783">
        <v>18.151312516526101</v>
      </c>
      <c r="AL5783">
        <v>90.571614952675006</v>
      </c>
      <c r="AM5783">
        <v>80.618324814228401</v>
      </c>
      <c r="AN5783">
        <v>0.99999995177871404</v>
      </c>
    </row>
    <row r="5784" spans="1:40" x14ac:dyDescent="0.25">
      <c r="A5784" t="str">
        <f>"20190312161429872"</f>
        <v>20190312161429872</v>
      </c>
      <c r="B5784" t="str">
        <f>"1552378469862584"</f>
        <v>1552378469862584</v>
      </c>
      <c r="C5784" t="s">
        <v>40</v>
      </c>
      <c r="D5784">
        <v>5.5764379999999996</v>
      </c>
      <c r="E5784">
        <v>0.59144180000000002</v>
      </c>
      <c r="F5784" t="s">
        <v>41</v>
      </c>
      <c r="G5784">
        <v>-302.84089999999998</v>
      </c>
      <c r="H5784">
        <v>-0.05</v>
      </c>
      <c r="I5784">
        <v>5.4491269999999998</v>
      </c>
      <c r="J5784">
        <v>-317.94889999999998</v>
      </c>
      <c r="K5784">
        <v>1.0935900000000001</v>
      </c>
      <c r="L5784">
        <v>15.6228</v>
      </c>
      <c r="M5784">
        <v>0.98160970000000003</v>
      </c>
      <c r="N5784">
        <v>0</v>
      </c>
      <c r="O5784">
        <v>-0.1893282</v>
      </c>
      <c r="P5784">
        <v>0.93711509999999998</v>
      </c>
      <c r="Q5784">
        <v>-3.1919040000000003E-2</v>
      </c>
      <c r="R5784">
        <v>-0.34755809999999998</v>
      </c>
      <c r="S5784">
        <v>2.561096</v>
      </c>
      <c r="T5784">
        <v>-0.19246079999999999</v>
      </c>
      <c r="U5784">
        <v>-1.714996</v>
      </c>
      <c r="V5784">
        <v>0.1636831</v>
      </c>
      <c r="W5784">
        <v>-9.8523389999999999E-3</v>
      </c>
      <c r="X5784">
        <v>0.9864638</v>
      </c>
      <c r="Y5784">
        <v>0.38859490000000002</v>
      </c>
      <c r="Z5784">
        <v>-5.739257E-4</v>
      </c>
      <c r="AA5784">
        <v>0.92140849999999996</v>
      </c>
      <c r="AB5784">
        <v>28</v>
      </c>
      <c r="AC5784">
        <v>15.108000000000001</v>
      </c>
      <c r="AD5784">
        <v>-1.1435899999999899</v>
      </c>
      <c r="AE5784">
        <v>-10.1736729999999</v>
      </c>
      <c r="AF5784">
        <v>7.1003446399244101</v>
      </c>
      <c r="AG5784">
        <v>-1.1435899999999899</v>
      </c>
      <c r="AH5784">
        <v>16.695513812934902</v>
      </c>
      <c r="AI5784">
        <v>93.606770526070804</v>
      </c>
      <c r="AJ5784">
        <v>66.960698552686097</v>
      </c>
      <c r="AK5784">
        <v>18.178637835979401</v>
      </c>
      <c r="AL5784">
        <v>90.564506560536699</v>
      </c>
      <c r="AM5784">
        <v>80.578797215889495</v>
      </c>
      <c r="AN5784">
        <v>1.0000000272599101</v>
      </c>
    </row>
    <row r="5785" spans="1:40" x14ac:dyDescent="0.25">
      <c r="A5785" t="str">
        <f>"20190312161429882"</f>
        <v>20190312161429882</v>
      </c>
      <c r="B5785" t="str">
        <f>"1552378469872344"</f>
        <v>1552378469872344</v>
      </c>
      <c r="C5785" t="s">
        <v>40</v>
      </c>
      <c r="D5785">
        <v>5.5878629999999996</v>
      </c>
      <c r="E5785">
        <v>0.59144750000000001</v>
      </c>
      <c r="F5785" t="s">
        <v>41</v>
      </c>
      <c r="G5785">
        <v>-302.75</v>
      </c>
      <c r="H5785">
        <v>-0.05</v>
      </c>
      <c r="I5785">
        <v>5.3761900000000002</v>
      </c>
      <c r="J5785">
        <v>-317.8236</v>
      </c>
      <c r="K5785">
        <v>1.0925149999999999</v>
      </c>
      <c r="L5785">
        <v>15.59625</v>
      </c>
      <c r="M5785">
        <v>0.98115180000000002</v>
      </c>
      <c r="N5785">
        <v>0</v>
      </c>
      <c r="O5785">
        <v>-0.1916429</v>
      </c>
      <c r="P5785">
        <v>0.93610199999999999</v>
      </c>
      <c r="Q5785">
        <v>-3.1858839999999999E-2</v>
      </c>
      <c r="R5785">
        <v>-0.35028239999999999</v>
      </c>
      <c r="S5785">
        <v>2.5557249999999998</v>
      </c>
      <c r="T5785">
        <v>-0.1922972</v>
      </c>
      <c r="U5785">
        <v>-1.7229920000000001</v>
      </c>
      <c r="V5785">
        <v>0.16422390000000001</v>
      </c>
      <c r="W5785">
        <v>-9.5385420000000005E-3</v>
      </c>
      <c r="X5785">
        <v>0.9863769</v>
      </c>
      <c r="Y5785">
        <v>0.38930300000000001</v>
      </c>
      <c r="Z5785">
        <v>-4.4781900000000002E-4</v>
      </c>
      <c r="AA5785">
        <v>0.92110959999999997</v>
      </c>
      <c r="AB5785">
        <v>28</v>
      </c>
      <c r="AC5785">
        <v>15.073600000000001</v>
      </c>
      <c r="AD5785">
        <v>-1.1425149999999999</v>
      </c>
      <c r="AE5785">
        <v>-10.22006</v>
      </c>
      <c r="AF5785">
        <v>7.11288047797101</v>
      </c>
      <c r="AG5785">
        <v>-1.1425149999999999</v>
      </c>
      <c r="AH5785">
        <v>16.687559006360999</v>
      </c>
      <c r="AI5785">
        <v>93.603866151466505</v>
      </c>
      <c r="AJ5785">
        <v>66.914429301051001</v>
      </c>
      <c r="AK5785">
        <v>18.1761666698429</v>
      </c>
      <c r="AL5785">
        <v>90.546526524749893</v>
      </c>
      <c r="AM5785">
        <v>80.547413152544294</v>
      </c>
      <c r="AN5785">
        <v>0.99999993098414997</v>
      </c>
    </row>
    <row r="5786" spans="1:40" x14ac:dyDescent="0.25">
      <c r="A5786" t="str">
        <f>"20190312161429891"</f>
        <v>20190312161429891</v>
      </c>
      <c r="B5786" t="str">
        <f>"1552378469882105"</f>
        <v>1552378469882105</v>
      </c>
      <c r="C5786" t="s">
        <v>40</v>
      </c>
      <c r="D5786">
        <v>5.6589029999999996</v>
      </c>
      <c r="E5786">
        <v>0.59144219999999903</v>
      </c>
      <c r="F5786" t="s">
        <v>41</v>
      </c>
      <c r="G5786">
        <v>-302.58069999999998</v>
      </c>
      <c r="H5786">
        <v>-0.05</v>
      </c>
      <c r="I5786">
        <v>5.2561650000000002</v>
      </c>
      <c r="J5786">
        <v>-317.70400000000001</v>
      </c>
      <c r="K5786">
        <v>1.0914619999999999</v>
      </c>
      <c r="L5786">
        <v>15.57062</v>
      </c>
      <c r="M5786">
        <v>0.98070789999999997</v>
      </c>
      <c r="N5786">
        <v>0</v>
      </c>
      <c r="O5786">
        <v>-0.19386510000000001</v>
      </c>
      <c r="P5786">
        <v>0.93509810000000004</v>
      </c>
      <c r="Q5786">
        <v>-3.1959649999999999E-2</v>
      </c>
      <c r="R5786">
        <v>-0.35294550000000002</v>
      </c>
      <c r="S5786">
        <v>2.5508120000000001</v>
      </c>
      <c r="T5786">
        <v>-0.19119259999999999</v>
      </c>
      <c r="U5786">
        <v>-1.7303470000000001</v>
      </c>
      <c r="V5786">
        <v>0.1647942</v>
      </c>
      <c r="W5786">
        <v>-9.4318089999999993E-3</v>
      </c>
      <c r="X5786">
        <v>0.98628289999999996</v>
      </c>
      <c r="Y5786">
        <v>0.38986549999999998</v>
      </c>
      <c r="Z5786">
        <v>-3.2124200000000001E-4</v>
      </c>
      <c r="AA5786">
        <v>0.92087169999999896</v>
      </c>
      <c r="AB5786">
        <v>28</v>
      </c>
      <c r="AC5786">
        <v>15.1233</v>
      </c>
      <c r="AD5786">
        <v>-1.141462</v>
      </c>
      <c r="AE5786">
        <v>-10.314455000000001</v>
      </c>
      <c r="AF5786">
        <v>7.1580137592753399</v>
      </c>
      <c r="AG5786">
        <v>-1.141462</v>
      </c>
      <c r="AH5786">
        <v>16.771233483954202</v>
      </c>
      <c r="AI5786">
        <v>93.581908630438605</v>
      </c>
      <c r="AJ5786">
        <v>66.887062275411907</v>
      </c>
      <c r="AK5786">
        <v>18.270587539778901</v>
      </c>
      <c r="AL5786">
        <v>90.540410848993204</v>
      </c>
      <c r="AM5786">
        <v>80.514295054283494</v>
      </c>
      <c r="AN5786">
        <v>1.00000002310353</v>
      </c>
    </row>
    <row r="5787" spans="1:40" x14ac:dyDescent="0.25">
      <c r="A5787" t="str">
        <f>"20190312161429902"</f>
        <v>20190312161429902</v>
      </c>
      <c r="B5787" t="str">
        <f>"1552378469891865"</f>
        <v>1552378469891865</v>
      </c>
      <c r="C5787" t="s">
        <v>40</v>
      </c>
      <c r="D5787">
        <v>5.5783630000000004</v>
      </c>
      <c r="E5787">
        <v>0.59144219999999903</v>
      </c>
      <c r="F5787" t="s">
        <v>41</v>
      </c>
      <c r="G5787">
        <v>-302.44850000000002</v>
      </c>
      <c r="H5787">
        <v>-0.05</v>
      </c>
      <c r="I5787">
        <v>5.1572879999999897</v>
      </c>
      <c r="J5787">
        <v>-317.5677</v>
      </c>
      <c r="K5787">
        <v>1.09023799999999</v>
      </c>
      <c r="L5787">
        <v>15.540800000000001</v>
      </c>
      <c r="M5787">
        <v>0.98019219999999896</v>
      </c>
      <c r="N5787">
        <v>0</v>
      </c>
      <c r="O5787">
        <v>-0.1964215</v>
      </c>
      <c r="P5787">
        <v>0.93393950000000003</v>
      </c>
      <c r="Q5787">
        <v>-3.2131479999999997E-2</v>
      </c>
      <c r="R5787">
        <v>-0.35598429999999998</v>
      </c>
      <c r="S5787">
        <v>2.545776</v>
      </c>
      <c r="T5787">
        <v>-0.1904826</v>
      </c>
      <c r="U5787">
        <v>-1.7377320000000001</v>
      </c>
      <c r="V5787">
        <v>0.16542609999999999</v>
      </c>
      <c r="W5787">
        <v>-9.428446E-3</v>
      </c>
      <c r="X5787">
        <v>0.98617710000000003</v>
      </c>
      <c r="Y5787">
        <v>0.39014070000000001</v>
      </c>
      <c r="Z5787">
        <v>-1.6512259999999901E-4</v>
      </c>
      <c r="AA5787">
        <v>0.92075530000000005</v>
      </c>
      <c r="AB5787">
        <v>28</v>
      </c>
      <c r="AC5787">
        <v>15.1191999999999</v>
      </c>
      <c r="AD5787">
        <v>-1.1402380000000001</v>
      </c>
      <c r="AE5787">
        <v>-10.383512</v>
      </c>
      <c r="AF5787">
        <v>7.1826564644883701</v>
      </c>
      <c r="AG5787">
        <v>-1.1402380000000001</v>
      </c>
      <c r="AH5787">
        <v>16.7997526119862</v>
      </c>
      <c r="AI5787">
        <v>93.571064049471801</v>
      </c>
      <c r="AJ5787">
        <v>66.851094301563293</v>
      </c>
      <c r="AK5787">
        <v>18.306348199666601</v>
      </c>
      <c r="AL5787">
        <v>90.540218177274397</v>
      </c>
      <c r="AM5787">
        <v>80.477584249774296</v>
      </c>
      <c r="AN5787">
        <v>0.99999998135979695</v>
      </c>
    </row>
    <row r="5788" spans="1:40" x14ac:dyDescent="0.25">
      <c r="A5788" t="str">
        <f>"20190312161429913"</f>
        <v>20190312161429913</v>
      </c>
      <c r="B5788" t="str">
        <f>"1552378469902600"</f>
        <v>1552378469902600</v>
      </c>
      <c r="C5788" t="s">
        <v>40</v>
      </c>
      <c r="D5788">
        <v>5.4758870000000002</v>
      </c>
      <c r="E5788">
        <v>0.5807097</v>
      </c>
      <c r="F5788" t="s">
        <v>41</v>
      </c>
      <c r="G5788">
        <v>-302.37819999999999</v>
      </c>
      <c r="H5788">
        <v>-0.05</v>
      </c>
      <c r="I5788">
        <v>5.0995939999999997</v>
      </c>
      <c r="J5788">
        <v>-317.44049999999999</v>
      </c>
      <c r="K5788">
        <v>1.089075</v>
      </c>
      <c r="L5788">
        <v>15.51263</v>
      </c>
      <c r="M5788">
        <v>0.97969439999999997</v>
      </c>
      <c r="N5788">
        <v>0</v>
      </c>
      <c r="O5788">
        <v>-0.19886580000000001</v>
      </c>
      <c r="P5788">
        <v>0.93284080000000003</v>
      </c>
      <c r="Q5788">
        <v>-3.2258630000000003E-2</v>
      </c>
      <c r="R5788">
        <v>-0.3588422</v>
      </c>
      <c r="S5788">
        <v>2.5400700000000001</v>
      </c>
      <c r="T5788">
        <v>-0.19067619999999999</v>
      </c>
      <c r="U5788">
        <v>-1.7460329999999999</v>
      </c>
      <c r="V5788">
        <v>0.16598260000000001</v>
      </c>
      <c r="W5788">
        <v>-9.4434629999999992E-3</v>
      </c>
      <c r="X5788">
        <v>0.98608340000000005</v>
      </c>
      <c r="Y5788">
        <v>0.3908547</v>
      </c>
      <c r="Z5788" s="1">
        <v>-3.2381149999999997E-5</v>
      </c>
      <c r="AA5788">
        <v>0.92045239999999995</v>
      </c>
      <c r="AB5788">
        <v>28</v>
      </c>
      <c r="AC5788">
        <v>15.062299999999899</v>
      </c>
      <c r="AD5788">
        <v>-1.1390750000000001</v>
      </c>
      <c r="AE5788">
        <v>-10.4130359999999</v>
      </c>
      <c r="AF5788">
        <v>7.18077777209648</v>
      </c>
      <c r="AG5788">
        <v>-1.1390750000000001</v>
      </c>
      <c r="AH5788">
        <v>16.767845176801899</v>
      </c>
      <c r="AI5788">
        <v>93.573297566099299</v>
      </c>
      <c r="AJ5788">
        <v>66.817119995259603</v>
      </c>
      <c r="AK5788">
        <v>18.276260370794098</v>
      </c>
      <c r="AL5788">
        <v>90.541078650252999</v>
      </c>
      <c r="AM5788">
        <v>80.445248900672098</v>
      </c>
      <c r="AN5788">
        <v>0.99999993712587398</v>
      </c>
    </row>
    <row r="5789" spans="1:40" x14ac:dyDescent="0.25">
      <c r="A5789" t="str">
        <f>"20190312161429924"</f>
        <v>20190312161429924</v>
      </c>
      <c r="B5789" t="str">
        <f>"1552378469912361"</f>
        <v>1552378469912361</v>
      </c>
      <c r="C5789" t="s">
        <v>40</v>
      </c>
      <c r="D5789">
        <v>5.6164319999999996</v>
      </c>
      <c r="E5789">
        <v>0.58134560000000002</v>
      </c>
      <c r="F5789" t="s">
        <v>101</v>
      </c>
      <c r="G5789">
        <v>-279.33690000000001</v>
      </c>
      <c r="H5789">
        <v>0.53049169999999901</v>
      </c>
      <c r="I5789">
        <v>-9.407864</v>
      </c>
      <c r="J5789">
        <v>-317.30149999999998</v>
      </c>
      <c r="K5789">
        <v>1.087785</v>
      </c>
      <c r="L5789">
        <v>15.48138</v>
      </c>
      <c r="M5789">
        <v>0.97912999999999994</v>
      </c>
      <c r="N5789">
        <v>0</v>
      </c>
      <c r="O5789">
        <v>-0.2016088</v>
      </c>
      <c r="P5789">
        <v>0.93163940000000001</v>
      </c>
      <c r="Q5789">
        <v>-3.2533449999999998E-2</v>
      </c>
      <c r="R5789">
        <v>-0.3619252</v>
      </c>
      <c r="S5789">
        <v>2.5684809999999998</v>
      </c>
      <c r="T5789">
        <v>-3.7652970000000001E-2</v>
      </c>
      <c r="U5789">
        <v>-1.67984</v>
      </c>
      <c r="V5789">
        <v>0.16647709999999999</v>
      </c>
      <c r="W5789">
        <v>-9.6562729999999999E-3</v>
      </c>
      <c r="X5789">
        <v>0.98599800000000004</v>
      </c>
      <c r="Y5789">
        <v>0.36731029999999998</v>
      </c>
      <c r="Z5789">
        <v>1.8744660000000001E-4</v>
      </c>
      <c r="AA5789">
        <v>0.93009850000000005</v>
      </c>
      <c r="AB5789">
        <v>28</v>
      </c>
      <c r="AC5789">
        <v>37.964599999999898</v>
      </c>
      <c r="AD5789">
        <v>-0.55729329999999999</v>
      </c>
      <c r="AE5789">
        <v>-24.889244000000001</v>
      </c>
      <c r="AF5789">
        <v>16.7187933993816</v>
      </c>
      <c r="AG5789">
        <v>-0.55729329999999999</v>
      </c>
      <c r="AH5789">
        <v>42.197704393319597</v>
      </c>
      <c r="AI5789">
        <v>90.703450758809296</v>
      </c>
      <c r="AJ5789">
        <v>68.386455336071705</v>
      </c>
      <c r="AK5789">
        <v>45.392454049317699</v>
      </c>
      <c r="AL5789">
        <v>90.5532723080415</v>
      </c>
      <c r="AM5789">
        <v>80.416495643959607</v>
      </c>
      <c r="AN5789">
        <v>0.99999996221832899</v>
      </c>
    </row>
    <row r="5790" spans="1:40" x14ac:dyDescent="0.25">
      <c r="A5790" t="str">
        <f>"20190312161429934"</f>
        <v>20190312161429934</v>
      </c>
      <c r="B5790" t="str">
        <f>"1552378469922120"</f>
        <v>1552378469922120</v>
      </c>
      <c r="C5790" t="s">
        <v>40</v>
      </c>
      <c r="D5790">
        <v>5.6072319999999998</v>
      </c>
      <c r="E5790">
        <v>0.58385310000000001</v>
      </c>
      <c r="F5790" t="s">
        <v>101</v>
      </c>
      <c r="G5790">
        <v>-279.33690000000001</v>
      </c>
      <c r="H5790">
        <v>0.50068400000000002</v>
      </c>
      <c r="I5790">
        <v>-9.6114580000000007</v>
      </c>
      <c r="J5790">
        <v>-317.1694</v>
      </c>
      <c r="K5790">
        <v>1.086527</v>
      </c>
      <c r="L5790">
        <v>15.451169999999999</v>
      </c>
      <c r="M5790">
        <v>0.97857950000000005</v>
      </c>
      <c r="N5790">
        <v>0</v>
      </c>
      <c r="O5790">
        <v>-0.2042552</v>
      </c>
      <c r="P5790">
        <v>0.93045730000000004</v>
      </c>
      <c r="Q5790">
        <v>-3.2636770000000002E-2</v>
      </c>
      <c r="R5790">
        <v>-0.36494450000000001</v>
      </c>
      <c r="S5790">
        <v>2.5611570000000001</v>
      </c>
      <c r="T5790">
        <v>-3.9606929999999999E-2</v>
      </c>
      <c r="U5790">
        <v>-1.6928099999999999</v>
      </c>
      <c r="V5790">
        <v>0.16700509999999999</v>
      </c>
      <c r="W5790">
        <v>-9.754258E-3</v>
      </c>
      <c r="X5790">
        <v>0.9859078</v>
      </c>
      <c r="Y5790">
        <v>0.36929620000000002</v>
      </c>
      <c r="Z5790">
        <v>2.1863399999999999E-4</v>
      </c>
      <c r="AA5790">
        <v>0.92931169999999996</v>
      </c>
      <c r="AB5790">
        <v>28</v>
      </c>
      <c r="AC5790">
        <v>37.832499999999897</v>
      </c>
      <c r="AD5790">
        <v>-0.585843</v>
      </c>
      <c r="AE5790">
        <v>-25.062628</v>
      </c>
      <c r="AF5790">
        <v>16.801051956353401</v>
      </c>
      <c r="AG5790">
        <v>-0.585843</v>
      </c>
      <c r="AH5790">
        <v>42.148212052107802</v>
      </c>
      <c r="AI5790">
        <v>90.739738534620201</v>
      </c>
      <c r="AJ5790">
        <v>68.266865306525602</v>
      </c>
      <c r="AK5790">
        <v>45.377200641403398</v>
      </c>
      <c r="AL5790">
        <v>90.558886667597406</v>
      </c>
      <c r="AM5790">
        <v>80.385803803394097</v>
      </c>
      <c r="AN5790">
        <v>1.0000000195379899</v>
      </c>
    </row>
    <row r="5791" spans="1:40" x14ac:dyDescent="0.25">
      <c r="A5791" t="str">
        <f>"20190312161429946"</f>
        <v>20190312161429946</v>
      </c>
      <c r="B5791" t="str">
        <f>"1552378469942616"</f>
        <v>1552378469942616</v>
      </c>
      <c r="C5791" t="s">
        <v>40</v>
      </c>
      <c r="D5791">
        <v>5.6102540000000003</v>
      </c>
      <c r="E5791">
        <v>0.586175</v>
      </c>
      <c r="F5791" t="s">
        <v>101</v>
      </c>
      <c r="G5791">
        <v>-279.33690000000001</v>
      </c>
      <c r="H5791">
        <v>0.19615450000000001</v>
      </c>
      <c r="I5791">
        <v>-10.07559</v>
      </c>
      <c r="J5791">
        <v>-317.02370000000002</v>
      </c>
      <c r="K5791">
        <v>1.0851249999999999</v>
      </c>
      <c r="L5791">
        <v>15.417540000000001</v>
      </c>
      <c r="M5791">
        <v>0.97795880000000002</v>
      </c>
      <c r="N5791">
        <v>0</v>
      </c>
      <c r="O5791">
        <v>-0.207202</v>
      </c>
      <c r="P5791">
        <v>0.92924609999999996</v>
      </c>
      <c r="Q5791">
        <v>-3.2674429999999997E-2</v>
      </c>
      <c r="R5791">
        <v>-0.3680139</v>
      </c>
      <c r="S5791">
        <v>2.5478519999999998</v>
      </c>
      <c r="T5791">
        <v>-5.9962750000000002E-2</v>
      </c>
      <c r="U5791">
        <v>-1.7191160000000001</v>
      </c>
      <c r="V5791">
        <v>0.1672865</v>
      </c>
      <c r="W5791">
        <v>-9.8142360000000005E-3</v>
      </c>
      <c r="X5791">
        <v>0.9858595</v>
      </c>
      <c r="Y5791">
        <v>0.37532480000000001</v>
      </c>
      <c r="Z5791">
        <v>3.2612960000000002E-4</v>
      </c>
      <c r="AA5791">
        <v>0.92689330000000003</v>
      </c>
      <c r="AB5791">
        <v>28</v>
      </c>
      <c r="AC5791">
        <v>37.686799999999998</v>
      </c>
      <c r="AD5791">
        <v>-0.888970499999999</v>
      </c>
      <c r="AE5791">
        <v>-25.493129999999901</v>
      </c>
      <c r="AF5791">
        <v>17.121601323811301</v>
      </c>
      <c r="AG5791">
        <v>-0.888970499999999</v>
      </c>
      <c r="AH5791">
        <v>42.136275428755297</v>
      </c>
      <c r="AI5791">
        <v>91.119733981741504</v>
      </c>
      <c r="AJ5791">
        <v>67.886187321328805</v>
      </c>
      <c r="AK5791">
        <v>45.490715618127297</v>
      </c>
      <c r="AL5791">
        <v>90.562323316335096</v>
      </c>
      <c r="AM5791">
        <v>80.369444246769504</v>
      </c>
      <c r="AN5791">
        <v>1.00000002302538</v>
      </c>
    </row>
    <row r="5792" spans="1:40" x14ac:dyDescent="0.25">
      <c r="A5792" t="str">
        <f>"20190312161429957"</f>
        <v>20190312161429957</v>
      </c>
      <c r="B5792" t="str">
        <f>"1552378469952377"</f>
        <v>1552378469952377</v>
      </c>
      <c r="C5792" t="s">
        <v>40</v>
      </c>
      <c r="D5792">
        <v>5.5588670000000002</v>
      </c>
      <c r="E5792">
        <v>0.58647530000000003</v>
      </c>
      <c r="F5792" t="s">
        <v>42</v>
      </c>
      <c r="G5792">
        <v>-288.15280000000001</v>
      </c>
      <c r="H5792">
        <v>7.9985909999999993E-2</v>
      </c>
      <c r="I5792">
        <v>-4.4428850000000004</v>
      </c>
      <c r="J5792">
        <v>-316.89400000000001</v>
      </c>
      <c r="K5792">
        <v>1.0838479999999999</v>
      </c>
      <c r="L5792">
        <v>15.386839999999999</v>
      </c>
      <c r="M5792">
        <v>0.97739489999999996</v>
      </c>
      <c r="N5792">
        <v>0</v>
      </c>
      <c r="O5792">
        <v>-0.20984810000000001</v>
      </c>
      <c r="P5792">
        <v>0.92811390000000005</v>
      </c>
      <c r="Q5792">
        <v>-3.2735800000000002E-2</v>
      </c>
      <c r="R5792">
        <v>-0.37085469999999998</v>
      </c>
      <c r="S5792">
        <v>2.534729</v>
      </c>
      <c r="T5792">
        <v>-8.8246459999999999E-2</v>
      </c>
      <c r="U5792">
        <v>-1.743652</v>
      </c>
      <c r="V5792">
        <v>0.16763</v>
      </c>
      <c r="W5792">
        <v>-9.9534540000000005E-3</v>
      </c>
      <c r="X5792">
        <v>0.98579969999999995</v>
      </c>
      <c r="Y5792">
        <v>0.38111010000000001</v>
      </c>
      <c r="Z5792">
        <v>4.6751280000000001E-4</v>
      </c>
      <c r="AA5792">
        <v>0.92452959999999995</v>
      </c>
      <c r="AB5792">
        <v>28</v>
      </c>
      <c r="AC5792">
        <v>28.7411999999999</v>
      </c>
      <c r="AD5792">
        <v>-1.0038620899999999</v>
      </c>
      <c r="AE5792">
        <v>-19.829725</v>
      </c>
      <c r="AF5792">
        <v>13.343584987975101</v>
      </c>
      <c r="AG5792">
        <v>-1.0038620899999999</v>
      </c>
      <c r="AH5792">
        <v>32.236785330622403</v>
      </c>
      <c r="AI5792">
        <v>91.648105175539797</v>
      </c>
      <c r="AJ5792">
        <v>67.514153612568407</v>
      </c>
      <c r="AK5792">
        <v>34.903715101399897</v>
      </c>
      <c r="AL5792">
        <v>90.570300340829306</v>
      </c>
      <c r="AM5792">
        <v>80.349466323116502</v>
      </c>
      <c r="AN5792">
        <v>0.99999996833330895</v>
      </c>
    </row>
    <row r="5793" spans="1:40" x14ac:dyDescent="0.25">
      <c r="A5793" t="str">
        <f>"20190312161429968"</f>
        <v>20190312161429968</v>
      </c>
      <c r="B5793" t="str">
        <f>"1552378469962136"</f>
        <v>1552378469962136</v>
      </c>
      <c r="C5793" t="s">
        <v>40</v>
      </c>
      <c r="D5793">
        <v>5.7546369999999998</v>
      </c>
      <c r="E5793">
        <v>0.58647530000000003</v>
      </c>
      <c r="F5793" t="s">
        <v>42</v>
      </c>
      <c r="G5793">
        <v>-290.39920000000001</v>
      </c>
      <c r="H5793" s="1">
        <v>-4.9386719999999999E-6</v>
      </c>
      <c r="I5793">
        <v>-2.9830079999999999</v>
      </c>
      <c r="J5793">
        <v>-316.74959999999999</v>
      </c>
      <c r="K5793">
        <v>1.082427</v>
      </c>
      <c r="L5793">
        <v>15.352510000000001</v>
      </c>
      <c r="M5793">
        <v>0.97675730000000005</v>
      </c>
      <c r="N5793">
        <v>0</v>
      </c>
      <c r="O5793">
        <v>-0.21280170000000001</v>
      </c>
      <c r="P5793">
        <v>0.926875</v>
      </c>
      <c r="Q5793">
        <v>-3.2654610000000001E-2</v>
      </c>
      <c r="R5793">
        <v>-0.37394709999999998</v>
      </c>
      <c r="S5793">
        <v>2.5282900000000001</v>
      </c>
      <c r="T5793">
        <v>-0.10342759999999999</v>
      </c>
      <c r="U5793">
        <v>-1.7529600000000001</v>
      </c>
      <c r="V5793">
        <v>0.16793429999999901</v>
      </c>
      <c r="W5793">
        <v>-9.9737720000000005E-3</v>
      </c>
      <c r="X5793">
        <v>0.98574779999999995</v>
      </c>
      <c r="Y5793">
        <v>0.38169229999999998</v>
      </c>
      <c r="Z5793">
        <v>6.4069819999999897E-4</v>
      </c>
      <c r="AA5793">
        <v>0.92428920000000003</v>
      </c>
      <c r="AB5793">
        <v>28</v>
      </c>
      <c r="AC5793">
        <v>26.350399999999901</v>
      </c>
      <c r="AD5793">
        <v>-1.082431938672</v>
      </c>
      <c r="AE5793">
        <v>-18.335518</v>
      </c>
      <c r="AF5793">
        <v>12.292031234101399</v>
      </c>
      <c r="AG5793">
        <v>-1.082431938672</v>
      </c>
      <c r="AH5793">
        <v>29.6158984517043</v>
      </c>
      <c r="AI5793">
        <v>91.933394614831002</v>
      </c>
      <c r="AJ5793">
        <v>67.459184368369904</v>
      </c>
      <c r="AK5793">
        <v>32.0837518358381</v>
      </c>
      <c r="AL5793">
        <v>90.571464478930906</v>
      </c>
      <c r="AM5793">
        <v>80.331778572416795</v>
      </c>
      <c r="AN5793">
        <v>1.0000000652246099</v>
      </c>
    </row>
    <row r="5794" spans="1:40" x14ac:dyDescent="0.25">
      <c r="A5794" t="str">
        <f>"20190312161429980"</f>
        <v>20190312161429980</v>
      </c>
      <c r="B5794" t="str">
        <f>"1552378469971897"</f>
        <v>1552378469971897</v>
      </c>
      <c r="C5794" t="s">
        <v>40</v>
      </c>
      <c r="D5794">
        <v>5.8706199999999997</v>
      </c>
      <c r="E5794">
        <v>0.59973219999999905</v>
      </c>
      <c r="F5794" t="s">
        <v>42</v>
      </c>
      <c r="G5794">
        <v>-290.31020000000001</v>
      </c>
      <c r="H5794" s="1">
        <v>-4.9131090000000001E-6</v>
      </c>
      <c r="I5794">
        <v>-3.111221</v>
      </c>
      <c r="J5794">
        <v>-316.60860000000002</v>
      </c>
      <c r="K5794">
        <v>1.0810329999999999</v>
      </c>
      <c r="L5794">
        <v>15.318149999999999</v>
      </c>
      <c r="M5794">
        <v>0.97611380000000003</v>
      </c>
      <c r="N5794">
        <v>0</v>
      </c>
      <c r="O5794">
        <v>-0.2157502</v>
      </c>
      <c r="P5794">
        <v>0.92567909999999998</v>
      </c>
      <c r="Q5794">
        <v>-3.2543339999999997E-2</v>
      </c>
      <c r="R5794">
        <v>-0.3769074</v>
      </c>
      <c r="S5794">
        <v>2.5223689999999999</v>
      </c>
      <c r="T5794">
        <v>-0.103266</v>
      </c>
      <c r="U5794">
        <v>-1.7614749999999999</v>
      </c>
      <c r="V5794">
        <v>0.16810510000000001</v>
      </c>
      <c r="W5794">
        <v>-1.00301E-2</v>
      </c>
      <c r="X5794">
        <v>0.98571810000000004</v>
      </c>
      <c r="Y5794">
        <v>0.38201930000000001</v>
      </c>
      <c r="Z5794">
        <v>7.3692899999999999E-4</v>
      </c>
      <c r="AA5794">
        <v>0.92415400000000003</v>
      </c>
      <c r="AB5794">
        <v>28</v>
      </c>
      <c r="AC5794">
        <v>26.298400000000001</v>
      </c>
      <c r="AD5794">
        <v>-1.081037913109</v>
      </c>
      <c r="AE5794">
        <v>-18.429371</v>
      </c>
      <c r="AF5794">
        <v>12.305360694671901</v>
      </c>
      <c r="AG5794">
        <v>-1.081037913109</v>
      </c>
      <c r="AH5794">
        <v>29.622497148071002</v>
      </c>
      <c r="AI5794">
        <v>91.930232508952201</v>
      </c>
      <c r="AJ5794">
        <v>67.441712310659796</v>
      </c>
      <c r="AK5794">
        <v>32.094904300886</v>
      </c>
      <c r="AL5794">
        <v>90.574692005518301</v>
      </c>
      <c r="AM5794">
        <v>80.3218451631449</v>
      </c>
      <c r="AN5794">
        <v>1.0000000501098101</v>
      </c>
    </row>
    <row r="5795" spans="1:40" x14ac:dyDescent="0.25">
      <c r="A5795" t="str">
        <f>"20190312161429994"</f>
        <v>20190312161429994</v>
      </c>
      <c r="B5795" t="str">
        <f>"1552378469982633"</f>
        <v>1552378469982633</v>
      </c>
      <c r="C5795" t="s">
        <v>40</v>
      </c>
      <c r="D5795">
        <v>5.9581369999999998</v>
      </c>
      <c r="E5795">
        <v>0.60499820000000004</v>
      </c>
      <c r="F5795" t="s">
        <v>41</v>
      </c>
      <c r="G5795">
        <v>-305.38260000000002</v>
      </c>
      <c r="H5795">
        <v>-0.05</v>
      </c>
      <c r="I5795">
        <v>6.87046799999999</v>
      </c>
      <c r="J5795">
        <v>-316.44619999999998</v>
      </c>
      <c r="K5795">
        <v>1.0794509999999999</v>
      </c>
      <c r="L5795">
        <v>15.27811</v>
      </c>
      <c r="M5795">
        <v>0.9753484</v>
      </c>
      <c r="N5795">
        <v>0</v>
      </c>
      <c r="O5795">
        <v>-0.2192076</v>
      </c>
      <c r="P5795">
        <v>0.92430159999999995</v>
      </c>
      <c r="Q5795">
        <v>-3.2178329999999998E-2</v>
      </c>
      <c r="R5795">
        <v>-0.38030399999999998</v>
      </c>
      <c r="S5795">
        <v>2.4740600000000001</v>
      </c>
      <c r="T5795">
        <v>-0.2492645</v>
      </c>
      <c r="U5795">
        <v>-1.861755</v>
      </c>
      <c r="V5795">
        <v>0.16823150000000001</v>
      </c>
      <c r="W5795">
        <v>-9.8928999999999996E-3</v>
      </c>
      <c r="X5795">
        <v>0.98569790000000002</v>
      </c>
      <c r="Y5795">
        <v>0.410833</v>
      </c>
      <c r="Z5795">
        <v>7.7204589999999896E-4</v>
      </c>
      <c r="AA5795">
        <v>0.91171029999999997</v>
      </c>
      <c r="AB5795">
        <v>28</v>
      </c>
      <c r="AC5795">
        <v>11.0635999999999</v>
      </c>
      <c r="AD5795">
        <v>-1.129451</v>
      </c>
      <c r="AE5795">
        <v>-8.4076419999999992</v>
      </c>
      <c r="AF5795">
        <v>5.7390987640051803</v>
      </c>
      <c r="AG5795">
        <v>-1.129451</v>
      </c>
      <c r="AH5795">
        <v>12.5550060633797</v>
      </c>
      <c r="AI5795">
        <v>94.677369697180495</v>
      </c>
      <c r="AJ5795">
        <v>65.434084091298004</v>
      </c>
      <c r="AK5795">
        <v>13.850671154709699</v>
      </c>
      <c r="AL5795">
        <v>90.566830647112894</v>
      </c>
      <c r="AM5795">
        <v>80.314511120955302</v>
      </c>
      <c r="AN5795">
        <v>1.00000002856353</v>
      </c>
    </row>
    <row r="5796" spans="1:40" x14ac:dyDescent="0.25">
      <c r="A5796" t="str">
        <f>"20190312161430007"</f>
        <v>20190312161430007</v>
      </c>
      <c r="B5796" t="str">
        <f>"1552378470002152"</f>
        <v>1552378470002152</v>
      </c>
      <c r="C5796" t="s">
        <v>40</v>
      </c>
      <c r="D5796">
        <v>6.2211470000000002</v>
      </c>
      <c r="E5796">
        <v>0.60987819999999904</v>
      </c>
      <c r="F5796" t="s">
        <v>41</v>
      </c>
      <c r="G5796">
        <v>-303.67189999999999</v>
      </c>
      <c r="H5796">
        <v>-0.05</v>
      </c>
      <c r="I5796">
        <v>5.3217160000000003</v>
      </c>
      <c r="J5796">
        <v>-316.2903</v>
      </c>
      <c r="K5796">
        <v>1.077947</v>
      </c>
      <c r="L5796">
        <v>15.239039999999999</v>
      </c>
      <c r="M5796">
        <v>0.97458449999999996</v>
      </c>
      <c r="N5796">
        <v>0</v>
      </c>
      <c r="O5796">
        <v>-0.22260820000000001</v>
      </c>
      <c r="P5796">
        <v>0.92298930000000001</v>
      </c>
      <c r="Q5796">
        <v>-3.1531339999999998E-2</v>
      </c>
      <c r="R5796">
        <v>-0.3835327</v>
      </c>
      <c r="S5796">
        <v>2.4518740000000001</v>
      </c>
      <c r="T5796">
        <v>-0.2167848</v>
      </c>
      <c r="U5796">
        <v>-1.911011</v>
      </c>
      <c r="V5796">
        <v>0.1682408</v>
      </c>
      <c r="W5796">
        <v>-9.507995E-3</v>
      </c>
      <c r="X5796">
        <v>0.98570009999999997</v>
      </c>
      <c r="Y5796">
        <v>0.4231993</v>
      </c>
      <c r="Z5796">
        <v>4.3341050000000002E-4</v>
      </c>
      <c r="AA5796">
        <v>0.90603659999999997</v>
      </c>
      <c r="AB5796">
        <v>28</v>
      </c>
      <c r="AC5796">
        <v>12.618399999999999</v>
      </c>
      <c r="AD5796">
        <v>-1.127947</v>
      </c>
      <c r="AE5796">
        <v>-9.9173240000000007</v>
      </c>
      <c r="AF5796">
        <v>6.8247640081048297</v>
      </c>
      <c r="AG5796">
        <v>-1.127947</v>
      </c>
      <c r="AH5796">
        <v>14.4386332567864</v>
      </c>
      <c r="AI5796">
        <v>94.039957411012793</v>
      </c>
      <c r="AJ5796">
        <v>64.701124414558606</v>
      </c>
      <c r="AK5796">
        <v>16.0101155063013</v>
      </c>
      <c r="AL5796">
        <v>90.544776178256598</v>
      </c>
      <c r="AM5796">
        <v>80.314007049368698</v>
      </c>
      <c r="AN5796">
        <v>1.00000002794678</v>
      </c>
    </row>
    <row r="5797" spans="1:40" x14ac:dyDescent="0.25">
      <c r="A5797" t="str">
        <f>"20190312161430019"</f>
        <v>20190312161430019</v>
      </c>
      <c r="B5797" t="str">
        <f>"1552378470011912"</f>
        <v>1552378470011912</v>
      </c>
      <c r="C5797" t="s">
        <v>40</v>
      </c>
      <c r="D5797">
        <v>5.6961870000000001</v>
      </c>
      <c r="E5797">
        <v>0.61509169999999902</v>
      </c>
      <c r="F5797" t="s">
        <v>41</v>
      </c>
      <c r="G5797">
        <v>-305.34339999999997</v>
      </c>
      <c r="H5797">
        <v>-0.05</v>
      </c>
      <c r="I5797">
        <v>6.4342040000000003</v>
      </c>
      <c r="J5797">
        <v>-316.14440000000002</v>
      </c>
      <c r="K5797">
        <v>1.076605</v>
      </c>
      <c r="L5797">
        <v>15.20166</v>
      </c>
      <c r="M5797">
        <v>0.9738076</v>
      </c>
      <c r="N5797">
        <v>0</v>
      </c>
      <c r="O5797">
        <v>-0.22601309999999999</v>
      </c>
      <c r="P5797">
        <v>0.92168300000000003</v>
      </c>
      <c r="Q5797">
        <v>-3.1129029999999999E-2</v>
      </c>
      <c r="R5797">
        <v>-0.38669330000000002</v>
      </c>
      <c r="S5797">
        <v>2.4296880000000001</v>
      </c>
      <c r="T5797">
        <v>-0.25035010000000002</v>
      </c>
      <c r="U5797">
        <v>-1.9542539999999999</v>
      </c>
      <c r="V5797">
        <v>0.16817470000000001</v>
      </c>
      <c r="W5797">
        <v>-9.3735209999999992E-3</v>
      </c>
      <c r="X5797">
        <v>0.98571260000000005</v>
      </c>
      <c r="Y5797">
        <v>0.43370049999999999</v>
      </c>
      <c r="Z5797">
        <v>3.0889920000000003E-4</v>
      </c>
      <c r="AA5797">
        <v>0.901057</v>
      </c>
      <c r="AB5797">
        <v>28</v>
      </c>
      <c r="AC5797">
        <v>10.801</v>
      </c>
      <c r="AD5797">
        <v>-1.1266049999999901</v>
      </c>
      <c r="AE5797">
        <v>-8.7674559999999992</v>
      </c>
      <c r="AF5797">
        <v>6.0587932287718802</v>
      </c>
      <c r="AG5797">
        <v>-1.1266049999999901</v>
      </c>
      <c r="AH5797">
        <v>12.4220444555343</v>
      </c>
      <c r="AI5797">
        <v>94.660152100683405</v>
      </c>
      <c r="AJ5797">
        <v>63.999413777344799</v>
      </c>
      <c r="AK5797">
        <v>13.866701218037001</v>
      </c>
      <c r="AL5797">
        <v>90.537071078277705</v>
      </c>
      <c r="AM5797">
        <v>80.317860980235807</v>
      </c>
      <c r="AN5797">
        <v>0.99999996120739298</v>
      </c>
    </row>
    <row r="5798" spans="1:40" x14ac:dyDescent="0.25">
      <c r="A5798" t="str">
        <f>"20190312161430031"</f>
        <v>20190312161430031</v>
      </c>
      <c r="B5798" t="str">
        <f>"1552378470022649"</f>
        <v>1552378470022649</v>
      </c>
      <c r="C5798" t="s">
        <v>40</v>
      </c>
      <c r="D5798">
        <v>5.3865860000000003</v>
      </c>
      <c r="E5798">
        <v>0.61598719999999996</v>
      </c>
      <c r="F5798" t="s">
        <v>41</v>
      </c>
      <c r="G5798">
        <v>-304.03199999999998</v>
      </c>
      <c r="H5798">
        <v>-0.05</v>
      </c>
      <c r="I5798">
        <v>5.1294709999999997</v>
      </c>
      <c r="J5798">
        <v>-315.99700000000001</v>
      </c>
      <c r="K5798">
        <v>1.0752660000000001</v>
      </c>
      <c r="L5798">
        <v>15.1634799999999</v>
      </c>
      <c r="M5798">
        <v>0.97298839999999998</v>
      </c>
      <c r="N5798">
        <v>0</v>
      </c>
      <c r="O5798">
        <v>-0.22954640000000001</v>
      </c>
      <c r="P5798">
        <v>0.92037800000000003</v>
      </c>
      <c r="Q5798">
        <v>-3.0375329999999999E-2</v>
      </c>
      <c r="R5798">
        <v>-0.38984809999999998</v>
      </c>
      <c r="S5798">
        <v>2.4074399999999998</v>
      </c>
      <c r="T5798">
        <v>-0.22392090000000001</v>
      </c>
      <c r="U5798">
        <v>-2.0019230000000001</v>
      </c>
      <c r="V5798">
        <v>0.1679775</v>
      </c>
      <c r="W5798">
        <v>-8.8958969999999998E-3</v>
      </c>
      <c r="X5798">
        <v>0.98575069999999998</v>
      </c>
      <c r="Y5798">
        <v>0.4452101</v>
      </c>
      <c r="Z5798" s="1">
        <v>7.1771440000000005E-5</v>
      </c>
      <c r="AA5798">
        <v>0.89542619999999895</v>
      </c>
      <c r="AB5798">
        <v>28</v>
      </c>
      <c r="AC5798">
        <v>11.965</v>
      </c>
      <c r="AD5798">
        <v>-1.1252659999999901</v>
      </c>
      <c r="AE5798">
        <v>-10.0340089999999</v>
      </c>
      <c r="AF5798">
        <v>6.9823070115433996</v>
      </c>
      <c r="AG5798">
        <v>-1.1252659999999901</v>
      </c>
      <c r="AH5798">
        <v>13.8772148962847</v>
      </c>
      <c r="AI5798">
        <v>94.142996811978193</v>
      </c>
      <c r="AJ5798">
        <v>63.290790476663297</v>
      </c>
      <c r="AK5798">
        <v>15.5754912619753</v>
      </c>
      <c r="AL5798">
        <v>90.509704070866903</v>
      </c>
      <c r="AM5798">
        <v>80.329366359810606</v>
      </c>
      <c r="AN5798">
        <v>1.0000000100200801</v>
      </c>
    </row>
    <row r="5799" spans="1:40" x14ac:dyDescent="0.25">
      <c r="A5799" t="str">
        <f>"20190312161430050"</f>
        <v>20190312161430050</v>
      </c>
      <c r="B5799" t="str">
        <f>"1552378470042168"</f>
        <v>1552378470042168</v>
      </c>
      <c r="C5799" t="s">
        <v>40</v>
      </c>
      <c r="D5799">
        <v>5.632225</v>
      </c>
      <c r="E5799">
        <v>0.61830850000000004</v>
      </c>
      <c r="F5799" t="s">
        <v>41</v>
      </c>
      <c r="G5799">
        <v>-301.4545</v>
      </c>
      <c r="H5799">
        <v>-0.05</v>
      </c>
      <c r="I5799">
        <v>2.9284210000000002</v>
      </c>
      <c r="J5799">
        <v>-315.75810000000001</v>
      </c>
      <c r="K5799">
        <v>1.0731820000000001</v>
      </c>
      <c r="L5799">
        <v>15.100160000000001</v>
      </c>
      <c r="M5799">
        <v>0.97153900000000004</v>
      </c>
      <c r="N5799">
        <v>0</v>
      </c>
      <c r="O5799">
        <v>-0.23566019999999999</v>
      </c>
      <c r="P5799">
        <v>0.91791009999999995</v>
      </c>
      <c r="Q5799">
        <v>-3.0544310000000002E-2</v>
      </c>
      <c r="R5799">
        <v>-0.39561180000000001</v>
      </c>
      <c r="S5799">
        <v>2.3986209999999999</v>
      </c>
      <c r="T5799">
        <v>-0.18559970000000001</v>
      </c>
      <c r="U5799">
        <v>-2.0180359999999999</v>
      </c>
      <c r="V5799">
        <v>0.16795489999999999</v>
      </c>
      <c r="W5799">
        <v>-9.5551799999999999E-3</v>
      </c>
      <c r="X5799">
        <v>0.98574839999999997</v>
      </c>
      <c r="Y5799">
        <v>0.44491120000000001</v>
      </c>
      <c r="Z5799">
        <v>4.5151540000000002E-4</v>
      </c>
      <c r="AA5799">
        <v>0.895574599999999</v>
      </c>
      <c r="AB5799">
        <v>28</v>
      </c>
      <c r="AC5799">
        <v>14.303599999999999</v>
      </c>
      <c r="AD5799">
        <v>-1.1231819999999999</v>
      </c>
      <c r="AE5799">
        <v>-12.171739000000001</v>
      </c>
      <c r="AF5799">
        <v>8.4268295612945998</v>
      </c>
      <c r="AG5799">
        <v>-1.1231819999999999</v>
      </c>
      <c r="AH5799">
        <v>16.709971335641999</v>
      </c>
      <c r="AI5799">
        <v>93.434571930680804</v>
      </c>
      <c r="AJ5799">
        <v>63.238215097332599</v>
      </c>
      <c r="AK5799">
        <v>18.748230217762099</v>
      </c>
      <c r="AL5799">
        <v>90.547479801777101</v>
      </c>
      <c r="AM5799">
        <v>80.330620763954599</v>
      </c>
      <c r="AN5799">
        <v>1.0000000290007001</v>
      </c>
    </row>
    <row r="5800" spans="1:40" x14ac:dyDescent="0.25">
      <c r="A5800" t="str">
        <f>"20190312161430063"</f>
        <v>20190312161430063</v>
      </c>
      <c r="B5800" t="str">
        <f>"1552378470051928"</f>
        <v>1552378470051928</v>
      </c>
      <c r="C5800" t="s">
        <v>40</v>
      </c>
      <c r="D5800">
        <v>5.9804579999999996</v>
      </c>
      <c r="E5800">
        <v>0.61686450000000004</v>
      </c>
      <c r="F5800" t="s">
        <v>42</v>
      </c>
      <c r="G5800">
        <v>-293.94170000000003</v>
      </c>
      <c r="H5800" s="1">
        <v>-3.7708730000000001E-6</v>
      </c>
      <c r="I5800">
        <v>-3.7192419999999999</v>
      </c>
      <c r="J5800">
        <v>-315.60410000000002</v>
      </c>
      <c r="K5800">
        <v>1.071871</v>
      </c>
      <c r="L5800">
        <v>15.058350000000001</v>
      </c>
      <c r="M5800">
        <v>0.97054189999999996</v>
      </c>
      <c r="N5800">
        <v>0</v>
      </c>
      <c r="O5800">
        <v>-0.23977029999999999</v>
      </c>
      <c r="P5800">
        <v>0.91614739999999995</v>
      </c>
      <c r="Q5800">
        <v>-3.050719E-2</v>
      </c>
      <c r="R5800">
        <v>-0.39967979999999997</v>
      </c>
      <c r="S5800">
        <v>2.3796689999999998</v>
      </c>
      <c r="T5800">
        <v>-0.11705989999999999</v>
      </c>
      <c r="U5800">
        <v>-2.052765</v>
      </c>
      <c r="V5800">
        <v>0.16815279999999999</v>
      </c>
      <c r="W5800">
        <v>-9.8718230000000001E-3</v>
      </c>
      <c r="X5800">
        <v>0.98571149999999996</v>
      </c>
      <c r="Y5800">
        <v>0.45236920000000003</v>
      </c>
      <c r="Z5800">
        <v>2.8668440000000002E-4</v>
      </c>
      <c r="AA5800">
        <v>0.89183069999999898</v>
      </c>
      <c r="AB5800">
        <v>28</v>
      </c>
      <c r="AC5800">
        <v>21.662399999999899</v>
      </c>
      <c r="AD5800">
        <v>-1.0718747708730001</v>
      </c>
      <c r="AE5800">
        <v>-18.777591999999999</v>
      </c>
      <c r="AF5800">
        <v>13.0158851981145</v>
      </c>
      <c r="AG5800">
        <v>-1.0718747708730001</v>
      </c>
      <c r="AH5800">
        <v>25.498063572594901</v>
      </c>
      <c r="AI5800">
        <v>92.144234560116203</v>
      </c>
      <c r="AJ5800">
        <v>62.957250359378399</v>
      </c>
      <c r="AK5800">
        <v>28.648096428332298</v>
      </c>
      <c r="AL5800">
        <v>90.565622987332006</v>
      </c>
      <c r="AM5800">
        <v>80.319087344720899</v>
      </c>
      <c r="AN5800">
        <v>0.99999998913471599</v>
      </c>
    </row>
    <row r="5801" spans="1:40" x14ac:dyDescent="0.25">
      <c r="A5801" t="str">
        <f>"20190312161430077"</f>
        <v>20190312161430077</v>
      </c>
      <c r="B5801" t="str">
        <f>"1552378470072425"</f>
        <v>1552378470072425</v>
      </c>
      <c r="C5801" t="s">
        <v>40</v>
      </c>
      <c r="D5801">
        <v>5.6928549999999998</v>
      </c>
      <c r="E5801">
        <v>0.6199865</v>
      </c>
      <c r="F5801" t="s">
        <v>42</v>
      </c>
      <c r="G5801">
        <v>-293.50700000000001</v>
      </c>
      <c r="H5801" s="1">
        <v>-3.7067870000000001E-6</v>
      </c>
      <c r="I5801">
        <v>-4.0375500000000004</v>
      </c>
      <c r="J5801">
        <v>-315.44760000000002</v>
      </c>
      <c r="K5801">
        <v>1.0705639999999901</v>
      </c>
      <c r="L5801">
        <v>15.01511</v>
      </c>
      <c r="M5801">
        <v>0.96949799999999997</v>
      </c>
      <c r="N5801">
        <v>0</v>
      </c>
      <c r="O5801">
        <v>-0.24399470000000001</v>
      </c>
      <c r="P5801">
        <v>0.91437139999999995</v>
      </c>
      <c r="Q5801">
        <v>-3.0433209999999999E-2</v>
      </c>
      <c r="R5801">
        <v>-0.40373140000000002</v>
      </c>
      <c r="S5801">
        <v>2.3752749999999998</v>
      </c>
      <c r="T5801">
        <v>-0.1152189</v>
      </c>
      <c r="U5801">
        <v>-2.052673</v>
      </c>
      <c r="V5801">
        <v>0.1682206</v>
      </c>
      <c r="W5801">
        <v>-1.0178929999999999E-2</v>
      </c>
      <c r="X5801">
        <v>0.98569680000000004</v>
      </c>
      <c r="Y5801">
        <v>0.44928950000000001</v>
      </c>
      <c r="Z5801">
        <v>5.1153820000000003E-4</v>
      </c>
      <c r="AA5801">
        <v>0.89338609999999896</v>
      </c>
      <c r="AB5801">
        <v>28</v>
      </c>
      <c r="AC5801">
        <v>21.9406</v>
      </c>
      <c r="AD5801">
        <v>-1.0705677067870001</v>
      </c>
      <c r="AE5801">
        <v>-19.052659999999999</v>
      </c>
      <c r="AF5801">
        <v>13.1038841809302</v>
      </c>
      <c r="AG5801">
        <v>-1.0705677067870001</v>
      </c>
      <c r="AH5801">
        <v>25.8919761488586</v>
      </c>
      <c r="AI5801">
        <v>92.112790454847399</v>
      </c>
      <c r="AJ5801">
        <v>63.156107376783098</v>
      </c>
      <c r="AK5801">
        <v>29.0388072195658</v>
      </c>
      <c r="AL5801">
        <v>90.583219811510403</v>
      </c>
      <c r="AM5801">
        <v>80.315116171043798</v>
      </c>
      <c r="AN5801">
        <v>0.999999981205272</v>
      </c>
    </row>
    <row r="5802" spans="1:40" x14ac:dyDescent="0.25">
      <c r="A5802" t="str">
        <f>"20190312161430091"</f>
        <v>20190312161430091</v>
      </c>
      <c r="B5802" t="str">
        <f>"1552378470082184"</f>
        <v>1552378470082184</v>
      </c>
      <c r="C5802" t="s">
        <v>40</v>
      </c>
      <c r="D5802">
        <v>5.4965440000000001</v>
      </c>
      <c r="E5802">
        <v>0.62014060000000004</v>
      </c>
      <c r="F5802" t="s">
        <v>42</v>
      </c>
      <c r="G5802">
        <v>-292.64640000000003</v>
      </c>
      <c r="H5802" s="1">
        <v>-3.4997269999999998E-6</v>
      </c>
      <c r="I5802">
        <v>-5.1730589999999896</v>
      </c>
      <c r="J5802">
        <v>-315.26440000000002</v>
      </c>
      <c r="K5802">
        <v>1.0690630000000001</v>
      </c>
      <c r="L5802">
        <v>14.963559999999999</v>
      </c>
      <c r="M5802">
        <v>0.96823789999999998</v>
      </c>
      <c r="N5802">
        <v>0</v>
      </c>
      <c r="O5802">
        <v>-0.24899180000000001</v>
      </c>
      <c r="P5802">
        <v>0.91208920000000004</v>
      </c>
      <c r="Q5802">
        <v>-3.009763E-2</v>
      </c>
      <c r="R5802">
        <v>-0.40888580000000002</v>
      </c>
      <c r="S5802">
        <v>2.3561709999999998</v>
      </c>
      <c r="T5802">
        <v>-0.1106274</v>
      </c>
      <c r="U5802">
        <v>-2.0861510000000001</v>
      </c>
      <c r="V5802">
        <v>0.16869770000000001</v>
      </c>
      <c r="W5802">
        <v>-1.032128E-2</v>
      </c>
      <c r="X5802">
        <v>0.98561379999999998</v>
      </c>
      <c r="Y5802">
        <v>0.45542070000000001</v>
      </c>
      <c r="Z5802">
        <v>5.5245499999999998E-4</v>
      </c>
      <c r="AA5802">
        <v>0.89027619999999896</v>
      </c>
      <c r="AB5802">
        <v>28</v>
      </c>
      <c r="AC5802">
        <v>22.617999999999899</v>
      </c>
      <c r="AD5802">
        <v>-1.0690664997270001</v>
      </c>
      <c r="AE5802">
        <v>-20.136619</v>
      </c>
      <c r="AF5802">
        <v>13.851673862512399</v>
      </c>
      <c r="AG5802">
        <v>-1.0690664997270001</v>
      </c>
      <c r="AH5802">
        <v>26.886928787280201</v>
      </c>
      <c r="AI5802">
        <v>92.024366999986199</v>
      </c>
      <c r="AJ5802">
        <v>62.743270900813201</v>
      </c>
      <c r="AK5802">
        <v>30.2641489486574</v>
      </c>
      <c r="AL5802">
        <v>90.591376281616306</v>
      </c>
      <c r="AM5802">
        <v>80.287368445888902</v>
      </c>
      <c r="AN5802">
        <v>1.0000000027782801</v>
      </c>
    </row>
    <row r="5803" spans="1:40" x14ac:dyDescent="0.25">
      <c r="A5803" t="str">
        <f>"20190312161430102"</f>
        <v>20190312161430102</v>
      </c>
      <c r="B5803" t="str">
        <f>"1552378470091945"</f>
        <v>1552378470091945</v>
      </c>
      <c r="C5803" t="s">
        <v>40</v>
      </c>
      <c r="D5803">
        <v>5.6246359999999997</v>
      </c>
      <c r="E5803">
        <v>0.62044670000000002</v>
      </c>
      <c r="F5803" t="s">
        <v>42</v>
      </c>
      <c r="G5803">
        <v>-289.95780000000002</v>
      </c>
      <c r="H5803">
        <v>2.9393679999999998E-2</v>
      </c>
      <c r="I5803">
        <v>-7.7204670000000002</v>
      </c>
      <c r="J5803">
        <v>-315.1277</v>
      </c>
      <c r="K5803">
        <v>1.0679809999999901</v>
      </c>
      <c r="L5803">
        <v>14.924289999999999</v>
      </c>
      <c r="M5803">
        <v>0.96726979999999996</v>
      </c>
      <c r="N5803">
        <v>0</v>
      </c>
      <c r="O5803">
        <v>-0.25275900000000001</v>
      </c>
      <c r="P5803">
        <v>0.91041629999999996</v>
      </c>
      <c r="Q5803">
        <v>-2.9952059999999999E-2</v>
      </c>
      <c r="R5803">
        <v>-0.41260839999999999</v>
      </c>
      <c r="S5803">
        <v>2.344055</v>
      </c>
      <c r="T5803">
        <v>-9.63006E-2</v>
      </c>
      <c r="U5803">
        <v>-2.1011350000000002</v>
      </c>
      <c r="V5803">
        <v>0.16888399999999901</v>
      </c>
      <c r="W5803">
        <v>-1.054689E-2</v>
      </c>
      <c r="X5803">
        <v>0.98557950000000005</v>
      </c>
      <c r="Y5803">
        <v>0.45743080000000003</v>
      </c>
      <c r="Z5803">
        <v>5.6780739999999995E-4</v>
      </c>
      <c r="AA5803">
        <v>0.88924499999999995</v>
      </c>
      <c r="AB5803">
        <v>28</v>
      </c>
      <c r="AC5803">
        <v>25.169899999999899</v>
      </c>
      <c r="AD5803">
        <v>-1.03858731999999</v>
      </c>
      <c r="AE5803">
        <v>-22.644756999999998</v>
      </c>
      <c r="AF5803">
        <v>15.530958963850299</v>
      </c>
      <c r="AG5803">
        <v>-1.03858731999999</v>
      </c>
      <c r="AH5803">
        <v>30.0490251627959</v>
      </c>
      <c r="AI5803">
        <v>91.758680184123193</v>
      </c>
      <c r="AJ5803">
        <v>62.667637290443302</v>
      </c>
      <c r="AK5803">
        <v>33.841295235147399</v>
      </c>
      <c r="AL5803">
        <v>90.604303489880394</v>
      </c>
      <c r="AM5803">
        <v>80.276515089227402</v>
      </c>
      <c r="AN5803">
        <v>0.99999999658246097</v>
      </c>
    </row>
    <row r="5804" spans="1:40" x14ac:dyDescent="0.25">
      <c r="A5804" t="str">
        <f>"20190312161430113"</f>
        <v>20190312161430113</v>
      </c>
      <c r="B5804" t="str">
        <f>"1552378470101705"</f>
        <v>1552378470101705</v>
      </c>
      <c r="C5804" t="s">
        <v>40</v>
      </c>
      <c r="D5804">
        <v>5.9646400000000002</v>
      </c>
      <c r="E5804">
        <v>0.62136159999999996</v>
      </c>
      <c r="F5804" t="s">
        <v>42</v>
      </c>
      <c r="G5804">
        <v>-288.14819999999997</v>
      </c>
      <c r="H5804">
        <v>7.9986100000000004E-2</v>
      </c>
      <c r="I5804">
        <v>-9.4970049999999997</v>
      </c>
      <c r="J5804">
        <v>-315.00749999999999</v>
      </c>
      <c r="K5804">
        <v>1.067061</v>
      </c>
      <c r="L5804">
        <v>14.88922</v>
      </c>
      <c r="M5804">
        <v>0.96639819999999999</v>
      </c>
      <c r="N5804">
        <v>0</v>
      </c>
      <c r="O5804">
        <v>-0.25609880000000002</v>
      </c>
      <c r="P5804">
        <v>0.90883769999999997</v>
      </c>
      <c r="Q5804">
        <v>-2.977726E-2</v>
      </c>
      <c r="R5804">
        <v>-0.41608590000000001</v>
      </c>
      <c r="S5804">
        <v>2.3346559999999998</v>
      </c>
      <c r="T5804">
        <v>-8.5495470000000004E-2</v>
      </c>
      <c r="U5804">
        <v>-2.1132810000000002</v>
      </c>
      <c r="V5804">
        <v>0.169244899999999</v>
      </c>
      <c r="W5804">
        <v>-1.070362E-2</v>
      </c>
      <c r="X5804">
        <v>0.9855159</v>
      </c>
      <c r="Y5804">
        <v>0.45870630000000001</v>
      </c>
      <c r="Z5804">
        <v>5.804114E-4</v>
      </c>
      <c r="AA5804">
        <v>0.88858780000000004</v>
      </c>
      <c r="AB5804">
        <v>28</v>
      </c>
      <c r="AC5804">
        <v>26.859300000000001</v>
      </c>
      <c r="AD5804">
        <v>-0.98707489999999998</v>
      </c>
      <c r="AE5804">
        <v>-24.386225</v>
      </c>
      <c r="AF5804">
        <v>16.6798940790732</v>
      </c>
      <c r="AG5804">
        <v>-0.98707489999999998</v>
      </c>
      <c r="AH5804">
        <v>32.186093701518899</v>
      </c>
      <c r="AI5804">
        <v>91.559698834929506</v>
      </c>
      <c r="AJ5804">
        <v>62.605321283100402</v>
      </c>
      <c r="AK5804">
        <v>36.264828844353602</v>
      </c>
      <c r="AL5804">
        <v>90.613283964496603</v>
      </c>
      <c r="AM5804">
        <v>80.2555174436269</v>
      </c>
      <c r="AN5804">
        <v>0.99999999640496195</v>
      </c>
    </row>
    <row r="5805" spans="1:40" x14ac:dyDescent="0.25">
      <c r="A5805" t="str">
        <f>"20190312161430125"</f>
        <v>20190312161430125</v>
      </c>
      <c r="B5805" t="str">
        <f>"1552378470112441"</f>
        <v>1552378470112441</v>
      </c>
      <c r="C5805" t="s">
        <v>40</v>
      </c>
      <c r="D5805">
        <v>6.0379779999999998</v>
      </c>
      <c r="E5805">
        <v>0.62093039999999999</v>
      </c>
      <c r="F5805" t="s">
        <v>42</v>
      </c>
      <c r="G5805">
        <v>-285.25729999999999</v>
      </c>
      <c r="H5805">
        <v>7.9986450000000001E-2</v>
      </c>
      <c r="I5805">
        <v>-12.369400000000001</v>
      </c>
      <c r="J5805">
        <v>-314.86829999999998</v>
      </c>
      <c r="K5805">
        <v>1.066033</v>
      </c>
      <c r="L5805">
        <v>14.84802</v>
      </c>
      <c r="M5805">
        <v>0.96536469999999996</v>
      </c>
      <c r="N5805">
        <v>0</v>
      </c>
      <c r="O5805">
        <v>-0.25999909999999998</v>
      </c>
      <c r="P5805">
        <v>0.90696330000000003</v>
      </c>
      <c r="Q5805">
        <v>-2.9728000000000001E-2</v>
      </c>
      <c r="R5805">
        <v>-0.42016019999999998</v>
      </c>
      <c r="S5805">
        <v>2.3236690000000002</v>
      </c>
      <c r="T5805">
        <v>-7.7096339999999999E-2</v>
      </c>
      <c r="U5805">
        <v>-2.1290589999999998</v>
      </c>
      <c r="V5805">
        <v>0.16968329999999901</v>
      </c>
      <c r="W5805">
        <v>-1.1040400000000001E-2</v>
      </c>
      <c r="X5805">
        <v>0.9854368</v>
      </c>
      <c r="Y5805">
        <v>0.46051009999999998</v>
      </c>
      <c r="Z5805">
        <v>5.9914639999999997E-4</v>
      </c>
      <c r="AA5805">
        <v>0.88765419999999995</v>
      </c>
      <c r="AB5805">
        <v>28</v>
      </c>
      <c r="AC5805">
        <v>29.610999999999901</v>
      </c>
      <c r="AD5805">
        <v>-0.98604654999999997</v>
      </c>
      <c r="AE5805">
        <v>-27.217420000000001</v>
      </c>
      <c r="AF5805">
        <v>18.569122314151102</v>
      </c>
      <c r="AG5805">
        <v>-0.98604654999999997</v>
      </c>
      <c r="AH5805">
        <v>35.648901037357703</v>
      </c>
      <c r="AI5805">
        <v>91.405265698709897</v>
      </c>
      <c r="AJ5805">
        <v>62.485486143075001</v>
      </c>
      <c r="AK5805">
        <v>40.207321926335702</v>
      </c>
      <c r="AL5805">
        <v>90.632581175662295</v>
      </c>
      <c r="AM5805">
        <v>80.229992739453294</v>
      </c>
      <c r="AN5805">
        <v>0.99999999976264498</v>
      </c>
    </row>
    <row r="5806" spans="1:40" x14ac:dyDescent="0.25">
      <c r="A5806" t="str">
        <f>"20190312161430136"</f>
        <v>20190312161430136</v>
      </c>
      <c r="B5806" t="str">
        <f>"1552378470131962"</f>
        <v>1552378470131962</v>
      </c>
      <c r="C5806" t="s">
        <v>40</v>
      </c>
      <c r="D5806">
        <v>5.8838879999999998</v>
      </c>
      <c r="E5806">
        <v>0.6206855</v>
      </c>
      <c r="F5806" t="s">
        <v>42</v>
      </c>
      <c r="G5806">
        <v>-289.9554</v>
      </c>
      <c r="H5806">
        <v>5.2295979999999999E-2</v>
      </c>
      <c r="I5806">
        <v>-8.1323240000000006</v>
      </c>
      <c r="J5806">
        <v>-314.73079999999999</v>
      </c>
      <c r="K5806">
        <v>1.065083</v>
      </c>
      <c r="L5806">
        <v>14.80649</v>
      </c>
      <c r="M5806">
        <v>0.96430640000000001</v>
      </c>
      <c r="N5806">
        <v>0</v>
      </c>
      <c r="O5806">
        <v>-0.2639261</v>
      </c>
      <c r="P5806">
        <v>0.90503120000000004</v>
      </c>
      <c r="Q5806">
        <v>-2.9662830000000001E-2</v>
      </c>
      <c r="R5806">
        <v>-0.42430990000000002</v>
      </c>
      <c r="S5806">
        <v>2.3152469999999998</v>
      </c>
      <c r="T5806">
        <v>-9.4210390000000005E-2</v>
      </c>
      <c r="U5806">
        <v>-2.1356510000000002</v>
      </c>
      <c r="V5806">
        <v>0.1701821</v>
      </c>
      <c r="W5806">
        <v>-1.1350580000000001E-2</v>
      </c>
      <c r="X5806">
        <v>0.98534730000000004</v>
      </c>
      <c r="Y5806">
        <v>0.45984530000000001</v>
      </c>
      <c r="Z5806">
        <v>8.6911119999999995E-4</v>
      </c>
      <c r="AA5806">
        <v>0.88799859999999897</v>
      </c>
      <c r="AB5806">
        <v>28</v>
      </c>
      <c r="AC5806">
        <v>24.775399999999902</v>
      </c>
      <c r="AD5806">
        <v>-1.01278702</v>
      </c>
      <c r="AE5806">
        <v>-22.938814000000001</v>
      </c>
      <c r="AF5806">
        <v>15.5707156403596</v>
      </c>
      <c r="AG5806">
        <v>-1.01278702</v>
      </c>
      <c r="AH5806">
        <v>29.925135549894101</v>
      </c>
      <c r="AI5806">
        <v>91.719676067137101</v>
      </c>
      <c r="AJ5806">
        <v>62.511033947058301</v>
      </c>
      <c r="AK5806">
        <v>33.748876437303103</v>
      </c>
      <c r="AL5806">
        <v>90.650354266879702</v>
      </c>
      <c r="AM5806">
        <v>80.200956036878495</v>
      </c>
      <c r="AN5806">
        <v>1.0000000422220101</v>
      </c>
    </row>
    <row r="5807" spans="1:40" x14ac:dyDescent="0.25">
      <c r="A5807" t="str">
        <f>"20190312161430148"</f>
        <v>20190312161430148</v>
      </c>
      <c r="B5807" t="str">
        <f>"1552378470142699"</f>
        <v>1552378470142699</v>
      </c>
      <c r="C5807" t="s">
        <v>40</v>
      </c>
      <c r="D5807">
        <v>5.9451210000000003</v>
      </c>
      <c r="E5807">
        <v>0.62060590000000004</v>
      </c>
      <c r="F5807" t="s">
        <v>41</v>
      </c>
      <c r="G5807">
        <v>-280.51679999999999</v>
      </c>
      <c r="H5807">
        <v>-0.05</v>
      </c>
      <c r="I5807">
        <v>-17.016779999999901</v>
      </c>
      <c r="J5807">
        <v>-314.59359999999998</v>
      </c>
      <c r="K5807">
        <v>1.0641579999999999</v>
      </c>
      <c r="L5807">
        <v>14.764679999999901</v>
      </c>
      <c r="M5807">
        <v>0.96322569999999996</v>
      </c>
      <c r="N5807">
        <v>0</v>
      </c>
      <c r="O5807">
        <v>-0.26787169999999999</v>
      </c>
      <c r="P5807">
        <v>0.90318730000000003</v>
      </c>
      <c r="Q5807">
        <v>-2.9177479999999999E-2</v>
      </c>
      <c r="R5807">
        <v>-0.42825410000000003</v>
      </c>
      <c r="S5807">
        <v>2.3064879999999999</v>
      </c>
      <c r="T5807">
        <v>-7.5171829999999995E-2</v>
      </c>
      <c r="U5807">
        <v>-2.1453250000000001</v>
      </c>
      <c r="V5807">
        <v>0.17044570000000001</v>
      </c>
      <c r="W5807">
        <v>-1.1231970000000001E-2</v>
      </c>
      <c r="X5807">
        <v>0.98530300000000004</v>
      </c>
      <c r="Y5807">
        <v>0.45992240000000001</v>
      </c>
      <c r="Z5807">
        <v>7.9288660000000001E-4</v>
      </c>
      <c r="AA5807">
        <v>0.88795879999999905</v>
      </c>
      <c r="AB5807">
        <v>28</v>
      </c>
      <c r="AC5807">
        <v>34.076799999999899</v>
      </c>
      <c r="AD5807">
        <v>-1.114158</v>
      </c>
      <c r="AE5807">
        <v>-31.781459999999999</v>
      </c>
      <c r="AF5807">
        <v>21.476969045705001</v>
      </c>
      <c r="AG5807">
        <v>-1.114158</v>
      </c>
      <c r="AH5807">
        <v>41.3224966566059</v>
      </c>
      <c r="AI5807">
        <v>91.370490190834602</v>
      </c>
      <c r="AJ5807">
        <v>62.537279798256101</v>
      </c>
      <c r="AK5807">
        <v>46.583798442960202</v>
      </c>
      <c r="AL5807">
        <v>90.643558042267998</v>
      </c>
      <c r="AM5807">
        <v>80.185640261817298</v>
      </c>
      <c r="AN5807">
        <v>0.99999994780378398</v>
      </c>
    </row>
    <row r="5808" spans="1:40" x14ac:dyDescent="0.25">
      <c r="A5808" t="str">
        <f>"20190312161430160"</f>
        <v>20190312161430160</v>
      </c>
      <c r="B5808" t="str">
        <f>"1552378470152457"</f>
        <v>1552378470152457</v>
      </c>
      <c r="C5808" t="s">
        <v>40</v>
      </c>
      <c r="D5808">
        <v>5.8490989999999998</v>
      </c>
      <c r="E5808">
        <v>0.6204115</v>
      </c>
      <c r="F5808" t="s">
        <v>41</v>
      </c>
      <c r="G5808">
        <v>-274.03050000000002</v>
      </c>
      <c r="H5808">
        <v>-0.05</v>
      </c>
      <c r="I5808">
        <v>-23.28079</v>
      </c>
      <c r="J5808">
        <v>-314.45260000000002</v>
      </c>
      <c r="K5808">
        <v>1.0633010000000001</v>
      </c>
      <c r="L5808">
        <v>14.72052</v>
      </c>
      <c r="M5808">
        <v>0.96206009999999997</v>
      </c>
      <c r="N5808">
        <v>0</v>
      </c>
      <c r="O5808">
        <v>-0.27205439999999997</v>
      </c>
      <c r="P5808">
        <v>0.90121899999999999</v>
      </c>
      <c r="Q5808">
        <v>-2.921151E-2</v>
      </c>
      <c r="R5808">
        <v>-0.4323786</v>
      </c>
      <c r="S5808">
        <v>2.2976679999999998</v>
      </c>
      <c r="T5808">
        <v>-6.311071E-2</v>
      </c>
      <c r="U5808">
        <v>-2.1550600000000002</v>
      </c>
      <c r="V5808">
        <v>0.17066419999999999</v>
      </c>
      <c r="W5808">
        <v>-1.162302E-2</v>
      </c>
      <c r="X5808">
        <v>0.98526069999999999</v>
      </c>
      <c r="Y5808">
        <v>0.4597849</v>
      </c>
      <c r="Z5808">
        <v>7.5672520000000004E-4</v>
      </c>
      <c r="AA5808">
        <v>0.88802999999999899</v>
      </c>
      <c r="AB5808">
        <v>28</v>
      </c>
      <c r="AC5808">
        <v>40.4221</v>
      </c>
      <c r="AD5808">
        <v>-1.1133010000000001</v>
      </c>
      <c r="AE5808">
        <v>-38.001309999999997</v>
      </c>
      <c r="AF5808">
        <v>25.557698972518601</v>
      </c>
      <c r="AG5808">
        <v>-1.1133010000000001</v>
      </c>
      <c r="AH5808">
        <v>49.217602253435203</v>
      </c>
      <c r="AI5808">
        <v>91.150043349422006</v>
      </c>
      <c r="AJ5808">
        <v>62.558066431244697</v>
      </c>
      <c r="AK5808">
        <v>55.4689804076461</v>
      </c>
      <c r="AL5808">
        <v>90.665964982911902</v>
      </c>
      <c r="AM5808">
        <v>80.172890367292595</v>
      </c>
      <c r="AN5808">
        <v>1.00000000536002</v>
      </c>
    </row>
    <row r="5809" spans="1:40" x14ac:dyDescent="0.25">
      <c r="A5809" t="str">
        <f>"20190312161430171"</f>
        <v>20190312161430171</v>
      </c>
      <c r="B5809" t="str">
        <f>"1552378470162217"</f>
        <v>1552378470162217</v>
      </c>
      <c r="C5809" t="s">
        <v>40</v>
      </c>
      <c r="D5809">
        <v>5.752599</v>
      </c>
      <c r="E5809">
        <v>0.62017990000000001</v>
      </c>
      <c r="F5809" t="s">
        <v>101</v>
      </c>
      <c r="G5809">
        <v>-279.02</v>
      </c>
      <c r="H5809">
        <v>0.21692529999999999</v>
      </c>
      <c r="I5809">
        <v>-18.790520000000001</v>
      </c>
      <c r="J5809">
        <v>-314.31079999999997</v>
      </c>
      <c r="K5809">
        <v>1.0624690000000001</v>
      </c>
      <c r="L5809">
        <v>14.675750000000001</v>
      </c>
      <c r="M5809">
        <v>0.96085549999999997</v>
      </c>
      <c r="N5809">
        <v>0</v>
      </c>
      <c r="O5809">
        <v>-0.27630389999999999</v>
      </c>
      <c r="P5809">
        <v>0.89918799999999899</v>
      </c>
      <c r="Q5809">
        <v>-2.877617E-2</v>
      </c>
      <c r="R5809">
        <v>-0.43661529999999998</v>
      </c>
      <c r="S5809">
        <v>2.288605</v>
      </c>
      <c r="T5809">
        <v>-5.4667710000000001E-2</v>
      </c>
      <c r="U5809">
        <v>-2.1644899999999998</v>
      </c>
      <c r="V5809">
        <v>0.17094509999999999</v>
      </c>
      <c r="W5809">
        <v>-1.1540689999999999E-2</v>
      </c>
      <c r="X5809">
        <v>0.98521300000000001</v>
      </c>
      <c r="Y5809">
        <v>0.45955849999999998</v>
      </c>
      <c r="Z5809">
        <v>7.3663099999999996E-4</v>
      </c>
      <c r="AA5809">
        <v>0.88814720000000003</v>
      </c>
      <c r="AB5809">
        <v>27</v>
      </c>
      <c r="AC5809">
        <v>35.290799999999898</v>
      </c>
      <c r="AD5809">
        <v>-0.84554370000000001</v>
      </c>
      <c r="AE5809">
        <v>-33.466270000000002</v>
      </c>
      <c r="AF5809">
        <v>22.4031192336572</v>
      </c>
      <c r="AG5809">
        <v>-0.84554370000000001</v>
      </c>
      <c r="AH5809">
        <v>43.152089180777402</v>
      </c>
      <c r="AI5809">
        <v>90.996301867782506</v>
      </c>
      <c r="AJ5809">
        <v>62.563172401091499</v>
      </c>
      <c r="AK5809">
        <v>48.628361027407102</v>
      </c>
      <c r="AL5809">
        <v>90.661247485361997</v>
      </c>
      <c r="AM5809">
        <v>80.1565645865292</v>
      </c>
      <c r="AN5809">
        <v>1.0000000350543401</v>
      </c>
    </row>
    <row r="5810" spans="1:40" x14ac:dyDescent="0.25">
      <c r="A5810" t="str">
        <f>"20190312161430184"</f>
        <v>20190312161430184</v>
      </c>
      <c r="B5810" t="str">
        <f>"1552378470171978"</f>
        <v>1552378470171978</v>
      </c>
      <c r="C5810" t="s">
        <v>40</v>
      </c>
      <c r="D5810">
        <v>5.7292870000000002</v>
      </c>
      <c r="E5810">
        <v>0.62044319999999997</v>
      </c>
      <c r="F5810" t="s">
        <v>101</v>
      </c>
      <c r="G5810">
        <v>-279.02</v>
      </c>
      <c r="H5810">
        <v>0.37306309999999998</v>
      </c>
      <c r="I5810">
        <v>-18.982089999999999</v>
      </c>
      <c r="J5810">
        <v>-314.16489999999999</v>
      </c>
      <c r="K5810">
        <v>1.0616719999999999</v>
      </c>
      <c r="L5810">
        <v>14.628690000000001</v>
      </c>
      <c r="M5810">
        <v>0.95956419999999998</v>
      </c>
      <c r="N5810">
        <v>0</v>
      </c>
      <c r="O5810">
        <v>-0.280779099999999</v>
      </c>
      <c r="P5810">
        <v>0.89709749999999999</v>
      </c>
      <c r="Q5810">
        <v>-2.8577720000000001E-2</v>
      </c>
      <c r="R5810">
        <v>-0.44090770000000001</v>
      </c>
      <c r="S5810">
        <v>2.2793580000000002</v>
      </c>
      <c r="T5810">
        <v>-4.4527169999999998E-2</v>
      </c>
      <c r="U5810">
        <v>-2.173889</v>
      </c>
      <c r="V5810">
        <v>0.17105870000000001</v>
      </c>
      <c r="W5810">
        <v>-1.1686770000000001E-2</v>
      </c>
      <c r="X5810">
        <v>0.9851915</v>
      </c>
      <c r="Y5810">
        <v>0.45914739999999998</v>
      </c>
      <c r="Z5810">
        <v>6.7108749999999996E-4</v>
      </c>
      <c r="AA5810">
        <v>0.88835980000000003</v>
      </c>
      <c r="AB5810">
        <v>27</v>
      </c>
      <c r="AC5810">
        <v>35.1449</v>
      </c>
      <c r="AD5810">
        <v>-0.68860889999999997</v>
      </c>
      <c r="AE5810">
        <v>-33.610779999999998</v>
      </c>
      <c r="AF5810">
        <v>22.3837337031526</v>
      </c>
      <c r="AG5810">
        <v>-0.68860889999999997</v>
      </c>
      <c r="AH5810">
        <v>43.160965170543697</v>
      </c>
      <c r="AI5810">
        <v>90.811431075683799</v>
      </c>
      <c r="AJ5810">
        <v>62.588267110861899</v>
      </c>
      <c r="AK5810">
        <v>48.624835538680202</v>
      </c>
      <c r="AL5810">
        <v>90.669617856899507</v>
      </c>
      <c r="AM5810">
        <v>80.149940557885699</v>
      </c>
      <c r="AN5810">
        <v>0.99999997555548603</v>
      </c>
    </row>
    <row r="5811" spans="1:40" x14ac:dyDescent="0.25">
      <c r="A5811" t="str">
        <f>"20190312161430196"</f>
        <v>20190312161430196</v>
      </c>
      <c r="B5811" t="str">
        <f>"1552378470192475"</f>
        <v>1552378470192475</v>
      </c>
      <c r="C5811" t="s">
        <v>40</v>
      </c>
      <c r="D5811">
        <v>5.7555040000000002</v>
      </c>
      <c r="E5811">
        <v>0.62039540000000004</v>
      </c>
      <c r="F5811" t="s">
        <v>101</v>
      </c>
      <c r="G5811">
        <v>-279.02</v>
      </c>
      <c r="H5811">
        <v>0.32465480000000002</v>
      </c>
      <c r="I5811">
        <v>-19.25487</v>
      </c>
      <c r="J5811">
        <v>-314.03140000000002</v>
      </c>
      <c r="K5811">
        <v>1.0609930000000001</v>
      </c>
      <c r="L5811">
        <v>14.584899999999999</v>
      </c>
      <c r="M5811">
        <v>0.95833979999999996</v>
      </c>
      <c r="N5811">
        <v>0</v>
      </c>
      <c r="O5811">
        <v>-0.28495029999999999</v>
      </c>
      <c r="P5811">
        <v>0.89518109999999995</v>
      </c>
      <c r="Q5811">
        <v>-2.8381900000000002E-2</v>
      </c>
      <c r="R5811">
        <v>-0.44479819999999998</v>
      </c>
      <c r="S5811">
        <v>2.267944</v>
      </c>
      <c r="T5811">
        <v>-4.7560810000000002E-2</v>
      </c>
      <c r="U5811">
        <v>-2.1865540000000001</v>
      </c>
      <c r="V5811">
        <v>0.17104810000000001</v>
      </c>
      <c r="W5811">
        <v>-1.1789569999999999E-2</v>
      </c>
      <c r="X5811">
        <v>0.98519210000000002</v>
      </c>
      <c r="Y5811">
        <v>0.4600882</v>
      </c>
      <c r="Z5811">
        <v>7.7603869999999997E-4</v>
      </c>
      <c r="AA5811">
        <v>0.88787289999999996</v>
      </c>
      <c r="AB5811">
        <v>27</v>
      </c>
      <c r="AC5811">
        <v>35.011400000000002</v>
      </c>
      <c r="AD5811">
        <v>-0.73633819999999905</v>
      </c>
      <c r="AE5811">
        <v>-33.839770000000001</v>
      </c>
      <c r="AF5811">
        <v>22.452713876112998</v>
      </c>
      <c r="AG5811">
        <v>-0.73633819999999905</v>
      </c>
      <c r="AH5811">
        <v>43.193978598654397</v>
      </c>
      <c r="AI5811">
        <v>90.866576592297307</v>
      </c>
      <c r="AJ5811">
        <v>62.534083992436997</v>
      </c>
      <c r="AK5811">
        <v>48.686613576304403</v>
      </c>
      <c r="AL5811">
        <v>90.675508279379201</v>
      </c>
      <c r="AM5811">
        <v>80.150544863293604</v>
      </c>
      <c r="AN5811">
        <v>0.99999996018840098</v>
      </c>
    </row>
    <row r="5812" spans="1:40" x14ac:dyDescent="0.25">
      <c r="A5812" t="str">
        <f>"20190312161430210"</f>
        <v>20190312161430210</v>
      </c>
      <c r="B5812" t="str">
        <f>"1552378470202233"</f>
        <v>1552378470202233</v>
      </c>
      <c r="C5812" t="s">
        <v>40</v>
      </c>
      <c r="D5812">
        <v>5.7884769999999897</v>
      </c>
      <c r="E5812">
        <v>0.62065630000000005</v>
      </c>
      <c r="F5812" t="s">
        <v>101</v>
      </c>
      <c r="G5812">
        <v>-279.02</v>
      </c>
      <c r="H5812">
        <v>0.37668810000000003</v>
      </c>
      <c r="I5812">
        <v>-19.459510000000002</v>
      </c>
      <c r="J5812">
        <v>-313.86840000000001</v>
      </c>
      <c r="K5812">
        <v>1.0602009999999999</v>
      </c>
      <c r="L5812">
        <v>14.530729999999901</v>
      </c>
      <c r="M5812">
        <v>0.95679890000000001</v>
      </c>
      <c r="N5812">
        <v>0</v>
      </c>
      <c r="O5812">
        <v>-0.29010520000000001</v>
      </c>
      <c r="P5812">
        <v>0.89269779999999999</v>
      </c>
      <c r="Q5812">
        <v>-2.8147620000000002E-2</v>
      </c>
      <c r="R5812">
        <v>-0.44977539999999999</v>
      </c>
      <c r="S5812">
        <v>2.2586059999999999</v>
      </c>
      <c r="T5812">
        <v>-4.4144990000000002E-2</v>
      </c>
      <c r="U5812">
        <v>-2.1962280000000001</v>
      </c>
      <c r="V5812">
        <v>0.17122689999999999</v>
      </c>
      <c r="W5812">
        <v>-1.19124E-2</v>
      </c>
      <c r="X5812">
        <v>0.98515960000000002</v>
      </c>
      <c r="Y5812">
        <v>0.45910279999999998</v>
      </c>
      <c r="Z5812">
        <v>8.0568389999999897E-4</v>
      </c>
      <c r="AA5812">
        <v>0.88838280000000003</v>
      </c>
      <c r="AB5812">
        <v>27</v>
      </c>
      <c r="AC5812">
        <v>34.848399999999998</v>
      </c>
      <c r="AD5812">
        <v>-0.68351289999999998</v>
      </c>
      <c r="AE5812">
        <v>-33.99024</v>
      </c>
      <c r="AF5812">
        <v>22.411905376459</v>
      </c>
      <c r="AG5812">
        <v>-0.68351289999999998</v>
      </c>
      <c r="AH5812">
        <v>43.203238208364802</v>
      </c>
      <c r="AI5812">
        <v>90.804591394287399</v>
      </c>
      <c r="AJ5812">
        <v>62.581737240597597</v>
      </c>
      <c r="AK5812">
        <v>48.675255358103001</v>
      </c>
      <c r="AL5812">
        <v>90.682546389380306</v>
      </c>
      <c r="AM5812">
        <v>80.140132103398301</v>
      </c>
      <c r="AN5812">
        <v>0.99999999701476505</v>
      </c>
    </row>
    <row r="5813" spans="1:40" x14ac:dyDescent="0.25">
      <c r="A5813" t="str">
        <f>"20190312161430222"</f>
        <v>20190312161430222</v>
      </c>
      <c r="B5813" t="str">
        <f>"1552378470211992"</f>
        <v>1552378470211992</v>
      </c>
      <c r="C5813" t="s">
        <v>40</v>
      </c>
      <c r="D5813">
        <v>5.7463660000000001</v>
      </c>
      <c r="E5813">
        <v>0.6204653</v>
      </c>
      <c r="F5813" t="s">
        <v>101</v>
      </c>
      <c r="G5813">
        <v>-279.02</v>
      </c>
      <c r="H5813">
        <v>0.31192910000000001</v>
      </c>
      <c r="I5813">
        <v>-19.772010000000002</v>
      </c>
      <c r="J5813">
        <v>-313.71359999999999</v>
      </c>
      <c r="K5813">
        <v>1.059518</v>
      </c>
      <c r="L5813">
        <v>14.478</v>
      </c>
      <c r="M5813">
        <v>0.95526909999999998</v>
      </c>
      <c r="N5813">
        <v>0</v>
      </c>
      <c r="O5813">
        <v>-0.29512339999999998</v>
      </c>
      <c r="P5813">
        <v>0.89020259999999996</v>
      </c>
      <c r="Q5813">
        <v>-2.7941299999999999E-2</v>
      </c>
      <c r="R5813">
        <v>-0.4547078</v>
      </c>
      <c r="S5813">
        <v>2.2454529999999999</v>
      </c>
      <c r="T5813">
        <v>-4.821479E-2</v>
      </c>
      <c r="U5813">
        <v>-2.2102970000000002</v>
      </c>
      <c r="V5813">
        <v>0.17150309999999999</v>
      </c>
      <c r="W5813">
        <v>-1.202662E-2</v>
      </c>
      <c r="X5813">
        <v>0.98511020000000005</v>
      </c>
      <c r="Y5813">
        <v>0.45986769999999999</v>
      </c>
      <c r="Z5813">
        <v>9.556508E-4</v>
      </c>
      <c r="AA5813">
        <v>0.88798690000000002</v>
      </c>
      <c r="AB5813">
        <v>27</v>
      </c>
      <c r="AC5813">
        <v>34.693600000000004</v>
      </c>
      <c r="AD5813">
        <v>-0.7475889</v>
      </c>
      <c r="AE5813">
        <v>-34.250009999999897</v>
      </c>
      <c r="AF5813">
        <v>22.477879781428602</v>
      </c>
      <c r="AG5813">
        <v>-0.7475889</v>
      </c>
      <c r="AH5813">
        <v>43.247388387207302</v>
      </c>
      <c r="AI5813">
        <v>90.878750377436404</v>
      </c>
      <c r="AJ5813">
        <v>62.536792866966799</v>
      </c>
      <c r="AK5813">
        <v>48.7457749035311</v>
      </c>
      <c r="AL5813">
        <v>90.689091159788802</v>
      </c>
      <c r="AM5813">
        <v>80.124054914035696</v>
      </c>
      <c r="AN5813">
        <v>1.00000002952113</v>
      </c>
    </row>
    <row r="5814" spans="1:40" x14ac:dyDescent="0.25">
      <c r="A5814" t="str">
        <f>"20190312161430237"</f>
        <v>20190312161430237</v>
      </c>
      <c r="B5814" t="str">
        <f>"1552378470232489"</f>
        <v>1552378470232489</v>
      </c>
      <c r="C5814" t="s">
        <v>40</v>
      </c>
      <c r="D5814">
        <v>5.8113149999999996</v>
      </c>
      <c r="E5814">
        <v>0.6207994</v>
      </c>
      <c r="F5814" t="s">
        <v>101</v>
      </c>
      <c r="G5814">
        <v>-279.02</v>
      </c>
      <c r="H5814">
        <v>0.33428560000000002</v>
      </c>
      <c r="I5814">
        <v>-20.021740000000001</v>
      </c>
      <c r="J5814">
        <v>-313.54300000000001</v>
      </c>
      <c r="K5814">
        <v>1.058808</v>
      </c>
      <c r="L5814">
        <v>14.41882</v>
      </c>
      <c r="M5814">
        <v>0.95352269999999995</v>
      </c>
      <c r="N5814">
        <v>0</v>
      </c>
      <c r="O5814">
        <v>-0.30073759999999999</v>
      </c>
      <c r="P5814">
        <v>0.88711989999999996</v>
      </c>
      <c r="Q5814">
        <v>-2.807509E-2</v>
      </c>
      <c r="R5814">
        <v>-0.46068419999999999</v>
      </c>
      <c r="S5814">
        <v>2.2338870000000002</v>
      </c>
      <c r="T5814">
        <v>-4.6697019999999999E-2</v>
      </c>
      <c r="U5814">
        <v>-2.2214049999999999</v>
      </c>
      <c r="V5814">
        <v>0.17232690000000001</v>
      </c>
      <c r="W5814">
        <v>-1.2508740000000001E-2</v>
      </c>
      <c r="X5814">
        <v>0.98496039999999996</v>
      </c>
      <c r="Y5814">
        <v>0.45916600000000002</v>
      </c>
      <c r="Z5814">
        <v>1.0211339999999999E-3</v>
      </c>
      <c r="AA5814">
        <v>0.88834990000000003</v>
      </c>
      <c r="AB5814">
        <v>27</v>
      </c>
      <c r="AC5814">
        <v>34.523000000000003</v>
      </c>
      <c r="AD5814">
        <v>-0.72452240000000001</v>
      </c>
      <c r="AE5814">
        <v>-34.440559999999998</v>
      </c>
      <c r="AF5814">
        <v>22.456480741362199</v>
      </c>
      <c r="AG5814">
        <v>-0.72452240000000001</v>
      </c>
      <c r="AH5814">
        <v>43.274087592218201</v>
      </c>
      <c r="AI5814">
        <v>90.851399431176603</v>
      </c>
      <c r="AJ5814">
        <v>62.573577518248598</v>
      </c>
      <c r="AK5814">
        <v>48.759256730740397</v>
      </c>
      <c r="AL5814">
        <v>90.716716693793302</v>
      </c>
      <c r="AM5814">
        <v>80.076078231232302</v>
      </c>
      <c r="AN5814">
        <v>1.00000000930407</v>
      </c>
    </row>
    <row r="5815" spans="1:40" x14ac:dyDescent="0.25">
      <c r="A5815" t="str">
        <f>"20190312161430249"</f>
        <v>20190312161430249</v>
      </c>
      <c r="B5815" t="str">
        <f>"1552378470242250"</f>
        <v>1552378470242250</v>
      </c>
      <c r="C5815" t="s">
        <v>40</v>
      </c>
      <c r="D5815">
        <v>5.7675099999999997</v>
      </c>
      <c r="E5815">
        <v>0.62096560000000001</v>
      </c>
      <c r="F5815" t="s">
        <v>41</v>
      </c>
      <c r="G5815">
        <v>-271.43650000000002</v>
      </c>
      <c r="H5815">
        <v>-0.05</v>
      </c>
      <c r="I5815">
        <v>-28.0853</v>
      </c>
      <c r="J5815">
        <v>-313.40710000000001</v>
      </c>
      <c r="K5815">
        <v>1.058273</v>
      </c>
      <c r="L5815">
        <v>14.371090000000001</v>
      </c>
      <c r="M5815">
        <v>0.9520904</v>
      </c>
      <c r="N5815">
        <v>0</v>
      </c>
      <c r="O5815">
        <v>-0.30525619999999998</v>
      </c>
      <c r="P5815">
        <v>0.88485380000000002</v>
      </c>
      <c r="Q5815">
        <v>-2.7618750000000001E-2</v>
      </c>
      <c r="R5815">
        <v>-0.46504990000000002</v>
      </c>
      <c r="S5815">
        <v>2.2174680000000002</v>
      </c>
      <c r="T5815">
        <v>-5.8393359999999998E-2</v>
      </c>
      <c r="U5815">
        <v>-2.2384029999999999</v>
      </c>
      <c r="V5815">
        <v>0.1725082</v>
      </c>
      <c r="W5815">
        <v>-1.23115E-2</v>
      </c>
      <c r="X5815">
        <v>0.98493109999999995</v>
      </c>
      <c r="Y5815">
        <v>0.46160580000000001</v>
      </c>
      <c r="Z5815">
        <v>1.3411919999999999E-3</v>
      </c>
      <c r="AA5815">
        <v>0.88708419999999899</v>
      </c>
      <c r="AB5815">
        <v>27</v>
      </c>
      <c r="AC5815">
        <v>41.970599999999898</v>
      </c>
      <c r="AD5815">
        <v>-1.1082730000000001</v>
      </c>
      <c r="AE5815">
        <v>-42.456389999999999</v>
      </c>
      <c r="AF5815">
        <v>27.6057516747778</v>
      </c>
      <c r="AG5815">
        <v>-1.1082730000000001</v>
      </c>
      <c r="AH5815">
        <v>52.910712732585203</v>
      </c>
      <c r="AI5815">
        <v>91.063887274899997</v>
      </c>
      <c r="AJ5815">
        <v>62.447050172819203</v>
      </c>
      <c r="AK5815">
        <v>59.689608110978398</v>
      </c>
      <c r="AL5815">
        <v>90.705414837412107</v>
      </c>
      <c r="AM5815">
        <v>80.065555816000895</v>
      </c>
      <c r="AN5815">
        <v>0.99999996192334895</v>
      </c>
    </row>
    <row r="5816" spans="1:40" x14ac:dyDescent="0.25">
      <c r="A5816" t="str">
        <f>"20190312161430260"</f>
        <v>20190312161430260</v>
      </c>
      <c r="B5816" t="str">
        <f>"1552378470252009"</f>
        <v>1552378470252009</v>
      </c>
      <c r="C5816" t="s">
        <v>40</v>
      </c>
      <c r="D5816">
        <v>6.1094390000000001</v>
      </c>
      <c r="E5816">
        <v>0.62059310000000001</v>
      </c>
      <c r="F5816" t="s">
        <v>102</v>
      </c>
      <c r="G5816">
        <v>-282.40390000000002</v>
      </c>
      <c r="H5816">
        <v>0.23868030000000001</v>
      </c>
      <c r="I5816">
        <v>-17.25919</v>
      </c>
      <c r="J5816">
        <v>-313.26139999999998</v>
      </c>
      <c r="K5816">
        <v>1.057755</v>
      </c>
      <c r="L5816">
        <v>14.318569999999999</v>
      </c>
      <c r="M5816">
        <v>0.9504901</v>
      </c>
      <c r="N5816">
        <v>0</v>
      </c>
      <c r="O5816">
        <v>-0.31021720000000003</v>
      </c>
      <c r="P5816">
        <v>0.88233479999999997</v>
      </c>
      <c r="Q5816">
        <v>-2.7324930000000001E-2</v>
      </c>
      <c r="R5816">
        <v>-0.46982859999999999</v>
      </c>
      <c r="S5816">
        <v>2.2058110000000002</v>
      </c>
      <c r="T5816">
        <v>-5.8312179999999998E-2</v>
      </c>
      <c r="U5816">
        <v>-2.2504270000000002</v>
      </c>
      <c r="V5816">
        <v>0.1726964</v>
      </c>
      <c r="W5816">
        <v>-1.2276850000000001E-2</v>
      </c>
      <c r="X5816">
        <v>0.98489859999999896</v>
      </c>
      <c r="Y5816">
        <v>0.46169510000000002</v>
      </c>
      <c r="Z5816">
        <v>1.437275E-3</v>
      </c>
      <c r="AA5816">
        <v>0.88703750000000003</v>
      </c>
      <c r="AB5816">
        <v>27</v>
      </c>
      <c r="AC5816">
        <v>30.857499999999899</v>
      </c>
      <c r="AD5816">
        <v>-0.81907469999999905</v>
      </c>
      <c r="AE5816">
        <v>-31.577759999999898</v>
      </c>
      <c r="AF5816">
        <v>20.4382002104626</v>
      </c>
      <c r="AG5816">
        <v>-0.81907469999999905</v>
      </c>
      <c r="AH5816">
        <v>39.118782325765203</v>
      </c>
      <c r="AI5816">
        <v>91.063168039027602</v>
      </c>
      <c r="AJ5816">
        <v>62.414501189093301</v>
      </c>
      <c r="AK5816">
        <v>44.143742952515197</v>
      </c>
      <c r="AL5816">
        <v>90.703429354738205</v>
      </c>
      <c r="AM5816">
        <v>80.054612355056094</v>
      </c>
      <c r="AN5816">
        <v>1.00000000995042</v>
      </c>
    </row>
    <row r="5817" spans="1:40" x14ac:dyDescent="0.25">
      <c r="A5817" t="str">
        <f>"20190312161430271"</f>
        <v>20190312161430271</v>
      </c>
      <c r="B5817" t="str">
        <f>"1552378470262745"</f>
        <v>1552378470262745</v>
      </c>
      <c r="C5817" t="s">
        <v>40</v>
      </c>
      <c r="D5817">
        <v>5.9546320000000001</v>
      </c>
      <c r="E5817">
        <v>0.62057629999999997</v>
      </c>
      <c r="F5817" t="s">
        <v>102</v>
      </c>
      <c r="G5817">
        <v>-282.58850000000001</v>
      </c>
      <c r="H5817">
        <v>0.27429740000000002</v>
      </c>
      <c r="I5817">
        <v>-17.25919</v>
      </c>
      <c r="J5817">
        <v>-313.14449999999999</v>
      </c>
      <c r="K5817">
        <v>1.057353</v>
      </c>
      <c r="L5817">
        <v>14.276059999999999</v>
      </c>
      <c r="M5817">
        <v>0.94917600000000002</v>
      </c>
      <c r="N5817">
        <v>0</v>
      </c>
      <c r="O5817">
        <v>-0.31422549999999999</v>
      </c>
      <c r="P5817">
        <v>0.88020689999999902</v>
      </c>
      <c r="Q5817">
        <v>-2.6803150000000001E-2</v>
      </c>
      <c r="R5817">
        <v>-0.4738329</v>
      </c>
      <c r="S5817">
        <v>2.1950379999999998</v>
      </c>
      <c r="T5817">
        <v>-5.6066390000000001E-2</v>
      </c>
      <c r="U5817">
        <v>-2.2597960000000001</v>
      </c>
      <c r="V5817">
        <v>0.17301540000000001</v>
      </c>
      <c r="W5817">
        <v>-1.1961029999999999E-2</v>
      </c>
      <c r="X5817">
        <v>0.98484649999999996</v>
      </c>
      <c r="Y5817">
        <v>0.46196799999999999</v>
      </c>
      <c r="Z5817">
        <v>1.456592E-3</v>
      </c>
      <c r="AA5817">
        <v>0.8868954</v>
      </c>
      <c r="AB5817">
        <v>27</v>
      </c>
      <c r="AC5817">
        <v>30.555999999999901</v>
      </c>
      <c r="AD5817">
        <v>-0.78305559999999996</v>
      </c>
      <c r="AE5817">
        <v>-31.535250000000001</v>
      </c>
      <c r="AF5817">
        <v>20.3278910639144</v>
      </c>
      <c r="AG5817">
        <v>-0.78305559999999996</v>
      </c>
      <c r="AH5817">
        <v>38.906197527626702</v>
      </c>
      <c r="AI5817">
        <v>91.021969306477402</v>
      </c>
      <c r="AJ5817">
        <v>62.413623128885398</v>
      </c>
      <c r="AK5817">
        <v>43.903627836863002</v>
      </c>
      <c r="AL5817">
        <v>90.685332871592806</v>
      </c>
      <c r="AM5817">
        <v>80.036092776920398</v>
      </c>
      <c r="AN5817">
        <v>1.00000001171903</v>
      </c>
    </row>
    <row r="5818" spans="1:40" x14ac:dyDescent="0.25">
      <c r="A5818" t="str">
        <f>"20190312161430282"</f>
        <v>20190312161430282</v>
      </c>
      <c r="B5818" t="str">
        <f>"1552378470272506"</f>
        <v>1552378470272506</v>
      </c>
      <c r="C5818" t="s">
        <v>40</v>
      </c>
      <c r="D5818">
        <v>4.3490099999999998</v>
      </c>
      <c r="E5818">
        <v>0.62069280000000004</v>
      </c>
      <c r="F5818" t="s">
        <v>102</v>
      </c>
      <c r="G5818">
        <v>-282.78089999999997</v>
      </c>
      <c r="H5818">
        <v>0.3183937</v>
      </c>
      <c r="I5818">
        <v>-17.259179999999901</v>
      </c>
      <c r="J5818">
        <v>-313.01949999999999</v>
      </c>
      <c r="K5818">
        <v>1.056953</v>
      </c>
      <c r="L5818">
        <v>14.22974</v>
      </c>
      <c r="M5818">
        <v>0.94772619999999996</v>
      </c>
      <c r="N5818">
        <v>0</v>
      </c>
      <c r="O5818">
        <v>-0.31858150000000002</v>
      </c>
      <c r="P5818">
        <v>0.87783750000000005</v>
      </c>
      <c r="Q5818">
        <v>-2.6059289999999999E-2</v>
      </c>
      <c r="R5818">
        <v>-0.47824929999999899</v>
      </c>
      <c r="S5818">
        <v>2.185028</v>
      </c>
      <c r="T5818">
        <v>-5.3177120000000001E-2</v>
      </c>
      <c r="U5818">
        <v>-2.2693479999999999</v>
      </c>
      <c r="V5818">
        <v>0.1734424</v>
      </c>
      <c r="W5818">
        <v>-1.1427659999999999E-2</v>
      </c>
      <c r="X5818">
        <v>0.98477769999999998</v>
      </c>
      <c r="Y5818">
        <v>0.46179369999999997</v>
      </c>
      <c r="Z5818">
        <v>1.462772E-3</v>
      </c>
      <c r="AA5818">
        <v>0.88698619999999995</v>
      </c>
      <c r="AB5818">
        <v>27</v>
      </c>
      <c r="AC5818">
        <v>30.238600000000002</v>
      </c>
      <c r="AD5818">
        <v>-0.73855930000000003</v>
      </c>
      <c r="AE5818">
        <v>-31.48892</v>
      </c>
      <c r="AF5818">
        <v>20.206875958326101</v>
      </c>
      <c r="AG5818">
        <v>-0.73855930000000003</v>
      </c>
      <c r="AH5818">
        <v>38.684838182531799</v>
      </c>
      <c r="AI5818">
        <v>90.969477925588507</v>
      </c>
      <c r="AJ5818">
        <v>62.419857663799696</v>
      </c>
      <c r="AK5818">
        <v>43.650658769868201</v>
      </c>
      <c r="AL5818">
        <v>90.654770947356099</v>
      </c>
      <c r="AM5818">
        <v>80.011312804572199</v>
      </c>
      <c r="AN5818">
        <v>0.99999998797406198</v>
      </c>
    </row>
    <row r="5819" spans="1:40" x14ac:dyDescent="0.25">
      <c r="A5819" t="str">
        <f>"20190312161430293"</f>
        <v>20190312161430293</v>
      </c>
      <c r="B5819" t="str">
        <f>"1552378470282266"</f>
        <v>1552378470282266</v>
      </c>
      <c r="C5819" t="s">
        <v>40</v>
      </c>
      <c r="D5819">
        <v>5.805485</v>
      </c>
      <c r="E5819">
        <v>0.6210485</v>
      </c>
      <c r="F5819" t="s">
        <v>102</v>
      </c>
      <c r="G5819">
        <v>-282.98149999999998</v>
      </c>
      <c r="H5819">
        <v>0.43845620000000002</v>
      </c>
      <c r="I5819">
        <v>-17.308260000000001</v>
      </c>
      <c r="J5819">
        <v>-312.89159999999998</v>
      </c>
      <c r="K5819">
        <v>1.0565690000000001</v>
      </c>
      <c r="L5819">
        <v>14.18164</v>
      </c>
      <c r="M5819">
        <v>0.94620130000000002</v>
      </c>
      <c r="N5819">
        <v>0</v>
      </c>
      <c r="O5819">
        <v>-0.32309199999999999</v>
      </c>
      <c r="P5819">
        <v>0.87544270000000002</v>
      </c>
      <c r="Q5819">
        <v>-2.581381E-2</v>
      </c>
      <c r="R5819">
        <v>-0.48263220000000001</v>
      </c>
      <c r="S5819">
        <v>2.1731259999999999</v>
      </c>
      <c r="T5819">
        <v>-4.4745680000000003E-2</v>
      </c>
      <c r="U5819">
        <v>-2.281647</v>
      </c>
      <c r="V5819">
        <v>0.17367340000000001</v>
      </c>
      <c r="W5819">
        <v>-1.1386159999999999E-2</v>
      </c>
      <c r="X5819">
        <v>0.98473750000000004</v>
      </c>
      <c r="Y5819">
        <v>0.46239059999999998</v>
      </c>
      <c r="Z5819">
        <v>1.295177E-3</v>
      </c>
      <c r="AA5819">
        <v>0.8866754</v>
      </c>
      <c r="AB5819">
        <v>27</v>
      </c>
      <c r="AC5819">
        <v>29.9101</v>
      </c>
      <c r="AD5819">
        <v>-0.61811280000000002</v>
      </c>
      <c r="AE5819">
        <v>-31.489899999999999</v>
      </c>
      <c r="AF5819">
        <v>20.1311607563389</v>
      </c>
      <c r="AG5819">
        <v>-0.61811280000000002</v>
      </c>
      <c r="AH5819">
        <v>38.473372036492897</v>
      </c>
      <c r="AI5819">
        <v>90.815552487010905</v>
      </c>
      <c r="AJ5819">
        <v>62.379222963317297</v>
      </c>
      <c r="AK5819">
        <v>43.426329026173498</v>
      </c>
      <c r="AL5819">
        <v>90.652392997390393</v>
      </c>
      <c r="AM5819">
        <v>79.997877715215694</v>
      </c>
      <c r="AN5819">
        <v>1.00000001920667</v>
      </c>
    </row>
    <row r="5820" spans="1:40" x14ac:dyDescent="0.25">
      <c r="A5820" t="str">
        <f>"20190312161430304"</f>
        <v>20190312161430304</v>
      </c>
      <c r="B5820" t="str">
        <f>"1552378470292025"</f>
        <v>1552378470292025</v>
      </c>
      <c r="C5820" t="s">
        <v>40</v>
      </c>
      <c r="D5820">
        <v>5.7120810000000004</v>
      </c>
      <c r="E5820">
        <v>0.621274199999999</v>
      </c>
      <c r="F5820" t="s">
        <v>102</v>
      </c>
      <c r="G5820">
        <v>-282.40019999999998</v>
      </c>
      <c r="H5820">
        <v>0.51255399999999995</v>
      </c>
      <c r="I5820">
        <v>-18.211770000000001</v>
      </c>
      <c r="J5820">
        <v>-312.76069999999999</v>
      </c>
      <c r="K5820">
        <v>1.056192</v>
      </c>
      <c r="L5820">
        <v>14.131679999999999</v>
      </c>
      <c r="M5820">
        <v>0.94459660000000001</v>
      </c>
      <c r="N5820">
        <v>0</v>
      </c>
      <c r="O5820">
        <v>-0.32776329999999998</v>
      </c>
      <c r="P5820">
        <v>0.87285749999999995</v>
      </c>
      <c r="Q5820">
        <v>-2.5534350000000001E-2</v>
      </c>
      <c r="R5820">
        <v>-0.48730679999999998</v>
      </c>
      <c r="S5820">
        <v>2.1603699999999999</v>
      </c>
      <c r="T5820">
        <v>-3.8544420000000003E-2</v>
      </c>
      <c r="U5820">
        <v>-2.2951350000000001</v>
      </c>
      <c r="V5820">
        <v>0.17407210000000001</v>
      </c>
      <c r="W5820">
        <v>-1.131013E-2</v>
      </c>
      <c r="X5820">
        <v>0.98466799999999999</v>
      </c>
      <c r="Y5820">
        <v>0.46322970000000002</v>
      </c>
      <c r="Z5820">
        <v>1.1714710000000001E-3</v>
      </c>
      <c r="AA5820">
        <v>0.88623750000000001</v>
      </c>
      <c r="AB5820">
        <v>27</v>
      </c>
      <c r="AC5820">
        <v>30.360499999999998</v>
      </c>
      <c r="AD5820">
        <v>-0.54363799999999995</v>
      </c>
      <c r="AE5820">
        <v>-32.343449999999997</v>
      </c>
      <c r="AF5820">
        <v>20.600539521422998</v>
      </c>
      <c r="AG5820">
        <v>-0.54363799999999995</v>
      </c>
      <c r="AH5820">
        <v>39.279581695326399</v>
      </c>
      <c r="AI5820">
        <v>90.702229312421395</v>
      </c>
      <c r="AJ5820">
        <v>62.324821339733099</v>
      </c>
      <c r="AK5820">
        <v>44.357223864987098</v>
      </c>
      <c r="AL5820">
        <v>90.648036503652307</v>
      </c>
      <c r="AM5820">
        <v>79.974687978899993</v>
      </c>
      <c r="AN5820">
        <v>1.0000000426315101</v>
      </c>
    </row>
    <row r="5821" spans="1:40" x14ac:dyDescent="0.25">
      <c r="A5821" t="str">
        <f>"20190312161430315"</f>
        <v>20190312161430315</v>
      </c>
      <c r="B5821" t="str">
        <f>"1552378470312522"</f>
        <v>1552378470312522</v>
      </c>
      <c r="C5821" t="s">
        <v>40</v>
      </c>
      <c r="D5821">
        <v>5.7545159999999997</v>
      </c>
      <c r="E5821">
        <v>0.62160890000000002</v>
      </c>
      <c r="F5821" t="s">
        <v>102</v>
      </c>
      <c r="G5821">
        <v>-282.40019999999998</v>
      </c>
      <c r="H5821">
        <v>0.61536789999999997</v>
      </c>
      <c r="I5821">
        <v>-18.50563</v>
      </c>
      <c r="J5821">
        <v>-312.63929999999999</v>
      </c>
      <c r="K5821">
        <v>1.0558639999999999</v>
      </c>
      <c r="L5821">
        <v>14.0845</v>
      </c>
      <c r="M5821">
        <v>0.94305859999999997</v>
      </c>
      <c r="N5821">
        <v>0</v>
      </c>
      <c r="O5821">
        <v>-0.33217020000000003</v>
      </c>
      <c r="P5821">
        <v>0.87039480000000002</v>
      </c>
      <c r="Q5821">
        <v>-2.538315E-2</v>
      </c>
      <c r="R5821">
        <v>-0.49170009999999997</v>
      </c>
      <c r="S5821">
        <v>2.1473689999999999</v>
      </c>
      <c r="T5821">
        <v>-3.117907E-2</v>
      </c>
      <c r="U5821">
        <v>-2.308411</v>
      </c>
      <c r="V5821">
        <v>0.1744349</v>
      </c>
      <c r="W5821">
        <v>-1.133755E-2</v>
      </c>
      <c r="X5821">
        <v>0.98460340000000002</v>
      </c>
      <c r="Y5821">
        <v>0.46431440000000002</v>
      </c>
      <c r="Z5821">
        <v>9.8865220000000009E-4</v>
      </c>
      <c r="AA5821">
        <v>0.88566990000000001</v>
      </c>
      <c r="AB5821">
        <v>27</v>
      </c>
      <c r="AC5821">
        <v>30.239100000000001</v>
      </c>
      <c r="AD5821">
        <v>-0.4404961</v>
      </c>
      <c r="AE5821">
        <v>-32.590130000000002</v>
      </c>
      <c r="AF5821">
        <v>20.690982956040902</v>
      </c>
      <c r="AG5821">
        <v>-0.4404961</v>
      </c>
      <c r="AH5821">
        <v>39.3448211337953</v>
      </c>
      <c r="AI5821">
        <v>90.5677309112491</v>
      </c>
      <c r="AJ5821">
        <v>62.260640913821902</v>
      </c>
      <c r="AK5821">
        <v>44.455885578308198</v>
      </c>
      <c r="AL5821">
        <v>90.649607705136205</v>
      </c>
      <c r="AM5821">
        <v>79.953572772720705</v>
      </c>
      <c r="AN5821">
        <v>0.99999996483478504</v>
      </c>
    </row>
    <row r="5822" spans="1:40" x14ac:dyDescent="0.25">
      <c r="A5822" t="str">
        <f>"20190312161430326"</f>
        <v>20190312161430326</v>
      </c>
      <c r="B5822" t="str">
        <f>"1552378470322281"</f>
        <v>1552378470322281</v>
      </c>
      <c r="C5822" t="s">
        <v>40</v>
      </c>
      <c r="D5822">
        <v>5.8064809999999998</v>
      </c>
      <c r="E5822">
        <v>0.62184359999999905</v>
      </c>
      <c r="F5822" t="s">
        <v>102</v>
      </c>
      <c r="G5822">
        <v>-282.40019999999998</v>
      </c>
      <c r="H5822">
        <v>0.71802219999999894</v>
      </c>
      <c r="I5822">
        <v>-18.807369999999999</v>
      </c>
      <c r="J5822">
        <v>-312.51690000000002</v>
      </c>
      <c r="K5822">
        <v>1.0555399999999999</v>
      </c>
      <c r="L5822">
        <v>14.03647</v>
      </c>
      <c r="M5822">
        <v>0.94147409999999998</v>
      </c>
      <c r="N5822">
        <v>0</v>
      </c>
      <c r="O5822">
        <v>-0.336642</v>
      </c>
      <c r="P5822">
        <v>0.86790369999999994</v>
      </c>
      <c r="Q5822">
        <v>-2.5520009999999999E-2</v>
      </c>
      <c r="R5822">
        <v>-0.49607689999999999</v>
      </c>
      <c r="S5822">
        <v>2.1344599999999998</v>
      </c>
      <c r="T5822">
        <v>-2.384698E-2</v>
      </c>
      <c r="U5822">
        <v>-2.3217159999999999</v>
      </c>
      <c r="V5822">
        <v>0.1747156</v>
      </c>
      <c r="W5822">
        <v>-1.1648479999999999E-2</v>
      </c>
      <c r="X5822">
        <v>0.98455009999999998</v>
      </c>
      <c r="Y5822">
        <v>0.4653138</v>
      </c>
      <c r="Z5822">
        <v>7.8843130000000002E-4</v>
      </c>
      <c r="AA5822">
        <v>0.88514539999999997</v>
      </c>
      <c r="AB5822">
        <v>27</v>
      </c>
      <c r="AC5822">
        <v>30.116700000000002</v>
      </c>
      <c r="AD5822">
        <v>-0.33751779999999998</v>
      </c>
      <c r="AE5822">
        <v>-32.84384</v>
      </c>
      <c r="AF5822">
        <v>20.784990652564101</v>
      </c>
      <c r="AG5822">
        <v>-0.33751779999999998</v>
      </c>
      <c r="AH5822">
        <v>39.4143348476439</v>
      </c>
      <c r="AI5822">
        <v>90.433985727520806</v>
      </c>
      <c r="AJ5822">
        <v>62.195257704237399</v>
      </c>
      <c r="AK5822">
        <v>44.5602911365567</v>
      </c>
      <c r="AL5822">
        <v>90.667423793278701</v>
      </c>
      <c r="AM5822">
        <v>79.937202606658104</v>
      </c>
      <c r="AN5822">
        <v>1.0000000636898301</v>
      </c>
    </row>
    <row r="5823" spans="1:40" x14ac:dyDescent="0.25">
      <c r="A5823" t="str">
        <f>"20190312161430340"</f>
        <v>20190312161430340</v>
      </c>
      <c r="B5823" t="str">
        <f>"1552378470332479"</f>
        <v>1552378470332479</v>
      </c>
      <c r="C5823" t="s">
        <v>40</v>
      </c>
      <c r="D5823">
        <v>5.8557889999999997</v>
      </c>
      <c r="E5823">
        <v>0.62214150000000001</v>
      </c>
      <c r="F5823" t="s">
        <v>102</v>
      </c>
      <c r="G5823">
        <v>-282.32900000000001</v>
      </c>
      <c r="H5823">
        <v>0.77383979999999997</v>
      </c>
      <c r="I5823">
        <v>-19.173670000000001</v>
      </c>
      <c r="J5823">
        <v>-312.36059999999998</v>
      </c>
      <c r="K5823">
        <v>1.0551649999999999</v>
      </c>
      <c r="L5823">
        <v>13.97369</v>
      </c>
      <c r="M5823">
        <v>0.93937219999999999</v>
      </c>
      <c r="N5823">
        <v>0</v>
      </c>
      <c r="O5823">
        <v>-0.34247169999999999</v>
      </c>
      <c r="P5823">
        <v>0.86455979999999999</v>
      </c>
      <c r="Q5823">
        <v>-2.5462450000000001E-2</v>
      </c>
      <c r="R5823">
        <v>-0.50188409999999894</v>
      </c>
      <c r="S5823">
        <v>2.121826</v>
      </c>
      <c r="T5823">
        <v>-1.9800419999999999E-2</v>
      </c>
      <c r="U5823">
        <v>-2.3342589999999999</v>
      </c>
      <c r="V5823">
        <v>0.175209</v>
      </c>
      <c r="W5823">
        <v>-1.1800929999999999E-2</v>
      </c>
      <c r="X5823">
        <v>0.98446049999999996</v>
      </c>
      <c r="Y5823">
        <v>0.46482059999999997</v>
      </c>
      <c r="Z5823">
        <v>6.9608919999999996E-4</v>
      </c>
      <c r="AA5823">
        <v>0.88540459999999999</v>
      </c>
      <c r="AB5823">
        <v>27</v>
      </c>
      <c r="AC5823">
        <v>30.031599999999901</v>
      </c>
      <c r="AD5823">
        <v>-0.281325199999999</v>
      </c>
      <c r="AE5823">
        <v>-33.147359999999999</v>
      </c>
      <c r="AF5823">
        <v>20.8549660210263</v>
      </c>
      <c r="AG5823">
        <v>-0.281325199999999</v>
      </c>
      <c r="AH5823">
        <v>39.567114975029703</v>
      </c>
      <c r="AI5823">
        <v>90.360377577999003</v>
      </c>
      <c r="AJ5823">
        <v>62.207260342780501</v>
      </c>
      <c r="AK5823">
        <v>44.727679786163101</v>
      </c>
      <c r="AL5823">
        <v>90.676159200917994</v>
      </c>
      <c r="AM5823">
        <v>79.908468745338197</v>
      </c>
      <c r="AN5823">
        <v>0.99999996584505602</v>
      </c>
    </row>
    <row r="5824" spans="1:40" x14ac:dyDescent="0.25">
      <c r="A5824" t="str">
        <f>"20190312161430351"</f>
        <v>20190312161430351</v>
      </c>
      <c r="B5824" t="str">
        <f>"1552378470342223"</f>
        <v>1552378470342223</v>
      </c>
      <c r="C5824" t="s">
        <v>40</v>
      </c>
      <c r="D5824">
        <v>5.7611910000000002</v>
      </c>
      <c r="E5824">
        <v>0.62231409999999998</v>
      </c>
      <c r="F5824" t="s">
        <v>102</v>
      </c>
      <c r="G5824">
        <v>-282.32900000000001</v>
      </c>
      <c r="H5824">
        <v>0.83671899999999999</v>
      </c>
      <c r="I5824">
        <v>-19.561800000000002</v>
      </c>
      <c r="J5824">
        <v>-312.23329999999999</v>
      </c>
      <c r="K5824">
        <v>1.0548690000000001</v>
      </c>
      <c r="L5824">
        <v>13.92191</v>
      </c>
      <c r="M5824">
        <v>0.93761280000000002</v>
      </c>
      <c r="N5824">
        <v>0</v>
      </c>
      <c r="O5824">
        <v>-0.34726620000000002</v>
      </c>
      <c r="P5824">
        <v>0.8619483</v>
      </c>
      <c r="Q5824">
        <v>-2.5347120000000001E-2</v>
      </c>
      <c r="R5824">
        <v>-0.5063626</v>
      </c>
      <c r="S5824">
        <v>2.1050110000000002</v>
      </c>
      <c r="T5824">
        <v>-1.531267E-2</v>
      </c>
      <c r="U5824">
        <v>-2.350616</v>
      </c>
      <c r="V5824">
        <v>0.17528379999999999</v>
      </c>
      <c r="W5824">
        <v>-1.184472E-2</v>
      </c>
      <c r="X5824">
        <v>0.98444670000000001</v>
      </c>
      <c r="Y5824">
        <v>0.46687669999999998</v>
      </c>
      <c r="Z5824">
        <v>5.5793770000000002E-4</v>
      </c>
      <c r="AA5824">
        <v>0.88432219999999995</v>
      </c>
      <c r="AB5824">
        <v>27</v>
      </c>
      <c r="AC5824">
        <v>29.9042999999999</v>
      </c>
      <c r="AD5824">
        <v>-0.21815000000000001</v>
      </c>
      <c r="AE5824">
        <v>-33.483709999999903</v>
      </c>
      <c r="AF5824">
        <v>21.0125368484582</v>
      </c>
      <c r="AG5824">
        <v>-0.21815000000000001</v>
      </c>
      <c r="AH5824">
        <v>39.6712000520819</v>
      </c>
      <c r="AI5824">
        <v>90.278420531536497</v>
      </c>
      <c r="AJ5824">
        <v>62.0912949399236</v>
      </c>
      <c r="AK5824">
        <v>44.892966128365998</v>
      </c>
      <c r="AL5824">
        <v>90.678668330940894</v>
      </c>
      <c r="AM5824">
        <v>79.904110475161303</v>
      </c>
      <c r="AN5824">
        <v>1.0000000065376</v>
      </c>
    </row>
    <row r="5825" spans="1:40" x14ac:dyDescent="0.25">
      <c r="A5825" t="str">
        <f>"20190312161430362"</f>
        <v>20190312161430362</v>
      </c>
      <c r="B5825" t="str">
        <f>"1552378470351983"</f>
        <v>1552378470351983</v>
      </c>
      <c r="C5825" t="s">
        <v>40</v>
      </c>
      <c r="D5825">
        <v>5.7952859999999999</v>
      </c>
      <c r="E5825">
        <v>0.62243470000000001</v>
      </c>
      <c r="F5825" t="s">
        <v>102</v>
      </c>
      <c r="G5825">
        <v>-282.32900000000001</v>
      </c>
      <c r="H5825">
        <v>0.84980849999999997</v>
      </c>
      <c r="I5825">
        <v>-19.84797</v>
      </c>
      <c r="J5825">
        <v>-312.09449999999998</v>
      </c>
      <c r="K5825">
        <v>1.054573</v>
      </c>
      <c r="L5825">
        <v>13.864319999999999</v>
      </c>
      <c r="M5825">
        <v>0.93562800000000002</v>
      </c>
      <c r="N5825">
        <v>0</v>
      </c>
      <c r="O5825">
        <v>-0.35258460000000003</v>
      </c>
      <c r="P5825">
        <v>0.85881960000000002</v>
      </c>
      <c r="Q5825">
        <v>-2.5326020000000001E-2</v>
      </c>
      <c r="R5825">
        <v>-0.511652</v>
      </c>
      <c r="S5825">
        <v>2.092133</v>
      </c>
      <c r="T5825">
        <v>-1.434529E-2</v>
      </c>
      <c r="U5825">
        <v>-2.3625790000000002</v>
      </c>
      <c r="V5825">
        <v>0.17574189999999901</v>
      </c>
      <c r="W5825">
        <v>-1.199393E-2</v>
      </c>
      <c r="X5825">
        <v>0.98436319999999999</v>
      </c>
      <c r="Y5825">
        <v>0.466781</v>
      </c>
      <c r="Z5825">
        <v>5.4928729999999997E-4</v>
      </c>
      <c r="AA5825">
        <v>0.88437279999999996</v>
      </c>
      <c r="AB5825">
        <v>27</v>
      </c>
      <c r="AC5825">
        <v>29.7654999999999</v>
      </c>
      <c r="AD5825">
        <v>-0.20476449999999999</v>
      </c>
      <c r="AE5825">
        <v>-33.712290000000003</v>
      </c>
      <c r="AF5825">
        <v>21.049862163504301</v>
      </c>
      <c r="AG5825">
        <v>-0.20476449999999999</v>
      </c>
      <c r="AH5825">
        <v>39.740696216828198</v>
      </c>
      <c r="AI5825">
        <v>90.260878723122602</v>
      </c>
      <c r="AJ5825">
        <v>62.090714586375398</v>
      </c>
      <c r="AK5825">
        <v>44.971786282081602</v>
      </c>
      <c r="AL5825">
        <v>90.687218053116197</v>
      </c>
      <c r="AM5825">
        <v>79.877429124913405</v>
      </c>
      <c r="AN5825">
        <v>0.99999998964334702</v>
      </c>
    </row>
    <row r="5826" spans="1:40" x14ac:dyDescent="0.25">
      <c r="A5826" t="str">
        <f>"20190312161430374"</f>
        <v>20190312161430374</v>
      </c>
      <c r="B5826" t="str">
        <f>"1552378470372506"</f>
        <v>1552378470372506</v>
      </c>
      <c r="C5826" t="s">
        <v>40</v>
      </c>
      <c r="D5826">
        <v>5.9000050000000002</v>
      </c>
      <c r="E5826">
        <v>0.62257890000000005</v>
      </c>
      <c r="F5826" t="s">
        <v>102</v>
      </c>
      <c r="G5826">
        <v>-282.32900000000001</v>
      </c>
      <c r="H5826">
        <v>0.90933759999999997</v>
      </c>
      <c r="I5826">
        <v>-20.18863</v>
      </c>
      <c r="J5826">
        <v>-311.96690000000001</v>
      </c>
      <c r="K5826">
        <v>1.0543149999999999</v>
      </c>
      <c r="L5826">
        <v>13.810460000000001</v>
      </c>
      <c r="M5826">
        <v>0.93374919999999995</v>
      </c>
      <c r="N5826">
        <v>0</v>
      </c>
      <c r="O5826">
        <v>-0.35753570000000001</v>
      </c>
      <c r="P5826">
        <v>0.85591130000000004</v>
      </c>
      <c r="Q5826">
        <v>-2.5433850000000001E-2</v>
      </c>
      <c r="R5826">
        <v>-0.51649679999999998</v>
      </c>
      <c r="S5826">
        <v>2.077118</v>
      </c>
      <c r="T5826">
        <v>-1.01347E-2</v>
      </c>
      <c r="U5826">
        <v>-2.376312</v>
      </c>
      <c r="V5826">
        <v>0.17608560000000001</v>
      </c>
      <c r="W5826">
        <v>-1.224945E-2</v>
      </c>
      <c r="X5826">
        <v>0.98429860000000002</v>
      </c>
      <c r="Y5826">
        <v>0.4677983</v>
      </c>
      <c r="Z5826">
        <v>4.0357769999999998E-4</v>
      </c>
      <c r="AA5826">
        <v>0.88383509999999998</v>
      </c>
      <c r="AB5826">
        <v>27</v>
      </c>
      <c r="AC5826">
        <v>29.637899999999998</v>
      </c>
      <c r="AD5826">
        <v>-0.14497739999999901</v>
      </c>
      <c r="AE5826">
        <v>-33.999090000000002</v>
      </c>
      <c r="AF5826">
        <v>21.152765769650198</v>
      </c>
      <c r="AG5826">
        <v>-0.14497739999999901</v>
      </c>
      <c r="AH5826">
        <v>39.835432736332301</v>
      </c>
      <c r="AI5826">
        <v>90.184167849050496</v>
      </c>
      <c r="AJ5826">
        <v>62.031528517222497</v>
      </c>
      <c r="AK5826">
        <v>45.103461280073098</v>
      </c>
      <c r="AL5826">
        <v>90.701859366865307</v>
      </c>
      <c r="AM5826">
        <v>79.857391073292604</v>
      </c>
      <c r="AN5826">
        <v>0.99999996075731001</v>
      </c>
    </row>
    <row r="5827" spans="1:40" x14ac:dyDescent="0.25">
      <c r="A5827" t="str">
        <f>"20190312161430387"</f>
        <v>20190312161430387</v>
      </c>
      <c r="B5827" t="str">
        <f>"1552378470382239"</f>
        <v>1552378470382239</v>
      </c>
      <c r="C5827" t="s">
        <v>40</v>
      </c>
      <c r="D5827">
        <v>5.8971609999999997</v>
      </c>
      <c r="E5827">
        <v>0.62272919999999998</v>
      </c>
      <c r="F5827" t="s">
        <v>102</v>
      </c>
      <c r="G5827">
        <v>-282.32900000000001</v>
      </c>
      <c r="H5827">
        <v>1.00269599999999</v>
      </c>
      <c r="I5827">
        <v>-20.514430000000001</v>
      </c>
      <c r="J5827">
        <v>-311.82780000000002</v>
      </c>
      <c r="K5827">
        <v>1.054044</v>
      </c>
      <c r="L5827">
        <v>13.751010000000001</v>
      </c>
      <c r="M5827">
        <v>0.93164630000000004</v>
      </c>
      <c r="N5827">
        <v>0</v>
      </c>
      <c r="O5827">
        <v>-0.36298520000000001</v>
      </c>
      <c r="P5827">
        <v>0.85267099999999996</v>
      </c>
      <c r="Q5827">
        <v>-2.5502839999999999E-2</v>
      </c>
      <c r="R5827">
        <v>-0.52182569999999995</v>
      </c>
      <c r="S5827">
        <v>2.0630799999999998</v>
      </c>
      <c r="T5827">
        <v>-3.5929680000000002E-3</v>
      </c>
      <c r="U5827">
        <v>-2.3893430000000002</v>
      </c>
      <c r="V5827">
        <v>0.1764696</v>
      </c>
      <c r="W5827">
        <v>-1.24735E-2</v>
      </c>
      <c r="X5827">
        <v>0.98422710000000002</v>
      </c>
      <c r="Y5827">
        <v>0.46799580000000002</v>
      </c>
      <c r="Z5827">
        <v>1.497205E-4</v>
      </c>
      <c r="AA5827">
        <v>0.88373069999999898</v>
      </c>
      <c r="AB5827">
        <v>27</v>
      </c>
      <c r="AC5827">
        <v>29.498799999999999</v>
      </c>
      <c r="AD5827">
        <v>-5.1348000000000102E-2</v>
      </c>
      <c r="AE5827">
        <v>-34.265439999999998</v>
      </c>
      <c r="AF5827">
        <v>21.2185532982711</v>
      </c>
      <c r="AG5827">
        <v>-5.1348000000000102E-2</v>
      </c>
      <c r="AH5827">
        <v>39.925772410036302</v>
      </c>
      <c r="AI5827">
        <v>90.065069020414398</v>
      </c>
      <c r="AJ5827">
        <v>62.0115876967863</v>
      </c>
      <c r="AK5827">
        <v>45.2139021013083</v>
      </c>
      <c r="AL5827">
        <v>90.714697406669799</v>
      </c>
      <c r="AM5827">
        <v>79.835010168161403</v>
      </c>
      <c r="AN5827">
        <v>1.0000000461503999</v>
      </c>
    </row>
    <row r="5828" spans="1:40" x14ac:dyDescent="0.25">
      <c r="A5828" t="str">
        <f>"20190312161430399"</f>
        <v>20190312161430399</v>
      </c>
      <c r="B5828" t="str">
        <f>"1552378470391999"</f>
        <v>1552378470391999</v>
      </c>
      <c r="C5828" t="s">
        <v>40</v>
      </c>
      <c r="D5828">
        <v>5.8863180000000002</v>
      </c>
      <c r="E5828">
        <v>0.62272919999999998</v>
      </c>
      <c r="F5828" t="s">
        <v>102</v>
      </c>
      <c r="G5828">
        <v>-282.32900000000001</v>
      </c>
      <c r="H5828">
        <v>1.0439590000000001</v>
      </c>
      <c r="I5828">
        <v>-20.874289999999998</v>
      </c>
      <c r="J5828">
        <v>-311.68849999999998</v>
      </c>
      <c r="K5828">
        <v>1.0538019999999999</v>
      </c>
      <c r="L5828">
        <v>13.689970000000001</v>
      </c>
      <c r="M5828">
        <v>0.92945820000000001</v>
      </c>
      <c r="N5828">
        <v>0</v>
      </c>
      <c r="O5828">
        <v>-0.3685562</v>
      </c>
      <c r="P5828">
        <v>0.84927369999999902</v>
      </c>
      <c r="Q5828">
        <v>-2.5462329999999998E-2</v>
      </c>
      <c r="R5828">
        <v>-0.52733850000000004</v>
      </c>
      <c r="S5828">
        <v>2.0475159999999999</v>
      </c>
      <c r="T5828">
        <v>-7.0059300000000001E-4</v>
      </c>
      <c r="U5828">
        <v>-2.4033509999999998</v>
      </c>
      <c r="V5828">
        <v>0.17694969999999999</v>
      </c>
      <c r="W5828">
        <v>-1.2578509999999999E-2</v>
      </c>
      <c r="X5828">
        <v>0.98413949999999994</v>
      </c>
      <c r="Y5828">
        <v>0.46856540000000002</v>
      </c>
      <c r="Z5828" s="1">
        <v>3.047574E-5</v>
      </c>
      <c r="AA5828">
        <v>0.88342880000000001</v>
      </c>
      <c r="AB5828">
        <v>27</v>
      </c>
      <c r="AC5828">
        <v>29.359499999999901</v>
      </c>
      <c r="AD5828">
        <v>-9.8430000000000392E-3</v>
      </c>
      <c r="AE5828">
        <v>-34.564259999999997</v>
      </c>
      <c r="AF5828">
        <v>21.3083252428879</v>
      </c>
      <c r="AG5828">
        <v>-9.8430000000000392E-3</v>
      </c>
      <c r="AH5828">
        <v>40.032778958893303</v>
      </c>
      <c r="AI5828">
        <v>90.012435636045396</v>
      </c>
      <c r="AJ5828">
        <v>61.9748796089821</v>
      </c>
      <c r="AK5828">
        <v>45.350503996239702</v>
      </c>
      <c r="AL5828">
        <v>90.720714552084601</v>
      </c>
      <c r="AM5828">
        <v>79.807046232423005</v>
      </c>
      <c r="AN5828">
        <v>0.99999998535207901</v>
      </c>
    </row>
    <row r="5829" spans="1:40" x14ac:dyDescent="0.25">
      <c r="A5829" t="str">
        <f>"20190312161430412"</f>
        <v>20190312161430412</v>
      </c>
      <c r="B5829" t="str">
        <f>"1552378470402735"</f>
        <v>1552378470402735</v>
      </c>
      <c r="C5829" t="s">
        <v>40</v>
      </c>
      <c r="D5829">
        <v>5.9096520000000003</v>
      </c>
      <c r="E5829">
        <v>0.62280769999999996</v>
      </c>
      <c r="F5829" t="s">
        <v>102</v>
      </c>
      <c r="G5829">
        <v>-282.32900000000001</v>
      </c>
      <c r="H5829">
        <v>1.048325</v>
      </c>
      <c r="I5829">
        <v>-21.224450000000001</v>
      </c>
      <c r="J5829">
        <v>-311.54239999999999</v>
      </c>
      <c r="K5829">
        <v>1.053552</v>
      </c>
      <c r="L5829">
        <v>13.625209999999999</v>
      </c>
      <c r="M5829">
        <v>0.92710269999999995</v>
      </c>
      <c r="N5829">
        <v>0</v>
      </c>
      <c r="O5829">
        <v>-0.37444630000000001</v>
      </c>
      <c r="P5829">
        <v>0.84576509999999905</v>
      </c>
      <c r="Q5829">
        <v>-2.5318130000000001E-2</v>
      </c>
      <c r="R5829">
        <v>-0.53295429999999999</v>
      </c>
      <c r="S5829">
        <v>2.031952</v>
      </c>
      <c r="T5829">
        <v>-3.79324E-4</v>
      </c>
      <c r="U5829">
        <v>-2.4164119999999998</v>
      </c>
      <c r="V5829">
        <v>0.1772234</v>
      </c>
      <c r="W5829">
        <v>-1.25768999999999E-2</v>
      </c>
      <c r="X5829">
        <v>0.98409029999999997</v>
      </c>
      <c r="Y5829">
        <v>0.4686457</v>
      </c>
      <c r="Z5829" s="1">
        <v>1.727379E-5</v>
      </c>
      <c r="AA5829">
        <v>0.88338619999999901</v>
      </c>
      <c r="AB5829">
        <v>27</v>
      </c>
      <c r="AC5829">
        <v>29.213399999999901</v>
      </c>
      <c r="AD5829">
        <v>-5.2270000000000901E-3</v>
      </c>
      <c r="AE5829">
        <v>-34.84966</v>
      </c>
      <c r="AF5829">
        <v>21.373255542157001</v>
      </c>
      <c r="AG5829">
        <v>-5.2270000000000901E-3</v>
      </c>
      <c r="AH5829">
        <v>40.138577884152703</v>
      </c>
      <c r="AI5829">
        <v>90.006585793477996</v>
      </c>
      <c r="AJ5829">
        <v>61.965296198391599</v>
      </c>
      <c r="AK5829">
        <v>45.474405046729999</v>
      </c>
      <c r="AL5829">
        <v>90.720622277043404</v>
      </c>
      <c r="AM5829">
        <v>79.791111765848896</v>
      </c>
      <c r="AN5829">
        <v>1.0000000152376201</v>
      </c>
    </row>
    <row r="5830" spans="1:40" x14ac:dyDescent="0.25">
      <c r="A5830" t="str">
        <f>"20190312161430430"</f>
        <v>20190312161430430</v>
      </c>
      <c r="B5830" t="str">
        <f>"1552378470422255"</f>
        <v>1552378470422255</v>
      </c>
      <c r="C5830" t="s">
        <v>40</v>
      </c>
      <c r="D5830">
        <v>5.9703470000000003</v>
      </c>
      <c r="E5830">
        <v>0.622749</v>
      </c>
      <c r="F5830" t="s">
        <v>102</v>
      </c>
      <c r="G5830">
        <v>-285.86779999999999</v>
      </c>
      <c r="H5830">
        <v>1.0824800000000001</v>
      </c>
      <c r="I5830">
        <v>-17.32912</v>
      </c>
      <c r="J5830">
        <v>-311.34960000000001</v>
      </c>
      <c r="K5830">
        <v>1.05325</v>
      </c>
      <c r="L5830">
        <v>13.537839999999999</v>
      </c>
      <c r="M5830">
        <v>0.92387220000000003</v>
      </c>
      <c r="N5830">
        <v>0</v>
      </c>
      <c r="O5830">
        <v>-0.382353</v>
      </c>
      <c r="P5830">
        <v>0.84067380000000003</v>
      </c>
      <c r="Q5830">
        <v>-2.5196349999999999E-2</v>
      </c>
      <c r="R5830">
        <v>-0.54095569999999904</v>
      </c>
      <c r="S5830">
        <v>2.0157470000000002</v>
      </c>
      <c r="T5830">
        <v>2.2745130000000001E-3</v>
      </c>
      <c r="U5830">
        <v>-2.4302670000000002</v>
      </c>
      <c r="V5830">
        <v>0.17814920000000001</v>
      </c>
      <c r="W5830">
        <v>-1.264378E-2</v>
      </c>
      <c r="X5830">
        <v>0.98392219999999997</v>
      </c>
      <c r="Y5830">
        <v>0.46706360000000002</v>
      </c>
      <c r="Z5830">
        <v>-1.104775E-4</v>
      </c>
      <c r="AA5830">
        <v>0.88422369999999995</v>
      </c>
      <c r="AB5830">
        <v>27</v>
      </c>
      <c r="AC5830">
        <v>25.4818</v>
      </c>
      <c r="AD5830">
        <v>2.9229999999999801E-2</v>
      </c>
      <c r="AE5830">
        <v>-30.866959999999999</v>
      </c>
      <c r="AF5830">
        <v>18.776574211522401</v>
      </c>
      <c r="AG5830">
        <v>2.9229999999999801E-2</v>
      </c>
      <c r="AH5830">
        <v>35.348690258287597</v>
      </c>
      <c r="AI5830">
        <v>89.958158430743495</v>
      </c>
      <c r="AJ5830">
        <v>62.023581666781702</v>
      </c>
      <c r="AK5830">
        <v>40.026122676198199</v>
      </c>
      <c r="AL5830">
        <v>90.724454571319995</v>
      </c>
      <c r="AM5830">
        <v>79.737195757395199</v>
      </c>
      <c r="AN5830">
        <v>0.99999994914308199</v>
      </c>
    </row>
    <row r="5831" spans="1:40" x14ac:dyDescent="0.25">
      <c r="A5831" t="str">
        <f>"20190312161430442"</f>
        <v>20190312161430442</v>
      </c>
      <c r="B5831" t="str">
        <f>"1552378470432016"</f>
        <v>1552378470432016</v>
      </c>
      <c r="C5831" t="s">
        <v>40</v>
      </c>
      <c r="D5831">
        <v>5.909516</v>
      </c>
      <c r="E5831">
        <v>0.62307170000000001</v>
      </c>
      <c r="F5831" t="s">
        <v>102</v>
      </c>
      <c r="G5831">
        <v>-283.6028</v>
      </c>
      <c r="H5831">
        <v>1.1612830000000001</v>
      </c>
      <c r="I5831">
        <v>-20.56719</v>
      </c>
      <c r="J5831">
        <v>-311.1943</v>
      </c>
      <c r="K5831">
        <v>1.053029</v>
      </c>
      <c r="L5831">
        <v>13.46561</v>
      </c>
      <c r="M5831">
        <v>0.92115970000000003</v>
      </c>
      <c r="N5831">
        <v>0</v>
      </c>
      <c r="O5831">
        <v>-0.38884600000000002</v>
      </c>
      <c r="P5831">
        <v>0.83679099999999995</v>
      </c>
      <c r="Q5831">
        <v>-2.520157E-2</v>
      </c>
      <c r="R5831">
        <v>-0.54694240000000005</v>
      </c>
      <c r="S5831">
        <v>1.9927060000000001</v>
      </c>
      <c r="T5831">
        <v>7.7586169999999998E-3</v>
      </c>
      <c r="U5831">
        <v>-2.449341</v>
      </c>
      <c r="V5831">
        <v>0.17824309999999999</v>
      </c>
      <c r="W5831">
        <v>-1.2773659999999999E-2</v>
      </c>
      <c r="X5831">
        <v>0.98390359999999999</v>
      </c>
      <c r="Y5831">
        <v>0.4692153</v>
      </c>
      <c r="Z5831">
        <v>-3.9151859999999998E-4</v>
      </c>
      <c r="AA5831">
        <v>0.88308369999999903</v>
      </c>
      <c r="AB5831">
        <v>27</v>
      </c>
      <c r="AC5831">
        <v>27.5915</v>
      </c>
      <c r="AD5831">
        <v>0.108254</v>
      </c>
      <c r="AE5831">
        <v>-34.032800000000002</v>
      </c>
      <c r="AF5831">
        <v>20.623391831867298</v>
      </c>
      <c r="AG5831">
        <v>0.108254</v>
      </c>
      <c r="AH5831">
        <v>38.654554968294001</v>
      </c>
      <c r="AI5831">
        <v>89.858429825887896</v>
      </c>
      <c r="AJ5831">
        <v>61.918709692865797</v>
      </c>
      <c r="AK5831">
        <v>43.812220091843301</v>
      </c>
      <c r="AL5831">
        <v>90.731896688223898</v>
      </c>
      <c r="AM5831">
        <v>79.731711443661098</v>
      </c>
      <c r="AN5831">
        <v>1.00000003159018</v>
      </c>
    </row>
    <row r="5832" spans="1:40" x14ac:dyDescent="0.25">
      <c r="A5832" t="str">
        <f>"20190312161430458"</f>
        <v>20190312161430458</v>
      </c>
      <c r="B5832" t="str">
        <f>"1552378470452511"</f>
        <v>1552378470452511</v>
      </c>
      <c r="C5832" t="s">
        <v>40</v>
      </c>
      <c r="D5832">
        <v>5.9683640000000002</v>
      </c>
      <c r="E5832">
        <v>0.62366169999999899</v>
      </c>
      <c r="F5832" t="s">
        <v>102</v>
      </c>
      <c r="G5832">
        <v>-283.94819999999999</v>
      </c>
      <c r="H5832">
        <v>1.0767040000000001</v>
      </c>
      <c r="I5832">
        <v>-20.56719</v>
      </c>
      <c r="J5832">
        <v>-311.03809999999999</v>
      </c>
      <c r="K5832">
        <v>1.0528219999999999</v>
      </c>
      <c r="L5832">
        <v>13.391540000000001</v>
      </c>
      <c r="M5832">
        <v>0.91834260000000001</v>
      </c>
      <c r="N5832">
        <v>0</v>
      </c>
      <c r="O5832">
        <v>-0.39545649999999999</v>
      </c>
      <c r="P5832">
        <v>0.83265909999999999</v>
      </c>
      <c r="Q5832">
        <v>-2.5077840000000001E-2</v>
      </c>
      <c r="R5832">
        <v>-0.55321799999999999</v>
      </c>
      <c r="S5832">
        <v>1.9737549999999999</v>
      </c>
      <c r="T5832">
        <v>1.7150640000000001E-3</v>
      </c>
      <c r="U5832">
        <v>-2.4653930000000002</v>
      </c>
      <c r="V5832">
        <v>0.1785659</v>
      </c>
      <c r="W5832">
        <v>-1.2771579999999999E-2</v>
      </c>
      <c r="X5832">
        <v>0.98384510000000003</v>
      </c>
      <c r="Y5832">
        <v>0.46981240000000002</v>
      </c>
      <c r="Z5832" s="1">
        <v>-9.0322629999999997E-5</v>
      </c>
      <c r="AA5832">
        <v>0.88276619999999995</v>
      </c>
      <c r="AB5832">
        <v>27</v>
      </c>
      <c r="AC5832">
        <v>27.0899</v>
      </c>
      <c r="AD5832">
        <v>2.3882000000000101E-2</v>
      </c>
      <c r="AE5832">
        <v>-33.958729999999903</v>
      </c>
      <c r="AF5832">
        <v>20.475537668268501</v>
      </c>
      <c r="AG5832">
        <v>2.3882000000000101E-2</v>
      </c>
      <c r="AH5832">
        <v>38.3119986651555</v>
      </c>
      <c r="AI5832">
        <v>89.968500708415206</v>
      </c>
      <c r="AJ5832">
        <v>61.878085146900901</v>
      </c>
      <c r="AK5832">
        <v>43.440274571801297</v>
      </c>
      <c r="AL5832">
        <v>90.731777499071598</v>
      </c>
      <c r="AM5832">
        <v>79.712913568703101</v>
      </c>
      <c r="AN5832">
        <v>1.0000000373462501</v>
      </c>
    </row>
    <row r="5833" spans="1:40" x14ac:dyDescent="0.25">
      <c r="A5833" t="str">
        <f>"20190312161430471"</f>
        <v>20190312161430471</v>
      </c>
      <c r="B5833" t="str">
        <f>"1552378470462271"</f>
        <v>1552378470462271</v>
      </c>
      <c r="C5833" t="s">
        <v>40</v>
      </c>
      <c r="D5833">
        <v>5.935524</v>
      </c>
      <c r="E5833">
        <v>0.62392250000000005</v>
      </c>
      <c r="F5833" t="s">
        <v>102</v>
      </c>
      <c r="G5833">
        <v>-284.2638</v>
      </c>
      <c r="H5833">
        <v>0.91643289999999999</v>
      </c>
      <c r="I5833">
        <v>-20.66648</v>
      </c>
      <c r="J5833">
        <v>-310.88780000000003</v>
      </c>
      <c r="K5833">
        <v>1.0526340000000001</v>
      </c>
      <c r="L5833">
        <v>13.319179999999999</v>
      </c>
      <c r="M5833">
        <v>0.91555169999999997</v>
      </c>
      <c r="N5833">
        <v>0</v>
      </c>
      <c r="O5833">
        <v>-0.40187820000000002</v>
      </c>
      <c r="P5833">
        <v>0.82843509999999998</v>
      </c>
      <c r="Q5833">
        <v>-2.5321E-2</v>
      </c>
      <c r="R5833">
        <v>-0.55951209999999996</v>
      </c>
      <c r="S5833">
        <v>1.9524840000000001</v>
      </c>
      <c r="T5833">
        <v>-9.9459890000000006E-3</v>
      </c>
      <c r="U5833">
        <v>-2.4836429999999998</v>
      </c>
      <c r="V5833">
        <v>0.179125799999999</v>
      </c>
      <c r="W5833">
        <v>-1.3131729999999999E-2</v>
      </c>
      <c r="X5833">
        <v>0.98373849999999996</v>
      </c>
      <c r="Y5833">
        <v>0.47145609999999999</v>
      </c>
      <c r="Z5833">
        <v>5.4317720000000001E-4</v>
      </c>
      <c r="AA5833">
        <v>0.88188929999999999</v>
      </c>
      <c r="AB5833">
        <v>27</v>
      </c>
      <c r="AC5833">
        <v>26.623999999999999</v>
      </c>
      <c r="AD5833">
        <v>-0.13620109999999999</v>
      </c>
      <c r="AE5833">
        <v>-33.985660000000003</v>
      </c>
      <c r="AF5833">
        <v>20.418464727967301</v>
      </c>
      <c r="AG5833">
        <v>-0.13620109999999999</v>
      </c>
      <c r="AH5833">
        <v>38.038292007698701</v>
      </c>
      <c r="AI5833">
        <v>90.1807586954139</v>
      </c>
      <c r="AJ5833">
        <v>61.773670048253898</v>
      </c>
      <c r="AK5833">
        <v>43.172258586386803</v>
      </c>
      <c r="AL5833">
        <v>90.752414358424502</v>
      </c>
      <c r="AM5833">
        <v>79.680255796195496</v>
      </c>
      <c r="AN5833">
        <v>0.99999996547033998</v>
      </c>
    </row>
    <row r="5834" spans="1:40" x14ac:dyDescent="0.25">
      <c r="A5834" t="str">
        <f>"20190312161430482"</f>
        <v>20190312161430482</v>
      </c>
      <c r="B5834" t="str">
        <f>"1552378470472032"</f>
        <v>1552378470472032</v>
      </c>
      <c r="C5834" t="s">
        <v>40</v>
      </c>
      <c r="D5834">
        <v>6.00108</v>
      </c>
      <c r="E5834">
        <v>0.62416850000000001</v>
      </c>
      <c r="F5834" t="s">
        <v>102</v>
      </c>
      <c r="G5834">
        <v>-282.32900000000001</v>
      </c>
      <c r="H5834">
        <v>0.82109529999999997</v>
      </c>
      <c r="I5834">
        <v>-23.623149999999999</v>
      </c>
      <c r="J5834">
        <v>-310.7525</v>
      </c>
      <c r="K5834">
        <v>1.0524770000000001</v>
      </c>
      <c r="L5834">
        <v>13.25259</v>
      </c>
      <c r="M5834">
        <v>0.9129543</v>
      </c>
      <c r="N5834">
        <v>0</v>
      </c>
      <c r="O5834">
        <v>-0.40774670000000002</v>
      </c>
      <c r="P5834">
        <v>0.82471830000000002</v>
      </c>
      <c r="Q5834">
        <v>-2.5153620000000002E-2</v>
      </c>
      <c r="R5834">
        <v>-0.56498429999999999</v>
      </c>
      <c r="S5834">
        <v>1.9324650000000001</v>
      </c>
      <c r="T5834">
        <v>-1.5667319999999998E-2</v>
      </c>
      <c r="U5834">
        <v>-2.4997560000000001</v>
      </c>
      <c r="V5834">
        <v>0.17932200000000001</v>
      </c>
      <c r="W5834">
        <v>-1.3055870000000001E-2</v>
      </c>
      <c r="X5834">
        <v>0.98370380000000002</v>
      </c>
      <c r="Y5834">
        <v>0.47296700000000003</v>
      </c>
      <c r="Z5834">
        <v>8.8372750000000001E-4</v>
      </c>
      <c r="AA5834">
        <v>0.88107969999999902</v>
      </c>
      <c r="AB5834">
        <v>27</v>
      </c>
      <c r="AC5834">
        <v>28.423499999999901</v>
      </c>
      <c r="AD5834">
        <v>-0.2313817</v>
      </c>
      <c r="AE5834">
        <v>-36.87574</v>
      </c>
      <c r="AF5834">
        <v>22.078569956266101</v>
      </c>
      <c r="AG5834">
        <v>-0.2313817</v>
      </c>
      <c r="AH5834">
        <v>40.989574655859599</v>
      </c>
      <c r="AI5834">
        <v>90.284746007634894</v>
      </c>
      <c r="AJ5834">
        <v>61.691377120515597</v>
      </c>
      <c r="AK5834">
        <v>46.558157387004897</v>
      </c>
      <c r="AL5834">
        <v>90.7480675013812</v>
      </c>
      <c r="AM5834">
        <v>79.668839077567995</v>
      </c>
      <c r="AN5834">
        <v>1.0000000007799399</v>
      </c>
    </row>
    <row r="5835" spans="1:40" x14ac:dyDescent="0.25">
      <c r="A5835" t="str">
        <f>"20190312161430495"</f>
        <v>20190312161430495</v>
      </c>
      <c r="B5835" t="str">
        <f>"1552378470482767"</f>
        <v>1552378470482767</v>
      </c>
      <c r="C5835" t="s">
        <v>40</v>
      </c>
      <c r="D5835">
        <v>5.9841490000000004</v>
      </c>
      <c r="E5835">
        <v>0.62436950000000002</v>
      </c>
      <c r="F5835" t="s">
        <v>102</v>
      </c>
      <c r="G5835">
        <v>-282.40019999999998</v>
      </c>
      <c r="H5835">
        <v>0.742031</v>
      </c>
      <c r="I5835">
        <v>-23.97916</v>
      </c>
      <c r="J5835">
        <v>-310.63240000000002</v>
      </c>
      <c r="K5835">
        <v>1.0523480000000001</v>
      </c>
      <c r="L5835">
        <v>13.19257</v>
      </c>
      <c r="M5835">
        <v>0.91058570000000005</v>
      </c>
      <c r="N5835">
        <v>0</v>
      </c>
      <c r="O5835">
        <v>-0.41301110000000002</v>
      </c>
      <c r="P5835">
        <v>0.82128590000000001</v>
      </c>
      <c r="Q5835">
        <v>-2.510451E-2</v>
      </c>
      <c r="R5835">
        <v>-0.56996429999999998</v>
      </c>
      <c r="S5835">
        <v>1.9145509999999999</v>
      </c>
      <c r="T5835">
        <v>-2.0963550000000001E-2</v>
      </c>
      <c r="U5835">
        <v>-2.51416</v>
      </c>
      <c r="V5835">
        <v>0.17959240000000001</v>
      </c>
      <c r="W5835">
        <v>-1.3086E-2</v>
      </c>
      <c r="X5835">
        <v>0.98365409999999998</v>
      </c>
      <c r="Y5835">
        <v>0.47428680000000001</v>
      </c>
      <c r="Z5835">
        <v>1.2163269999999999E-3</v>
      </c>
      <c r="AA5835">
        <v>0.88036949999999903</v>
      </c>
      <c r="AB5835">
        <v>27</v>
      </c>
      <c r="AC5835">
        <v>28.232199999999999</v>
      </c>
      <c r="AD5835">
        <v>-0.31031700000000001</v>
      </c>
      <c r="AE5835">
        <v>-37.171729999999997</v>
      </c>
      <c r="AF5835">
        <v>22.189688279558101</v>
      </c>
      <c r="AG5835">
        <v>-0.31031700000000001</v>
      </c>
      <c r="AH5835">
        <v>41.063606533953298</v>
      </c>
      <c r="AI5835">
        <v>90.380919186430603</v>
      </c>
      <c r="AJ5835">
        <v>61.614383943834298</v>
      </c>
      <c r="AK5835">
        <v>46.676528835805499</v>
      </c>
      <c r="AL5835">
        <v>90.749793948053195</v>
      </c>
      <c r="AM5835">
        <v>79.6530854436391</v>
      </c>
      <c r="AN5835">
        <v>1.0000000309902799</v>
      </c>
    </row>
    <row r="5836" spans="1:40" x14ac:dyDescent="0.25">
      <c r="A5836" t="str">
        <f>"20190312161430507"</f>
        <v>20190312161430507</v>
      </c>
      <c r="B5836" t="str">
        <f>"1552378470502288"</f>
        <v>1552378470502288</v>
      </c>
      <c r="C5836" t="s">
        <v>40</v>
      </c>
      <c r="D5836">
        <v>5.9825559999999998</v>
      </c>
      <c r="E5836">
        <v>0.62471529999999997</v>
      </c>
      <c r="F5836" t="s">
        <v>102</v>
      </c>
      <c r="G5836">
        <v>-282.40019999999998</v>
      </c>
      <c r="H5836">
        <v>0.66462129999999997</v>
      </c>
      <c r="I5836">
        <v>-24.381519999999998</v>
      </c>
      <c r="J5836">
        <v>-310.49599999999998</v>
      </c>
      <c r="K5836">
        <v>1.0522049999999901</v>
      </c>
      <c r="L5836">
        <v>13.12354</v>
      </c>
      <c r="M5836">
        <v>0.90783239999999998</v>
      </c>
      <c r="N5836">
        <v>0</v>
      </c>
      <c r="O5836">
        <v>-0.41903030000000002</v>
      </c>
      <c r="P5836">
        <v>0.81739669999999998</v>
      </c>
      <c r="Q5836">
        <v>-2.5324920000000001E-2</v>
      </c>
      <c r="R5836">
        <v>-0.57551839999999999</v>
      </c>
      <c r="S5836">
        <v>1.8984989999999999</v>
      </c>
      <c r="T5836">
        <v>-2.6072979999999999E-2</v>
      </c>
      <c r="U5836">
        <v>-2.5267029999999999</v>
      </c>
      <c r="V5836">
        <v>0.17974329999999999</v>
      </c>
      <c r="W5836">
        <v>-1.338977E-2</v>
      </c>
      <c r="X5836">
        <v>0.98362240000000001</v>
      </c>
      <c r="Y5836">
        <v>0.4741322</v>
      </c>
      <c r="Z5836">
        <v>1.5687089999999999E-3</v>
      </c>
      <c r="AA5836">
        <v>0.88045229999999997</v>
      </c>
      <c r="AB5836">
        <v>27</v>
      </c>
      <c r="AC5836">
        <v>28.095800000000001</v>
      </c>
      <c r="AD5836">
        <v>-0.38758369999999898</v>
      </c>
      <c r="AE5836">
        <v>-37.50506</v>
      </c>
      <c r="AF5836">
        <v>22.276622110390601</v>
      </c>
      <c r="AG5836">
        <v>-0.38758369999999898</v>
      </c>
      <c r="AH5836">
        <v>41.224449046299902</v>
      </c>
      <c r="AI5836">
        <v>90.473905147621707</v>
      </c>
      <c r="AJ5836">
        <v>61.6143637353534</v>
      </c>
      <c r="AK5836">
        <v>46.859932916561299</v>
      </c>
      <c r="AL5836">
        <v>90.767200248708093</v>
      </c>
      <c r="AM5836">
        <v>79.644253098754007</v>
      </c>
      <c r="AN5836">
        <v>0.99999998280865099</v>
      </c>
    </row>
    <row r="5837" spans="1:40" x14ac:dyDescent="0.25">
      <c r="A5837" t="str">
        <f>"20190312161430517"</f>
        <v>20190312161430517</v>
      </c>
      <c r="B5837" t="str">
        <f>"1552378470512048"</f>
        <v>1552378470512048</v>
      </c>
      <c r="C5837" t="s">
        <v>40</v>
      </c>
      <c r="D5837">
        <v>6.012143</v>
      </c>
      <c r="E5837">
        <v>0.62455579999999999</v>
      </c>
      <c r="F5837" t="s">
        <v>102</v>
      </c>
      <c r="G5837">
        <v>-282.40019999999998</v>
      </c>
      <c r="H5837">
        <v>0.49558540000000001</v>
      </c>
      <c r="I5837">
        <v>-24.86083</v>
      </c>
      <c r="J5837">
        <v>-310.38119999999998</v>
      </c>
      <c r="K5837">
        <v>1.05209</v>
      </c>
      <c r="L5837">
        <v>13.063929999999999</v>
      </c>
      <c r="M5837">
        <v>0.90543479999999998</v>
      </c>
      <c r="N5837">
        <v>0</v>
      </c>
      <c r="O5837">
        <v>-0.42418729999999899</v>
      </c>
      <c r="P5837">
        <v>0.81413559999999996</v>
      </c>
      <c r="Q5837">
        <v>-2.4975859999999999E-2</v>
      </c>
      <c r="R5837">
        <v>-0.58013769999999998</v>
      </c>
      <c r="S5837">
        <v>1.8797299999999999</v>
      </c>
      <c r="T5837">
        <v>-3.7240269999999999E-2</v>
      </c>
      <c r="U5837">
        <v>-2.5413209999999999</v>
      </c>
      <c r="V5837">
        <v>0.1797184</v>
      </c>
      <c r="W5837">
        <v>-1.310096E-2</v>
      </c>
      <c r="X5837">
        <v>0.98363080000000003</v>
      </c>
      <c r="Y5837">
        <v>0.47574670000000002</v>
      </c>
      <c r="Z5837">
        <v>2.2976720000000002E-3</v>
      </c>
      <c r="AA5837">
        <v>0.87957940000000001</v>
      </c>
      <c r="AB5837">
        <v>27</v>
      </c>
      <c r="AC5837">
        <v>27.980999999999899</v>
      </c>
      <c r="AD5837">
        <v>-0.55650459999999902</v>
      </c>
      <c r="AE5837">
        <v>-37.924759999999999</v>
      </c>
      <c r="AF5837">
        <v>22.468922298876301</v>
      </c>
      <c r="AG5837">
        <v>-0.55650459999999902</v>
      </c>
      <c r="AH5837">
        <v>41.421637432155599</v>
      </c>
      <c r="AI5837">
        <v>90.676605607918205</v>
      </c>
      <c r="AJ5837">
        <v>61.522644048050097</v>
      </c>
      <c r="AK5837">
        <v>47.126576516905203</v>
      </c>
      <c r="AL5837">
        <v>90.750651231239402</v>
      </c>
      <c r="AM5837">
        <v>79.6457431675462</v>
      </c>
      <c r="AN5837">
        <v>0.99999994458005903</v>
      </c>
    </row>
    <row r="5838" spans="1:40" x14ac:dyDescent="0.25">
      <c r="A5838" t="str">
        <f>"20190312161430529"</f>
        <v>20190312161430529</v>
      </c>
      <c r="B5838" t="str">
        <f>"1552378470522783"</f>
        <v>1552378470522783</v>
      </c>
      <c r="C5838" t="s">
        <v>40</v>
      </c>
      <c r="D5838">
        <v>6.0020129999999998</v>
      </c>
      <c r="E5838">
        <v>0.62443329999999997</v>
      </c>
      <c r="F5838" t="s">
        <v>102</v>
      </c>
      <c r="G5838">
        <v>-282.40019999999998</v>
      </c>
      <c r="H5838">
        <v>0.5374816</v>
      </c>
      <c r="I5838">
        <v>-25.183859999999999</v>
      </c>
      <c r="J5838">
        <v>-310.25380000000001</v>
      </c>
      <c r="K5838">
        <v>1.051968</v>
      </c>
      <c r="L5838">
        <v>12.99747</v>
      </c>
      <c r="M5838">
        <v>0.90272830000000004</v>
      </c>
      <c r="N5838">
        <v>0</v>
      </c>
      <c r="O5838">
        <v>-0.42991859999999998</v>
      </c>
      <c r="P5838">
        <v>0.81036940000000002</v>
      </c>
      <c r="Q5838">
        <v>-2.4827109999999999E-2</v>
      </c>
      <c r="R5838">
        <v>-0.58539370000000002</v>
      </c>
      <c r="S5838">
        <v>1.8661190000000001</v>
      </c>
      <c r="T5838">
        <v>-3.4320469999999999E-2</v>
      </c>
      <c r="U5838">
        <v>-2.5508419999999998</v>
      </c>
      <c r="V5838">
        <v>0.17984600000000001</v>
      </c>
      <c r="W5838">
        <v>-1.302213E-2</v>
      </c>
      <c r="X5838">
        <v>0.98360860000000006</v>
      </c>
      <c r="Y5838">
        <v>0.47479270000000001</v>
      </c>
      <c r="Z5838">
        <v>2.193136E-3</v>
      </c>
      <c r="AA5838">
        <v>0.88009490000000001</v>
      </c>
      <c r="AB5838">
        <v>27</v>
      </c>
      <c r="AC5838">
        <v>27.8536</v>
      </c>
      <c r="AD5838">
        <v>-0.51448640000000001</v>
      </c>
      <c r="AE5838">
        <v>-38.181329999999903</v>
      </c>
      <c r="AF5838">
        <v>22.492751167377399</v>
      </c>
      <c r="AG5838">
        <v>-0.51448640000000001</v>
      </c>
      <c r="AH5838">
        <v>41.5594013434755</v>
      </c>
      <c r="AI5838">
        <v>90.623770079347494</v>
      </c>
      <c r="AJ5838">
        <v>61.576891618245099</v>
      </c>
      <c r="AK5838">
        <v>47.258569501852399</v>
      </c>
      <c r="AL5838">
        <v>90.746134163988799</v>
      </c>
      <c r="AM5838">
        <v>79.638322038216003</v>
      </c>
      <c r="AN5838">
        <v>1.0000000187898399</v>
      </c>
    </row>
    <row r="5839" spans="1:40" x14ac:dyDescent="0.25">
      <c r="A5839" t="str">
        <f>"20190312161430540"</f>
        <v>20190312161430540</v>
      </c>
      <c r="B5839" t="str">
        <f>"1552378470532544"</f>
        <v>1552378470532544</v>
      </c>
      <c r="C5839" t="s">
        <v>40</v>
      </c>
      <c r="D5839">
        <v>5.661975</v>
      </c>
      <c r="E5839">
        <v>0.624556</v>
      </c>
      <c r="F5839" t="s">
        <v>102</v>
      </c>
      <c r="G5839">
        <v>-282.40019999999998</v>
      </c>
      <c r="H5839">
        <v>0.57068660000000004</v>
      </c>
      <c r="I5839">
        <v>-25.576740000000001</v>
      </c>
      <c r="J5839">
        <v>-310.12759999999997</v>
      </c>
      <c r="K5839">
        <v>1.0518510000000001</v>
      </c>
      <c r="L5839">
        <v>12.929930000000001</v>
      </c>
      <c r="M5839">
        <v>0.89995380000000003</v>
      </c>
      <c r="N5839">
        <v>0</v>
      </c>
      <c r="O5839">
        <v>-0.43569730000000001</v>
      </c>
      <c r="P5839">
        <v>0.8063939</v>
      </c>
      <c r="Q5839">
        <v>-2.4739870000000001E-2</v>
      </c>
      <c r="R5839">
        <v>-0.59086139999999998</v>
      </c>
      <c r="S5839">
        <v>1.850128</v>
      </c>
      <c r="T5839">
        <v>-3.1968240000000002E-2</v>
      </c>
      <c r="U5839">
        <v>-2.5622250000000002</v>
      </c>
      <c r="V5839">
        <v>0.18019070000000001</v>
      </c>
      <c r="W5839">
        <v>-1.300402E-2</v>
      </c>
      <c r="X5839">
        <v>0.98354569999999997</v>
      </c>
      <c r="Y5839">
        <v>0.47461690000000001</v>
      </c>
      <c r="Z5839">
        <v>2.1094730000000002E-3</v>
      </c>
      <c r="AA5839">
        <v>0.88018999999999903</v>
      </c>
      <c r="AB5839">
        <v>27</v>
      </c>
      <c r="AC5839">
        <v>27.7273999999999</v>
      </c>
      <c r="AD5839">
        <v>-0.48116439999999999</v>
      </c>
      <c r="AE5839">
        <v>-38.50667</v>
      </c>
      <c r="AF5839">
        <v>22.5739832304481</v>
      </c>
      <c r="AG5839">
        <v>-0.48116439999999999</v>
      </c>
      <c r="AH5839">
        <v>41.731578683404301</v>
      </c>
      <c r="AI5839">
        <v>90.581035855650399</v>
      </c>
      <c r="AJ5839">
        <v>61.589586801815003</v>
      </c>
      <c r="AK5839">
        <v>47.448297097762598</v>
      </c>
      <c r="AL5839">
        <v>90.745096487087693</v>
      </c>
      <c r="AM5839">
        <v>79.618244362355199</v>
      </c>
      <c r="AN5839">
        <v>0.99999996844556904</v>
      </c>
    </row>
    <row r="5840" spans="1:40" x14ac:dyDescent="0.25">
      <c r="A5840" t="str">
        <f>"20190312161430552"</f>
        <v>20190312161430552</v>
      </c>
      <c r="B5840" t="str">
        <f>"1552378470542303"</f>
        <v>1552378470542303</v>
      </c>
      <c r="C5840" t="s">
        <v>40</v>
      </c>
      <c r="D5840">
        <v>5.1313589999999998</v>
      </c>
      <c r="E5840">
        <v>0.62442330000000001</v>
      </c>
      <c r="F5840" t="s">
        <v>102</v>
      </c>
      <c r="G5840">
        <v>-282.40019999999998</v>
      </c>
      <c r="H5840">
        <v>0.62721419999999894</v>
      </c>
      <c r="I5840">
        <v>-26.05049</v>
      </c>
      <c r="J5840">
        <v>-310.01459999999997</v>
      </c>
      <c r="K5840">
        <v>1.0517479999999999</v>
      </c>
      <c r="L5840">
        <v>12.868930000000001</v>
      </c>
      <c r="M5840">
        <v>0.89742119999999903</v>
      </c>
      <c r="N5840">
        <v>0</v>
      </c>
      <c r="O5840">
        <v>-0.44089149999999999</v>
      </c>
      <c r="P5840">
        <v>0.80284800000000001</v>
      </c>
      <c r="Q5840">
        <v>-2.469901E-2</v>
      </c>
      <c r="R5840">
        <v>-0.59567230000000004</v>
      </c>
      <c r="S5840">
        <v>1.8321229999999999</v>
      </c>
      <c r="T5840">
        <v>-2.8058409999999999E-2</v>
      </c>
      <c r="U5840">
        <v>-2.5756839999999999</v>
      </c>
      <c r="V5840">
        <v>0.18038489999999999</v>
      </c>
      <c r="W5840">
        <v>-1.302056E-2</v>
      </c>
      <c r="X5840">
        <v>0.98350990000000005</v>
      </c>
      <c r="Y5840">
        <v>0.47578920000000002</v>
      </c>
      <c r="Z5840">
        <v>1.8973659999999999E-3</v>
      </c>
      <c r="AA5840">
        <v>0.87955729999999999</v>
      </c>
      <c r="AB5840">
        <v>27</v>
      </c>
      <c r="AC5840">
        <v>27.6143999999999</v>
      </c>
      <c r="AD5840">
        <v>-0.42453380000000002</v>
      </c>
      <c r="AE5840">
        <v>-38.919420000000002</v>
      </c>
      <c r="AF5840">
        <v>22.7532007516897</v>
      </c>
      <c r="AG5840">
        <v>-0.42453380000000002</v>
      </c>
      <c r="AH5840">
        <v>41.9429109736284</v>
      </c>
      <c r="AI5840">
        <v>90.509741449638895</v>
      </c>
      <c r="AJ5840">
        <v>61.5210432328455</v>
      </c>
      <c r="AK5840">
        <v>47.718928679673397</v>
      </c>
      <c r="AL5840">
        <v>90.7460442270024</v>
      </c>
      <c r="AM5840">
        <v>79.606929084681099</v>
      </c>
      <c r="AN5840">
        <v>0.99999998526436595</v>
      </c>
    </row>
    <row r="5841" spans="1:40" x14ac:dyDescent="0.25">
      <c r="A5841" t="str">
        <f>"20190312161430563"</f>
        <v>20190312161430563</v>
      </c>
      <c r="B5841" t="str">
        <f>"1552378470552063"</f>
        <v>1552378470552063</v>
      </c>
      <c r="C5841" t="s">
        <v>40</v>
      </c>
      <c r="D5841">
        <v>5.7586950000000003</v>
      </c>
      <c r="E5841">
        <v>0.62442330000000001</v>
      </c>
      <c r="F5841" t="s">
        <v>102</v>
      </c>
      <c r="G5841">
        <v>-283.2165</v>
      </c>
      <c r="H5841">
        <v>0.68665269999999901</v>
      </c>
      <c r="I5841">
        <v>-25.255330000000001</v>
      </c>
      <c r="J5841">
        <v>-309.89120000000003</v>
      </c>
      <c r="K5841">
        <v>1.0516460000000001</v>
      </c>
      <c r="L5841">
        <v>12.801030000000001</v>
      </c>
      <c r="M5841">
        <v>0.89458230000000005</v>
      </c>
      <c r="N5841">
        <v>0</v>
      </c>
      <c r="O5841">
        <v>-0.44662410000000002</v>
      </c>
      <c r="P5841">
        <v>0.79877390000000004</v>
      </c>
      <c r="Q5841">
        <v>-2.483923E-2</v>
      </c>
      <c r="R5841">
        <v>-0.60111800000000004</v>
      </c>
      <c r="S5841">
        <v>1.8175049999999999</v>
      </c>
      <c r="T5841">
        <v>-2.4761439999999999E-2</v>
      </c>
      <c r="U5841">
        <v>-2.5856629999999998</v>
      </c>
      <c r="V5841">
        <v>0.1807771</v>
      </c>
      <c r="W5841">
        <v>-1.322372E-2</v>
      </c>
      <c r="X5841">
        <v>0.98343519999999895</v>
      </c>
      <c r="Y5841">
        <v>0.47508719999999999</v>
      </c>
      <c r="Z5841">
        <v>1.7281029999999999E-3</v>
      </c>
      <c r="AA5841">
        <v>0.87993699999999997</v>
      </c>
      <c r="AB5841">
        <v>27</v>
      </c>
      <c r="AC5841">
        <v>26.674700000000001</v>
      </c>
      <c r="AD5841">
        <v>-0.36499330000000002</v>
      </c>
      <c r="AE5841">
        <v>-38.056359999999998</v>
      </c>
      <c r="AF5841">
        <v>22.132377523690501</v>
      </c>
      <c r="AG5841">
        <v>-0.36499330000000002</v>
      </c>
      <c r="AH5841">
        <v>40.862178186187599</v>
      </c>
      <c r="AI5841">
        <v>90.450003595103198</v>
      </c>
      <c r="AJ5841">
        <v>61.558483240807099</v>
      </c>
      <c r="AK5841">
        <v>46.4724968242502</v>
      </c>
      <c r="AL5841">
        <v>90.757685421596193</v>
      </c>
      <c r="AM5841">
        <v>79.584052249110002</v>
      </c>
      <c r="AN5841">
        <v>1.0000000096270401</v>
      </c>
    </row>
    <row r="5842" spans="1:40" x14ac:dyDescent="0.25">
      <c r="A5842" t="str">
        <f>"20190312161430574"</f>
        <v>20190312161430574</v>
      </c>
      <c r="B5842" t="str">
        <f>"1552378470572560"</f>
        <v>1552378470572560</v>
      </c>
      <c r="C5842" t="s">
        <v>40</v>
      </c>
      <c r="D5842">
        <v>5.0633010000000001</v>
      </c>
      <c r="E5842">
        <v>0.66264480000000003</v>
      </c>
      <c r="F5842" t="s">
        <v>102</v>
      </c>
      <c r="G5842">
        <v>-283.52730000000003</v>
      </c>
      <c r="H5842">
        <v>0.68446530000000005</v>
      </c>
      <c r="I5842">
        <v>-25.255330000000001</v>
      </c>
      <c r="J5842">
        <v>-309.77170000000001</v>
      </c>
      <c r="K5842">
        <v>1.0515490000000001</v>
      </c>
      <c r="L5842">
        <v>12.734220000000001</v>
      </c>
      <c r="M5842">
        <v>0.89176230000000001</v>
      </c>
      <c r="N5842">
        <v>0</v>
      </c>
      <c r="O5842">
        <v>-0.45222960000000001</v>
      </c>
      <c r="P5842">
        <v>0.79486279999999998</v>
      </c>
      <c r="Q5842">
        <v>-2.484654E-2</v>
      </c>
      <c r="R5842">
        <v>-0.60628009999999999</v>
      </c>
      <c r="S5842">
        <v>1.7998050000000001</v>
      </c>
      <c r="T5842">
        <v>-2.506661E-2</v>
      </c>
      <c r="U5842">
        <v>-2.5980219999999998</v>
      </c>
      <c r="V5842">
        <v>0.18097369999999999</v>
      </c>
      <c r="W5842">
        <v>-1.3284509999999999E-2</v>
      </c>
      <c r="X5842">
        <v>0.9833982</v>
      </c>
      <c r="Y5842">
        <v>0.47557549999999998</v>
      </c>
      <c r="Z5842">
        <v>1.7974239999999999E-3</v>
      </c>
      <c r="AA5842">
        <v>0.87967309999999999</v>
      </c>
      <c r="AB5842">
        <v>27</v>
      </c>
      <c r="AC5842">
        <v>26.244399999999899</v>
      </c>
      <c r="AD5842">
        <v>-0.36708370000000001</v>
      </c>
      <c r="AE5842">
        <v>-37.989550000000001</v>
      </c>
      <c r="AF5842">
        <v>22.0104967338211</v>
      </c>
      <c r="AG5842">
        <v>-0.36708370000000001</v>
      </c>
      <c r="AH5842">
        <v>40.586241495803598</v>
      </c>
      <c r="AI5842">
        <v>90.455527954751602</v>
      </c>
      <c r="AJ5842">
        <v>61.528392615471802</v>
      </c>
      <c r="AK5842">
        <v>46.171849818564297</v>
      </c>
      <c r="AL5842">
        <v>90.761168753651503</v>
      </c>
      <c r="AM5842">
        <v>79.572589239439594</v>
      </c>
      <c r="AN5842">
        <v>0.99999998903043497</v>
      </c>
    </row>
    <row r="5843" spans="1:40" x14ac:dyDescent="0.25">
      <c r="A5843" t="str">
        <f>"20190312161430586"</f>
        <v>20190312161430586</v>
      </c>
      <c r="B5843" t="str">
        <f>"1552378470582319"</f>
        <v>1552378470582319</v>
      </c>
      <c r="C5843" t="s">
        <v>40</v>
      </c>
      <c r="D5843">
        <v>5.2231899999999998</v>
      </c>
      <c r="E5843">
        <v>0.66212209999999905</v>
      </c>
      <c r="F5843" t="s">
        <v>79</v>
      </c>
      <c r="G5843">
        <v>-258.0958</v>
      </c>
      <c r="H5843">
        <v>8.3067659999999997</v>
      </c>
      <c r="I5843">
        <v>-79.671169999999904</v>
      </c>
      <c r="J5843">
        <v>-309.6497</v>
      </c>
      <c r="K5843">
        <v>1.0514520000000001</v>
      </c>
      <c r="L5843">
        <v>12.66522</v>
      </c>
      <c r="M5843">
        <v>0.88882329999999998</v>
      </c>
      <c r="N5843">
        <v>0</v>
      </c>
      <c r="O5843">
        <v>-0.45797959999999899</v>
      </c>
      <c r="P5843">
        <v>0.79066169999999902</v>
      </c>
      <c r="Q5843">
        <v>-2.4749159999999999E-2</v>
      </c>
      <c r="R5843">
        <v>-0.61175299999999999</v>
      </c>
      <c r="S5843">
        <v>1.5995790000000001</v>
      </c>
      <c r="T5843">
        <v>0.22457869999999999</v>
      </c>
      <c r="U5843">
        <v>-2.8603209999999999</v>
      </c>
      <c r="V5843">
        <v>0.1814093</v>
      </c>
      <c r="W5843">
        <v>-1.32456E-2</v>
      </c>
      <c r="X5843">
        <v>0.98331840000000004</v>
      </c>
      <c r="Y5843">
        <v>0.552037</v>
      </c>
      <c r="Z5843">
        <v>-1.303313E-2</v>
      </c>
      <c r="AA5843">
        <v>0.83371779999999995</v>
      </c>
      <c r="AB5843">
        <v>27</v>
      </c>
      <c r="AC5843">
        <v>51.553899999999999</v>
      </c>
      <c r="AD5843">
        <v>7.2553139999999896</v>
      </c>
      <c r="AE5843">
        <v>-92.336389999999994</v>
      </c>
      <c r="AF5843">
        <v>58.193442866523498</v>
      </c>
      <c r="AG5843">
        <v>7.2553139999999896</v>
      </c>
      <c r="AH5843">
        <v>87.708586907823602</v>
      </c>
      <c r="AI5843">
        <v>86.056908801054703</v>
      </c>
      <c r="AJ5843">
        <v>56.436272456952203</v>
      </c>
      <c r="AK5843">
        <v>105.507879285222</v>
      </c>
      <c r="AL5843">
        <v>90.758939225065205</v>
      </c>
      <c r="AM5843">
        <v>79.547213629685103</v>
      </c>
      <c r="AN5843">
        <v>0.99999992791220205</v>
      </c>
    </row>
    <row r="5844" spans="1:40" x14ac:dyDescent="0.25">
      <c r="A5844" t="str">
        <f>"20190312161430598"</f>
        <v>20190312161430598</v>
      </c>
      <c r="B5844" t="str">
        <f>"1552378470592079"</f>
        <v>1552378470592079</v>
      </c>
      <c r="C5844" t="s">
        <v>40</v>
      </c>
      <c r="D5844">
        <v>5.266591</v>
      </c>
      <c r="E5844">
        <v>0.66224810000000001</v>
      </c>
      <c r="F5844" t="s">
        <v>79</v>
      </c>
      <c r="G5844">
        <v>-254.78280000000001</v>
      </c>
      <c r="H5844">
        <v>6.6740880000000002</v>
      </c>
      <c r="I5844">
        <v>-86.727999999999994</v>
      </c>
      <c r="J5844">
        <v>-309.52690000000001</v>
      </c>
      <c r="K5844">
        <v>1.051356</v>
      </c>
      <c r="L5844">
        <v>12.59418</v>
      </c>
      <c r="M5844">
        <v>0.88577280000000003</v>
      </c>
      <c r="N5844">
        <v>0</v>
      </c>
      <c r="O5844">
        <v>-0.46385270000000001</v>
      </c>
      <c r="P5844">
        <v>0.78650779999999998</v>
      </c>
      <c r="Q5844">
        <v>-2.494613E-2</v>
      </c>
      <c r="R5844">
        <v>-0.61707630000000002</v>
      </c>
      <c r="S5844">
        <v>1.582001</v>
      </c>
      <c r="T5844">
        <v>0.16212009999999999</v>
      </c>
      <c r="U5844">
        <v>-2.8658450000000002</v>
      </c>
      <c r="V5844">
        <v>0.1815349</v>
      </c>
      <c r="W5844">
        <v>-1.3489660000000001E-2</v>
      </c>
      <c r="X5844">
        <v>0.98329200000000005</v>
      </c>
      <c r="Y5844">
        <v>0.55123940000000005</v>
      </c>
      <c r="Z5844">
        <v>-9.7839769999999993E-3</v>
      </c>
      <c r="AA5844">
        <v>0.83428979999999997</v>
      </c>
      <c r="AB5844">
        <v>27</v>
      </c>
      <c r="AC5844">
        <v>54.744100000000003</v>
      </c>
      <c r="AD5844">
        <v>5.6227320000000001</v>
      </c>
      <c r="AE5844">
        <v>-99.322180000000003</v>
      </c>
      <c r="AF5844">
        <v>62.4379480049638</v>
      </c>
      <c r="AG5844">
        <v>5.6227320000000001</v>
      </c>
      <c r="AH5844">
        <v>94.341489903882902</v>
      </c>
      <c r="AI5844">
        <v>87.154700803105399</v>
      </c>
      <c r="AJ5844">
        <v>56.502247594344297</v>
      </c>
      <c r="AK5844">
        <v>113.27148442348</v>
      </c>
      <c r="AL5844">
        <v>90.772924009298706</v>
      </c>
      <c r="AM5844">
        <v>79.539861610904296</v>
      </c>
      <c r="AN5844">
        <v>1.00000002405446</v>
      </c>
    </row>
    <row r="5845" spans="1:40" x14ac:dyDescent="0.25">
      <c r="A5845" t="str">
        <f>"20190312161430610"</f>
        <v>20190312161430610</v>
      </c>
      <c r="B5845" t="str">
        <f>"1552378470602817"</f>
        <v>1552378470602817</v>
      </c>
      <c r="C5845" t="s">
        <v>40</v>
      </c>
      <c r="D5845">
        <v>5.748837</v>
      </c>
      <c r="E5845">
        <v>0.66224810000000001</v>
      </c>
      <c r="F5845" t="s">
        <v>79</v>
      </c>
      <c r="G5845">
        <v>-252.96860000000001</v>
      </c>
      <c r="H5845">
        <v>5.6229950000000004</v>
      </c>
      <c r="I5845">
        <v>-91.564989999999995</v>
      </c>
      <c r="J5845">
        <v>-309.4024</v>
      </c>
      <c r="K5845">
        <v>1.0512649999999999</v>
      </c>
      <c r="L5845">
        <v>12.521509999999999</v>
      </c>
      <c r="M5845">
        <v>0.88262149999999995</v>
      </c>
      <c r="N5845">
        <v>0</v>
      </c>
      <c r="O5845">
        <v>-0.46982180000000001</v>
      </c>
      <c r="P5845">
        <v>0.78223339999999997</v>
      </c>
      <c r="Q5845">
        <v>-2.48011E-2</v>
      </c>
      <c r="R5845">
        <v>-0.62249149999999998</v>
      </c>
      <c r="S5845">
        <v>1.561768</v>
      </c>
      <c r="T5845">
        <v>0.12623889999999999</v>
      </c>
      <c r="U5845">
        <v>-2.8761899999999998</v>
      </c>
      <c r="V5845">
        <v>0.18168419999999999</v>
      </c>
      <c r="W5845">
        <v>-1.339183E-2</v>
      </c>
      <c r="X5845">
        <v>0.98326579999999997</v>
      </c>
      <c r="Y5845">
        <v>0.55144989999999905</v>
      </c>
      <c r="Z5845">
        <v>-7.8840960000000002E-3</v>
      </c>
      <c r="AA5845">
        <v>0.83417079999999999</v>
      </c>
      <c r="AB5845">
        <v>27</v>
      </c>
      <c r="AC5845">
        <v>56.433799999999898</v>
      </c>
      <c r="AD5845">
        <v>4.5717299999999996</v>
      </c>
      <c r="AE5845">
        <v>-104.0865</v>
      </c>
      <c r="AF5845">
        <v>65.2659128678104</v>
      </c>
      <c r="AG5845">
        <v>4.5717299999999996</v>
      </c>
      <c r="AH5845">
        <v>98.577004161929295</v>
      </c>
      <c r="AI5845">
        <v>87.785483724307298</v>
      </c>
      <c r="AJ5845">
        <v>56.492233771868101</v>
      </c>
      <c r="AK5845">
        <v>118.31299948527401</v>
      </c>
      <c r="AL5845">
        <v>90.767318228180002</v>
      </c>
      <c r="AM5845">
        <v>79.531176196224393</v>
      </c>
      <c r="AN5845">
        <v>1.00000006154501</v>
      </c>
    </row>
    <row r="5846" spans="1:40" x14ac:dyDescent="0.25">
      <c r="A5846" t="str">
        <f>"20190312161430622"</f>
        <v>20190312161430622</v>
      </c>
      <c r="B5846" t="str">
        <f>"1552378470612575"</f>
        <v>1552378470612575</v>
      </c>
      <c r="C5846" t="s">
        <v>40</v>
      </c>
      <c r="D5846">
        <v>6.0661069999999997</v>
      </c>
      <c r="E5846">
        <v>0.66779759999999999</v>
      </c>
      <c r="F5846" t="s">
        <v>79</v>
      </c>
      <c r="G5846">
        <v>-253.80340000000001</v>
      </c>
      <c r="H5846">
        <v>5.6314520000000003</v>
      </c>
      <c r="I5846">
        <v>-91.564989999999995</v>
      </c>
      <c r="J5846">
        <v>-309.26780000000002</v>
      </c>
      <c r="K5846">
        <v>1.0511710000000001</v>
      </c>
      <c r="L5846">
        <v>12.44107</v>
      </c>
      <c r="M5846">
        <v>0.87910379999999999</v>
      </c>
      <c r="N5846">
        <v>0</v>
      </c>
      <c r="O5846">
        <v>-0.47637190000000001</v>
      </c>
      <c r="P5846">
        <v>0.77750989999999998</v>
      </c>
      <c r="Q5846">
        <v>-2.4766090000000001E-2</v>
      </c>
      <c r="R5846">
        <v>-0.62838319999999903</v>
      </c>
      <c r="S5846">
        <v>1.541992</v>
      </c>
      <c r="T5846">
        <v>0.127028</v>
      </c>
      <c r="U5846">
        <v>-2.886749</v>
      </c>
      <c r="V5846">
        <v>0.1817983</v>
      </c>
      <c r="W5846">
        <v>-1.340238E-2</v>
      </c>
      <c r="X5846">
        <v>0.98324449999999997</v>
      </c>
      <c r="Y5846">
        <v>0.55096350000000005</v>
      </c>
      <c r="Z5846">
        <v>-8.239527E-3</v>
      </c>
      <c r="AA5846">
        <v>0.83448869999999897</v>
      </c>
      <c r="AB5846">
        <v>27</v>
      </c>
      <c r="AC5846">
        <v>55.464399999999998</v>
      </c>
      <c r="AD5846">
        <v>4.5802809999999896</v>
      </c>
      <c r="AE5846">
        <v>-104.006059999999</v>
      </c>
      <c r="AF5846">
        <v>64.920420754896</v>
      </c>
      <c r="AG5846">
        <v>4.5802809999999896</v>
      </c>
      <c r="AH5846">
        <v>98.168406564573303</v>
      </c>
      <c r="AI5846">
        <v>87.771338278725807</v>
      </c>
      <c r="AJ5846">
        <v>56.522664506622</v>
      </c>
      <c r="AK5846">
        <v>117.78232487287301</v>
      </c>
      <c r="AL5846">
        <v>90.767922803032505</v>
      </c>
      <c r="AM5846">
        <v>79.524525225972098</v>
      </c>
      <c r="AN5846">
        <v>0.99999999622640201</v>
      </c>
    </row>
    <row r="5847" spans="1:40" x14ac:dyDescent="0.25">
      <c r="A5847" t="str">
        <f>"20190312161430635"</f>
        <v>20190312161430635</v>
      </c>
      <c r="B5847" t="str">
        <f>"1552378470632095"</f>
        <v>1552378470632095</v>
      </c>
      <c r="C5847" t="s">
        <v>40</v>
      </c>
      <c r="D5847">
        <v>5.0190400000000004</v>
      </c>
      <c r="E5847">
        <v>0.66664669999999904</v>
      </c>
      <c r="F5847" t="s">
        <v>43</v>
      </c>
      <c r="G5847">
        <v>-308.9821</v>
      </c>
      <c r="H5847">
        <v>1.134803</v>
      </c>
      <c r="I5847">
        <v>11.878500000000001</v>
      </c>
      <c r="J5847">
        <v>-309.14010000000002</v>
      </c>
      <c r="K5847">
        <v>1.0510889999999999</v>
      </c>
      <c r="L5847">
        <v>12.36356</v>
      </c>
      <c r="M5847">
        <v>0.87568409999999997</v>
      </c>
      <c r="N5847">
        <v>0</v>
      </c>
      <c r="O5847">
        <v>-0.4826298</v>
      </c>
      <c r="P5847">
        <v>0.77297680000000002</v>
      </c>
      <c r="Q5847">
        <v>-2.4879160000000001E-2</v>
      </c>
      <c r="R5847">
        <v>-0.63394669999999997</v>
      </c>
      <c r="S5847">
        <v>1.494202</v>
      </c>
      <c r="T5847">
        <v>0.43744559999999999</v>
      </c>
      <c r="U5847">
        <v>-2.9426570000000001</v>
      </c>
      <c r="V5847">
        <v>0.18183859999999999</v>
      </c>
      <c r="W5847">
        <v>-1.35543E-2</v>
      </c>
      <c r="X5847">
        <v>0.98323490000000002</v>
      </c>
      <c r="Y5847">
        <v>0.56148690000000001</v>
      </c>
      <c r="Z5847">
        <v>-2.817047E-2</v>
      </c>
      <c r="AA5847">
        <v>0.82700599999999902</v>
      </c>
      <c r="AB5847">
        <v>27</v>
      </c>
      <c r="AC5847">
        <v>0.15800000000001499</v>
      </c>
      <c r="AD5847">
        <v>8.3713999999999997E-2</v>
      </c>
      <c r="AE5847">
        <v>-0.48505999999999999</v>
      </c>
      <c r="AF5847">
        <v>0.33940698794032598</v>
      </c>
      <c r="AG5847">
        <v>8.3713999999999997E-2</v>
      </c>
      <c r="AH5847">
        <v>0.36274028316472301</v>
      </c>
      <c r="AI5847">
        <v>80.434525603250293</v>
      </c>
      <c r="AJ5847">
        <v>46.903315154601898</v>
      </c>
      <c r="AK5847">
        <v>0.50377142663032004</v>
      </c>
      <c r="AL5847">
        <v>90.776628018501498</v>
      </c>
      <c r="AM5847">
        <v>79.5221544677281</v>
      </c>
      <c r="AN5847">
        <v>0.99999993203822701</v>
      </c>
    </row>
    <row r="5848" spans="1:40" x14ac:dyDescent="0.25">
      <c r="A5848" t="str">
        <f>"20190312161430650"</f>
        <v>20190312161430650</v>
      </c>
      <c r="B5848" t="str">
        <f>"1552378470642831"</f>
        <v>1552378470642831</v>
      </c>
      <c r="C5848" t="s">
        <v>40</v>
      </c>
      <c r="D5848">
        <v>5.1736500000000003</v>
      </c>
      <c r="E5848">
        <v>0.66649630000000004</v>
      </c>
      <c r="F5848" t="s">
        <v>43</v>
      </c>
      <c r="G5848">
        <v>-308.80829999999997</v>
      </c>
      <c r="H5848">
        <v>1.146325</v>
      </c>
      <c r="I5848">
        <v>11.702249999999999</v>
      </c>
      <c r="J5848">
        <v>-308.98520000000002</v>
      </c>
      <c r="K5848">
        <v>1.0509900000000001</v>
      </c>
      <c r="L5848">
        <v>12.268039999999999</v>
      </c>
      <c r="M5848">
        <v>0.87142649999999999</v>
      </c>
      <c r="N5848">
        <v>0</v>
      </c>
      <c r="O5848">
        <v>-0.49027569999999998</v>
      </c>
      <c r="P5848">
        <v>0.76727919999999905</v>
      </c>
      <c r="Q5848">
        <v>-2.4939039999999999E-2</v>
      </c>
      <c r="R5848">
        <v>-0.64082810000000001</v>
      </c>
      <c r="S5848">
        <v>1.4786680000000001</v>
      </c>
      <c r="T5848">
        <v>0.42434359999999999</v>
      </c>
      <c r="U5848">
        <v>-2.9459529999999998</v>
      </c>
      <c r="V5848">
        <v>0.1820155</v>
      </c>
      <c r="W5848">
        <v>-1.36615E-2</v>
      </c>
      <c r="X5848">
        <v>0.98320070000000004</v>
      </c>
      <c r="Y5848">
        <v>0.55820630000000004</v>
      </c>
      <c r="Z5848">
        <v>-2.8755679999999999E-2</v>
      </c>
      <c r="AA5848">
        <v>0.82920369999999999</v>
      </c>
      <c r="AB5848">
        <v>27</v>
      </c>
      <c r="AC5848">
        <v>0.17690000000004599</v>
      </c>
      <c r="AD5848">
        <v>9.53350000000001E-2</v>
      </c>
      <c r="AE5848">
        <v>-0.56578999999999902</v>
      </c>
      <c r="AF5848">
        <v>0.39611947316528501</v>
      </c>
      <c r="AG5848">
        <v>9.53350000000001E-2</v>
      </c>
      <c r="AH5848">
        <v>0.42072012019729399</v>
      </c>
      <c r="AI5848">
        <v>80.631679170679007</v>
      </c>
      <c r="AJ5848">
        <v>46.725047777585097</v>
      </c>
      <c r="AK5848">
        <v>0.58566613252310296</v>
      </c>
      <c r="AL5848">
        <v>90.782770683024594</v>
      </c>
      <c r="AM5848">
        <v>79.511830540427596</v>
      </c>
      <c r="AN5848">
        <v>0.99999994765149303</v>
      </c>
    </row>
    <row r="5849" spans="1:40" x14ac:dyDescent="0.25">
      <c r="A5849" t="str">
        <f>"20190312161430664"</f>
        <v>20190312161430664</v>
      </c>
      <c r="B5849" t="str">
        <f>"1552378470652592"</f>
        <v>1552378470652592</v>
      </c>
      <c r="C5849" t="s">
        <v>40</v>
      </c>
      <c r="D5849">
        <v>6.1108449999999896</v>
      </c>
      <c r="E5849">
        <v>0.66629090000000002</v>
      </c>
      <c r="F5849" t="s">
        <v>43</v>
      </c>
      <c r="G5849">
        <v>-308.62799999999999</v>
      </c>
      <c r="H5849">
        <v>1.1529700000000001</v>
      </c>
      <c r="I5849">
        <v>11.541180000000001</v>
      </c>
      <c r="J5849">
        <v>-308.84300000000002</v>
      </c>
      <c r="K5849">
        <v>1.0509090000000001</v>
      </c>
      <c r="L5849">
        <v>12.17834</v>
      </c>
      <c r="M5849">
        <v>0.86739239999999995</v>
      </c>
      <c r="N5849">
        <v>0</v>
      </c>
      <c r="O5849">
        <v>-0.49737809999999999</v>
      </c>
      <c r="P5849">
        <v>0.76198549999999998</v>
      </c>
      <c r="Q5849">
        <v>-2.5361709999999999E-2</v>
      </c>
      <c r="R5849">
        <v>-0.64709729999999999</v>
      </c>
      <c r="S5849">
        <v>1.453247</v>
      </c>
      <c r="T5849">
        <v>0.41492800000000002</v>
      </c>
      <c r="U5849">
        <v>-2.9575809999999998</v>
      </c>
      <c r="V5849">
        <v>0.1820399</v>
      </c>
      <c r="W5849">
        <v>-1.412036E-2</v>
      </c>
      <c r="X5849">
        <v>0.9831898</v>
      </c>
      <c r="Y5849">
        <v>0.55852849999999998</v>
      </c>
      <c r="Z5849">
        <v>-2.9151320000000001E-2</v>
      </c>
      <c r="AA5849">
        <v>0.82897289999999901</v>
      </c>
      <c r="AB5849">
        <v>26</v>
      </c>
      <c r="AC5849">
        <v>0.215000000000031</v>
      </c>
      <c r="AD5849">
        <v>0.102060999999999</v>
      </c>
      <c r="AE5849">
        <v>-0.63715999999999795</v>
      </c>
      <c r="AF5849">
        <v>0.43574862562625899</v>
      </c>
      <c r="AG5849">
        <v>0.102060999999999</v>
      </c>
      <c r="AH5849">
        <v>0.49212442501645798</v>
      </c>
      <c r="AI5849">
        <v>81.174189321698194</v>
      </c>
      <c r="AJ5849">
        <v>48.476908255850297</v>
      </c>
      <c r="AK5849">
        <v>0.66519152291197503</v>
      </c>
      <c r="AL5849">
        <v>90.809063883079006</v>
      </c>
      <c r="AM5849">
        <v>79.510342048763505</v>
      </c>
      <c r="AN5849">
        <v>1.0000000462912799</v>
      </c>
    </row>
    <row r="5850" spans="1:40" x14ac:dyDescent="0.25">
      <c r="A5850" t="str">
        <f>"20190312161430683"</f>
        <v>20190312161430683</v>
      </c>
      <c r="B5850" t="str">
        <f>"1552378470672112"</f>
        <v>1552378470672112</v>
      </c>
      <c r="C5850" t="s">
        <v>40</v>
      </c>
      <c r="D5850">
        <v>5.2700750000000003</v>
      </c>
      <c r="E5850">
        <v>0.665450599999999</v>
      </c>
      <c r="F5850" t="s">
        <v>43</v>
      </c>
      <c r="G5850">
        <v>-308.56420000000003</v>
      </c>
      <c r="H5850">
        <v>1.1303259999999999</v>
      </c>
      <c r="I5850">
        <v>11.59984</v>
      </c>
      <c r="J5850">
        <v>-308.65230000000003</v>
      </c>
      <c r="K5850">
        <v>1.0508</v>
      </c>
      <c r="L5850">
        <v>12.05533</v>
      </c>
      <c r="M5850">
        <v>0.86180199999999996</v>
      </c>
      <c r="N5850">
        <v>0</v>
      </c>
      <c r="O5850">
        <v>-0.50700310000000004</v>
      </c>
      <c r="P5850">
        <v>0.75460190000000005</v>
      </c>
      <c r="Q5850">
        <v>-2.5283429999999999E-2</v>
      </c>
      <c r="R5850">
        <v>-0.65569560000000005</v>
      </c>
      <c r="S5850">
        <v>1.430145</v>
      </c>
      <c r="T5850">
        <v>0.4074141</v>
      </c>
      <c r="U5850">
        <v>-2.9679869999999999</v>
      </c>
      <c r="V5850">
        <v>0.1822405</v>
      </c>
      <c r="W5850">
        <v>-1.409026E-2</v>
      </c>
      <c r="X5850">
        <v>0.98315300000000005</v>
      </c>
      <c r="Y5850">
        <v>0.55575600000000003</v>
      </c>
      <c r="Z5850">
        <v>-3.022147E-2</v>
      </c>
      <c r="AA5850">
        <v>0.83079590000000003</v>
      </c>
      <c r="AB5850">
        <v>26</v>
      </c>
      <c r="AC5850">
        <v>8.8099999999997097E-2</v>
      </c>
      <c r="AD5850">
        <v>7.9525999999999902E-2</v>
      </c>
      <c r="AE5850">
        <v>-0.45549000000000101</v>
      </c>
      <c r="AF5850">
        <v>0.337986499290715</v>
      </c>
      <c r="AG5850">
        <v>7.9525999999999902E-2</v>
      </c>
      <c r="AH5850">
        <v>0.298136790009221</v>
      </c>
      <c r="AI5850">
        <v>79.992922991831406</v>
      </c>
      <c r="AJ5850">
        <v>41.415411148049799</v>
      </c>
      <c r="AK5850">
        <v>0.45765140001511601</v>
      </c>
      <c r="AL5850">
        <v>90.807339163471497</v>
      </c>
      <c r="AM5850">
        <v>79.498655570711605</v>
      </c>
      <c r="AN5850">
        <v>0.99999997833805798</v>
      </c>
    </row>
    <row r="5851" spans="1:40" x14ac:dyDescent="0.25">
      <c r="A5851" t="str">
        <f>"20190312161430695"</f>
        <v>20190312161430695</v>
      </c>
      <c r="B5851" t="str">
        <f>"1552378470692608"</f>
        <v>1552378470692608</v>
      </c>
      <c r="C5851" t="s">
        <v>40</v>
      </c>
      <c r="D5851">
        <v>5.3821130000000004</v>
      </c>
      <c r="E5851">
        <v>0.66285620000000001</v>
      </c>
      <c r="F5851" t="s">
        <v>43</v>
      </c>
      <c r="G5851">
        <v>-308.37150000000003</v>
      </c>
      <c r="H5851">
        <v>1.1304639999999999</v>
      </c>
      <c r="I5851">
        <v>11.45806</v>
      </c>
      <c r="J5851">
        <v>-308.52769999999998</v>
      </c>
      <c r="K5851">
        <v>1.0507329999999999</v>
      </c>
      <c r="L5851">
        <v>11.973269999999999</v>
      </c>
      <c r="M5851">
        <v>0.85803600000000002</v>
      </c>
      <c r="N5851">
        <v>0</v>
      </c>
      <c r="O5851">
        <v>-0.513351</v>
      </c>
      <c r="P5851">
        <v>0.74960360000000004</v>
      </c>
      <c r="Q5851">
        <v>-2.5506009999999999E-2</v>
      </c>
      <c r="R5851">
        <v>-0.66139569999999903</v>
      </c>
      <c r="S5851">
        <v>1.4006959999999999</v>
      </c>
      <c r="T5851">
        <v>0.39731499999999997</v>
      </c>
      <c r="U5851">
        <v>-2.9786069999999998</v>
      </c>
      <c r="V5851">
        <v>0.1824306</v>
      </c>
      <c r="W5851">
        <v>-1.4343710000000001E-2</v>
      </c>
      <c r="X5851">
        <v>0.98311409999999999</v>
      </c>
      <c r="Y5851">
        <v>0.55752800000000002</v>
      </c>
      <c r="Z5851">
        <v>-3.0285389999999999E-2</v>
      </c>
      <c r="AA5851">
        <v>0.82960560000000005</v>
      </c>
      <c r="AB5851">
        <v>26</v>
      </c>
      <c r="AC5851">
        <v>0.15619999999995501</v>
      </c>
      <c r="AD5851">
        <v>7.9730999999999996E-2</v>
      </c>
      <c r="AE5851">
        <v>-0.51520999999999795</v>
      </c>
      <c r="AF5851">
        <v>0.35415987572749802</v>
      </c>
      <c r="AG5851">
        <v>7.9730999999999996E-2</v>
      </c>
      <c r="AH5851">
        <v>0.39000369370107402</v>
      </c>
      <c r="AI5851">
        <v>81.393832978330906</v>
      </c>
      <c r="AJ5851">
        <v>47.757610792916203</v>
      </c>
      <c r="AK5851">
        <v>0.53281247267382703</v>
      </c>
      <c r="AL5851">
        <v>90.821862229359894</v>
      </c>
      <c r="AM5851">
        <v>79.487538713183199</v>
      </c>
      <c r="AN5851">
        <v>0.99999999972586695</v>
      </c>
    </row>
    <row r="5852" spans="1:40" x14ac:dyDescent="0.25">
      <c r="A5852" t="str">
        <f>"20190312161430709"</f>
        <v>20190312161430709</v>
      </c>
      <c r="B5852" t="str">
        <f>"1552378470702368"</f>
        <v>1552378470702368</v>
      </c>
      <c r="C5852" t="s">
        <v>40</v>
      </c>
      <c r="D5852">
        <v>5.979006</v>
      </c>
      <c r="E5852">
        <v>0.66210159999999996</v>
      </c>
      <c r="F5852" t="s">
        <v>43</v>
      </c>
      <c r="G5852">
        <v>-308.21719999999999</v>
      </c>
      <c r="H5852">
        <v>1.1364399999999999</v>
      </c>
      <c r="I5852">
        <v>11.30973</v>
      </c>
      <c r="J5852">
        <v>-308.39789999999999</v>
      </c>
      <c r="K5852">
        <v>1.050664</v>
      </c>
      <c r="L5852">
        <v>11.886659999999999</v>
      </c>
      <c r="M5852">
        <v>0.85402449999999996</v>
      </c>
      <c r="N5852">
        <v>0</v>
      </c>
      <c r="O5852">
        <v>-0.5199975</v>
      </c>
      <c r="P5852">
        <v>0.74443979999999998</v>
      </c>
      <c r="Q5852">
        <v>-2.531574E-2</v>
      </c>
      <c r="R5852">
        <v>-0.66720979999999996</v>
      </c>
      <c r="S5852">
        <v>1.3918759999999999</v>
      </c>
      <c r="T5852">
        <v>0.38408589999999998</v>
      </c>
      <c r="U5852">
        <v>-2.9731749999999999</v>
      </c>
      <c r="V5852">
        <v>0.18244840000000001</v>
      </c>
      <c r="W5852">
        <v>-1.4179829999999999E-2</v>
      </c>
      <c r="X5852">
        <v>0.98311320000000002</v>
      </c>
      <c r="Y5852">
        <v>0.55259619999999998</v>
      </c>
      <c r="Z5852">
        <v>-3.0599680000000001E-2</v>
      </c>
      <c r="AA5852">
        <v>0.83288719999999905</v>
      </c>
      <c r="AB5852">
        <v>26</v>
      </c>
      <c r="AC5852">
        <v>0.180700000000001</v>
      </c>
      <c r="AD5852">
        <v>8.5775999999999797E-2</v>
      </c>
      <c r="AE5852">
        <v>-0.57693000000000005</v>
      </c>
      <c r="AF5852">
        <v>0.39092823539451199</v>
      </c>
      <c r="AG5852">
        <v>8.5775999999999797E-2</v>
      </c>
      <c r="AH5852">
        <v>0.445413822300044</v>
      </c>
      <c r="AI5852">
        <v>81.764416347816393</v>
      </c>
      <c r="AJ5852">
        <v>48.7274089665773</v>
      </c>
      <c r="AK5852">
        <v>0.59881205774483404</v>
      </c>
      <c r="AL5852">
        <v>90.812471621298201</v>
      </c>
      <c r="AM5852">
        <v>79.486526456518305</v>
      </c>
      <c r="AN5852">
        <v>1.0000000251278101</v>
      </c>
    </row>
    <row r="5853" spans="1:40" x14ac:dyDescent="0.25">
      <c r="A5853" t="str">
        <f>"20190312161430719"</f>
        <v>20190312161430719</v>
      </c>
      <c r="B5853" t="str">
        <f>"1552378470712128"</f>
        <v>1552378470712128</v>
      </c>
      <c r="C5853" t="s">
        <v>40</v>
      </c>
      <c r="D5853">
        <v>5.5540289999999999</v>
      </c>
      <c r="E5853">
        <v>0.66157390000000005</v>
      </c>
      <c r="F5853" t="s">
        <v>43</v>
      </c>
      <c r="G5853">
        <v>-308.05029999999999</v>
      </c>
      <c r="H5853">
        <v>1.146881</v>
      </c>
      <c r="I5853">
        <v>11.131880000000001</v>
      </c>
      <c r="J5853">
        <v>-308.274</v>
      </c>
      <c r="K5853">
        <v>1.050602</v>
      </c>
      <c r="L5853">
        <v>11.801880000000001</v>
      </c>
      <c r="M5853">
        <v>0.85007579999999905</v>
      </c>
      <c r="N5853">
        <v>0</v>
      </c>
      <c r="O5853">
        <v>-0.52642789999999995</v>
      </c>
      <c r="P5853">
        <v>0.73924299999999998</v>
      </c>
      <c r="Q5853">
        <v>-2.5350049999999999E-2</v>
      </c>
      <c r="R5853">
        <v>-0.67296180000000005</v>
      </c>
      <c r="S5853">
        <v>1.372498</v>
      </c>
      <c r="T5853">
        <v>0.37985980000000003</v>
      </c>
      <c r="U5853">
        <v>-2.9794010000000002</v>
      </c>
      <c r="V5853">
        <v>0.1826496</v>
      </c>
      <c r="W5853">
        <v>-1.424125E-2</v>
      </c>
      <c r="X5853">
        <v>0.98307489999999997</v>
      </c>
      <c r="Y5853">
        <v>0.55147650000000004</v>
      </c>
      <c r="Z5853">
        <v>-3.1238430000000001E-2</v>
      </c>
      <c r="AA5853">
        <v>0.83360529999999999</v>
      </c>
      <c r="AB5853">
        <v>26</v>
      </c>
      <c r="AC5853">
        <v>0.223700000000008</v>
      </c>
      <c r="AD5853">
        <v>9.6278999999999906E-2</v>
      </c>
      <c r="AE5853">
        <v>-0.66999999999999904</v>
      </c>
      <c r="AF5853">
        <v>0.44360265085469602</v>
      </c>
      <c r="AG5853">
        <v>9.6278999999999906E-2</v>
      </c>
      <c r="AH5853">
        <v>0.53303211022911701</v>
      </c>
      <c r="AI5853">
        <v>82.0958258163881</v>
      </c>
      <c r="AJ5853">
        <v>50.2319262316609</v>
      </c>
      <c r="AK5853">
        <v>0.70012583741897305</v>
      </c>
      <c r="AL5853">
        <v>90.815991124846306</v>
      </c>
      <c r="AM5853">
        <v>79.474790475205197</v>
      </c>
      <c r="AN5853">
        <v>0.99999997429586596</v>
      </c>
    </row>
    <row r="5854" spans="1:40" x14ac:dyDescent="0.25">
      <c r="A5854" t="str">
        <f>"20190312161430732"</f>
        <v>20190312161430732</v>
      </c>
      <c r="B5854" t="str">
        <f>"1552378470721888"</f>
        <v>1552378470721888</v>
      </c>
      <c r="C5854" t="s">
        <v>40</v>
      </c>
      <c r="D5854">
        <v>5.8059269999999996</v>
      </c>
      <c r="E5854">
        <v>0.661111</v>
      </c>
      <c r="F5854" t="s">
        <v>43</v>
      </c>
      <c r="G5854">
        <v>-307.9864</v>
      </c>
      <c r="H5854">
        <v>1.130611</v>
      </c>
      <c r="I5854">
        <v>11.1663</v>
      </c>
      <c r="J5854">
        <v>-308.1644</v>
      </c>
      <c r="K5854">
        <v>1.050548</v>
      </c>
      <c r="L5854">
        <v>11.72617</v>
      </c>
      <c r="M5854">
        <v>0.84651949999999998</v>
      </c>
      <c r="N5854">
        <v>0</v>
      </c>
      <c r="O5854">
        <v>-0.53212769999999898</v>
      </c>
      <c r="P5854">
        <v>0.73443159999999996</v>
      </c>
      <c r="Q5854">
        <v>-2.5274020000000001E-2</v>
      </c>
      <c r="R5854">
        <v>-0.67821239999999905</v>
      </c>
      <c r="S5854">
        <v>1.352295</v>
      </c>
      <c r="T5854">
        <v>0.37600719999999999</v>
      </c>
      <c r="U5854">
        <v>-2.9866030000000001</v>
      </c>
      <c r="V5854">
        <v>0.18304799999999999</v>
      </c>
      <c r="W5854">
        <v>-1.4194389999999999E-2</v>
      </c>
      <c r="X5854">
        <v>0.98300149999999997</v>
      </c>
      <c r="Y5854">
        <v>0.55133690000000002</v>
      </c>
      <c r="Z5854">
        <v>-3.1722569999999999E-2</v>
      </c>
      <c r="AA5854">
        <v>0.83367930000000001</v>
      </c>
      <c r="AB5854">
        <v>26</v>
      </c>
      <c r="AC5854">
        <v>0.17799999999999699</v>
      </c>
      <c r="AD5854">
        <v>8.0062999999999995E-2</v>
      </c>
      <c r="AE5854">
        <v>-0.55986999999999998</v>
      </c>
      <c r="AF5854">
        <v>0.37235304832832</v>
      </c>
      <c r="AG5854">
        <v>8.0062999999999995E-2</v>
      </c>
      <c r="AH5854">
        <v>0.44047697644925399</v>
      </c>
      <c r="AI5854">
        <v>82.097156792538001</v>
      </c>
      <c r="AJ5854">
        <v>49.790808315934697</v>
      </c>
      <c r="AK5854">
        <v>0.58230305112567404</v>
      </c>
      <c r="AL5854">
        <v>90.813305952226102</v>
      </c>
      <c r="AM5854">
        <v>79.451577351334905</v>
      </c>
      <c r="AN5854">
        <v>1.0000000000068601</v>
      </c>
    </row>
    <row r="5855" spans="1:40" x14ac:dyDescent="0.25">
      <c r="A5855" t="str">
        <f>"20190312161430743"</f>
        <v>20190312161430743</v>
      </c>
      <c r="B5855" t="str">
        <f>"1552378470732625"</f>
        <v>1552378470732625</v>
      </c>
      <c r="C5855" t="s">
        <v>40</v>
      </c>
      <c r="D5855">
        <v>5.9795889999999998</v>
      </c>
      <c r="E5855">
        <v>0.66096669999999902</v>
      </c>
      <c r="F5855" t="s">
        <v>43</v>
      </c>
      <c r="G5855">
        <v>-307.84719999999999</v>
      </c>
      <c r="H5855">
        <v>1.138722</v>
      </c>
      <c r="I5855">
        <v>11.014049999999999</v>
      </c>
      <c r="J5855">
        <v>-308.04759999999999</v>
      </c>
      <c r="K5855">
        <v>1.0504929999999999</v>
      </c>
      <c r="L5855">
        <v>11.64404</v>
      </c>
      <c r="M5855">
        <v>0.8426401</v>
      </c>
      <c r="N5855">
        <v>0</v>
      </c>
      <c r="O5855">
        <v>-0.53824949999999905</v>
      </c>
      <c r="P5855">
        <v>0.72924750000000005</v>
      </c>
      <c r="Q5855">
        <v>-2.5299370000000002E-2</v>
      </c>
      <c r="R5855">
        <v>-0.68378219999999901</v>
      </c>
      <c r="S5855">
        <v>1.333313</v>
      </c>
      <c r="T5855">
        <v>0.37062810000000002</v>
      </c>
      <c r="U5855">
        <v>-2.9933779999999999</v>
      </c>
      <c r="V5855">
        <v>0.18340239999999999</v>
      </c>
      <c r="W5855">
        <v>-1.4247020000000001E-2</v>
      </c>
      <c r="X5855">
        <v>0.98293470000000005</v>
      </c>
      <c r="Y5855">
        <v>0.55044079999999995</v>
      </c>
      <c r="Z5855">
        <v>-3.2163120000000003E-2</v>
      </c>
      <c r="AA5855">
        <v>0.83425450000000001</v>
      </c>
      <c r="AB5855">
        <v>26</v>
      </c>
      <c r="AC5855">
        <v>0.20040000000000099</v>
      </c>
      <c r="AD5855">
        <v>8.8228999999999794E-2</v>
      </c>
      <c r="AE5855">
        <v>-0.62998999999999905</v>
      </c>
      <c r="AF5855">
        <v>0.41563845776397401</v>
      </c>
      <c r="AG5855">
        <v>8.8228999999999794E-2</v>
      </c>
      <c r="AH5855">
        <v>0.49912904535146402</v>
      </c>
      <c r="AI5855">
        <v>82.264526735600299</v>
      </c>
      <c r="AJ5855">
        <v>50.214922252263698</v>
      </c>
      <c r="AK5855">
        <v>0.655491790892059</v>
      </c>
      <c r="AL5855">
        <v>90.816321716767206</v>
      </c>
      <c r="AM5855">
        <v>79.430912122867696</v>
      </c>
      <c r="AN5855">
        <v>1.00000002118436</v>
      </c>
    </row>
    <row r="5856" spans="1:40" x14ac:dyDescent="0.25">
      <c r="A5856" t="str">
        <f>"20190312161430756"</f>
        <v>20190312161430756</v>
      </c>
      <c r="B5856" t="str">
        <f>"1552378470752144"</f>
        <v>1552378470752144</v>
      </c>
      <c r="C5856" t="s">
        <v>40</v>
      </c>
      <c r="D5856">
        <v>5.6487439999999998</v>
      </c>
      <c r="E5856">
        <v>0.66055830000000004</v>
      </c>
      <c r="F5856" t="s">
        <v>43</v>
      </c>
      <c r="G5856">
        <v>-307.76280000000003</v>
      </c>
      <c r="H5856">
        <v>1.1300829999999999</v>
      </c>
      <c r="I5856">
        <v>10.992100000000001</v>
      </c>
      <c r="J5856">
        <v>-307.92910000000001</v>
      </c>
      <c r="K5856">
        <v>1.0504420000000001</v>
      </c>
      <c r="L5856">
        <v>11.559200000000001</v>
      </c>
      <c r="M5856">
        <v>0.83860879999999904</v>
      </c>
      <c r="N5856">
        <v>0</v>
      </c>
      <c r="O5856">
        <v>-0.54450909999999997</v>
      </c>
      <c r="P5856">
        <v>0.7237768</v>
      </c>
      <c r="Q5856">
        <v>-2.5189070000000001E-2</v>
      </c>
      <c r="R5856">
        <v>-0.68957429999999997</v>
      </c>
      <c r="S5856">
        <v>1.311401</v>
      </c>
      <c r="T5856">
        <v>0.36650199999999999</v>
      </c>
      <c r="U5856">
        <v>-3.002319</v>
      </c>
      <c r="V5856">
        <v>0.18391850000000001</v>
      </c>
      <c r="W5856">
        <v>-1.4166979999999999E-2</v>
      </c>
      <c r="X5856">
        <v>0.98283940000000003</v>
      </c>
      <c r="Y5856">
        <v>0.55028129999999997</v>
      </c>
      <c r="Z5856">
        <v>-3.265531E-2</v>
      </c>
      <c r="AA5856">
        <v>0.83434059999999899</v>
      </c>
      <c r="AB5856">
        <v>26</v>
      </c>
      <c r="AC5856">
        <v>0.16629999999997799</v>
      </c>
      <c r="AD5856">
        <v>7.9640999999999795E-2</v>
      </c>
      <c r="AE5856">
        <v>-0.56709999999999905</v>
      </c>
      <c r="AF5856">
        <v>0.37820205978216997</v>
      </c>
      <c r="AG5856">
        <v>7.9640999999999795E-2</v>
      </c>
      <c r="AH5856">
        <v>0.44031046009865998</v>
      </c>
      <c r="AI5856">
        <v>82.187339520563697</v>
      </c>
      <c r="AJ5856">
        <v>49.339265337606001</v>
      </c>
      <c r="AK5856">
        <v>0.58587779286875996</v>
      </c>
      <c r="AL5856">
        <v>90.811735315299003</v>
      </c>
      <c r="AM5856">
        <v>79.400838897426397</v>
      </c>
      <c r="AN5856">
        <v>1.0000000020784601</v>
      </c>
    </row>
    <row r="5857" spans="1:40" x14ac:dyDescent="0.25">
      <c r="A5857" t="str">
        <f>"20190312161430769"</f>
        <v>20190312161430769</v>
      </c>
      <c r="B5857" t="str">
        <f>"1552378470761904"</f>
        <v>1552378470761904</v>
      </c>
      <c r="C5857" t="s">
        <v>40</v>
      </c>
      <c r="D5857">
        <v>5.5883269999999996</v>
      </c>
      <c r="E5857">
        <v>0.65133209999999997</v>
      </c>
      <c r="F5857" t="s">
        <v>43</v>
      </c>
      <c r="G5857">
        <v>-307.6422</v>
      </c>
      <c r="H5857">
        <v>1.1313439999999999</v>
      </c>
      <c r="I5857">
        <v>10.88889</v>
      </c>
      <c r="J5857">
        <v>-307.80279999999999</v>
      </c>
      <c r="K5857">
        <v>1.050386</v>
      </c>
      <c r="L5857">
        <v>11.46777</v>
      </c>
      <c r="M5857">
        <v>0.8342273</v>
      </c>
      <c r="N5857">
        <v>0</v>
      </c>
      <c r="O5857">
        <v>-0.55119859999999998</v>
      </c>
      <c r="P5857">
        <v>0.71790589999999999</v>
      </c>
      <c r="Q5857">
        <v>-2.5101479999999999E-2</v>
      </c>
      <c r="R5857">
        <v>-0.69568790000000003</v>
      </c>
      <c r="S5857">
        <v>1.2897639999999999</v>
      </c>
      <c r="T5857">
        <v>0.36336659999999998</v>
      </c>
      <c r="U5857">
        <v>-3.01004</v>
      </c>
      <c r="V5857">
        <v>0.1843919</v>
      </c>
      <c r="W5857">
        <v>-1.410898E-2</v>
      </c>
      <c r="X5857">
        <v>0.9827515</v>
      </c>
      <c r="Y5857">
        <v>0.54947760000000001</v>
      </c>
      <c r="Z5857">
        <v>-3.3324810000000003E-2</v>
      </c>
      <c r="AA5857">
        <v>0.83484360000000002</v>
      </c>
      <c r="AB5857">
        <v>26</v>
      </c>
      <c r="AC5857">
        <v>0.160599999999988</v>
      </c>
      <c r="AD5857">
        <v>8.0958000000000002E-2</v>
      </c>
      <c r="AE5857">
        <v>-0.57887999999999895</v>
      </c>
      <c r="AF5857">
        <v>0.38740760639584398</v>
      </c>
      <c r="AG5857">
        <v>8.0958000000000002E-2</v>
      </c>
      <c r="AH5857">
        <v>0.44502809200424898</v>
      </c>
      <c r="AI5857">
        <v>82.187224891017493</v>
      </c>
      <c r="AJ5857">
        <v>48.959648870890497</v>
      </c>
      <c r="AK5857">
        <v>0.59555759917097895</v>
      </c>
      <c r="AL5857">
        <v>90.8084118510872</v>
      </c>
      <c r="AM5857">
        <v>79.373248751352094</v>
      </c>
      <c r="AN5857">
        <v>0.999999973427249</v>
      </c>
    </row>
    <row r="5858" spans="1:40" x14ac:dyDescent="0.25">
      <c r="A5858" t="str">
        <f>"20190312161430783"</f>
        <v>20190312161430783</v>
      </c>
      <c r="B5858" t="str">
        <f>"1552378470772640"</f>
        <v>1552378470772640</v>
      </c>
      <c r="C5858" t="s">
        <v>40</v>
      </c>
      <c r="D5858">
        <v>5.3867940000000001</v>
      </c>
      <c r="E5858">
        <v>0.64898540000000005</v>
      </c>
      <c r="F5858" t="s">
        <v>79</v>
      </c>
      <c r="G5858">
        <v>-262.03730000000002</v>
      </c>
      <c r="H5858">
        <v>4.0387820000000003</v>
      </c>
      <c r="I5858">
        <v>-91.564989999999995</v>
      </c>
      <c r="J5858">
        <v>-307.66379999999998</v>
      </c>
      <c r="K5858">
        <v>1.0503309999999999</v>
      </c>
      <c r="L5858">
        <v>11.36459</v>
      </c>
      <c r="M5858">
        <v>0.82925530000000003</v>
      </c>
      <c r="N5858">
        <v>0</v>
      </c>
      <c r="O5858">
        <v>-0.55865050000000005</v>
      </c>
      <c r="P5858">
        <v>0.7112735</v>
      </c>
      <c r="Q5858">
        <v>-2.4635420000000002E-2</v>
      </c>
      <c r="R5858">
        <v>-0.70248350000000004</v>
      </c>
      <c r="S5858">
        <v>1.314362</v>
      </c>
      <c r="T5858">
        <v>8.5825559999999995E-2</v>
      </c>
      <c r="U5858">
        <v>-2.9590450000000001</v>
      </c>
      <c r="V5858">
        <v>0.18493329999999999</v>
      </c>
      <c r="W5858">
        <v>-1.3673619999999999E-2</v>
      </c>
      <c r="X5858">
        <v>0.98265590000000003</v>
      </c>
      <c r="Y5858">
        <v>0.53113250000000001</v>
      </c>
      <c r="Z5858">
        <v>-8.4873269999999994E-3</v>
      </c>
      <c r="AA5858">
        <v>0.84724630000000001</v>
      </c>
      <c r="AB5858">
        <v>26</v>
      </c>
      <c r="AC5858">
        <v>45.626499999999901</v>
      </c>
      <c r="AD5858">
        <v>2.988451</v>
      </c>
      <c r="AE5858">
        <v>-102.92958</v>
      </c>
      <c r="AF5858">
        <v>59.830822847817501</v>
      </c>
      <c r="AG5858">
        <v>2.988451</v>
      </c>
      <c r="AH5858">
        <v>95.282242617841504</v>
      </c>
      <c r="AI5858">
        <v>88.478483410081594</v>
      </c>
      <c r="AJ5858">
        <v>57.873950120478497</v>
      </c>
      <c r="AK5858">
        <v>112.54938453990501</v>
      </c>
      <c r="AL5858">
        <v>90.783465166574501</v>
      </c>
      <c r="AM5858">
        <v>79.341747777366706</v>
      </c>
      <c r="AN5858">
        <v>0.99999995556880095</v>
      </c>
    </row>
    <row r="5859" spans="1:40" x14ac:dyDescent="0.25">
      <c r="A5859" t="str">
        <f>"20190312161430795"</f>
        <v>20190312161430795</v>
      </c>
      <c r="B5859" t="str">
        <f>"1552378470792160"</f>
        <v>1552378470792160</v>
      </c>
      <c r="C5859" t="s">
        <v>40</v>
      </c>
      <c r="D5859">
        <v>5.7640019999999996</v>
      </c>
      <c r="E5859">
        <v>0.64821079999999998</v>
      </c>
      <c r="F5859" t="s">
        <v>79</v>
      </c>
      <c r="G5859">
        <v>-262.48169999999999</v>
      </c>
      <c r="H5859">
        <v>6.5014949999999896</v>
      </c>
      <c r="I5859">
        <v>-91.564989999999995</v>
      </c>
      <c r="J5859">
        <v>-307.55099999999999</v>
      </c>
      <c r="K5859">
        <v>1.0502910000000001</v>
      </c>
      <c r="L5859">
        <v>11.27942</v>
      </c>
      <c r="M5859">
        <v>0.82512379999999996</v>
      </c>
      <c r="N5859">
        <v>0</v>
      </c>
      <c r="O5859">
        <v>-0.56473490000000004</v>
      </c>
      <c r="P5859">
        <v>0.70578960000000002</v>
      </c>
      <c r="Q5859">
        <v>-2.4299339999999999E-2</v>
      </c>
      <c r="R5859">
        <v>-0.70800509999999905</v>
      </c>
      <c r="S5859">
        <v>1.299469</v>
      </c>
      <c r="T5859">
        <v>0.156779799999999</v>
      </c>
      <c r="U5859">
        <v>-2.9603269999999999</v>
      </c>
      <c r="V5859">
        <v>0.1853629</v>
      </c>
      <c r="W5859">
        <v>-1.3361140000000001E-2</v>
      </c>
      <c r="X5859">
        <v>0.98257930000000004</v>
      </c>
      <c r="Y5859">
        <v>0.52858289999999997</v>
      </c>
      <c r="Z5859">
        <v>-1.593638E-2</v>
      </c>
      <c r="AA5859">
        <v>0.84873209999999999</v>
      </c>
      <c r="AB5859">
        <v>26</v>
      </c>
      <c r="AC5859">
        <v>45.069299999999998</v>
      </c>
      <c r="AD5859">
        <v>5.4512039999999899</v>
      </c>
      <c r="AE5859">
        <v>-102.84441</v>
      </c>
      <c r="AF5859">
        <v>59.274747161866401</v>
      </c>
      <c r="AG5859">
        <v>5.4512039999999899</v>
      </c>
      <c r="AH5859">
        <v>95.055231401116103</v>
      </c>
      <c r="AI5859">
        <v>87.214082912189994</v>
      </c>
      <c r="AJ5859">
        <v>58.0530708176736</v>
      </c>
      <c r="AK5859">
        <v>112.154840701917</v>
      </c>
      <c r="AL5859">
        <v>90.765559708473404</v>
      </c>
      <c r="AM5859">
        <v>79.316744205952006</v>
      </c>
      <c r="AN5859">
        <v>1.0000000027734901</v>
      </c>
    </row>
    <row r="5860" spans="1:40" x14ac:dyDescent="0.25">
      <c r="A5860" t="str">
        <f>"20190312161430807"</f>
        <v>20190312161430807</v>
      </c>
      <c r="B5860" t="str">
        <f>"1552378470801920"</f>
        <v>1552378470801920</v>
      </c>
      <c r="C5860" t="s">
        <v>40</v>
      </c>
      <c r="D5860">
        <v>6.0064310000000001</v>
      </c>
      <c r="E5860">
        <v>0.64734230000000004</v>
      </c>
      <c r="F5860" t="s">
        <v>79</v>
      </c>
      <c r="G5860">
        <v>-268.28750000000002</v>
      </c>
      <c r="H5860">
        <v>7.4082749999999997</v>
      </c>
      <c r="I5860">
        <v>-79.671169999999904</v>
      </c>
      <c r="J5860">
        <v>-307.43130000000002</v>
      </c>
      <c r="K5860">
        <v>1.050246</v>
      </c>
      <c r="L5860">
        <v>11.18811</v>
      </c>
      <c r="M5860">
        <v>0.8206601</v>
      </c>
      <c r="N5860">
        <v>0</v>
      </c>
      <c r="O5860">
        <v>-0.57120170000000003</v>
      </c>
      <c r="P5860">
        <v>0.69993369999999999</v>
      </c>
      <c r="Q5860">
        <v>-2.433519E-2</v>
      </c>
      <c r="R5860">
        <v>-0.71379309999999996</v>
      </c>
      <c r="S5860">
        <v>1.2810060000000001</v>
      </c>
      <c r="T5860">
        <v>0.20743549999999999</v>
      </c>
      <c r="U5860">
        <v>-2.967346</v>
      </c>
      <c r="V5860">
        <v>0.18573129999999999</v>
      </c>
      <c r="W5860">
        <v>-1.3419250000000001E-2</v>
      </c>
      <c r="X5860">
        <v>0.98250899999999997</v>
      </c>
      <c r="Y5860">
        <v>0.52707950000000003</v>
      </c>
      <c r="Z5860">
        <v>-2.16259E-2</v>
      </c>
      <c r="AA5860">
        <v>0.84954079999999998</v>
      </c>
      <c r="AB5860">
        <v>26</v>
      </c>
      <c r="AC5860">
        <v>39.143799999999999</v>
      </c>
      <c r="AD5860">
        <v>6.3580290000000002</v>
      </c>
      <c r="AE5860">
        <v>-90.859279999999899</v>
      </c>
      <c r="AF5860">
        <v>51.997236358045001</v>
      </c>
      <c r="AG5860">
        <v>6.3580290000000002</v>
      </c>
      <c r="AH5860">
        <v>83.687408379497398</v>
      </c>
      <c r="AI5860">
        <v>86.307723133457301</v>
      </c>
      <c r="AJ5860">
        <v>58.146204583643801</v>
      </c>
      <c r="AK5860">
        <v>98.7305395656076</v>
      </c>
      <c r="AL5860">
        <v>90.768889417980802</v>
      </c>
      <c r="AM5860">
        <v>79.295253678551106</v>
      </c>
      <c r="AN5860">
        <v>1.0000000635756201</v>
      </c>
    </row>
    <row r="5861" spans="1:40" x14ac:dyDescent="0.25">
      <c r="A5861" t="str">
        <f>"20190312161430822"</f>
        <v>20190312161430822</v>
      </c>
      <c r="B5861" t="str">
        <f>"1552378470812656"</f>
        <v>1552378470812656</v>
      </c>
      <c r="C5861" t="s">
        <v>40</v>
      </c>
      <c r="D5861">
        <v>5.4192140000000002</v>
      </c>
      <c r="E5861">
        <v>0.64604169999999905</v>
      </c>
      <c r="F5861" t="s">
        <v>79</v>
      </c>
      <c r="G5861">
        <v>-268.88470000000001</v>
      </c>
      <c r="H5861">
        <v>7.7216869999999904</v>
      </c>
      <c r="I5861">
        <v>-79.671169999999904</v>
      </c>
      <c r="J5861">
        <v>-307.30169999999998</v>
      </c>
      <c r="K5861">
        <v>1.0502009999999999</v>
      </c>
      <c r="L5861">
        <v>11.086729999999999</v>
      </c>
      <c r="M5861">
        <v>0.81568499999999999</v>
      </c>
      <c r="N5861">
        <v>0</v>
      </c>
      <c r="O5861">
        <v>-0.57828369999999996</v>
      </c>
      <c r="P5861">
        <v>0.69360359999999999</v>
      </c>
      <c r="Q5861">
        <v>-2.438181E-2</v>
      </c>
      <c r="R5861">
        <v>-0.71994449999999999</v>
      </c>
      <c r="S5861">
        <v>1.261444</v>
      </c>
      <c r="T5861">
        <v>0.21832480000000001</v>
      </c>
      <c r="U5861">
        <v>-2.9733890000000001</v>
      </c>
      <c r="V5861">
        <v>0.18589919999999999</v>
      </c>
      <c r="W5861">
        <v>-1.3481750000000001E-2</v>
      </c>
      <c r="X5861">
        <v>0.98247640000000003</v>
      </c>
      <c r="Y5861">
        <v>0.52508429999999995</v>
      </c>
      <c r="Z5861">
        <v>-2.341611E-2</v>
      </c>
      <c r="AA5861">
        <v>0.85072800000000004</v>
      </c>
      <c r="AB5861">
        <v>26</v>
      </c>
      <c r="AC5861">
        <v>38.416999999999902</v>
      </c>
      <c r="AD5861">
        <v>6.6714859999999998</v>
      </c>
      <c r="AE5861">
        <v>-90.757900000000006</v>
      </c>
      <c r="AF5861">
        <v>51.583924713611097</v>
      </c>
      <c r="AG5861">
        <v>6.6714859999999998</v>
      </c>
      <c r="AH5861">
        <v>83.447898246250304</v>
      </c>
      <c r="AI5861">
        <v>86.1096466455609</v>
      </c>
      <c r="AJ5861">
        <v>58.277414803047698</v>
      </c>
      <c r="AK5861">
        <v>98.330878853106199</v>
      </c>
      <c r="AL5861">
        <v>90.772470720394793</v>
      </c>
      <c r="AM5861">
        <v>79.285453291354202</v>
      </c>
      <c r="AN5861">
        <v>1.00000007335032</v>
      </c>
    </row>
    <row r="5862" spans="1:40" x14ac:dyDescent="0.25">
      <c r="A5862" t="str">
        <f>"20190312161430840"</f>
        <v>20190312161430840</v>
      </c>
      <c r="B5862" t="str">
        <f>"1552378470832774"</f>
        <v>1552378470832774</v>
      </c>
      <c r="C5862" t="s">
        <v>40</v>
      </c>
      <c r="D5862">
        <v>5.8795219999999997</v>
      </c>
      <c r="E5862">
        <v>0.64510480000000003</v>
      </c>
      <c r="F5862" t="s">
        <v>79</v>
      </c>
      <c r="G5862">
        <v>-269.42439999999999</v>
      </c>
      <c r="H5862">
        <v>7.7918890000000003</v>
      </c>
      <c r="I5862">
        <v>-79.671169999999904</v>
      </c>
      <c r="J5862">
        <v>-307.12689999999998</v>
      </c>
      <c r="K5862">
        <v>1.0501370000000001</v>
      </c>
      <c r="L5862">
        <v>10.94736</v>
      </c>
      <c r="M5862">
        <v>0.80878329999999998</v>
      </c>
      <c r="N5862">
        <v>0</v>
      </c>
      <c r="O5862">
        <v>-0.58789749999999996</v>
      </c>
      <c r="P5862">
        <v>0.68464169999999902</v>
      </c>
      <c r="Q5862">
        <v>-2.4565699999999999E-2</v>
      </c>
      <c r="R5862">
        <v>-0.72846569999999899</v>
      </c>
      <c r="S5862">
        <v>1.2425839999999999</v>
      </c>
      <c r="T5862">
        <v>0.22116469999999999</v>
      </c>
      <c r="U5862">
        <v>-2.9773559999999999</v>
      </c>
      <c r="V5862">
        <v>0.18641669999999999</v>
      </c>
      <c r="W5862">
        <v>-1.369417E-2</v>
      </c>
      <c r="X5862">
        <v>0.98237529999999995</v>
      </c>
      <c r="Y5862">
        <v>0.5200089</v>
      </c>
      <c r="Z5862">
        <v>-2.471609E-2</v>
      </c>
      <c r="AA5862">
        <v>0.85380319999999899</v>
      </c>
      <c r="AB5862">
        <v>26</v>
      </c>
      <c r="AC5862">
        <v>37.702499999999901</v>
      </c>
      <c r="AD5862">
        <v>6.741752</v>
      </c>
      <c r="AE5862">
        <v>-90.618530000000007</v>
      </c>
      <c r="AF5862">
        <v>50.891723823985799</v>
      </c>
      <c r="AG5862">
        <v>6.741752</v>
      </c>
      <c r="AH5862">
        <v>83.384445853720393</v>
      </c>
      <c r="AI5862">
        <v>86.052097756254696</v>
      </c>
      <c r="AJ5862">
        <v>58.603183616814299</v>
      </c>
      <c r="AK5862">
        <v>97.920297099929101</v>
      </c>
      <c r="AL5862">
        <v>90.784642691319803</v>
      </c>
      <c r="AM5862">
        <v>79.255239891076599</v>
      </c>
      <c r="AN5862">
        <v>0.99999997319048395</v>
      </c>
    </row>
    <row r="5863" spans="1:40" x14ac:dyDescent="0.25">
      <c r="A5863" t="str">
        <f>"20190312161430862"</f>
        <v>20190312161430862</v>
      </c>
      <c r="B5863" t="str">
        <f>"1552378470852281"</f>
        <v>1552378470852281</v>
      </c>
      <c r="C5863" t="s">
        <v>40</v>
      </c>
      <c r="D5863">
        <v>5.8318130000000004</v>
      </c>
      <c r="E5863">
        <v>0.64279909999999996</v>
      </c>
      <c r="F5863" t="s">
        <v>79</v>
      </c>
      <c r="G5863">
        <v>-270.39670000000001</v>
      </c>
      <c r="H5863">
        <v>7.8958240000000002</v>
      </c>
      <c r="I5863">
        <v>-79.671169999999904</v>
      </c>
      <c r="J5863">
        <v>-306.92250000000001</v>
      </c>
      <c r="K5863">
        <v>1.0500719999999999</v>
      </c>
      <c r="L5863">
        <v>10.78</v>
      </c>
      <c r="M5863">
        <v>0.80041700000000005</v>
      </c>
      <c r="N5863">
        <v>0</v>
      </c>
      <c r="O5863">
        <v>-0.59923769999999998</v>
      </c>
      <c r="P5863">
        <v>0.67413369999999995</v>
      </c>
      <c r="Q5863">
        <v>-2.4685430000000001E-2</v>
      </c>
      <c r="R5863">
        <v>-0.73819690000000004</v>
      </c>
      <c r="S5863">
        <v>1.2109989999999999</v>
      </c>
      <c r="T5863">
        <v>0.2257034</v>
      </c>
      <c r="U5863">
        <v>-2.9877009999999999</v>
      </c>
      <c r="V5863">
        <v>0.1866391</v>
      </c>
      <c r="W5863">
        <v>-1.383438E-2</v>
      </c>
      <c r="X5863">
        <v>0.98233110000000001</v>
      </c>
      <c r="Y5863">
        <v>0.51676230000000001</v>
      </c>
      <c r="Z5863">
        <v>-2.6311419999999999E-2</v>
      </c>
      <c r="AA5863">
        <v>0.8557245</v>
      </c>
      <c r="AB5863">
        <v>26</v>
      </c>
      <c r="AC5863">
        <v>36.525799999999997</v>
      </c>
      <c r="AD5863">
        <v>6.8457520000000001</v>
      </c>
      <c r="AE5863">
        <v>-90.451170000000005</v>
      </c>
      <c r="AF5863">
        <v>50.269672660762502</v>
      </c>
      <c r="AG5863">
        <v>6.8457520000000001</v>
      </c>
      <c r="AH5863">
        <v>83.038951670559896</v>
      </c>
      <c r="AI5863">
        <v>85.965942489441105</v>
      </c>
      <c r="AJ5863">
        <v>58.810352140020697</v>
      </c>
      <c r="AK5863">
        <v>97.310697276359505</v>
      </c>
      <c r="AL5863">
        <v>90.792676898892495</v>
      </c>
      <c r="AM5863">
        <v>79.242247336080496</v>
      </c>
      <c r="AN5863">
        <v>0.99999996687300097</v>
      </c>
    </row>
    <row r="5864" spans="1:40" x14ac:dyDescent="0.25">
      <c r="A5864" t="str">
        <f>"20190312161430877"</f>
        <v>20190312161430877</v>
      </c>
      <c r="B5864" t="str">
        <f>"1552378470872777"</f>
        <v>1552378470872777</v>
      </c>
      <c r="C5864" t="s">
        <v>40</v>
      </c>
      <c r="D5864">
        <v>5.7808099999999998</v>
      </c>
      <c r="E5864">
        <v>0.64119320000000002</v>
      </c>
      <c r="F5864" t="s">
        <v>79</v>
      </c>
      <c r="G5864">
        <v>-271.1832</v>
      </c>
      <c r="H5864">
        <v>7.449738</v>
      </c>
      <c r="I5864">
        <v>-79.671169999999904</v>
      </c>
      <c r="J5864">
        <v>-306.78960000000001</v>
      </c>
      <c r="K5864">
        <v>1.05003</v>
      </c>
      <c r="L5864">
        <v>10.668329999999999</v>
      </c>
      <c r="M5864">
        <v>0.79479060000000001</v>
      </c>
      <c r="N5864">
        <v>0</v>
      </c>
      <c r="O5864">
        <v>-0.6066802</v>
      </c>
      <c r="P5864">
        <v>0.66712469999999902</v>
      </c>
      <c r="Q5864">
        <v>-2.4767620000000001E-2</v>
      </c>
      <c r="R5864">
        <v>-0.74453429999999998</v>
      </c>
      <c r="S5864">
        <v>1.182037</v>
      </c>
      <c r="T5864">
        <v>0.21166270000000001</v>
      </c>
      <c r="U5864">
        <v>-2.9915769999999999</v>
      </c>
      <c r="V5864">
        <v>0.1867548</v>
      </c>
      <c r="W5864">
        <v>-1.3927449999999999E-2</v>
      </c>
      <c r="X5864">
        <v>0.98230790000000001</v>
      </c>
      <c r="Y5864">
        <v>0.51631179999999999</v>
      </c>
      <c r="Z5864">
        <v>-2.534084E-2</v>
      </c>
      <c r="AA5864">
        <v>0.8560257</v>
      </c>
      <c r="AB5864">
        <v>26</v>
      </c>
      <c r="AC5864">
        <v>35.606400000000001</v>
      </c>
      <c r="AD5864">
        <v>6.3997080000000004</v>
      </c>
      <c r="AE5864">
        <v>-90.339500000000001</v>
      </c>
      <c r="AF5864">
        <v>49.988358309173996</v>
      </c>
      <c r="AG5864">
        <v>6.3997080000000004</v>
      </c>
      <c r="AH5864">
        <v>82.7576166409861</v>
      </c>
      <c r="AI5864">
        <v>86.212974053413106</v>
      </c>
      <c r="AJ5864">
        <v>58.866624849352398</v>
      </c>
      <c r="AK5864">
        <v>96.8948674648355</v>
      </c>
      <c r="AL5864">
        <v>90.798009848941206</v>
      </c>
      <c r="AM5864">
        <v>79.235485948834693</v>
      </c>
      <c r="AN5864">
        <v>1.00000006979447</v>
      </c>
    </row>
    <row r="5865" spans="1:40" x14ac:dyDescent="0.25">
      <c r="A5865" t="str">
        <f>"20190312161430891"</f>
        <v>20190312161430891</v>
      </c>
      <c r="B5865" t="str">
        <f>"1552378470882537"</f>
        <v>1552378470882537</v>
      </c>
      <c r="C5865" t="s">
        <v>40</v>
      </c>
      <c r="D5865">
        <v>5.0287100000000002</v>
      </c>
      <c r="E5865">
        <v>0.63987819999999995</v>
      </c>
      <c r="F5865" t="s">
        <v>79</v>
      </c>
      <c r="G5865">
        <v>-271.69799999999998</v>
      </c>
      <c r="H5865">
        <v>7.7382350000000004</v>
      </c>
      <c r="I5865">
        <v>-79.671169999999904</v>
      </c>
      <c r="J5865">
        <v>-306.65519999999998</v>
      </c>
      <c r="K5865">
        <v>1.049993</v>
      </c>
      <c r="L5865">
        <v>10.553470000000001</v>
      </c>
      <c r="M5865">
        <v>0.78896560000000004</v>
      </c>
      <c r="N5865">
        <v>0</v>
      </c>
      <c r="O5865">
        <v>-0.61423619999999901</v>
      </c>
      <c r="P5865">
        <v>0.65977719999999995</v>
      </c>
      <c r="Q5865">
        <v>-2.485977E-2</v>
      </c>
      <c r="R5865">
        <v>-0.7510502</v>
      </c>
      <c r="S5865">
        <v>1.1631769999999999</v>
      </c>
      <c r="T5865">
        <v>0.2216939</v>
      </c>
      <c r="U5865">
        <v>-2.9944760000000001</v>
      </c>
      <c r="V5865">
        <v>0.18702750000000001</v>
      </c>
      <c r="W5865">
        <v>-1.4034090000000001E-2</v>
      </c>
      <c r="X5865">
        <v>0.98225439999999997</v>
      </c>
      <c r="Y5865">
        <v>0.51310959999999906</v>
      </c>
      <c r="Z5865">
        <v>-2.7313589999999999E-2</v>
      </c>
      <c r="AA5865">
        <v>0.8578884</v>
      </c>
      <c r="AB5865">
        <v>26</v>
      </c>
      <c r="AC5865">
        <v>34.9572</v>
      </c>
      <c r="AD5865">
        <v>6.6882419999999998</v>
      </c>
      <c r="AE5865">
        <v>-90.224639999999994</v>
      </c>
      <c r="AF5865">
        <v>49.481887382178201</v>
      </c>
      <c r="AG5865">
        <v>6.6882419999999998</v>
      </c>
      <c r="AH5865">
        <v>82.614806604680197</v>
      </c>
      <c r="AI5865">
        <v>86.027059040127099</v>
      </c>
      <c r="AJ5865">
        <v>59.080627805181102</v>
      </c>
      <c r="AK5865">
        <v>96.531839463888005</v>
      </c>
      <c r="AL5865">
        <v>90.804120544803496</v>
      </c>
      <c r="AM5865">
        <v>79.219562244981802</v>
      </c>
      <c r="AN5865">
        <v>0.99999997387886796</v>
      </c>
    </row>
    <row r="5866" spans="1:40" x14ac:dyDescent="0.25">
      <c r="A5866" t="str">
        <f>"20190312161430905"</f>
        <v>20190312161430905</v>
      </c>
      <c r="B5866" t="str">
        <f>"1552378470902061"</f>
        <v>1552378470902061</v>
      </c>
      <c r="C5866" t="s">
        <v>40</v>
      </c>
      <c r="D5866">
        <v>5.4213639999999996</v>
      </c>
      <c r="E5866">
        <v>0.70395969999999997</v>
      </c>
      <c r="F5866" t="s">
        <v>79</v>
      </c>
      <c r="G5866">
        <v>-272.30470000000003</v>
      </c>
      <c r="H5866">
        <v>7.785139</v>
      </c>
      <c r="I5866">
        <v>-79.671169999999904</v>
      </c>
      <c r="J5866">
        <v>-306.52659999999997</v>
      </c>
      <c r="K5866">
        <v>1.049955</v>
      </c>
      <c r="L5866">
        <v>10.441280000000001</v>
      </c>
      <c r="M5866">
        <v>0.78324380000000005</v>
      </c>
      <c r="N5866">
        <v>0</v>
      </c>
      <c r="O5866">
        <v>-0.62151559999999995</v>
      </c>
      <c r="P5866">
        <v>0.65298210000000001</v>
      </c>
      <c r="Q5866">
        <v>-2.459277E-2</v>
      </c>
      <c r="R5866">
        <v>-0.75697369999999997</v>
      </c>
      <c r="S5866">
        <v>1.141724</v>
      </c>
      <c r="T5866">
        <v>0.2238598</v>
      </c>
      <c r="U5866">
        <v>-2.99884</v>
      </c>
      <c r="V5866">
        <v>0.1867962</v>
      </c>
      <c r="W5866">
        <v>-1.3766240000000001E-2</v>
      </c>
      <c r="X5866">
        <v>0.98230220000000001</v>
      </c>
      <c r="Y5866">
        <v>0.51094229999999996</v>
      </c>
      <c r="Z5866">
        <v>-2.8301340000000001E-2</v>
      </c>
      <c r="AA5866">
        <v>0.85914899999999905</v>
      </c>
      <c r="AB5866">
        <v>26</v>
      </c>
      <c r="AC5866">
        <v>34.221899999999899</v>
      </c>
      <c r="AD5866">
        <v>6.7351839999999896</v>
      </c>
      <c r="AE5866">
        <v>-90.112449999999995</v>
      </c>
      <c r="AF5866">
        <v>49.077071087333699</v>
      </c>
      <c r="AG5866">
        <v>6.7351839999999896</v>
      </c>
      <c r="AH5866">
        <v>82.418249711691502</v>
      </c>
      <c r="AI5866">
        <v>85.983620918009507</v>
      </c>
      <c r="AJ5866">
        <v>59.227739389615301</v>
      </c>
      <c r="AK5866">
        <v>96.159708275159602</v>
      </c>
      <c r="AL5866">
        <v>90.788772389339201</v>
      </c>
      <c r="AM5866">
        <v>79.233094420073598</v>
      </c>
      <c r="AN5866">
        <v>0.99999997091150805</v>
      </c>
    </row>
    <row r="5867" spans="1:40" x14ac:dyDescent="0.25">
      <c r="A5867" t="str">
        <f>"20190312161430919"</f>
        <v>20190312161430919</v>
      </c>
      <c r="B5867" t="str">
        <f>"1552378470912794"</f>
        <v>1552378470912794</v>
      </c>
      <c r="C5867" t="s">
        <v>40</v>
      </c>
      <c r="D5867">
        <v>5.7307899999999998</v>
      </c>
      <c r="E5867">
        <v>0.71192789999999995</v>
      </c>
      <c r="F5867" t="s">
        <v>43</v>
      </c>
      <c r="G5867">
        <v>-306.39490000000001</v>
      </c>
      <c r="H5867">
        <v>1.1650430000000001</v>
      </c>
      <c r="I5867">
        <v>9.8345870000000009</v>
      </c>
      <c r="J5867">
        <v>-306.4117</v>
      </c>
      <c r="K5867">
        <v>1.0499240000000001</v>
      </c>
      <c r="L5867">
        <v>10.33881</v>
      </c>
      <c r="M5867">
        <v>0.77799309999999999</v>
      </c>
      <c r="N5867">
        <v>0</v>
      </c>
      <c r="O5867">
        <v>-0.62807559999999996</v>
      </c>
      <c r="P5867">
        <v>0.64678139999999995</v>
      </c>
      <c r="Q5867">
        <v>-2.4343650000000001E-2</v>
      </c>
      <c r="R5867">
        <v>-0.7622871</v>
      </c>
      <c r="S5867">
        <v>0.72842410000000002</v>
      </c>
      <c r="T5867">
        <v>0.63647949999999998</v>
      </c>
      <c r="U5867">
        <v>-3.355499</v>
      </c>
      <c r="V5867">
        <v>0.18657170000000001</v>
      </c>
      <c r="W5867">
        <v>-1.351465E-2</v>
      </c>
      <c r="X5867">
        <v>0.98234840000000001</v>
      </c>
      <c r="Y5867">
        <v>0.62581129999999996</v>
      </c>
      <c r="Z5867">
        <v>-6.4967810000000001E-2</v>
      </c>
      <c r="AA5867">
        <v>0.77726399999999995</v>
      </c>
      <c r="AB5867">
        <v>26</v>
      </c>
      <c r="AC5867">
        <v>1.6799999999989199E-2</v>
      </c>
      <c r="AD5867">
        <v>0.115118999999999</v>
      </c>
      <c r="AE5867">
        <v>-0.50422300000000098</v>
      </c>
      <c r="AF5867">
        <v>0.362883217899514</v>
      </c>
      <c r="AG5867">
        <v>0.115118999999999</v>
      </c>
      <c r="AH5867">
        <v>0.31347922401830403</v>
      </c>
      <c r="AI5867">
        <v>76.500799495258306</v>
      </c>
      <c r="AJ5867">
        <v>40.822325366547297</v>
      </c>
      <c r="AK5867">
        <v>0.49315903913973202</v>
      </c>
      <c r="AL5867">
        <v>90.774355970668196</v>
      </c>
      <c r="AM5867">
        <v>79.246226583124496</v>
      </c>
      <c r="AN5867">
        <v>1.00000001199403</v>
      </c>
    </row>
    <row r="5868" spans="1:40" x14ac:dyDescent="0.25">
      <c r="A5868" t="str">
        <f>"20190312161430932"</f>
        <v>20190312161430932</v>
      </c>
      <c r="B5868" t="str">
        <f>"1552378470922553"</f>
        <v>1552378470922553</v>
      </c>
      <c r="C5868" t="s">
        <v>40</v>
      </c>
      <c r="D5868">
        <v>5.6176899999999996</v>
      </c>
      <c r="E5868">
        <v>0.71006230000000004</v>
      </c>
      <c r="F5868" t="s">
        <v>43</v>
      </c>
      <c r="G5868">
        <v>-306.27330000000001</v>
      </c>
      <c r="H5868">
        <v>1.1918249999999999</v>
      </c>
      <c r="I5868">
        <v>9.6159060000000007</v>
      </c>
      <c r="J5868">
        <v>-306.29199999999997</v>
      </c>
      <c r="K5868">
        <v>1.0498909999999999</v>
      </c>
      <c r="L5868">
        <v>10.230560000000001</v>
      </c>
      <c r="M5868">
        <v>0.77241289999999996</v>
      </c>
      <c r="N5868">
        <v>0</v>
      </c>
      <c r="O5868">
        <v>-0.63492539999999997</v>
      </c>
      <c r="P5868">
        <v>0.64019490000000001</v>
      </c>
      <c r="Q5868">
        <v>-2.4395679999999999E-2</v>
      </c>
      <c r="R5868">
        <v>-0.76782519999999999</v>
      </c>
      <c r="S5868">
        <v>0.65255739999999995</v>
      </c>
      <c r="T5868">
        <v>0.66819799999999996</v>
      </c>
      <c r="U5868">
        <v>-3.4031980000000002</v>
      </c>
      <c r="V5868">
        <v>0.1863456</v>
      </c>
      <c r="W5868">
        <v>-1.356421E-2</v>
      </c>
      <c r="X5868">
        <v>0.9823906</v>
      </c>
      <c r="Y5868">
        <v>0.63756359999999901</v>
      </c>
      <c r="Z5868">
        <v>-6.7937609999999996E-2</v>
      </c>
      <c r="AA5868">
        <v>0.76739630000000003</v>
      </c>
      <c r="AB5868">
        <v>26</v>
      </c>
      <c r="AC5868">
        <v>1.8700000000023899E-2</v>
      </c>
      <c r="AD5868">
        <v>0.141934</v>
      </c>
      <c r="AE5868">
        <v>-0.61465400000000103</v>
      </c>
      <c r="AF5868">
        <v>0.43953548509142198</v>
      </c>
      <c r="AG5868">
        <v>0.141934</v>
      </c>
      <c r="AH5868">
        <v>0.38428179785882099</v>
      </c>
      <c r="AI5868">
        <v>76.336110234212697</v>
      </c>
      <c r="AJ5868">
        <v>41.1629005938386</v>
      </c>
      <c r="AK5868">
        <v>0.60084041406696298</v>
      </c>
      <c r="AL5868">
        <v>90.777195834096105</v>
      </c>
      <c r="AM5868">
        <v>79.259406014442206</v>
      </c>
      <c r="AN5868">
        <v>0.99999998070032103</v>
      </c>
    </row>
    <row r="5869" spans="1:40" x14ac:dyDescent="0.25">
      <c r="A5869" t="str">
        <f>"20190312161430945"</f>
        <v>20190312161430945</v>
      </c>
      <c r="B5869" t="str">
        <f>"1552378470942692"</f>
        <v>1552378470942692</v>
      </c>
      <c r="C5869" t="s">
        <v>40</v>
      </c>
      <c r="D5869">
        <v>5.5464580000000003</v>
      </c>
      <c r="E5869">
        <v>0.70804290000000003</v>
      </c>
      <c r="F5869" t="s">
        <v>103</v>
      </c>
      <c r="G5869">
        <v>-287.27999999999997</v>
      </c>
      <c r="H5869">
        <v>21.036020000000001</v>
      </c>
      <c r="I5869">
        <v>-91.564989999999995</v>
      </c>
      <c r="J5869">
        <v>-306.17779999999999</v>
      </c>
      <c r="K5869">
        <v>1.049863</v>
      </c>
      <c r="L5869">
        <v>10.125489999999999</v>
      </c>
      <c r="M5869">
        <v>0.76696719999999996</v>
      </c>
      <c r="N5869">
        <v>0</v>
      </c>
      <c r="O5869">
        <v>-0.64149309999999904</v>
      </c>
      <c r="P5869">
        <v>0.63394499999999998</v>
      </c>
      <c r="Q5869">
        <v>-2.4499219999999999E-2</v>
      </c>
      <c r="R5869">
        <v>-0.77299039999999997</v>
      </c>
      <c r="S5869">
        <v>0.63482669999999997</v>
      </c>
      <c r="T5869">
        <v>0.66735599999999995</v>
      </c>
      <c r="U5869">
        <v>-3.3990480000000001</v>
      </c>
      <c r="V5869">
        <v>0.18592719999999999</v>
      </c>
      <c r="W5869">
        <v>-1.3659320000000001E-2</v>
      </c>
      <c r="X5869">
        <v>0.98246860000000003</v>
      </c>
      <c r="Y5869">
        <v>0.63476409999999905</v>
      </c>
      <c r="Z5869">
        <v>-6.9911089999999995E-2</v>
      </c>
      <c r="AA5869">
        <v>0.76953689999999997</v>
      </c>
      <c r="AB5869">
        <v>26</v>
      </c>
      <c r="AC5869">
        <v>18.8978</v>
      </c>
      <c r="AD5869">
        <v>19.986156999999999</v>
      </c>
      <c r="AE5869">
        <v>-101.69047999999999</v>
      </c>
      <c r="AF5869">
        <v>63.5073736646833</v>
      </c>
      <c r="AG5869">
        <v>19.986156999999999</v>
      </c>
      <c r="AH5869">
        <v>76.867527947871096</v>
      </c>
      <c r="AI5869">
        <v>78.665515948686306</v>
      </c>
      <c r="AJ5869">
        <v>50.4367385015492</v>
      </c>
      <c r="AK5869">
        <v>101.691935935112</v>
      </c>
      <c r="AL5869">
        <v>90.782645705745495</v>
      </c>
      <c r="AM5869">
        <v>79.283793737180105</v>
      </c>
      <c r="AN5869">
        <v>1.00000002535433</v>
      </c>
    </row>
    <row r="5870" spans="1:40" x14ac:dyDescent="0.25">
      <c r="A5870" t="str">
        <f>"20190312161430961"</f>
        <v>20190312161430961</v>
      </c>
      <c r="B5870" t="str">
        <f>"1552378470952452"</f>
        <v>1552378470952452</v>
      </c>
      <c r="C5870" t="s">
        <v>40</v>
      </c>
      <c r="D5870">
        <v>4.8961110000000003</v>
      </c>
      <c r="E5870">
        <v>0.70624149999999997</v>
      </c>
      <c r="F5870" t="s">
        <v>43</v>
      </c>
      <c r="G5870">
        <v>-306.06470000000002</v>
      </c>
      <c r="H5870">
        <v>1.1714880000000001</v>
      </c>
      <c r="I5870">
        <v>9.5058570000000007</v>
      </c>
      <c r="J5870">
        <v>-306.04059999999998</v>
      </c>
      <c r="K5870">
        <v>1.049833</v>
      </c>
      <c r="L5870">
        <v>9.9962160000000004</v>
      </c>
      <c r="M5870">
        <v>0.76023790000000002</v>
      </c>
      <c r="N5870">
        <v>0</v>
      </c>
      <c r="O5870">
        <v>-0.64945350000000002</v>
      </c>
      <c r="P5870">
        <v>0.62614269999999905</v>
      </c>
      <c r="Q5870">
        <v>-2.4206160000000001E-2</v>
      </c>
      <c r="R5870">
        <v>-0.77933280000000005</v>
      </c>
      <c r="S5870">
        <v>0.61978149999999999</v>
      </c>
      <c r="T5870">
        <v>0.66622040000000005</v>
      </c>
      <c r="U5870">
        <v>-3.3938600000000001</v>
      </c>
      <c r="V5870">
        <v>0.18557489999999999</v>
      </c>
      <c r="W5870">
        <v>-1.335892E-2</v>
      </c>
      <c r="X5870">
        <v>0.9825393</v>
      </c>
      <c r="Y5870">
        <v>0.62990360000000001</v>
      </c>
      <c r="Z5870">
        <v>-7.2427729999999996E-2</v>
      </c>
      <c r="AA5870">
        <v>0.77328889999999995</v>
      </c>
      <c r="AB5870">
        <v>26</v>
      </c>
      <c r="AC5870">
        <v>-2.4100000000032599E-2</v>
      </c>
      <c r="AD5870">
        <v>0.121654999999999</v>
      </c>
      <c r="AE5870">
        <v>-0.49035899999999899</v>
      </c>
      <c r="AF5870">
        <v>0.36601544638245698</v>
      </c>
      <c r="AG5870">
        <v>0.121654999999999</v>
      </c>
      <c r="AH5870">
        <v>0.28281544576126599</v>
      </c>
      <c r="AI5870">
        <v>75.264373903062406</v>
      </c>
      <c r="AJ5870">
        <v>37.692802384174897</v>
      </c>
      <c r="AK5870">
        <v>0.478280066882045</v>
      </c>
      <c r="AL5870">
        <v>90.765432510153801</v>
      </c>
      <c r="AM5870">
        <v>79.304382077624993</v>
      </c>
      <c r="AN5870">
        <v>0.99999999014903296</v>
      </c>
    </row>
    <row r="5871" spans="1:40" x14ac:dyDescent="0.25">
      <c r="A5871" t="str">
        <f>"20190312161430975"</f>
        <v>20190312161430975</v>
      </c>
      <c r="B5871" t="str">
        <f>"1552378470971972"</f>
        <v>1552378470971972</v>
      </c>
      <c r="C5871" t="s">
        <v>40</v>
      </c>
      <c r="D5871">
        <v>4.9917590000000001</v>
      </c>
      <c r="E5871">
        <v>0.70363959999999903</v>
      </c>
      <c r="F5871" t="s">
        <v>43</v>
      </c>
      <c r="G5871">
        <v>-305.92140000000001</v>
      </c>
      <c r="H5871">
        <v>1.181554</v>
      </c>
      <c r="I5871">
        <v>9.3175659999999993</v>
      </c>
      <c r="J5871">
        <v>-305.92360000000002</v>
      </c>
      <c r="K5871">
        <v>1.0498069999999999</v>
      </c>
      <c r="L5871">
        <v>9.883972</v>
      </c>
      <c r="M5871">
        <v>0.75436000000000003</v>
      </c>
      <c r="N5871">
        <v>0</v>
      </c>
      <c r="O5871">
        <v>-0.65627179999999996</v>
      </c>
      <c r="P5871">
        <v>0.61942149999999996</v>
      </c>
      <c r="Q5871">
        <v>-2.4081999999999999E-2</v>
      </c>
      <c r="R5871">
        <v>-0.78468950000000004</v>
      </c>
      <c r="S5871">
        <v>0.59649659999999904</v>
      </c>
      <c r="T5871">
        <v>0.65825310000000004</v>
      </c>
      <c r="U5871">
        <v>-3.390625</v>
      </c>
      <c r="V5871">
        <v>0.18517919999999999</v>
      </c>
      <c r="W5871">
        <v>-1.322532E-2</v>
      </c>
      <c r="X5871">
        <v>0.98261580000000004</v>
      </c>
      <c r="Y5871">
        <v>0.62802740000000001</v>
      </c>
      <c r="Z5871">
        <v>-7.359599E-2</v>
      </c>
      <c r="AA5871">
        <v>0.77470340000000004</v>
      </c>
      <c r="AB5871">
        <v>26</v>
      </c>
      <c r="AC5871">
        <v>2.2000000000161799E-3</v>
      </c>
      <c r="AD5871">
        <v>0.131747</v>
      </c>
      <c r="AE5871">
        <v>-0.56640599999999797</v>
      </c>
      <c r="AF5871">
        <v>0.40402429247277299</v>
      </c>
      <c r="AG5871">
        <v>0.131747</v>
      </c>
      <c r="AH5871">
        <v>0.35425602314072102</v>
      </c>
      <c r="AI5871">
        <v>76.223741228638502</v>
      </c>
      <c r="AJ5871">
        <v>41.244887554587599</v>
      </c>
      <c r="AK5871">
        <v>0.55325421900660099</v>
      </c>
      <c r="AL5871">
        <v>90.757777089083703</v>
      </c>
      <c r="AM5871">
        <v>79.327475628508395</v>
      </c>
      <c r="AN5871">
        <v>1.00000002780569</v>
      </c>
    </row>
    <row r="5872" spans="1:40" x14ac:dyDescent="0.25">
      <c r="A5872" t="str">
        <f>"20190312161430990"</f>
        <v>20190312161430990</v>
      </c>
      <c r="B5872" t="str">
        <f>"1552378470982708"</f>
        <v>1552378470982708</v>
      </c>
      <c r="C5872" t="s">
        <v>40</v>
      </c>
      <c r="D5872">
        <v>4.7304279999999999</v>
      </c>
      <c r="E5872">
        <v>0.70296449999999999</v>
      </c>
      <c r="F5872" t="s">
        <v>43</v>
      </c>
      <c r="G5872">
        <v>-305.79109999999997</v>
      </c>
      <c r="H5872">
        <v>1.1968890000000001</v>
      </c>
      <c r="I5872">
        <v>9.1165310000000002</v>
      </c>
      <c r="J5872">
        <v>-305.8005</v>
      </c>
      <c r="K5872">
        <v>1.049782</v>
      </c>
      <c r="L5872">
        <v>9.7640379999999993</v>
      </c>
      <c r="M5872">
        <v>0.74804289999999996</v>
      </c>
      <c r="N5872">
        <v>0</v>
      </c>
      <c r="O5872">
        <v>-0.66346280000000002</v>
      </c>
      <c r="P5872">
        <v>0.61199840000000005</v>
      </c>
      <c r="Q5872">
        <v>-2.4152130000000001E-2</v>
      </c>
      <c r="R5872">
        <v>-0.79049019999999903</v>
      </c>
      <c r="S5872">
        <v>0.58361819999999998</v>
      </c>
      <c r="T5872">
        <v>0.64824209999999904</v>
      </c>
      <c r="U5872">
        <v>-3.3823850000000002</v>
      </c>
      <c r="V5872">
        <v>0.18503</v>
      </c>
      <c r="W5872">
        <v>-1.329264E-2</v>
      </c>
      <c r="X5872">
        <v>0.98264289999999999</v>
      </c>
      <c r="Y5872">
        <v>0.62324290000000004</v>
      </c>
      <c r="Z5872">
        <v>-7.4945139999999993E-2</v>
      </c>
      <c r="AA5872">
        <v>0.77842900000000004</v>
      </c>
      <c r="AB5872">
        <v>26</v>
      </c>
      <c r="AC5872">
        <v>9.4000000000278305E-3</v>
      </c>
      <c r="AD5872">
        <v>0.14710699999999899</v>
      </c>
      <c r="AE5872">
        <v>-0.64750700000000005</v>
      </c>
      <c r="AF5872">
        <v>0.45472043764161701</v>
      </c>
      <c r="AG5872">
        <v>0.14710699999999899</v>
      </c>
      <c r="AH5872">
        <v>0.415253864762342</v>
      </c>
      <c r="AI5872">
        <v>76.564490611242803</v>
      </c>
      <c r="AJ5872">
        <v>42.402545417533098</v>
      </c>
      <c r="AK5872">
        <v>0.63312472551468502</v>
      </c>
      <c r="AL5872">
        <v>90.761634652879096</v>
      </c>
      <c r="AM5872">
        <v>79.336164608007806</v>
      </c>
      <c r="AN5872">
        <v>0.99999993204928705</v>
      </c>
    </row>
    <row r="5873" spans="1:40" x14ac:dyDescent="0.25">
      <c r="A5873" t="str">
        <f>"20190312161431006"</f>
        <v>20190312161431006</v>
      </c>
      <c r="B5873" t="str">
        <f>"1552378471002228"</f>
        <v>1552378471002228</v>
      </c>
      <c r="C5873" t="s">
        <v>40</v>
      </c>
      <c r="D5873">
        <v>5.0935230000000002</v>
      </c>
      <c r="E5873">
        <v>0.70117469999999904</v>
      </c>
      <c r="F5873" t="s">
        <v>103</v>
      </c>
      <c r="G5873">
        <v>-289.15069999999997</v>
      </c>
      <c r="H5873">
        <v>20.349930000000001</v>
      </c>
      <c r="I5873">
        <v>-91.564989999999995</v>
      </c>
      <c r="J5873">
        <v>-305.66210000000001</v>
      </c>
      <c r="K5873">
        <v>1.049755</v>
      </c>
      <c r="L5873">
        <v>9.6258850000000002</v>
      </c>
      <c r="M5873">
        <v>0.74073549999999999</v>
      </c>
      <c r="N5873">
        <v>0</v>
      </c>
      <c r="O5873">
        <v>-0.67161139999999997</v>
      </c>
      <c r="P5873">
        <v>0.60377479999999994</v>
      </c>
      <c r="Q5873">
        <v>-2.367027E-2</v>
      </c>
      <c r="R5873">
        <v>-0.796803699999999</v>
      </c>
      <c r="S5873">
        <v>0.55609129999999996</v>
      </c>
      <c r="T5873">
        <v>0.64460969999999995</v>
      </c>
      <c r="U5873">
        <v>-3.3843079999999999</v>
      </c>
      <c r="V5873">
        <v>0.18447810000000001</v>
      </c>
      <c r="W5873">
        <v>-1.279541E-2</v>
      </c>
      <c r="X5873">
        <v>0.98275330000000005</v>
      </c>
      <c r="Y5873">
        <v>0.6210059</v>
      </c>
      <c r="Z5873">
        <v>-7.6788469999999998E-2</v>
      </c>
      <c r="AA5873">
        <v>0.78003540000000005</v>
      </c>
      <c r="AB5873">
        <v>26</v>
      </c>
      <c r="AC5873">
        <v>16.511399999999998</v>
      </c>
      <c r="AD5873">
        <v>19.300174999999999</v>
      </c>
      <c r="AE5873">
        <v>-101.19087500000001</v>
      </c>
      <c r="AF5873">
        <v>61.688474143537597</v>
      </c>
      <c r="AG5873">
        <v>19.300174999999999</v>
      </c>
      <c r="AH5873">
        <v>77.456856794790298</v>
      </c>
      <c r="AI5873">
        <v>78.970694232238301</v>
      </c>
      <c r="AJ5873">
        <v>51.465354182229497</v>
      </c>
      <c r="AK5873">
        <v>100.883741315026</v>
      </c>
      <c r="AL5873">
        <v>90.733143018194795</v>
      </c>
      <c r="AM5873">
        <v>79.368413183072306</v>
      </c>
      <c r="AN5873">
        <v>0.99999997027878296</v>
      </c>
    </row>
    <row r="5874" spans="1:40" x14ac:dyDescent="0.25">
      <c r="A5874" t="str">
        <f>"20190312161431031"</f>
        <v>20190312161431031</v>
      </c>
      <c r="B5874" t="str">
        <f>"1552378471022726"</f>
        <v>1552378471022726</v>
      </c>
      <c r="C5874" t="s">
        <v>40</v>
      </c>
      <c r="D5874">
        <v>5.2842399999999996</v>
      </c>
      <c r="E5874">
        <v>0.65657679999999996</v>
      </c>
      <c r="F5874" t="s">
        <v>43</v>
      </c>
      <c r="G5874">
        <v>-305.56709999999998</v>
      </c>
      <c r="H5874">
        <v>1.163403</v>
      </c>
      <c r="I5874">
        <v>9.0224770000000003</v>
      </c>
      <c r="J5874">
        <v>-305.46769999999998</v>
      </c>
      <c r="K5874">
        <v>1.0497299999999901</v>
      </c>
      <c r="L5874">
        <v>9.426361</v>
      </c>
      <c r="M5874">
        <v>0.73011939999999997</v>
      </c>
      <c r="N5874">
        <v>0</v>
      </c>
      <c r="O5874">
        <v>-0.68313679999999999</v>
      </c>
      <c r="P5874">
        <v>0.59143610000000002</v>
      </c>
      <c r="Q5874">
        <v>-2.3417799999999999E-2</v>
      </c>
      <c r="R5874">
        <v>-0.80601219999999996</v>
      </c>
      <c r="S5874">
        <v>0.53234859999999995</v>
      </c>
      <c r="T5874">
        <v>0.63671990000000001</v>
      </c>
      <c r="U5874">
        <v>-3.3805540000000001</v>
      </c>
      <c r="V5874">
        <v>0.18421860000000001</v>
      </c>
      <c r="W5874">
        <v>-1.2534129999999999E-2</v>
      </c>
      <c r="X5874">
        <v>0.98280540000000005</v>
      </c>
      <c r="Y5874">
        <v>0.61406830000000001</v>
      </c>
      <c r="Z5874">
        <v>-7.9476640000000001E-2</v>
      </c>
      <c r="AA5874">
        <v>0.78524110000000003</v>
      </c>
      <c r="AB5874">
        <v>26</v>
      </c>
      <c r="AC5874">
        <v>-9.9400000000002806E-2</v>
      </c>
      <c r="AD5874">
        <v>0.113673</v>
      </c>
      <c r="AE5874">
        <v>-0.40388399999999902</v>
      </c>
      <c r="AF5874">
        <v>0.33761614059453499</v>
      </c>
      <c r="AG5874">
        <v>0.113673</v>
      </c>
      <c r="AH5874">
        <v>0.189226262240833</v>
      </c>
      <c r="AI5874">
        <v>73.632123514277296</v>
      </c>
      <c r="AJ5874">
        <v>29.2696509157816</v>
      </c>
      <c r="AK5874">
        <v>0.40337673165489601</v>
      </c>
      <c r="AL5874">
        <v>90.718171535947704</v>
      </c>
      <c r="AM5874">
        <v>79.383578129868795</v>
      </c>
      <c r="AN5874">
        <v>1.0000000256349799</v>
      </c>
    </row>
    <row r="5875" spans="1:40" x14ac:dyDescent="0.25">
      <c r="A5875" t="str">
        <f>"20190312161431052"</f>
        <v>20190312161431052</v>
      </c>
      <c r="B5875" t="str">
        <f>"1552378471042245"</f>
        <v>1552378471042245</v>
      </c>
      <c r="C5875" t="s">
        <v>40</v>
      </c>
      <c r="D5875">
        <v>5.3483289999999997</v>
      </c>
      <c r="E5875">
        <v>0.65657779999999999</v>
      </c>
      <c r="F5875" t="s">
        <v>79</v>
      </c>
      <c r="G5875">
        <v>-278.18560000000002</v>
      </c>
      <c r="H5875">
        <v>7.1045360000000004</v>
      </c>
      <c r="I5875">
        <v>-103.0433</v>
      </c>
      <c r="J5875">
        <v>-305.28710000000001</v>
      </c>
      <c r="K5875">
        <v>1.0497099999999999</v>
      </c>
      <c r="L5875">
        <v>9.2351069999999993</v>
      </c>
      <c r="M5875">
        <v>0.71987650000000003</v>
      </c>
      <c r="N5875">
        <v>0</v>
      </c>
      <c r="O5875">
        <v>-0.69392200000000004</v>
      </c>
      <c r="P5875">
        <v>0.57958619999999905</v>
      </c>
      <c r="Q5875">
        <v>-2.306037E-2</v>
      </c>
      <c r="R5875">
        <v>-0.81458489999999995</v>
      </c>
      <c r="S5875">
        <v>0.76745609999999997</v>
      </c>
      <c r="T5875">
        <v>0.17032459999999999</v>
      </c>
      <c r="U5875">
        <v>-3.163818</v>
      </c>
      <c r="V5875">
        <v>0.18398709999999999</v>
      </c>
      <c r="W5875">
        <v>-1.2167270000000001E-2</v>
      </c>
      <c r="X5875">
        <v>0.98285339999999999</v>
      </c>
      <c r="Y5875">
        <v>0.53608049999999996</v>
      </c>
      <c r="Z5875">
        <v>-2.533328E-2</v>
      </c>
      <c r="AA5875">
        <v>0.84378660000000005</v>
      </c>
      <c r="AB5875">
        <v>26</v>
      </c>
      <c r="AC5875">
        <v>27.101499999999898</v>
      </c>
      <c r="AD5875">
        <v>6.0548260000000003</v>
      </c>
      <c r="AE5875">
        <v>-112.278407</v>
      </c>
      <c r="AF5875">
        <v>61.858030087116099</v>
      </c>
      <c r="AG5875">
        <v>6.0548260000000003</v>
      </c>
      <c r="AH5875">
        <v>97.167357625840097</v>
      </c>
      <c r="AI5875">
        <v>86.990990943654495</v>
      </c>
      <c r="AJ5875">
        <v>57.518628181935497</v>
      </c>
      <c r="AK5875">
        <v>115.34544721026801</v>
      </c>
      <c r="AL5875">
        <v>90.697150385909694</v>
      </c>
      <c r="AM5875">
        <v>79.397122737274699</v>
      </c>
      <c r="AN5875">
        <v>1.00000005065861</v>
      </c>
    </row>
    <row r="5876" spans="1:40" x14ac:dyDescent="0.25">
      <c r="A5876" t="str">
        <f>"20190312161431073"</f>
        <v>20190312161431073</v>
      </c>
      <c r="B5876" t="str">
        <f>"1552378471062740"</f>
        <v>1552378471062740</v>
      </c>
      <c r="C5876" t="s">
        <v>40</v>
      </c>
      <c r="D5876">
        <v>5.0095559999999999</v>
      </c>
      <c r="E5876">
        <v>0.65608840000000002</v>
      </c>
      <c r="F5876" t="s">
        <v>79</v>
      </c>
      <c r="G5876">
        <v>-278.00209999999998</v>
      </c>
      <c r="H5876">
        <v>6.674086</v>
      </c>
      <c r="I5876">
        <v>-110.84569999999999</v>
      </c>
      <c r="J5876">
        <v>-305.11939999999998</v>
      </c>
      <c r="K5876">
        <v>1.049695</v>
      </c>
      <c r="L5876">
        <v>9.0522159999999996</v>
      </c>
      <c r="M5876">
        <v>0.71002699999999996</v>
      </c>
      <c r="N5876">
        <v>0</v>
      </c>
      <c r="O5876">
        <v>-0.70399650000000003</v>
      </c>
      <c r="P5876">
        <v>0.56807839999999998</v>
      </c>
      <c r="Q5876">
        <v>-2.27481E-2</v>
      </c>
      <c r="R5876">
        <v>-0.82266019999999895</v>
      </c>
      <c r="S5876">
        <v>0.72119140000000004</v>
      </c>
      <c r="T5876">
        <v>0.14866270000000001</v>
      </c>
      <c r="U5876">
        <v>-3.17395</v>
      </c>
      <c r="V5876">
        <v>0.18396760000000001</v>
      </c>
      <c r="W5876">
        <v>-1.184992E-2</v>
      </c>
      <c r="X5876">
        <v>0.98286090000000004</v>
      </c>
      <c r="Y5876">
        <v>0.5364641</v>
      </c>
      <c r="Z5876">
        <v>-2.2704040000000002E-2</v>
      </c>
      <c r="AA5876">
        <v>0.84361769999999903</v>
      </c>
      <c r="AB5876">
        <v>26</v>
      </c>
      <c r="AC5876">
        <v>27.1173</v>
      </c>
      <c r="AD5876">
        <v>5.6243910000000001</v>
      </c>
      <c r="AE5876">
        <v>-119.897916</v>
      </c>
      <c r="AF5876">
        <v>65.910569041378693</v>
      </c>
      <c r="AG5876">
        <v>5.6243910000000001</v>
      </c>
      <c r="AH5876">
        <v>103.45813490772299</v>
      </c>
      <c r="AI5876">
        <v>87.374828124422507</v>
      </c>
      <c r="AJ5876">
        <v>57.499815621376399</v>
      </c>
      <c r="AK5876">
        <v>122.79830033051699</v>
      </c>
      <c r="AL5876">
        <v>90.678966278317503</v>
      </c>
      <c r="AM5876">
        <v>79.398300079987806</v>
      </c>
      <c r="AN5876">
        <v>1.00000002360128</v>
      </c>
    </row>
    <row r="5877" spans="1:40" x14ac:dyDescent="0.25">
      <c r="A5877" t="str">
        <f>"20190312161431095"</f>
        <v>20190312161431095</v>
      </c>
      <c r="B5877" t="str">
        <f>"1552378471092024"</f>
        <v>1552378471092024</v>
      </c>
      <c r="C5877" t="s">
        <v>40</v>
      </c>
      <c r="D5877">
        <v>5.2059559999999996</v>
      </c>
      <c r="E5877">
        <v>0.65145059999999999</v>
      </c>
      <c r="F5877" t="s">
        <v>103</v>
      </c>
      <c r="G5877">
        <v>-286.00240000000002</v>
      </c>
      <c r="H5877">
        <v>4.6338670000000004</v>
      </c>
      <c r="I5877">
        <v>-80.464519999999993</v>
      </c>
      <c r="J5877">
        <v>-304.94589999999999</v>
      </c>
      <c r="K5877">
        <v>1.04969</v>
      </c>
      <c r="L5877">
        <v>8.8572389999999999</v>
      </c>
      <c r="M5877">
        <v>0.69947179999999998</v>
      </c>
      <c r="N5877">
        <v>0</v>
      </c>
      <c r="O5877">
        <v>-0.71448459999999903</v>
      </c>
      <c r="P5877">
        <v>0.55612439999999996</v>
      </c>
      <c r="Q5877">
        <v>-2.2601799999999998E-2</v>
      </c>
      <c r="R5877">
        <v>-0.83079199999999997</v>
      </c>
      <c r="S5877">
        <v>0.67935179999999995</v>
      </c>
      <c r="T5877">
        <v>0.12736980000000001</v>
      </c>
      <c r="U5877">
        <v>-3.1811219999999998</v>
      </c>
      <c r="V5877">
        <v>0.1835589</v>
      </c>
      <c r="W5877">
        <v>-1.1686190000000001E-2</v>
      </c>
      <c r="X5877">
        <v>0.98293920000000001</v>
      </c>
      <c r="Y5877">
        <v>0.53490099999999996</v>
      </c>
      <c r="Z5877">
        <v>-2.0026260000000001E-2</v>
      </c>
      <c r="AA5877">
        <v>0.84467739999999902</v>
      </c>
      <c r="AB5877">
        <v>26</v>
      </c>
      <c r="AC5877">
        <v>18.943499999999901</v>
      </c>
      <c r="AD5877">
        <v>3.5841769999999902</v>
      </c>
      <c r="AE5877">
        <v>-89.321758999999901</v>
      </c>
      <c r="AF5877">
        <v>48.8740480246611</v>
      </c>
      <c r="AG5877">
        <v>3.5841769999999902</v>
      </c>
      <c r="AH5877">
        <v>76.960553946832803</v>
      </c>
      <c r="AI5877">
        <v>87.748633595014795</v>
      </c>
      <c r="AJ5877">
        <v>57.582279443197002</v>
      </c>
      <c r="AK5877">
        <v>91.238400681333601</v>
      </c>
      <c r="AL5877">
        <v>90.669584637610498</v>
      </c>
      <c r="AM5877">
        <v>79.422144152335804</v>
      </c>
      <c r="AN5877">
        <v>0.99999995385128104</v>
      </c>
    </row>
    <row r="5878" spans="1:40" x14ac:dyDescent="0.25">
      <c r="A5878" t="str">
        <f>"20190312161431119"</f>
        <v>20190312161431119</v>
      </c>
      <c r="B5878" t="str">
        <f>"1552378471112516"</f>
        <v>1552378471112516</v>
      </c>
      <c r="C5878" t="s">
        <v>40</v>
      </c>
      <c r="D5878">
        <v>5.1266480000000003</v>
      </c>
      <c r="E5878">
        <v>0.62021269999999995</v>
      </c>
      <c r="F5878" t="s">
        <v>103</v>
      </c>
      <c r="G5878">
        <v>-286.23520000000002</v>
      </c>
      <c r="H5878">
        <v>4.4559309999999996</v>
      </c>
      <c r="I5878">
        <v>-80.464519999999993</v>
      </c>
      <c r="J5878">
        <v>-304.76620000000003</v>
      </c>
      <c r="K5878">
        <v>1.049682</v>
      </c>
      <c r="L5878">
        <v>8.6489560000000001</v>
      </c>
      <c r="M5878">
        <v>0.68813649999999904</v>
      </c>
      <c r="N5878">
        <v>0</v>
      </c>
      <c r="O5878">
        <v>-0.72540819999999995</v>
      </c>
      <c r="P5878">
        <v>0.54322569999999903</v>
      </c>
      <c r="Q5878">
        <v>-2.2455289999999999E-2</v>
      </c>
      <c r="R5878">
        <v>-0.83928649999999905</v>
      </c>
      <c r="S5878">
        <v>0.66400150000000002</v>
      </c>
      <c r="T5878">
        <v>0.1208804</v>
      </c>
      <c r="U5878">
        <v>-3.1698300000000001</v>
      </c>
      <c r="V5878">
        <v>0.18327299999999999</v>
      </c>
      <c r="W5878">
        <v>-1.1524609999999999E-2</v>
      </c>
      <c r="X5878">
        <v>0.98299449999999999</v>
      </c>
      <c r="Y5878">
        <v>0.52486719999999998</v>
      </c>
      <c r="Z5878">
        <v>-1.9784840000000001E-2</v>
      </c>
      <c r="AA5878">
        <v>0.85095419999999999</v>
      </c>
      <c r="AB5878">
        <v>26</v>
      </c>
      <c r="AC5878">
        <v>18.530999999999999</v>
      </c>
      <c r="AD5878">
        <v>3.4062489999999999</v>
      </c>
      <c r="AE5878">
        <v>-89.113475999999906</v>
      </c>
      <c r="AF5878">
        <v>47.818738791708398</v>
      </c>
      <c r="AG5878">
        <v>3.4062489999999999</v>
      </c>
      <c r="AH5878">
        <v>77.296968754129296</v>
      </c>
      <c r="AI5878">
        <v>87.853812725506799</v>
      </c>
      <c r="AJ5878">
        <v>58.257545689949097</v>
      </c>
      <c r="AK5878">
        <v>90.956339473708397</v>
      </c>
      <c r="AL5878">
        <v>90.660326132389898</v>
      </c>
      <c r="AM5878">
        <v>79.438829391877505</v>
      </c>
      <c r="AN5878">
        <v>0.99999999809745099</v>
      </c>
    </row>
    <row r="5879" spans="1:40" x14ac:dyDescent="0.25">
      <c r="A5879" t="str">
        <f>"20190312161431141"</f>
        <v>20190312161431141</v>
      </c>
      <c r="B5879" t="str">
        <f>"1552378471132036"</f>
        <v>1552378471132036</v>
      </c>
      <c r="C5879" t="s">
        <v>40</v>
      </c>
      <c r="D5879">
        <v>5.1245120000000002</v>
      </c>
      <c r="E5879">
        <v>0.61931040000000004</v>
      </c>
      <c r="F5879" t="s">
        <v>79</v>
      </c>
      <c r="G5879">
        <v>-277.63290000000001</v>
      </c>
      <c r="H5879">
        <v>10.08737</v>
      </c>
      <c r="I5879">
        <v>-91.776439999999994</v>
      </c>
      <c r="J5879">
        <v>-304.60180000000003</v>
      </c>
      <c r="K5879">
        <v>1.0496780000000001</v>
      </c>
      <c r="L5879">
        <v>8.4524539999999995</v>
      </c>
      <c r="M5879">
        <v>0.67739169999999904</v>
      </c>
      <c r="N5879">
        <v>0</v>
      </c>
      <c r="O5879">
        <v>-0.73545159999999998</v>
      </c>
      <c r="P5879">
        <v>0.53096140000000003</v>
      </c>
      <c r="Q5879">
        <v>-2.2644299999999999E-2</v>
      </c>
      <c r="R5879">
        <v>-0.84709380000000001</v>
      </c>
      <c r="S5879">
        <v>0.82369999999999999</v>
      </c>
      <c r="T5879">
        <v>0.27436300000000002</v>
      </c>
      <c r="U5879">
        <v>-3.0486759999999999</v>
      </c>
      <c r="V5879">
        <v>0.18310299999999999</v>
      </c>
      <c r="W5879">
        <v>-1.170178E-2</v>
      </c>
      <c r="X5879">
        <v>0.98302409999999996</v>
      </c>
      <c r="Y5879">
        <v>0.46242109999999897</v>
      </c>
      <c r="Z5879">
        <v>-4.9328709999999998E-2</v>
      </c>
      <c r="AA5879">
        <v>0.88528719999999905</v>
      </c>
      <c r="AB5879">
        <v>26</v>
      </c>
      <c r="AC5879">
        <v>26.968900000000001</v>
      </c>
      <c r="AD5879">
        <v>9.0376919999999998</v>
      </c>
      <c r="AE5879">
        <v>-100.228894</v>
      </c>
      <c r="AF5879">
        <v>47.704259107751</v>
      </c>
      <c r="AG5879">
        <v>9.0376919999999998</v>
      </c>
      <c r="AH5879">
        <v>91.3013466812167</v>
      </c>
      <c r="AI5879">
        <v>84.986067431790303</v>
      </c>
      <c r="AJ5879">
        <v>62.413274704831899</v>
      </c>
      <c r="AK5879">
        <v>103.408472184391</v>
      </c>
      <c r="AL5879">
        <v>90.670477901803096</v>
      </c>
      <c r="AM5879">
        <v>79.448716192230293</v>
      </c>
      <c r="AN5879">
        <v>1.00000001072248</v>
      </c>
    </row>
    <row r="5880" spans="1:40" x14ac:dyDescent="0.25">
      <c r="A5880" t="str">
        <f>"20190312161431162"</f>
        <v>20190312161431162</v>
      </c>
      <c r="B5880" t="str">
        <f>"1552378471152214"</f>
        <v>1552378471152214</v>
      </c>
      <c r="C5880" t="s">
        <v>40</v>
      </c>
      <c r="D5880">
        <v>5.2952490000000001</v>
      </c>
      <c r="E5880">
        <v>0.62062759999999995</v>
      </c>
      <c r="F5880" t="s">
        <v>79</v>
      </c>
      <c r="G5880">
        <v>-277.17500000000001</v>
      </c>
      <c r="H5880">
        <v>10.493589999999999</v>
      </c>
      <c r="I5880">
        <v>-98.281499999999994</v>
      </c>
      <c r="J5880">
        <v>-304.44200000000001</v>
      </c>
      <c r="K5880">
        <v>1.0496810000000001</v>
      </c>
      <c r="L5880">
        <v>8.2554929999999995</v>
      </c>
      <c r="M5880">
        <v>0.66658189999999995</v>
      </c>
      <c r="N5880">
        <v>0</v>
      </c>
      <c r="O5880">
        <v>-0.7452628</v>
      </c>
      <c r="P5880">
        <v>0.51853779999999905</v>
      </c>
      <c r="Q5880">
        <v>-2.2530809999999998E-2</v>
      </c>
      <c r="R5880">
        <v>-0.85475800000000002</v>
      </c>
      <c r="S5880">
        <v>0.7854004</v>
      </c>
      <c r="T5880">
        <v>0.27043840000000002</v>
      </c>
      <c r="U5880">
        <v>-3.0564580000000001</v>
      </c>
      <c r="V5880">
        <v>0.18310770000000001</v>
      </c>
      <c r="W5880">
        <v>-1.1580399999999999E-2</v>
      </c>
      <c r="X5880">
        <v>0.98302469999999997</v>
      </c>
      <c r="Y5880">
        <v>0.46042729999999998</v>
      </c>
      <c r="Z5880">
        <v>-4.9792650000000001E-2</v>
      </c>
      <c r="AA5880">
        <v>0.88629979999999997</v>
      </c>
      <c r="AB5880">
        <v>26</v>
      </c>
      <c r="AC5880">
        <v>27.266999999999999</v>
      </c>
      <c r="AD5880">
        <v>9.4439089999999997</v>
      </c>
      <c r="AE5880">
        <v>-106.536993</v>
      </c>
      <c r="AF5880">
        <v>50.329767958096198</v>
      </c>
      <c r="AG5880">
        <v>9.4439089999999997</v>
      </c>
      <c r="AH5880">
        <v>96.871635521828907</v>
      </c>
      <c r="AI5880">
        <v>85.055670410982302</v>
      </c>
      <c r="AJ5880">
        <v>62.545816271309398</v>
      </c>
      <c r="AK5880">
        <v>109.573658917598</v>
      </c>
      <c r="AL5880">
        <v>90.663522844058207</v>
      </c>
      <c r="AM5880">
        <v>79.448457733116101</v>
      </c>
      <c r="AN5880">
        <v>1.0000000481367599</v>
      </c>
    </row>
    <row r="5881" spans="1:40" x14ac:dyDescent="0.25">
      <c r="A5881" t="str">
        <f>"20190312161431186"</f>
        <v>20190312161431186</v>
      </c>
      <c r="B5881" t="str">
        <f>"1552378471182470"</f>
        <v>1552378471182470</v>
      </c>
      <c r="C5881" t="s">
        <v>40</v>
      </c>
      <c r="D5881">
        <v>5.6702279999999998</v>
      </c>
      <c r="E5881">
        <v>0.63944889999999999</v>
      </c>
      <c r="F5881" t="s">
        <v>79</v>
      </c>
      <c r="G5881">
        <v>-277.17500000000001</v>
      </c>
      <c r="H5881">
        <v>11.07122</v>
      </c>
      <c r="I5881">
        <v>-106.33329999999999</v>
      </c>
      <c r="J5881">
        <v>-304.27710000000002</v>
      </c>
      <c r="K5881">
        <v>1.049685</v>
      </c>
      <c r="L5881">
        <v>8.0461119999999902</v>
      </c>
      <c r="M5881">
        <v>0.65505170000000001</v>
      </c>
      <c r="N5881">
        <v>0</v>
      </c>
      <c r="O5881">
        <v>-0.75541729999999996</v>
      </c>
      <c r="P5881">
        <v>0.5053957</v>
      </c>
      <c r="Q5881">
        <v>-2.2247300000000001E-2</v>
      </c>
      <c r="R5881">
        <v>-0.86260110000000001</v>
      </c>
      <c r="S5881">
        <v>0.73129270000000002</v>
      </c>
      <c r="T5881">
        <v>0.2687755</v>
      </c>
      <c r="U5881">
        <v>-3.073242</v>
      </c>
      <c r="V5881">
        <v>0.18305940000000001</v>
      </c>
      <c r="W5881">
        <v>-1.128608E-2</v>
      </c>
      <c r="X5881">
        <v>0.9830371</v>
      </c>
      <c r="Y5881">
        <v>0.46266829999999998</v>
      </c>
      <c r="Z5881">
        <v>-5.0461060000000002E-2</v>
      </c>
      <c r="AA5881">
        <v>0.88509419999999905</v>
      </c>
      <c r="AB5881">
        <v>25</v>
      </c>
      <c r="AC5881">
        <v>27.1021</v>
      </c>
      <c r="AD5881">
        <v>10.021535</v>
      </c>
      <c r="AE5881">
        <v>-114.379412</v>
      </c>
      <c r="AF5881">
        <v>54.064919542305702</v>
      </c>
      <c r="AG5881">
        <v>10.021535</v>
      </c>
      <c r="AH5881">
        <v>103.418880301276</v>
      </c>
      <c r="AI5881">
        <v>85.091730888252599</v>
      </c>
      <c r="AJ5881">
        <v>62.400506680472503</v>
      </c>
      <c r="AK5881">
        <v>117.12775713571</v>
      </c>
      <c r="AL5881">
        <v>90.646658460586906</v>
      </c>
      <c r="AM5881">
        <v>79.451308606660803</v>
      </c>
      <c r="AN5881">
        <v>1.0000000297532601</v>
      </c>
    </row>
    <row r="5882" spans="1:40" x14ac:dyDescent="0.25">
      <c r="A5882" t="str">
        <f>"20190312161431208"</f>
        <v>20190312161431208</v>
      </c>
      <c r="B5882" t="str">
        <f>"1552378471201990"</f>
        <v>1552378471201990</v>
      </c>
      <c r="C5882" t="s">
        <v>40</v>
      </c>
      <c r="D5882">
        <v>5.9684369999999998</v>
      </c>
      <c r="E5882">
        <v>0.63938430000000002</v>
      </c>
      <c r="F5882" t="s">
        <v>43</v>
      </c>
      <c r="G5882">
        <v>-304.16120000000001</v>
      </c>
      <c r="H5882">
        <v>1.1284529999999999</v>
      </c>
      <c r="I5882">
        <v>7.3841839999999896</v>
      </c>
      <c r="J5882">
        <v>-304.11829999999998</v>
      </c>
      <c r="K5882">
        <v>1.049704</v>
      </c>
      <c r="L5882">
        <v>7.8378300000000003</v>
      </c>
      <c r="M5882">
        <v>0.64354869999999897</v>
      </c>
      <c r="N5882">
        <v>0</v>
      </c>
      <c r="O5882">
        <v>-0.765240699999999</v>
      </c>
      <c r="P5882">
        <v>0.49250090000000002</v>
      </c>
      <c r="Q5882">
        <v>-2.245716E-2</v>
      </c>
      <c r="R5882">
        <v>-0.87002219999999997</v>
      </c>
      <c r="S5882">
        <v>0.55416869999999996</v>
      </c>
      <c r="T5882">
        <v>0.37639709999999899</v>
      </c>
      <c r="U5882">
        <v>-3.1628720000000001</v>
      </c>
      <c r="V5882">
        <v>0.18281120000000001</v>
      </c>
      <c r="W5882">
        <v>-1.1479029999999999E-2</v>
      </c>
      <c r="X5882">
        <v>0.98308099999999998</v>
      </c>
      <c r="Y5882">
        <v>0.50206759999999995</v>
      </c>
      <c r="Z5882">
        <v>-6.9010059999999998E-2</v>
      </c>
      <c r="AA5882">
        <v>0.86207060000000002</v>
      </c>
      <c r="AB5882">
        <v>25</v>
      </c>
      <c r="AC5882">
        <v>-4.2900000000031399E-2</v>
      </c>
      <c r="AD5882">
        <v>7.8748999999999902E-2</v>
      </c>
      <c r="AE5882">
        <v>-0.45364599999999999</v>
      </c>
      <c r="AF5882">
        <v>0.31539320730895298</v>
      </c>
      <c r="AG5882">
        <v>7.8748999999999902E-2</v>
      </c>
      <c r="AH5882">
        <v>0.31031232239429601</v>
      </c>
      <c r="AI5882">
        <v>79.908067747981306</v>
      </c>
      <c r="AJ5882">
        <v>44.534754209901699</v>
      </c>
      <c r="AK5882">
        <v>0.449408519776127</v>
      </c>
      <c r="AL5882">
        <v>90.657714431366003</v>
      </c>
      <c r="AM5882">
        <v>79.465750510736598</v>
      </c>
      <c r="AN5882">
        <v>0.99999997776809002</v>
      </c>
    </row>
    <row r="5883" spans="1:40" x14ac:dyDescent="0.25">
      <c r="A5883" t="str">
        <f>"20190312161431231"</f>
        <v>20190312161431231</v>
      </c>
      <c r="B5883" t="str">
        <f>"1552378471222486"</f>
        <v>1552378471222486</v>
      </c>
      <c r="C5883" t="s">
        <v>40</v>
      </c>
      <c r="D5883">
        <v>5.8945879999999997</v>
      </c>
      <c r="E5883">
        <v>0.63651579999999996</v>
      </c>
      <c r="F5883" t="s">
        <v>103</v>
      </c>
      <c r="G5883">
        <v>-289.8784</v>
      </c>
      <c r="H5883">
        <v>8.7373829999999995</v>
      </c>
      <c r="I5883">
        <v>-80.916469999999904</v>
      </c>
      <c r="J5883">
        <v>-303.96260000000001</v>
      </c>
      <c r="K5883">
        <v>1.049722</v>
      </c>
      <c r="L5883">
        <v>7.6265259999999904</v>
      </c>
      <c r="M5883">
        <v>0.63185899999999995</v>
      </c>
      <c r="N5883">
        <v>0</v>
      </c>
      <c r="O5883">
        <v>-0.77492090000000002</v>
      </c>
      <c r="P5883">
        <v>0.47963640000000002</v>
      </c>
      <c r="Q5883">
        <v>-2.281381E-2</v>
      </c>
      <c r="R5883">
        <v>-0.87717099999999903</v>
      </c>
      <c r="S5883">
        <v>0.50820920000000003</v>
      </c>
      <c r="T5883">
        <v>0.2743678</v>
      </c>
      <c r="U5883">
        <v>-3.1675719999999998</v>
      </c>
      <c r="V5883">
        <v>0.18235109999999999</v>
      </c>
      <c r="W5883">
        <v>-1.181225E-2</v>
      </c>
      <c r="X5883">
        <v>0.98316250000000005</v>
      </c>
      <c r="Y5883">
        <v>0.50127089999999996</v>
      </c>
      <c r="Z5883">
        <v>-5.1601470000000003E-2</v>
      </c>
      <c r="AA5883">
        <v>0.86375049999999898</v>
      </c>
      <c r="AB5883">
        <v>25</v>
      </c>
      <c r="AC5883">
        <v>14.084199999999999</v>
      </c>
      <c r="AD5883">
        <v>7.6876609999999896</v>
      </c>
      <c r="AE5883">
        <v>-88.542995999999903</v>
      </c>
      <c r="AF5883">
        <v>44.709497303036102</v>
      </c>
      <c r="AG5883">
        <v>7.6876609999999896</v>
      </c>
      <c r="AH5883">
        <v>76.956990167924005</v>
      </c>
      <c r="AI5883">
        <v>85.063245313035694</v>
      </c>
      <c r="AJ5883">
        <v>59.844811590645101</v>
      </c>
      <c r="AK5883">
        <v>89.333183176505401</v>
      </c>
      <c r="AL5883">
        <v>90.676807826713102</v>
      </c>
      <c r="AM5883">
        <v>79.492523573990695</v>
      </c>
      <c r="AN5883">
        <v>0.99999997716376099</v>
      </c>
    </row>
    <row r="5884" spans="1:40" x14ac:dyDescent="0.25">
      <c r="A5884" t="str">
        <f>"20190312161431253"</f>
        <v>20190312161431253</v>
      </c>
      <c r="B5884" t="str">
        <f>"1552378471242007"</f>
        <v>1552378471242007</v>
      </c>
      <c r="C5884" t="s">
        <v>40</v>
      </c>
      <c r="D5884">
        <v>5.9664799999999998</v>
      </c>
      <c r="E5884">
        <v>0.63606779999999996</v>
      </c>
      <c r="F5884" t="s">
        <v>103</v>
      </c>
      <c r="G5884">
        <v>-290.67200000000003</v>
      </c>
      <c r="H5884">
        <v>8.4857309999999995</v>
      </c>
      <c r="I5884">
        <v>-79.671169999999904</v>
      </c>
      <c r="J5884">
        <v>-303.81270000000001</v>
      </c>
      <c r="K5884">
        <v>1.0497510000000001</v>
      </c>
      <c r="L5884">
        <v>7.4167179999999897</v>
      </c>
      <c r="M5884">
        <v>0.62022690000000003</v>
      </c>
      <c r="N5884">
        <v>0</v>
      </c>
      <c r="O5884">
        <v>-0.78426200000000001</v>
      </c>
      <c r="P5884">
        <v>0.46731489999999998</v>
      </c>
      <c r="Q5884">
        <v>-2.3490830000000001E-2</v>
      </c>
      <c r="R5884">
        <v>-0.88377879999999998</v>
      </c>
      <c r="S5884">
        <v>0.4816589</v>
      </c>
      <c r="T5884">
        <v>0.26948640000000001</v>
      </c>
      <c r="U5884">
        <v>-3.1637270000000002</v>
      </c>
      <c r="V5884">
        <v>0.18141309999999999</v>
      </c>
      <c r="W5884">
        <v>-1.245251E-2</v>
      </c>
      <c r="X5884">
        <v>0.98332819999999999</v>
      </c>
      <c r="Y5884">
        <v>0.49527450000000001</v>
      </c>
      <c r="Z5884">
        <v>-5.2051510000000002E-2</v>
      </c>
      <c r="AA5884">
        <v>0.86717579999999905</v>
      </c>
      <c r="AB5884">
        <v>25</v>
      </c>
      <c r="AC5884">
        <v>13.140699999999899</v>
      </c>
      <c r="AD5884">
        <v>7.43597999999999</v>
      </c>
      <c r="AE5884">
        <v>-87.087887999999893</v>
      </c>
      <c r="AF5884">
        <v>43.404601549812199</v>
      </c>
      <c r="AG5884">
        <v>7.43597999999999</v>
      </c>
      <c r="AH5884">
        <v>75.9183937360485</v>
      </c>
      <c r="AI5884">
        <v>85.139780063985796</v>
      </c>
      <c r="AJ5884">
        <v>60.2422271290772</v>
      </c>
      <c r="AK5884">
        <v>87.765914464101897</v>
      </c>
      <c r="AL5884">
        <v>90.713494662603495</v>
      </c>
      <c r="AM5884">
        <v>79.547101380231297</v>
      </c>
      <c r="AN5884">
        <v>1.0000000633860699</v>
      </c>
    </row>
    <row r="5885" spans="1:40" x14ac:dyDescent="0.25">
      <c r="A5885" t="str">
        <f>"20190312161431275"</f>
        <v>20190312161431275</v>
      </c>
      <c r="B5885" t="str">
        <f>"1552378471272262"</f>
        <v>1552378471272262</v>
      </c>
      <c r="C5885" t="s">
        <v>40</v>
      </c>
      <c r="D5885">
        <v>5.9901390000000001</v>
      </c>
      <c r="E5885">
        <v>0.63293279999999996</v>
      </c>
      <c r="F5885" t="s">
        <v>103</v>
      </c>
      <c r="G5885">
        <v>-291.52940000000001</v>
      </c>
      <c r="H5885">
        <v>8.6680969999999995</v>
      </c>
      <c r="I5885">
        <v>-80.916469999999904</v>
      </c>
      <c r="J5885">
        <v>-303.67110000000002</v>
      </c>
      <c r="K5885">
        <v>1.049776</v>
      </c>
      <c r="L5885">
        <v>7.2123109999999997</v>
      </c>
      <c r="M5885">
        <v>0.60887369999999996</v>
      </c>
      <c r="N5885">
        <v>0</v>
      </c>
      <c r="O5885">
        <v>-0.79310859999999905</v>
      </c>
      <c r="P5885">
        <v>0.45578039999999997</v>
      </c>
      <c r="Q5885">
        <v>-2.3976879999999999E-2</v>
      </c>
      <c r="R5885">
        <v>-0.88976939999999904</v>
      </c>
      <c r="S5885">
        <v>0.44064330000000002</v>
      </c>
      <c r="T5885">
        <v>0.2732948</v>
      </c>
      <c r="U5885">
        <v>-3.168793</v>
      </c>
      <c r="V5885">
        <v>0.18002960000000001</v>
      </c>
      <c r="W5885">
        <v>-1.2889650000000001E-2</v>
      </c>
      <c r="X5885">
        <v>0.98357669999999997</v>
      </c>
      <c r="Y5885">
        <v>0.49397930000000001</v>
      </c>
      <c r="Z5885">
        <v>-5.3846930000000001E-2</v>
      </c>
      <c r="AA5885">
        <v>0.86780469999999899</v>
      </c>
      <c r="AB5885">
        <v>25</v>
      </c>
      <c r="AC5885">
        <v>12.1417</v>
      </c>
      <c r="AD5885">
        <v>7.6183209999999999</v>
      </c>
      <c r="AE5885">
        <v>-88.128780999999904</v>
      </c>
      <c r="AF5885">
        <v>43.714564644757701</v>
      </c>
      <c r="AG5885">
        <v>7.6183209999999999</v>
      </c>
      <c r="AH5885">
        <v>76.735432849925104</v>
      </c>
      <c r="AI5885">
        <v>85.069618171610102</v>
      </c>
      <c r="AJ5885">
        <v>60.330743502255103</v>
      </c>
      <c r="AK5885">
        <v>88.641573945892404</v>
      </c>
      <c r="AL5885">
        <v>90.738543023792204</v>
      </c>
      <c r="AM5885">
        <v>79.627644459023102</v>
      </c>
      <c r="AN5885">
        <v>0.99999996236808497</v>
      </c>
    </row>
    <row r="5886" spans="1:40" x14ac:dyDescent="0.25">
      <c r="A5886" t="str">
        <f>"20190312161431297"</f>
        <v>20190312161431297</v>
      </c>
      <c r="B5886" t="str">
        <f>"1552378471292759"</f>
        <v>1552378471292759</v>
      </c>
      <c r="C5886" t="s">
        <v>40</v>
      </c>
      <c r="D5886">
        <v>6.0988709999999999</v>
      </c>
      <c r="E5886">
        <v>0.63185279999999999</v>
      </c>
      <c r="F5886" t="s">
        <v>103</v>
      </c>
      <c r="G5886">
        <v>-292.08479999999997</v>
      </c>
      <c r="H5886">
        <v>7.9377750000000002</v>
      </c>
      <c r="I5886">
        <v>-79.671169999999904</v>
      </c>
      <c r="J5886">
        <v>-303.52690000000001</v>
      </c>
      <c r="K5886">
        <v>1.049804</v>
      </c>
      <c r="L5886">
        <v>6.9971920000000001</v>
      </c>
      <c r="M5886">
        <v>0.59690889999999996</v>
      </c>
      <c r="N5886">
        <v>0</v>
      </c>
      <c r="O5886">
        <v>-0.80215209999999904</v>
      </c>
      <c r="P5886">
        <v>0.4435578</v>
      </c>
      <c r="Q5886">
        <v>-2.3854500000000001E-2</v>
      </c>
      <c r="R5886">
        <v>-0.89592859999999996</v>
      </c>
      <c r="S5886">
        <v>0.4217224</v>
      </c>
      <c r="T5886">
        <v>0.2507122</v>
      </c>
      <c r="U5886">
        <v>-3.1624150000000002</v>
      </c>
      <c r="V5886">
        <v>0.17874709999999999</v>
      </c>
      <c r="W5886">
        <v>-1.2720810000000001E-2</v>
      </c>
      <c r="X5886">
        <v>0.98381280000000004</v>
      </c>
      <c r="Y5886">
        <v>0.4857783</v>
      </c>
      <c r="Z5886">
        <v>-5.0749040000000002E-2</v>
      </c>
      <c r="AA5886">
        <v>0.87260759999999904</v>
      </c>
      <c r="AB5886">
        <v>25</v>
      </c>
      <c r="AC5886">
        <v>11.4421</v>
      </c>
      <c r="AD5886">
        <v>6.8879710000000003</v>
      </c>
      <c r="AE5886">
        <v>-86.668361999999902</v>
      </c>
      <c r="AF5886">
        <v>42.2975835696056</v>
      </c>
      <c r="AG5886">
        <v>6.8879710000000003</v>
      </c>
      <c r="AH5886">
        <v>75.8895850049594</v>
      </c>
      <c r="AI5886">
        <v>85.467043951529803</v>
      </c>
      <c r="AJ5886">
        <v>60.866588785974699</v>
      </c>
      <c r="AK5886">
        <v>87.153650712689995</v>
      </c>
      <c r="AL5886">
        <v>90.728868394206103</v>
      </c>
      <c r="AM5886">
        <v>79.702367116646698</v>
      </c>
      <c r="AN5886">
        <v>0.99999998510465204</v>
      </c>
    </row>
    <row r="5887" spans="1:40" x14ac:dyDescent="0.25">
      <c r="A5887" t="str">
        <f>"20190312161431320"</f>
        <v>20190312161431320</v>
      </c>
      <c r="B5887" t="str">
        <f>"1552378471312278"</f>
        <v>1552378471312278</v>
      </c>
      <c r="C5887" t="s">
        <v>40</v>
      </c>
      <c r="D5887">
        <v>5.857405</v>
      </c>
      <c r="E5887">
        <v>0.63106719999999905</v>
      </c>
      <c r="F5887" t="s">
        <v>103</v>
      </c>
      <c r="G5887">
        <v>-292.94080000000002</v>
      </c>
      <c r="H5887">
        <v>7.3907829999999999</v>
      </c>
      <c r="I5887">
        <v>-79.671169999999904</v>
      </c>
      <c r="J5887">
        <v>-303.38310000000001</v>
      </c>
      <c r="K5887">
        <v>1.049833</v>
      </c>
      <c r="L5887">
        <v>6.7758179999999903</v>
      </c>
      <c r="M5887">
        <v>0.58457669999999995</v>
      </c>
      <c r="N5887">
        <v>0</v>
      </c>
      <c r="O5887">
        <v>-0.8111834</v>
      </c>
      <c r="P5887">
        <v>0.43072349999999998</v>
      </c>
      <c r="Q5887">
        <v>-2.3734330000000001E-2</v>
      </c>
      <c r="R5887">
        <v>-0.90217199999999997</v>
      </c>
      <c r="S5887">
        <v>0.38638309999999998</v>
      </c>
      <c r="T5887">
        <v>0.23144149999999999</v>
      </c>
      <c r="U5887">
        <v>-3.1633300000000002</v>
      </c>
      <c r="V5887">
        <v>0.1777572</v>
      </c>
      <c r="W5887">
        <v>-1.256291E-2</v>
      </c>
      <c r="X5887">
        <v>0.98399420000000004</v>
      </c>
      <c r="Y5887">
        <v>0.48203629999999997</v>
      </c>
      <c r="Z5887">
        <v>-4.790055E-2</v>
      </c>
      <c r="AA5887">
        <v>0.87484089999999903</v>
      </c>
      <c r="AB5887">
        <v>25</v>
      </c>
      <c r="AC5887">
        <v>10.4422999999999</v>
      </c>
      <c r="AD5887">
        <v>6.3409499999999897</v>
      </c>
      <c r="AE5887">
        <v>-86.446987999999905</v>
      </c>
      <c r="AF5887">
        <v>41.847650535724803</v>
      </c>
      <c r="AG5887">
        <v>6.3409499999999897</v>
      </c>
      <c r="AH5887">
        <v>75.836121863224804</v>
      </c>
      <c r="AI5887">
        <v>85.812985666420005</v>
      </c>
      <c r="AJ5887">
        <v>61.109345634834298</v>
      </c>
      <c r="AK5887">
        <v>86.847860546570402</v>
      </c>
      <c r="AL5887">
        <v>90.7198206443217</v>
      </c>
      <c r="AM5887">
        <v>79.760033143654198</v>
      </c>
      <c r="AN5887">
        <v>1.0000000172465699</v>
      </c>
    </row>
    <row r="5888" spans="1:40" x14ac:dyDescent="0.25">
      <c r="A5888" t="str">
        <f>"20190312161431342"</f>
        <v>20190312161431342</v>
      </c>
      <c r="B5888" t="str">
        <f>"1552378471332774"</f>
        <v>1552378471332774</v>
      </c>
      <c r="C5888" t="s">
        <v>40</v>
      </c>
      <c r="D5888">
        <v>5.9180479999999998</v>
      </c>
      <c r="E5888">
        <v>0.62971140000000003</v>
      </c>
      <c r="F5888" t="s">
        <v>103</v>
      </c>
      <c r="G5888">
        <v>-293.91449999999998</v>
      </c>
      <c r="H5888">
        <v>7.1622190000000003</v>
      </c>
      <c r="I5888">
        <v>-79.671169999999904</v>
      </c>
      <c r="J5888">
        <v>-303.24799999999999</v>
      </c>
      <c r="K5888">
        <v>1.0498590000000001</v>
      </c>
      <c r="L5888">
        <v>6.560791</v>
      </c>
      <c r="M5888">
        <v>0.57258209999999998</v>
      </c>
      <c r="N5888">
        <v>0</v>
      </c>
      <c r="O5888">
        <v>-0.81969419999999904</v>
      </c>
      <c r="P5888">
        <v>0.4184562</v>
      </c>
      <c r="Q5888">
        <v>-2.417484E-2</v>
      </c>
      <c r="R5888">
        <v>-0.90791569999999999</v>
      </c>
      <c r="S5888">
        <v>0.34674070000000001</v>
      </c>
      <c r="T5888">
        <v>0.22383549999999999</v>
      </c>
      <c r="U5888">
        <v>-3.16568</v>
      </c>
      <c r="V5888">
        <v>0.1766045</v>
      </c>
      <c r="W5888">
        <v>-1.296256E-2</v>
      </c>
      <c r="X5888">
        <v>0.98419650000000003</v>
      </c>
      <c r="Y5888">
        <v>0.48003950000000001</v>
      </c>
      <c r="Z5888">
        <v>-4.7226440000000001E-2</v>
      </c>
      <c r="AA5888">
        <v>0.875974699999999</v>
      </c>
      <c r="AB5888">
        <v>25</v>
      </c>
      <c r="AC5888">
        <v>9.3335000000000097</v>
      </c>
      <c r="AD5888">
        <v>6.1123599999999998</v>
      </c>
      <c r="AE5888">
        <v>-86.231960999999899</v>
      </c>
      <c r="AF5888">
        <v>41.523289765878197</v>
      </c>
      <c r="AG5888">
        <v>6.1123599999999998</v>
      </c>
      <c r="AH5888">
        <v>75.661831849985106</v>
      </c>
      <c r="AI5888">
        <v>85.949010884097405</v>
      </c>
      <c r="AJ5888">
        <v>61.241975411922297</v>
      </c>
      <c r="AK5888">
        <v>86.523160694961405</v>
      </c>
      <c r="AL5888">
        <v>90.742720807060095</v>
      </c>
      <c r="AM5888">
        <v>79.827092202801595</v>
      </c>
      <c r="AN5888">
        <v>0.99999996399712598</v>
      </c>
    </row>
    <row r="5889" spans="1:40" x14ac:dyDescent="0.25">
      <c r="A5889" t="str">
        <f>"20190312161431364"</f>
        <v>20190312161431364</v>
      </c>
      <c r="B5889" t="str">
        <f>"1552378471352294"</f>
        <v>1552378471352294</v>
      </c>
      <c r="C5889" t="s">
        <v>40</v>
      </c>
      <c r="D5889">
        <v>6.1359640000000004</v>
      </c>
      <c r="E5889">
        <v>0.62830620000000004</v>
      </c>
      <c r="F5889" t="s">
        <v>103</v>
      </c>
      <c r="G5889">
        <v>-294.69490000000002</v>
      </c>
      <c r="H5889">
        <v>6.6766569999999996</v>
      </c>
      <c r="I5889">
        <v>-79.671169999999904</v>
      </c>
      <c r="J5889">
        <v>-303.11689999999999</v>
      </c>
      <c r="K5889">
        <v>1.049893</v>
      </c>
      <c r="L5889">
        <v>6.3452449999999896</v>
      </c>
      <c r="M5889">
        <v>0.56054589999999904</v>
      </c>
      <c r="N5889">
        <v>0</v>
      </c>
      <c r="O5889">
        <v>-0.82797149999999997</v>
      </c>
      <c r="P5889">
        <v>0.40558650000000002</v>
      </c>
      <c r="Q5889">
        <v>-2.4662799999999999E-2</v>
      </c>
      <c r="R5889">
        <v>-0.91372359999999997</v>
      </c>
      <c r="S5889">
        <v>0.3139343</v>
      </c>
      <c r="T5889">
        <v>0.2065274</v>
      </c>
      <c r="U5889">
        <v>-3.1650700000000001</v>
      </c>
      <c r="V5889">
        <v>0.17611360000000001</v>
      </c>
      <c r="W5889">
        <v>-1.342863E-2</v>
      </c>
      <c r="X5889">
        <v>0.98427830000000005</v>
      </c>
      <c r="Y5889">
        <v>0.47618300000000002</v>
      </c>
      <c r="Z5889">
        <v>-4.4463700000000002E-2</v>
      </c>
      <c r="AA5889">
        <v>0.87822129999999998</v>
      </c>
      <c r="AB5889">
        <v>25</v>
      </c>
      <c r="AC5889">
        <v>8.4219999999999597</v>
      </c>
      <c r="AD5889">
        <v>5.6267639999999997</v>
      </c>
      <c r="AE5889">
        <v>-86.016414999999995</v>
      </c>
      <c r="AF5889">
        <v>41.074067839900799</v>
      </c>
      <c r="AG5889">
        <v>5.6267639999999997</v>
      </c>
      <c r="AH5889">
        <v>75.629055613317206</v>
      </c>
      <c r="AI5889">
        <v>86.259347199181505</v>
      </c>
      <c r="AJ5889">
        <v>61.493657278234899</v>
      </c>
      <c r="AK5889">
        <v>86.246701820943301</v>
      </c>
      <c r="AL5889">
        <v>90.769426911211596</v>
      </c>
      <c r="AM5889">
        <v>79.855606880304606</v>
      </c>
      <c r="AN5889">
        <v>1.0000000500297599</v>
      </c>
    </row>
    <row r="5890" spans="1:40" x14ac:dyDescent="0.25">
      <c r="A5890" t="str">
        <f>"20190312161431386"</f>
        <v>20190312161431386</v>
      </c>
      <c r="B5890" t="str">
        <f>"1552378471382551"</f>
        <v>1552378471382551</v>
      </c>
      <c r="C5890" t="s">
        <v>40</v>
      </c>
      <c r="D5890">
        <v>6.0797569999999999</v>
      </c>
      <c r="E5890">
        <v>0.62662580000000001</v>
      </c>
      <c r="F5890" t="s">
        <v>103</v>
      </c>
      <c r="G5890">
        <v>-295.28019999999998</v>
      </c>
      <c r="H5890">
        <v>6.6740869999999903</v>
      </c>
      <c r="I5890">
        <v>-82.382400000000004</v>
      </c>
      <c r="J5890">
        <v>-302.98610000000002</v>
      </c>
      <c r="K5890">
        <v>1.049933</v>
      </c>
      <c r="L5890">
        <v>6.1227109999999998</v>
      </c>
      <c r="M5890">
        <v>0.54810829999999999</v>
      </c>
      <c r="N5890">
        <v>0</v>
      </c>
      <c r="O5890">
        <v>-0.83625740000000004</v>
      </c>
      <c r="P5890">
        <v>0.3926867</v>
      </c>
      <c r="Q5890">
        <v>-2.4895179999999999E-2</v>
      </c>
      <c r="R5890">
        <v>-0.91933560000000003</v>
      </c>
      <c r="S5890">
        <v>0.2795105</v>
      </c>
      <c r="T5890">
        <v>0.2005962</v>
      </c>
      <c r="U5890">
        <v>-3.164612</v>
      </c>
      <c r="V5890">
        <v>0.17524719999999999</v>
      </c>
      <c r="W5890">
        <v>-1.3628609999999999E-2</v>
      </c>
      <c r="X5890">
        <v>0.98443009999999997</v>
      </c>
      <c r="Y5890">
        <v>0.47249669999999999</v>
      </c>
      <c r="Z5890">
        <v>-4.4038290000000001E-2</v>
      </c>
      <c r="AA5890">
        <v>0.88023149999999994</v>
      </c>
      <c r="AB5890">
        <v>25</v>
      </c>
      <c r="AC5890">
        <v>7.7059000000000397</v>
      </c>
      <c r="AD5890">
        <v>5.6241539999999901</v>
      </c>
      <c r="AE5890">
        <v>-88.505110999999999</v>
      </c>
      <c r="AF5890">
        <v>41.903609117294899</v>
      </c>
      <c r="AG5890">
        <v>5.6241539999999901</v>
      </c>
      <c r="AH5890">
        <v>77.93419774825</v>
      </c>
      <c r="AI5890">
        <v>86.363154927759695</v>
      </c>
      <c r="AJ5890">
        <v>61.733998144102799</v>
      </c>
      <c r="AK5890">
        <v>88.663875078490094</v>
      </c>
      <c r="AL5890">
        <v>90.780886031085501</v>
      </c>
      <c r="AM5890">
        <v>79.906008480312806</v>
      </c>
      <c r="AN5890">
        <v>0.99999997095218995</v>
      </c>
    </row>
    <row r="5891" spans="1:40" x14ac:dyDescent="0.25">
      <c r="A5891" t="str">
        <f>"20190312161431409"</f>
        <v>20190312161431409</v>
      </c>
      <c r="B5891" t="str">
        <f>"1552378471402070"</f>
        <v>1552378471402070</v>
      </c>
      <c r="C5891" t="s">
        <v>40</v>
      </c>
      <c r="D5891">
        <v>5.9936939999999996</v>
      </c>
      <c r="E5891">
        <v>0.62532140000000003</v>
      </c>
      <c r="F5891" t="s">
        <v>103</v>
      </c>
      <c r="G5891">
        <v>-295.63420000000002</v>
      </c>
      <c r="H5891">
        <v>6.674086</v>
      </c>
      <c r="I5891">
        <v>-87.703190000000006</v>
      </c>
      <c r="J5891">
        <v>-302.85570000000001</v>
      </c>
      <c r="K5891">
        <v>1.049974</v>
      </c>
      <c r="L5891">
        <v>5.892944</v>
      </c>
      <c r="M5891">
        <v>0.5352597</v>
      </c>
      <c r="N5891">
        <v>0</v>
      </c>
      <c r="O5891">
        <v>-0.84453889999999998</v>
      </c>
      <c r="P5891">
        <v>0.3795849</v>
      </c>
      <c r="Q5891">
        <v>-2.454259E-2</v>
      </c>
      <c r="R5891">
        <v>-0.92483139999999997</v>
      </c>
      <c r="S5891">
        <v>0.24780269999999999</v>
      </c>
      <c r="T5891">
        <v>0.18956880000000001</v>
      </c>
      <c r="U5891">
        <v>-3.162506</v>
      </c>
      <c r="V5891">
        <v>0.17419949999999901</v>
      </c>
      <c r="W5891">
        <v>-1.323804E-2</v>
      </c>
      <c r="X5891">
        <v>0.98462139999999998</v>
      </c>
      <c r="Y5891">
        <v>0.46773179999999998</v>
      </c>
      <c r="Z5891">
        <v>-4.24649E-2</v>
      </c>
      <c r="AA5891">
        <v>0.88284979999999902</v>
      </c>
      <c r="AB5891">
        <v>25</v>
      </c>
      <c r="AC5891">
        <v>7.22149999999999</v>
      </c>
      <c r="AD5891">
        <v>5.6241120000000002</v>
      </c>
      <c r="AE5891">
        <v>-93.596133999999907</v>
      </c>
      <c r="AF5891">
        <v>43.847542440754196</v>
      </c>
      <c r="AG5891">
        <v>5.6241120000000002</v>
      </c>
      <c r="AH5891">
        <v>82.624797057115302</v>
      </c>
      <c r="AI5891">
        <v>86.559169030121893</v>
      </c>
      <c r="AJ5891">
        <v>62.045885443056797</v>
      </c>
      <c r="AK5891">
        <v>93.707495445197907</v>
      </c>
      <c r="AL5891">
        <v>90.758505971407303</v>
      </c>
      <c r="AM5891">
        <v>79.967034482863795</v>
      </c>
      <c r="AN5891">
        <v>1.00000000642062</v>
      </c>
    </row>
    <row r="5892" spans="1:40" x14ac:dyDescent="0.25">
      <c r="A5892" t="str">
        <f>"20190312161431432"</f>
        <v>20190312161431432</v>
      </c>
      <c r="B5892" t="str">
        <f>"1552378471422568"</f>
        <v>1552378471422568</v>
      </c>
      <c r="C5892" t="s">
        <v>40</v>
      </c>
      <c r="D5892">
        <v>6.1493129999999896</v>
      </c>
      <c r="E5892">
        <v>0.62441930000000001</v>
      </c>
      <c r="F5892" t="s">
        <v>103</v>
      </c>
      <c r="G5892">
        <v>-296.40539999999999</v>
      </c>
      <c r="H5892">
        <v>6.674086</v>
      </c>
      <c r="I5892">
        <v>-90.046890000000005</v>
      </c>
      <c r="J5892">
        <v>-302.73250000000002</v>
      </c>
      <c r="K5892">
        <v>1.0500160000000001</v>
      </c>
      <c r="L5892">
        <v>5.6677549999999997</v>
      </c>
      <c r="M5892">
        <v>0.52266749999999995</v>
      </c>
      <c r="N5892">
        <v>0</v>
      </c>
      <c r="O5892">
        <v>-0.85238979999999998</v>
      </c>
      <c r="P5892">
        <v>0.36713760000000001</v>
      </c>
      <c r="Q5892">
        <v>-2.4482259999999999E-2</v>
      </c>
      <c r="R5892">
        <v>-0.92984480000000003</v>
      </c>
      <c r="S5892">
        <v>0.21255489999999999</v>
      </c>
      <c r="T5892">
        <v>0.18533150000000001</v>
      </c>
      <c r="U5892">
        <v>-3.1614990000000001</v>
      </c>
      <c r="V5892">
        <v>0.17280699999999999</v>
      </c>
      <c r="W5892">
        <v>-1.313084E-2</v>
      </c>
      <c r="X5892">
        <v>0.98486819999999997</v>
      </c>
      <c r="Y5892">
        <v>0.4643834</v>
      </c>
      <c r="Z5892">
        <v>-4.2267140000000002E-2</v>
      </c>
      <c r="AA5892">
        <v>0.88462510000000005</v>
      </c>
      <c r="AB5892">
        <v>25</v>
      </c>
      <c r="AC5892">
        <v>6.3271000000000299</v>
      </c>
      <c r="AD5892">
        <v>5.6240699999999997</v>
      </c>
      <c r="AE5892">
        <v>-95.714644999999905</v>
      </c>
      <c r="AF5892">
        <v>44.486440899377698</v>
      </c>
      <c r="AG5892">
        <v>5.6240699999999997</v>
      </c>
      <c r="AH5892">
        <v>84.612921087171301</v>
      </c>
      <c r="AI5892">
        <v>86.633038165611396</v>
      </c>
      <c r="AJ5892">
        <v>62.266215347510702</v>
      </c>
      <c r="AK5892">
        <v>95.760221397836204</v>
      </c>
      <c r="AL5892">
        <v>90.752363316149697</v>
      </c>
      <c r="AM5892">
        <v>80.048069279995502</v>
      </c>
      <c r="AN5892">
        <v>1.0000000247896701</v>
      </c>
    </row>
    <row r="5893" spans="1:40" x14ac:dyDescent="0.25">
      <c r="A5893" t="str">
        <f>"20190312161431455"</f>
        <v>20190312161431455</v>
      </c>
      <c r="B5893" t="str">
        <f>"1552378471451847"</f>
        <v>1552378471451847</v>
      </c>
      <c r="C5893" t="s">
        <v>40</v>
      </c>
      <c r="D5893">
        <v>6.1371929999999999</v>
      </c>
      <c r="E5893">
        <v>0.62859940000000003</v>
      </c>
      <c r="F5893" t="s">
        <v>103</v>
      </c>
      <c r="G5893">
        <v>-297.28730000000002</v>
      </c>
      <c r="H5893">
        <v>6.5205859999999998</v>
      </c>
      <c r="I5893">
        <v>-91.564989999999995</v>
      </c>
      <c r="J5893">
        <v>-302.61</v>
      </c>
      <c r="K5893">
        <v>1.050057</v>
      </c>
      <c r="L5893">
        <v>5.4354250000000004</v>
      </c>
      <c r="M5893">
        <v>0.50966750000000005</v>
      </c>
      <c r="N5893">
        <v>0</v>
      </c>
      <c r="O5893">
        <v>-0.86022600000000005</v>
      </c>
      <c r="P5893">
        <v>0.35390840000000001</v>
      </c>
      <c r="Q5893">
        <v>-2.4807650000000001E-2</v>
      </c>
      <c r="R5893">
        <v>-0.93495110000000003</v>
      </c>
      <c r="S5893">
        <v>0.17703250000000001</v>
      </c>
      <c r="T5893">
        <v>0.17785409999999999</v>
      </c>
      <c r="U5893">
        <v>-3.161133</v>
      </c>
      <c r="V5893">
        <v>0.1718182</v>
      </c>
      <c r="W5893">
        <v>-1.342075E-2</v>
      </c>
      <c r="X5893">
        <v>0.9850373</v>
      </c>
      <c r="Y5893">
        <v>0.46083410000000002</v>
      </c>
      <c r="Z5893">
        <v>-4.1278820000000001E-2</v>
      </c>
      <c r="AA5893">
        <v>0.88652580000000003</v>
      </c>
      <c r="AB5893">
        <v>25</v>
      </c>
      <c r="AC5893">
        <v>5.3226999999999904</v>
      </c>
      <c r="AD5893">
        <v>5.470529</v>
      </c>
      <c r="AE5893">
        <v>-97.000415000000004</v>
      </c>
      <c r="AF5893">
        <v>44.723028730231597</v>
      </c>
      <c r="AG5893">
        <v>5.470529</v>
      </c>
      <c r="AH5893">
        <v>85.893494930696207</v>
      </c>
      <c r="AI5893">
        <v>86.766750873472802</v>
      </c>
      <c r="AJ5893">
        <v>62.494906525824497</v>
      </c>
      <c r="AK5893">
        <v>96.9936516363545</v>
      </c>
      <c r="AL5893">
        <v>90.7689753826035</v>
      </c>
      <c r="AM5893">
        <v>80.105550484402698</v>
      </c>
      <c r="AN5893">
        <v>1.0000000463865399</v>
      </c>
    </row>
    <row r="5894" spans="1:40" x14ac:dyDescent="0.25">
      <c r="A5894" t="str">
        <f>"20190312161431477"</f>
        <v>20190312161431477</v>
      </c>
      <c r="B5894" t="str">
        <f>"1552378471472343"</f>
        <v>1552378471472343</v>
      </c>
      <c r="C5894" t="s">
        <v>40</v>
      </c>
      <c r="D5894">
        <v>6.1074349999999997</v>
      </c>
      <c r="E5894">
        <v>0.62702170000000002</v>
      </c>
      <c r="F5894" t="s">
        <v>42</v>
      </c>
      <c r="G5894">
        <v>-302.18630000000002</v>
      </c>
      <c r="H5894" s="1">
        <v>-1.5118610000000001E-6</v>
      </c>
      <c r="I5894">
        <v>-7.4949669999999999</v>
      </c>
      <c r="J5894">
        <v>-302.49869999999999</v>
      </c>
      <c r="K5894">
        <v>1.050092</v>
      </c>
      <c r="L5894">
        <v>5.2168269999999897</v>
      </c>
      <c r="M5894">
        <v>0.4974365</v>
      </c>
      <c r="N5894">
        <v>0</v>
      </c>
      <c r="O5894">
        <v>-0.86735649999999997</v>
      </c>
      <c r="P5894">
        <v>0.3415552</v>
      </c>
      <c r="Q5894">
        <v>-2.487398E-2</v>
      </c>
      <c r="R5894">
        <v>-0.93953279999999995</v>
      </c>
      <c r="S5894">
        <v>0.1036377</v>
      </c>
      <c r="T5894">
        <v>-0.25683739999999999</v>
      </c>
      <c r="U5894">
        <v>-3.1626889999999999</v>
      </c>
      <c r="V5894">
        <v>0.1708527</v>
      </c>
      <c r="W5894">
        <v>-1.345266E-2</v>
      </c>
      <c r="X5894">
        <v>0.98520479999999999</v>
      </c>
      <c r="Y5894">
        <v>0.4687866</v>
      </c>
      <c r="Z5894">
        <v>6.017546E-2</v>
      </c>
      <c r="AA5894">
        <v>0.88125940000000003</v>
      </c>
      <c r="AB5894">
        <v>25</v>
      </c>
      <c r="AC5894">
        <v>0.31239999999996798</v>
      </c>
      <c r="AD5894">
        <v>-1.050093511861</v>
      </c>
      <c r="AE5894">
        <v>-12.711793999999999</v>
      </c>
      <c r="AF5894">
        <v>6.0121015883032598</v>
      </c>
      <c r="AG5894">
        <v>-1.050093511861</v>
      </c>
      <c r="AH5894">
        <v>11.106705168882</v>
      </c>
      <c r="AI5894">
        <v>94.752987192358603</v>
      </c>
      <c r="AJ5894">
        <v>61.573148759881597</v>
      </c>
      <c r="AK5894">
        <v>12.6730801938676</v>
      </c>
      <c r="AL5894">
        <v>90.770803846534605</v>
      </c>
      <c r="AM5894">
        <v>80.161700924254504</v>
      </c>
      <c r="AN5894">
        <v>1.0000000585507001</v>
      </c>
    </row>
    <row r="5895" spans="1:40" x14ac:dyDescent="0.25">
      <c r="A5895" t="str">
        <f>"20190312161431499"</f>
        <v>20190312161431499</v>
      </c>
      <c r="B5895" t="str">
        <f>"1552378471491863"</f>
        <v>1552378471491863</v>
      </c>
      <c r="C5895" t="s">
        <v>40</v>
      </c>
      <c r="D5895">
        <v>5.0370780000000002</v>
      </c>
      <c r="E5895">
        <v>0.6263628</v>
      </c>
      <c r="F5895" t="s">
        <v>42</v>
      </c>
      <c r="G5895">
        <v>-302.19540000000001</v>
      </c>
      <c r="H5895" s="1">
        <v>-1.375192E-6</v>
      </c>
      <c r="I5895">
        <v>-7.7892270000000003</v>
      </c>
      <c r="J5895">
        <v>-302.38569999999999</v>
      </c>
      <c r="K5895">
        <v>1.0501320000000001</v>
      </c>
      <c r="L5895">
        <v>4.9869690000000002</v>
      </c>
      <c r="M5895">
        <v>0.48457600000000001</v>
      </c>
      <c r="N5895">
        <v>0</v>
      </c>
      <c r="O5895">
        <v>-0.87460659999999901</v>
      </c>
      <c r="P5895">
        <v>0.32784249999999998</v>
      </c>
      <c r="Q5895">
        <v>-2.595165E-2</v>
      </c>
      <c r="R5895">
        <v>-0.94437610000000005</v>
      </c>
      <c r="S5895">
        <v>7.3669429999999994E-2</v>
      </c>
      <c r="T5895">
        <v>-0.25509789999999999</v>
      </c>
      <c r="U5895">
        <v>-3.1595460000000002</v>
      </c>
      <c r="V5895">
        <v>0.1706088</v>
      </c>
      <c r="W5895">
        <v>-1.451553E-2</v>
      </c>
      <c r="X5895">
        <v>0.98523190000000005</v>
      </c>
      <c r="Y5895">
        <v>0.46406779999999997</v>
      </c>
      <c r="Z5895">
        <v>6.0795580000000002E-2</v>
      </c>
      <c r="AA5895">
        <v>0.88371089999999997</v>
      </c>
      <c r="AB5895">
        <v>25</v>
      </c>
      <c r="AC5895">
        <v>0.19029999999997901</v>
      </c>
      <c r="AD5895">
        <v>-1.0501333751919999</v>
      </c>
      <c r="AE5895">
        <v>-12.776196000000001</v>
      </c>
      <c r="AF5895">
        <v>5.9849268724624496</v>
      </c>
      <c r="AG5895">
        <v>-1.0501333751919999</v>
      </c>
      <c r="AH5895">
        <v>11.192168461515999</v>
      </c>
      <c r="AI5895">
        <v>94.729908947697197</v>
      </c>
      <c r="AJ5895">
        <v>61.864695589510497</v>
      </c>
      <c r="AK5895">
        <v>12.735256756161901</v>
      </c>
      <c r="AL5895">
        <v>90.831707831654498</v>
      </c>
      <c r="AM5895">
        <v>80.175736644209294</v>
      </c>
      <c r="AN5895">
        <v>0.99999998001311496</v>
      </c>
    </row>
    <row r="5896" spans="1:40" x14ac:dyDescent="0.25">
      <c r="A5896" t="str">
        <f>"20190312161431521"</f>
        <v>20190312161431521</v>
      </c>
      <c r="B5896" t="str">
        <f>"1552378471512359"</f>
        <v>1552378471512359</v>
      </c>
      <c r="C5896" t="s">
        <v>40</v>
      </c>
      <c r="D5896">
        <v>5.8574339999999996</v>
      </c>
      <c r="E5896">
        <v>0.62588789999999905</v>
      </c>
      <c r="F5896" t="s">
        <v>42</v>
      </c>
      <c r="G5896">
        <v>-302.25200000000001</v>
      </c>
      <c r="H5896" s="1">
        <v>-1.282708E-6</v>
      </c>
      <c r="I5896">
        <v>-8.0167459999999995</v>
      </c>
      <c r="J5896">
        <v>-302.2783</v>
      </c>
      <c r="K5896">
        <v>1.0501799999999999</v>
      </c>
      <c r="L5896">
        <v>4.7600709999999999</v>
      </c>
      <c r="M5896">
        <v>0.47189049999999999</v>
      </c>
      <c r="N5896">
        <v>0</v>
      </c>
      <c r="O5896">
        <v>-0.88151599999999997</v>
      </c>
      <c r="P5896">
        <v>0.31368299999999999</v>
      </c>
      <c r="Q5896">
        <v>-2.627411E-2</v>
      </c>
      <c r="R5896">
        <v>-0.94916460000000002</v>
      </c>
      <c r="S5896">
        <v>3.2470699999999998E-2</v>
      </c>
      <c r="T5896">
        <v>-0.25506250000000003</v>
      </c>
      <c r="U5896">
        <v>-3.158417</v>
      </c>
      <c r="V5896">
        <v>0.1710988</v>
      </c>
      <c r="W5896">
        <v>-1.4842340000000001E-2</v>
      </c>
      <c r="X5896">
        <v>0.98514210000000002</v>
      </c>
      <c r="Y5896">
        <v>0.46279039999999999</v>
      </c>
      <c r="Z5896">
        <v>6.165756E-2</v>
      </c>
      <c r="AA5896">
        <v>0.88432089999999997</v>
      </c>
      <c r="AB5896">
        <v>25</v>
      </c>
      <c r="AC5896">
        <v>2.6299999999992E-2</v>
      </c>
      <c r="AD5896">
        <v>-1.0501812827079999</v>
      </c>
      <c r="AE5896">
        <v>-12.776816999999999</v>
      </c>
      <c r="AF5896">
        <v>5.9665132855648801</v>
      </c>
      <c r="AG5896">
        <v>-1.0501812827079999</v>
      </c>
      <c r="AH5896">
        <v>11.201109552124001</v>
      </c>
      <c r="AI5896">
        <v>94.7304138731553</v>
      </c>
      <c r="AJ5896">
        <v>61.957038055499098</v>
      </c>
      <c r="AK5896">
        <v>12.734481407267999</v>
      </c>
      <c r="AL5896">
        <v>90.850434644525507</v>
      </c>
      <c r="AM5896">
        <v>80.147192363661105</v>
      </c>
      <c r="AN5896">
        <v>1.0000000258052599</v>
      </c>
    </row>
    <row r="5897" spans="1:40" x14ac:dyDescent="0.25">
      <c r="A5897" t="str">
        <f>"20190312161431542"</f>
        <v>20190312161431542</v>
      </c>
      <c r="B5897" t="str">
        <f>"1552378471531878"</f>
        <v>1552378471531878</v>
      </c>
      <c r="C5897" t="s">
        <v>40</v>
      </c>
      <c r="D5897">
        <v>6.3519119999999996</v>
      </c>
      <c r="E5897">
        <v>0.60404619999999998</v>
      </c>
      <c r="F5897" t="s">
        <v>42</v>
      </c>
      <c r="G5897">
        <v>-302.32310000000001</v>
      </c>
      <c r="H5897" s="1">
        <v>-1.3940440000000001E-6</v>
      </c>
      <c r="I5897">
        <v>-7.8212429999999902</v>
      </c>
      <c r="J5897">
        <v>-302.17579999999998</v>
      </c>
      <c r="K5897">
        <v>1.0502309999999999</v>
      </c>
      <c r="L5897">
        <v>4.5353700000000003</v>
      </c>
      <c r="M5897">
        <v>0.45934039999999998</v>
      </c>
      <c r="N5897">
        <v>0</v>
      </c>
      <c r="O5897">
        <v>-0.88812029999999997</v>
      </c>
      <c r="P5897">
        <v>0.30080679999999999</v>
      </c>
      <c r="Q5897">
        <v>-2.640907E-2</v>
      </c>
      <c r="R5897">
        <v>-0.95331969999999999</v>
      </c>
      <c r="S5897">
        <v>-1.126099E-2</v>
      </c>
      <c r="T5897">
        <v>-0.26352819999999999</v>
      </c>
      <c r="U5897">
        <v>-3.1571039999999999</v>
      </c>
      <c r="V5897">
        <v>0.17045779999999999</v>
      </c>
      <c r="W5897">
        <v>-1.4950959999999999E-2</v>
      </c>
      <c r="X5897">
        <v>0.98525149999999995</v>
      </c>
      <c r="Y5897">
        <v>0.4624588</v>
      </c>
      <c r="Z5897">
        <v>6.4532409999999998E-2</v>
      </c>
      <c r="AA5897">
        <v>0.88428929999999994</v>
      </c>
      <c r="AB5897">
        <v>25</v>
      </c>
      <c r="AC5897">
        <v>-0.14730000000002899</v>
      </c>
      <c r="AD5897">
        <v>-1.0502323940439999</v>
      </c>
      <c r="AE5897">
        <v>-12.356612999999999</v>
      </c>
      <c r="AF5897">
        <v>5.7657883834379602</v>
      </c>
      <c r="AG5897">
        <v>-1.0502323940439999</v>
      </c>
      <c r="AH5897">
        <v>10.829633530587</v>
      </c>
      <c r="AI5897">
        <v>94.892669706848594</v>
      </c>
      <c r="AJ5897">
        <v>61.968785662501801</v>
      </c>
      <c r="AK5897">
        <v>12.313742979732099</v>
      </c>
      <c r="AL5897">
        <v>90.856658862794802</v>
      </c>
      <c r="AM5897">
        <v>80.184454024791606</v>
      </c>
      <c r="AN5897">
        <v>0.999999955519004</v>
      </c>
    </row>
    <row r="5898" spans="1:40" x14ac:dyDescent="0.25">
      <c r="A5898" t="str">
        <f>"20190312161431565"</f>
        <v>20190312161431565</v>
      </c>
      <c r="B5898" t="str">
        <f>"1552378471562135"</f>
        <v>1552378471562135</v>
      </c>
      <c r="C5898" t="s">
        <v>40</v>
      </c>
      <c r="D5898">
        <v>6.175319</v>
      </c>
      <c r="E5898">
        <v>0.602421599999999</v>
      </c>
      <c r="F5898" t="s">
        <v>103</v>
      </c>
      <c r="G5898">
        <v>-298.76330000000002</v>
      </c>
      <c r="H5898">
        <v>1.9361820000000001</v>
      </c>
      <c r="I5898">
        <v>-91.564989999999995</v>
      </c>
      <c r="J5898">
        <v>-302.0745</v>
      </c>
      <c r="K5898">
        <v>1.050289</v>
      </c>
      <c r="L5898">
        <v>4.3049619999999997</v>
      </c>
      <c r="M5898">
        <v>0.4464919</v>
      </c>
      <c r="N5898">
        <v>0</v>
      </c>
      <c r="O5898">
        <v>-0.89464900000000003</v>
      </c>
      <c r="P5898">
        <v>0.28846769999999999</v>
      </c>
      <c r="Q5898">
        <v>-2.7081290000000001E-2</v>
      </c>
      <c r="R5898">
        <v>-0.95710680000000004</v>
      </c>
      <c r="S5898">
        <v>0.1105347</v>
      </c>
      <c r="T5898">
        <v>2.8697609999999998E-2</v>
      </c>
      <c r="U5898">
        <v>-3.1128230000000001</v>
      </c>
      <c r="V5898">
        <v>0.16896129999999901</v>
      </c>
      <c r="W5898">
        <v>-1.55739E-2</v>
      </c>
      <c r="X5898">
        <v>0.98549960000000003</v>
      </c>
      <c r="Y5898">
        <v>0.41451379999999999</v>
      </c>
      <c r="Z5898">
        <v>-7.35059199999999E-3</v>
      </c>
      <c r="AA5898">
        <v>0.91001339999999997</v>
      </c>
      <c r="AB5898">
        <v>25</v>
      </c>
      <c r="AC5898">
        <v>3.3111999999999799</v>
      </c>
      <c r="AD5898">
        <v>0.88589300000000004</v>
      </c>
      <c r="AE5898">
        <v>-95.869951999999998</v>
      </c>
      <c r="AF5898">
        <v>39.844341488068302</v>
      </c>
      <c r="AG5898">
        <v>0.88589300000000004</v>
      </c>
      <c r="AH5898">
        <v>87.251766636938001</v>
      </c>
      <c r="AI5898">
        <v>89.470839765021495</v>
      </c>
      <c r="AJ5898">
        <v>65.455743661965599</v>
      </c>
      <c r="AK5898">
        <v>95.923027143079395</v>
      </c>
      <c r="AL5898">
        <v>90.892354847684302</v>
      </c>
      <c r="AM5898">
        <v>80.271375944452799</v>
      </c>
      <c r="AN5898">
        <v>0.99999996442952899</v>
      </c>
    </row>
    <row r="5899" spans="1:40" x14ac:dyDescent="0.25">
      <c r="A5899" t="str">
        <f>"20190312161431587"</f>
        <v>20190312161431587</v>
      </c>
      <c r="B5899" t="str">
        <f>"1552378471582631"</f>
        <v>1552378471582631</v>
      </c>
      <c r="C5899" t="s">
        <v>40</v>
      </c>
      <c r="D5899">
        <v>6.2219499999999996</v>
      </c>
      <c r="E5899">
        <v>0.60162919999999998</v>
      </c>
      <c r="F5899" t="s">
        <v>103</v>
      </c>
      <c r="G5899">
        <v>-299.53489999999999</v>
      </c>
      <c r="H5899">
        <v>1.369184</v>
      </c>
      <c r="I5899">
        <v>-90.976820000000004</v>
      </c>
      <c r="J5899">
        <v>-301.97410000000002</v>
      </c>
      <c r="K5899">
        <v>1.0503629999999999</v>
      </c>
      <c r="L5899">
        <v>4.0673519999999996</v>
      </c>
      <c r="M5899">
        <v>0.43326949999999997</v>
      </c>
      <c r="N5899">
        <v>0</v>
      </c>
      <c r="O5899">
        <v>-0.90112689999999995</v>
      </c>
      <c r="P5899">
        <v>0.27559129999999998</v>
      </c>
      <c r="Q5899">
        <v>-2.7626959999999999E-2</v>
      </c>
      <c r="R5899">
        <v>-0.96087809999999996</v>
      </c>
      <c r="S5899">
        <v>8.2885739999999999E-2</v>
      </c>
      <c r="T5899">
        <v>1.04084E-2</v>
      </c>
      <c r="U5899">
        <v>-3.109772</v>
      </c>
      <c r="V5899">
        <v>0.16766410000000001</v>
      </c>
      <c r="W5899">
        <v>-1.6075030000000001E-2</v>
      </c>
      <c r="X5899">
        <v>0.98571310000000001</v>
      </c>
      <c r="Y5899">
        <v>0.40915689999999999</v>
      </c>
      <c r="Z5899">
        <v>-2.705182E-3</v>
      </c>
      <c r="AA5899">
        <v>0.91246000000000005</v>
      </c>
      <c r="AB5899">
        <v>25</v>
      </c>
      <c r="AC5899">
        <v>2.43920000000002</v>
      </c>
      <c r="AD5899">
        <v>0.31882100000000002</v>
      </c>
      <c r="AE5899">
        <v>-95.044172000000003</v>
      </c>
      <c r="AF5899">
        <v>38.986105465631397</v>
      </c>
      <c r="AG5899">
        <v>0.31882100000000002</v>
      </c>
      <c r="AH5899">
        <v>86.713462727520707</v>
      </c>
      <c r="AI5899">
        <v>89.807865947602295</v>
      </c>
      <c r="AJ5899">
        <v>65.791463383795502</v>
      </c>
      <c r="AK5899">
        <v>95.074931945305707</v>
      </c>
      <c r="AL5899">
        <v>90.921071058574199</v>
      </c>
      <c r="AM5899">
        <v>80.346708039270297</v>
      </c>
      <c r="AN5899">
        <v>0.99999998626496001</v>
      </c>
    </row>
    <row r="5900" spans="1:40" x14ac:dyDescent="0.25">
      <c r="A5900" t="str">
        <f>"20190312161431610"</f>
        <v>20190312161431610</v>
      </c>
      <c r="B5900" t="str">
        <f>"1552378471602151"</f>
        <v>1552378471602151</v>
      </c>
      <c r="C5900" t="s">
        <v>40</v>
      </c>
      <c r="D5900">
        <v>6.2097329999999999</v>
      </c>
      <c r="E5900">
        <v>0.6003404</v>
      </c>
      <c r="F5900" t="s">
        <v>103</v>
      </c>
      <c r="G5900">
        <v>-300.52499999999998</v>
      </c>
      <c r="H5900">
        <v>0.95202059999999999</v>
      </c>
      <c r="I5900">
        <v>-90.976820000000004</v>
      </c>
      <c r="J5900">
        <v>-301.87950000000001</v>
      </c>
      <c r="K5900">
        <v>1.0504370000000001</v>
      </c>
      <c r="L5900">
        <v>3.8335270000000001</v>
      </c>
      <c r="M5900">
        <v>0.42029840000000002</v>
      </c>
      <c r="N5900">
        <v>0</v>
      </c>
      <c r="O5900">
        <v>-0.90724959999999999</v>
      </c>
      <c r="P5900">
        <v>0.26329029999999998</v>
      </c>
      <c r="Q5900">
        <v>-2.7105230000000001E-2</v>
      </c>
      <c r="R5900">
        <v>-0.96433599999999997</v>
      </c>
      <c r="S5900">
        <v>4.73938E-2</v>
      </c>
      <c r="T5900">
        <v>-3.2159089999999999E-3</v>
      </c>
      <c r="U5900">
        <v>-3.1084589999999999</v>
      </c>
      <c r="V5900">
        <v>0.16614119999999999</v>
      </c>
      <c r="W5900">
        <v>-1.550269E-2</v>
      </c>
      <c r="X5900">
        <v>0.98598010000000003</v>
      </c>
      <c r="Y5900">
        <v>0.40646880000000002</v>
      </c>
      <c r="Z5900">
        <v>8.4625759999999999E-4</v>
      </c>
      <c r="AA5900">
        <v>0.91366429999999998</v>
      </c>
      <c r="AB5900">
        <v>25</v>
      </c>
      <c r="AC5900">
        <v>1.35450000000003</v>
      </c>
      <c r="AD5900">
        <v>-9.8416400000000001E-2</v>
      </c>
      <c r="AE5900">
        <v>-94.810346999999993</v>
      </c>
      <c r="AF5900">
        <v>38.624504458868699</v>
      </c>
      <c r="AG5900">
        <v>-9.8416400000000001E-2</v>
      </c>
      <c r="AH5900">
        <v>86.596563744024806</v>
      </c>
      <c r="AI5900">
        <v>90.059468963272195</v>
      </c>
      <c r="AJ5900">
        <v>65.961783666051303</v>
      </c>
      <c r="AK5900">
        <v>94.819970906734198</v>
      </c>
      <c r="AL5900">
        <v>90.888274295591401</v>
      </c>
      <c r="AM5900">
        <v>80.435304218937205</v>
      </c>
      <c r="AN5900">
        <v>0.99999999466534295</v>
      </c>
    </row>
    <row r="5901" spans="1:40" x14ac:dyDescent="0.25">
      <c r="A5901" t="str">
        <f>"20190312161431633"</f>
        <v>20190312161431633</v>
      </c>
      <c r="B5901" t="str">
        <f>"1552378471622647"</f>
        <v>1552378471622647</v>
      </c>
      <c r="C5901" t="s">
        <v>40</v>
      </c>
      <c r="D5901">
        <v>6.4368259999999999</v>
      </c>
      <c r="E5901">
        <v>0.59886450000000002</v>
      </c>
      <c r="F5901" t="s">
        <v>103</v>
      </c>
      <c r="G5901">
        <v>-301.3485</v>
      </c>
      <c r="H5901">
        <v>0.63643070000000002</v>
      </c>
      <c r="I5901">
        <v>-90.976820000000004</v>
      </c>
      <c r="J5901">
        <v>-301.78660000000002</v>
      </c>
      <c r="K5901">
        <v>1.050513</v>
      </c>
      <c r="L5901">
        <v>3.5939030000000001</v>
      </c>
      <c r="M5901">
        <v>0.4070452</v>
      </c>
      <c r="N5901">
        <v>0</v>
      </c>
      <c r="O5901">
        <v>-0.913273</v>
      </c>
      <c r="P5901">
        <v>0.25047219999999998</v>
      </c>
      <c r="Q5901">
        <v>-2.6827009999999998E-2</v>
      </c>
      <c r="R5901">
        <v>-0.96775219999999995</v>
      </c>
      <c r="S5901">
        <v>1.7395020000000001E-2</v>
      </c>
      <c r="T5901">
        <v>-1.3561729999999999E-2</v>
      </c>
      <c r="U5901">
        <v>-3.1058349999999999</v>
      </c>
      <c r="V5901">
        <v>0.16488069999999999</v>
      </c>
      <c r="W5901">
        <v>-1.518138E-2</v>
      </c>
      <c r="X5901">
        <v>0.98619670000000004</v>
      </c>
      <c r="Y5901">
        <v>0.40197329999999998</v>
      </c>
      <c r="Z5901">
        <v>3.6152340000000002E-3</v>
      </c>
      <c r="AA5901">
        <v>0.91564420000000002</v>
      </c>
      <c r="AB5901">
        <v>25</v>
      </c>
      <c r="AC5901">
        <v>0.43810000000001897</v>
      </c>
      <c r="AD5901">
        <v>-0.41408230000000001</v>
      </c>
      <c r="AE5901">
        <v>-94.570723000000001</v>
      </c>
      <c r="AF5901">
        <v>38.098422098499903</v>
      </c>
      <c r="AG5901">
        <v>-0.41408230000000001</v>
      </c>
      <c r="AH5901">
        <v>86.556229674796995</v>
      </c>
      <c r="AI5901">
        <v>90.250872744299897</v>
      </c>
      <c r="AJ5901">
        <v>66.242918694679901</v>
      </c>
      <c r="AK5901">
        <v>94.570831264522795</v>
      </c>
      <c r="AL5901">
        <v>90.869862394836105</v>
      </c>
      <c r="AM5901">
        <v>80.508592140423104</v>
      </c>
      <c r="AN5901">
        <v>1.0000000253110399</v>
      </c>
    </row>
    <row r="5902" spans="1:40" x14ac:dyDescent="0.25">
      <c r="A5902" t="str">
        <f>"20190312161431658"</f>
        <v>20190312161431658</v>
      </c>
      <c r="B5902" t="str">
        <f>"1552378471651927"</f>
        <v>1552378471651927</v>
      </c>
      <c r="C5902" t="s">
        <v>40</v>
      </c>
      <c r="D5902">
        <v>6.3123630000000004</v>
      </c>
      <c r="E5902">
        <v>0.59718169999999904</v>
      </c>
      <c r="F5902" t="s">
        <v>103</v>
      </c>
      <c r="G5902">
        <v>-302.16660000000002</v>
      </c>
      <c r="H5902">
        <v>0.41954039999999998</v>
      </c>
      <c r="I5902">
        <v>-91.564989999999995</v>
      </c>
      <c r="J5902">
        <v>-301.68900000000002</v>
      </c>
      <c r="K5902">
        <v>1.0505910000000001</v>
      </c>
      <c r="L5902">
        <v>3.330597</v>
      </c>
      <c r="M5902">
        <v>0.3925207</v>
      </c>
      <c r="N5902">
        <v>0</v>
      </c>
      <c r="O5902">
        <v>-0.91960929999999996</v>
      </c>
      <c r="P5902">
        <v>0.23617869999999999</v>
      </c>
      <c r="Q5902">
        <v>-2.6886899999999998E-2</v>
      </c>
      <c r="R5902">
        <v>-0.97133740000000002</v>
      </c>
      <c r="S5902">
        <v>-1.2390139999999999E-2</v>
      </c>
      <c r="T5902">
        <v>-2.0572070000000001E-2</v>
      </c>
      <c r="U5902">
        <v>-3.1025999999999998</v>
      </c>
      <c r="V5902">
        <v>0.16379050000000001</v>
      </c>
      <c r="W5902">
        <v>-1.5203879999999999E-2</v>
      </c>
      <c r="X5902">
        <v>0.98637799999999998</v>
      </c>
      <c r="Y5902">
        <v>0.39623829999999999</v>
      </c>
      <c r="Z5902">
        <v>5.560438E-3</v>
      </c>
      <c r="AA5902">
        <v>0.91813089999999997</v>
      </c>
      <c r="AB5902">
        <v>25</v>
      </c>
      <c r="AC5902">
        <v>-0.47759999999999497</v>
      </c>
      <c r="AD5902">
        <v>-0.63105059999999902</v>
      </c>
      <c r="AE5902">
        <v>-94.895587000000006</v>
      </c>
      <c r="AF5902">
        <v>37.690661810423002</v>
      </c>
      <c r="AG5902">
        <v>-0.63105059999999902</v>
      </c>
      <c r="AH5902">
        <v>87.086268430984902</v>
      </c>
      <c r="AI5902">
        <v>90.381020288801096</v>
      </c>
      <c r="AJ5902">
        <v>66.597191496079802</v>
      </c>
      <c r="AK5902">
        <v>94.894690904186007</v>
      </c>
      <c r="AL5902">
        <v>90.871151701208802</v>
      </c>
      <c r="AM5902">
        <v>80.571921154436595</v>
      </c>
      <c r="AN5902">
        <v>1.00000002237065</v>
      </c>
    </row>
    <row r="5903" spans="1:40" x14ac:dyDescent="0.25">
      <c r="A5903" t="str">
        <f>"20190312161431680"</f>
        <v>20190312161431680</v>
      </c>
      <c r="B5903" t="str">
        <f>"1552378471672423"</f>
        <v>1552378471672423</v>
      </c>
      <c r="C5903" t="s">
        <v>40</v>
      </c>
      <c r="D5903">
        <v>6.4821720000000003</v>
      </c>
      <c r="E5903">
        <v>0.5963754</v>
      </c>
      <c r="F5903" t="s">
        <v>103</v>
      </c>
      <c r="G5903">
        <v>-303.06380000000001</v>
      </c>
      <c r="H5903">
        <v>0.11617280000000001</v>
      </c>
      <c r="I5903">
        <v>-91.564989999999995</v>
      </c>
      <c r="J5903">
        <v>-301.60500000000002</v>
      </c>
      <c r="K5903">
        <v>1.050659</v>
      </c>
      <c r="L5903">
        <v>3.0936279999999998</v>
      </c>
      <c r="M5903">
        <v>0.37948340000000003</v>
      </c>
      <c r="N5903">
        <v>0</v>
      </c>
      <c r="O5903">
        <v>-0.9250661</v>
      </c>
      <c r="P5903">
        <v>0.22350639999999999</v>
      </c>
      <c r="Q5903">
        <v>-2.6736889999999999E-2</v>
      </c>
      <c r="R5903">
        <v>-0.97433599999999998</v>
      </c>
      <c r="S5903">
        <v>-4.4891359999999998E-2</v>
      </c>
      <c r="T5903">
        <v>-3.0510900000000001E-2</v>
      </c>
      <c r="U5903">
        <v>-3.0986020000000001</v>
      </c>
      <c r="V5903">
        <v>0.16270419999999999</v>
      </c>
      <c r="W5903">
        <v>-1.501858E-2</v>
      </c>
      <c r="X5903">
        <v>0.98656060000000001</v>
      </c>
      <c r="Y5903">
        <v>0.39289109999999999</v>
      </c>
      <c r="Z5903">
        <v>8.3437790000000008E-3</v>
      </c>
      <c r="AA5903">
        <v>0.91954709999999995</v>
      </c>
      <c r="AB5903">
        <v>25</v>
      </c>
      <c r="AC5903">
        <v>-1.4587999999999901</v>
      </c>
      <c r="AD5903">
        <v>-0.93448619999999905</v>
      </c>
      <c r="AE5903">
        <v>-94.658618000000004</v>
      </c>
      <c r="AF5903">
        <v>37.271796619242103</v>
      </c>
      <c r="AG5903">
        <v>-0.93448619999999905</v>
      </c>
      <c r="AH5903">
        <v>87.014073357121404</v>
      </c>
      <c r="AI5903">
        <v>90.5656033909668</v>
      </c>
      <c r="AJ5903">
        <v>66.812507894371393</v>
      </c>
      <c r="AK5903">
        <v>94.665247318552204</v>
      </c>
      <c r="AL5903">
        <v>90.860533586617194</v>
      </c>
      <c r="AM5903">
        <v>80.635041755850693</v>
      </c>
      <c r="AN5903">
        <v>1.0000000159575999</v>
      </c>
    </row>
    <row r="5904" spans="1:40" x14ac:dyDescent="0.25">
      <c r="A5904" t="str">
        <f>"20190312161431702"</f>
        <v>20190312161431702</v>
      </c>
      <c r="B5904" t="str">
        <f>"1552378471691943"</f>
        <v>1552378471691943</v>
      </c>
      <c r="C5904" t="s">
        <v>40</v>
      </c>
      <c r="D5904">
        <v>6.3078409999999998</v>
      </c>
      <c r="E5904">
        <v>0.59523740000000003</v>
      </c>
      <c r="F5904" t="s">
        <v>77</v>
      </c>
      <c r="G5904">
        <v>-303.18439999999998</v>
      </c>
      <c r="H5904" s="1">
        <v>-9.4457250000000001E-6</v>
      </c>
      <c r="I5904">
        <v>-58.931019999999997</v>
      </c>
      <c r="J5904">
        <v>-301.52510000000001</v>
      </c>
      <c r="K5904">
        <v>1.050724</v>
      </c>
      <c r="L5904">
        <v>2.8579409999999998</v>
      </c>
      <c r="M5904">
        <v>0.3665543</v>
      </c>
      <c r="N5904">
        <v>0</v>
      </c>
      <c r="O5904">
        <v>-0.93026520000000001</v>
      </c>
      <c r="P5904">
        <v>0.2117417</v>
      </c>
      <c r="Q5904">
        <v>-2.6795659999999999E-2</v>
      </c>
      <c r="R5904">
        <v>-0.9769584</v>
      </c>
      <c r="S5904">
        <v>-7.8826899999999894E-2</v>
      </c>
      <c r="T5904">
        <v>-5.243921E-2</v>
      </c>
      <c r="U5904">
        <v>-3.0956730000000001</v>
      </c>
      <c r="V5904">
        <v>0.1608513</v>
      </c>
      <c r="W5904">
        <v>-1.5023389999999999E-2</v>
      </c>
      <c r="X5904">
        <v>0.98686430000000003</v>
      </c>
      <c r="Y5904">
        <v>0.39015840000000002</v>
      </c>
      <c r="Z5904">
        <v>1.4492049999999999E-2</v>
      </c>
      <c r="AA5904">
        <v>0.9206337</v>
      </c>
      <c r="AB5904">
        <v>25</v>
      </c>
      <c r="AC5904">
        <v>-1.65929999999997</v>
      </c>
      <c r="AD5904">
        <v>-1.0507334457249999</v>
      </c>
      <c r="AE5904">
        <v>-61.788960999999901</v>
      </c>
      <c r="AF5904">
        <v>24.188567995159602</v>
      </c>
      <c r="AG5904">
        <v>-1.0507334457249999</v>
      </c>
      <c r="AH5904">
        <v>56.862421962794997</v>
      </c>
      <c r="AI5904">
        <v>90.974162447197102</v>
      </c>
      <c r="AJ5904">
        <v>66.955701408117804</v>
      </c>
      <c r="AK5904">
        <v>61.8023130142018</v>
      </c>
      <c r="AL5904">
        <v>90.860809228634096</v>
      </c>
      <c r="AM5904">
        <v>80.742633843619004</v>
      </c>
      <c r="AN5904">
        <v>0.99999999478663604</v>
      </c>
    </row>
    <row r="5905" spans="1:40" x14ac:dyDescent="0.25">
      <c r="A5905" t="str">
        <f>"20190312161431724"</f>
        <v>20190312161431724</v>
      </c>
      <c r="B5905" t="str">
        <f>"1552378471712439"</f>
        <v>1552378471712439</v>
      </c>
      <c r="C5905" t="s">
        <v>40</v>
      </c>
      <c r="D5905">
        <v>5.7800719999999997</v>
      </c>
      <c r="E5905">
        <v>0.59531409999999996</v>
      </c>
      <c r="F5905" t="s">
        <v>77</v>
      </c>
      <c r="G5905">
        <v>-303.20710000000003</v>
      </c>
      <c r="H5905" s="1">
        <v>-3.7237329999999999E-6</v>
      </c>
      <c r="I5905">
        <v>-45.656579999999998</v>
      </c>
      <c r="J5905">
        <v>-301.44979999999998</v>
      </c>
      <c r="K5905">
        <v>1.050783</v>
      </c>
      <c r="L5905">
        <v>2.625702</v>
      </c>
      <c r="M5905">
        <v>0.3538578</v>
      </c>
      <c r="N5905">
        <v>0</v>
      </c>
      <c r="O5905">
        <v>-0.93516869999999996</v>
      </c>
      <c r="P5905">
        <v>0.20053650000000001</v>
      </c>
      <c r="Q5905">
        <v>-2.6834429999999999E-2</v>
      </c>
      <c r="R5905">
        <v>-0.97931880000000004</v>
      </c>
      <c r="S5905">
        <v>-0.10720830000000001</v>
      </c>
      <c r="T5905">
        <v>-6.6970109999999999E-2</v>
      </c>
      <c r="U5905">
        <v>-3.0921630000000002</v>
      </c>
      <c r="V5905">
        <v>0.1587247</v>
      </c>
      <c r="W5905">
        <v>-1.500217E-2</v>
      </c>
      <c r="X5905">
        <v>0.98720889999999994</v>
      </c>
      <c r="Y5905">
        <v>0.3860865</v>
      </c>
      <c r="Z5905">
        <v>1.8701579999999999E-2</v>
      </c>
      <c r="AA5905">
        <v>0.92227300000000001</v>
      </c>
      <c r="AB5905">
        <v>24</v>
      </c>
      <c r="AC5905">
        <v>-1.7573000000000401</v>
      </c>
      <c r="AD5905">
        <v>-1.050786723733</v>
      </c>
      <c r="AE5905">
        <v>-48.282282000000002</v>
      </c>
      <c r="AF5905">
        <v>18.721865030060702</v>
      </c>
      <c r="AG5905">
        <v>-1.050786723733</v>
      </c>
      <c r="AH5905">
        <v>44.514625558398798</v>
      </c>
      <c r="AI5905">
        <v>91.246518737506605</v>
      </c>
      <c r="AJ5905">
        <v>67.189456802779304</v>
      </c>
      <c r="AK5905">
        <v>48.302839166523498</v>
      </c>
      <c r="AL5905">
        <v>90.859593267344707</v>
      </c>
      <c r="AM5905">
        <v>80.866082313476497</v>
      </c>
      <c r="AN5905">
        <v>1.0000000038670001</v>
      </c>
    </row>
    <row r="5906" spans="1:40" x14ac:dyDescent="0.25">
      <c r="A5906" t="str">
        <f>"20190312161431750"</f>
        <v>20190312161431750</v>
      </c>
      <c r="B5906" t="str">
        <f>"1552378471742696"</f>
        <v>1552378471742696</v>
      </c>
      <c r="C5906" t="s">
        <v>40</v>
      </c>
      <c r="D5906">
        <v>6.1115909999999998</v>
      </c>
      <c r="E5906">
        <v>0.59480169999999999</v>
      </c>
      <c r="F5906" t="s">
        <v>77</v>
      </c>
      <c r="G5906">
        <v>-304.39260000000002</v>
      </c>
      <c r="H5906" s="1">
        <v>-9.6308620000000006E-6</v>
      </c>
      <c r="I5906">
        <v>-60.798009999999998</v>
      </c>
      <c r="J5906">
        <v>-301.36610000000002</v>
      </c>
      <c r="K5906">
        <v>1.050867</v>
      </c>
      <c r="L5906">
        <v>2.3542179999999999</v>
      </c>
      <c r="M5906">
        <v>0.33907189999999998</v>
      </c>
      <c r="N5906">
        <v>0</v>
      </c>
      <c r="O5906">
        <v>-0.9406312</v>
      </c>
      <c r="P5906">
        <v>0.18744440000000001</v>
      </c>
      <c r="Q5906">
        <v>-2.6180780000000001E-2</v>
      </c>
      <c r="R5906">
        <v>-0.98192639999999998</v>
      </c>
      <c r="S5906">
        <v>-0.14343259999999999</v>
      </c>
      <c r="T5906">
        <v>-5.1216240000000003E-2</v>
      </c>
      <c r="U5906">
        <v>-3.0913089999999999</v>
      </c>
      <c r="V5906">
        <v>0.15636559999999999</v>
      </c>
      <c r="W5906">
        <v>-1.4281769999999999E-2</v>
      </c>
      <c r="X5906">
        <v>0.98759600000000003</v>
      </c>
      <c r="Y5906">
        <v>0.38234420000000002</v>
      </c>
      <c r="Z5906">
        <v>1.445214E-2</v>
      </c>
      <c r="AA5906">
        <v>0.92390700000000003</v>
      </c>
      <c r="AB5906">
        <v>24</v>
      </c>
      <c r="AC5906">
        <v>-3.0264999999999902</v>
      </c>
      <c r="AD5906">
        <v>-1.0508766308619999</v>
      </c>
      <c r="AE5906">
        <v>-63.152228000000001</v>
      </c>
      <c r="AF5906">
        <v>24.256215515352899</v>
      </c>
      <c r="AG5906">
        <v>-1.0508766308619999</v>
      </c>
      <c r="AH5906">
        <v>58.367729474807398</v>
      </c>
      <c r="AI5906">
        <v>90.952505503448407</v>
      </c>
      <c r="AJ5906">
        <v>67.433412157350702</v>
      </c>
      <c r="AK5906">
        <v>63.215980391550097</v>
      </c>
      <c r="AL5906">
        <v>90.818312953110805</v>
      </c>
      <c r="AM5906">
        <v>81.003069759430005</v>
      </c>
      <c r="AN5906">
        <v>1.00000001451684</v>
      </c>
    </row>
    <row r="5907" spans="1:40" x14ac:dyDescent="0.25">
      <c r="A5907" t="str">
        <f>"20190312161431770"</f>
        <v>20190312161431770</v>
      </c>
      <c r="B5907" t="str">
        <f>"1552378471762217"</f>
        <v>1552378471762217</v>
      </c>
      <c r="C5907" t="s">
        <v>40</v>
      </c>
      <c r="D5907">
        <v>5.9727980000000001</v>
      </c>
      <c r="E5907">
        <v>0.55461450000000001</v>
      </c>
      <c r="F5907" t="s">
        <v>103</v>
      </c>
      <c r="G5907">
        <v>-306.85829999999999</v>
      </c>
      <c r="H5907">
        <v>0.1773033</v>
      </c>
      <c r="I5907">
        <v>-91.564989999999995</v>
      </c>
      <c r="J5907">
        <v>-301.30309999999997</v>
      </c>
      <c r="K5907">
        <v>1.0509310000000001</v>
      </c>
      <c r="L5907">
        <v>2.1386720000000001</v>
      </c>
      <c r="M5907">
        <v>0.32738099999999998</v>
      </c>
      <c r="N5907">
        <v>0</v>
      </c>
      <c r="O5907">
        <v>-0.9447641</v>
      </c>
      <c r="P5907">
        <v>0.1775911</v>
      </c>
      <c r="Q5907">
        <v>-2.6113580000000001E-2</v>
      </c>
      <c r="R5907">
        <v>-0.98375800000000002</v>
      </c>
      <c r="S5907">
        <v>-0.1806335</v>
      </c>
      <c r="T5907">
        <v>-2.8730390000000001E-2</v>
      </c>
      <c r="U5907">
        <v>-3.0889280000000001</v>
      </c>
      <c r="V5907">
        <v>0.15402370000000001</v>
      </c>
      <c r="W5907">
        <v>-1.415051E-2</v>
      </c>
      <c r="X5907">
        <v>0.98796580000000001</v>
      </c>
      <c r="Y5907">
        <v>0.38201980000000002</v>
      </c>
      <c r="Z5907">
        <v>8.1694750000000007E-3</v>
      </c>
      <c r="AA5907">
        <v>0.92411799999999999</v>
      </c>
      <c r="AB5907">
        <v>24</v>
      </c>
      <c r="AC5907">
        <v>-5.5552000000000099</v>
      </c>
      <c r="AD5907">
        <v>-0.87362770000000001</v>
      </c>
      <c r="AE5907">
        <v>-93.703661999999994</v>
      </c>
      <c r="AF5907">
        <v>35.926396458427099</v>
      </c>
      <c r="AG5907">
        <v>-0.87362770000000001</v>
      </c>
      <c r="AH5907">
        <v>86.712192362744105</v>
      </c>
      <c r="AI5907">
        <v>90.533280463939704</v>
      </c>
      <c r="AJ5907">
        <v>67.494907134974596</v>
      </c>
      <c r="AK5907">
        <v>93.864122497362303</v>
      </c>
      <c r="AL5907">
        <v>90.810791577491699</v>
      </c>
      <c r="AM5907">
        <v>81.1389270208536</v>
      </c>
      <c r="AN5907">
        <v>0.99999997953229403</v>
      </c>
    </row>
    <row r="5908" spans="1:40" x14ac:dyDescent="0.25">
      <c r="A5908" t="str">
        <f>"20190312161431790"</f>
        <v>20190312161431790</v>
      </c>
      <c r="B5908" t="str">
        <f>"1552378471782712"</f>
        <v>1552378471782712</v>
      </c>
      <c r="C5908" t="s">
        <v>40</v>
      </c>
      <c r="D5908">
        <v>5.995768</v>
      </c>
      <c r="E5908">
        <v>0.55390189999999995</v>
      </c>
      <c r="F5908" t="s">
        <v>103</v>
      </c>
      <c r="G5908">
        <v>-298.09739999999999</v>
      </c>
      <c r="H5908">
        <v>1.418123</v>
      </c>
      <c r="I5908">
        <v>-91.564989999999995</v>
      </c>
      <c r="J5908">
        <v>-301.24200000000002</v>
      </c>
      <c r="K5908">
        <v>1.0510079999999999</v>
      </c>
      <c r="L5908">
        <v>1.919861</v>
      </c>
      <c r="M5908">
        <v>0.31555100000000003</v>
      </c>
      <c r="N5908">
        <v>0</v>
      </c>
      <c r="O5908">
        <v>-0.94878119999999999</v>
      </c>
      <c r="P5908">
        <v>0.16740189999999999</v>
      </c>
      <c r="Q5908">
        <v>-2.5545990000000001E-2</v>
      </c>
      <c r="R5908">
        <v>-0.98555789999999999</v>
      </c>
      <c r="S5908">
        <v>0.1036987</v>
      </c>
      <c r="T5908">
        <v>1.1878369999999999E-2</v>
      </c>
      <c r="U5908">
        <v>-3.0311279999999998</v>
      </c>
      <c r="V5908">
        <v>0.15192249999999999</v>
      </c>
      <c r="W5908">
        <v>-1.3526079999999999E-2</v>
      </c>
      <c r="X5908">
        <v>0.98829979999999995</v>
      </c>
      <c r="Y5908">
        <v>0.28296090000000002</v>
      </c>
      <c r="Z5908">
        <v>-3.5378100000000002E-3</v>
      </c>
      <c r="AA5908">
        <v>0.95912489999999995</v>
      </c>
      <c r="AB5908">
        <v>24</v>
      </c>
      <c r="AC5908">
        <v>3.14460000000002</v>
      </c>
      <c r="AD5908">
        <v>0.36711500000000002</v>
      </c>
      <c r="AE5908">
        <v>-93.484851000000006</v>
      </c>
      <c r="AF5908">
        <v>26.5184987100961</v>
      </c>
      <c r="AG5908">
        <v>0.36711500000000002</v>
      </c>
      <c r="AH5908">
        <v>89.6984144854097</v>
      </c>
      <c r="AI5908">
        <v>89.775124354965698</v>
      </c>
      <c r="AJ5908">
        <v>73.530178084553498</v>
      </c>
      <c r="AK5908">
        <v>93.537003952750993</v>
      </c>
      <c r="AL5908">
        <v>90.775010971068099</v>
      </c>
      <c r="AM5908">
        <v>81.260839094679099</v>
      </c>
      <c r="AN5908">
        <v>0.99999994776322598</v>
      </c>
    </row>
    <row r="5909" spans="1:40" x14ac:dyDescent="0.25">
      <c r="A5909" t="str">
        <f>"20190312161431813"</f>
        <v>20190312161431813</v>
      </c>
      <c r="B5909" t="str">
        <f>"1552378471802231"</f>
        <v>1552378471802231</v>
      </c>
      <c r="C5909" t="s">
        <v>40</v>
      </c>
      <c r="D5909">
        <v>5.9054849999999997</v>
      </c>
      <c r="E5909">
        <v>0.55291499999999905</v>
      </c>
      <c r="F5909" t="s">
        <v>103</v>
      </c>
      <c r="G5909">
        <v>-298.83890000000002</v>
      </c>
      <c r="H5909">
        <v>1.204853</v>
      </c>
      <c r="I5909">
        <v>-91.564989999999995</v>
      </c>
      <c r="J5909">
        <v>-301.1748</v>
      </c>
      <c r="K5909">
        <v>1.0510919999999999</v>
      </c>
      <c r="L5909">
        <v>1.6658329999999999</v>
      </c>
      <c r="M5909">
        <v>0.3018689</v>
      </c>
      <c r="N5909">
        <v>0</v>
      </c>
      <c r="O5909">
        <v>-0.95322289999999998</v>
      </c>
      <c r="P5909">
        <v>0.15529689999999999</v>
      </c>
      <c r="Q5909">
        <v>-2.4797650000000001E-2</v>
      </c>
      <c r="R5909">
        <v>-0.98755700000000002</v>
      </c>
      <c r="S5909">
        <v>7.7911380000000002E-2</v>
      </c>
      <c r="T5909">
        <v>4.9881939999999996E-3</v>
      </c>
      <c r="U5909">
        <v>-3.030853</v>
      </c>
      <c r="V5909">
        <v>0.1498554</v>
      </c>
      <c r="W5909">
        <v>-1.2721629999999999E-2</v>
      </c>
      <c r="X5909">
        <v>0.98862609999999995</v>
      </c>
      <c r="Y5909">
        <v>0.27730719999999998</v>
      </c>
      <c r="Z5909">
        <v>-1.4982400000000001E-3</v>
      </c>
      <c r="AA5909">
        <v>0.96078010000000003</v>
      </c>
      <c r="AB5909">
        <v>24</v>
      </c>
      <c r="AC5909">
        <v>2.3358999999999801</v>
      </c>
      <c r="AD5909">
        <v>0.15376100000000001</v>
      </c>
      <c r="AE5909">
        <v>-93.230823000000001</v>
      </c>
      <c r="AF5909">
        <v>25.919909201387199</v>
      </c>
      <c r="AG5909">
        <v>0.15376100000000001</v>
      </c>
      <c r="AH5909">
        <v>89.585455339367002</v>
      </c>
      <c r="AI5909">
        <v>89.905534370278602</v>
      </c>
      <c r="AJ5909">
        <v>73.863169328813797</v>
      </c>
      <c r="AK5909">
        <v>93.259954663376305</v>
      </c>
      <c r="AL5909">
        <v>90.728915352785506</v>
      </c>
      <c r="AM5909">
        <v>81.380750522052494</v>
      </c>
      <c r="AN5909">
        <v>1.0000000231901101</v>
      </c>
    </row>
    <row r="5910" spans="1:40" x14ac:dyDescent="0.25">
      <c r="A5910" t="str">
        <f>"20190312161431836"</f>
        <v>20190312161431836</v>
      </c>
      <c r="B5910" t="str">
        <f>"1552378471832488"</f>
        <v>1552378471832488</v>
      </c>
      <c r="C5910" t="s">
        <v>40</v>
      </c>
      <c r="D5910">
        <v>5.934088</v>
      </c>
      <c r="E5910">
        <v>0.55105509999999902</v>
      </c>
      <c r="F5910" t="s">
        <v>103</v>
      </c>
      <c r="G5910">
        <v>-299.68669999999997</v>
      </c>
      <c r="H5910">
        <v>1.24865</v>
      </c>
      <c r="I5910">
        <v>-90.976820000000004</v>
      </c>
      <c r="J5910">
        <v>-301.11399999999998</v>
      </c>
      <c r="K5910">
        <v>1.051166</v>
      </c>
      <c r="L5910">
        <v>1.4228209999999999</v>
      </c>
      <c r="M5910">
        <v>0.28883959999999997</v>
      </c>
      <c r="N5910">
        <v>0</v>
      </c>
      <c r="O5910">
        <v>-0.95725179999999999</v>
      </c>
      <c r="P5910">
        <v>0.14362649999999999</v>
      </c>
      <c r="Q5910">
        <v>-2.4145989999999999E-2</v>
      </c>
      <c r="R5910">
        <v>-0.98933729999999998</v>
      </c>
      <c r="S5910">
        <v>4.8675540000000003E-2</v>
      </c>
      <c r="T5910">
        <v>6.4624549999999998E-3</v>
      </c>
      <c r="U5910">
        <v>-3.0303040000000001</v>
      </c>
      <c r="V5910">
        <v>0.14806469999999999</v>
      </c>
      <c r="W5910">
        <v>-1.202144E-2</v>
      </c>
      <c r="X5910">
        <v>0.98890460000000002</v>
      </c>
      <c r="Y5910">
        <v>0.27346100000000001</v>
      </c>
      <c r="Z5910">
        <v>-1.955563E-3</v>
      </c>
      <c r="AA5910">
        <v>0.96188110000000004</v>
      </c>
      <c r="AB5910">
        <v>24</v>
      </c>
      <c r="AC5910">
        <v>1.42730000000005</v>
      </c>
      <c r="AD5910">
        <v>0.19748399999999999</v>
      </c>
      <c r="AE5910">
        <v>-92.399641000000003</v>
      </c>
      <c r="AF5910">
        <v>25.325322001635399</v>
      </c>
      <c r="AG5910">
        <v>0.19748399999999999</v>
      </c>
      <c r="AH5910">
        <v>88.872273001235698</v>
      </c>
      <c r="AI5910">
        <v>89.877557051677798</v>
      </c>
      <c r="AJ5910">
        <v>74.094401339818504</v>
      </c>
      <c r="AK5910">
        <v>92.410453103655598</v>
      </c>
      <c r="AL5910">
        <v>90.688794374009007</v>
      </c>
      <c r="AM5910">
        <v>81.484590302673894</v>
      </c>
      <c r="AN5910">
        <v>0.999999989153461</v>
      </c>
    </row>
    <row r="5911" spans="1:40" x14ac:dyDescent="0.25">
      <c r="A5911" t="str">
        <f>"20190312161431861"</f>
        <v>20190312161431861</v>
      </c>
      <c r="B5911" t="str">
        <f>"1552378471852007"</f>
        <v>1552378471852007</v>
      </c>
      <c r="C5911" t="s">
        <v>40</v>
      </c>
      <c r="D5911">
        <v>5.946021</v>
      </c>
      <c r="E5911">
        <v>0.55023230000000001</v>
      </c>
      <c r="F5911" t="s">
        <v>103</v>
      </c>
      <c r="G5911">
        <v>-300.27409999999998</v>
      </c>
      <c r="H5911">
        <v>0.93918230000000003</v>
      </c>
      <c r="I5911">
        <v>-90.976820000000004</v>
      </c>
      <c r="J5911">
        <v>-301.04899999999998</v>
      </c>
      <c r="K5911">
        <v>1.0515099999999999</v>
      </c>
      <c r="L5911">
        <v>1.1478269999999999</v>
      </c>
      <c r="M5911">
        <v>0.27378419999999998</v>
      </c>
      <c r="N5911">
        <v>0</v>
      </c>
      <c r="O5911">
        <v>-0.96166220000000002</v>
      </c>
      <c r="P5911">
        <v>0.1297527</v>
      </c>
      <c r="Q5911">
        <v>-2.4392750000000001E-2</v>
      </c>
      <c r="R5911">
        <v>-0.99124619999999997</v>
      </c>
      <c r="S5911">
        <v>2.752686E-2</v>
      </c>
      <c r="T5911">
        <v>-3.6696200000000002E-3</v>
      </c>
      <c r="U5911">
        <v>-3.0282290000000001</v>
      </c>
      <c r="V5911">
        <v>0.1464087</v>
      </c>
      <c r="W5911">
        <v>-1.190657E-2</v>
      </c>
      <c r="X5911">
        <v>0.98915260000000005</v>
      </c>
      <c r="Y5911">
        <v>0.26506459999999998</v>
      </c>
      <c r="Z5911">
        <v>1.1206670000000001E-3</v>
      </c>
      <c r="AA5911">
        <v>0.96423000000000003</v>
      </c>
      <c r="AB5911">
        <v>24</v>
      </c>
      <c r="AC5911">
        <v>0.77490000000005899</v>
      </c>
      <c r="AD5911">
        <v>-0.112327699999999</v>
      </c>
      <c r="AE5911">
        <v>-92.124646999999996</v>
      </c>
      <c r="AF5911">
        <v>24.480080376328502</v>
      </c>
      <c r="AG5911">
        <v>-0.112327699999999</v>
      </c>
      <c r="AH5911">
        <v>88.815829020985802</v>
      </c>
      <c r="AI5911">
        <v>90.069858415257997</v>
      </c>
      <c r="AJ5911">
        <v>74.590331524422197</v>
      </c>
      <c r="AK5911">
        <v>92.127837472876095</v>
      </c>
      <c r="AL5911">
        <v>90.682212281522794</v>
      </c>
      <c r="AM5911">
        <v>81.580537038588204</v>
      </c>
      <c r="AN5911">
        <v>1.0000000699658</v>
      </c>
    </row>
    <row r="5912" spans="1:40" x14ac:dyDescent="0.25">
      <c r="A5912" t="str">
        <f>"20190312161431885"</f>
        <v>20190312161431885</v>
      </c>
      <c r="B5912" t="str">
        <f>"1552378471872503"</f>
        <v>1552378471872503</v>
      </c>
      <c r="C5912" t="s">
        <v>40</v>
      </c>
      <c r="D5912">
        <v>5.9610050000000001</v>
      </c>
      <c r="E5912">
        <v>0.54896829999999996</v>
      </c>
      <c r="F5912" t="s">
        <v>103</v>
      </c>
      <c r="G5912">
        <v>-301.30540000000002</v>
      </c>
      <c r="H5912">
        <v>0.61857600000000001</v>
      </c>
      <c r="I5912">
        <v>-90.976820000000004</v>
      </c>
      <c r="J5912">
        <v>-300.99349999999998</v>
      </c>
      <c r="K5912">
        <v>1.0519969999999901</v>
      </c>
      <c r="L5912">
        <v>0.90048220000000001</v>
      </c>
      <c r="M5912">
        <v>0.2592102</v>
      </c>
      <c r="N5912">
        <v>0</v>
      </c>
      <c r="O5912">
        <v>-0.96568580000000004</v>
      </c>
      <c r="P5912">
        <v>0.11645419999999999</v>
      </c>
      <c r="Q5912">
        <v>-2.3670489999999999E-2</v>
      </c>
      <c r="R5912">
        <v>-0.99291410000000002</v>
      </c>
      <c r="S5912">
        <v>-8.4228519999999998E-3</v>
      </c>
      <c r="T5912">
        <v>-1.4225959999999999E-2</v>
      </c>
      <c r="U5912">
        <v>-3.0272519999999998</v>
      </c>
      <c r="V5912">
        <v>0.14474600000000001</v>
      </c>
      <c r="W5912">
        <v>-1.064972E-2</v>
      </c>
      <c r="X5912">
        <v>0.9894115</v>
      </c>
      <c r="Y5912">
        <v>0.2619301</v>
      </c>
      <c r="Z5912">
        <v>4.3761879999999996E-3</v>
      </c>
      <c r="AA5912">
        <v>0.96507690000000002</v>
      </c>
      <c r="AB5912">
        <v>24</v>
      </c>
      <c r="AC5912">
        <v>-0.31190000000003598</v>
      </c>
      <c r="AD5912">
        <v>-0.433420999999999</v>
      </c>
      <c r="AE5912">
        <v>-91.877302200000003</v>
      </c>
      <c r="AF5912">
        <v>24.119342484697999</v>
      </c>
      <c r="AG5912">
        <v>-0.433420999999999</v>
      </c>
      <c r="AH5912">
        <v>88.653356192985299</v>
      </c>
      <c r="AI5912">
        <v>90.270288948103101</v>
      </c>
      <c r="AJ5912">
        <v>74.780285624917596</v>
      </c>
      <c r="AK5912">
        <v>91.8768093695994</v>
      </c>
      <c r="AL5912">
        <v>90.610195562848801</v>
      </c>
      <c r="AM5912">
        <v>81.676953498503906</v>
      </c>
      <c r="AN5912">
        <v>0.99999996869216301</v>
      </c>
    </row>
    <row r="5913" spans="1:40" x14ac:dyDescent="0.25">
      <c r="A5913" t="str">
        <f>"20190312161431911"</f>
        <v>20190312161431911</v>
      </c>
      <c r="B5913" t="str">
        <f>"1552378471902761"</f>
        <v>1552378471902761</v>
      </c>
      <c r="C5913" t="s">
        <v>40</v>
      </c>
      <c r="D5913">
        <v>6.0879979999999998</v>
      </c>
      <c r="E5913">
        <v>0.53708089999999997</v>
      </c>
      <c r="F5913" t="s">
        <v>103</v>
      </c>
      <c r="G5913">
        <v>-302.19189999999998</v>
      </c>
      <c r="H5913">
        <v>0.50182529999999903</v>
      </c>
      <c r="I5913">
        <v>-91.564989999999995</v>
      </c>
      <c r="J5913">
        <v>-300.935</v>
      </c>
      <c r="K5913">
        <v>1.052211</v>
      </c>
      <c r="L5913">
        <v>0.624054</v>
      </c>
      <c r="M5913">
        <v>0.24477950000000001</v>
      </c>
      <c r="N5913">
        <v>0</v>
      </c>
      <c r="O5913">
        <v>-0.96943520000000005</v>
      </c>
      <c r="P5913">
        <v>0.1033283</v>
      </c>
      <c r="Q5913">
        <v>-2.3547909999999998E-2</v>
      </c>
      <c r="R5913">
        <v>-0.9943689</v>
      </c>
      <c r="S5913">
        <v>-3.9215090000000001E-2</v>
      </c>
      <c r="T5913">
        <v>-1.800179E-2</v>
      </c>
      <c r="U5913">
        <v>-3.0255740000000002</v>
      </c>
      <c r="V5913">
        <v>0.1430671</v>
      </c>
      <c r="W5913">
        <v>-1.0099790000000001E-2</v>
      </c>
      <c r="X5913">
        <v>0.98966149999999997</v>
      </c>
      <c r="Y5913">
        <v>0.25735849999999999</v>
      </c>
      <c r="Z5913">
        <v>5.5776119999999896E-3</v>
      </c>
      <c r="AA5913">
        <v>0.96629989999999999</v>
      </c>
      <c r="AB5913">
        <v>24</v>
      </c>
      <c r="AC5913">
        <v>-1.2568999999999699</v>
      </c>
      <c r="AD5913">
        <v>-0.55038569999999998</v>
      </c>
      <c r="AE5913">
        <v>-92.189043999999996</v>
      </c>
      <c r="AF5913">
        <v>23.786934879282601</v>
      </c>
      <c r="AG5913">
        <v>-0.55038569999999998</v>
      </c>
      <c r="AH5913">
        <v>89.072866484912893</v>
      </c>
      <c r="AI5913">
        <v>90.342042773574605</v>
      </c>
      <c r="AJ5913">
        <v>75.048064005460702</v>
      </c>
      <c r="AK5913">
        <v>92.195969213459193</v>
      </c>
      <c r="AL5913">
        <v>90.578685154733094</v>
      </c>
      <c r="AM5913">
        <v>81.774212689004599</v>
      </c>
      <c r="AN5913">
        <v>1.00000004272135</v>
      </c>
    </row>
    <row r="5914" spans="1:40" x14ac:dyDescent="0.25">
      <c r="A5914" t="str">
        <f>"20190312161431933"</f>
        <v>20190312161431933</v>
      </c>
      <c r="B5914" t="str">
        <f>"1552378471922279"</f>
        <v>1552378471922279</v>
      </c>
      <c r="C5914" t="s">
        <v>40</v>
      </c>
      <c r="D5914">
        <v>6.1838989999999896</v>
      </c>
      <c r="E5914">
        <v>0.53429280000000001</v>
      </c>
      <c r="F5914" t="s">
        <v>42</v>
      </c>
      <c r="G5914">
        <v>-300.78649999999999</v>
      </c>
      <c r="H5914" s="1">
        <v>-1.6102770000000001E-6</v>
      </c>
      <c r="I5914">
        <v>-27.14509</v>
      </c>
      <c r="J5914">
        <v>-300.89089999999999</v>
      </c>
      <c r="K5914">
        <v>1.0521990000000001</v>
      </c>
      <c r="L5914">
        <v>0.39767459999999999</v>
      </c>
      <c r="M5914">
        <v>0.2355235</v>
      </c>
      <c r="N5914">
        <v>0</v>
      </c>
      <c r="O5914">
        <v>-0.97173319999999996</v>
      </c>
      <c r="P5914">
        <v>9.5162099999999999E-2</v>
      </c>
      <c r="Q5914">
        <v>-2.229627E-2</v>
      </c>
      <c r="R5914">
        <v>-0.99521230000000005</v>
      </c>
      <c r="S5914">
        <v>1.6113280000000001E-2</v>
      </c>
      <c r="T5914">
        <v>-0.1141518</v>
      </c>
      <c r="U5914">
        <v>-3.0126040000000001</v>
      </c>
      <c r="V5914">
        <v>0.141761</v>
      </c>
      <c r="W5914">
        <v>-9.5005790000000003E-3</v>
      </c>
      <c r="X5914">
        <v>0.98985529999999999</v>
      </c>
      <c r="Y5914">
        <v>0.23035430000000001</v>
      </c>
      <c r="Z5914">
        <v>3.575739E-2</v>
      </c>
      <c r="AA5914">
        <v>0.97244969999999997</v>
      </c>
      <c r="AB5914">
        <v>24</v>
      </c>
      <c r="AC5914">
        <v>0.10439999999999799</v>
      </c>
      <c r="AD5914">
        <v>-1.0522006102769901</v>
      </c>
      <c r="AE5914">
        <v>-27.542764600000002</v>
      </c>
      <c r="AF5914">
        <v>6.3770533898070498</v>
      </c>
      <c r="AG5914">
        <v>-1.0522006102769901</v>
      </c>
      <c r="AH5914">
        <v>26.753290579047398</v>
      </c>
      <c r="AI5914">
        <v>92.190948290235596</v>
      </c>
      <c r="AJ5914">
        <v>76.592865411475898</v>
      </c>
      <c r="AK5914">
        <v>27.5229448436694</v>
      </c>
      <c r="AL5914">
        <v>90.544351280475894</v>
      </c>
      <c r="AM5914">
        <v>81.849868934532097</v>
      </c>
      <c r="AN5914">
        <v>0.99999997853021205</v>
      </c>
    </row>
    <row r="5915" spans="1:40" x14ac:dyDescent="0.25">
      <c r="A5915" t="str">
        <f>"20190312161431954"</f>
        <v>20190312161431954</v>
      </c>
      <c r="B5915" t="str">
        <f>"1552378471941799"</f>
        <v>1552378471941799</v>
      </c>
      <c r="C5915" t="s">
        <v>40</v>
      </c>
      <c r="D5915">
        <v>6.5753209999999997</v>
      </c>
      <c r="E5915">
        <v>0.52870360000000005</v>
      </c>
      <c r="F5915" t="s">
        <v>42</v>
      </c>
      <c r="G5915">
        <v>-300.7525</v>
      </c>
      <c r="H5915" s="1">
        <v>-4.2469400000000002E-6</v>
      </c>
      <c r="I5915">
        <v>-30.925619999999999</v>
      </c>
      <c r="J5915">
        <v>-300.8494</v>
      </c>
      <c r="K5915">
        <v>1.0525629999999999</v>
      </c>
      <c r="L5915">
        <v>0.16546629999999901</v>
      </c>
      <c r="M5915">
        <v>0.2261823</v>
      </c>
      <c r="N5915">
        <v>0</v>
      </c>
      <c r="O5915">
        <v>-0.97397460000000002</v>
      </c>
      <c r="P5915">
        <v>8.7313340000000003E-2</v>
      </c>
      <c r="Q5915">
        <v>-2.0517190000000001E-2</v>
      </c>
      <c r="R5915">
        <v>-0.99596949999999995</v>
      </c>
      <c r="S5915">
        <v>1.330566E-2</v>
      </c>
      <c r="T5915">
        <v>-0.1011411</v>
      </c>
      <c r="U5915">
        <v>-3.0108950000000001</v>
      </c>
      <c r="V5915">
        <v>0.14005960000000001</v>
      </c>
      <c r="W5915">
        <v>-9.3760920000000008E-3</v>
      </c>
      <c r="X5915">
        <v>0.9900987</v>
      </c>
      <c r="Y5915">
        <v>0.2219006</v>
      </c>
      <c r="Z5915">
        <v>3.1849240000000001E-2</v>
      </c>
      <c r="AA5915">
        <v>0.974549</v>
      </c>
      <c r="AB5915">
        <v>24</v>
      </c>
      <c r="AC5915">
        <v>9.6900000000005093E-2</v>
      </c>
      <c r="AD5915">
        <v>-1.05256724693999</v>
      </c>
      <c r="AE5915">
        <v>-31.091086300000001</v>
      </c>
      <c r="AF5915">
        <v>6.9306780988721499</v>
      </c>
      <c r="AG5915">
        <v>-1.05256724693999</v>
      </c>
      <c r="AH5915">
        <v>30.2724089870262</v>
      </c>
      <c r="AI5915">
        <v>91.941179636258596</v>
      </c>
      <c r="AJ5915">
        <v>77.104728133156698</v>
      </c>
      <c r="AK5915">
        <v>31.0734765128928</v>
      </c>
      <c r="AL5915">
        <v>90.537218361051899</v>
      </c>
      <c r="AM5915">
        <v>81.948348829024695</v>
      </c>
      <c r="AN5915">
        <v>1.00000001919752</v>
      </c>
    </row>
    <row r="5916" spans="1:40" x14ac:dyDescent="0.25">
      <c r="A5916" t="str">
        <f>"20190312161431977"</f>
        <v>20190312161431977</v>
      </c>
      <c r="B5916" t="str">
        <f>"1552378471972055"</f>
        <v>1552378471972055</v>
      </c>
      <c r="C5916" t="s">
        <v>40</v>
      </c>
      <c r="D5916">
        <v>6.1157029999999999</v>
      </c>
      <c r="E5916">
        <v>0.5233951</v>
      </c>
      <c r="F5916" t="s">
        <v>42</v>
      </c>
      <c r="G5916">
        <v>-300.50700000000001</v>
      </c>
      <c r="H5916" s="1">
        <v>-3.2982970000000001E-7</v>
      </c>
      <c r="I5916">
        <v>-29.956520000000001</v>
      </c>
      <c r="J5916">
        <v>-300.80840000000001</v>
      </c>
      <c r="K5916">
        <v>1.053917</v>
      </c>
      <c r="L5916">
        <v>-8.3038329999999994E-2</v>
      </c>
      <c r="M5916">
        <v>0.2147558</v>
      </c>
      <c r="N5916">
        <v>0</v>
      </c>
      <c r="O5916">
        <v>-0.97658800000000001</v>
      </c>
      <c r="P5916">
        <v>7.7596810000000002E-2</v>
      </c>
      <c r="Q5916">
        <v>-1.7788869999999998E-2</v>
      </c>
      <c r="R5916">
        <v>-0.9968264</v>
      </c>
      <c r="S5916">
        <v>3.4179689999999999E-2</v>
      </c>
      <c r="T5916">
        <v>-0.1050743</v>
      </c>
      <c r="U5916">
        <v>-3.0069889999999999</v>
      </c>
      <c r="V5916">
        <v>0.13813919999999999</v>
      </c>
      <c r="W5916">
        <v>-8.6706089999999993E-3</v>
      </c>
      <c r="X5916">
        <v>0.99037489999999995</v>
      </c>
      <c r="Y5916">
        <v>0.20366290000000001</v>
      </c>
      <c r="Z5916">
        <v>3.3333359999999999E-2</v>
      </c>
      <c r="AA5916">
        <v>0.97847340000000005</v>
      </c>
      <c r="AB5916">
        <v>24</v>
      </c>
      <c r="AC5916">
        <v>0.301400000000001</v>
      </c>
      <c r="AD5916">
        <v>-1.0539173298297</v>
      </c>
      <c r="AE5916">
        <v>-29.87348167</v>
      </c>
      <c r="AF5916">
        <v>6.1140278530783601</v>
      </c>
      <c r="AG5916">
        <v>-1.0539173298297</v>
      </c>
      <c r="AH5916">
        <v>29.2047439483567</v>
      </c>
      <c r="AI5916">
        <v>92.022930062559695</v>
      </c>
      <c r="AJ5916">
        <v>78.175867138710899</v>
      </c>
      <c r="AK5916">
        <v>29.856475803674599</v>
      </c>
      <c r="AL5916">
        <v>90.496795511393898</v>
      </c>
      <c r="AM5916">
        <v>82.059515781654099</v>
      </c>
      <c r="AN5916">
        <v>1.0000000302935399</v>
      </c>
    </row>
    <row r="5917" spans="1:40" x14ac:dyDescent="0.25">
      <c r="A5917" t="str">
        <f>"20190312161432023"</f>
        <v>20190312161432023</v>
      </c>
      <c r="B5917" t="str">
        <f>"1552378472012285"</f>
        <v>1552378472012285</v>
      </c>
      <c r="C5917" t="s">
        <v>40</v>
      </c>
      <c r="D5917">
        <v>6.0814640000000004</v>
      </c>
      <c r="E5917">
        <v>0.52000800000000003</v>
      </c>
      <c r="F5917" t="s">
        <v>42</v>
      </c>
      <c r="G5917">
        <v>-300.26159999999999</v>
      </c>
      <c r="H5917" s="1">
        <v>-2.472307E-6</v>
      </c>
      <c r="I5917">
        <v>-34.810119999999998</v>
      </c>
      <c r="J5917">
        <v>-300.73570000000001</v>
      </c>
      <c r="K5917">
        <v>1.058495</v>
      </c>
      <c r="L5917">
        <v>-0.56985469999999905</v>
      </c>
      <c r="M5917">
        <v>0.18889400000000001</v>
      </c>
      <c r="N5917">
        <v>0</v>
      </c>
      <c r="O5917">
        <v>-0.98195619999999995</v>
      </c>
      <c r="P5917">
        <v>5.5101980000000002E-2</v>
      </c>
      <c r="Q5917">
        <v>-1.48976E-2</v>
      </c>
      <c r="R5917">
        <v>-0.99837010000000004</v>
      </c>
      <c r="S5917">
        <v>4.7302249999999997E-2</v>
      </c>
      <c r="T5917">
        <v>-9.1174599999999995E-2</v>
      </c>
      <c r="U5917">
        <v>-3.0042420000000001</v>
      </c>
      <c r="V5917">
        <v>0.1343386</v>
      </c>
      <c r="W5917">
        <v>-8.6355540000000001E-3</v>
      </c>
      <c r="X5917">
        <v>0.99089780000000005</v>
      </c>
      <c r="Y5917">
        <v>0.17342479999999999</v>
      </c>
      <c r="Z5917">
        <v>2.9284339999999999E-2</v>
      </c>
      <c r="AA5917">
        <v>0.9844117</v>
      </c>
      <c r="AB5917">
        <v>24</v>
      </c>
      <c r="AC5917">
        <v>0.474100000000021</v>
      </c>
      <c r="AD5917">
        <v>-1.058497472307</v>
      </c>
      <c r="AE5917">
        <v>-34.240265299999997</v>
      </c>
      <c r="AF5917">
        <v>5.9967487978693299</v>
      </c>
      <c r="AG5917">
        <v>-1.058497472307</v>
      </c>
      <c r="AH5917">
        <v>33.681180445571499</v>
      </c>
      <c r="AI5917">
        <v>91.772188623860004</v>
      </c>
      <c r="AJ5917">
        <v>79.904589048264498</v>
      </c>
      <c r="AK5917">
        <v>34.227230814817197</v>
      </c>
      <c r="AL5917">
        <v>90.494786976816599</v>
      </c>
      <c r="AM5917">
        <v>82.279333825428196</v>
      </c>
      <c r="AN5917">
        <v>0.99999994114384105</v>
      </c>
    </row>
    <row r="5918" spans="1:40" x14ac:dyDescent="0.25">
      <c r="A5918" t="str">
        <f>"20190312161432044"</f>
        <v>20190312161432044</v>
      </c>
      <c r="B5918" t="str">
        <f>"1552378472031805"</f>
        <v>1552378472031805</v>
      </c>
      <c r="C5918" t="s">
        <v>40</v>
      </c>
      <c r="D5918">
        <v>5.9442159999999999</v>
      </c>
      <c r="E5918">
        <v>0.449127</v>
      </c>
      <c r="F5918" t="s">
        <v>42</v>
      </c>
      <c r="G5918">
        <v>-300.65699999999998</v>
      </c>
      <c r="H5918" s="1">
        <v>-7.5314489999999997E-7</v>
      </c>
      <c r="I5918">
        <v>-39.06279</v>
      </c>
      <c r="J5918">
        <v>-300.7045</v>
      </c>
      <c r="K5918">
        <v>1.060597</v>
      </c>
      <c r="L5918">
        <v>-0.80139159999999998</v>
      </c>
      <c r="M5918">
        <v>0.17640430000000001</v>
      </c>
      <c r="N5918">
        <v>0</v>
      </c>
      <c r="O5918">
        <v>-0.98428939999999998</v>
      </c>
      <c r="P5918">
        <v>4.4112609999999997E-2</v>
      </c>
      <c r="Q5918">
        <v>-1.330158E-2</v>
      </c>
      <c r="R5918">
        <v>-0.9989382</v>
      </c>
      <c r="S5918">
        <v>6.1340329999999997E-3</v>
      </c>
      <c r="T5918">
        <v>-8.2586770000000004E-2</v>
      </c>
      <c r="U5918">
        <v>-3.0033259999999999</v>
      </c>
      <c r="V5918">
        <v>0.1326687</v>
      </c>
      <c r="W5918">
        <v>-8.3365130000000003E-3</v>
      </c>
      <c r="X5918">
        <v>0.99112529999999999</v>
      </c>
      <c r="Y5918">
        <v>0.17439869999999999</v>
      </c>
      <c r="Z5918">
        <v>2.6630870000000001E-2</v>
      </c>
      <c r="AA5918">
        <v>0.98431489999999999</v>
      </c>
      <c r="AB5918">
        <v>24</v>
      </c>
      <c r="AC5918">
        <v>4.7500000000013601E-2</v>
      </c>
      <c r="AD5918">
        <v>-1.0605977531449</v>
      </c>
      <c r="AE5918">
        <v>-38.261398399999997</v>
      </c>
      <c r="AF5918">
        <v>6.6977623419027896</v>
      </c>
      <c r="AG5918">
        <v>-1.0605977531449</v>
      </c>
      <c r="AH5918">
        <v>37.640798324931701</v>
      </c>
      <c r="AI5918">
        <v>91.589038318271506</v>
      </c>
      <c r="AJ5918">
        <v>79.910453326876194</v>
      </c>
      <c r="AK5918">
        <v>38.246759163630699</v>
      </c>
      <c r="AL5918">
        <v>90.477652581275393</v>
      </c>
      <c r="AM5918">
        <v>82.375899255882899</v>
      </c>
      <c r="AN5918">
        <v>0.99999992085438605</v>
      </c>
    </row>
    <row r="5919" spans="1:40" x14ac:dyDescent="0.25">
      <c r="A5919" t="str">
        <f>"20190312161432068"</f>
        <v>20190312161432068</v>
      </c>
      <c r="B5919" t="str">
        <f>"1552378472062060"</f>
        <v>1552378472062060</v>
      </c>
      <c r="C5919" t="s">
        <v>40</v>
      </c>
      <c r="D5919">
        <v>5.9203830000000002</v>
      </c>
      <c r="E5919">
        <v>0.4321451</v>
      </c>
      <c r="F5919" t="s">
        <v>42</v>
      </c>
      <c r="G5919">
        <v>-297.64080000000001</v>
      </c>
      <c r="H5919" s="1">
        <v>-1.55202E-6</v>
      </c>
      <c r="I5919">
        <v>-17.724900000000002</v>
      </c>
      <c r="J5919">
        <v>-300.67270000000002</v>
      </c>
      <c r="K5919">
        <v>1.0625819999999999</v>
      </c>
      <c r="L5919">
        <v>-1.058441</v>
      </c>
      <c r="M5919">
        <v>0.16318569999999999</v>
      </c>
      <c r="N5919">
        <v>0</v>
      </c>
      <c r="O5919">
        <v>-0.98657850000000002</v>
      </c>
      <c r="P5919">
        <v>3.1974629999999997E-2</v>
      </c>
      <c r="Q5919">
        <v>-1.114507E-2</v>
      </c>
      <c r="R5919">
        <v>-0.99942699999999995</v>
      </c>
      <c r="S5919">
        <v>0.53890990000000005</v>
      </c>
      <c r="T5919">
        <v>-0.1865627</v>
      </c>
      <c r="U5919">
        <v>-2.9768979999999998</v>
      </c>
      <c r="V5919">
        <v>0.13143089999999999</v>
      </c>
      <c r="W5919">
        <v>-7.748034E-3</v>
      </c>
      <c r="X5919">
        <v>0.99129500000000004</v>
      </c>
      <c r="Y5919">
        <v>-1.4834969999999999E-2</v>
      </c>
      <c r="Z5919">
        <v>6.0801899999999999E-2</v>
      </c>
      <c r="AA5919">
        <v>0.99803960000000003</v>
      </c>
      <c r="AB5919">
        <v>24</v>
      </c>
      <c r="AC5919">
        <v>3.0318999999999998</v>
      </c>
      <c r="AD5919">
        <v>-1.06258355202</v>
      </c>
      <c r="AE5919">
        <v>-16.666459</v>
      </c>
      <c r="AF5919">
        <v>-0.27042010154202201</v>
      </c>
      <c r="AG5919">
        <v>-1.06258355202</v>
      </c>
      <c r="AH5919">
        <v>16.871432554741201</v>
      </c>
      <c r="AI5919">
        <v>93.603337027520993</v>
      </c>
      <c r="AJ5919">
        <v>90.918274357607402</v>
      </c>
      <c r="AK5919">
        <v>16.9070236081199</v>
      </c>
      <c r="AL5919">
        <v>90.443934113809306</v>
      </c>
      <c r="AM5919">
        <v>82.4474851863515</v>
      </c>
      <c r="AN5919">
        <v>0.99999994526533598</v>
      </c>
    </row>
    <row r="5920" spans="1:40" x14ac:dyDescent="0.25">
      <c r="A5920" t="str">
        <f>"20190312161432093"</f>
        <v>20190312161432093</v>
      </c>
      <c r="B5920" t="str">
        <f>"1552378472082557"</f>
        <v>1552378472082557</v>
      </c>
      <c r="C5920" t="s">
        <v>40</v>
      </c>
      <c r="D5920">
        <v>5.8800270000000001</v>
      </c>
      <c r="E5920">
        <v>0.42883169999999998</v>
      </c>
      <c r="F5920" t="s">
        <v>42</v>
      </c>
      <c r="G5920">
        <v>-296.23910000000001</v>
      </c>
      <c r="H5920" s="1">
        <v>-4.3598269999999999E-6</v>
      </c>
      <c r="I5920">
        <v>-21.759409999999999</v>
      </c>
      <c r="J5920">
        <v>-300.64449999999999</v>
      </c>
      <c r="K5920">
        <v>1.0643180000000001</v>
      </c>
      <c r="L5920">
        <v>-1.314514</v>
      </c>
      <c r="M5920">
        <v>0.15081620000000001</v>
      </c>
      <c r="N5920">
        <v>0</v>
      </c>
      <c r="O5920">
        <v>-0.98855289999999996</v>
      </c>
      <c r="P5920">
        <v>2.0932920000000001E-2</v>
      </c>
      <c r="Q5920">
        <v>-9.3102830000000008E-3</v>
      </c>
      <c r="R5920">
        <v>-0.9997376</v>
      </c>
      <c r="S5920">
        <v>0.63815310000000003</v>
      </c>
      <c r="T5920">
        <v>-0.15294440000000001</v>
      </c>
      <c r="U5920">
        <v>-2.9796140000000002</v>
      </c>
      <c r="V5920">
        <v>0.12997400000000001</v>
      </c>
      <c r="W5920">
        <v>-7.4071099999999997E-3</v>
      </c>
      <c r="X5920">
        <v>0.99148979999999998</v>
      </c>
      <c r="Y5920">
        <v>-5.9292690000000002E-2</v>
      </c>
      <c r="Z5920">
        <v>4.9780730000000002E-2</v>
      </c>
      <c r="AA5920">
        <v>0.99699859999999896</v>
      </c>
      <c r="AB5920">
        <v>24</v>
      </c>
      <c r="AC5920">
        <v>4.4053999999999798</v>
      </c>
      <c r="AD5920">
        <v>-1.064322359827</v>
      </c>
      <c r="AE5920">
        <v>-20.444896</v>
      </c>
      <c r="AF5920">
        <v>-1.2682760535709701</v>
      </c>
      <c r="AG5920">
        <v>-1.064322359827</v>
      </c>
      <c r="AH5920">
        <v>20.821527418449499</v>
      </c>
      <c r="AI5920">
        <v>92.920805402155096</v>
      </c>
      <c r="AJ5920">
        <v>93.485680594729004</v>
      </c>
      <c r="AK5920">
        <v>20.8872523389491</v>
      </c>
      <c r="AL5920">
        <v>90.424399994782107</v>
      </c>
      <c r="AM5920">
        <v>82.531704561110104</v>
      </c>
      <c r="AN5920">
        <v>1.0000000647292899</v>
      </c>
    </row>
    <row r="5921" spans="1:40" x14ac:dyDescent="0.25">
      <c r="A5921" t="str">
        <f>"20190312161432124"</f>
        <v>20190312161432124</v>
      </c>
      <c r="B5921" t="str">
        <f>"1552378472111837"</f>
        <v>1552378472111837</v>
      </c>
      <c r="C5921" t="s">
        <v>40</v>
      </c>
      <c r="D5921">
        <v>5.8481050000000003</v>
      </c>
      <c r="E5921">
        <v>0.4244058</v>
      </c>
      <c r="F5921" t="s">
        <v>42</v>
      </c>
      <c r="G5921">
        <v>-295.99889999999999</v>
      </c>
      <c r="H5921" s="1">
        <v>-3.7486209999999999E-6</v>
      </c>
      <c r="I5921">
        <v>-23.283480000000001</v>
      </c>
      <c r="J5921">
        <v>-300.61130000000003</v>
      </c>
      <c r="K5921">
        <v>1.066656</v>
      </c>
      <c r="L5921">
        <v>-1.6553340000000001</v>
      </c>
      <c r="M5921">
        <v>0.1342595</v>
      </c>
      <c r="N5921">
        <v>0</v>
      </c>
      <c r="O5921">
        <v>-0.99094280000000001</v>
      </c>
      <c r="P5921">
        <v>5.5460090000000002E-3</v>
      </c>
      <c r="Q5921">
        <v>-7.8344060000000004E-3</v>
      </c>
      <c r="R5921">
        <v>-0.99995409999999996</v>
      </c>
      <c r="S5921">
        <v>0.63146969999999902</v>
      </c>
      <c r="T5921">
        <v>-0.14467160000000001</v>
      </c>
      <c r="U5921">
        <v>-2.9862060000000001</v>
      </c>
      <c r="V5921">
        <v>0.1286505</v>
      </c>
      <c r="W5921">
        <v>-7.4299049999999997E-3</v>
      </c>
      <c r="X5921">
        <v>0.99166209999999999</v>
      </c>
      <c r="Y5921">
        <v>-7.3426820000000004E-2</v>
      </c>
      <c r="Z5921">
        <v>4.7150949999999997E-2</v>
      </c>
      <c r="AA5921">
        <v>0.9961854</v>
      </c>
      <c r="AB5921">
        <v>24</v>
      </c>
      <c r="AC5921">
        <v>4.6124000000000303</v>
      </c>
      <c r="AD5921">
        <v>-1.0666597486210001</v>
      </c>
      <c r="AE5921">
        <v>-21.628146000000001</v>
      </c>
      <c r="AF5921">
        <v>-1.66297726253037</v>
      </c>
      <c r="AG5921">
        <v>-1.0666597486210001</v>
      </c>
      <c r="AH5921">
        <v>22.000405225845601</v>
      </c>
      <c r="AI5921">
        <v>92.767850798251501</v>
      </c>
      <c r="AJ5921">
        <v>94.322680860985102</v>
      </c>
      <c r="AK5921">
        <v>22.088935838931601</v>
      </c>
      <c r="AL5921">
        <v>90.425706142049506</v>
      </c>
      <c r="AM5921">
        <v>82.608177531283999</v>
      </c>
      <c r="AN5921">
        <v>0.99999993760748196</v>
      </c>
    </row>
    <row r="5922" spans="1:40" x14ac:dyDescent="0.25">
      <c r="A5922" t="str">
        <f>"20190312161432150"</f>
        <v>20190312161432150</v>
      </c>
      <c r="B5922" t="str">
        <f>"1552378472142093"</f>
        <v>1552378472142093</v>
      </c>
      <c r="C5922" t="s">
        <v>40</v>
      </c>
      <c r="D5922">
        <v>6.0077420000000004</v>
      </c>
      <c r="E5922">
        <v>0.42115669999999999</v>
      </c>
      <c r="F5922" t="s">
        <v>42</v>
      </c>
      <c r="G5922">
        <v>-295.70049999999998</v>
      </c>
      <c r="H5922" s="1">
        <v>-2.911976E-6</v>
      </c>
      <c r="I5922">
        <v>-25.357109999999999</v>
      </c>
      <c r="J5922">
        <v>-300.5865</v>
      </c>
      <c r="K5922">
        <v>1.0689420000000001</v>
      </c>
      <c r="L5922">
        <v>-1.942078</v>
      </c>
      <c r="M5922">
        <v>0.119766</v>
      </c>
      <c r="N5922">
        <v>0</v>
      </c>
      <c r="O5922">
        <v>-0.99279899999999999</v>
      </c>
      <c r="P5922">
        <v>-8.5069399999999993E-3</v>
      </c>
      <c r="Q5922">
        <v>-8.0885550000000007E-3</v>
      </c>
      <c r="R5922">
        <v>-0.99993129999999997</v>
      </c>
      <c r="S5922">
        <v>0.62066650000000001</v>
      </c>
      <c r="T5922">
        <v>-0.13481370000000001</v>
      </c>
      <c r="U5922">
        <v>-2.9956360000000002</v>
      </c>
      <c r="V5922">
        <v>0.1280946</v>
      </c>
      <c r="W5922">
        <v>-7.6884179999999998E-3</v>
      </c>
      <c r="X5922">
        <v>0.99173210000000001</v>
      </c>
      <c r="Y5922">
        <v>-8.3948389999999998E-2</v>
      </c>
      <c r="Z5922">
        <v>4.3929950000000002E-2</v>
      </c>
      <c r="AA5922">
        <v>0.99550130000000003</v>
      </c>
      <c r="AB5922">
        <v>24</v>
      </c>
      <c r="AC5922">
        <v>4.8860000000000197</v>
      </c>
      <c r="AD5922">
        <v>-1.0689449119759999</v>
      </c>
      <c r="AE5922">
        <v>-23.415032</v>
      </c>
      <c r="AF5922">
        <v>-2.0424185700783499</v>
      </c>
      <c r="AG5922">
        <v>-1.0689449119759999</v>
      </c>
      <c r="AH5922">
        <v>23.7841709421015</v>
      </c>
      <c r="AI5922">
        <v>92.563920243688102</v>
      </c>
      <c r="AJ5922">
        <v>94.908120764315598</v>
      </c>
      <c r="AK5922">
        <v>23.895625211392701</v>
      </c>
      <c r="AL5922">
        <v>90.440518265373299</v>
      </c>
      <c r="AM5922">
        <v>82.640280506387001</v>
      </c>
      <c r="AN5922">
        <v>0.99999994824545502</v>
      </c>
    </row>
    <row r="5923" spans="1:40" x14ac:dyDescent="0.25">
      <c r="A5923" t="str">
        <f>"20190312161432173"</f>
        <v>20190312161432173</v>
      </c>
      <c r="B5923" t="str">
        <f>"1552378472162590"</f>
        <v>1552378472162590</v>
      </c>
      <c r="C5923" t="s">
        <v>40</v>
      </c>
      <c r="D5923">
        <v>5.9418870000000004</v>
      </c>
      <c r="E5923">
        <v>0.4204445</v>
      </c>
      <c r="F5923" t="s">
        <v>42</v>
      </c>
      <c r="G5923">
        <v>-295.6447</v>
      </c>
      <c r="H5923" s="1">
        <v>-2.467059E-6</v>
      </c>
      <c r="I5923">
        <v>-26.50761</v>
      </c>
      <c r="J5923">
        <v>-300.56920000000002</v>
      </c>
      <c r="K5923">
        <v>1.0708219999999999</v>
      </c>
      <c r="L5923">
        <v>-2.174194</v>
      </c>
      <c r="M5923">
        <v>0.10885259999999999</v>
      </c>
      <c r="N5923">
        <v>0</v>
      </c>
      <c r="O5923">
        <v>-0.99405310000000002</v>
      </c>
      <c r="P5923">
        <v>-1.8538229999999999E-2</v>
      </c>
      <c r="Q5923">
        <v>-8.1800599999999994E-3</v>
      </c>
      <c r="R5923">
        <v>-0.99979479999999998</v>
      </c>
      <c r="S5923">
        <v>0.60437010000000002</v>
      </c>
      <c r="T5923">
        <v>-0.13072919999999999</v>
      </c>
      <c r="U5923">
        <v>-3.0043030000000002</v>
      </c>
      <c r="V5923">
        <v>0.1271534</v>
      </c>
      <c r="W5923">
        <v>-7.2747849999999998E-3</v>
      </c>
      <c r="X5923">
        <v>0.99185639999999997</v>
      </c>
      <c r="Y5923">
        <v>-8.9150370000000007E-2</v>
      </c>
      <c r="Z5923">
        <v>4.2574889999999997E-2</v>
      </c>
      <c r="AA5923">
        <v>0.99510779999999999</v>
      </c>
      <c r="AB5923">
        <v>23</v>
      </c>
      <c r="AC5923">
        <v>4.9245000000000196</v>
      </c>
      <c r="AD5923">
        <v>-1.0708244670589999</v>
      </c>
      <c r="AE5923">
        <v>-24.333416</v>
      </c>
      <c r="AF5923">
        <v>-2.2422981231868602</v>
      </c>
      <c r="AG5923">
        <v>-1.0708244670589999</v>
      </c>
      <c r="AH5923">
        <v>24.678958392409299</v>
      </c>
      <c r="AI5923">
        <v>92.474336347834907</v>
      </c>
      <c r="AJ5923">
        <v>95.191565480381001</v>
      </c>
      <c r="AK5923">
        <v>24.803740710763101</v>
      </c>
      <c r="AL5923">
        <v>90.4168181481256</v>
      </c>
      <c r="AM5923">
        <v>82.694676762627395</v>
      </c>
      <c r="AN5923">
        <v>1.0000000139246501</v>
      </c>
    </row>
    <row r="5924" spans="1:40" x14ac:dyDescent="0.25">
      <c r="A5924" t="str">
        <f>"20190312161432197"</f>
        <v>20190312161432197</v>
      </c>
      <c r="B5924" t="str">
        <f>"1552378472191869"</f>
        <v>1552378472191869</v>
      </c>
      <c r="C5924" t="s">
        <v>40</v>
      </c>
      <c r="D5924">
        <v>6.0266169999999999</v>
      </c>
      <c r="E5924">
        <v>0.41864889999999999</v>
      </c>
      <c r="F5924" t="s">
        <v>42</v>
      </c>
      <c r="G5924">
        <v>-296.04509999999999</v>
      </c>
      <c r="H5924" s="1">
        <v>-2.719403E-6</v>
      </c>
      <c r="I5924">
        <v>-25.663499999999999</v>
      </c>
      <c r="J5924">
        <v>-300.55309999999997</v>
      </c>
      <c r="K5924">
        <v>1.0731040000000001</v>
      </c>
      <c r="L5924">
        <v>-2.432709</v>
      </c>
      <c r="M5924">
        <v>9.7765619999999998E-2</v>
      </c>
      <c r="N5924">
        <v>0</v>
      </c>
      <c r="O5924">
        <v>-0.99520350000000002</v>
      </c>
      <c r="P5924">
        <v>-2.851911E-2</v>
      </c>
      <c r="Q5924">
        <v>-7.7222649999999999E-3</v>
      </c>
      <c r="R5924">
        <v>-0.99956319999999999</v>
      </c>
      <c r="S5924">
        <v>0.57977290000000004</v>
      </c>
      <c r="T5924">
        <v>-0.13723079999999999</v>
      </c>
      <c r="U5924">
        <v>-3.0102540000000002</v>
      </c>
      <c r="V5924">
        <v>0.12601039999999999</v>
      </c>
      <c r="W5924">
        <v>-6.5401460000000002E-3</v>
      </c>
      <c r="X5924">
        <v>0.99200739999999998</v>
      </c>
      <c r="Y5924">
        <v>-9.2025940000000001E-2</v>
      </c>
      <c r="Z5924">
        <v>4.470797E-2</v>
      </c>
      <c r="AA5924">
        <v>0.99475250000000004</v>
      </c>
      <c r="AB5924">
        <v>23</v>
      </c>
      <c r="AC5924">
        <v>4.5079999999999796</v>
      </c>
      <c r="AD5924">
        <v>-1.073106719403</v>
      </c>
      <c r="AE5924">
        <v>-23.230791</v>
      </c>
      <c r="AF5924">
        <v>-2.21067185769938</v>
      </c>
      <c r="AG5924">
        <v>-1.073106719403</v>
      </c>
      <c r="AH5924">
        <v>23.511882380384002</v>
      </c>
      <c r="AI5924">
        <v>92.601766124014603</v>
      </c>
      <c r="AJ5924">
        <v>95.371364275556999</v>
      </c>
      <c r="AK5924">
        <v>23.639950109140798</v>
      </c>
      <c r="AL5924">
        <v>90.374725420365294</v>
      </c>
      <c r="AM5924">
        <v>82.760735782095495</v>
      </c>
      <c r="AN5924">
        <v>1.0000000380363001</v>
      </c>
    </row>
    <row r="5925" spans="1:40" x14ac:dyDescent="0.25">
      <c r="A5925" t="str">
        <f>"20190312161432222"</f>
        <v>20190312161432222</v>
      </c>
      <c r="B5925" t="str">
        <f>"1552378472212366"</f>
        <v>1552378472212366</v>
      </c>
      <c r="C5925" t="s">
        <v>40</v>
      </c>
      <c r="D5925">
        <v>6.0235649999999996</v>
      </c>
      <c r="E5925">
        <v>0.41843750000000002</v>
      </c>
      <c r="F5925" t="s">
        <v>42</v>
      </c>
      <c r="G5925">
        <v>-296.22210000000001</v>
      </c>
      <c r="H5925" s="1">
        <v>-2.7134589999999999E-6</v>
      </c>
      <c r="I5925">
        <v>-25.60417</v>
      </c>
      <c r="J5925">
        <v>-300.53980000000001</v>
      </c>
      <c r="K5925">
        <v>1.0759289999999999</v>
      </c>
      <c r="L5925">
        <v>-2.6949160000000001</v>
      </c>
      <c r="M5925">
        <v>8.6703310000000006E-2</v>
      </c>
      <c r="N5925">
        <v>0</v>
      </c>
      <c r="O5925">
        <v>-0.996228</v>
      </c>
      <c r="P5925">
        <v>-3.8955129999999998E-2</v>
      </c>
      <c r="Q5925">
        <v>-8.6221349999999995E-3</v>
      </c>
      <c r="R5925">
        <v>-0.99920439999999999</v>
      </c>
      <c r="S5925">
        <v>0.56378169999999905</v>
      </c>
      <c r="T5925">
        <v>-0.1396908</v>
      </c>
      <c r="U5925">
        <v>-3.016327</v>
      </c>
      <c r="V5925">
        <v>0.12533659999999999</v>
      </c>
      <c r="W5925">
        <v>-7.2411350000000001E-3</v>
      </c>
      <c r="X5925">
        <v>0.99208779999999996</v>
      </c>
      <c r="Y5925">
        <v>-9.7617720000000005E-2</v>
      </c>
      <c r="Z5925">
        <v>4.549802E-2</v>
      </c>
      <c r="AA5925">
        <v>0.99418340000000005</v>
      </c>
      <c r="AB5925">
        <v>23</v>
      </c>
      <c r="AC5925">
        <v>4.3177000000000003</v>
      </c>
      <c r="AD5925">
        <v>-1.0759317134590001</v>
      </c>
      <c r="AE5925">
        <v>-22.909254000000001</v>
      </c>
      <c r="AF5925">
        <v>-2.3101989049443499</v>
      </c>
      <c r="AG5925">
        <v>-1.0759317134590001</v>
      </c>
      <c r="AH5925">
        <v>23.148035586051801</v>
      </c>
      <c r="AI5925">
        <v>92.648083493399994</v>
      </c>
      <c r="AJ5925">
        <v>95.6993083694841</v>
      </c>
      <c r="AK5925">
        <v>23.287898134558102</v>
      </c>
      <c r="AL5925">
        <v>90.414890120859496</v>
      </c>
      <c r="AM5925">
        <v>82.799615448181697</v>
      </c>
      <c r="AN5925">
        <v>0.99999995012224197</v>
      </c>
    </row>
    <row r="5926" spans="1:40" x14ac:dyDescent="0.25">
      <c r="A5926" t="str">
        <f>"20190312161432259"</f>
        <v>20190312161432259</v>
      </c>
      <c r="B5926" t="str">
        <f>"1552378472252380"</f>
        <v>1552378472252380</v>
      </c>
      <c r="C5926" t="s">
        <v>40</v>
      </c>
      <c r="D5926">
        <v>5.9210750000000001</v>
      </c>
      <c r="E5926">
        <v>0.48181479999999999</v>
      </c>
      <c r="F5926" t="s">
        <v>42</v>
      </c>
      <c r="G5926">
        <v>-296.54539999999997</v>
      </c>
      <c r="H5926" s="1">
        <v>-2.7866670000000001E-6</v>
      </c>
      <c r="I5926">
        <v>-25.299849999999999</v>
      </c>
      <c r="J5926">
        <v>-300.52499999999998</v>
      </c>
      <c r="K5926">
        <v>1.0807659999999999</v>
      </c>
      <c r="L5926">
        <v>-3.0872799999999998</v>
      </c>
      <c r="M5926">
        <v>7.035988E-2</v>
      </c>
      <c r="N5926">
        <v>0</v>
      </c>
      <c r="O5926">
        <v>-0.99751259999999997</v>
      </c>
      <c r="P5926">
        <v>-5.3899599999999999E-2</v>
      </c>
      <c r="Q5926">
        <v>-1.0434809999999999E-2</v>
      </c>
      <c r="R5926">
        <v>-0.99849189999999999</v>
      </c>
      <c r="S5926">
        <v>0.53399659999999904</v>
      </c>
      <c r="T5926">
        <v>-0.14383750000000001</v>
      </c>
      <c r="U5926">
        <v>-3.021973</v>
      </c>
      <c r="V5926">
        <v>0.123905399999999</v>
      </c>
      <c r="W5926">
        <v>-8.1855450000000007E-3</v>
      </c>
      <c r="X5926">
        <v>0.99226029999999998</v>
      </c>
      <c r="Y5926">
        <v>-0.10409889999999999</v>
      </c>
      <c r="Z5926">
        <v>4.6875790000000001E-2</v>
      </c>
      <c r="AA5926">
        <v>0.9934617</v>
      </c>
      <c r="AB5926">
        <v>23</v>
      </c>
      <c r="AC5926">
        <v>3.9796</v>
      </c>
      <c r="AD5926">
        <v>-1.0807687866669999</v>
      </c>
      <c r="AE5926">
        <v>-22.212569999999999</v>
      </c>
      <c r="AF5926">
        <v>-2.40134107864061</v>
      </c>
      <c r="AG5926">
        <v>-1.0807687866669999</v>
      </c>
      <c r="AH5926">
        <v>22.386177299245698</v>
      </c>
      <c r="AI5926">
        <v>92.748260363913701</v>
      </c>
      <c r="AJ5926">
        <v>96.122644408565506</v>
      </c>
      <c r="AK5926">
        <v>22.540528703192901</v>
      </c>
      <c r="AL5926">
        <v>90.469002406331001</v>
      </c>
      <c r="AM5926">
        <v>82.882212083896505</v>
      </c>
      <c r="AN5926">
        <v>1.00000002712609</v>
      </c>
    </row>
    <row r="5927" spans="1:40" x14ac:dyDescent="0.25">
      <c r="A5927" t="str">
        <f>"20190312161432290"</f>
        <v>20190312161432290</v>
      </c>
      <c r="B5927" t="str">
        <f>"1552378472282637"</f>
        <v>1552378472282637</v>
      </c>
      <c r="C5927" t="s">
        <v>40</v>
      </c>
      <c r="D5927">
        <v>5.9292959999999999</v>
      </c>
      <c r="E5927">
        <v>0.4868673</v>
      </c>
      <c r="F5927" t="s">
        <v>43</v>
      </c>
      <c r="G5927">
        <v>-300.52949999999998</v>
      </c>
      <c r="H5927">
        <v>1.0319969999999901</v>
      </c>
      <c r="I5927">
        <v>-3.9301179999999998</v>
      </c>
      <c r="J5927">
        <v>-300.51690000000002</v>
      </c>
      <c r="K5927">
        <v>1.08477</v>
      </c>
      <c r="L5927">
        <v>-3.4173279999999999</v>
      </c>
      <c r="M5927">
        <v>5.6987940000000001E-2</v>
      </c>
      <c r="N5927">
        <v>0</v>
      </c>
      <c r="O5927">
        <v>-0.99836080000000005</v>
      </c>
      <c r="P5927">
        <v>-6.6397559999999994E-2</v>
      </c>
      <c r="Q5927">
        <v>-1.1529879999999999E-2</v>
      </c>
      <c r="R5927">
        <v>-0.99772689999999997</v>
      </c>
      <c r="S5927">
        <v>-1.5655519999999999E-2</v>
      </c>
      <c r="T5927">
        <v>-0.173184</v>
      </c>
      <c r="U5927">
        <v>-3.0018919999999998</v>
      </c>
      <c r="V5927">
        <v>0.1230411</v>
      </c>
      <c r="W5927">
        <v>-8.1140329999999997E-3</v>
      </c>
      <c r="X5927">
        <v>0.99236840000000004</v>
      </c>
      <c r="Y5927">
        <v>6.2185940000000002E-2</v>
      </c>
      <c r="Z5927">
        <v>5.7399390000000002E-2</v>
      </c>
      <c r="AA5927">
        <v>0.99641270000000004</v>
      </c>
      <c r="AB5927">
        <v>24</v>
      </c>
      <c r="AC5927">
        <v>-1.25999999999635E-2</v>
      </c>
      <c r="AD5927">
        <v>-5.2773000000000098E-2</v>
      </c>
      <c r="AE5927">
        <v>-0.51278999999999997</v>
      </c>
      <c r="AF5927">
        <v>4.1364939612338898E-2</v>
      </c>
      <c r="AG5927">
        <v>-5.2773000000000098E-2</v>
      </c>
      <c r="AH5927">
        <v>0.50588389046316995</v>
      </c>
      <c r="AI5927">
        <v>95.935795486126807</v>
      </c>
      <c r="AJ5927">
        <v>85.325457854627004</v>
      </c>
      <c r="AK5927">
        <v>0.51030829739313899</v>
      </c>
      <c r="AL5927">
        <v>90.464904949250396</v>
      </c>
      <c r="AM5927">
        <v>82.932120300165295</v>
      </c>
      <c r="AN5927">
        <v>0.99999999556964703</v>
      </c>
    </row>
    <row r="5928" spans="1:40" x14ac:dyDescent="0.25">
      <c r="A5928" t="str">
        <f>"20190312161432330"</f>
        <v>20190312161432330</v>
      </c>
      <c r="B5928" t="str">
        <f>"1552378472322654"</f>
        <v>1552378472322654</v>
      </c>
      <c r="C5928" t="s">
        <v>40</v>
      </c>
      <c r="D5928">
        <v>5.4547339999999904</v>
      </c>
      <c r="E5928">
        <v>0.48673280000000002</v>
      </c>
      <c r="F5928" t="s">
        <v>43</v>
      </c>
      <c r="G5928">
        <v>-300.54579999999999</v>
      </c>
      <c r="H5928">
        <v>1.0230539999999999</v>
      </c>
      <c r="I5928">
        <v>-4.3494349999999997</v>
      </c>
      <c r="J5928">
        <v>-300.51280000000003</v>
      </c>
      <c r="K5928">
        <v>1.089415</v>
      </c>
      <c r="L5928">
        <v>-3.8554689999999998</v>
      </c>
      <c r="M5928">
        <v>4.031295E-2</v>
      </c>
      <c r="N5928">
        <v>0</v>
      </c>
      <c r="O5928">
        <v>-0.99916419999999995</v>
      </c>
      <c r="P5928">
        <v>-8.0763180000000004E-2</v>
      </c>
      <c r="Q5928">
        <v>-1.282778E-2</v>
      </c>
      <c r="R5928">
        <v>-0.99665110000000001</v>
      </c>
      <c r="S5928">
        <v>-9.2864989999999994E-2</v>
      </c>
      <c r="T5928">
        <v>-0.19834969999999999</v>
      </c>
      <c r="U5928">
        <v>-2.9983520000000001</v>
      </c>
      <c r="V5928">
        <v>0.1207781</v>
      </c>
      <c r="W5928">
        <v>-7.8122219999999997E-3</v>
      </c>
      <c r="X5928">
        <v>0.9926488</v>
      </c>
      <c r="Y5928">
        <v>7.1159239999999999E-2</v>
      </c>
      <c r="Z5928">
        <v>6.582876E-2</v>
      </c>
      <c r="AA5928">
        <v>0.99529040000000002</v>
      </c>
      <c r="AB5928">
        <v>23</v>
      </c>
      <c r="AC5928">
        <v>-3.2999999999958597E-2</v>
      </c>
      <c r="AD5928">
        <v>-6.6360999999999795E-2</v>
      </c>
      <c r="AE5928">
        <v>-0.49396599999999902</v>
      </c>
      <c r="AF5928">
        <v>5.1953361783255998E-2</v>
      </c>
      <c r="AG5928">
        <v>-6.6360999999999795E-2</v>
      </c>
      <c r="AH5928">
        <v>0.48354576946475503</v>
      </c>
      <c r="AI5928">
        <v>97.770190528132801</v>
      </c>
      <c r="AJ5928">
        <v>83.867524083097294</v>
      </c>
      <c r="AK5928">
        <v>0.49083545642999699</v>
      </c>
      <c r="AL5928">
        <v>90.447611897753305</v>
      </c>
      <c r="AM5928">
        <v>83.062776279715607</v>
      </c>
      <c r="AN5928">
        <v>1.0000000101968101</v>
      </c>
    </row>
    <row r="5929" spans="1:40" x14ac:dyDescent="0.25">
      <c r="A5929" t="str">
        <f>"20190312161432375"</f>
        <v>20190312161432375</v>
      </c>
      <c r="B5929" t="str">
        <f>"1552378472362670"</f>
        <v>1552378472362670</v>
      </c>
      <c r="C5929" t="s">
        <v>40</v>
      </c>
      <c r="D5929">
        <v>5.8908329999999998</v>
      </c>
      <c r="E5929">
        <v>0.48597829999999897</v>
      </c>
      <c r="F5929" t="s">
        <v>43</v>
      </c>
      <c r="G5929">
        <v>-300.55410000000001</v>
      </c>
      <c r="H5929">
        <v>1.024219</v>
      </c>
      <c r="I5929">
        <v>-4.7736080000000003</v>
      </c>
      <c r="J5929">
        <v>-300.51580000000001</v>
      </c>
      <c r="K5929">
        <v>1.0936549999999901</v>
      </c>
      <c r="L5929">
        <v>-4.323944</v>
      </c>
      <c r="M5929">
        <v>2.3745840000000001E-2</v>
      </c>
      <c r="N5929">
        <v>0</v>
      </c>
      <c r="O5929">
        <v>-0.99968429999999997</v>
      </c>
      <c r="P5929">
        <v>-9.544975E-2</v>
      </c>
      <c r="Q5929">
        <v>-1.492714E-2</v>
      </c>
      <c r="R5929">
        <v>-0.99532229999999999</v>
      </c>
      <c r="S5929">
        <v>-0.13485720000000001</v>
      </c>
      <c r="T5929">
        <v>-0.21289730000000001</v>
      </c>
      <c r="U5929">
        <v>-2.9963989999999998</v>
      </c>
      <c r="V5929">
        <v>0.1189598</v>
      </c>
      <c r="W5929">
        <v>-8.329553E-3</v>
      </c>
      <c r="X5929">
        <v>0.99286410000000003</v>
      </c>
      <c r="Y5929">
        <v>6.8558170000000002E-2</v>
      </c>
      <c r="Z5929">
        <v>7.0723389999999997E-2</v>
      </c>
      <c r="AA5929">
        <v>0.99513720000000006</v>
      </c>
      <c r="AB5929">
        <v>23</v>
      </c>
      <c r="AC5929">
        <v>-3.8299999999992403E-2</v>
      </c>
      <c r="AD5929">
        <v>-6.9435999999999803E-2</v>
      </c>
      <c r="AE5929">
        <v>-0.44966400000000001</v>
      </c>
      <c r="AF5929">
        <v>4.7834814222694602E-2</v>
      </c>
      <c r="AG5929">
        <v>-6.9435999999999803E-2</v>
      </c>
      <c r="AH5929">
        <v>0.43825292798499099</v>
      </c>
      <c r="AI5929">
        <v>98.950713159467597</v>
      </c>
      <c r="AJ5929">
        <v>83.770888792677695</v>
      </c>
      <c r="AK5929">
        <v>0.44629043955157399</v>
      </c>
      <c r="AL5929">
        <v>90.477253766142894</v>
      </c>
      <c r="AM5929">
        <v>83.167688134863198</v>
      </c>
      <c r="AN5929">
        <v>0.99999996826901405</v>
      </c>
    </row>
    <row r="5930" spans="1:40" x14ac:dyDescent="0.25">
      <c r="A5930" t="str">
        <f>"20190312161432417"</f>
        <v>20190312161432417</v>
      </c>
      <c r="B5930" t="str">
        <f>"1552378472412446"</f>
        <v>1552378472412446</v>
      </c>
      <c r="C5930" t="s">
        <v>40</v>
      </c>
      <c r="D5930">
        <v>5.8409700000000004</v>
      </c>
      <c r="E5930">
        <v>0.4848016</v>
      </c>
      <c r="F5930" t="s">
        <v>43</v>
      </c>
      <c r="G5930">
        <v>-300.56630000000001</v>
      </c>
      <c r="H5930">
        <v>1.029827</v>
      </c>
      <c r="I5930">
        <v>-5.1985679999999999</v>
      </c>
      <c r="J5930">
        <v>-300.52460000000002</v>
      </c>
      <c r="K5930">
        <v>1.0971059999999999</v>
      </c>
      <c r="L5930">
        <v>-4.7734680000000003</v>
      </c>
      <c r="M5930">
        <v>8.7921230000000006E-3</v>
      </c>
      <c r="N5930">
        <v>0</v>
      </c>
      <c r="O5930">
        <v>-0.99991750000000001</v>
      </c>
      <c r="P5930">
        <v>-0.1074691</v>
      </c>
      <c r="Q5930">
        <v>-1.5520050000000001E-2</v>
      </c>
      <c r="R5930">
        <v>-0.99408750000000001</v>
      </c>
      <c r="S5930">
        <v>-0.17297360000000001</v>
      </c>
      <c r="T5930">
        <v>-0.21840870000000001</v>
      </c>
      <c r="U5930">
        <v>-2.9942319999999998</v>
      </c>
      <c r="V5930">
        <v>0.1161249</v>
      </c>
      <c r="W5930">
        <v>-7.5635329999999999E-3</v>
      </c>
      <c r="X5930">
        <v>0.99320580000000003</v>
      </c>
      <c r="Y5930">
        <v>6.62962E-2</v>
      </c>
      <c r="Z5930">
        <v>7.2605390000000006E-2</v>
      </c>
      <c r="AA5930">
        <v>0.99515489999999995</v>
      </c>
      <c r="AB5930">
        <v>23</v>
      </c>
      <c r="AC5930">
        <v>-4.1699999999991598E-2</v>
      </c>
      <c r="AD5930">
        <v>-6.7278999999999797E-2</v>
      </c>
      <c r="AE5930">
        <v>-0.42509999999999898</v>
      </c>
      <c r="AF5930">
        <v>4.4336126848046498E-2</v>
      </c>
      <c r="AG5930">
        <v>-6.7278999999999797E-2</v>
      </c>
      <c r="AH5930">
        <v>0.41443499995545802</v>
      </c>
      <c r="AI5930">
        <v>99.169478432808006</v>
      </c>
      <c r="AJ5930">
        <v>83.893739412664701</v>
      </c>
      <c r="AK5930">
        <v>0.42219489003653998</v>
      </c>
      <c r="AL5930">
        <v>90.433362659614005</v>
      </c>
      <c r="AM5930">
        <v>83.3312964489796</v>
      </c>
      <c r="AN5930">
        <v>0.999999980292545</v>
      </c>
    </row>
    <row r="5931" spans="1:40" x14ac:dyDescent="0.25">
      <c r="A5931" t="str">
        <f>"20190312161432439"</f>
        <v>20190312161432439</v>
      </c>
      <c r="B5931" t="str">
        <f>"1552378472431966"</f>
        <v>1552378472431966</v>
      </c>
      <c r="C5931" t="s">
        <v>40</v>
      </c>
      <c r="D5931">
        <v>5.8474339999999998</v>
      </c>
      <c r="E5931">
        <v>0.48378389999999999</v>
      </c>
      <c r="F5931" t="s">
        <v>43</v>
      </c>
      <c r="G5931">
        <v>-300.58120000000002</v>
      </c>
      <c r="H5931">
        <v>1.034529</v>
      </c>
      <c r="I5931">
        <v>-5.6217870000000003</v>
      </c>
      <c r="J5931">
        <v>-300.53129999999999</v>
      </c>
      <c r="K5931">
        <v>1.09866</v>
      </c>
      <c r="L5931">
        <v>-5.0093379999999996</v>
      </c>
      <c r="M5931">
        <v>1.3950189999999999E-3</v>
      </c>
      <c r="N5931">
        <v>0</v>
      </c>
      <c r="O5931">
        <v>-0.99994989999999995</v>
      </c>
      <c r="P5931">
        <v>-0.1127388</v>
      </c>
      <c r="Q5931">
        <v>-1.5924049999999999E-2</v>
      </c>
      <c r="R5931">
        <v>-0.99349699999999996</v>
      </c>
      <c r="S5931">
        <v>-0.199707</v>
      </c>
      <c r="T5931">
        <v>-0.22080659999999999</v>
      </c>
      <c r="U5931">
        <v>-2.9927980000000001</v>
      </c>
      <c r="V5931">
        <v>0.1140511</v>
      </c>
      <c r="W5931">
        <v>-7.3371529999999999E-3</v>
      </c>
      <c r="X5931">
        <v>0.99344779999999999</v>
      </c>
      <c r="Y5931">
        <v>6.7793419999999993E-2</v>
      </c>
      <c r="Z5931">
        <v>7.3413409999999998E-2</v>
      </c>
      <c r="AA5931">
        <v>0.99499479999999996</v>
      </c>
      <c r="AB5931">
        <v>23</v>
      </c>
      <c r="AC5931">
        <v>-4.9900000000036401E-2</v>
      </c>
      <c r="AD5931">
        <v>-6.4130999999999896E-2</v>
      </c>
      <c r="AE5931">
        <v>-0.61244900000000002</v>
      </c>
      <c r="AF5931">
        <v>5.0207492444963003E-2</v>
      </c>
      <c r="AG5931">
        <v>-6.4130999999999896E-2</v>
      </c>
      <c r="AH5931">
        <v>0.60578040032018599</v>
      </c>
      <c r="AI5931">
        <v>96.022616996277193</v>
      </c>
      <c r="AJ5931">
        <v>85.262115447175304</v>
      </c>
      <c r="AK5931">
        <v>0.61123111084981196</v>
      </c>
      <c r="AL5931">
        <v>90.420391668581203</v>
      </c>
      <c r="AM5931">
        <v>83.450926018755197</v>
      </c>
      <c r="AN5931">
        <v>1.00000000927509</v>
      </c>
    </row>
    <row r="5932" spans="1:40" x14ac:dyDescent="0.25">
      <c r="A5932" t="str">
        <f>"20190312161432468"</f>
        <v>20190312161432468</v>
      </c>
      <c r="B5932" t="str">
        <f>"1552378472462222"</f>
        <v>1552378472462222</v>
      </c>
      <c r="C5932" t="s">
        <v>40</v>
      </c>
      <c r="D5932">
        <v>5.8455349999999999</v>
      </c>
      <c r="E5932">
        <v>0.48281540000000001</v>
      </c>
      <c r="F5932" t="s">
        <v>43</v>
      </c>
      <c r="G5932">
        <v>-300.58859999999999</v>
      </c>
      <c r="H5932">
        <v>1.0361659999999999</v>
      </c>
      <c r="I5932">
        <v>-5.8325120000000004</v>
      </c>
      <c r="J5932">
        <v>-300.54149999999998</v>
      </c>
      <c r="K5932">
        <v>1.1003639999999999</v>
      </c>
      <c r="L5932">
        <v>-5.3064879999999999</v>
      </c>
      <c r="M5932">
        <v>-7.4339590000000004E-3</v>
      </c>
      <c r="N5932">
        <v>0</v>
      </c>
      <c r="O5932">
        <v>-0.99991739999999996</v>
      </c>
      <c r="P5932">
        <v>-0.11970359999999999</v>
      </c>
      <c r="Q5932">
        <v>-1.640368E-2</v>
      </c>
      <c r="R5932">
        <v>-0.99267459999999996</v>
      </c>
      <c r="S5932">
        <v>-0.2071838</v>
      </c>
      <c r="T5932">
        <v>-0.2263318</v>
      </c>
      <c r="U5932">
        <v>-2.9924930000000001</v>
      </c>
      <c r="V5932">
        <v>0.11225400000000001</v>
      </c>
      <c r="W5932">
        <v>-7.1172099999999997E-3</v>
      </c>
      <c r="X5932">
        <v>0.99365409999999998</v>
      </c>
      <c r="Y5932">
        <v>6.1454839999999997E-2</v>
      </c>
      <c r="Z5932">
        <v>7.5253890000000004E-2</v>
      </c>
      <c r="AA5932">
        <v>0.99526890000000001</v>
      </c>
      <c r="AB5932">
        <v>23</v>
      </c>
      <c r="AC5932">
        <v>-4.7100000000000301E-2</v>
      </c>
      <c r="AD5932">
        <v>-6.4197999999999894E-2</v>
      </c>
      <c r="AE5932">
        <v>-0.52602400000000005</v>
      </c>
      <c r="AF5932">
        <v>4.25591780391439E-2</v>
      </c>
      <c r="AG5932">
        <v>-6.4197999999999894E-2</v>
      </c>
      <c r="AH5932">
        <v>0.518695257415833</v>
      </c>
      <c r="AI5932">
        <v>97.032123448131003</v>
      </c>
      <c r="AJ5932">
        <v>85.3093630350578</v>
      </c>
      <c r="AK5932">
        <v>0.52438291057684705</v>
      </c>
      <c r="AL5932">
        <v>90.407789520236904</v>
      </c>
      <c r="AM5932">
        <v>83.554571172282095</v>
      </c>
      <c r="AN5932">
        <v>1.00000004282049</v>
      </c>
    </row>
    <row r="5933" spans="1:40" x14ac:dyDescent="0.25">
      <c r="A5933" t="str">
        <f>"20190312161432494"</f>
        <v>20190312161432494</v>
      </c>
      <c r="B5933" t="str">
        <f>"1552378472482730"</f>
        <v>1552378472482730</v>
      </c>
      <c r="C5933" t="s">
        <v>40</v>
      </c>
      <c r="D5933">
        <v>5.8682439999999998</v>
      </c>
      <c r="E5933">
        <v>0.48220869999999999</v>
      </c>
      <c r="F5933" t="s">
        <v>43</v>
      </c>
      <c r="G5933">
        <v>-300.59609999999998</v>
      </c>
      <c r="H5933">
        <v>1.043275</v>
      </c>
      <c r="I5933">
        <v>-6.047485</v>
      </c>
      <c r="J5933">
        <v>-300.55250000000001</v>
      </c>
      <c r="K5933">
        <v>1.101656</v>
      </c>
      <c r="L5933">
        <v>-5.5757450000000004</v>
      </c>
      <c r="M5933">
        <v>-1.4858359999999999E-2</v>
      </c>
      <c r="N5933">
        <v>0</v>
      </c>
      <c r="O5933">
        <v>-0.99982990000000005</v>
      </c>
      <c r="P5933">
        <v>-0.12393560000000001</v>
      </c>
      <c r="Q5933">
        <v>-1.657807E-2</v>
      </c>
      <c r="R5933">
        <v>-0.99215180000000003</v>
      </c>
      <c r="S5933">
        <v>-0.22055050000000001</v>
      </c>
      <c r="T5933">
        <v>-0.23052790000000001</v>
      </c>
      <c r="U5933">
        <v>-2.99173</v>
      </c>
      <c r="V5933">
        <v>0.1091206</v>
      </c>
      <c r="W5933">
        <v>-6.730616E-3</v>
      </c>
      <c r="X5933">
        <v>0.99400569999999999</v>
      </c>
      <c r="Y5933">
        <v>5.847716E-2</v>
      </c>
      <c r="Z5933">
        <v>7.6645550000000007E-2</v>
      </c>
      <c r="AA5933">
        <v>0.99534210000000001</v>
      </c>
      <c r="AB5933">
        <v>23</v>
      </c>
      <c r="AC5933">
        <v>-4.3599999999969399E-2</v>
      </c>
      <c r="AD5933">
        <v>-5.8381000000000002E-2</v>
      </c>
      <c r="AE5933">
        <v>-0.47173999999999999</v>
      </c>
      <c r="AF5933">
        <v>3.60382086254835E-2</v>
      </c>
      <c r="AG5933">
        <v>-5.8381000000000002E-2</v>
      </c>
      <c r="AH5933">
        <v>0.46527018455240998</v>
      </c>
      <c r="AI5933">
        <v>97.130822030434103</v>
      </c>
      <c r="AJ5933">
        <v>85.570911728115405</v>
      </c>
      <c r="AK5933">
        <v>0.470301433418364</v>
      </c>
      <c r="AL5933">
        <v>90.385638813932601</v>
      </c>
      <c r="AM5933">
        <v>83.7352328284164</v>
      </c>
      <c r="AN5933">
        <v>0.999999969084294</v>
      </c>
    </row>
    <row r="5934" spans="1:40" x14ac:dyDescent="0.25">
      <c r="A5934" t="str">
        <f>"20190312161432522"</f>
        <v>20190312161432522</v>
      </c>
      <c r="B5934" t="str">
        <f>"1552378472511998"</f>
        <v>1552378472511998</v>
      </c>
      <c r="C5934" t="s">
        <v>40</v>
      </c>
      <c r="D5934">
        <v>5.8617949999999999</v>
      </c>
      <c r="E5934">
        <v>0.48185420000000001</v>
      </c>
      <c r="F5934" t="s">
        <v>43</v>
      </c>
      <c r="G5934">
        <v>-300.6198</v>
      </c>
      <c r="H5934">
        <v>1.0325959999999901</v>
      </c>
      <c r="I5934">
        <v>-6.4583899999999996</v>
      </c>
      <c r="J5934">
        <v>-300.5668</v>
      </c>
      <c r="K5934">
        <v>1.1029199999999999</v>
      </c>
      <c r="L5934">
        <v>-5.8846129999999999</v>
      </c>
      <c r="M5934">
        <v>-2.2820139999999999E-2</v>
      </c>
      <c r="N5934">
        <v>0</v>
      </c>
      <c r="O5934">
        <v>-0.99967470000000003</v>
      </c>
      <c r="P5934">
        <v>-0.129390899999999</v>
      </c>
      <c r="Q5934">
        <v>-1.6992960000000001E-2</v>
      </c>
      <c r="R5934">
        <v>-0.9914482</v>
      </c>
      <c r="S5934">
        <v>-0.2283936</v>
      </c>
      <c r="T5934">
        <v>-0.2341326</v>
      </c>
      <c r="U5934">
        <v>-2.9912719999999999</v>
      </c>
      <c r="V5934">
        <v>0.10667740000000001</v>
      </c>
      <c r="W5934">
        <v>-6.5958880000000003E-3</v>
      </c>
      <c r="X5934">
        <v>0.99427180000000004</v>
      </c>
      <c r="Y5934">
        <v>5.3125529999999997E-2</v>
      </c>
      <c r="Z5934">
        <v>7.7835230000000005E-2</v>
      </c>
      <c r="AA5934">
        <v>0.99554980000000004</v>
      </c>
      <c r="AB5934">
        <v>23</v>
      </c>
      <c r="AC5934">
        <v>-5.2999999999997202E-2</v>
      </c>
      <c r="AD5934">
        <v>-7.0324000000000206E-2</v>
      </c>
      <c r="AE5934">
        <v>-0.57377699999999998</v>
      </c>
      <c r="AF5934">
        <v>3.9306221965029198E-2</v>
      </c>
      <c r="AG5934">
        <v>-7.0324000000000206E-2</v>
      </c>
      <c r="AH5934">
        <v>0.56640075178671501</v>
      </c>
      <c r="AI5934">
        <v>97.060782353572606</v>
      </c>
      <c r="AJ5934">
        <v>86.030238684528598</v>
      </c>
      <c r="AK5934">
        <v>0.57210161307736196</v>
      </c>
      <c r="AL5934">
        <v>90.377919287556097</v>
      </c>
      <c r="AM5934">
        <v>83.876048861455303</v>
      </c>
      <c r="AN5934">
        <v>0.99999999284225405</v>
      </c>
    </row>
    <row r="5935" spans="1:40" x14ac:dyDescent="0.25">
      <c r="A5935" t="str">
        <f>"20190312161432543"</f>
        <v>20190312161432543</v>
      </c>
      <c r="B5935" t="str">
        <f>"1552378472532494"</f>
        <v>1552378472532494</v>
      </c>
      <c r="C5935" t="s">
        <v>40</v>
      </c>
      <c r="D5935">
        <v>5.8364349999999998</v>
      </c>
      <c r="E5935">
        <v>0.46391359999999898</v>
      </c>
      <c r="F5935" t="s">
        <v>43</v>
      </c>
      <c r="G5935">
        <v>-300.63080000000002</v>
      </c>
      <c r="H5935">
        <v>1.040664</v>
      </c>
      <c r="I5935">
        <v>-6.6711340000000003</v>
      </c>
      <c r="J5935">
        <v>-300.5779</v>
      </c>
      <c r="K5935">
        <v>1.103661</v>
      </c>
      <c r="L5935">
        <v>-6.1007389999999999</v>
      </c>
      <c r="M5935">
        <v>-2.8082409999999999E-2</v>
      </c>
      <c r="N5935">
        <v>0</v>
      </c>
      <c r="O5935">
        <v>-0.99953769999999997</v>
      </c>
      <c r="P5935">
        <v>-0.13230310000000001</v>
      </c>
      <c r="Q5935">
        <v>-1.7176230000000001E-2</v>
      </c>
      <c r="R5935">
        <v>-0.99106090000000002</v>
      </c>
      <c r="S5935">
        <v>-0.24185180000000001</v>
      </c>
      <c r="T5935">
        <v>-0.2359581</v>
      </c>
      <c r="U5935">
        <v>-2.990265</v>
      </c>
      <c r="V5935">
        <v>0.10436819999999999</v>
      </c>
      <c r="W5935">
        <v>-6.4385819999999896E-3</v>
      </c>
      <c r="X5935">
        <v>0.99451789999999995</v>
      </c>
      <c r="Y5935">
        <v>5.234337E-2</v>
      </c>
      <c r="Z5935">
        <v>7.8436699999999998E-2</v>
      </c>
      <c r="AA5935">
        <v>0.99554399999999998</v>
      </c>
      <c r="AB5935">
        <v>23</v>
      </c>
      <c r="AC5935">
        <v>-5.2900000000022297E-2</v>
      </c>
      <c r="AD5935">
        <v>-6.29969999999999E-2</v>
      </c>
      <c r="AE5935">
        <v>-0.57039499999999899</v>
      </c>
      <c r="AF5935">
        <v>3.6419523733527498E-2</v>
      </c>
      <c r="AG5935">
        <v>-6.29969999999999E-2</v>
      </c>
      <c r="AH5935">
        <v>0.56482470041282595</v>
      </c>
      <c r="AI5935">
        <v>96.351028376846003</v>
      </c>
      <c r="AJ5935">
        <v>86.310713154208997</v>
      </c>
      <c r="AK5935">
        <v>0.56949270927239704</v>
      </c>
      <c r="AL5935">
        <v>90.368906118012802</v>
      </c>
      <c r="AM5935">
        <v>84.009108366930704</v>
      </c>
      <c r="AN5935">
        <v>1.00000001496491</v>
      </c>
    </row>
    <row r="5936" spans="1:40" x14ac:dyDescent="0.25">
      <c r="A5936" t="str">
        <f>"20190312161432564"</f>
        <v>20190312161432564</v>
      </c>
      <c r="B5936" t="str">
        <f>"1552378472552570"</f>
        <v>1552378472552570</v>
      </c>
      <c r="C5936" t="s">
        <v>40</v>
      </c>
      <c r="D5936">
        <v>5.8138050000000003</v>
      </c>
      <c r="E5936">
        <v>0.46288230000000002</v>
      </c>
      <c r="F5936" t="s">
        <v>43</v>
      </c>
      <c r="G5936">
        <v>-300.60660000000001</v>
      </c>
      <c r="H5936">
        <v>1.040748</v>
      </c>
      <c r="I5936">
        <v>-6.890333</v>
      </c>
      <c r="J5936">
        <v>-300.5899</v>
      </c>
      <c r="K5936">
        <v>1.10432</v>
      </c>
      <c r="L5936">
        <v>-6.3161319999999996</v>
      </c>
      <c r="M5936">
        <v>-3.3059560000000002E-2</v>
      </c>
      <c r="N5936">
        <v>0</v>
      </c>
      <c r="O5936">
        <v>-0.99938269999999996</v>
      </c>
      <c r="P5936">
        <v>-0.134634</v>
      </c>
      <c r="Q5936">
        <v>-1.7231509999999998E-2</v>
      </c>
      <c r="R5936">
        <v>-0.99074580000000001</v>
      </c>
      <c r="S5936">
        <v>-0.1088867</v>
      </c>
      <c r="T5936">
        <v>-0.23960919999999999</v>
      </c>
      <c r="U5936">
        <v>-3.008362</v>
      </c>
      <c r="V5936">
        <v>0.10175919999999999</v>
      </c>
      <c r="W5936">
        <v>-6.1852919999999898E-3</v>
      </c>
      <c r="X5936">
        <v>0.99478979999999995</v>
      </c>
      <c r="Y5936">
        <v>2.9969800000000002E-3</v>
      </c>
      <c r="Z5936">
        <v>7.9305390000000003E-2</v>
      </c>
      <c r="AA5936">
        <v>0.9968458</v>
      </c>
      <c r="AB5936">
        <v>23</v>
      </c>
      <c r="AC5936">
        <v>-1.6700000000014301E-2</v>
      </c>
      <c r="AD5936">
        <v>-6.3571999999999906E-2</v>
      </c>
      <c r="AE5936">
        <v>-0.57420099999999996</v>
      </c>
      <c r="AF5936">
        <v>-2.2655566160363302E-3</v>
      </c>
      <c r="AG5936">
        <v>-6.3571999999999906E-2</v>
      </c>
      <c r="AH5936">
        <v>0.56748907174462104</v>
      </c>
      <c r="AI5936">
        <v>96.391763396412898</v>
      </c>
      <c r="AJ5936">
        <v>90.228737695921197</v>
      </c>
      <c r="AK5936">
        <v>0.57104323696227399</v>
      </c>
      <c r="AL5936">
        <v>90.354393397244806</v>
      </c>
      <c r="AM5936">
        <v>84.159405653936304</v>
      </c>
      <c r="AN5936">
        <v>0.99999996940290203</v>
      </c>
    </row>
    <row r="5937" spans="1:40" x14ac:dyDescent="0.25">
      <c r="A5937" t="str">
        <f>"20190312161432587"</f>
        <v>20190312161432587</v>
      </c>
      <c r="B5937" t="str">
        <f>"1552378472582826"</f>
        <v>1552378472582826</v>
      </c>
      <c r="C5937" t="s">
        <v>40</v>
      </c>
      <c r="D5937">
        <v>5.8438049999999997</v>
      </c>
      <c r="E5937">
        <v>0.46152260000000001</v>
      </c>
      <c r="F5937" t="s">
        <v>43</v>
      </c>
      <c r="G5937">
        <v>-300.61770000000001</v>
      </c>
      <c r="H5937">
        <v>1.038578</v>
      </c>
      <c r="I5937">
        <v>-7.0909149999999999</v>
      </c>
      <c r="J5937">
        <v>-300.60419999999999</v>
      </c>
      <c r="K5937">
        <v>1.1049880000000001</v>
      </c>
      <c r="L5937">
        <v>-6.5578609999999999</v>
      </c>
      <c r="M5937">
        <v>-3.8325360000000003E-2</v>
      </c>
      <c r="N5937">
        <v>0</v>
      </c>
      <c r="O5937">
        <v>-0.99919150000000001</v>
      </c>
      <c r="P5937">
        <v>-0.1366491</v>
      </c>
      <c r="Q5937">
        <v>-1.778362E-2</v>
      </c>
      <c r="R5937">
        <v>-0.99045970000000005</v>
      </c>
      <c r="S5937">
        <v>-0.1074524</v>
      </c>
      <c r="T5937">
        <v>-0.25489780000000001</v>
      </c>
      <c r="U5937">
        <v>-3.0090029999999999</v>
      </c>
      <c r="V5937">
        <v>9.8541740000000003E-2</v>
      </c>
      <c r="W5937">
        <v>-6.4219619999999998E-3</v>
      </c>
      <c r="X5937">
        <v>0.9951122</v>
      </c>
      <c r="Y5937">
        <v>-2.7695380000000002E-3</v>
      </c>
      <c r="Z5937">
        <v>8.428977E-2</v>
      </c>
      <c r="AA5937">
        <v>0.99643740000000003</v>
      </c>
      <c r="AB5937">
        <v>23</v>
      </c>
      <c r="AC5937">
        <v>-1.35000000000218E-2</v>
      </c>
      <c r="AD5937">
        <v>-6.6409999999999803E-2</v>
      </c>
      <c r="AE5937">
        <v>-0.53305399999999903</v>
      </c>
      <c r="AF5937">
        <v>-6.8348955569832196E-3</v>
      </c>
      <c r="AG5937">
        <v>-6.6409999999999803E-2</v>
      </c>
      <c r="AH5937">
        <v>0.52503579705387404</v>
      </c>
      <c r="AI5937">
        <v>97.208262891204001</v>
      </c>
      <c r="AJ5937">
        <v>90.745832096665893</v>
      </c>
      <c r="AK5937">
        <v>0.52926325404780505</v>
      </c>
      <c r="AL5937">
        <v>90.367953846756294</v>
      </c>
      <c r="AM5937">
        <v>84.344679453233994</v>
      </c>
      <c r="AN5937">
        <v>1.0000000033534899</v>
      </c>
    </row>
    <row r="5938" spans="1:40" x14ac:dyDescent="0.25">
      <c r="A5938" t="str">
        <f>"20190312161432611"</f>
        <v>20190312161432611</v>
      </c>
      <c r="B5938" t="str">
        <f>"1552378472602348"</f>
        <v>1552378472602348</v>
      </c>
      <c r="C5938" t="s">
        <v>40</v>
      </c>
      <c r="D5938">
        <v>5.8446109999999996</v>
      </c>
      <c r="E5938">
        <v>0.46072439999999998</v>
      </c>
      <c r="F5938" t="s">
        <v>42</v>
      </c>
      <c r="G5938">
        <v>-301.03500000000003</v>
      </c>
      <c r="H5938" s="1">
        <v>-8.109729E-7</v>
      </c>
      <c r="I5938">
        <v>-19.162410000000001</v>
      </c>
      <c r="J5938">
        <v>-300.61939999999998</v>
      </c>
      <c r="K5938">
        <v>1.1055740000000001</v>
      </c>
      <c r="L5938">
        <v>-6.7992249999999999</v>
      </c>
      <c r="M5938">
        <v>-4.3216490000000003E-2</v>
      </c>
      <c r="N5938">
        <v>0</v>
      </c>
      <c r="O5938">
        <v>-0.99898949999999997</v>
      </c>
      <c r="P5938">
        <v>-0.13845779999999999</v>
      </c>
      <c r="Q5938">
        <v>-1.8281470000000001E-2</v>
      </c>
      <c r="R5938">
        <v>-0.99019970000000002</v>
      </c>
      <c r="S5938">
        <v>-0.1028748</v>
      </c>
      <c r="T5938">
        <v>-0.26386979999999999</v>
      </c>
      <c r="U5938">
        <v>-3.0099490000000002</v>
      </c>
      <c r="V5938">
        <v>9.5489199999999996E-2</v>
      </c>
      <c r="W5938">
        <v>-6.6412540000000001E-3</v>
      </c>
      <c r="X5938">
        <v>0.99540830000000002</v>
      </c>
      <c r="Y5938">
        <v>-9.1983610000000004E-3</v>
      </c>
      <c r="Z5938">
        <v>8.7181720000000004E-2</v>
      </c>
      <c r="AA5938">
        <v>0.99614999999999998</v>
      </c>
      <c r="AB5938">
        <v>23</v>
      </c>
      <c r="AC5938">
        <v>-0.41560000000003999</v>
      </c>
      <c r="AD5938">
        <v>-1.1055748109729</v>
      </c>
      <c r="AE5938">
        <v>-12.363185</v>
      </c>
      <c r="AF5938">
        <v>-0.118178515370574</v>
      </c>
      <c r="AG5938">
        <v>-1.1055748109729</v>
      </c>
      <c r="AH5938">
        <v>12.2715724569983</v>
      </c>
      <c r="AI5938">
        <v>95.147775892370504</v>
      </c>
      <c r="AJ5938">
        <v>90.551756579886501</v>
      </c>
      <c r="AK5938">
        <v>12.321840462833199</v>
      </c>
      <c r="AL5938">
        <v>90.380518626440505</v>
      </c>
      <c r="AM5938">
        <v>84.520401811128394</v>
      </c>
      <c r="AN5938">
        <v>0.99999998864011097</v>
      </c>
    </row>
    <row r="5939" spans="1:40" x14ac:dyDescent="0.25">
      <c r="A5939" t="str">
        <f>"20190312161432633"</f>
        <v>20190312161432633</v>
      </c>
      <c r="B5939" t="str">
        <f>"1552378472622842"</f>
        <v>1552378472622842</v>
      </c>
      <c r="C5939" t="s">
        <v>40</v>
      </c>
      <c r="D5939">
        <v>5.8206119999999997</v>
      </c>
      <c r="E5939">
        <v>0.46005469999999998</v>
      </c>
      <c r="F5939" t="s">
        <v>43</v>
      </c>
      <c r="G5939">
        <v>-300.65030000000002</v>
      </c>
      <c r="H5939">
        <v>1.0270379999999999</v>
      </c>
      <c r="I5939">
        <v>-7.7056820000000004</v>
      </c>
      <c r="J5939">
        <v>-300.63490000000002</v>
      </c>
      <c r="K5939">
        <v>1.106093</v>
      </c>
      <c r="L5939">
        <v>-7.0328369999999998</v>
      </c>
      <c r="M5939">
        <v>-4.7649270000000001E-2</v>
      </c>
      <c r="N5939">
        <v>0</v>
      </c>
      <c r="O5939">
        <v>-0.9987857</v>
      </c>
      <c r="P5939">
        <v>-0.14061299999999999</v>
      </c>
      <c r="Q5939">
        <v>-1.8599839999999999E-2</v>
      </c>
      <c r="R5939">
        <v>-0.9898901</v>
      </c>
      <c r="S5939">
        <v>-0.1022034</v>
      </c>
      <c r="T5939">
        <v>-0.260602</v>
      </c>
      <c r="U5939">
        <v>-3.0105900000000001</v>
      </c>
      <c r="V5939">
        <v>9.3241350000000001E-2</v>
      </c>
      <c r="W5939">
        <v>-6.7233319999999899E-3</v>
      </c>
      <c r="X5939">
        <v>0.99562079999999997</v>
      </c>
      <c r="Y5939">
        <v>-1.3861719999999999E-2</v>
      </c>
      <c r="Z5939">
        <v>8.6063940000000005E-2</v>
      </c>
      <c r="AA5939">
        <v>0.9961932</v>
      </c>
      <c r="AB5939">
        <v>23</v>
      </c>
      <c r="AC5939">
        <v>-1.53999999999996E-2</v>
      </c>
      <c r="AD5939">
        <v>-7.9055000000000097E-2</v>
      </c>
      <c r="AE5939">
        <v>-0.67284500000000003</v>
      </c>
      <c r="AF5939">
        <v>-1.6453561616517499E-2</v>
      </c>
      <c r="AG5939">
        <v>-7.9055000000000097E-2</v>
      </c>
      <c r="AH5939">
        <v>0.66365763828146296</v>
      </c>
      <c r="AI5939">
        <v>96.791005157700994</v>
      </c>
      <c r="AJ5939">
        <v>91.420199973906193</v>
      </c>
      <c r="AK5939">
        <v>0.66855207244028303</v>
      </c>
      <c r="AL5939">
        <v>90.385221463604296</v>
      </c>
      <c r="AM5939">
        <v>84.649771261031503</v>
      </c>
      <c r="AN5939">
        <v>0.99999996496782095</v>
      </c>
    </row>
    <row r="5940" spans="1:40" x14ac:dyDescent="0.25">
      <c r="A5940" t="str">
        <f>"20190312161432678"</f>
        <v>20190312161432678</v>
      </c>
      <c r="B5940" t="str">
        <f>"1552378472672907"</f>
        <v>1552378472672907</v>
      </c>
      <c r="C5940" t="s">
        <v>40</v>
      </c>
      <c r="D5940">
        <v>5.8610360000000004</v>
      </c>
      <c r="E5940">
        <v>0.45936349999999998</v>
      </c>
      <c r="F5940" t="s">
        <v>43</v>
      </c>
      <c r="G5940">
        <v>-300.6653</v>
      </c>
      <c r="H5940">
        <v>1.030349</v>
      </c>
      <c r="I5940">
        <v>-7.9151959999999999</v>
      </c>
      <c r="J5940">
        <v>-300.6678</v>
      </c>
      <c r="K5940">
        <v>1.106894</v>
      </c>
      <c r="L5940">
        <v>-7.4975889999999996</v>
      </c>
      <c r="M5940">
        <v>-5.5766679999999999E-2</v>
      </c>
      <c r="N5940">
        <v>0</v>
      </c>
      <c r="O5940">
        <v>-0.99836179999999997</v>
      </c>
      <c r="P5940">
        <v>-0.14461599999999999</v>
      </c>
      <c r="Q5940">
        <v>-1.843732E-2</v>
      </c>
      <c r="R5940">
        <v>-0.98931619999999998</v>
      </c>
      <c r="S5940">
        <v>-0.103363</v>
      </c>
      <c r="T5940">
        <v>-0.25829200000000002</v>
      </c>
      <c r="U5940">
        <v>-3.0111080000000001</v>
      </c>
      <c r="V5940">
        <v>8.9182620000000004E-2</v>
      </c>
      <c r="W5940">
        <v>-6.1760259999999899E-3</v>
      </c>
      <c r="X5940">
        <v>0.99599610000000005</v>
      </c>
      <c r="Y5940">
        <v>-2.160979E-2</v>
      </c>
      <c r="Z5940">
        <v>8.5231860000000007E-2</v>
      </c>
      <c r="AA5940">
        <v>0.99612679999999998</v>
      </c>
      <c r="AB5940">
        <v>23</v>
      </c>
      <c r="AC5940">
        <v>2.4999999999977202E-3</v>
      </c>
      <c r="AD5940">
        <v>-7.6545000000000002E-2</v>
      </c>
      <c r="AE5940">
        <v>-0.41760700000000101</v>
      </c>
      <c r="AF5940">
        <v>-2.4948415097608999E-2</v>
      </c>
      <c r="AG5940">
        <v>-7.6545000000000002E-2</v>
      </c>
      <c r="AH5940">
        <v>0.40326951110914599</v>
      </c>
      <c r="AI5940">
        <v>100.727484719093</v>
      </c>
      <c r="AJ5940">
        <v>93.540112470983502</v>
      </c>
      <c r="AK5940">
        <v>0.41122725959144801</v>
      </c>
      <c r="AL5940">
        <v>90.353862488744497</v>
      </c>
      <c r="AM5940">
        <v>84.883316361689495</v>
      </c>
      <c r="AN5940">
        <v>0.99999995711121203</v>
      </c>
    </row>
    <row r="5941" spans="1:40" x14ac:dyDescent="0.25">
      <c r="A5941" t="str">
        <f>"20190312161432700"</f>
        <v>20190312161432700</v>
      </c>
      <c r="B5941" t="str">
        <f>"1552378472692428"</f>
        <v>1552378472692428</v>
      </c>
      <c r="C5941" t="s">
        <v>40</v>
      </c>
      <c r="D5941">
        <v>5.8016319999999997</v>
      </c>
      <c r="E5941">
        <v>0.45253549999999998</v>
      </c>
      <c r="F5941" t="s">
        <v>42</v>
      </c>
      <c r="G5941">
        <v>-301.12959999999998</v>
      </c>
      <c r="H5941" s="1">
        <v>-4.250292E-7</v>
      </c>
      <c r="I5941">
        <v>-20.120729999999998</v>
      </c>
      <c r="J5941">
        <v>-300.68419999999998</v>
      </c>
      <c r="K5941">
        <v>1.107178</v>
      </c>
      <c r="L5941">
        <v>-7.7171019999999997</v>
      </c>
      <c r="M5941">
        <v>-5.9267390000000003E-2</v>
      </c>
      <c r="N5941">
        <v>0</v>
      </c>
      <c r="O5941">
        <v>-0.99815860000000001</v>
      </c>
      <c r="P5941">
        <v>-0.146395</v>
      </c>
      <c r="Q5941">
        <v>-1.9123459999999998E-2</v>
      </c>
      <c r="R5941">
        <v>-0.98904159999999997</v>
      </c>
      <c r="S5941">
        <v>-0.1101685</v>
      </c>
      <c r="T5941">
        <v>-0.2640612</v>
      </c>
      <c r="U5941">
        <v>-3.0113829999999999</v>
      </c>
      <c r="V5941">
        <v>8.7480810000000006E-2</v>
      </c>
      <c r="W5941">
        <v>-6.7139169999999998E-3</v>
      </c>
      <c r="X5941">
        <v>0.99614360000000002</v>
      </c>
      <c r="Y5941">
        <v>-2.2876540000000001E-2</v>
      </c>
      <c r="Z5941">
        <v>8.7082359999999998E-2</v>
      </c>
      <c r="AA5941">
        <v>0.9959384</v>
      </c>
      <c r="AB5941">
        <v>23</v>
      </c>
      <c r="AC5941">
        <v>-0.44540000000000601</v>
      </c>
      <c r="AD5941">
        <v>-1.1071784250292001</v>
      </c>
      <c r="AE5941">
        <v>-12.4036279999999</v>
      </c>
      <c r="AF5941">
        <v>-0.28828104631609403</v>
      </c>
      <c r="AG5941">
        <v>-1.1071784250292001</v>
      </c>
      <c r="AH5941">
        <v>12.310261218166399</v>
      </c>
      <c r="AI5941">
        <v>95.137923464349896</v>
      </c>
      <c r="AJ5941">
        <v>91.341504343935696</v>
      </c>
      <c r="AK5941">
        <v>12.363311906039</v>
      </c>
      <c r="AL5941">
        <v>90.384681990356199</v>
      </c>
      <c r="AM5941">
        <v>84.981190301857296</v>
      </c>
      <c r="AN5941">
        <v>1.0000000203103401</v>
      </c>
    </row>
    <row r="5942" spans="1:40" x14ac:dyDescent="0.25">
      <c r="A5942" t="str">
        <f>"20190312161432720"</f>
        <v>20190312161432720</v>
      </c>
      <c r="B5942" t="str">
        <f>"1552378472712925"</f>
        <v>1552378472712925</v>
      </c>
      <c r="C5942" t="s">
        <v>40</v>
      </c>
      <c r="D5942">
        <v>5.8368849999999997</v>
      </c>
      <c r="E5942">
        <v>0.45228649999999998</v>
      </c>
      <c r="F5942" t="s">
        <v>42</v>
      </c>
      <c r="G5942">
        <v>-300.94709999999998</v>
      </c>
      <c r="H5942" s="1">
        <v>-4.4094030000000004E-6</v>
      </c>
      <c r="I5942">
        <v>-20.549669999999999</v>
      </c>
      <c r="J5942">
        <v>-300.70049999999998</v>
      </c>
      <c r="K5942">
        <v>1.107429</v>
      </c>
      <c r="L5942">
        <v>-7.9272460000000002</v>
      </c>
      <c r="M5942">
        <v>-6.2420530000000002E-2</v>
      </c>
      <c r="N5942">
        <v>0</v>
      </c>
      <c r="O5942">
        <v>-0.9979652</v>
      </c>
      <c r="P5942">
        <v>-0.14807089999999901</v>
      </c>
      <c r="Q5942">
        <v>-1.9564149999999999E-2</v>
      </c>
      <c r="R5942">
        <v>-0.98878350000000004</v>
      </c>
      <c r="S5942">
        <v>-6.1859129999999998E-2</v>
      </c>
      <c r="T5942">
        <v>-0.2604803</v>
      </c>
      <c r="U5942">
        <v>-3.0190429999999999</v>
      </c>
      <c r="V5942">
        <v>8.6022639999999997E-2</v>
      </c>
      <c r="W5942">
        <v>-7.0280689999999996E-3</v>
      </c>
      <c r="X5942">
        <v>0.99626840000000005</v>
      </c>
      <c r="Y5942">
        <v>-4.2042660000000003E-2</v>
      </c>
      <c r="Z5942">
        <v>8.5661799999999996E-2</v>
      </c>
      <c r="AA5942">
        <v>0.99543680000000001</v>
      </c>
      <c r="AB5942">
        <v>23</v>
      </c>
      <c r="AC5942">
        <v>-0.24660000000000001</v>
      </c>
      <c r="AD5942">
        <v>-1.1074334094030001</v>
      </c>
      <c r="AE5942">
        <v>-12.622424000000001</v>
      </c>
      <c r="AF5942">
        <v>-0.53770857000131</v>
      </c>
      <c r="AG5942">
        <v>-1.1074334094030001</v>
      </c>
      <c r="AH5942">
        <v>12.51688753406</v>
      </c>
      <c r="AI5942">
        <v>95.051452121175899</v>
      </c>
      <c r="AJ5942">
        <v>92.459836823024105</v>
      </c>
      <c r="AK5942">
        <v>12.5772816141971</v>
      </c>
      <c r="AL5942">
        <v>90.402682004214398</v>
      </c>
      <c r="AM5942">
        <v>85.065044619318698</v>
      </c>
      <c r="AN5942">
        <v>1.0000000065924901</v>
      </c>
    </row>
    <row r="5943" spans="1:40" x14ac:dyDescent="0.25">
      <c r="A5943" t="str">
        <f>"20190312161432743"</f>
        <v>20190312161432743</v>
      </c>
      <c r="B5943" t="str">
        <f>"1552378472732444"</f>
        <v>1552378472732444</v>
      </c>
      <c r="C5943" t="s">
        <v>40</v>
      </c>
      <c r="D5943">
        <v>5.7733359999999996</v>
      </c>
      <c r="E5943">
        <v>0.45141049999999999</v>
      </c>
      <c r="F5943" t="s">
        <v>42</v>
      </c>
      <c r="G5943">
        <v>-300.96559999999999</v>
      </c>
      <c r="H5943" s="1">
        <v>-3.563999E-7</v>
      </c>
      <c r="I5943">
        <v>-20.179020000000001</v>
      </c>
      <c r="J5943">
        <v>-300.71870000000001</v>
      </c>
      <c r="K5943">
        <v>1.107685</v>
      </c>
      <c r="L5943">
        <v>-8.1553959999999996</v>
      </c>
      <c r="M5943">
        <v>-6.5642510000000001E-2</v>
      </c>
      <c r="N5943">
        <v>0</v>
      </c>
      <c r="O5943">
        <v>-0.99775740000000002</v>
      </c>
      <c r="P5943">
        <v>-0.14954049999999999</v>
      </c>
      <c r="Q5943">
        <v>-2.0379660000000001E-2</v>
      </c>
      <c r="R5943">
        <v>-0.98854580000000003</v>
      </c>
      <c r="S5943">
        <v>-6.5338129999999994E-2</v>
      </c>
      <c r="T5943">
        <v>-0.27287270000000002</v>
      </c>
      <c r="U5943">
        <v>-3.0188600000000001</v>
      </c>
      <c r="V5943">
        <v>8.4286760000000002E-2</v>
      </c>
      <c r="W5943">
        <v>-7.7177590000000003E-3</v>
      </c>
      <c r="X5943">
        <v>0.99641159999999995</v>
      </c>
      <c r="Y5943">
        <v>-4.4128439999999998E-2</v>
      </c>
      <c r="Z5943">
        <v>8.9677350000000003E-2</v>
      </c>
      <c r="AA5943">
        <v>0.99499280000000001</v>
      </c>
      <c r="AB5943">
        <v>23</v>
      </c>
      <c r="AC5943">
        <v>-0.24689999999998199</v>
      </c>
      <c r="AD5943">
        <v>-1.1076853563998901</v>
      </c>
      <c r="AE5943">
        <v>-12.023624</v>
      </c>
      <c r="AF5943">
        <v>-0.53839354199207401</v>
      </c>
      <c r="AG5943">
        <v>-1.1076853563998901</v>
      </c>
      <c r="AH5943">
        <v>11.912832160473799</v>
      </c>
      <c r="AI5943">
        <v>95.306846684333493</v>
      </c>
      <c r="AJ5943">
        <v>92.587688676049694</v>
      </c>
      <c r="AK5943">
        <v>11.9763268383282</v>
      </c>
      <c r="AL5943">
        <v>90.442199430399299</v>
      </c>
      <c r="AM5943">
        <v>85.1648433638874</v>
      </c>
      <c r="AN5943">
        <v>0.99999994916491797</v>
      </c>
    </row>
    <row r="5944" spans="1:40" x14ac:dyDescent="0.25">
      <c r="A5944" t="str">
        <f>"20190312161432766"</f>
        <v>20190312161432766</v>
      </c>
      <c r="B5944" t="str">
        <f>"1552378472762230"</f>
        <v>1552378472762230</v>
      </c>
      <c r="C5944" t="s">
        <v>40</v>
      </c>
      <c r="D5944">
        <v>5.8148600000000004</v>
      </c>
      <c r="E5944">
        <v>0.45074940000000002</v>
      </c>
      <c r="F5944" t="s">
        <v>42</v>
      </c>
      <c r="G5944">
        <v>-300.97449999999998</v>
      </c>
      <c r="H5944" s="1">
        <v>-4.4507660000000001E-6</v>
      </c>
      <c r="I5944">
        <v>-20.44238</v>
      </c>
      <c r="J5944">
        <v>-300.73790000000002</v>
      </c>
      <c r="K5944">
        <v>1.1079369999999999</v>
      </c>
      <c r="L5944">
        <v>-8.3899539999999995</v>
      </c>
      <c r="M5944">
        <v>-6.8751629999999994E-2</v>
      </c>
      <c r="N5944">
        <v>0</v>
      </c>
      <c r="O5944">
        <v>-0.99754690000000001</v>
      </c>
      <c r="P5944">
        <v>-0.15097769999999999</v>
      </c>
      <c r="Q5944">
        <v>-2.1409350000000001E-2</v>
      </c>
      <c r="R5944">
        <v>-0.98830580000000001</v>
      </c>
      <c r="S5944">
        <v>-6.2866210000000006E-2</v>
      </c>
      <c r="T5944">
        <v>-0.27222619999999997</v>
      </c>
      <c r="U5944">
        <v>-3.0196529999999999</v>
      </c>
      <c r="V5944">
        <v>8.2630480000000006E-2</v>
      </c>
      <c r="W5944">
        <v>-8.6304399999999996E-3</v>
      </c>
      <c r="X5944">
        <v>0.99654290000000001</v>
      </c>
      <c r="Y5944">
        <v>-4.8060850000000002E-2</v>
      </c>
      <c r="Z5944">
        <v>8.9407760000000003E-2</v>
      </c>
      <c r="AA5944">
        <v>0.99483480000000002</v>
      </c>
      <c r="AB5944">
        <v>23</v>
      </c>
      <c r="AC5944">
        <v>-0.23659999999995299</v>
      </c>
      <c r="AD5944">
        <v>-1.1079414507659999</v>
      </c>
      <c r="AE5944">
        <v>-12.052425999999899</v>
      </c>
      <c r="AF5944">
        <v>-0.58769132229864096</v>
      </c>
      <c r="AG5944">
        <v>-1.1079414507659999</v>
      </c>
      <c r="AH5944">
        <v>11.9393158823683</v>
      </c>
      <c r="AI5944">
        <v>95.295360036421897</v>
      </c>
      <c r="AJ5944">
        <v>92.818007090456604</v>
      </c>
      <c r="AK5944">
        <v>12.005006417641001</v>
      </c>
      <c r="AL5944">
        <v>90.4944939181824</v>
      </c>
      <c r="AM5944">
        <v>85.260041197668002</v>
      </c>
      <c r="AN5944">
        <v>1.00000001613001</v>
      </c>
    </row>
    <row r="5945" spans="1:40" x14ac:dyDescent="0.25">
      <c r="A5945" t="str">
        <f>"20190312161432790"</f>
        <v>20190312161432790</v>
      </c>
      <c r="B5945" t="str">
        <f>"1552378472782726"</f>
        <v>1552378472782726</v>
      </c>
      <c r="C5945" t="s">
        <v>40</v>
      </c>
      <c r="D5945">
        <v>5.795471</v>
      </c>
      <c r="E5945">
        <v>0.4502543</v>
      </c>
      <c r="F5945" t="s">
        <v>42</v>
      </c>
      <c r="G5945">
        <v>-300.99279999999999</v>
      </c>
      <c r="H5945" s="1">
        <v>-4.3452640000000004E-6</v>
      </c>
      <c r="I5945">
        <v>-20.761939999999999</v>
      </c>
      <c r="J5945">
        <v>-300.75869999999998</v>
      </c>
      <c r="K5945">
        <v>1.1081780000000001</v>
      </c>
      <c r="L5945">
        <v>-8.6370539999999991</v>
      </c>
      <c r="M5945">
        <v>-7.1798290000000001E-2</v>
      </c>
      <c r="N5945">
        <v>0</v>
      </c>
      <c r="O5945">
        <v>-0.99733110000000003</v>
      </c>
      <c r="P5945">
        <v>-0.15233039999999901</v>
      </c>
      <c r="Q5945">
        <v>-2.2504650000000001E-2</v>
      </c>
      <c r="R5945">
        <v>-0.98807350000000005</v>
      </c>
      <c r="S5945">
        <v>-6.2225339999999997E-2</v>
      </c>
      <c r="T5945">
        <v>-0.27046120000000001</v>
      </c>
      <c r="U5945">
        <v>-3.0201419999999999</v>
      </c>
      <c r="V5945">
        <v>8.0951699999999904E-2</v>
      </c>
      <c r="W5945">
        <v>-9.6155949999999994E-3</v>
      </c>
      <c r="X5945">
        <v>0.99667159999999999</v>
      </c>
      <c r="Y5945">
        <v>-5.1324830000000002E-2</v>
      </c>
      <c r="Z5945">
        <v>8.8782739999999999E-2</v>
      </c>
      <c r="AA5945">
        <v>0.99472780000000005</v>
      </c>
      <c r="AB5945">
        <v>23</v>
      </c>
      <c r="AC5945">
        <v>-0.23410000000001199</v>
      </c>
      <c r="AD5945">
        <v>-1.1081823452640001</v>
      </c>
      <c r="AE5945">
        <v>-12.124886</v>
      </c>
      <c r="AF5945">
        <v>-0.63185065799737705</v>
      </c>
      <c r="AG5945">
        <v>-1.1081823452640001</v>
      </c>
      <c r="AH5945">
        <v>12.0101089628458</v>
      </c>
      <c r="AI5945">
        <v>95.2645603538882</v>
      </c>
      <c r="AJ5945">
        <v>93.011548947778707</v>
      </c>
      <c r="AK5945">
        <v>12.0776661927624</v>
      </c>
      <c r="AL5945">
        <v>90.550941524445093</v>
      </c>
      <c r="AM5945">
        <v>85.356513093515304</v>
      </c>
      <c r="AN5945">
        <v>0.99999995782332596</v>
      </c>
    </row>
    <row r="5946" spans="1:40" x14ac:dyDescent="0.25">
      <c r="A5946" t="str">
        <f>"20190312161432812"</f>
        <v>20190312161432812</v>
      </c>
      <c r="B5946" t="str">
        <f>"1552378472802246"</f>
        <v>1552378472802246</v>
      </c>
      <c r="C5946" t="s">
        <v>40</v>
      </c>
      <c r="D5946">
        <v>5.7907919999999997</v>
      </c>
      <c r="E5946">
        <v>0.4500189</v>
      </c>
      <c r="F5946" t="s">
        <v>42</v>
      </c>
      <c r="G5946">
        <v>-301.01060000000001</v>
      </c>
      <c r="H5946" s="1">
        <v>-4.3068610000000002E-6</v>
      </c>
      <c r="I5946">
        <v>-20.884070000000001</v>
      </c>
      <c r="J5946">
        <v>-300.77780000000001</v>
      </c>
      <c r="K5946">
        <v>1.1083730000000001</v>
      </c>
      <c r="L5946">
        <v>-8.8605350000000005</v>
      </c>
      <c r="M5946">
        <v>-7.4339180000000005E-2</v>
      </c>
      <c r="N5946">
        <v>0</v>
      </c>
      <c r="O5946">
        <v>-0.99714420000000004</v>
      </c>
      <c r="P5946">
        <v>-0.15332499999999999</v>
      </c>
      <c r="Q5946">
        <v>-2.3613180000000001E-2</v>
      </c>
      <c r="R5946">
        <v>-0.98789380000000004</v>
      </c>
      <c r="S5946">
        <v>-6.2133790000000001E-2</v>
      </c>
      <c r="T5946">
        <v>-0.27330520000000003</v>
      </c>
      <c r="U5946">
        <v>-3.020416</v>
      </c>
      <c r="V5946">
        <v>7.9416899999999999E-2</v>
      </c>
      <c r="W5946">
        <v>-1.0636359999999999E-2</v>
      </c>
      <c r="X5946">
        <v>0.99678469999999997</v>
      </c>
      <c r="Y5946">
        <v>-5.3902909999999998E-2</v>
      </c>
      <c r="Z5946">
        <v>8.9669470000000001E-2</v>
      </c>
      <c r="AA5946">
        <v>0.99451179999999995</v>
      </c>
      <c r="AB5946">
        <v>23</v>
      </c>
      <c r="AC5946">
        <v>-0.23279999999999701</v>
      </c>
      <c r="AD5946">
        <v>-1.1083773068609999</v>
      </c>
      <c r="AE5946">
        <v>-12.023535000000001</v>
      </c>
      <c r="AF5946">
        <v>-0.65616921133787398</v>
      </c>
      <c r="AG5946">
        <v>-1.1083773068609999</v>
      </c>
      <c r="AH5946">
        <v>11.9064263133731</v>
      </c>
      <c r="AI5946">
        <v>95.310363606072002</v>
      </c>
      <c r="AJ5946">
        <v>93.154408649781899</v>
      </c>
      <c r="AK5946">
        <v>11.975894365100901</v>
      </c>
      <c r="AL5946">
        <v>90.609430054882907</v>
      </c>
      <c r="AM5946">
        <v>85.444691650605805</v>
      </c>
      <c r="AN5946">
        <v>0.99999995715687295</v>
      </c>
    </row>
    <row r="5947" spans="1:40" x14ac:dyDescent="0.25">
      <c r="A5947" t="str">
        <f>"20190312161432834"</f>
        <v>20190312161432834</v>
      </c>
      <c r="B5947" t="str">
        <f>"1552378472822741"</f>
        <v>1552378472822741</v>
      </c>
      <c r="C5947" t="s">
        <v>40</v>
      </c>
      <c r="D5947">
        <v>5.8075479999999997</v>
      </c>
      <c r="E5947">
        <v>0.44966240000000002</v>
      </c>
      <c r="F5947" t="s">
        <v>42</v>
      </c>
      <c r="G5947">
        <v>-301.03280000000001</v>
      </c>
      <c r="H5947" s="1">
        <v>-4.2760399999999996E-6</v>
      </c>
      <c r="I5947">
        <v>-20.98621</v>
      </c>
      <c r="J5947">
        <v>-300.79750000000001</v>
      </c>
      <c r="K5947">
        <v>1.108528</v>
      </c>
      <c r="L5947">
        <v>-9.0851140000000008</v>
      </c>
      <c r="M5947">
        <v>-7.6731889999999997E-2</v>
      </c>
      <c r="N5947">
        <v>0</v>
      </c>
      <c r="O5947">
        <v>-0.99696260000000003</v>
      </c>
      <c r="P5947">
        <v>-0.1543562</v>
      </c>
      <c r="Q5947">
        <v>-2.4295890000000001E-2</v>
      </c>
      <c r="R5947">
        <v>-0.9877167</v>
      </c>
      <c r="S5947">
        <v>-6.3507079999999994E-2</v>
      </c>
      <c r="T5947">
        <v>-0.27607749999999998</v>
      </c>
      <c r="U5947">
        <v>-3.0202939999999998</v>
      </c>
      <c r="V5947">
        <v>7.8067399999999995E-2</v>
      </c>
      <c r="W5947">
        <v>-1.124409E-2</v>
      </c>
      <c r="X5947">
        <v>0.99688460000000001</v>
      </c>
      <c r="Y5947">
        <v>-5.5847960000000002E-2</v>
      </c>
      <c r="Z5947">
        <v>9.0545239999999999E-2</v>
      </c>
      <c r="AA5947">
        <v>0.99432520000000002</v>
      </c>
      <c r="AB5947">
        <v>23</v>
      </c>
      <c r="AC5947">
        <v>-0.23529999999999501</v>
      </c>
      <c r="AD5947">
        <v>-1.10853227604</v>
      </c>
      <c r="AE5947">
        <v>-11.901096000000001</v>
      </c>
      <c r="AF5947">
        <v>-0.67283335819193402</v>
      </c>
      <c r="AG5947">
        <v>-1.10853227604</v>
      </c>
      <c r="AH5947">
        <v>11.7818787165183</v>
      </c>
      <c r="AI5947">
        <v>95.366324036637593</v>
      </c>
      <c r="AJ5947">
        <v>93.268467337243095</v>
      </c>
      <c r="AK5947">
        <v>11.853025547330301</v>
      </c>
      <c r="AL5947">
        <v>90.644252524339294</v>
      </c>
      <c r="AM5947">
        <v>85.522227586210903</v>
      </c>
      <c r="AN5947">
        <v>0.99999992710992103</v>
      </c>
    </row>
    <row r="5948" spans="1:40" x14ac:dyDescent="0.25">
      <c r="A5948" t="str">
        <f>"20190312161432856"</f>
        <v>20190312161432856</v>
      </c>
      <c r="B5948" t="str">
        <f>"1552378472852022"</f>
        <v>1552378472852022</v>
      </c>
      <c r="C5948" t="s">
        <v>40</v>
      </c>
      <c r="D5948">
        <v>5.8139820000000002</v>
      </c>
      <c r="E5948">
        <v>0.44911849999999998</v>
      </c>
      <c r="F5948" t="s">
        <v>42</v>
      </c>
      <c r="G5948">
        <v>-301.05309999999997</v>
      </c>
      <c r="H5948" s="1">
        <v>-4.215664E-6</v>
      </c>
      <c r="I5948">
        <v>-21.174219999999998</v>
      </c>
      <c r="J5948">
        <v>-300.81790000000001</v>
      </c>
      <c r="K5948">
        <v>1.1086670000000001</v>
      </c>
      <c r="L5948">
        <v>-9.3136290000000006</v>
      </c>
      <c r="M5948">
        <v>-7.9010670000000005E-2</v>
      </c>
      <c r="N5948">
        <v>0</v>
      </c>
      <c r="O5948">
        <v>-0.99678370000000005</v>
      </c>
      <c r="P5948">
        <v>-0.1557009</v>
      </c>
      <c r="Q5948">
        <v>-2.430686E-2</v>
      </c>
      <c r="R5948">
        <v>-0.98750530000000003</v>
      </c>
      <c r="S5948">
        <v>-6.3873289999999999E-2</v>
      </c>
      <c r="T5948">
        <v>-0.27697090000000002</v>
      </c>
      <c r="U5948">
        <v>-3.020508</v>
      </c>
      <c r="V5948">
        <v>7.7148590000000003E-2</v>
      </c>
      <c r="W5948">
        <v>-1.119121E-2</v>
      </c>
      <c r="X5948">
        <v>0.99695679999999998</v>
      </c>
      <c r="Y5948">
        <v>-5.8011729999999997E-2</v>
      </c>
      <c r="Z5948">
        <v>9.0799329999999998E-2</v>
      </c>
      <c r="AA5948">
        <v>0.99417809999999995</v>
      </c>
      <c r="AB5948">
        <v>23</v>
      </c>
      <c r="AC5948">
        <v>-0.23519999999996299</v>
      </c>
      <c r="AD5948">
        <v>-1.108671215664</v>
      </c>
      <c r="AE5948">
        <v>-11.860590999999999</v>
      </c>
      <c r="AF5948">
        <v>-0.696648162372701</v>
      </c>
      <c r="AG5948">
        <v>-1.108671215664</v>
      </c>
      <c r="AH5948">
        <v>11.7395549917133</v>
      </c>
      <c r="AI5948">
        <v>95.385534083738804</v>
      </c>
      <c r="AJ5948">
        <v>93.3960610223956</v>
      </c>
      <c r="AK5948">
        <v>11.8123503982078</v>
      </c>
      <c r="AL5948">
        <v>90.641222482964807</v>
      </c>
      <c r="AM5948">
        <v>85.575037116641496</v>
      </c>
      <c r="AN5948">
        <v>1.00000000459324</v>
      </c>
    </row>
    <row r="5949" spans="1:40" x14ac:dyDescent="0.25">
      <c r="A5949" t="str">
        <f>"20190312161432881"</f>
        <v>20190312161432881</v>
      </c>
      <c r="B5949" t="str">
        <f>"1552378472872518"</f>
        <v>1552378472872518</v>
      </c>
      <c r="C5949" t="s">
        <v>40</v>
      </c>
      <c r="D5949">
        <v>5.7730980000000001</v>
      </c>
      <c r="E5949">
        <v>0.44864369999999998</v>
      </c>
      <c r="F5949" t="s">
        <v>42</v>
      </c>
      <c r="G5949">
        <v>-301.07510000000002</v>
      </c>
      <c r="H5949" s="1">
        <v>-4.0914229999999999E-6</v>
      </c>
      <c r="I5949">
        <v>-21.540489999999998</v>
      </c>
      <c r="J5949">
        <v>-300.84039999999999</v>
      </c>
      <c r="K5949">
        <v>1.1087940000000001</v>
      </c>
      <c r="L5949">
        <v>-9.561401</v>
      </c>
      <c r="M5949">
        <v>-8.1311359999999999E-2</v>
      </c>
      <c r="N5949">
        <v>0</v>
      </c>
      <c r="O5949">
        <v>-0.99659799999999998</v>
      </c>
      <c r="P5949">
        <v>-0.15675559999999999</v>
      </c>
      <c r="Q5949">
        <v>-2.4661619999999999E-2</v>
      </c>
      <c r="R5949">
        <v>-0.98732940000000002</v>
      </c>
      <c r="S5949">
        <v>-6.3568120000000006E-2</v>
      </c>
      <c r="T5949">
        <v>-0.27394550000000001</v>
      </c>
      <c r="U5949">
        <v>-3.0211790000000001</v>
      </c>
      <c r="V5949">
        <v>7.5914490000000001E-2</v>
      </c>
      <c r="W5949">
        <v>-1.1484619999999999E-2</v>
      </c>
      <c r="X5949">
        <v>0.99704820000000005</v>
      </c>
      <c r="Y5949">
        <v>-6.041912E-2</v>
      </c>
      <c r="Z5949">
        <v>8.9764469999999999E-2</v>
      </c>
      <c r="AA5949">
        <v>0.99412869999999998</v>
      </c>
      <c r="AB5949">
        <v>23</v>
      </c>
      <c r="AC5949">
        <v>-0.23470000000003199</v>
      </c>
      <c r="AD5949">
        <v>-1.108798091423</v>
      </c>
      <c r="AE5949">
        <v>-11.979088999999901</v>
      </c>
      <c r="AF5949">
        <v>-0.73391595861118997</v>
      </c>
      <c r="AG5949">
        <v>-1.108798091423</v>
      </c>
      <c r="AH5949">
        <v>11.8569553026968</v>
      </c>
      <c r="AI5949">
        <v>95.332307120153999</v>
      </c>
      <c r="AJ5949">
        <v>93.541947030110805</v>
      </c>
      <c r="AK5949">
        <v>11.9312805218885</v>
      </c>
      <c r="AL5949">
        <v>90.658034714877402</v>
      </c>
      <c r="AM5949">
        <v>85.645943805280794</v>
      </c>
      <c r="AN5949">
        <v>1.0000000097058701</v>
      </c>
    </row>
    <row r="5950" spans="1:40" x14ac:dyDescent="0.25">
      <c r="A5950" t="str">
        <f>"20190312161432903"</f>
        <v>20190312161432903</v>
      </c>
      <c r="B5950" t="str">
        <f>"1552378472892038"</f>
        <v>1552378472892038</v>
      </c>
      <c r="C5950" t="s">
        <v>40</v>
      </c>
      <c r="D5950">
        <v>5.7868899999999996</v>
      </c>
      <c r="E5950">
        <v>0.44822079999999997</v>
      </c>
      <c r="F5950" t="s">
        <v>42</v>
      </c>
      <c r="G5950">
        <v>-301.09750000000003</v>
      </c>
      <c r="H5950" s="1">
        <v>-3.9572540000000002E-6</v>
      </c>
      <c r="I5950">
        <v>-21.86712</v>
      </c>
      <c r="J5950">
        <v>-300.86160000000001</v>
      </c>
      <c r="K5950">
        <v>1.108908</v>
      </c>
      <c r="L5950">
        <v>-9.7918400000000005</v>
      </c>
      <c r="M5950">
        <v>-8.3305760000000006E-2</v>
      </c>
      <c r="N5950">
        <v>0</v>
      </c>
      <c r="O5950">
        <v>-0.99643309999999996</v>
      </c>
      <c r="P5950">
        <v>-0.1578377</v>
      </c>
      <c r="Q5950">
        <v>-2.5471529999999999E-2</v>
      </c>
      <c r="R5950">
        <v>-0.98713700000000004</v>
      </c>
      <c r="S5950">
        <v>-6.3140870000000002E-2</v>
      </c>
      <c r="T5950">
        <v>-0.27226519999999999</v>
      </c>
      <c r="U5950">
        <v>-3.0216669999999999</v>
      </c>
      <c r="V5950">
        <v>7.501381E-2</v>
      </c>
      <c r="W5950">
        <v>-1.2244430000000001E-2</v>
      </c>
      <c r="X5950">
        <v>0.99710730000000003</v>
      </c>
      <c r="Y5950">
        <v>-6.2559480000000001E-2</v>
      </c>
      <c r="Z5950">
        <v>8.9176119999999998E-2</v>
      </c>
      <c r="AA5950">
        <v>0.99404930000000002</v>
      </c>
      <c r="AB5950">
        <v>23</v>
      </c>
      <c r="AC5950">
        <v>-0.23590000000001499</v>
      </c>
      <c r="AD5950">
        <v>-1.108911957254</v>
      </c>
      <c r="AE5950">
        <v>-12.075279999999999</v>
      </c>
      <c r="AF5950">
        <v>-0.76450678383495296</v>
      </c>
      <c r="AG5950">
        <v>-1.108911957254</v>
      </c>
      <c r="AH5950">
        <v>11.952194238144999</v>
      </c>
      <c r="AI5950">
        <v>95.289918487948995</v>
      </c>
      <c r="AJ5950">
        <v>93.6598652553633</v>
      </c>
      <c r="AK5950">
        <v>12.027847000100101</v>
      </c>
      <c r="AL5950">
        <v>90.701571705048593</v>
      </c>
      <c r="AM5950">
        <v>85.697660994974598</v>
      </c>
      <c r="AN5950">
        <v>0.999999982735015</v>
      </c>
    </row>
    <row r="5951" spans="1:40" x14ac:dyDescent="0.25">
      <c r="A5951" t="str">
        <f>"20190312161432926"</f>
        <v>20190312161432926</v>
      </c>
      <c r="B5951" t="str">
        <f>"1552378472922294"</f>
        <v>1552378472922294</v>
      </c>
      <c r="C5951" t="s">
        <v>40</v>
      </c>
      <c r="D5951">
        <v>5.8157509999999997</v>
      </c>
      <c r="E5951">
        <v>0.44764159999999997</v>
      </c>
      <c r="F5951" t="s">
        <v>42</v>
      </c>
      <c r="G5951">
        <v>-301.1189</v>
      </c>
      <c r="H5951" s="1">
        <v>-3.8679809999999998E-6</v>
      </c>
      <c r="I5951">
        <v>-22.088509999999999</v>
      </c>
      <c r="J5951">
        <v>-300.88299999999998</v>
      </c>
      <c r="K5951">
        <v>1.109016</v>
      </c>
      <c r="L5951">
        <v>-10.01993</v>
      </c>
      <c r="M5951">
        <v>-8.5152220000000001E-2</v>
      </c>
      <c r="N5951">
        <v>0</v>
      </c>
      <c r="O5951">
        <v>-0.9962763</v>
      </c>
      <c r="P5951">
        <v>-0.1589304</v>
      </c>
      <c r="Q5951">
        <v>-2.582827E-2</v>
      </c>
      <c r="R5951">
        <v>-0.98695149999999998</v>
      </c>
      <c r="S5951">
        <v>-6.3232419999999998E-2</v>
      </c>
      <c r="T5951">
        <v>-0.27251829999999999</v>
      </c>
      <c r="U5951">
        <v>-3.0219420000000001</v>
      </c>
      <c r="V5951">
        <v>7.4272359999999996E-2</v>
      </c>
      <c r="W5951">
        <v>-1.2556039999999999E-2</v>
      </c>
      <c r="X5951">
        <v>0.99715889999999996</v>
      </c>
      <c r="Y5951">
        <v>-6.4380899999999894E-2</v>
      </c>
      <c r="Z5951">
        <v>8.9224100000000001E-2</v>
      </c>
      <c r="AA5951">
        <v>0.9939287</v>
      </c>
      <c r="AB5951">
        <v>23</v>
      </c>
      <c r="AC5951">
        <v>-0.23590000000001499</v>
      </c>
      <c r="AD5951">
        <v>-1.1090198679809999</v>
      </c>
      <c r="AE5951">
        <v>-12.068580000000001</v>
      </c>
      <c r="AF5951">
        <v>-0.78608177605932905</v>
      </c>
      <c r="AG5951">
        <v>-1.1090198679809999</v>
      </c>
      <c r="AH5951">
        <v>11.9440067109729</v>
      </c>
      <c r="AI5951">
        <v>95.293407006700903</v>
      </c>
      <c r="AJ5951">
        <v>93.765428894780101</v>
      </c>
      <c r="AK5951">
        <v>12.0211125083328</v>
      </c>
      <c r="AL5951">
        <v>90.719427036256704</v>
      </c>
      <c r="AM5951">
        <v>85.740248394741997</v>
      </c>
      <c r="AN5951">
        <v>0.99999995472482905</v>
      </c>
    </row>
    <row r="5952" spans="1:40" x14ac:dyDescent="0.25">
      <c r="A5952" t="str">
        <f>"20190312161432945"</f>
        <v>20190312161432945</v>
      </c>
      <c r="B5952" t="str">
        <f>"1552378472932055"</f>
        <v>1552378472932055</v>
      </c>
      <c r="C5952" t="s">
        <v>40</v>
      </c>
      <c r="D5952">
        <v>5.8272899999999996</v>
      </c>
      <c r="E5952">
        <v>0.44764159999999997</v>
      </c>
      <c r="F5952" t="s">
        <v>42</v>
      </c>
      <c r="G5952">
        <v>-301.13470000000001</v>
      </c>
      <c r="H5952" s="1">
        <v>-3.79406E-6</v>
      </c>
      <c r="I5952">
        <v>-22.270610000000001</v>
      </c>
      <c r="J5952">
        <v>-300.90159999999997</v>
      </c>
      <c r="K5952">
        <v>1.1091070000000001</v>
      </c>
      <c r="L5952">
        <v>-10.215669999999999</v>
      </c>
      <c r="M5952">
        <v>-8.6629460000000005E-2</v>
      </c>
      <c r="N5952">
        <v>0</v>
      </c>
      <c r="O5952">
        <v>-0.99614899999999995</v>
      </c>
      <c r="P5952">
        <v>-0.15978029999999999</v>
      </c>
      <c r="Q5952">
        <v>-2.6467170000000002E-2</v>
      </c>
      <c r="R5952">
        <v>-0.98679819999999996</v>
      </c>
      <c r="S5952">
        <v>-6.2103270000000002E-2</v>
      </c>
      <c r="T5952">
        <v>-0.27361760000000002</v>
      </c>
      <c r="U5952">
        <v>-3.022491</v>
      </c>
      <c r="V5952">
        <v>7.3654849999999994E-2</v>
      </c>
      <c r="W5952">
        <v>-1.3159300000000001E-2</v>
      </c>
      <c r="X5952">
        <v>0.997197</v>
      </c>
      <c r="Y5952">
        <v>-6.6236059999999999E-2</v>
      </c>
      <c r="Z5952">
        <v>8.9542629999999998E-2</v>
      </c>
      <c r="AA5952">
        <v>0.9937781</v>
      </c>
      <c r="AB5952">
        <v>23</v>
      </c>
      <c r="AC5952">
        <v>-0.233100000000035</v>
      </c>
      <c r="AD5952">
        <v>-1.10911079406</v>
      </c>
      <c r="AE5952">
        <v>-12.05494</v>
      </c>
      <c r="AF5952">
        <v>-0.80536993315462801</v>
      </c>
      <c r="AG5952">
        <v>-1.10911079406</v>
      </c>
      <c r="AH5952">
        <v>11.928869101114699</v>
      </c>
      <c r="AI5952">
        <v>95.299923360093402</v>
      </c>
      <c r="AJ5952">
        <v>93.862426302394098</v>
      </c>
      <c r="AK5952">
        <v>12.0073588067592</v>
      </c>
      <c r="AL5952">
        <v>90.753994090620495</v>
      </c>
      <c r="AM5952">
        <v>85.775696591965897</v>
      </c>
      <c r="AN5952">
        <v>1.000000030457</v>
      </c>
    </row>
    <row r="5953" spans="1:40" x14ac:dyDescent="0.25">
      <c r="A5953" t="str">
        <f>"20190312161432967"</f>
        <v>20190312161432967</v>
      </c>
      <c r="B5953" t="str">
        <f>"1552378472962310"</f>
        <v>1552378472962310</v>
      </c>
      <c r="C5953" t="s">
        <v>40</v>
      </c>
      <c r="D5953">
        <v>5.9015319999999996</v>
      </c>
      <c r="E5953">
        <v>0.48803679999999999</v>
      </c>
      <c r="F5953" t="s">
        <v>42</v>
      </c>
      <c r="G5953">
        <v>-301.16250000000002</v>
      </c>
      <c r="H5953" s="1">
        <v>-3.7565329999999998E-6</v>
      </c>
      <c r="I5953">
        <v>-22.375299999999999</v>
      </c>
      <c r="J5953">
        <v>-300.92200000000003</v>
      </c>
      <c r="K5953">
        <v>1.1092070000000001</v>
      </c>
      <c r="L5953">
        <v>-10.42947</v>
      </c>
      <c r="M5953">
        <v>-8.8135790000000006E-2</v>
      </c>
      <c r="N5953">
        <v>0</v>
      </c>
      <c r="O5953">
        <v>-0.99601669999999998</v>
      </c>
      <c r="P5953">
        <v>-0.16073979999999999</v>
      </c>
      <c r="Q5953">
        <v>-2.6629839999999998E-2</v>
      </c>
      <c r="R5953">
        <v>-0.98663780000000001</v>
      </c>
      <c r="S5953">
        <v>-6.4849850000000001E-2</v>
      </c>
      <c r="T5953">
        <v>-0.27566669999999999</v>
      </c>
      <c r="U5953">
        <v>-3.0222470000000001</v>
      </c>
      <c r="V5953">
        <v>7.3119310000000007E-2</v>
      </c>
      <c r="W5953">
        <v>-1.3288100000000001E-2</v>
      </c>
      <c r="X5953">
        <v>0.99723470000000003</v>
      </c>
      <c r="Y5953">
        <v>-6.6841890000000001E-2</v>
      </c>
      <c r="Z5953">
        <v>9.0194300000000005E-2</v>
      </c>
      <c r="AA5953">
        <v>0.99367859999999997</v>
      </c>
      <c r="AB5953">
        <v>23</v>
      </c>
      <c r="AC5953">
        <v>-0.24049999999999699</v>
      </c>
      <c r="AD5953">
        <v>-1.1092107565330001</v>
      </c>
      <c r="AE5953">
        <v>-11.945830000000001</v>
      </c>
      <c r="AF5953">
        <v>-0.80643741563466498</v>
      </c>
      <c r="AG5953">
        <v>-1.1092107565330001</v>
      </c>
      <c r="AH5953">
        <v>11.8186761134814</v>
      </c>
      <c r="AI5953">
        <v>95.349273244539404</v>
      </c>
      <c r="AJ5953">
        <v>93.903478717400006</v>
      </c>
      <c r="AK5953">
        <v>11.897974402524101</v>
      </c>
      <c r="AL5953">
        <v>90.761374434756206</v>
      </c>
      <c r="AM5953">
        <v>85.806459243376295</v>
      </c>
      <c r="AN5953">
        <v>1.00000002699028</v>
      </c>
    </row>
    <row r="5954" spans="1:40" x14ac:dyDescent="0.25">
      <c r="A5954" t="str">
        <f>"20190312161432989"</f>
        <v>20190312161432989</v>
      </c>
      <c r="B5954" t="str">
        <f>"1552378472982807"</f>
        <v>1552378472982807</v>
      </c>
      <c r="C5954" t="s">
        <v>40</v>
      </c>
      <c r="D5954">
        <v>5.7889189999999999</v>
      </c>
      <c r="E5954">
        <v>0.49470029999999998</v>
      </c>
      <c r="F5954" t="s">
        <v>43</v>
      </c>
      <c r="G5954">
        <v>-301.0147</v>
      </c>
      <c r="H5954">
        <v>0.99775959999999997</v>
      </c>
      <c r="I5954">
        <v>-11.144310000000001</v>
      </c>
      <c r="J5954">
        <v>-300.9427</v>
      </c>
      <c r="K5954">
        <v>1.109299</v>
      </c>
      <c r="L5954">
        <v>-10.644130000000001</v>
      </c>
      <c r="M5954">
        <v>-8.9531150000000004E-2</v>
      </c>
      <c r="N5954">
        <v>0</v>
      </c>
      <c r="O5954">
        <v>-0.99589179999999999</v>
      </c>
      <c r="P5954">
        <v>-0.16193080000000001</v>
      </c>
      <c r="Q5954">
        <v>-2.710398E-2</v>
      </c>
      <c r="R5954">
        <v>-0.98642989999999997</v>
      </c>
      <c r="S5954">
        <v>-0.38342290000000001</v>
      </c>
      <c r="T5954">
        <v>-0.46213530000000003</v>
      </c>
      <c r="U5954">
        <v>-2.9656980000000002</v>
      </c>
      <c r="V5954">
        <v>7.292891E-2</v>
      </c>
      <c r="W5954">
        <v>-1.373483E-2</v>
      </c>
      <c r="X5954">
        <v>0.99724259999999998</v>
      </c>
      <c r="Y5954">
        <v>3.7400360000000001E-2</v>
      </c>
      <c r="Z5954">
        <v>0.15237870000000001</v>
      </c>
      <c r="AA5954">
        <v>0.98761429999999995</v>
      </c>
      <c r="AB5954">
        <v>23</v>
      </c>
      <c r="AC5954">
        <v>-7.2000000000002701E-2</v>
      </c>
      <c r="AD5954">
        <v>-0.1115394</v>
      </c>
      <c r="AE5954">
        <v>-0.50017999999999996</v>
      </c>
      <c r="AF5954">
        <v>2.5674176198492799E-2</v>
      </c>
      <c r="AG5954">
        <v>-0.1115394</v>
      </c>
      <c r="AH5954">
        <v>0.48117544710538002</v>
      </c>
      <c r="AI5954">
        <v>103.03310282839099</v>
      </c>
      <c r="AJ5954">
        <v>86.945753712494906</v>
      </c>
      <c r="AK5954">
        <v>0.49460086127391001</v>
      </c>
      <c r="AL5954">
        <v>90.7869725063928</v>
      </c>
      <c r="AM5954">
        <v>85.817373281667898</v>
      </c>
      <c r="AN5954">
        <v>1.0000000373618301</v>
      </c>
    </row>
    <row r="5955" spans="1:40" x14ac:dyDescent="0.25">
      <c r="A5955" t="str">
        <f>"20190312161433014"</f>
        <v>20190312161433014</v>
      </c>
      <c r="B5955" t="str">
        <f>"1552378473002326"</f>
        <v>1552378473002326</v>
      </c>
      <c r="C5955" t="s">
        <v>40</v>
      </c>
      <c r="D5955">
        <v>5.871715</v>
      </c>
      <c r="E5955">
        <v>0.49805880000000002</v>
      </c>
      <c r="F5955" t="s">
        <v>43</v>
      </c>
      <c r="G5955">
        <v>-301.07310000000001</v>
      </c>
      <c r="H5955">
        <v>0.9560765</v>
      </c>
      <c r="I5955">
        <v>-11.52252</v>
      </c>
      <c r="J5955">
        <v>-300.96780000000001</v>
      </c>
      <c r="K5955">
        <v>1.1093919999999999</v>
      </c>
      <c r="L5955">
        <v>-10.90164</v>
      </c>
      <c r="M5955">
        <v>-9.1042789999999998E-2</v>
      </c>
      <c r="N5955">
        <v>0</v>
      </c>
      <c r="O5955">
        <v>-0.99575480000000005</v>
      </c>
      <c r="P5955">
        <v>-0.16319790000000001</v>
      </c>
      <c r="Q5955">
        <v>-2.6975510000000001E-2</v>
      </c>
      <c r="R5955">
        <v>-0.98622469999999995</v>
      </c>
      <c r="S5955">
        <v>-0.4382935</v>
      </c>
      <c r="T5955">
        <v>-0.51542250000000001</v>
      </c>
      <c r="U5955">
        <v>-2.9551699999999999</v>
      </c>
      <c r="V5955">
        <v>7.2699029999999998E-2</v>
      </c>
      <c r="W5955">
        <v>-1.35862E-2</v>
      </c>
      <c r="X5955">
        <v>0.99726139999999996</v>
      </c>
      <c r="Y5955">
        <v>5.3897149999999998E-2</v>
      </c>
      <c r="Z5955">
        <v>0.16973959999999999</v>
      </c>
      <c r="AA5955">
        <v>0.98401400000000006</v>
      </c>
      <c r="AB5955">
        <v>22</v>
      </c>
      <c r="AC5955">
        <v>-0.10529999999999901</v>
      </c>
      <c r="AD5955">
        <v>-0.15331549999999899</v>
      </c>
      <c r="AE5955">
        <v>-0.62088000000000099</v>
      </c>
      <c r="AF5955">
        <v>4.5626450591443997E-2</v>
      </c>
      <c r="AG5955">
        <v>-0.15331549999999899</v>
      </c>
      <c r="AH5955">
        <v>0.592755552332217</v>
      </c>
      <c r="AI5955">
        <v>104.46070042212401</v>
      </c>
      <c r="AJ5955">
        <v>85.598424438526493</v>
      </c>
      <c r="AK5955">
        <v>0.61395973838232698</v>
      </c>
      <c r="AL5955">
        <v>90.778455856270398</v>
      </c>
      <c r="AM5955">
        <v>85.830589139155705</v>
      </c>
      <c r="AN5955">
        <v>1.0000000168616701</v>
      </c>
    </row>
    <row r="5956" spans="1:40" x14ac:dyDescent="0.25">
      <c r="A5956" t="str">
        <f>"20190312161433033"</f>
        <v>20190312161433033</v>
      </c>
      <c r="B5956" t="str">
        <f>"1552378473022822"</f>
        <v>1552378473022822</v>
      </c>
      <c r="C5956" t="s">
        <v>40</v>
      </c>
      <c r="D5956">
        <v>5.9692610000000004</v>
      </c>
      <c r="E5956">
        <v>0.50033050000000001</v>
      </c>
      <c r="F5956" t="s">
        <v>43</v>
      </c>
      <c r="G5956">
        <v>-301.09820000000002</v>
      </c>
      <c r="H5956">
        <v>0.95935669999999995</v>
      </c>
      <c r="I5956">
        <v>-11.723509999999999</v>
      </c>
      <c r="J5956">
        <v>-300.98680000000002</v>
      </c>
      <c r="K5956">
        <v>1.1094520000000001</v>
      </c>
      <c r="L5956">
        <v>-11.09503</v>
      </c>
      <c r="M5956">
        <v>-9.2097970000000001E-2</v>
      </c>
      <c r="N5956">
        <v>0</v>
      </c>
      <c r="O5956">
        <v>-0.99565769999999998</v>
      </c>
      <c r="P5956">
        <v>-0.16399610000000001</v>
      </c>
      <c r="Q5956">
        <v>-2.6970689999999999E-2</v>
      </c>
      <c r="R5956">
        <v>-0.98609259999999999</v>
      </c>
      <c r="S5956">
        <v>-0.46792600000000001</v>
      </c>
      <c r="T5956">
        <v>-0.53843640000000004</v>
      </c>
      <c r="U5956">
        <v>-2.949738</v>
      </c>
      <c r="V5956">
        <v>7.2451089999999996E-2</v>
      </c>
      <c r="W5956">
        <v>-1.357292E-2</v>
      </c>
      <c r="X5956">
        <v>0.99727960000000004</v>
      </c>
      <c r="Y5956">
        <v>6.2550629999999996E-2</v>
      </c>
      <c r="Z5956">
        <v>0.1771961</v>
      </c>
      <c r="AA5956">
        <v>0.9821858</v>
      </c>
      <c r="AB5956">
        <v>22</v>
      </c>
      <c r="AC5956">
        <v>-0.111400000000003</v>
      </c>
      <c r="AD5956">
        <v>-0.15009529999999999</v>
      </c>
      <c r="AE5956">
        <v>-0.62848000000000104</v>
      </c>
      <c r="AF5956">
        <v>5.0260081800983701E-2</v>
      </c>
      <c r="AG5956">
        <v>-0.15009529999999999</v>
      </c>
      <c r="AH5956">
        <v>0.60273834207594401</v>
      </c>
      <c r="AI5956">
        <v>103.937034419312</v>
      </c>
      <c r="AJ5956">
        <v>85.233348111735197</v>
      </c>
      <c r="AK5956">
        <v>0.62317588521475198</v>
      </c>
      <c r="AL5956">
        <v>90.777694917044897</v>
      </c>
      <c r="AM5956">
        <v>85.8448345866707</v>
      </c>
      <c r="AN5956">
        <v>0.99999999258783701</v>
      </c>
    </row>
    <row r="5957" spans="1:40" x14ac:dyDescent="0.25">
      <c r="A5957" t="str">
        <f>"20190312161433057"</f>
        <v>20190312161433057</v>
      </c>
      <c r="B5957" t="str">
        <f>"1552378473052102"</f>
        <v>1552378473052102</v>
      </c>
      <c r="C5957" t="s">
        <v>40</v>
      </c>
      <c r="D5957">
        <v>5.8424759999999996</v>
      </c>
      <c r="E5957">
        <v>0.50214639999999999</v>
      </c>
      <c r="F5957" t="s">
        <v>43</v>
      </c>
      <c r="G5957">
        <v>-301.12360000000001</v>
      </c>
      <c r="H5957">
        <v>0.95321869999999997</v>
      </c>
      <c r="I5957">
        <v>-11.91963</v>
      </c>
      <c r="J5957">
        <v>-301.00850000000003</v>
      </c>
      <c r="K5957">
        <v>1.109518</v>
      </c>
      <c r="L5957">
        <v>-11.31512</v>
      </c>
      <c r="M5957">
        <v>-9.3206700000000003E-2</v>
      </c>
      <c r="N5957">
        <v>0</v>
      </c>
      <c r="O5957">
        <v>-0.99555450000000001</v>
      </c>
      <c r="P5957">
        <v>-0.16525870000000001</v>
      </c>
      <c r="Q5957">
        <v>-2.6549079999999999E-2</v>
      </c>
      <c r="R5957">
        <v>-0.98589280000000001</v>
      </c>
      <c r="S5957">
        <v>-0.4875488</v>
      </c>
      <c r="T5957">
        <v>-0.55799509999999997</v>
      </c>
      <c r="U5957">
        <v>-2.9459840000000002</v>
      </c>
      <c r="V5957">
        <v>7.2618779999999994E-2</v>
      </c>
      <c r="W5957">
        <v>-1.314568E-2</v>
      </c>
      <c r="X5957">
        <v>0.99727310000000002</v>
      </c>
      <c r="Y5957">
        <v>6.7817550000000004E-2</v>
      </c>
      <c r="Z5957">
        <v>0.1834876</v>
      </c>
      <c r="AA5957">
        <v>0.98067990000000005</v>
      </c>
      <c r="AB5957">
        <v>22</v>
      </c>
      <c r="AC5957">
        <v>-0.11509999999998401</v>
      </c>
      <c r="AD5957">
        <v>-0.1562993</v>
      </c>
      <c r="AE5957">
        <v>-0.60450999999999899</v>
      </c>
      <c r="AF5957">
        <v>5.4719238647514198E-2</v>
      </c>
      <c r="AG5957">
        <v>-0.1562993</v>
      </c>
      <c r="AH5957">
        <v>0.575481497499582</v>
      </c>
      <c r="AI5957">
        <v>105.129756311148</v>
      </c>
      <c r="AJ5957">
        <v>84.568402354676195</v>
      </c>
      <c r="AK5957">
        <v>0.59883438463653305</v>
      </c>
      <c r="AL5957">
        <v>90.7532137031383</v>
      </c>
      <c r="AM5957">
        <v>85.835224096319806</v>
      </c>
      <c r="AN5957">
        <v>0.99999996604747898</v>
      </c>
    </row>
    <row r="5958" spans="1:40" x14ac:dyDescent="0.25">
      <c r="A5958" t="str">
        <f>"20190312161433081"</f>
        <v>20190312161433081</v>
      </c>
      <c r="B5958" t="str">
        <f>"1552378473072600"</f>
        <v>1552378473072600</v>
      </c>
      <c r="C5958" t="s">
        <v>40</v>
      </c>
      <c r="D5958">
        <v>5.8833699999999904</v>
      </c>
      <c r="E5958">
        <v>0.50299819999999995</v>
      </c>
      <c r="F5958" t="s">
        <v>43</v>
      </c>
      <c r="G5958">
        <v>-301.14670000000001</v>
      </c>
      <c r="H5958">
        <v>0.95386700000000002</v>
      </c>
      <c r="I5958">
        <v>-12.11903</v>
      </c>
      <c r="J5958">
        <v>-301.03370000000001</v>
      </c>
      <c r="K5958">
        <v>1.109586</v>
      </c>
      <c r="L5958">
        <v>-11.568149999999999</v>
      </c>
      <c r="M5958">
        <v>-9.435876E-2</v>
      </c>
      <c r="N5958">
        <v>0</v>
      </c>
      <c r="O5958">
        <v>-0.99544600000000005</v>
      </c>
      <c r="P5958">
        <v>-0.16716210000000001</v>
      </c>
      <c r="Q5958">
        <v>-2.662314E-2</v>
      </c>
      <c r="R5958">
        <v>-0.9855699</v>
      </c>
      <c r="S5958">
        <v>-0.50543209999999905</v>
      </c>
      <c r="T5958">
        <v>-0.56975909999999996</v>
      </c>
      <c r="U5958">
        <v>-2.9428709999999998</v>
      </c>
      <c r="V5958">
        <v>7.3392170000000007E-2</v>
      </c>
      <c r="W5958">
        <v>-1.3214480000000001E-2</v>
      </c>
      <c r="X5958">
        <v>0.99721559999999998</v>
      </c>
      <c r="Y5958">
        <v>7.2503070000000003E-2</v>
      </c>
      <c r="Z5958">
        <v>0.18725749999999999</v>
      </c>
      <c r="AA5958">
        <v>0.97963149999999999</v>
      </c>
      <c r="AB5958">
        <v>22</v>
      </c>
      <c r="AC5958">
        <v>-0.112999999999999</v>
      </c>
      <c r="AD5958">
        <v>-0.155718999999999</v>
      </c>
      <c r="AE5958">
        <v>-0.55088000000000104</v>
      </c>
      <c r="AF5958">
        <v>5.6201218004241299E-2</v>
      </c>
      <c r="AG5958">
        <v>-0.155718999999999</v>
      </c>
      <c r="AH5958">
        <v>0.51926880894426097</v>
      </c>
      <c r="AI5958">
        <v>106.6014318663</v>
      </c>
      <c r="AJ5958">
        <v>83.822839463103506</v>
      </c>
      <c r="AK5958">
        <v>0.54502025632865403</v>
      </c>
      <c r="AL5958">
        <v>90.757155974933198</v>
      </c>
      <c r="AM5958">
        <v>85.790785978772902</v>
      </c>
      <c r="AN5958">
        <v>0.99999999299116904</v>
      </c>
    </row>
    <row r="5959" spans="1:40" x14ac:dyDescent="0.25">
      <c r="A5959" t="str">
        <f>"20190312161433103"</f>
        <v>20190312161433103</v>
      </c>
      <c r="B5959" t="str">
        <f>"1552378473092119"</f>
        <v>1552378473092119</v>
      </c>
      <c r="C5959" t="s">
        <v>40</v>
      </c>
      <c r="D5959">
        <v>5.9367210000000004</v>
      </c>
      <c r="E5959">
        <v>0.50340209999999996</v>
      </c>
      <c r="F5959" t="s">
        <v>43</v>
      </c>
      <c r="G5959">
        <v>-301.16640000000001</v>
      </c>
      <c r="H5959">
        <v>0.96162689999999995</v>
      </c>
      <c r="I5959">
        <v>-12.322050000000001</v>
      </c>
      <c r="J5959">
        <v>-301.0557</v>
      </c>
      <c r="K5959">
        <v>1.1096549999999901</v>
      </c>
      <c r="L5959">
        <v>-11.78796</v>
      </c>
      <c r="M5959">
        <v>-9.5255290000000006E-2</v>
      </c>
      <c r="N5959">
        <v>0</v>
      </c>
      <c r="O5959">
        <v>-0.99536069999999999</v>
      </c>
      <c r="P5959">
        <v>-0.16850709999999999</v>
      </c>
      <c r="Q5959">
        <v>-2.647648E-2</v>
      </c>
      <c r="R5959">
        <v>-0.98534469999999996</v>
      </c>
      <c r="S5959">
        <v>-0.51678469999999999</v>
      </c>
      <c r="T5959">
        <v>-0.57702279999999995</v>
      </c>
      <c r="U5959">
        <v>-2.940674</v>
      </c>
      <c r="V5959">
        <v>7.3856640000000001E-2</v>
      </c>
      <c r="W5959">
        <v>-1.30657E-2</v>
      </c>
      <c r="X5959">
        <v>0.99718329999999999</v>
      </c>
      <c r="Y5959">
        <v>7.5319979999999995E-2</v>
      </c>
      <c r="Z5959">
        <v>0.1895896</v>
      </c>
      <c r="AA5959">
        <v>0.97897020000000001</v>
      </c>
      <c r="AB5959">
        <v>22</v>
      </c>
      <c r="AC5959">
        <v>-0.110700000000008</v>
      </c>
      <c r="AD5959">
        <v>-0.148028099999999</v>
      </c>
      <c r="AE5959">
        <v>-0.53408999999999995</v>
      </c>
      <c r="AF5959">
        <v>5.5247796681245902E-2</v>
      </c>
      <c r="AG5959">
        <v>-0.148028099999999</v>
      </c>
      <c r="AH5959">
        <v>0.50501102377588203</v>
      </c>
      <c r="AI5959">
        <v>106.245071363105</v>
      </c>
      <c r="AJ5959">
        <v>83.756716084891806</v>
      </c>
      <c r="AK5959">
        <v>0.52915099127083398</v>
      </c>
      <c r="AL5959">
        <v>90.748630748959002</v>
      </c>
      <c r="AM5959">
        <v>85.764107476501593</v>
      </c>
      <c r="AN5959">
        <v>1.00000002479373</v>
      </c>
    </row>
    <row r="5960" spans="1:40" x14ac:dyDescent="0.25">
      <c r="A5960" t="str">
        <f>"20190312161433126"</f>
        <v>20190312161433126</v>
      </c>
      <c r="B5960" t="str">
        <f>"1552378473122374"</f>
        <v>1552378473122374</v>
      </c>
      <c r="C5960" t="s">
        <v>40</v>
      </c>
      <c r="D5960">
        <v>5.826848</v>
      </c>
      <c r="E5960">
        <v>0.52062050000000004</v>
      </c>
      <c r="F5960" t="s">
        <v>43</v>
      </c>
      <c r="G5960">
        <v>-301.18680000000001</v>
      </c>
      <c r="H5960">
        <v>0.96469490000000002</v>
      </c>
      <c r="I5960">
        <v>-12.52242</v>
      </c>
      <c r="J5960">
        <v>-301.07900000000001</v>
      </c>
      <c r="K5960">
        <v>1.1097250000000001</v>
      </c>
      <c r="L5960">
        <v>-12.02017</v>
      </c>
      <c r="M5960">
        <v>-9.6098409999999995E-2</v>
      </c>
      <c r="N5960">
        <v>0</v>
      </c>
      <c r="O5960">
        <v>-0.99528019999999995</v>
      </c>
      <c r="P5960">
        <v>-0.1685171</v>
      </c>
      <c r="Q5960">
        <v>-2.5995569999999999E-2</v>
      </c>
      <c r="R5960">
        <v>-0.98535629999999996</v>
      </c>
      <c r="S5960">
        <v>-0.52429199999999998</v>
      </c>
      <c r="T5960">
        <v>-0.58013179999999998</v>
      </c>
      <c r="U5960">
        <v>-2.939362</v>
      </c>
      <c r="V5960">
        <v>7.3023790000000005E-2</v>
      </c>
      <c r="W5960">
        <v>-1.2589660000000001E-2</v>
      </c>
      <c r="X5960">
        <v>0.99725070000000005</v>
      </c>
      <c r="Y5960">
        <v>7.6940389999999997E-2</v>
      </c>
      <c r="Z5960">
        <v>0.1905792</v>
      </c>
      <c r="AA5960">
        <v>0.97865199999999997</v>
      </c>
      <c r="AB5960">
        <v>22</v>
      </c>
      <c r="AC5960">
        <v>-0.107799999999997</v>
      </c>
      <c r="AD5960">
        <v>-0.1450301</v>
      </c>
      <c r="AE5960">
        <v>-0.50224999999999997</v>
      </c>
      <c r="AF5960">
        <v>5.46731306905332E-2</v>
      </c>
      <c r="AG5960">
        <v>-0.1450301</v>
      </c>
      <c r="AH5960">
        <v>0.47261311704722597</v>
      </c>
      <c r="AI5960">
        <v>106.95308761835599</v>
      </c>
      <c r="AJ5960">
        <v>83.401205000511993</v>
      </c>
      <c r="AK5960">
        <v>0.49737917078483401</v>
      </c>
      <c r="AL5960">
        <v>90.721353464551299</v>
      </c>
      <c r="AM5960">
        <v>85.811984958697295</v>
      </c>
      <c r="AN5960">
        <v>0.99999996604768404</v>
      </c>
    </row>
    <row r="5961" spans="1:40" x14ac:dyDescent="0.25">
      <c r="A5961" t="str">
        <f>"20190312161433163"</f>
        <v>20190312161433163</v>
      </c>
      <c r="B5961" t="str">
        <f>"1552378473152631"</f>
        <v>1552378473152631</v>
      </c>
      <c r="C5961" t="s">
        <v>40</v>
      </c>
      <c r="D5961">
        <v>5.9678079999999998</v>
      </c>
      <c r="E5961">
        <v>0.518300599999999</v>
      </c>
      <c r="F5961" t="s">
        <v>43</v>
      </c>
      <c r="G5961">
        <v>-301.2364</v>
      </c>
      <c r="H5961">
        <v>0.95680739999999997</v>
      </c>
      <c r="I5961">
        <v>-12.71443</v>
      </c>
      <c r="J5961">
        <v>-301.1155</v>
      </c>
      <c r="K5961">
        <v>1.109831</v>
      </c>
      <c r="L5961">
        <v>-12.382540000000001</v>
      </c>
      <c r="M5961">
        <v>-9.7178790000000001E-2</v>
      </c>
      <c r="N5961">
        <v>0</v>
      </c>
      <c r="O5961">
        <v>-0.99517580000000005</v>
      </c>
      <c r="P5961">
        <v>-0.16835039999999901</v>
      </c>
      <c r="Q5961">
        <v>-2.8182039999999998E-2</v>
      </c>
      <c r="R5961">
        <v>-0.98532439999999999</v>
      </c>
      <c r="S5961">
        <v>-0.65972900000000001</v>
      </c>
      <c r="T5961">
        <v>-0.64191100000000001</v>
      </c>
      <c r="U5961">
        <v>-2.914825</v>
      </c>
      <c r="V5961">
        <v>7.1780269999999993E-2</v>
      </c>
      <c r="W5961">
        <v>-1.480071E-2</v>
      </c>
      <c r="X5961">
        <v>0.99731060000000005</v>
      </c>
      <c r="Y5961">
        <v>0.1199662</v>
      </c>
      <c r="Z5961">
        <v>0.2102715</v>
      </c>
      <c r="AA5961">
        <v>0.97025459999999997</v>
      </c>
      <c r="AB5961">
        <v>22</v>
      </c>
      <c r="AC5961">
        <v>-0.120900000000006</v>
      </c>
      <c r="AD5961">
        <v>-0.15302359999999901</v>
      </c>
      <c r="AE5961">
        <v>-0.33189000000000102</v>
      </c>
      <c r="AF5961">
        <v>7.4154814890600301E-2</v>
      </c>
      <c r="AG5961">
        <v>-0.15302359999999901</v>
      </c>
      <c r="AH5961">
        <v>0.28801469359099202</v>
      </c>
      <c r="AI5961">
        <v>117.22693017463099</v>
      </c>
      <c r="AJ5961">
        <v>75.5617081228405</v>
      </c>
      <c r="AK5961">
        <v>0.33446617534921502</v>
      </c>
      <c r="AL5961">
        <v>90.848049223098499</v>
      </c>
      <c r="AM5961">
        <v>85.883301629557906</v>
      </c>
      <c r="AN5961">
        <v>0.99999995052506696</v>
      </c>
    </row>
    <row r="5962" spans="1:40" x14ac:dyDescent="0.25">
      <c r="A5962" t="str">
        <f>"20190312161433193"</f>
        <v>20190312161433193</v>
      </c>
      <c r="B5962" t="str">
        <f>"1552378473182886"</f>
        <v>1552378473182886</v>
      </c>
      <c r="C5962" t="s">
        <v>40</v>
      </c>
      <c r="D5962">
        <v>5.7698929999999997</v>
      </c>
      <c r="E5962">
        <v>0.51734049999999998</v>
      </c>
      <c r="F5962" t="s">
        <v>43</v>
      </c>
      <c r="G5962">
        <v>-301.2747</v>
      </c>
      <c r="H5962">
        <v>0.9502505</v>
      </c>
      <c r="I5962">
        <v>-13.10798</v>
      </c>
      <c r="J5962">
        <v>-301.14569999999998</v>
      </c>
      <c r="K5962">
        <v>1.109901</v>
      </c>
      <c r="L5962">
        <v>-12.68167</v>
      </c>
      <c r="M5962">
        <v>-9.7890110000000002E-2</v>
      </c>
      <c r="N5962">
        <v>0</v>
      </c>
      <c r="O5962">
        <v>-0.99510679999999996</v>
      </c>
      <c r="P5962">
        <v>-0.16848450000000001</v>
      </c>
      <c r="Q5962">
        <v>-2.8286149999999999E-2</v>
      </c>
      <c r="R5962">
        <v>-0.98529889999999998</v>
      </c>
      <c r="S5962">
        <v>-0.63943479999999997</v>
      </c>
      <c r="T5962">
        <v>-0.64161469999999998</v>
      </c>
      <c r="U5962">
        <v>-2.917084</v>
      </c>
      <c r="V5962">
        <v>7.1206149999999996E-2</v>
      </c>
      <c r="W5962">
        <v>-1.4934650000000001E-2</v>
      </c>
      <c r="X5962">
        <v>0.99734979999999995</v>
      </c>
      <c r="Y5962">
        <v>0.11266080000000001</v>
      </c>
      <c r="Z5962">
        <v>0.2102453</v>
      </c>
      <c r="AA5962">
        <v>0.97113570000000005</v>
      </c>
      <c r="AB5962">
        <v>22</v>
      </c>
      <c r="AC5962">
        <v>-0.12900000000001899</v>
      </c>
      <c r="AD5962">
        <v>-0.1596505</v>
      </c>
      <c r="AE5962">
        <v>-0.42630999999999902</v>
      </c>
      <c r="AF5962">
        <v>7.6780217714697493E-2</v>
      </c>
      <c r="AG5962">
        <v>-0.1596505</v>
      </c>
      <c r="AH5962">
        <v>0.38714962436422201</v>
      </c>
      <c r="AI5962">
        <v>112.023142287474</v>
      </c>
      <c r="AJ5962">
        <v>78.782551803144102</v>
      </c>
      <c r="AK5962">
        <v>0.425756169218868</v>
      </c>
      <c r="AL5962">
        <v>90.855724233394398</v>
      </c>
      <c r="AM5962">
        <v>85.916276326573296</v>
      </c>
      <c r="AN5962">
        <v>0.99999999156424202</v>
      </c>
    </row>
    <row r="5963" spans="1:40" x14ac:dyDescent="0.25">
      <c r="A5963" t="str">
        <f>"20190312161433217"</f>
        <v>20190312161433217</v>
      </c>
      <c r="B5963" t="str">
        <f>"1552378473202407"</f>
        <v>1552378473202407</v>
      </c>
      <c r="C5963" t="s">
        <v>40</v>
      </c>
      <c r="D5963">
        <v>6.1226029999999998</v>
      </c>
      <c r="E5963">
        <v>0.51684370000000002</v>
      </c>
      <c r="F5963" t="s">
        <v>43</v>
      </c>
      <c r="G5963">
        <v>-301.32209999999998</v>
      </c>
      <c r="H5963">
        <v>0.93176210000000004</v>
      </c>
      <c r="I5963">
        <v>-13.49431</v>
      </c>
      <c r="J5963">
        <v>-301.16919999999999</v>
      </c>
      <c r="K5963">
        <v>1.109937</v>
      </c>
      <c r="L5963">
        <v>-12.91452</v>
      </c>
      <c r="M5963">
        <v>-9.8340709999999998E-2</v>
      </c>
      <c r="N5963">
        <v>0</v>
      </c>
      <c r="O5963">
        <v>-0.99506280000000003</v>
      </c>
      <c r="P5963">
        <v>-0.16841909999999999</v>
      </c>
      <c r="Q5963">
        <v>-2.8444509999999999E-2</v>
      </c>
      <c r="R5963">
        <v>-0.98530519999999999</v>
      </c>
      <c r="S5963">
        <v>-0.63259889999999996</v>
      </c>
      <c r="T5963">
        <v>-0.63962339999999995</v>
      </c>
      <c r="U5963">
        <v>-2.9182130000000002</v>
      </c>
      <c r="V5963">
        <v>7.069048E-2</v>
      </c>
      <c r="W5963">
        <v>-1.511787E-2</v>
      </c>
      <c r="X5963">
        <v>0.99738369999999998</v>
      </c>
      <c r="Y5963">
        <v>0.10998869999999999</v>
      </c>
      <c r="Z5963">
        <v>0.2096131</v>
      </c>
      <c r="AA5963">
        <v>0.97157850000000001</v>
      </c>
      <c r="AB5963">
        <v>22</v>
      </c>
      <c r="AC5963">
        <v>-0.15289999999998799</v>
      </c>
      <c r="AD5963">
        <v>-0.1781749</v>
      </c>
      <c r="AE5963">
        <v>-0.57979000000000003</v>
      </c>
      <c r="AF5963">
        <v>8.7417823143721804E-2</v>
      </c>
      <c r="AG5963">
        <v>-0.1781749</v>
      </c>
      <c r="AH5963">
        <v>0.54398395530240995</v>
      </c>
      <c r="AI5963">
        <v>107.92058685683</v>
      </c>
      <c r="AJ5963">
        <v>80.870662334707902</v>
      </c>
      <c r="AK5963">
        <v>0.57905674542280505</v>
      </c>
      <c r="AL5963">
        <v>90.866223170676406</v>
      </c>
      <c r="AM5963">
        <v>85.945888733624898</v>
      </c>
      <c r="AN5963">
        <v>0.99999996949082803</v>
      </c>
    </row>
    <row r="5964" spans="1:40" x14ac:dyDescent="0.25">
      <c r="A5964" t="str">
        <f>"20190312161433239"</f>
        <v>20190312161433239</v>
      </c>
      <c r="B5964" t="str">
        <f>"1552378473232663"</f>
        <v>1552378473232663</v>
      </c>
      <c r="C5964" t="s">
        <v>40</v>
      </c>
      <c r="D5964">
        <v>6.1158650000000003</v>
      </c>
      <c r="E5964">
        <v>0.51670039999999995</v>
      </c>
      <c r="F5964" t="s">
        <v>43</v>
      </c>
      <c r="G5964">
        <v>-301.33760000000001</v>
      </c>
      <c r="H5964">
        <v>0.9395559</v>
      </c>
      <c r="I5964">
        <v>-13.695970000000001</v>
      </c>
      <c r="J5964">
        <v>-301.19200000000001</v>
      </c>
      <c r="K5964">
        <v>1.109969</v>
      </c>
      <c r="L5964">
        <v>-13.139799999999999</v>
      </c>
      <c r="M5964">
        <v>-9.8712110000000006E-2</v>
      </c>
      <c r="N5964">
        <v>0</v>
      </c>
      <c r="O5964">
        <v>-0.99502639999999998</v>
      </c>
      <c r="P5964">
        <v>-0.1686493</v>
      </c>
      <c r="Q5964">
        <v>-2.8316480000000002E-2</v>
      </c>
      <c r="R5964">
        <v>-0.98526979999999997</v>
      </c>
      <c r="S5964">
        <v>-0.62887569999999904</v>
      </c>
      <c r="T5964">
        <v>-0.63640430000000003</v>
      </c>
      <c r="U5964">
        <v>-2.9188839999999998</v>
      </c>
      <c r="V5964">
        <v>7.055206E-2</v>
      </c>
      <c r="W5964">
        <v>-1.5013769999999999E-2</v>
      </c>
      <c r="X5964">
        <v>0.99739509999999998</v>
      </c>
      <c r="Y5964">
        <v>0.1084333</v>
      </c>
      <c r="Z5964">
        <v>0.2085929</v>
      </c>
      <c r="AA5964">
        <v>0.97197279999999997</v>
      </c>
      <c r="AB5964">
        <v>22</v>
      </c>
      <c r="AC5964">
        <v>-0.14560000000000101</v>
      </c>
      <c r="AD5964">
        <v>-0.17041309999999901</v>
      </c>
      <c r="AE5964">
        <v>-0.55617000000000105</v>
      </c>
      <c r="AF5964">
        <v>8.2715577760398007E-2</v>
      </c>
      <c r="AG5964">
        <v>-0.17041309999999901</v>
      </c>
      <c r="AH5964">
        <v>0.521965861265002</v>
      </c>
      <c r="AI5964">
        <v>107.87240681068501</v>
      </c>
      <c r="AJ5964">
        <v>80.995255542084806</v>
      </c>
      <c r="AK5964">
        <v>0.55527547378032305</v>
      </c>
      <c r="AL5964">
        <v>90.860257980031307</v>
      </c>
      <c r="AM5964">
        <v>85.953846845538905</v>
      </c>
      <c r="AN5964">
        <v>0.99999999598193301</v>
      </c>
    </row>
    <row r="5965" spans="1:40" x14ac:dyDescent="0.25">
      <c r="A5965" t="str">
        <f>"20190312161433259"</f>
        <v>20190312161433259</v>
      </c>
      <c r="B5965" t="str">
        <f>"1552378473252183"</f>
        <v>1552378473252183</v>
      </c>
      <c r="C5965" t="s">
        <v>40</v>
      </c>
      <c r="D5965">
        <v>5.6388439999999997</v>
      </c>
      <c r="E5965">
        <v>0.51630500000000001</v>
      </c>
      <c r="F5965" t="s">
        <v>43</v>
      </c>
      <c r="G5965">
        <v>-301.35550000000001</v>
      </c>
      <c r="H5965">
        <v>0.94622090000000003</v>
      </c>
      <c r="I5965">
        <v>-13.89682</v>
      </c>
      <c r="J5965">
        <v>-301.21210000000002</v>
      </c>
      <c r="K5965">
        <v>1.109988</v>
      </c>
      <c r="L5965">
        <v>-13.33844</v>
      </c>
      <c r="M5965">
        <v>-9.899123E-2</v>
      </c>
      <c r="N5965">
        <v>0</v>
      </c>
      <c r="O5965">
        <v>-0.99499919999999997</v>
      </c>
      <c r="P5965">
        <v>-0.16845959999999999</v>
      </c>
      <c r="Q5965">
        <v>-2.8812870000000001E-2</v>
      </c>
      <c r="R5965">
        <v>-0.98528800000000005</v>
      </c>
      <c r="S5965">
        <v>-0.62939449999999997</v>
      </c>
      <c r="T5965">
        <v>-0.63131999999999999</v>
      </c>
      <c r="U5965">
        <v>-2.9189759999999998</v>
      </c>
      <c r="V5965">
        <v>7.0082580000000005E-2</v>
      </c>
      <c r="W5965">
        <v>-1.552954E-2</v>
      </c>
      <c r="X5965">
        <v>0.99742030000000004</v>
      </c>
      <c r="Y5965">
        <v>0.1083857</v>
      </c>
      <c r="Z5965">
        <v>0.20698140000000001</v>
      </c>
      <c r="AA5965">
        <v>0.97232260000000004</v>
      </c>
      <c r="AB5965">
        <v>22</v>
      </c>
      <c r="AC5965">
        <v>-0.14339999999998501</v>
      </c>
      <c r="AD5965">
        <v>-0.163767099999999</v>
      </c>
      <c r="AE5965">
        <v>-0.55838000000000099</v>
      </c>
      <c r="AF5965">
        <v>8.0888486458493003E-2</v>
      </c>
      <c r="AG5965">
        <v>-0.163767099999999</v>
      </c>
      <c r="AH5965">
        <v>0.52728352744048801</v>
      </c>
      <c r="AI5965">
        <v>107.066229550176</v>
      </c>
      <c r="AJ5965">
        <v>81.278472078596593</v>
      </c>
      <c r="AK5965">
        <v>0.55802377063530195</v>
      </c>
      <c r="AL5965">
        <v>90.889812872428493</v>
      </c>
      <c r="AM5965">
        <v>85.980784150614198</v>
      </c>
      <c r="AN5965">
        <v>0.99999999474207901</v>
      </c>
    </row>
    <row r="5966" spans="1:40" x14ac:dyDescent="0.25">
      <c r="A5966" t="str">
        <f>"20190312161433298"</f>
        <v>20190312161433298</v>
      </c>
      <c r="B5966" t="str">
        <f>"1552378473292198"</f>
        <v>1552378473292198</v>
      </c>
      <c r="C5966" t="s">
        <v>40</v>
      </c>
      <c r="D5966">
        <v>5.6126250000000004</v>
      </c>
      <c r="E5966">
        <v>0.43679590000000001</v>
      </c>
      <c r="F5966" t="s">
        <v>43</v>
      </c>
      <c r="G5966">
        <v>-301.37419999999997</v>
      </c>
      <c r="H5966">
        <v>0.94572710000000004</v>
      </c>
      <c r="I5966">
        <v>-14.093920000000001</v>
      </c>
      <c r="J5966">
        <v>-301.24939999999998</v>
      </c>
      <c r="K5966">
        <v>1.110042</v>
      </c>
      <c r="L5966">
        <v>-13.7081</v>
      </c>
      <c r="M5966">
        <v>-9.9396470000000001E-2</v>
      </c>
      <c r="N5966">
        <v>0</v>
      </c>
      <c r="O5966">
        <v>-0.99495909999999999</v>
      </c>
      <c r="P5966">
        <v>-0.16738499999999901</v>
      </c>
      <c r="Q5966">
        <v>-2.8857109999999998E-2</v>
      </c>
      <c r="R5966">
        <v>-0.98546909999999999</v>
      </c>
      <c r="S5966">
        <v>-0.62603759999999997</v>
      </c>
      <c r="T5966">
        <v>-0.63468249999999904</v>
      </c>
      <c r="U5966">
        <v>-2.9191889999999998</v>
      </c>
      <c r="V5966">
        <v>6.8591269999999996E-2</v>
      </c>
      <c r="W5966">
        <v>-1.5612300000000001E-2</v>
      </c>
      <c r="X5966">
        <v>0.99752269999999998</v>
      </c>
      <c r="Y5966">
        <v>0.1068495</v>
      </c>
      <c r="Z5966">
        <v>0.20805000000000001</v>
      </c>
      <c r="AA5966">
        <v>0.97226460000000003</v>
      </c>
      <c r="AB5966">
        <v>22</v>
      </c>
      <c r="AC5966">
        <v>-0.124799999999993</v>
      </c>
      <c r="AD5966">
        <v>-0.16431489999999899</v>
      </c>
      <c r="AE5966">
        <v>-0.38582</v>
      </c>
      <c r="AF5966">
        <v>7.3724015319286407E-2</v>
      </c>
      <c r="AG5966">
        <v>-0.16431489999999899</v>
      </c>
      <c r="AH5966">
        <v>0.34041881144129399</v>
      </c>
      <c r="AI5966">
        <v>115.255517960319</v>
      </c>
      <c r="AJ5966">
        <v>77.780245916813897</v>
      </c>
      <c r="AK5966">
        <v>0.38512281674799698</v>
      </c>
      <c r="AL5966">
        <v>90.894555222056098</v>
      </c>
      <c r="AM5966">
        <v>86.066441474328499</v>
      </c>
      <c r="AN5966">
        <v>1.00000002162339</v>
      </c>
    </row>
    <row r="5967" spans="1:40" x14ac:dyDescent="0.25">
      <c r="A5967" t="str">
        <f>"20190312161433323"</f>
        <v>20190312161433323</v>
      </c>
      <c r="B5967" t="str">
        <f>"1552378473312694"</f>
        <v>1552378473312694</v>
      </c>
      <c r="C5967" t="s">
        <v>40</v>
      </c>
      <c r="D5967">
        <v>5.5981870000000002</v>
      </c>
      <c r="E5967">
        <v>0.43309989999999998</v>
      </c>
      <c r="F5967" t="s">
        <v>42</v>
      </c>
      <c r="G5967">
        <v>-301.26010000000002</v>
      </c>
      <c r="H5967" s="1">
        <v>-2.3222200000000001E-6</v>
      </c>
      <c r="I5967">
        <v>-25.779250000000001</v>
      </c>
      <c r="J5967">
        <v>-301.2756</v>
      </c>
      <c r="K5967">
        <v>1.1100810000000001</v>
      </c>
      <c r="L5967">
        <v>-13.967739999999999</v>
      </c>
      <c r="M5967">
        <v>-9.9598179999999994E-2</v>
      </c>
      <c r="N5967">
        <v>0</v>
      </c>
      <c r="O5967">
        <v>-0.99493960000000004</v>
      </c>
      <c r="P5967">
        <v>-0.1664485</v>
      </c>
      <c r="Q5967">
        <v>-2.7836650000000001E-2</v>
      </c>
      <c r="R5967">
        <v>-0.98565729999999996</v>
      </c>
      <c r="S5967">
        <v>-2.6855469999999999E-3</v>
      </c>
      <c r="T5967">
        <v>-0.27915010000000001</v>
      </c>
      <c r="U5967">
        <v>-3.0356139999999998</v>
      </c>
      <c r="V5967">
        <v>6.7440130000000001E-2</v>
      </c>
      <c r="W5967">
        <v>-1.462132E-2</v>
      </c>
      <c r="X5967">
        <v>0.99761619999999995</v>
      </c>
      <c r="Y5967">
        <v>-9.8729230000000001E-2</v>
      </c>
      <c r="Z5967">
        <v>9.0666170000000004E-2</v>
      </c>
      <c r="AA5967">
        <v>0.99097539999999995</v>
      </c>
      <c r="AB5967">
        <v>22</v>
      </c>
      <c r="AC5967">
        <v>1.5499999999974499E-2</v>
      </c>
      <c r="AD5967">
        <v>-1.1100833222199999</v>
      </c>
      <c r="AE5967">
        <v>-11.81151</v>
      </c>
      <c r="AF5967">
        <v>-1.1814950591369999</v>
      </c>
      <c r="AG5967">
        <v>-1.1100833222199999</v>
      </c>
      <c r="AH5967">
        <v>11.6483381430533</v>
      </c>
      <c r="AI5967">
        <v>95.416207441411302</v>
      </c>
      <c r="AJ5967">
        <v>95.791723411949803</v>
      </c>
      <c r="AK5967">
        <v>11.7606121036257</v>
      </c>
      <c r="AL5967">
        <v>90.837769763527206</v>
      </c>
      <c r="AM5967">
        <v>86.132616150999496</v>
      </c>
      <c r="AN5967">
        <v>1.00000001831769</v>
      </c>
    </row>
    <row r="5968" spans="1:40" x14ac:dyDescent="0.25">
      <c r="A5968" t="str">
        <f>"20190312161433345"</f>
        <v>20190312161433345</v>
      </c>
      <c r="B5968" t="str">
        <f>"1552378473342950"</f>
        <v>1552378473342950</v>
      </c>
      <c r="C5968" t="s">
        <v>40</v>
      </c>
      <c r="D5968">
        <v>5.4246400000000001</v>
      </c>
      <c r="E5968">
        <v>0.43132199999999998</v>
      </c>
      <c r="F5968" t="s">
        <v>42</v>
      </c>
      <c r="G5968">
        <v>-301.14440000000002</v>
      </c>
      <c r="H5968" s="1">
        <v>-1.397226E-6</v>
      </c>
      <c r="I5968">
        <v>-27.863720000000001</v>
      </c>
      <c r="J5968">
        <v>-301.29809999999998</v>
      </c>
      <c r="K5968">
        <v>1.1101110000000001</v>
      </c>
      <c r="L5968">
        <v>-14.19009</v>
      </c>
      <c r="M5968">
        <v>-9.9715869999999998E-2</v>
      </c>
      <c r="N5968">
        <v>0</v>
      </c>
      <c r="O5968">
        <v>-0.99492820000000004</v>
      </c>
      <c r="P5968">
        <v>-0.1656483</v>
      </c>
      <c r="Q5968">
        <v>-2.710512E-2</v>
      </c>
      <c r="R5968">
        <v>-0.98581269999999999</v>
      </c>
      <c r="S5968">
        <v>2.8717039999999999E-2</v>
      </c>
      <c r="T5968">
        <v>-0.24298310000000001</v>
      </c>
      <c r="U5968">
        <v>-3.0416560000000001</v>
      </c>
      <c r="V5968">
        <v>6.6511619999999994E-2</v>
      </c>
      <c r="W5968">
        <v>-1.3912239999999999E-2</v>
      </c>
      <c r="X5968">
        <v>0.99768869999999998</v>
      </c>
      <c r="Y5968">
        <v>-0.1090835</v>
      </c>
      <c r="Z5968">
        <v>7.8797149999999996E-2</v>
      </c>
      <c r="AA5968">
        <v>0.99090449999999997</v>
      </c>
      <c r="AB5968">
        <v>22</v>
      </c>
      <c r="AC5968">
        <v>0.15369999999995701</v>
      </c>
      <c r="AD5968">
        <v>-1.1101123972260001</v>
      </c>
      <c r="AE5968">
        <v>-13.673629999999999</v>
      </c>
      <c r="AF5968">
        <v>-1.50660169259961</v>
      </c>
      <c r="AG5968">
        <v>-1.1101123972260001</v>
      </c>
      <c r="AH5968">
        <v>13.501162394219699</v>
      </c>
      <c r="AI5968">
        <v>94.671616884651598</v>
      </c>
      <c r="AJ5968">
        <v>96.367323279471904</v>
      </c>
      <c r="AK5968">
        <v>13.630245199177899</v>
      </c>
      <c r="AL5968">
        <v>90.797138316268004</v>
      </c>
      <c r="AM5968">
        <v>86.185980053142501</v>
      </c>
      <c r="AN5968">
        <v>1.0000000440622601</v>
      </c>
    </row>
    <row r="5969" spans="1:40" x14ac:dyDescent="0.25">
      <c r="A5969" t="str">
        <f>"20190312161433368"</f>
        <v>20190312161433368</v>
      </c>
      <c r="B5969" t="str">
        <f>"1552378473362470"</f>
        <v>1552378473362470</v>
      </c>
      <c r="C5969" t="s">
        <v>40</v>
      </c>
      <c r="D5969">
        <v>5.499447</v>
      </c>
      <c r="E5969">
        <v>0.43100159999999998</v>
      </c>
      <c r="F5969" t="s">
        <v>42</v>
      </c>
      <c r="G5969">
        <v>-301.08850000000001</v>
      </c>
      <c r="H5969" s="1">
        <v>-1.179651E-6</v>
      </c>
      <c r="I5969">
        <v>-28.336200000000002</v>
      </c>
      <c r="J5969">
        <v>-301.31970000000001</v>
      </c>
      <c r="K5969">
        <v>1.1101460000000001</v>
      </c>
      <c r="L5969">
        <v>-14.40451</v>
      </c>
      <c r="M5969">
        <v>-9.9773940000000005E-2</v>
      </c>
      <c r="N5969">
        <v>0</v>
      </c>
      <c r="O5969">
        <v>-0.99492270000000005</v>
      </c>
      <c r="P5969">
        <v>-0.16485540000000001</v>
      </c>
      <c r="Q5969">
        <v>-2.697476E-2</v>
      </c>
      <c r="R5969">
        <v>-0.98594899999999996</v>
      </c>
      <c r="S5969">
        <v>4.5104980000000003E-2</v>
      </c>
      <c r="T5969">
        <v>-0.23889199999999999</v>
      </c>
      <c r="U5969">
        <v>-3.0441889999999998</v>
      </c>
      <c r="V5969">
        <v>6.5651909999999994E-2</v>
      </c>
      <c r="W5969">
        <v>-1.3805080000000001E-2</v>
      </c>
      <c r="X5969">
        <v>0.9977471</v>
      </c>
      <c r="Y5969">
        <v>-0.11446720000000001</v>
      </c>
      <c r="Z5969">
        <v>7.7387579999999997E-2</v>
      </c>
      <c r="AA5969">
        <v>0.99040819999999996</v>
      </c>
      <c r="AB5969">
        <v>22</v>
      </c>
      <c r="AC5969">
        <v>0.23120000000000099</v>
      </c>
      <c r="AD5969">
        <v>-1.1101471796509901</v>
      </c>
      <c r="AE5969">
        <v>-13.93169</v>
      </c>
      <c r="AF5969">
        <v>-1.60996668005013</v>
      </c>
      <c r="AG5969">
        <v>-1.1101471796509901</v>
      </c>
      <c r="AH5969">
        <v>13.7517950301756</v>
      </c>
      <c r="AI5969">
        <v>94.584159099540301</v>
      </c>
      <c r="AJ5969">
        <v>96.677403956126895</v>
      </c>
      <c r="AK5969">
        <v>13.8901506839675</v>
      </c>
      <c r="AL5969">
        <v>90.790997934458105</v>
      </c>
      <c r="AM5969">
        <v>86.235355997694001</v>
      </c>
      <c r="AN5969">
        <v>1.0000000145394301</v>
      </c>
    </row>
    <row r="5970" spans="1:40" x14ac:dyDescent="0.25">
      <c r="A5970" t="str">
        <f>"20190312161433389"</f>
        <v>20190312161433389</v>
      </c>
      <c r="B5970" t="str">
        <f>"1552378473381990"</f>
        <v>1552378473381990</v>
      </c>
      <c r="C5970" t="s">
        <v>40</v>
      </c>
      <c r="D5970">
        <v>5.499377</v>
      </c>
      <c r="E5970">
        <v>0.43107289999999998</v>
      </c>
      <c r="F5970" t="s">
        <v>42</v>
      </c>
      <c r="G5970">
        <v>-301.08080000000001</v>
      </c>
      <c r="H5970" s="1">
        <v>-9.1834599999999996E-7</v>
      </c>
      <c r="I5970">
        <v>-28.94051</v>
      </c>
      <c r="J5970">
        <v>-301.34059999999999</v>
      </c>
      <c r="K5970">
        <v>1.1101669999999999</v>
      </c>
      <c r="L5970">
        <v>-14.61215</v>
      </c>
      <c r="M5970">
        <v>-9.9784460000000005E-2</v>
      </c>
      <c r="N5970">
        <v>0</v>
      </c>
      <c r="O5970">
        <v>-0.99492230000000004</v>
      </c>
      <c r="P5970">
        <v>-0.164708299999999</v>
      </c>
      <c r="Q5970">
        <v>-2.6632110000000001E-2</v>
      </c>
      <c r="R5970">
        <v>-0.9859831</v>
      </c>
      <c r="S5970">
        <v>5.0048830000000002E-2</v>
      </c>
      <c r="T5970">
        <v>-0.23253579999999999</v>
      </c>
      <c r="U5970">
        <v>-3.0447690000000001</v>
      </c>
      <c r="V5970">
        <v>6.5492419999999996E-2</v>
      </c>
      <c r="W5970">
        <v>-1.34943999999999E-2</v>
      </c>
      <c r="X5970">
        <v>0.99776180000000003</v>
      </c>
      <c r="Y5970">
        <v>-0.1160851</v>
      </c>
      <c r="Z5970">
        <v>7.5318109999999994E-2</v>
      </c>
      <c r="AA5970">
        <v>0.99037949999999997</v>
      </c>
      <c r="AB5970">
        <v>22</v>
      </c>
      <c r="AC5970">
        <v>0.25979999999998399</v>
      </c>
      <c r="AD5970">
        <v>-1.11016791834599</v>
      </c>
      <c r="AE5970">
        <v>-14.328359999999901</v>
      </c>
      <c r="AF5970">
        <v>-1.67830234843318</v>
      </c>
      <c r="AG5970">
        <v>-1.11016791834599</v>
      </c>
      <c r="AH5970">
        <v>14.146015864639001</v>
      </c>
      <c r="AI5970">
        <v>94.456203740370199</v>
      </c>
      <c r="AJ5970">
        <v>96.766020982699999</v>
      </c>
      <c r="AK5970">
        <v>14.288419661470501</v>
      </c>
      <c r="AL5970">
        <v>90.773195647967597</v>
      </c>
      <c r="AM5970">
        <v>86.244530519161898</v>
      </c>
      <c r="AN5970">
        <v>0.99999998272402801</v>
      </c>
    </row>
    <row r="5971" spans="1:40" x14ac:dyDescent="0.25">
      <c r="A5971" t="str">
        <f>"20190312161433412"</f>
        <v>20190312161433412</v>
      </c>
      <c r="B5971" t="str">
        <f>"1552378473402486"</f>
        <v>1552378473402486</v>
      </c>
      <c r="C5971" t="s">
        <v>40</v>
      </c>
      <c r="D5971">
        <v>5.5729610000000003</v>
      </c>
      <c r="E5971">
        <v>0.43114710000000001</v>
      </c>
      <c r="F5971" t="s">
        <v>42</v>
      </c>
      <c r="G5971">
        <v>-301.09800000000001</v>
      </c>
      <c r="H5971" s="1">
        <v>-7.3075419999999899E-7</v>
      </c>
      <c r="I5971">
        <v>-29.388480000000001</v>
      </c>
      <c r="J5971">
        <v>-301.36309999999997</v>
      </c>
      <c r="K5971">
        <v>1.110182</v>
      </c>
      <c r="L5971">
        <v>-14.83676</v>
      </c>
      <c r="M5971">
        <v>-9.9752160000000006E-2</v>
      </c>
      <c r="N5971">
        <v>0</v>
      </c>
      <c r="O5971">
        <v>-0.99492570000000002</v>
      </c>
      <c r="P5971">
        <v>-0.16454859999999999</v>
      </c>
      <c r="Q5971">
        <v>-2.5940540000000002E-2</v>
      </c>
      <c r="R5971">
        <v>-0.98602789999999996</v>
      </c>
      <c r="S5971">
        <v>4.9987789999999997E-2</v>
      </c>
      <c r="T5971">
        <v>-0.22876270000000001</v>
      </c>
      <c r="U5971">
        <v>-3.0448300000000001</v>
      </c>
      <c r="V5971">
        <v>6.5362139999999999E-2</v>
      </c>
      <c r="W5971">
        <v>-1.284217E-2</v>
      </c>
      <c r="X5971">
        <v>0.99777899999999997</v>
      </c>
      <c r="Y5971">
        <v>-0.1160342</v>
      </c>
      <c r="Z5971">
        <v>7.4102039999999994E-2</v>
      </c>
      <c r="AA5971">
        <v>0.9904771</v>
      </c>
      <c r="AB5971">
        <v>22</v>
      </c>
      <c r="AC5971">
        <v>0.26509999999996098</v>
      </c>
      <c r="AD5971">
        <v>-1.1101827307541901</v>
      </c>
      <c r="AE5971">
        <v>-14.5517199999999</v>
      </c>
      <c r="AF5971">
        <v>-1.7055443218072801</v>
      </c>
      <c r="AG5971">
        <v>-1.1101827307541901</v>
      </c>
      <c r="AH5971">
        <v>14.3690740375435</v>
      </c>
      <c r="AI5971">
        <v>94.387330727714996</v>
      </c>
      <c r="AJ5971">
        <v>96.7690803327053</v>
      </c>
      <c r="AK5971">
        <v>14.512466221346401</v>
      </c>
      <c r="AL5971">
        <v>90.735822343832098</v>
      </c>
      <c r="AM5971">
        <v>86.252044151845297</v>
      </c>
      <c r="AN5971">
        <v>1.00000003175834</v>
      </c>
    </row>
    <row r="5972" spans="1:40" x14ac:dyDescent="0.25">
      <c r="A5972" t="str">
        <f>"20190312161433432"</f>
        <v>20190312161433432</v>
      </c>
      <c r="B5972" t="str">
        <f>"1552378473422983"</f>
        <v>1552378473422983</v>
      </c>
      <c r="C5972" t="s">
        <v>40</v>
      </c>
      <c r="D5972">
        <v>5.4532249999999998</v>
      </c>
      <c r="E5972">
        <v>0.43105599999999999</v>
      </c>
      <c r="F5972" t="s">
        <v>42</v>
      </c>
      <c r="G5972">
        <v>-301.1062</v>
      </c>
      <c r="H5972" s="1">
        <v>-4.4809459999999997E-6</v>
      </c>
      <c r="I5972">
        <v>-30.422339999999998</v>
      </c>
      <c r="J5972">
        <v>-301.38369999999998</v>
      </c>
      <c r="K5972">
        <v>1.1101970000000001</v>
      </c>
      <c r="L5972">
        <v>-15.042450000000001</v>
      </c>
      <c r="M5972">
        <v>-9.9700419999999998E-2</v>
      </c>
      <c r="N5972">
        <v>0</v>
      </c>
      <c r="O5972">
        <v>-0.99493140000000002</v>
      </c>
      <c r="P5972">
        <v>-0.1647139</v>
      </c>
      <c r="Q5972">
        <v>-2.5456929999999999E-2</v>
      </c>
      <c r="R5972">
        <v>-0.98601269999999996</v>
      </c>
      <c r="S5972">
        <v>5.0201419999999997E-2</v>
      </c>
      <c r="T5972">
        <v>-0.2169122</v>
      </c>
      <c r="U5972">
        <v>-3.045166</v>
      </c>
      <c r="V5972">
        <v>6.5580509999999995E-2</v>
      </c>
      <c r="W5972">
        <v>-1.239324E-2</v>
      </c>
      <c r="X5972">
        <v>0.9977703</v>
      </c>
      <c r="Y5972">
        <v>-0.1160548</v>
      </c>
      <c r="Z5972">
        <v>7.027593E-2</v>
      </c>
      <c r="AA5972">
        <v>0.99075349999999995</v>
      </c>
      <c r="AB5972">
        <v>22</v>
      </c>
      <c r="AC5972">
        <v>0.27749999999997499</v>
      </c>
      <c r="AD5972">
        <v>-1.1102014809459999</v>
      </c>
      <c r="AE5972">
        <v>-15.37989</v>
      </c>
      <c r="AF5972">
        <v>-1.8002524438854499</v>
      </c>
      <c r="AG5972">
        <v>-1.1102014809459999</v>
      </c>
      <c r="AH5972">
        <v>15.196418897711601</v>
      </c>
      <c r="AI5972">
        <v>94.149508641769202</v>
      </c>
      <c r="AJ5972">
        <v>96.756089469179898</v>
      </c>
      <c r="AK5972">
        <v>15.342900752619601</v>
      </c>
      <c r="AL5972">
        <v>90.710098536534204</v>
      </c>
      <c r="AM5972">
        <v>86.239525686073705</v>
      </c>
      <c r="AN5972">
        <v>0.99999998362582299</v>
      </c>
    </row>
    <row r="5973" spans="1:40" x14ac:dyDescent="0.25">
      <c r="A5973" t="str">
        <f>"20190312161433455"</f>
        <v>20190312161433455</v>
      </c>
      <c r="B5973" t="str">
        <f>"1552378473442502"</f>
        <v>1552378473442502</v>
      </c>
      <c r="C5973" t="s">
        <v>40</v>
      </c>
      <c r="D5973">
        <v>5.5330430000000002</v>
      </c>
      <c r="E5973">
        <v>0.43115880000000001</v>
      </c>
      <c r="F5973" t="s">
        <v>42</v>
      </c>
      <c r="G5973">
        <v>-301.11790000000002</v>
      </c>
      <c r="H5973" s="1">
        <v>-4.2322739999999998E-6</v>
      </c>
      <c r="I5973">
        <v>-31.159179999999999</v>
      </c>
      <c r="J5973">
        <v>-301.4051</v>
      </c>
      <c r="K5973">
        <v>1.1102099999999999</v>
      </c>
      <c r="L5973">
        <v>-15.256379999999901</v>
      </c>
      <c r="M5973">
        <v>-9.9620020000000004E-2</v>
      </c>
      <c r="N5973">
        <v>0</v>
      </c>
      <c r="O5973">
        <v>-0.9949403</v>
      </c>
      <c r="P5973">
        <v>-0.1649496</v>
      </c>
      <c r="Q5973">
        <v>-2.5579669999999999E-2</v>
      </c>
      <c r="R5973">
        <v>-0.98597049999999997</v>
      </c>
      <c r="S5973">
        <v>5.0231930000000001E-2</v>
      </c>
      <c r="T5973">
        <v>-0.20979149999999999</v>
      </c>
      <c r="U5973">
        <v>-3.0455320000000001</v>
      </c>
      <c r="V5973">
        <v>6.5900410000000006E-2</v>
      </c>
      <c r="W5973">
        <v>-1.2554640000000001E-2</v>
      </c>
      <c r="X5973">
        <v>0.99774719999999995</v>
      </c>
      <c r="Y5973">
        <v>-0.115985199999999</v>
      </c>
      <c r="Z5973">
        <v>6.7972989999999997E-2</v>
      </c>
      <c r="AA5973">
        <v>0.99092230000000003</v>
      </c>
      <c r="AB5973">
        <v>22</v>
      </c>
      <c r="AC5973">
        <v>0.28719999999998402</v>
      </c>
      <c r="AD5973">
        <v>-1.1102142322740001</v>
      </c>
      <c r="AE5973">
        <v>-15.902799999999999</v>
      </c>
      <c r="AF5973">
        <v>-1.8610752272523701</v>
      </c>
      <c r="AG5973">
        <v>-1.1102142322740001</v>
      </c>
      <c r="AH5973">
        <v>15.7184820869549</v>
      </c>
      <c r="AI5973">
        <v>94.012223759207998</v>
      </c>
      <c r="AJ5973">
        <v>96.752409464050203</v>
      </c>
      <c r="AK5973">
        <v>15.867162813841601</v>
      </c>
      <c r="AL5973">
        <v>90.719346798328203</v>
      </c>
      <c r="AM5973">
        <v>86.221147975586206</v>
      </c>
      <c r="AN5973">
        <v>0.99999997906576799</v>
      </c>
    </row>
    <row r="5974" spans="1:40" x14ac:dyDescent="0.25">
      <c r="A5974" t="str">
        <f>"20190312161433479"</f>
        <v>20190312161433479</v>
      </c>
      <c r="B5974" t="str">
        <f>"1552378473472759"</f>
        <v>1552378473472759</v>
      </c>
      <c r="C5974" t="s">
        <v>40</v>
      </c>
      <c r="D5974">
        <v>5.17502</v>
      </c>
      <c r="E5974">
        <v>0.4306121</v>
      </c>
      <c r="F5974" t="s">
        <v>42</v>
      </c>
      <c r="G5974">
        <v>-301.14089999999999</v>
      </c>
      <c r="H5974" s="1">
        <v>-4.0205099999999997E-6</v>
      </c>
      <c r="I5974">
        <v>-31.746569999999998</v>
      </c>
      <c r="J5974">
        <v>-301.42910000000001</v>
      </c>
      <c r="K5974">
        <v>1.11022</v>
      </c>
      <c r="L5974">
        <v>-15.497310000000001</v>
      </c>
      <c r="M5974">
        <v>-9.9485180000000006E-2</v>
      </c>
      <c r="N5974">
        <v>0</v>
      </c>
      <c r="O5974">
        <v>-0.99495440000000002</v>
      </c>
      <c r="P5974">
        <v>-0.1656068</v>
      </c>
      <c r="Q5974">
        <v>-2.5572310000000001E-2</v>
      </c>
      <c r="R5974">
        <v>-0.98586050000000003</v>
      </c>
      <c r="S5974">
        <v>4.8797609999999998E-2</v>
      </c>
      <c r="T5974">
        <v>-0.20504259999999999</v>
      </c>
      <c r="U5974">
        <v>-3.0455320000000001</v>
      </c>
      <c r="V5974">
        <v>6.6701289999999996E-2</v>
      </c>
      <c r="W5974">
        <v>-1.260057E-2</v>
      </c>
      <c r="X5974">
        <v>0.99769339999999995</v>
      </c>
      <c r="Y5974">
        <v>-0.1153856</v>
      </c>
      <c r="Z5974">
        <v>6.6445290000000004E-2</v>
      </c>
      <c r="AA5974">
        <v>0.99109599999999998</v>
      </c>
      <c r="AB5974">
        <v>22</v>
      </c>
      <c r="AC5974">
        <v>0.288200000000017</v>
      </c>
      <c r="AD5974">
        <v>-1.11022402051</v>
      </c>
      <c r="AE5974">
        <v>-16.24926</v>
      </c>
      <c r="AF5974">
        <v>-1.8946249310265399</v>
      </c>
      <c r="AG5974">
        <v>-1.11022402051</v>
      </c>
      <c r="AH5974">
        <v>16.064988684698001</v>
      </c>
      <c r="AI5974">
        <v>93.926204268274404</v>
      </c>
      <c r="AJ5974">
        <v>96.726110577008896</v>
      </c>
      <c r="AK5974">
        <v>16.214378262655</v>
      </c>
      <c r="AL5974">
        <v>90.721978602175994</v>
      </c>
      <c r="AM5974">
        <v>86.175153884149395</v>
      </c>
      <c r="AN5974">
        <v>0.99999997842777399</v>
      </c>
    </row>
    <row r="5975" spans="1:40" x14ac:dyDescent="0.25">
      <c r="A5975" t="str">
        <f>"20190312161433565"</f>
        <v>20190312161433565</v>
      </c>
      <c r="B5975" t="str">
        <f>"1552378473562551"</f>
        <v>1552378473562551</v>
      </c>
      <c r="C5975" t="s">
        <v>40</v>
      </c>
      <c r="D5975">
        <v>5.5351089999999896</v>
      </c>
      <c r="E5975">
        <v>0.42880590000000002</v>
      </c>
      <c r="F5975" t="s">
        <v>42</v>
      </c>
      <c r="G5975">
        <v>-301.1474</v>
      </c>
      <c r="H5975" s="1">
        <v>-3.7911969999999999E-6</v>
      </c>
      <c r="I5975">
        <v>-32.285139999999998</v>
      </c>
      <c r="J5975">
        <v>-301.51130000000001</v>
      </c>
      <c r="K5975">
        <v>1.1103069999999999</v>
      </c>
      <c r="L5975">
        <v>-16.331789999999899</v>
      </c>
      <c r="M5975">
        <v>-9.8540630000000004E-2</v>
      </c>
      <c r="N5975">
        <v>0</v>
      </c>
      <c r="O5975">
        <v>-0.99505180000000004</v>
      </c>
      <c r="P5975">
        <v>-0.16593649999999999</v>
      </c>
      <c r="Q5975">
        <v>-2.6566929999999999E-2</v>
      </c>
      <c r="R5975">
        <v>-0.98577859999999995</v>
      </c>
      <c r="S5975">
        <v>5.111694E-2</v>
      </c>
      <c r="T5975">
        <v>-0.2014657</v>
      </c>
      <c r="U5975">
        <v>-3.0463870000000002</v>
      </c>
      <c r="V5975">
        <v>6.7989069999999999E-2</v>
      </c>
      <c r="W5975">
        <v>-1.3829620000000001E-2</v>
      </c>
      <c r="X5975">
        <v>0.99759019999999998</v>
      </c>
      <c r="Y5975">
        <v>-0.11519359999999999</v>
      </c>
      <c r="Z5975">
        <v>6.5282670000000001E-2</v>
      </c>
      <c r="AA5975">
        <v>0.99119559999999995</v>
      </c>
      <c r="AB5975">
        <v>22</v>
      </c>
      <c r="AC5975">
        <v>0.363900000000001</v>
      </c>
      <c r="AD5975">
        <v>-1.1103107911969901</v>
      </c>
      <c r="AE5975">
        <v>-15.95335</v>
      </c>
      <c r="AF5975">
        <v>-1.9249894693018801</v>
      </c>
      <c r="AG5975">
        <v>-1.1103107911969901</v>
      </c>
      <c r="AH5975">
        <v>15.763515623183199</v>
      </c>
      <c r="AI5975">
        <v>93.999389080468802</v>
      </c>
      <c r="AJ5975">
        <v>96.962303116502696</v>
      </c>
      <c r="AK5975">
        <v>15.919384388609799</v>
      </c>
      <c r="AL5975">
        <v>90.792404126883298</v>
      </c>
      <c r="AM5975">
        <v>86.101132338574303</v>
      </c>
      <c r="AN5975">
        <v>0.99999998958242398</v>
      </c>
    </row>
    <row r="5976" spans="1:40" x14ac:dyDescent="0.25">
      <c r="A5976" t="str">
        <f>"20190312161433586"</f>
        <v>20190312161433586</v>
      </c>
      <c r="B5976" t="str">
        <f>"1552378473582070"</f>
        <v>1552378473582070</v>
      </c>
      <c r="C5976" t="s">
        <v>40</v>
      </c>
      <c r="D5976">
        <v>5.336843</v>
      </c>
      <c r="E5976">
        <v>0.42694300000000002</v>
      </c>
      <c r="F5976" t="s">
        <v>42</v>
      </c>
      <c r="G5976">
        <v>-301.16140000000001</v>
      </c>
      <c r="H5976" s="1">
        <v>-3.5407490000000001E-6</v>
      </c>
      <c r="I5976">
        <v>-32.877670000000002</v>
      </c>
      <c r="J5976">
        <v>-301.53199999999998</v>
      </c>
      <c r="K5976">
        <v>1.11032999999999</v>
      </c>
      <c r="L5976">
        <v>-16.545069999999999</v>
      </c>
      <c r="M5976">
        <v>-9.8166409999999996E-2</v>
      </c>
      <c r="N5976">
        <v>0</v>
      </c>
      <c r="O5976">
        <v>-0.99508969999999997</v>
      </c>
      <c r="P5976">
        <v>-0.1658705</v>
      </c>
      <c r="Q5976">
        <v>-2.6013419999999999E-2</v>
      </c>
      <c r="R5976">
        <v>-0.98580480000000004</v>
      </c>
      <c r="S5976">
        <v>6.4453129999999997E-2</v>
      </c>
      <c r="T5976">
        <v>-0.20457710000000001</v>
      </c>
      <c r="U5976">
        <v>-3.0486149999999999</v>
      </c>
      <c r="V5976">
        <v>6.8296679999999999E-2</v>
      </c>
      <c r="W5976">
        <v>-1.3341240000000001E-2</v>
      </c>
      <c r="X5976">
        <v>0.99757580000000001</v>
      </c>
      <c r="Y5976">
        <v>-0.11913990000000001</v>
      </c>
      <c r="Z5976">
        <v>6.6223509999999999E-2</v>
      </c>
      <c r="AA5976">
        <v>0.99066650000000001</v>
      </c>
      <c r="AB5976">
        <v>22</v>
      </c>
      <c r="AC5976">
        <v>0.37059999999996701</v>
      </c>
      <c r="AD5976">
        <v>-1.11033354074899</v>
      </c>
      <c r="AE5976">
        <v>-16.332599999999999</v>
      </c>
      <c r="AF5976">
        <v>-1.96318212903806</v>
      </c>
      <c r="AG5976">
        <v>-1.11033354074899</v>
      </c>
      <c r="AH5976">
        <v>16.142750129120301</v>
      </c>
      <c r="AI5976">
        <v>93.906042398155506</v>
      </c>
      <c r="AJ5976">
        <v>96.933910586791896</v>
      </c>
      <c r="AK5976">
        <v>16.2995492690657</v>
      </c>
      <c r="AL5976">
        <v>90.764419460435093</v>
      </c>
      <c r="AM5976">
        <v>86.083490702573698</v>
      </c>
      <c r="AN5976">
        <v>0.99999995096469796</v>
      </c>
    </row>
    <row r="5977" spans="1:40" x14ac:dyDescent="0.25">
      <c r="A5977" t="str">
        <f>"20190312161433611"</f>
        <v>20190312161433611</v>
      </c>
      <c r="B5977" t="str">
        <f>"1552378473602566"</f>
        <v>1552378473602566</v>
      </c>
      <c r="C5977" t="s">
        <v>40</v>
      </c>
      <c r="D5977">
        <v>5.461805</v>
      </c>
      <c r="E5977">
        <v>0.42644549999999998</v>
      </c>
      <c r="F5977" t="s">
        <v>42</v>
      </c>
      <c r="G5977">
        <v>-301.06290000000001</v>
      </c>
      <c r="H5977" s="1">
        <v>-2.7547009999999999E-6</v>
      </c>
      <c r="I5977">
        <v>-34.648820000000001</v>
      </c>
      <c r="J5977">
        <v>-301.55509999999998</v>
      </c>
      <c r="K5977">
        <v>1.110355</v>
      </c>
      <c r="L5977">
        <v>-16.785129999999999</v>
      </c>
      <c r="M5977">
        <v>-9.766669E-2</v>
      </c>
      <c r="N5977">
        <v>0</v>
      </c>
      <c r="O5977">
        <v>-0.99514009999999997</v>
      </c>
      <c r="P5977">
        <v>-0.16542950000000001</v>
      </c>
      <c r="Q5977">
        <v>-2.5971939999999999E-2</v>
      </c>
      <c r="R5977">
        <v>-0.98587999999999998</v>
      </c>
      <c r="S5977">
        <v>7.9071039999999995E-2</v>
      </c>
      <c r="T5977">
        <v>-0.18715809999999999</v>
      </c>
      <c r="U5977">
        <v>-3.0515750000000001</v>
      </c>
      <c r="V5977">
        <v>6.8352529999999995E-2</v>
      </c>
      <c r="W5977">
        <v>-1.338249E-2</v>
      </c>
      <c r="X5977">
        <v>0.99757150000000006</v>
      </c>
      <c r="Y5977">
        <v>-0.1233722</v>
      </c>
      <c r="Z5977">
        <v>6.0533620000000003E-2</v>
      </c>
      <c r="AA5977">
        <v>0.99051250000000002</v>
      </c>
      <c r="AB5977">
        <v>22</v>
      </c>
      <c r="AC5977">
        <v>0.492199999999968</v>
      </c>
      <c r="AD5977">
        <v>-1.110357754701</v>
      </c>
      <c r="AE5977">
        <v>-17.863689999999998</v>
      </c>
      <c r="AF5977">
        <v>-2.22607732832441</v>
      </c>
      <c r="AG5977">
        <v>-1.110357754701</v>
      </c>
      <c r="AH5977">
        <v>17.662012293522899</v>
      </c>
      <c r="AI5977">
        <v>93.569116718156195</v>
      </c>
      <c r="AJ5977">
        <v>97.183543340802103</v>
      </c>
      <c r="AK5977">
        <v>17.836339110693601</v>
      </c>
      <c r="AL5977">
        <v>90.766783063009498</v>
      </c>
      <c r="AM5977">
        <v>86.080281091162803</v>
      </c>
      <c r="AN5977">
        <v>1.00000002850412</v>
      </c>
    </row>
    <row r="5978" spans="1:40" x14ac:dyDescent="0.25">
      <c r="A5978" t="str">
        <f>"20190312161433632"</f>
        <v>20190312161433632</v>
      </c>
      <c r="B5978" t="str">
        <f>"1552378473622086"</f>
        <v>1552378473622086</v>
      </c>
      <c r="C5978" t="s">
        <v>40</v>
      </c>
      <c r="D5978">
        <v>5.46692</v>
      </c>
      <c r="E5978">
        <v>0.42647279999999999</v>
      </c>
      <c r="F5978" t="s">
        <v>42</v>
      </c>
      <c r="G5978">
        <v>-301.03309999999999</v>
      </c>
      <c r="H5978" s="1">
        <v>-2.2778539999999998E-6</v>
      </c>
      <c r="I5978">
        <v>-35.741900000000001</v>
      </c>
      <c r="J5978">
        <v>-301.57549999999998</v>
      </c>
      <c r="K5978">
        <v>1.1103730000000001</v>
      </c>
      <c r="L5978">
        <v>-16.99915</v>
      </c>
      <c r="M5978">
        <v>-9.7154119999999997E-2</v>
      </c>
      <c r="N5978">
        <v>0</v>
      </c>
      <c r="O5978">
        <v>-0.9951913</v>
      </c>
      <c r="P5978">
        <v>-0.1653164</v>
      </c>
      <c r="Q5978">
        <v>-2.635156E-2</v>
      </c>
      <c r="R5978">
        <v>-0.98588880000000001</v>
      </c>
      <c r="S5978">
        <v>8.4045410000000001E-2</v>
      </c>
      <c r="T5978">
        <v>-0.1787868</v>
      </c>
      <c r="U5978">
        <v>-3.052368</v>
      </c>
      <c r="V5978">
        <v>6.8754389999999999E-2</v>
      </c>
      <c r="W5978">
        <v>-1.384907E-2</v>
      </c>
      <c r="X5978">
        <v>0.99753749999999997</v>
      </c>
      <c r="Y5978">
        <v>-0.12447179999999999</v>
      </c>
      <c r="Z5978">
        <v>5.7819620000000002E-2</v>
      </c>
      <c r="AA5978">
        <v>0.990537</v>
      </c>
      <c r="AB5978">
        <v>22</v>
      </c>
      <c r="AC5978">
        <v>0.542399999999986</v>
      </c>
      <c r="AD5978">
        <v>-1.1103752778539999</v>
      </c>
      <c r="AE5978">
        <v>-18.742750000000001</v>
      </c>
      <c r="AF5978">
        <v>-2.3526602602464601</v>
      </c>
      <c r="AG5978">
        <v>-1.1103752778539999</v>
      </c>
      <c r="AH5978">
        <v>18.536367201432</v>
      </c>
      <c r="AI5978">
        <v>93.400847773070396</v>
      </c>
      <c r="AJ5978">
        <v>97.233380733060599</v>
      </c>
      <c r="AK5978">
        <v>18.718035489445398</v>
      </c>
      <c r="AL5978">
        <v>90.793518617644096</v>
      </c>
      <c r="AM5978">
        <v>86.057174685942698</v>
      </c>
      <c r="AN5978">
        <v>1.0000000133951901</v>
      </c>
    </row>
    <row r="5979" spans="1:40" x14ac:dyDescent="0.25">
      <c r="A5979" t="str">
        <f>"20190312161433655"</f>
        <v>20190312161433655</v>
      </c>
      <c r="B5979" t="str">
        <f>"1552378473642583"</f>
        <v>1552378473642583</v>
      </c>
      <c r="C5979" t="s">
        <v>40</v>
      </c>
      <c r="D5979">
        <v>5.5574649999999997</v>
      </c>
      <c r="E5979">
        <v>0.42647960000000001</v>
      </c>
      <c r="F5979" t="s">
        <v>42</v>
      </c>
      <c r="G5979">
        <v>-301.0301</v>
      </c>
      <c r="H5979" s="1">
        <v>-1.846546E-6</v>
      </c>
      <c r="I5979">
        <v>-36.74541</v>
      </c>
      <c r="J5979">
        <v>-301.59609999999998</v>
      </c>
      <c r="K5979">
        <v>1.1103959999999999</v>
      </c>
      <c r="L5979">
        <v>-17.216159999999999</v>
      </c>
      <c r="M5979">
        <v>-9.6580750000000007E-2</v>
      </c>
      <c r="N5979">
        <v>0</v>
      </c>
      <c r="O5979">
        <v>-0.99524820000000003</v>
      </c>
      <c r="P5979">
        <v>-0.16528489999999901</v>
      </c>
      <c r="Q5979">
        <v>-2.645407E-2</v>
      </c>
      <c r="R5979">
        <v>-0.98589099999999996</v>
      </c>
      <c r="S5979">
        <v>8.4320069999999997E-2</v>
      </c>
      <c r="T5979">
        <v>-0.171648</v>
      </c>
      <c r="U5979">
        <v>-3.0524900000000001</v>
      </c>
      <c r="V5979">
        <v>6.9298940000000003E-2</v>
      </c>
      <c r="W5979">
        <v>-1.404246E-2</v>
      </c>
      <c r="X5979">
        <v>0.99749710000000003</v>
      </c>
      <c r="Y5979">
        <v>-0.1239917</v>
      </c>
      <c r="Z5979">
        <v>5.5522479999999999E-2</v>
      </c>
      <c r="AA5979">
        <v>0.99072870000000002</v>
      </c>
      <c r="AB5979">
        <v>22</v>
      </c>
      <c r="AC5979">
        <v>0.56599999999997397</v>
      </c>
      <c r="AD5979">
        <v>-1.110397846546</v>
      </c>
      <c r="AE5979">
        <v>-19.529250000000001</v>
      </c>
      <c r="AF5979">
        <v>-2.4417604876173198</v>
      </c>
      <c r="AG5979">
        <v>-1.110397846546</v>
      </c>
      <c r="AH5979">
        <v>19.320861714897902</v>
      </c>
      <c r="AI5979">
        <v>93.263352254787193</v>
      </c>
      <c r="AJ5979">
        <v>97.202825587572207</v>
      </c>
      <c r="AK5979">
        <v>19.5061753058541</v>
      </c>
      <c r="AL5979">
        <v>90.8046001374273</v>
      </c>
      <c r="AM5979">
        <v>86.025885864403904</v>
      </c>
      <c r="AN5979">
        <v>0.99999999913819204</v>
      </c>
    </row>
    <row r="5980" spans="1:40" x14ac:dyDescent="0.25">
      <c r="A5980" t="str">
        <f>"20190312161433682"</f>
        <v>20190312161433682</v>
      </c>
      <c r="B5980" t="str">
        <f>"1552378473672838"</f>
        <v>1552378473672838</v>
      </c>
      <c r="C5980" t="s">
        <v>40</v>
      </c>
      <c r="D5980">
        <v>5.5328869999999997</v>
      </c>
      <c r="E5980">
        <v>0.42635269999999997</v>
      </c>
      <c r="F5980" t="s">
        <v>42</v>
      </c>
      <c r="G5980">
        <v>-301.03429999999997</v>
      </c>
      <c r="H5980" s="1">
        <v>-1.5076730000000001E-6</v>
      </c>
      <c r="I5980">
        <v>-37.537979999999997</v>
      </c>
      <c r="J5980">
        <v>-301.62099999999998</v>
      </c>
      <c r="K5980">
        <v>1.1104309999999999</v>
      </c>
      <c r="L5980">
        <v>-17.48264</v>
      </c>
      <c r="M5980">
        <v>-9.5795560000000002E-2</v>
      </c>
      <c r="N5980">
        <v>0</v>
      </c>
      <c r="O5980">
        <v>-0.99532569999999998</v>
      </c>
      <c r="P5980">
        <v>-0.1643724</v>
      </c>
      <c r="Q5980">
        <v>-2.5638399999999999E-2</v>
      </c>
      <c r="R5980">
        <v>-0.98606559999999999</v>
      </c>
      <c r="S5980">
        <v>8.4381100000000001E-2</v>
      </c>
      <c r="T5980">
        <v>-0.16679669999999999</v>
      </c>
      <c r="U5980">
        <v>-3.0526119999999999</v>
      </c>
      <c r="V5980">
        <v>6.9161799999999996E-2</v>
      </c>
      <c r="W5980">
        <v>-1.334228E-2</v>
      </c>
      <c r="X5980">
        <v>0.99751619999999996</v>
      </c>
      <c r="Y5980">
        <v>-0.1232298</v>
      </c>
      <c r="Z5980">
        <v>5.396459E-2</v>
      </c>
      <c r="AA5980">
        <v>0.99090979999999995</v>
      </c>
      <c r="AB5980">
        <v>22</v>
      </c>
      <c r="AC5980">
        <v>0.58670000000000699</v>
      </c>
      <c r="AD5980">
        <v>-1.1104325076729999</v>
      </c>
      <c r="AE5980">
        <v>-20.055340000000001</v>
      </c>
      <c r="AF5980">
        <v>-2.4977073958866498</v>
      </c>
      <c r="AG5980">
        <v>-1.1104325076729999</v>
      </c>
      <c r="AH5980">
        <v>19.8460953616881</v>
      </c>
      <c r="AI5980">
        <v>93.177471746208695</v>
      </c>
      <c r="AJ5980">
        <v>97.173180310455294</v>
      </c>
      <c r="AK5980">
        <v>20.0334496204419</v>
      </c>
      <c r="AL5980">
        <v>90.764479038693906</v>
      </c>
      <c r="AM5980">
        <v>86.033801063402294</v>
      </c>
      <c r="AN5980">
        <v>0.99999997013863795</v>
      </c>
    </row>
    <row r="5981" spans="1:40" x14ac:dyDescent="0.25">
      <c r="A5981" t="str">
        <f>"20190312161433706"</f>
        <v>20190312161433706</v>
      </c>
      <c r="B5981" t="str">
        <f>"1552378473702118"</f>
        <v>1552378473702118</v>
      </c>
      <c r="C5981" t="s">
        <v>40</v>
      </c>
      <c r="D5981">
        <v>5.550122</v>
      </c>
      <c r="E5981">
        <v>0.42626920000000001</v>
      </c>
      <c r="F5981" t="s">
        <v>42</v>
      </c>
      <c r="G5981">
        <v>-301.00740000000002</v>
      </c>
      <c r="H5981" s="1">
        <v>-9.6055709999999998E-7</v>
      </c>
      <c r="I5981">
        <v>-38.79663</v>
      </c>
      <c r="J5981">
        <v>-301.6431</v>
      </c>
      <c r="K5981">
        <v>1.110468</v>
      </c>
      <c r="L5981">
        <v>-17.72119</v>
      </c>
      <c r="M5981">
        <v>-9.5004699999999997E-2</v>
      </c>
      <c r="N5981">
        <v>0</v>
      </c>
      <c r="O5981">
        <v>-0.99540280000000003</v>
      </c>
      <c r="P5981">
        <v>-0.1630886</v>
      </c>
      <c r="Q5981">
        <v>-2.4716149999999999E-2</v>
      </c>
      <c r="R5981">
        <v>-0.98630189999999995</v>
      </c>
      <c r="S5981">
        <v>8.7890629999999997E-2</v>
      </c>
      <c r="T5981">
        <v>-0.1590531</v>
      </c>
      <c r="U5981">
        <v>-3.0529169999999999</v>
      </c>
      <c r="V5981">
        <v>6.8654510000000002E-2</v>
      </c>
      <c r="W5981">
        <v>-1.25291E-2</v>
      </c>
      <c r="X5981">
        <v>0.99756180000000005</v>
      </c>
      <c r="Y5981">
        <v>-0.1235805</v>
      </c>
      <c r="Z5981">
        <v>5.146502E-2</v>
      </c>
      <c r="AA5981">
        <v>0.99099910000000002</v>
      </c>
      <c r="AB5981">
        <v>22</v>
      </c>
      <c r="AC5981">
        <v>0.63569999999998505</v>
      </c>
      <c r="AD5981">
        <v>-1.1104689605571001</v>
      </c>
      <c r="AE5981">
        <v>-21.07544</v>
      </c>
      <c r="AF5981">
        <v>-2.6279483765135101</v>
      </c>
      <c r="AG5981">
        <v>-1.1104689605571001</v>
      </c>
      <c r="AH5981">
        <v>20.8618339027099</v>
      </c>
      <c r="AI5981">
        <v>93.023114523143903</v>
      </c>
      <c r="AJ5981">
        <v>97.179686148725693</v>
      </c>
      <c r="AK5981">
        <v>21.056005503566801</v>
      </c>
      <c r="AL5981">
        <v>90.7178833465521</v>
      </c>
      <c r="AM5981">
        <v>86.062980034534803</v>
      </c>
      <c r="AN5981">
        <v>0.99999998245469501</v>
      </c>
    </row>
    <row r="5982" spans="1:40" x14ac:dyDescent="0.25">
      <c r="A5982" t="str">
        <f>"20190312161433730"</f>
        <v>20190312161433730</v>
      </c>
      <c r="B5982" t="str">
        <f>"1552378473722614"</f>
        <v>1552378473722614</v>
      </c>
      <c r="C5982" t="s">
        <v>40</v>
      </c>
      <c r="D5982">
        <v>5.5375040000000002</v>
      </c>
      <c r="E5982">
        <v>0.42629479999999997</v>
      </c>
      <c r="F5982" t="s">
        <v>42</v>
      </c>
      <c r="G5982">
        <v>-300.97710000000001</v>
      </c>
      <c r="H5982" s="1">
        <v>-5.6918580000000004E-7</v>
      </c>
      <c r="I5982">
        <v>-39.690100000000001</v>
      </c>
      <c r="J5982">
        <v>-301.66329999999999</v>
      </c>
      <c r="K5982">
        <v>1.110509</v>
      </c>
      <c r="L5982">
        <v>-17.942689999999999</v>
      </c>
      <c r="M5982">
        <v>-9.4173480000000004E-2</v>
      </c>
      <c r="N5982">
        <v>0</v>
      </c>
      <c r="O5982">
        <v>-0.99548320000000001</v>
      </c>
      <c r="P5982">
        <v>-0.16172030000000001</v>
      </c>
      <c r="Q5982">
        <v>-2.4207490000000002E-2</v>
      </c>
      <c r="R5982">
        <v>-0.98653990000000003</v>
      </c>
      <c r="S5982">
        <v>9.2559810000000006E-2</v>
      </c>
      <c r="T5982">
        <v>-0.15432599999999999</v>
      </c>
      <c r="U5982">
        <v>-3.0531009999999998</v>
      </c>
      <c r="V5982">
        <v>6.8103919999999998E-2</v>
      </c>
      <c r="W5982">
        <v>-1.2124279999999999E-2</v>
      </c>
      <c r="X5982">
        <v>0.99760450000000001</v>
      </c>
      <c r="Y5982">
        <v>-0.1242666</v>
      </c>
      <c r="Z5982">
        <v>4.9939099999999903E-2</v>
      </c>
      <c r="AA5982">
        <v>0.99099139999999997</v>
      </c>
      <c r="AB5982">
        <v>22</v>
      </c>
      <c r="AC5982">
        <v>0.68619999999998504</v>
      </c>
      <c r="AD5982">
        <v>-1.1105095691858</v>
      </c>
      <c r="AE5982">
        <v>-21.747409999999999</v>
      </c>
      <c r="AF5982">
        <v>-2.72423082024181</v>
      </c>
      <c r="AG5982">
        <v>-1.1105095691858</v>
      </c>
      <c r="AH5982">
        <v>21.530035292329799</v>
      </c>
      <c r="AI5982">
        <v>92.929358390523504</v>
      </c>
      <c r="AJ5982">
        <v>97.211406786647203</v>
      </c>
      <c r="AK5982">
        <v>21.730096289574401</v>
      </c>
      <c r="AL5982">
        <v>90.694687135472904</v>
      </c>
      <c r="AM5982">
        <v>86.094622379764303</v>
      </c>
      <c r="AN5982">
        <v>0.999999940252565</v>
      </c>
    </row>
    <row r="5983" spans="1:40" x14ac:dyDescent="0.25">
      <c r="A5983" t="str">
        <f>"20190312161433751"</f>
        <v>20190312161433751</v>
      </c>
      <c r="B5983" t="str">
        <f>"1552378473742134"</f>
        <v>1552378473742134</v>
      </c>
      <c r="C5983" t="s">
        <v>40</v>
      </c>
      <c r="D5983">
        <v>5.5726190000000004</v>
      </c>
      <c r="E5983">
        <v>0.42632999999999999</v>
      </c>
      <c r="F5983" t="s">
        <v>77</v>
      </c>
      <c r="G5983">
        <v>-300.95060000000001</v>
      </c>
      <c r="H5983" s="1">
        <v>-2.716551E-7</v>
      </c>
      <c r="I5983">
        <v>-40.407380000000003</v>
      </c>
      <c r="J5983">
        <v>-301.68299999999999</v>
      </c>
      <c r="K5983">
        <v>1.1105579999999999</v>
      </c>
      <c r="L5983">
        <v>-18.162199999999999</v>
      </c>
      <c r="M5983">
        <v>-9.3250799999999995E-2</v>
      </c>
      <c r="N5983">
        <v>0</v>
      </c>
      <c r="O5983">
        <v>-0.99557150000000005</v>
      </c>
      <c r="P5983">
        <v>-0.1597585</v>
      </c>
      <c r="Q5983">
        <v>-2.4087649999999999E-2</v>
      </c>
      <c r="R5983">
        <v>-0.98686260000000003</v>
      </c>
      <c r="S5983">
        <v>9.6862790000000004E-2</v>
      </c>
      <c r="T5983">
        <v>-0.15092549999999999</v>
      </c>
      <c r="U5983">
        <v>-3.0531009999999998</v>
      </c>
      <c r="V5983">
        <v>6.7046869999999995E-2</v>
      </c>
      <c r="W5983">
        <v>-1.210723E-2</v>
      </c>
      <c r="X5983">
        <v>0.99767640000000002</v>
      </c>
      <c r="Y5983">
        <v>-0.1247439</v>
      </c>
      <c r="Z5983">
        <v>4.8845319999999998E-2</v>
      </c>
      <c r="AA5983">
        <v>0.99098589999999998</v>
      </c>
      <c r="AB5983">
        <v>22</v>
      </c>
      <c r="AC5983">
        <v>0.73239999999998395</v>
      </c>
      <c r="AD5983">
        <v>-1.1105582716550999</v>
      </c>
      <c r="AE5983">
        <v>-22.245180000000001</v>
      </c>
      <c r="AF5983">
        <v>-2.7967729981758001</v>
      </c>
      <c r="AG5983">
        <v>-1.1105582716550999</v>
      </c>
      <c r="AH5983">
        <v>22.025099449290099</v>
      </c>
      <c r="AI5983">
        <v>92.863590309225003</v>
      </c>
      <c r="AJ5983">
        <v>97.236755549679799</v>
      </c>
      <c r="AK5983">
        <v>22.229716251657099</v>
      </c>
      <c r="AL5983">
        <v>90.693710106006804</v>
      </c>
      <c r="AM5983">
        <v>86.155331284371201</v>
      </c>
      <c r="AN5983">
        <v>1.00000003345601</v>
      </c>
    </row>
    <row r="5984" spans="1:40" x14ac:dyDescent="0.25">
      <c r="A5984" t="str">
        <f>"20190312161433771"</f>
        <v>20190312161433771</v>
      </c>
      <c r="B5984" t="str">
        <f>"1552378473762631"</f>
        <v>1552378473762631</v>
      </c>
      <c r="C5984" t="s">
        <v>40</v>
      </c>
      <c r="D5984">
        <v>5.5723789999999997</v>
      </c>
      <c r="E5984">
        <v>0.4264367</v>
      </c>
      <c r="F5984" t="s">
        <v>77</v>
      </c>
      <c r="G5984">
        <v>-300.91469999999998</v>
      </c>
      <c r="H5984" s="1">
        <v>-5.6527259999999898E-7</v>
      </c>
      <c r="I5984">
        <v>-41.065840000000001</v>
      </c>
      <c r="J5984">
        <v>-301.7</v>
      </c>
      <c r="K5984">
        <v>1.1105989999999999</v>
      </c>
      <c r="L5984">
        <v>-18.353850000000001</v>
      </c>
      <c r="M5984">
        <v>-9.2382919999999993E-2</v>
      </c>
      <c r="N5984">
        <v>0</v>
      </c>
      <c r="O5984">
        <v>-0.99565329999999996</v>
      </c>
      <c r="P5984">
        <v>-0.157919899999999</v>
      </c>
      <c r="Q5984">
        <v>-2.3465719999999999E-2</v>
      </c>
      <c r="R5984">
        <v>-0.98717299999999997</v>
      </c>
      <c r="S5984">
        <v>0.10241699999999999</v>
      </c>
      <c r="T5984">
        <v>-0.1480293</v>
      </c>
      <c r="U5984">
        <v>-3.0528870000000001</v>
      </c>
      <c r="V5984">
        <v>6.6057699999999997E-2</v>
      </c>
      <c r="W5984">
        <v>-1.157209E-2</v>
      </c>
      <c r="X5984">
        <v>0.99774870000000004</v>
      </c>
      <c r="Y5984">
        <v>-0.12568370000000001</v>
      </c>
      <c r="Z5984">
        <v>4.7915149999999997E-2</v>
      </c>
      <c r="AA5984">
        <v>0.99091260000000003</v>
      </c>
      <c r="AB5984">
        <v>22</v>
      </c>
      <c r="AC5984">
        <v>0.78530000000000599</v>
      </c>
      <c r="AD5984">
        <v>-1.1105995652726</v>
      </c>
      <c r="AE5984">
        <v>-22.71199</v>
      </c>
      <c r="AF5984">
        <v>-2.8734254261694998</v>
      </c>
      <c r="AG5984">
        <v>-1.1105995652726</v>
      </c>
      <c r="AH5984">
        <v>22.488587298276599</v>
      </c>
      <c r="AI5984">
        <v>92.804493523299598</v>
      </c>
      <c r="AJ5984">
        <v>97.281377301339006</v>
      </c>
      <c r="AK5984">
        <v>22.698602682684001</v>
      </c>
      <c r="AL5984">
        <v>90.663046715718806</v>
      </c>
      <c r="AM5984">
        <v>86.212160578225294</v>
      </c>
      <c r="AN5984">
        <v>1.00000000067397</v>
      </c>
    </row>
    <row r="5985" spans="1:40" x14ac:dyDescent="0.25">
      <c r="A5985" t="str">
        <f>"20190312161433791"</f>
        <v>20190312161433791</v>
      </c>
      <c r="B5985" t="str">
        <f>"1552378473782151"</f>
        <v>1552378473782151</v>
      </c>
      <c r="C5985" t="s">
        <v>40</v>
      </c>
      <c r="D5985">
        <v>5.608403</v>
      </c>
      <c r="E5985">
        <v>0.4265081</v>
      </c>
      <c r="F5985" t="s">
        <v>77</v>
      </c>
      <c r="G5985">
        <v>-300.87509999999997</v>
      </c>
      <c r="H5985" s="1">
        <v>-1.06741E-6</v>
      </c>
      <c r="I5985">
        <v>-41.864510000000003</v>
      </c>
      <c r="J5985">
        <v>-301.71800000000002</v>
      </c>
      <c r="K5985">
        <v>1.110636</v>
      </c>
      <c r="L5985">
        <v>-18.558959999999999</v>
      </c>
      <c r="M5985">
        <v>-9.1384930000000003E-2</v>
      </c>
      <c r="N5985">
        <v>0</v>
      </c>
      <c r="O5985">
        <v>-0.99574689999999999</v>
      </c>
      <c r="P5985">
        <v>-0.15601199999999901</v>
      </c>
      <c r="Q5985">
        <v>-2.3149869999999999E-2</v>
      </c>
      <c r="R5985">
        <v>-0.98748400000000003</v>
      </c>
      <c r="S5985">
        <v>0.1071167</v>
      </c>
      <c r="T5985">
        <v>-0.144204</v>
      </c>
      <c r="U5985">
        <v>-3.0527039999999999</v>
      </c>
      <c r="V5985">
        <v>6.5130300000000002E-2</v>
      </c>
      <c r="W5985">
        <v>-1.1347609999999999E-2</v>
      </c>
      <c r="X5985">
        <v>0.99781229999999999</v>
      </c>
      <c r="Y5985">
        <v>-0.126217</v>
      </c>
      <c r="Z5985">
        <v>4.668622E-2</v>
      </c>
      <c r="AA5985">
        <v>0.99090339999999999</v>
      </c>
      <c r="AB5985">
        <v>22</v>
      </c>
      <c r="AC5985">
        <v>0.84290000000004195</v>
      </c>
      <c r="AD5985">
        <v>-1.1106370674099999</v>
      </c>
      <c r="AE5985">
        <v>-23.30555</v>
      </c>
      <c r="AF5985">
        <v>-2.9625750311580998</v>
      </c>
      <c r="AG5985">
        <v>-1.1106370674099999</v>
      </c>
      <c r="AH5985">
        <v>23.078640098957798</v>
      </c>
      <c r="AI5985">
        <v>92.7327882045997</v>
      </c>
      <c r="AJ5985">
        <v>97.314979774025304</v>
      </c>
      <c r="AK5985">
        <v>23.294505668246501</v>
      </c>
      <c r="AL5985">
        <v>90.650184079068097</v>
      </c>
      <c r="AM5985">
        <v>86.265424774312805</v>
      </c>
      <c r="AN5985">
        <v>1.00000005513104</v>
      </c>
    </row>
    <row r="5986" spans="1:40" x14ac:dyDescent="0.25">
      <c r="A5986" t="str">
        <f>"20190312161433816"</f>
        <v>20190312161433816</v>
      </c>
      <c r="B5986" t="str">
        <f>"1552378473812407"</f>
        <v>1552378473812407</v>
      </c>
      <c r="C5986" t="s">
        <v>40</v>
      </c>
      <c r="D5986">
        <v>5.6691010000000004</v>
      </c>
      <c r="E5986">
        <v>0.42668460000000002</v>
      </c>
      <c r="F5986" t="s">
        <v>77</v>
      </c>
      <c r="G5986">
        <v>-300.83359999999999</v>
      </c>
      <c r="H5986" s="1">
        <v>-1.5106819999999999E-6</v>
      </c>
      <c r="I5986">
        <v>-42.570979999999999</v>
      </c>
      <c r="J5986">
        <v>-301.73829999999998</v>
      </c>
      <c r="K5986">
        <v>1.1106769999999999</v>
      </c>
      <c r="L5986">
        <v>-18.797419999999999</v>
      </c>
      <c r="M5986">
        <v>-9.0131920000000004E-2</v>
      </c>
      <c r="N5986">
        <v>0</v>
      </c>
      <c r="O5986">
        <v>-0.99586220000000003</v>
      </c>
      <c r="P5986">
        <v>-0.15393299999999999</v>
      </c>
      <c r="Q5986">
        <v>-2.2890029999999999E-2</v>
      </c>
      <c r="R5986">
        <v>-0.98781629999999998</v>
      </c>
      <c r="S5986">
        <v>0.11242679999999999</v>
      </c>
      <c r="T5986">
        <v>-0.14118800000000001</v>
      </c>
      <c r="U5986">
        <v>-3.0524900000000001</v>
      </c>
      <c r="V5986">
        <v>6.4286399999999994E-2</v>
      </c>
      <c r="W5986">
        <v>-1.1194620000000001E-2</v>
      </c>
      <c r="X5986">
        <v>0.99786870000000005</v>
      </c>
      <c r="Y5986">
        <v>-0.12669430000000001</v>
      </c>
      <c r="Z5986">
        <v>4.5720150000000001E-2</v>
      </c>
      <c r="AA5986">
        <v>0.99088759999999998</v>
      </c>
      <c r="AB5986">
        <v>22</v>
      </c>
      <c r="AC5986">
        <v>0.90469999999999096</v>
      </c>
      <c r="AD5986">
        <v>-1.1106785106820001</v>
      </c>
      <c r="AE5986">
        <v>-23.77356</v>
      </c>
      <c r="AF5986">
        <v>-3.0372983422976101</v>
      </c>
      <c r="AG5986">
        <v>-1.1106785106820001</v>
      </c>
      <c r="AH5986">
        <v>23.5439224652884</v>
      </c>
      <c r="AI5986">
        <v>92.678745590252802</v>
      </c>
      <c r="AJ5986">
        <v>97.350878166669304</v>
      </c>
      <c r="AK5986">
        <v>23.764996802560798</v>
      </c>
      <c r="AL5986">
        <v>90.641417875737801</v>
      </c>
      <c r="AM5986">
        <v>86.313887530489694</v>
      </c>
      <c r="AN5986">
        <v>1.0000000015907899</v>
      </c>
    </row>
    <row r="5987" spans="1:40" x14ac:dyDescent="0.25">
      <c r="A5987" t="str">
        <f>"20190312161433837"</f>
        <v>20190312161433837</v>
      </c>
      <c r="B5987" t="str">
        <f>"1552378473832903"</f>
        <v>1552378473832903</v>
      </c>
      <c r="C5987" t="s">
        <v>40</v>
      </c>
      <c r="D5987">
        <v>5.6766170000000002</v>
      </c>
      <c r="E5987">
        <v>0.42676340000000001</v>
      </c>
      <c r="F5987" t="s">
        <v>77</v>
      </c>
      <c r="G5987">
        <v>-300.79629999999997</v>
      </c>
      <c r="H5987" s="1">
        <v>-1.9411899999999999E-6</v>
      </c>
      <c r="I5987">
        <v>-43.256439999999998</v>
      </c>
      <c r="J5987">
        <v>-301.75580000000002</v>
      </c>
      <c r="K5987">
        <v>1.1107039999999999</v>
      </c>
      <c r="L5987">
        <v>-19.004300000000001</v>
      </c>
      <c r="M5987">
        <v>-8.8974629999999999E-2</v>
      </c>
      <c r="N5987">
        <v>0</v>
      </c>
      <c r="O5987">
        <v>-0.99596770000000001</v>
      </c>
      <c r="P5987">
        <v>-0.1512252</v>
      </c>
      <c r="Q5987">
        <v>-2.2060719999999999E-2</v>
      </c>
      <c r="R5987">
        <v>-0.98825370000000001</v>
      </c>
      <c r="S5987">
        <v>0.1175537</v>
      </c>
      <c r="T5987">
        <v>-0.13859630000000001</v>
      </c>
      <c r="U5987">
        <v>-3.0521240000000001</v>
      </c>
      <c r="V5987">
        <v>6.2709470000000003E-2</v>
      </c>
      <c r="W5987">
        <v>-1.04546E-2</v>
      </c>
      <c r="X5987">
        <v>0.99797709999999995</v>
      </c>
      <c r="Y5987">
        <v>-0.1272094</v>
      </c>
      <c r="Z5987">
        <v>4.4892149999999999E-2</v>
      </c>
      <c r="AA5987">
        <v>0.99085939999999995</v>
      </c>
      <c r="AB5987">
        <v>22</v>
      </c>
      <c r="AC5987">
        <v>0.95950000000004798</v>
      </c>
      <c r="AD5987">
        <v>-1.11070594119</v>
      </c>
      <c r="AE5987">
        <v>-24.252140000000001</v>
      </c>
      <c r="AF5987">
        <v>-3.1071544627235999</v>
      </c>
      <c r="AG5987">
        <v>-1.11070594119</v>
      </c>
      <c r="AH5987">
        <v>24.020260607776098</v>
      </c>
      <c r="AI5987">
        <v>92.625647501787</v>
      </c>
      <c r="AJ5987">
        <v>97.370599559732</v>
      </c>
      <c r="AK5987">
        <v>24.245844926677599</v>
      </c>
      <c r="AL5987">
        <v>90.599015348273994</v>
      </c>
      <c r="AM5987">
        <v>86.404456331074897</v>
      </c>
      <c r="AN5987">
        <v>1.00000003420662</v>
      </c>
    </row>
    <row r="5988" spans="1:40" x14ac:dyDescent="0.25">
      <c r="A5988" t="str">
        <f>"20190312161433858"</f>
        <v>20190312161433858</v>
      </c>
      <c r="B5988" t="str">
        <f>"1552378473852423"</f>
        <v>1552378473852423</v>
      </c>
      <c r="C5988" t="s">
        <v>40</v>
      </c>
      <c r="D5988">
        <v>5.6960839999999999</v>
      </c>
      <c r="E5988">
        <v>0.4268749</v>
      </c>
      <c r="F5988" t="s">
        <v>77</v>
      </c>
      <c r="G5988">
        <v>-300.7373</v>
      </c>
      <c r="H5988" s="1">
        <v>-2.3260880000000001E-6</v>
      </c>
      <c r="I5988">
        <v>-43.874890000000001</v>
      </c>
      <c r="J5988">
        <v>-301.77280000000002</v>
      </c>
      <c r="K5988">
        <v>1.1107229999999999</v>
      </c>
      <c r="L5988">
        <v>-19.209810000000001</v>
      </c>
      <c r="M5988">
        <v>-8.7770879999999996E-2</v>
      </c>
      <c r="N5988">
        <v>0</v>
      </c>
      <c r="O5988">
        <v>-0.9960753</v>
      </c>
      <c r="P5988">
        <v>-0.14873989999999901</v>
      </c>
      <c r="Q5988">
        <v>-2.245786E-2</v>
      </c>
      <c r="R5988">
        <v>-0.98862169999999905</v>
      </c>
      <c r="S5988">
        <v>0.1249695</v>
      </c>
      <c r="T5988">
        <v>-0.1362884</v>
      </c>
      <c r="U5988">
        <v>-3.0517270000000001</v>
      </c>
      <c r="V5988">
        <v>6.1409230000000002E-2</v>
      </c>
      <c r="W5988">
        <v>-1.09347E-2</v>
      </c>
      <c r="X5988">
        <v>0.99805279999999996</v>
      </c>
      <c r="Y5988">
        <v>-0.12842089999999901</v>
      </c>
      <c r="Z5988">
        <v>4.4153369999999997E-2</v>
      </c>
      <c r="AA5988">
        <v>0.99073639999999996</v>
      </c>
      <c r="AB5988">
        <v>22</v>
      </c>
      <c r="AC5988">
        <v>1.0355000000000101</v>
      </c>
      <c r="AD5988">
        <v>-1.1107253260879999</v>
      </c>
      <c r="AE5988">
        <v>-24.66508</v>
      </c>
      <c r="AF5988">
        <v>-3.1900621897905501</v>
      </c>
      <c r="AG5988">
        <v>-1.1107253260879999</v>
      </c>
      <c r="AH5988">
        <v>24.429531013937499</v>
      </c>
      <c r="AI5988">
        <v>92.581360600459206</v>
      </c>
      <c r="AJ5988">
        <v>97.439713569153596</v>
      </c>
      <c r="AK5988">
        <v>24.6619584195108</v>
      </c>
      <c r="AL5988">
        <v>90.6265246294777</v>
      </c>
      <c r="AM5988">
        <v>86.479084438587194</v>
      </c>
      <c r="AN5988">
        <v>1.00000002639056</v>
      </c>
    </row>
    <row r="5989" spans="1:40" x14ac:dyDescent="0.25">
      <c r="A5989" t="str">
        <f>"20190312161433882"</f>
        <v>20190312161433882</v>
      </c>
      <c r="B5989" t="str">
        <f>"1552378473871942"</f>
        <v>1552378473871942</v>
      </c>
      <c r="C5989" t="s">
        <v>40</v>
      </c>
      <c r="D5989">
        <v>5.719805</v>
      </c>
      <c r="E5989">
        <v>0.42700070000000001</v>
      </c>
      <c r="F5989" t="s">
        <v>77</v>
      </c>
      <c r="G5989">
        <v>-300.70049999999998</v>
      </c>
      <c r="H5989" s="1">
        <v>-2.4224490000000002E-6</v>
      </c>
      <c r="I5989">
        <v>-44.034570000000002</v>
      </c>
      <c r="J5989">
        <v>-301.7921</v>
      </c>
      <c r="K5989">
        <v>1.1107419999999999</v>
      </c>
      <c r="L5989">
        <v>-19.447510000000001</v>
      </c>
      <c r="M5989">
        <v>-8.6327840000000003E-2</v>
      </c>
      <c r="N5989">
        <v>0</v>
      </c>
      <c r="O5989">
        <v>-0.99620229999999999</v>
      </c>
      <c r="P5989">
        <v>-0.1470745</v>
      </c>
      <c r="Q5989">
        <v>-2.371705E-2</v>
      </c>
      <c r="R5989">
        <v>-0.98884110000000003</v>
      </c>
      <c r="S5989">
        <v>0.13180539999999999</v>
      </c>
      <c r="T5989">
        <v>-0.136521799999999</v>
      </c>
      <c r="U5989">
        <v>-3.0512700000000001</v>
      </c>
      <c r="V5989">
        <v>6.118022E-2</v>
      </c>
      <c r="W5989">
        <v>-1.228454E-2</v>
      </c>
      <c r="X5989">
        <v>0.99805109999999997</v>
      </c>
      <c r="Y5989">
        <v>-0.12920570000000001</v>
      </c>
      <c r="Z5989">
        <v>4.4239550000000002E-2</v>
      </c>
      <c r="AA5989">
        <v>0.99063049999999997</v>
      </c>
      <c r="AB5989">
        <v>22</v>
      </c>
      <c r="AC5989">
        <v>1.0916000000000201</v>
      </c>
      <c r="AD5989">
        <v>-1.110744422449</v>
      </c>
      <c r="AE5989">
        <v>-24.587060000000001</v>
      </c>
      <c r="AF5989">
        <v>-3.2036830111066599</v>
      </c>
      <c r="AG5989">
        <v>-1.110744422449</v>
      </c>
      <c r="AH5989">
        <v>24.351417562977701</v>
      </c>
      <c r="AI5989">
        <v>92.589348221669297</v>
      </c>
      <c r="AJ5989">
        <v>97.494814831144495</v>
      </c>
      <c r="AK5989">
        <v>24.586355470751499</v>
      </c>
      <c r="AL5989">
        <v>90.703870025044196</v>
      </c>
      <c r="AM5989">
        <v>86.492175984542797</v>
      </c>
      <c r="AN5989">
        <v>0.99999996372673405</v>
      </c>
    </row>
    <row r="5990" spans="1:40" x14ac:dyDescent="0.25">
      <c r="A5990" t="str">
        <f>"20190312161433907"</f>
        <v>20190312161433907</v>
      </c>
      <c r="B5990" t="str">
        <f>"1552378473902199"</f>
        <v>1552378473902199</v>
      </c>
      <c r="C5990" t="s">
        <v>40</v>
      </c>
      <c r="D5990">
        <v>5.731052</v>
      </c>
      <c r="E5990">
        <v>0.42713420000000002</v>
      </c>
      <c r="F5990" t="s">
        <v>77</v>
      </c>
      <c r="G5990">
        <v>-300.70710000000003</v>
      </c>
      <c r="H5990" s="1">
        <v>-2.2603569999999999E-6</v>
      </c>
      <c r="I5990">
        <v>-43.778109999999998</v>
      </c>
      <c r="J5990">
        <v>-301.81139999999999</v>
      </c>
      <c r="K5990">
        <v>1.1107579999999999</v>
      </c>
      <c r="L5990">
        <v>-19.69003</v>
      </c>
      <c r="M5990">
        <v>-8.4817370000000003E-2</v>
      </c>
      <c r="N5990">
        <v>0</v>
      </c>
      <c r="O5990">
        <v>-0.99633320000000003</v>
      </c>
      <c r="P5990">
        <v>-0.14506669999999999</v>
      </c>
      <c r="Q5990">
        <v>-2.367963E-2</v>
      </c>
      <c r="R5990">
        <v>-0.98913870000000004</v>
      </c>
      <c r="S5990">
        <v>0.13604740000000001</v>
      </c>
      <c r="T5990">
        <v>-0.13927339999999999</v>
      </c>
      <c r="U5990">
        <v>-3.050751</v>
      </c>
      <c r="V5990">
        <v>6.0668119999999999E-2</v>
      </c>
      <c r="W5990">
        <v>-1.2333999999999999E-2</v>
      </c>
      <c r="X5990">
        <v>0.99808180000000002</v>
      </c>
      <c r="Y5990">
        <v>-0.12908240000000001</v>
      </c>
      <c r="Z5990">
        <v>4.5144879999999998E-2</v>
      </c>
      <c r="AA5990">
        <v>0.99060570000000003</v>
      </c>
      <c r="AB5990">
        <v>22</v>
      </c>
      <c r="AC5990">
        <v>1.1042999999999601</v>
      </c>
      <c r="AD5990">
        <v>-1.1107602603569999</v>
      </c>
      <c r="AE5990">
        <v>-24.088080000000001</v>
      </c>
      <c r="AF5990">
        <v>-3.1368805198832401</v>
      </c>
      <c r="AG5990">
        <v>-1.1107602603569999</v>
      </c>
      <c r="AH5990">
        <v>23.856976175240298</v>
      </c>
      <c r="AI5990">
        <v>92.643000457414601</v>
      </c>
      <c r="AJ5990">
        <v>97.490675009502297</v>
      </c>
      <c r="AK5990">
        <v>24.087945532527101</v>
      </c>
      <c r="AL5990">
        <v>90.706704053645495</v>
      </c>
      <c r="AM5990">
        <v>86.521572041037601</v>
      </c>
      <c r="AN5990">
        <v>1.0000000139157801</v>
      </c>
    </row>
    <row r="5991" spans="1:40" x14ac:dyDescent="0.25">
      <c r="A5991" t="str">
        <f>"20190312161433944"</f>
        <v>20190312161433944</v>
      </c>
      <c r="B5991" t="str">
        <f>"1552378473932455"</f>
        <v>1552378473932455</v>
      </c>
      <c r="C5991" t="s">
        <v>40</v>
      </c>
      <c r="D5991">
        <v>5.779617</v>
      </c>
      <c r="E5991">
        <v>0.42747960000000002</v>
      </c>
      <c r="F5991" t="s">
        <v>77</v>
      </c>
      <c r="G5991">
        <v>-300.69420000000002</v>
      </c>
      <c r="H5991" s="1">
        <v>-2.3109659999999999E-6</v>
      </c>
      <c r="I5991">
        <v>-43.86056</v>
      </c>
      <c r="J5991">
        <v>-301.83969999999999</v>
      </c>
      <c r="K5991">
        <v>1.1107560000000001</v>
      </c>
      <c r="L5991">
        <v>-20.05536</v>
      </c>
      <c r="M5991">
        <v>-8.2502060000000002E-2</v>
      </c>
      <c r="N5991">
        <v>0</v>
      </c>
      <c r="O5991">
        <v>-0.9965292</v>
      </c>
      <c r="P5991">
        <v>-0.14133389999999901</v>
      </c>
      <c r="Q5991">
        <v>-2.418998E-2</v>
      </c>
      <c r="R5991">
        <v>-0.98966679999999996</v>
      </c>
      <c r="S5991">
        <v>0.14099120000000001</v>
      </c>
      <c r="T5991">
        <v>-0.1401753</v>
      </c>
      <c r="U5991">
        <v>-3.050262</v>
      </c>
      <c r="V5991">
        <v>5.9224810000000003E-2</v>
      </c>
      <c r="W5991">
        <v>-1.297007E-2</v>
      </c>
      <c r="X5991">
        <v>0.99816039999999995</v>
      </c>
      <c r="Y5991">
        <v>-0.1283868</v>
      </c>
      <c r="Z5991">
        <v>4.5457659999999997E-2</v>
      </c>
      <c r="AA5991">
        <v>0.99068179999999995</v>
      </c>
      <c r="AB5991">
        <v>22</v>
      </c>
      <c r="AC5991">
        <v>1.14549999999997</v>
      </c>
      <c r="AD5991">
        <v>-1.11075831096599</v>
      </c>
      <c r="AE5991">
        <v>-23.805199999999999</v>
      </c>
      <c r="AF5991">
        <v>-3.0989617583076599</v>
      </c>
      <c r="AG5991">
        <v>-1.11075831096599</v>
      </c>
      <c r="AH5991">
        <v>23.578307868714901</v>
      </c>
      <c r="AI5991">
        <v>92.674206592968801</v>
      </c>
      <c r="AJ5991">
        <v>97.4876233426467</v>
      </c>
      <c r="AK5991">
        <v>23.807014721647398</v>
      </c>
      <c r="AL5991">
        <v>90.743151113386205</v>
      </c>
      <c r="AM5991">
        <v>86.6043954962323</v>
      </c>
      <c r="AN5991">
        <v>0.99999999248174998</v>
      </c>
    </row>
    <row r="5992" spans="1:40" x14ac:dyDescent="0.25">
      <c r="A5992" t="str">
        <f>"20190312161433967"</f>
        <v>20190312161433967</v>
      </c>
      <c r="B5992" t="str">
        <f>"1552378473962713"</f>
        <v>1552378473962713</v>
      </c>
      <c r="C5992" t="s">
        <v>40</v>
      </c>
      <c r="D5992">
        <v>5.7779089999999904</v>
      </c>
      <c r="E5992">
        <v>0.42766959999999998</v>
      </c>
      <c r="F5992" t="s">
        <v>77</v>
      </c>
      <c r="G5992">
        <v>-300.68040000000002</v>
      </c>
      <c r="H5992" s="1">
        <v>-2.1703639999999999E-6</v>
      </c>
      <c r="I5992">
        <v>-43.642380000000003</v>
      </c>
      <c r="J5992">
        <v>-301.85730000000001</v>
      </c>
      <c r="K5992">
        <v>1.110743</v>
      </c>
      <c r="L5992">
        <v>-20.289180000000002</v>
      </c>
      <c r="M5992">
        <v>-8.1015429999999999E-2</v>
      </c>
      <c r="N5992">
        <v>0</v>
      </c>
      <c r="O5992">
        <v>-0.99665179999999998</v>
      </c>
      <c r="P5992">
        <v>-0.14070439999999901</v>
      </c>
      <c r="Q5992">
        <v>-2.51072E-2</v>
      </c>
      <c r="R5992">
        <v>-0.98973330000000004</v>
      </c>
      <c r="S5992">
        <v>0.149871799999999</v>
      </c>
      <c r="T5992">
        <v>-0.14359379999999999</v>
      </c>
      <c r="U5992">
        <v>-3.0492249999999999</v>
      </c>
      <c r="V5992">
        <v>6.0082629999999998E-2</v>
      </c>
      <c r="W5992">
        <v>-1.395975E-2</v>
      </c>
      <c r="X5992">
        <v>0.99809579999999998</v>
      </c>
      <c r="Y5992">
        <v>-0.129799</v>
      </c>
      <c r="Z5992">
        <v>4.6580669999999998E-2</v>
      </c>
      <c r="AA5992">
        <v>0.99044560000000004</v>
      </c>
      <c r="AB5992">
        <v>22</v>
      </c>
      <c r="AC5992">
        <v>1.1768999999999801</v>
      </c>
      <c r="AD5992">
        <v>-1.1107451703639999</v>
      </c>
      <c r="AE5992">
        <v>-23.353200000000001</v>
      </c>
      <c r="AF5992">
        <v>-3.0582146975624398</v>
      </c>
      <c r="AG5992">
        <v>-1.1107451703639999</v>
      </c>
      <c r="AH5992">
        <v>23.128882028238699</v>
      </c>
      <c r="AI5992">
        <v>92.725780855501398</v>
      </c>
      <c r="AJ5992">
        <v>97.532236521298699</v>
      </c>
      <c r="AK5992">
        <v>23.3566182450726</v>
      </c>
      <c r="AL5992">
        <v>90.799860729042706</v>
      </c>
      <c r="AM5992">
        <v>86.555108282869398</v>
      </c>
      <c r="AN5992">
        <v>1.0000000115126999</v>
      </c>
    </row>
    <row r="5993" spans="1:40" x14ac:dyDescent="0.25">
      <c r="A5993" t="str">
        <f>"20190312161433993"</f>
        <v>20190312161433993</v>
      </c>
      <c r="B5993" t="str">
        <f>"1552378473982231"</f>
        <v>1552378473982231</v>
      </c>
      <c r="C5993" t="s">
        <v>40</v>
      </c>
      <c r="D5993">
        <v>5.8217239999999997</v>
      </c>
      <c r="E5993">
        <v>0.42769580000000001</v>
      </c>
      <c r="F5993" t="s">
        <v>77</v>
      </c>
      <c r="G5993">
        <v>-300.71690000000001</v>
      </c>
      <c r="H5993" s="1">
        <v>-2.0287990000000001E-6</v>
      </c>
      <c r="I5993">
        <v>-43.411650000000002</v>
      </c>
      <c r="J5993">
        <v>-301.87619999999998</v>
      </c>
      <c r="K5993">
        <v>1.1107209999999901</v>
      </c>
      <c r="L5993">
        <v>-20.54468</v>
      </c>
      <c r="M5993">
        <v>-7.9398040000000003E-2</v>
      </c>
      <c r="N5993">
        <v>0</v>
      </c>
      <c r="O5993">
        <v>-0.99678250000000002</v>
      </c>
      <c r="P5993">
        <v>-0.1390932</v>
      </c>
      <c r="Q5993">
        <v>-2.5437899999999999E-2</v>
      </c>
      <c r="R5993">
        <v>-0.98995259999999996</v>
      </c>
      <c r="S5993">
        <v>0.1503601</v>
      </c>
      <c r="T5993">
        <v>-0.146455</v>
      </c>
      <c r="U5993">
        <v>-3.0487669999999998</v>
      </c>
      <c r="V5993">
        <v>6.0078920000000001E-2</v>
      </c>
      <c r="W5993">
        <v>-1.436047E-2</v>
      </c>
      <c r="X5993">
        <v>0.99809029999999999</v>
      </c>
      <c r="Y5993">
        <v>-0.1283532</v>
      </c>
      <c r="Z5993">
        <v>4.7527529999999998E-2</v>
      </c>
      <c r="AA5993">
        <v>0.99058900000000005</v>
      </c>
      <c r="AB5993">
        <v>22</v>
      </c>
      <c r="AC5993">
        <v>1.15929999999997</v>
      </c>
      <c r="AD5993">
        <v>-1.11072302879899</v>
      </c>
      <c r="AE5993">
        <v>-22.866969999999998</v>
      </c>
      <c r="AF5993">
        <v>-2.9643656496525401</v>
      </c>
      <c r="AG5993">
        <v>-1.11072302879899</v>
      </c>
      <c r="AH5993">
        <v>22.649417235462401</v>
      </c>
      <c r="AI5993">
        <v>92.783820822540505</v>
      </c>
      <c r="AJ5993">
        <v>97.456513559620205</v>
      </c>
      <c r="AK5993">
        <v>22.8695708411331</v>
      </c>
      <c r="AL5993">
        <v>90.822822627252194</v>
      </c>
      <c r="AM5993">
        <v>86.555301550557004</v>
      </c>
      <c r="AN5993">
        <v>0.99999997334053803</v>
      </c>
    </row>
    <row r="5994" spans="1:40" x14ac:dyDescent="0.25">
      <c r="A5994" t="str">
        <f>"20190312161434016"</f>
        <v>20190312161434016</v>
      </c>
      <c r="B5994" t="str">
        <f>"1552378474012487"</f>
        <v>1552378474012487</v>
      </c>
      <c r="C5994" t="s">
        <v>40</v>
      </c>
      <c r="D5994">
        <v>5.8367870000000002</v>
      </c>
      <c r="E5994">
        <v>0.42757499999999998</v>
      </c>
      <c r="F5994" t="s">
        <v>77</v>
      </c>
      <c r="G5994">
        <v>-300.71120000000002</v>
      </c>
      <c r="H5994" s="1">
        <v>-2.0542370000000001E-6</v>
      </c>
      <c r="I5994">
        <v>-43.452939999999998</v>
      </c>
      <c r="J5994">
        <v>-301.89269999999999</v>
      </c>
      <c r="K5994">
        <v>1.110708</v>
      </c>
      <c r="L5994">
        <v>-20.773409999999998</v>
      </c>
      <c r="M5994">
        <v>-7.7960570000000007E-2</v>
      </c>
      <c r="N5994">
        <v>0</v>
      </c>
      <c r="O5994">
        <v>-0.99689700000000003</v>
      </c>
      <c r="P5994">
        <v>-0.1376578</v>
      </c>
      <c r="Q5994">
        <v>-2.533593E-2</v>
      </c>
      <c r="R5994">
        <v>-0.99015609999999998</v>
      </c>
      <c r="S5994">
        <v>0.15502929999999901</v>
      </c>
      <c r="T5994">
        <v>-0.1478053</v>
      </c>
      <c r="U5994">
        <v>-3.0484309999999999</v>
      </c>
      <c r="V5994">
        <v>6.0070650000000003E-2</v>
      </c>
      <c r="W5994">
        <v>-1.431321E-2</v>
      </c>
      <c r="X5994">
        <v>0.99809150000000002</v>
      </c>
      <c r="Y5994">
        <v>-0.12844069999999999</v>
      </c>
      <c r="Z5994">
        <v>4.7976079999999997E-2</v>
      </c>
      <c r="AA5994">
        <v>0.99055610000000005</v>
      </c>
      <c r="AB5994">
        <v>22</v>
      </c>
      <c r="AC5994">
        <v>1.18149999999997</v>
      </c>
      <c r="AD5994">
        <v>-1.1107100542370001</v>
      </c>
      <c r="AE5994">
        <v>-22.67953</v>
      </c>
      <c r="AF5994">
        <v>-2.9390872679706099</v>
      </c>
      <c r="AG5994">
        <v>-1.1107100542370001</v>
      </c>
      <c r="AH5994">
        <v>22.464644672633298</v>
      </c>
      <c r="AI5994">
        <v>92.806666236313305</v>
      </c>
      <c r="AJ5994">
        <v>97.453767121876794</v>
      </c>
      <c r="AK5994">
        <v>22.683301590839999</v>
      </c>
      <c r="AL5994">
        <v>90.820114531173999</v>
      </c>
      <c r="AM5994">
        <v>86.555778710583496</v>
      </c>
      <c r="AN5994">
        <v>0.99999999667208805</v>
      </c>
    </row>
    <row r="5995" spans="1:40" x14ac:dyDescent="0.25">
      <c r="A5995" t="str">
        <f>"20190312161434038"</f>
        <v>20190312161434038</v>
      </c>
      <c r="B5995" t="str">
        <f>"1552378474032007"</f>
        <v>1552378474032007</v>
      </c>
      <c r="C5995" t="s">
        <v>40</v>
      </c>
      <c r="D5995">
        <v>5.865551</v>
      </c>
      <c r="E5995">
        <v>0.42746250000000002</v>
      </c>
      <c r="F5995" t="s">
        <v>77</v>
      </c>
      <c r="G5995">
        <v>-300.68349999999998</v>
      </c>
      <c r="H5995" s="1">
        <v>-2.2244240000000001E-6</v>
      </c>
      <c r="I5995">
        <v>-43.726730000000003</v>
      </c>
      <c r="J5995">
        <v>-301.90839999999997</v>
      </c>
      <c r="K5995">
        <v>1.110703</v>
      </c>
      <c r="L5995">
        <v>-20.996279999999999</v>
      </c>
      <c r="M5995">
        <v>-7.6569650000000003E-2</v>
      </c>
      <c r="N5995">
        <v>0</v>
      </c>
      <c r="O5995">
        <v>-0.99700500000000003</v>
      </c>
      <c r="P5995">
        <v>-0.13580989999999901</v>
      </c>
      <c r="Q5995">
        <v>-2.5250390000000001E-2</v>
      </c>
      <c r="R5995">
        <v>-0.99041330000000005</v>
      </c>
      <c r="S5995">
        <v>0.16058349999999999</v>
      </c>
      <c r="T5995">
        <v>-0.14751040000000001</v>
      </c>
      <c r="U5995">
        <v>-3.0483699999999998</v>
      </c>
      <c r="V5995">
        <v>5.9600350000000003E-2</v>
      </c>
      <c r="W5995">
        <v>-1.4277949999999999E-2</v>
      </c>
      <c r="X5995">
        <v>0.99812020000000001</v>
      </c>
      <c r="Y5995">
        <v>-0.12885830000000001</v>
      </c>
      <c r="Z5995">
        <v>4.7885789999999998E-2</v>
      </c>
      <c r="AA5995">
        <v>0.9905062</v>
      </c>
      <c r="AB5995">
        <v>22</v>
      </c>
      <c r="AC5995">
        <v>1.2248999999999901</v>
      </c>
      <c r="AD5995">
        <v>-1.1107052244239899</v>
      </c>
      <c r="AE5995">
        <v>-22.730450000000001</v>
      </c>
      <c r="AF5995">
        <v>-2.9548340985543402</v>
      </c>
      <c r="AG5995">
        <v>-1.1107052244239899</v>
      </c>
      <c r="AH5995">
        <v>22.516308398728601</v>
      </c>
      <c r="AI5995">
        <v>92.8000806851216</v>
      </c>
      <c r="AJ5995">
        <v>97.476251191977596</v>
      </c>
      <c r="AK5995">
        <v>22.736509286876</v>
      </c>
      <c r="AL5995">
        <v>90.818094074748103</v>
      </c>
      <c r="AM5995">
        <v>86.582777787154896</v>
      </c>
      <c r="AN5995">
        <v>0.99999999761218195</v>
      </c>
    </row>
    <row r="5996" spans="1:40" x14ac:dyDescent="0.25">
      <c r="A5996" t="str">
        <f>"20190312161434078"</f>
        <v>20190312161434078</v>
      </c>
      <c r="B5996" t="str">
        <f>"1552378474072023"</f>
        <v>1552378474072023</v>
      </c>
      <c r="C5996" t="s">
        <v>40</v>
      </c>
      <c r="D5996">
        <v>5.8867649999999996</v>
      </c>
      <c r="E5996">
        <v>0.42729610000000001</v>
      </c>
      <c r="F5996" t="s">
        <v>77</v>
      </c>
      <c r="G5996">
        <v>-300.64400000000001</v>
      </c>
      <c r="H5996" s="1">
        <v>-2.4412739999999999E-6</v>
      </c>
      <c r="I5996">
        <v>-44.076549999999997</v>
      </c>
      <c r="J5996">
        <v>-301.93579999999997</v>
      </c>
      <c r="K5996">
        <v>1.1106799999999999</v>
      </c>
      <c r="L5996">
        <v>-21.392399999999999</v>
      </c>
      <c r="M5996">
        <v>-7.4116269999999998E-2</v>
      </c>
      <c r="N5996">
        <v>0</v>
      </c>
      <c r="O5996">
        <v>-0.99719150000000001</v>
      </c>
      <c r="P5996">
        <v>-0.13059949999999901</v>
      </c>
      <c r="Q5996">
        <v>-2.3770889999999999E-2</v>
      </c>
      <c r="R5996">
        <v>-0.99115039999999999</v>
      </c>
      <c r="S5996">
        <v>0.16699220000000001</v>
      </c>
      <c r="T5996">
        <v>-0.14668970000000001</v>
      </c>
      <c r="U5996">
        <v>-3.048187</v>
      </c>
      <c r="V5996">
        <v>5.680176E-2</v>
      </c>
      <c r="W5996">
        <v>-1.2888159999999999E-2</v>
      </c>
      <c r="X5996">
        <v>0.99830229999999998</v>
      </c>
      <c r="Y5996">
        <v>-0.12849859999999999</v>
      </c>
      <c r="Z5996">
        <v>4.7634620000000003E-2</v>
      </c>
      <c r="AA5996">
        <v>0.99056500000000003</v>
      </c>
      <c r="AB5996">
        <v>22</v>
      </c>
      <c r="AC5996">
        <v>1.2917999999999601</v>
      </c>
      <c r="AD5996">
        <v>-1.110682441274</v>
      </c>
      <c r="AE5996">
        <v>-22.684149999999999</v>
      </c>
      <c r="AF5996">
        <v>-2.9625293297438402</v>
      </c>
      <c r="AG5996">
        <v>-1.110682441274</v>
      </c>
      <c r="AH5996">
        <v>22.472303241587799</v>
      </c>
      <c r="AI5996">
        <v>92.805280512250505</v>
      </c>
      <c r="AJ5996">
        <v>97.510010657256203</v>
      </c>
      <c r="AK5996">
        <v>22.693933297179299</v>
      </c>
      <c r="AL5996">
        <v>90.738457608301303</v>
      </c>
      <c r="AM5996">
        <v>86.743475540761494</v>
      </c>
      <c r="AN5996">
        <v>1.0000000133962801</v>
      </c>
    </row>
    <row r="5997" spans="1:40" x14ac:dyDescent="0.25">
      <c r="A5997" t="str">
        <f>"20190312161434107"</f>
        <v>20190312161434107</v>
      </c>
      <c r="B5997" t="str">
        <f>"1552378474102279"</f>
        <v>1552378474102279</v>
      </c>
      <c r="C5997" t="s">
        <v>40</v>
      </c>
      <c r="D5997">
        <v>5.8205359999999997</v>
      </c>
      <c r="E5997">
        <v>0.42712299999999997</v>
      </c>
      <c r="F5997" t="s">
        <v>77</v>
      </c>
      <c r="G5997">
        <v>-300.50420000000003</v>
      </c>
      <c r="H5997" s="1">
        <v>-3.0585379999999998E-6</v>
      </c>
      <c r="I5997">
        <v>-45.078290000000003</v>
      </c>
      <c r="J5997">
        <v>-301.95479999999998</v>
      </c>
      <c r="K5997">
        <v>1.1106689999999999</v>
      </c>
      <c r="L5997">
        <v>-21.67642</v>
      </c>
      <c r="M5997">
        <v>-7.2363899999999995E-2</v>
      </c>
      <c r="N5997">
        <v>0</v>
      </c>
      <c r="O5997">
        <v>-0.9973204</v>
      </c>
      <c r="P5997">
        <v>-0.1277392</v>
      </c>
      <c r="Q5997">
        <v>-2.3417799999999999E-2</v>
      </c>
      <c r="R5997">
        <v>-0.9915311</v>
      </c>
      <c r="S5997">
        <v>0.18420410000000001</v>
      </c>
      <c r="T5997">
        <v>-0.14291039999999999</v>
      </c>
      <c r="U5997">
        <v>-3.0476380000000001</v>
      </c>
      <c r="V5997">
        <v>5.567449E-2</v>
      </c>
      <c r="W5997">
        <v>-1.258945E-2</v>
      </c>
      <c r="X5997">
        <v>0.99836959999999997</v>
      </c>
      <c r="Y5997">
        <v>-0.13234409999999999</v>
      </c>
      <c r="Z5997">
        <v>4.6408100000000001E-2</v>
      </c>
      <c r="AA5997">
        <v>0.99011680000000002</v>
      </c>
      <c r="AB5997">
        <v>22</v>
      </c>
      <c r="AC5997">
        <v>1.4505999999999499</v>
      </c>
      <c r="AD5997">
        <v>-1.1106720585379899</v>
      </c>
      <c r="AE5997">
        <v>-23.401869999999999</v>
      </c>
      <c r="AF5997">
        <v>-3.1333140217819002</v>
      </c>
      <c r="AG5997">
        <v>-1.1106720585379899</v>
      </c>
      <c r="AH5997">
        <v>23.183511332042698</v>
      </c>
      <c r="AI5997">
        <v>92.718144931683</v>
      </c>
      <c r="AJ5997">
        <v>97.697039747625595</v>
      </c>
      <c r="AK5997">
        <v>23.420641469944101</v>
      </c>
      <c r="AL5997">
        <v>90.721341406524999</v>
      </c>
      <c r="AM5997">
        <v>86.808183246198197</v>
      </c>
      <c r="AN5997">
        <v>1.0000000006461101</v>
      </c>
    </row>
    <row r="5998" spans="1:40" x14ac:dyDescent="0.25">
      <c r="A5998" t="str">
        <f>"20190312161434129"</f>
        <v>20190312161434129</v>
      </c>
      <c r="B5998" t="str">
        <f>"1552378474122775"</f>
        <v>1552378474122775</v>
      </c>
      <c r="C5998" t="s">
        <v>40</v>
      </c>
      <c r="D5998">
        <v>5.8352779999999997</v>
      </c>
      <c r="E5998">
        <v>0.42698029999999998</v>
      </c>
      <c r="F5998" t="s">
        <v>77</v>
      </c>
      <c r="G5998">
        <v>-300.41829999999999</v>
      </c>
      <c r="H5998" s="1">
        <v>-3.3923850000000001E-6</v>
      </c>
      <c r="I5998">
        <v>-45.754779999999997</v>
      </c>
      <c r="J5998">
        <v>-301.96910000000003</v>
      </c>
      <c r="K5998">
        <v>1.1106640000000001</v>
      </c>
      <c r="L5998">
        <v>-21.894559999999998</v>
      </c>
      <c r="M5998">
        <v>-7.1017999999999998E-2</v>
      </c>
      <c r="N5998">
        <v>0</v>
      </c>
      <c r="O5998">
        <v>-0.99741780000000002</v>
      </c>
      <c r="P5998">
        <v>-0.1263978</v>
      </c>
      <c r="Q5998">
        <v>-2.3630370000000001E-2</v>
      </c>
      <c r="R5998">
        <v>-0.99169850000000004</v>
      </c>
      <c r="S5998">
        <v>0.19445799999999999</v>
      </c>
      <c r="T5998">
        <v>-0.1405671</v>
      </c>
      <c r="U5998">
        <v>-3.0473629999999998</v>
      </c>
      <c r="V5998">
        <v>5.5672079999999999E-2</v>
      </c>
      <c r="W5998">
        <v>-1.284106E-2</v>
      </c>
      <c r="X5998">
        <v>0.99836650000000005</v>
      </c>
      <c r="Y5998">
        <v>-0.13433249999999999</v>
      </c>
      <c r="Z5998">
        <v>4.5648630000000003E-2</v>
      </c>
      <c r="AA5998">
        <v>0.98988430000000005</v>
      </c>
      <c r="AB5998">
        <v>22</v>
      </c>
      <c r="AC5998">
        <v>1.5508000000000299</v>
      </c>
      <c r="AD5998">
        <v>-1.1106673923849999</v>
      </c>
      <c r="AE5998">
        <v>-23.860219999999899</v>
      </c>
      <c r="AF5998">
        <v>-3.2345066311536401</v>
      </c>
      <c r="AG5998">
        <v>-1.1106673923849999</v>
      </c>
      <c r="AH5998">
        <v>23.638820697507299</v>
      </c>
      <c r="AI5998">
        <v>92.665259379097407</v>
      </c>
      <c r="AJ5998">
        <v>97.791413413015306</v>
      </c>
      <c r="AK5998">
        <v>23.884921167388899</v>
      </c>
      <c r="AL5998">
        <v>90.735758785114299</v>
      </c>
      <c r="AM5998">
        <v>86.808311235864096</v>
      </c>
      <c r="AN5998">
        <v>0.99999997081784897</v>
      </c>
    </row>
    <row r="5999" spans="1:40" x14ac:dyDescent="0.25">
      <c r="A5999" t="str">
        <f>"20190312161434152"</f>
        <v>20190312161434152</v>
      </c>
      <c r="B5999" t="str">
        <f>"1552378474142295"</f>
        <v>1552378474142295</v>
      </c>
      <c r="C5999" t="s">
        <v>40</v>
      </c>
      <c r="D5999">
        <v>5.8660560000000004</v>
      </c>
      <c r="E5999">
        <v>0.42680899999999999</v>
      </c>
      <c r="F5999" t="s">
        <v>77</v>
      </c>
      <c r="G5999">
        <v>-300.37779999999998</v>
      </c>
      <c r="H5999" s="1">
        <v>-3.6002479999999999E-6</v>
      </c>
      <c r="I5999">
        <v>-46.16733</v>
      </c>
      <c r="J5999">
        <v>-301.98390000000001</v>
      </c>
      <c r="K5999">
        <v>1.1106579999999999</v>
      </c>
      <c r="L5999">
        <v>-22.12567</v>
      </c>
      <c r="M5999">
        <v>-6.9591330000000007E-2</v>
      </c>
      <c r="N5999">
        <v>0</v>
      </c>
      <c r="O5999">
        <v>-0.99751900000000004</v>
      </c>
      <c r="P5999">
        <v>-0.12568480000000001</v>
      </c>
      <c r="Q5999">
        <v>-2.329024E-2</v>
      </c>
      <c r="R5999">
        <v>-0.99179729999999999</v>
      </c>
      <c r="S5999">
        <v>0.1997681</v>
      </c>
      <c r="T5999">
        <v>-0.13943639999999999</v>
      </c>
      <c r="U5999">
        <v>-3.047272</v>
      </c>
      <c r="V5999">
        <v>5.6380960000000001E-2</v>
      </c>
      <c r="W5999">
        <v>-1.254214E-2</v>
      </c>
      <c r="X5999">
        <v>0.99833050000000001</v>
      </c>
      <c r="Y5999">
        <v>-0.1346359</v>
      </c>
      <c r="Z5999">
        <v>4.5286989999999999E-2</v>
      </c>
      <c r="AA5999">
        <v>0.98985970000000001</v>
      </c>
      <c r="AB5999">
        <v>22</v>
      </c>
      <c r="AC5999">
        <v>1.6061000000000201</v>
      </c>
      <c r="AD5999">
        <v>-1.1106616002480001</v>
      </c>
      <c r="AE5999">
        <v>-24.04166</v>
      </c>
      <c r="AF5999">
        <v>-3.2684467294311799</v>
      </c>
      <c r="AG5999">
        <v>-1.1106616002480001</v>
      </c>
      <c r="AH5999">
        <v>23.820976703213301</v>
      </c>
      <c r="AI5999">
        <v>92.644759318054696</v>
      </c>
      <c r="AJ5999">
        <v>97.812698802740201</v>
      </c>
      <c r="AK5999">
        <v>24.069799423934199</v>
      </c>
      <c r="AL5999">
        <v>90.7186305637114</v>
      </c>
      <c r="AM5999">
        <v>86.767640359166506</v>
      </c>
      <c r="AN5999">
        <v>0.99999995257827401</v>
      </c>
    </row>
    <row r="6000" spans="1:40" x14ac:dyDescent="0.25">
      <c r="A6000" t="str">
        <f>"20190312161434174"</f>
        <v>20190312161434174</v>
      </c>
      <c r="B6000" t="str">
        <f>"1552378474162791"</f>
        <v>1552378474162791</v>
      </c>
      <c r="C6000" t="s">
        <v>40</v>
      </c>
      <c r="D6000">
        <v>5.8525859999999996</v>
      </c>
      <c r="E6000">
        <v>0.42678389999999999</v>
      </c>
      <c r="F6000" t="s">
        <v>77</v>
      </c>
      <c r="G6000">
        <v>-300.35739999999998</v>
      </c>
      <c r="H6000" s="1">
        <v>-3.782207E-6</v>
      </c>
      <c r="I6000">
        <v>-46.526780000000002</v>
      </c>
      <c r="J6000">
        <v>-301.99810000000002</v>
      </c>
      <c r="K6000">
        <v>1.1106510000000001</v>
      </c>
      <c r="L6000">
        <v>-22.35257</v>
      </c>
      <c r="M6000">
        <v>-6.8189810000000003E-2</v>
      </c>
      <c r="N6000">
        <v>0</v>
      </c>
      <c r="O6000">
        <v>-0.99761599999999995</v>
      </c>
      <c r="P6000">
        <v>-0.124917899999999</v>
      </c>
      <c r="Q6000">
        <v>-2.2998649999999999E-2</v>
      </c>
      <c r="R6000">
        <v>-0.99190060000000002</v>
      </c>
      <c r="S6000">
        <v>0.203125</v>
      </c>
      <c r="T6000">
        <v>-0.13870370000000001</v>
      </c>
      <c r="U6000">
        <v>-3.0473020000000002</v>
      </c>
      <c r="V6000">
        <v>5.7010680000000001E-2</v>
      </c>
      <c r="W6000">
        <v>-1.228769E-2</v>
      </c>
      <c r="X6000">
        <v>0.99829789999999996</v>
      </c>
      <c r="Y6000">
        <v>-0.13432959999999999</v>
      </c>
      <c r="Z6000">
        <v>4.5054980000000001E-2</v>
      </c>
      <c r="AA6000">
        <v>0.98991189999999996</v>
      </c>
      <c r="AB6000">
        <v>23</v>
      </c>
      <c r="AC6000">
        <v>1.64070000000003</v>
      </c>
      <c r="AD6000">
        <v>-1.1106547822069901</v>
      </c>
      <c r="AE6000">
        <v>-24.174209999999999</v>
      </c>
      <c r="AF6000">
        <v>-3.2785194408784002</v>
      </c>
      <c r="AG6000">
        <v>-1.1106547822069901</v>
      </c>
      <c r="AH6000">
        <v>23.955715011878901</v>
      </c>
      <c r="AI6000">
        <v>92.630012839921704</v>
      </c>
      <c r="AJ6000">
        <v>97.792944324029406</v>
      </c>
      <c r="AK6000">
        <v>24.204514568563798</v>
      </c>
      <c r="AL6000">
        <v>90.704050529303501</v>
      </c>
      <c r="AM6000">
        <v>86.731509410872704</v>
      </c>
      <c r="AN6000">
        <v>0.99999995105200301</v>
      </c>
    </row>
    <row r="6001" spans="1:40" x14ac:dyDescent="0.25">
      <c r="A6001" t="str">
        <f>"20190312161434196"</f>
        <v>20190312161434196</v>
      </c>
      <c r="B6001" t="str">
        <f>"1552378474192071"</f>
        <v>1552378474192071</v>
      </c>
      <c r="C6001" t="s">
        <v>40</v>
      </c>
      <c r="D6001">
        <v>5.8553439999999997</v>
      </c>
      <c r="E6001">
        <v>0.42675930000000001</v>
      </c>
      <c r="F6001" t="s">
        <v>77</v>
      </c>
      <c r="G6001">
        <v>-300.3639</v>
      </c>
      <c r="H6001" s="1">
        <v>-3.7880680000000002E-6</v>
      </c>
      <c r="I6001">
        <v>-46.53754</v>
      </c>
      <c r="J6001">
        <v>-302.012</v>
      </c>
      <c r="K6001">
        <v>1.110654</v>
      </c>
      <c r="L6001">
        <v>-22.580020000000001</v>
      </c>
      <c r="M6001">
        <v>-6.6783629999999997E-2</v>
      </c>
      <c r="N6001">
        <v>0</v>
      </c>
      <c r="O6001">
        <v>-0.99771160000000003</v>
      </c>
      <c r="P6001">
        <v>-0.1244992</v>
      </c>
      <c r="Q6001">
        <v>-2.3179890000000002E-2</v>
      </c>
      <c r="R6001">
        <v>-0.99194879999999996</v>
      </c>
      <c r="S6001">
        <v>0.2059021</v>
      </c>
      <c r="T6001">
        <v>-0.1399368</v>
      </c>
      <c r="U6001">
        <v>-3.04718</v>
      </c>
      <c r="V6001">
        <v>5.7996930000000002E-2</v>
      </c>
      <c r="W6001">
        <v>-1.250042E-2</v>
      </c>
      <c r="X6001">
        <v>0.99823850000000003</v>
      </c>
      <c r="Y6001">
        <v>-0.13383229999999999</v>
      </c>
      <c r="Z6001">
        <v>4.5463200000000002E-2</v>
      </c>
      <c r="AA6001">
        <v>0.98996059999999997</v>
      </c>
      <c r="AB6001">
        <v>23</v>
      </c>
      <c r="AC6001">
        <v>1.6480999999999899</v>
      </c>
      <c r="AD6001">
        <v>-1.110657788068</v>
      </c>
      <c r="AE6001">
        <v>-23.957519999999999</v>
      </c>
      <c r="AF6001">
        <v>-3.2375541630261799</v>
      </c>
      <c r="AG6001">
        <v>-1.110657788068</v>
      </c>
      <c r="AH6001">
        <v>23.743167717978402</v>
      </c>
      <c r="AI6001">
        <v>92.653707965078894</v>
      </c>
      <c r="AJ6001">
        <v>97.764809408279106</v>
      </c>
      <c r="AK6001">
        <v>23.988608358234799</v>
      </c>
      <c r="AL6001">
        <v>90.716239959698299</v>
      </c>
      <c r="AM6001">
        <v>86.674894893012194</v>
      </c>
      <c r="AN6001">
        <v>1.00000000363592</v>
      </c>
    </row>
    <row r="6002" spans="1:40" x14ac:dyDescent="0.25">
      <c r="A6002" t="str">
        <f>"20190312161434235"</f>
        <v>20190312161434235</v>
      </c>
      <c r="B6002" t="str">
        <f>"1552378474232087"</f>
        <v>1552378474232087</v>
      </c>
      <c r="C6002" t="s">
        <v>40</v>
      </c>
      <c r="D6002">
        <v>5.9931400000000004</v>
      </c>
      <c r="E6002">
        <v>0.42683169999999998</v>
      </c>
      <c r="F6002" t="s">
        <v>77</v>
      </c>
      <c r="G6002">
        <v>-300.40480000000002</v>
      </c>
      <c r="H6002" s="1">
        <v>-3.6197880000000001E-6</v>
      </c>
      <c r="I6002">
        <v>-46.20261</v>
      </c>
      <c r="J6002">
        <v>-302.03429999999997</v>
      </c>
      <c r="K6002">
        <v>1.110643</v>
      </c>
      <c r="L6002">
        <v>-22.955629999999999</v>
      </c>
      <c r="M6002">
        <v>-6.4460080000000003E-2</v>
      </c>
      <c r="N6002">
        <v>0</v>
      </c>
      <c r="O6002">
        <v>-0.9978648</v>
      </c>
      <c r="P6002">
        <v>-0.1237882</v>
      </c>
      <c r="Q6002">
        <v>-2.3775549999999999E-2</v>
      </c>
      <c r="R6002">
        <v>-0.99202380000000001</v>
      </c>
      <c r="S6002">
        <v>0.20730589999999999</v>
      </c>
      <c r="T6002">
        <v>-0.14326129999999901</v>
      </c>
      <c r="U6002">
        <v>-3.0470280000000001</v>
      </c>
      <c r="V6002">
        <v>5.9608029999999999E-2</v>
      </c>
      <c r="W6002">
        <v>-1.3146939999999999E-2</v>
      </c>
      <c r="X6002">
        <v>0.99813529999999995</v>
      </c>
      <c r="Y6002">
        <v>-0.13197829999999999</v>
      </c>
      <c r="Z6002">
        <v>4.6559120000000002E-2</v>
      </c>
      <c r="AA6002">
        <v>0.9901586</v>
      </c>
      <c r="AB6002">
        <v>23</v>
      </c>
      <c r="AC6002">
        <v>1.62949999999995</v>
      </c>
      <c r="AD6002">
        <v>-1.1106466197880001</v>
      </c>
      <c r="AE6002">
        <v>-23.246979999999901</v>
      </c>
      <c r="AF6002">
        <v>-3.11761460726682</v>
      </c>
      <c r="AG6002">
        <v>-1.1106466197880001</v>
      </c>
      <c r="AH6002">
        <v>23.0412485948846</v>
      </c>
      <c r="AI6002">
        <v>92.734784005259499</v>
      </c>
      <c r="AJ6002">
        <v>97.705654596386495</v>
      </c>
      <c r="AK6002">
        <v>23.277718822186198</v>
      </c>
      <c r="AL6002">
        <v>90.753285862782406</v>
      </c>
      <c r="AM6002">
        <v>86.582390073932103</v>
      </c>
      <c r="AN6002">
        <v>1.0000000181889599</v>
      </c>
    </row>
    <row r="6003" spans="1:40" x14ac:dyDescent="0.25">
      <c r="A6003" t="str">
        <f>"20190312161434259"</f>
        <v>20190312161434259</v>
      </c>
      <c r="B6003" t="str">
        <f>"1552378474252583"</f>
        <v>1552378474252583</v>
      </c>
      <c r="C6003" t="s">
        <v>40</v>
      </c>
      <c r="D6003">
        <v>6.4796899999999997</v>
      </c>
      <c r="E6003">
        <v>0.42684949999999999</v>
      </c>
      <c r="F6003" t="s">
        <v>77</v>
      </c>
      <c r="G6003">
        <v>-300.45850000000002</v>
      </c>
      <c r="H6003" s="1">
        <v>-3.4628410000000002E-6</v>
      </c>
      <c r="I6003">
        <v>-45.888469999999998</v>
      </c>
      <c r="J6003">
        <v>-302.04849999999999</v>
      </c>
      <c r="K6003">
        <v>1.110643</v>
      </c>
      <c r="L6003">
        <v>-23.201720000000002</v>
      </c>
      <c r="M6003">
        <v>-6.2936820000000004E-2</v>
      </c>
      <c r="N6003">
        <v>0</v>
      </c>
      <c r="O6003">
        <v>-0.99796240000000003</v>
      </c>
      <c r="P6003">
        <v>-0.1219604</v>
      </c>
      <c r="Q6003">
        <v>-2.3492059999999999E-2</v>
      </c>
      <c r="R6003">
        <v>-0.9922571</v>
      </c>
      <c r="S6003">
        <v>0.2093506</v>
      </c>
      <c r="T6003">
        <v>-0.1475524</v>
      </c>
      <c r="U6003">
        <v>-3.0466920000000002</v>
      </c>
      <c r="V6003">
        <v>5.9291980000000001E-2</v>
      </c>
      <c r="W6003">
        <v>-1.2900460000000001E-2</v>
      </c>
      <c r="X6003">
        <v>0.99815730000000003</v>
      </c>
      <c r="Y6003">
        <v>-0.131129299999999</v>
      </c>
      <c r="Z6003">
        <v>4.7964420000000001E-2</v>
      </c>
      <c r="AA6003">
        <v>0.99020430000000004</v>
      </c>
      <c r="AB6003">
        <v>23</v>
      </c>
      <c r="AC6003">
        <v>1.5899999999999701</v>
      </c>
      <c r="AD6003">
        <v>-1.110646462841</v>
      </c>
      <c r="AE6003">
        <v>-22.68675</v>
      </c>
      <c r="AF6003">
        <v>-3.00758500357502</v>
      </c>
      <c r="AG6003">
        <v>-1.110646462841</v>
      </c>
      <c r="AH6003">
        <v>22.4880609358535</v>
      </c>
      <c r="AI6003">
        <v>92.8025294253722</v>
      </c>
      <c r="AJ6003">
        <v>97.617614871746397</v>
      </c>
      <c r="AK6003">
        <v>22.715457023221202</v>
      </c>
      <c r="AL6003">
        <v>90.739162431026003</v>
      </c>
      <c r="AM6003">
        <v>86.600542854451803</v>
      </c>
      <c r="AN6003">
        <v>0.99999997815191</v>
      </c>
    </row>
    <row r="6004" spans="1:40" x14ac:dyDescent="0.25">
      <c r="A6004" t="str">
        <f>"20190312161434286"</f>
        <v>20190312161434286</v>
      </c>
      <c r="B6004" t="str">
        <f>"1552378474282617"</f>
        <v>1552378474282617</v>
      </c>
      <c r="C6004" t="s">
        <v>40</v>
      </c>
      <c r="D6004">
        <v>6.3954909999999998</v>
      </c>
      <c r="E6004">
        <v>0.49966339999999998</v>
      </c>
      <c r="F6004" t="s">
        <v>77</v>
      </c>
      <c r="G6004">
        <v>-300.43259999999998</v>
      </c>
      <c r="H6004" s="1">
        <v>-3.5939890000000001E-6</v>
      </c>
      <c r="I6004">
        <v>-46.148809999999997</v>
      </c>
      <c r="J6004">
        <v>-302.06369999999998</v>
      </c>
      <c r="K6004">
        <v>1.110641</v>
      </c>
      <c r="L6004">
        <v>-23.475100000000001</v>
      </c>
      <c r="M6004">
        <v>-6.1244550000000002E-2</v>
      </c>
      <c r="N6004">
        <v>0</v>
      </c>
      <c r="O6004">
        <v>-0.99806830000000002</v>
      </c>
      <c r="P6004">
        <v>-0.1195335</v>
      </c>
      <c r="Q6004">
        <v>-2.3219199999999999E-2</v>
      </c>
      <c r="R6004">
        <v>-0.99255890000000002</v>
      </c>
      <c r="S6004">
        <v>0.21450810000000001</v>
      </c>
      <c r="T6004">
        <v>-0.14744160000000001</v>
      </c>
      <c r="U6004">
        <v>-3.0462950000000002</v>
      </c>
      <c r="V6004">
        <v>5.8542879999999999E-2</v>
      </c>
      <c r="W6004">
        <v>-1.266874E-2</v>
      </c>
      <c r="X6004">
        <v>0.99820450000000005</v>
      </c>
      <c r="Y6004">
        <v>-0.13112560000000001</v>
      </c>
      <c r="Z6004">
        <v>4.7939549999999997E-2</v>
      </c>
      <c r="AA6004">
        <v>0.99020589999999997</v>
      </c>
      <c r="AB6004">
        <v>23</v>
      </c>
      <c r="AC6004">
        <v>1.6311</v>
      </c>
      <c r="AD6004">
        <v>-1.110644593989</v>
      </c>
      <c r="AE6004">
        <v>-22.67371</v>
      </c>
      <c r="AF6004">
        <v>-3.00957042094007</v>
      </c>
      <c r="AG6004">
        <v>-1.110644593989</v>
      </c>
      <c r="AH6004">
        <v>22.477585300390299</v>
      </c>
      <c r="AI6004">
        <v>92.803773301261899</v>
      </c>
      <c r="AJ6004">
        <v>97.626095123820704</v>
      </c>
      <c r="AK6004">
        <v>22.705349291941701</v>
      </c>
      <c r="AL6004">
        <v>90.7258847554602</v>
      </c>
      <c r="AM6004">
        <v>86.643551415969</v>
      </c>
      <c r="AN6004">
        <v>0.99999999479606605</v>
      </c>
    </row>
    <row r="6005" spans="1:40" x14ac:dyDescent="0.25">
      <c r="A6005" t="str">
        <f>"20190312161434310"</f>
        <v>20190312161434310</v>
      </c>
      <c r="B6005" t="str">
        <f>"1552378474302135"</f>
        <v>1552378474302135</v>
      </c>
      <c r="C6005" t="s">
        <v>40</v>
      </c>
      <c r="D6005">
        <v>5.9896079999999996</v>
      </c>
      <c r="E6005">
        <v>0.50510219999999995</v>
      </c>
      <c r="F6005" t="s">
        <v>43</v>
      </c>
      <c r="G6005">
        <v>-302.15010000000001</v>
      </c>
      <c r="H6005">
        <v>1.0066999999999999</v>
      </c>
      <c r="I6005">
        <v>-24.206679999999999</v>
      </c>
      <c r="J6005">
        <v>-302.07709999999997</v>
      </c>
      <c r="K6005">
        <v>1.1106450000000001</v>
      </c>
      <c r="L6005">
        <v>-23.72195</v>
      </c>
      <c r="M6005">
        <v>-5.971663E-2</v>
      </c>
      <c r="N6005">
        <v>0</v>
      </c>
      <c r="O6005">
        <v>-0.99816130000000003</v>
      </c>
      <c r="P6005">
        <v>-0.117492</v>
      </c>
      <c r="Q6005">
        <v>-2.360868E-2</v>
      </c>
      <c r="R6005">
        <v>-0.99279340000000005</v>
      </c>
      <c r="S6005">
        <v>-0.34988399999999997</v>
      </c>
      <c r="T6005">
        <v>-0.4221319</v>
      </c>
      <c r="U6005">
        <v>-2.9704899999999999</v>
      </c>
      <c r="V6005">
        <v>5.801974E-2</v>
      </c>
      <c r="W6005">
        <v>-1.309711E-2</v>
      </c>
      <c r="X6005">
        <v>0.99822949999999999</v>
      </c>
      <c r="Y6005">
        <v>5.6310069999999997E-2</v>
      </c>
      <c r="Z6005">
        <v>0.13973729999999901</v>
      </c>
      <c r="AA6005">
        <v>0.98858619999999997</v>
      </c>
      <c r="AB6005">
        <v>23</v>
      </c>
      <c r="AC6005">
        <v>-7.3000000000035897E-2</v>
      </c>
      <c r="AD6005">
        <v>-0.103945</v>
      </c>
      <c r="AE6005">
        <v>-0.484729999999998</v>
      </c>
      <c r="AF6005">
        <v>4.2031775187832701E-2</v>
      </c>
      <c r="AG6005">
        <v>-0.103945</v>
      </c>
      <c r="AH6005">
        <v>0.46721634817586</v>
      </c>
      <c r="AI6005">
        <v>102.49386821730801</v>
      </c>
      <c r="AJ6005">
        <v>84.859388130647204</v>
      </c>
      <c r="AK6005">
        <v>0.48048137232699001</v>
      </c>
      <c r="AL6005">
        <v>90.750430597270906</v>
      </c>
      <c r="AM6005">
        <v>86.673560152818496</v>
      </c>
      <c r="AN6005">
        <v>0.99999997959513398</v>
      </c>
    </row>
    <row r="6006" spans="1:40" x14ac:dyDescent="0.25">
      <c r="A6006" t="str">
        <f>"20190312161434346"</f>
        <v>20190312161434346</v>
      </c>
      <c r="B6006" t="str">
        <f>"1552378474342154"</f>
        <v>1552378474342154</v>
      </c>
      <c r="C6006" t="s">
        <v>40</v>
      </c>
      <c r="D6006">
        <v>6.0933820000000001</v>
      </c>
      <c r="E6006">
        <v>0.53249380000000002</v>
      </c>
      <c r="F6006" t="s">
        <v>43</v>
      </c>
      <c r="G6006">
        <v>-302.1925</v>
      </c>
      <c r="H6006">
        <v>0.99391960000000001</v>
      </c>
      <c r="I6006">
        <v>-24.604289999999999</v>
      </c>
      <c r="J6006">
        <v>-302.09609999999998</v>
      </c>
      <c r="K6006">
        <v>1.110641</v>
      </c>
      <c r="L6006">
        <v>-24.086269999999999</v>
      </c>
      <c r="M6006">
        <v>-5.7460949999999997E-2</v>
      </c>
      <c r="N6006">
        <v>0</v>
      </c>
      <c r="O6006">
        <v>-0.99829440000000003</v>
      </c>
      <c r="P6006">
        <v>-0.1153974</v>
      </c>
      <c r="Q6006">
        <v>-2.3030330000000002E-2</v>
      </c>
      <c r="R6006">
        <v>-0.9930525</v>
      </c>
      <c r="S6006">
        <v>-0.38732909999999998</v>
      </c>
      <c r="T6006">
        <v>-0.39251589999999997</v>
      </c>
      <c r="U6006">
        <v>-2.9666139999999999</v>
      </c>
      <c r="V6006">
        <v>5.8167910000000003E-2</v>
      </c>
      <c r="W6006">
        <v>-1.258136E-2</v>
      </c>
      <c r="X6006">
        <v>0.99822750000000005</v>
      </c>
      <c r="Y6006">
        <v>7.1167419999999995E-2</v>
      </c>
      <c r="Z6006">
        <v>0.13013710000000001</v>
      </c>
      <c r="AA6006">
        <v>0.9889386</v>
      </c>
      <c r="AB6006">
        <v>23</v>
      </c>
      <c r="AC6006">
        <v>-9.6400000000016903E-2</v>
      </c>
      <c r="AD6006">
        <v>-0.116721399999999</v>
      </c>
      <c r="AE6006">
        <v>-0.51801999999999604</v>
      </c>
      <c r="AF6006">
        <v>6.3363887083366099E-2</v>
      </c>
      <c r="AG6006">
        <v>-0.116721399999999</v>
      </c>
      <c r="AH6006">
        <v>0.49825385981835901</v>
      </c>
      <c r="AI6006">
        <v>103.082713208407</v>
      </c>
      <c r="AJ6006">
        <v>82.7524906844545</v>
      </c>
      <c r="AK6006">
        <v>0.51565082781681504</v>
      </c>
      <c r="AL6006">
        <v>90.720877869722898</v>
      </c>
      <c r="AM6006">
        <v>86.665077619941101</v>
      </c>
      <c r="AN6006">
        <v>0.99999996906473299</v>
      </c>
    </row>
    <row r="6007" spans="1:40" x14ac:dyDescent="0.25">
      <c r="A6007" t="str">
        <f>"20190312161434374"</f>
        <v>20190312161434374</v>
      </c>
      <c r="B6007" t="str">
        <f>"1552378474362454"</f>
        <v>1552378474362454</v>
      </c>
      <c r="C6007" t="s">
        <v>40</v>
      </c>
      <c r="D6007">
        <v>6.0511039999999996</v>
      </c>
      <c r="E6007">
        <v>0.51052489999999995</v>
      </c>
      <c r="F6007" t="s">
        <v>43</v>
      </c>
      <c r="G6007">
        <v>-302.23540000000003</v>
      </c>
      <c r="H6007">
        <v>0.93590899999999999</v>
      </c>
      <c r="I6007">
        <v>-24.77768</v>
      </c>
      <c r="J6007">
        <v>-302.11020000000002</v>
      </c>
      <c r="K6007">
        <v>1.110633</v>
      </c>
      <c r="L6007">
        <v>-24.365939999999998</v>
      </c>
      <c r="M6007">
        <v>-5.5730200000000001E-2</v>
      </c>
      <c r="N6007">
        <v>0</v>
      </c>
      <c r="O6007">
        <v>-0.99839279999999997</v>
      </c>
      <c r="P6007">
        <v>-0.1137517</v>
      </c>
      <c r="Q6007">
        <v>-2.2303980000000001E-2</v>
      </c>
      <c r="R6007">
        <v>-0.99325909999999995</v>
      </c>
      <c r="S6007">
        <v>-0.59109500000000004</v>
      </c>
      <c r="T6007">
        <v>-0.74174240000000002</v>
      </c>
      <c r="U6007">
        <v>-2.9350890000000001</v>
      </c>
      <c r="V6007">
        <v>5.8242090000000003E-2</v>
      </c>
      <c r="W6007">
        <v>-1.1899949999999999E-2</v>
      </c>
      <c r="X6007">
        <v>0.9982316</v>
      </c>
      <c r="Y6007">
        <v>0.13666020000000001</v>
      </c>
      <c r="Z6007">
        <v>0.24104339999999999</v>
      </c>
      <c r="AA6007">
        <v>0.96084449999999999</v>
      </c>
      <c r="AB6007">
        <v>23</v>
      </c>
      <c r="AC6007">
        <v>-0.125200000000006</v>
      </c>
      <c r="AD6007">
        <v>-0.17472399999999999</v>
      </c>
      <c r="AE6007">
        <v>-0.41174000000000099</v>
      </c>
      <c r="AF6007">
        <v>8.7615605297213101E-2</v>
      </c>
      <c r="AG6007">
        <v>-0.17472399999999999</v>
      </c>
      <c r="AH6007">
        <v>0.35891553220658501</v>
      </c>
      <c r="AI6007">
        <v>115.310585112981</v>
      </c>
      <c r="AJ6007">
        <v>76.281704206848403</v>
      </c>
      <c r="AK6007">
        <v>0.40868732513589601</v>
      </c>
      <c r="AL6007">
        <v>90.681832978037804</v>
      </c>
      <c r="AM6007">
        <v>86.660847982673801</v>
      </c>
      <c r="AN6007">
        <v>1.0000000385480601</v>
      </c>
    </row>
    <row r="6008" spans="1:40" x14ac:dyDescent="0.25">
      <c r="A6008" t="str">
        <f>"20190312161434394"</f>
        <v>20190312161434394</v>
      </c>
      <c r="B6008" t="str">
        <f>"1552378474392712"</f>
        <v>1552378474392712</v>
      </c>
      <c r="C6008" t="s">
        <v>40</v>
      </c>
      <c r="D6008">
        <v>6.0297519999999896</v>
      </c>
      <c r="E6008">
        <v>0.51059809999999906</v>
      </c>
      <c r="F6008" t="s">
        <v>43</v>
      </c>
      <c r="G6008">
        <v>-302.23129999999998</v>
      </c>
      <c r="H6008">
        <v>1.007509</v>
      </c>
      <c r="I6008">
        <v>-25.220749999999999</v>
      </c>
      <c r="J6008">
        <v>-302.12079999999997</v>
      </c>
      <c r="K6008">
        <v>1.110625</v>
      </c>
      <c r="L6008">
        <v>-24.582920000000001</v>
      </c>
      <c r="M6008">
        <v>-5.4388079999999998E-2</v>
      </c>
      <c r="N6008">
        <v>0</v>
      </c>
      <c r="O6008">
        <v>-0.99846729999999995</v>
      </c>
      <c r="P6008">
        <v>-0.1120621</v>
      </c>
      <c r="Q6008">
        <v>-2.2280660000000001E-2</v>
      </c>
      <c r="R6008">
        <v>-0.99345170000000005</v>
      </c>
      <c r="S6008">
        <v>-0.41961670000000001</v>
      </c>
      <c r="T6008">
        <v>-0.35761850000000001</v>
      </c>
      <c r="U6008">
        <v>-2.9642940000000002</v>
      </c>
      <c r="V6008">
        <v>5.7886199999999999E-2</v>
      </c>
      <c r="W6008">
        <v>-1.1907869999999999E-2</v>
      </c>
      <c r="X6008">
        <v>0.99825220000000003</v>
      </c>
      <c r="Y6008">
        <v>8.5106349999999997E-2</v>
      </c>
      <c r="Z6008">
        <v>0.1187096</v>
      </c>
      <c r="AA6008">
        <v>0.98927500000000002</v>
      </c>
      <c r="AB6008">
        <v>23</v>
      </c>
      <c r="AC6008">
        <v>-0.110500000000001</v>
      </c>
      <c r="AD6008">
        <v>-0.103116</v>
      </c>
      <c r="AE6008">
        <v>-0.63782999999999701</v>
      </c>
      <c r="AF6008">
        <v>7.37723148417921E-2</v>
      </c>
      <c r="AG6008">
        <v>-0.103116</v>
      </c>
      <c r="AH6008">
        <v>0.626986492173221</v>
      </c>
      <c r="AI6008">
        <v>99.276553943802298</v>
      </c>
      <c r="AJ6008">
        <v>83.289334119206401</v>
      </c>
      <c r="AK6008">
        <v>0.63967751661348604</v>
      </c>
      <c r="AL6008">
        <v>90.6822867971063</v>
      </c>
      <c r="AM6008">
        <v>86.681274554440293</v>
      </c>
      <c r="AN6008">
        <v>1.0000000321616</v>
      </c>
    </row>
    <row r="6009" spans="1:40" x14ac:dyDescent="0.25">
      <c r="A6009" t="str">
        <f>"20190312161434417"</f>
        <v>20190312161434417</v>
      </c>
      <c r="B6009" t="str">
        <f>"1552378474412231"</f>
        <v>1552378474412231</v>
      </c>
      <c r="C6009" t="s">
        <v>40</v>
      </c>
      <c r="D6009">
        <v>6.0901550000000002</v>
      </c>
      <c r="E6009">
        <v>0.51073919999999995</v>
      </c>
      <c r="F6009" t="s">
        <v>43</v>
      </c>
      <c r="G6009">
        <v>-302.2389</v>
      </c>
      <c r="H6009">
        <v>1.008524</v>
      </c>
      <c r="I6009">
        <v>-25.425380000000001</v>
      </c>
      <c r="J6009">
        <v>-302.13139999999999</v>
      </c>
      <c r="K6009">
        <v>1.1106199999999999</v>
      </c>
      <c r="L6009">
        <v>-24.807189999999999</v>
      </c>
      <c r="M6009">
        <v>-5.3001399999999997E-2</v>
      </c>
      <c r="N6009">
        <v>0</v>
      </c>
      <c r="O6009">
        <v>-0.99854200000000004</v>
      </c>
      <c r="P6009">
        <v>-0.110343</v>
      </c>
      <c r="Q6009">
        <v>-2.2894680000000001E-2</v>
      </c>
      <c r="R6009">
        <v>-0.99363009999999996</v>
      </c>
      <c r="S6009">
        <v>-0.41513060000000002</v>
      </c>
      <c r="T6009">
        <v>-0.3593732</v>
      </c>
      <c r="U6009">
        <v>-2.964874</v>
      </c>
      <c r="V6009">
        <v>5.7547519999999998E-2</v>
      </c>
      <c r="W6009">
        <v>-1.255091E-2</v>
      </c>
      <c r="X6009">
        <v>0.99826389999999998</v>
      </c>
      <c r="Y6009">
        <v>8.4985809999999995E-2</v>
      </c>
      <c r="Z6009">
        <v>0.1192873</v>
      </c>
      <c r="AA6009">
        <v>0.98921590000000004</v>
      </c>
      <c r="AB6009">
        <v>23</v>
      </c>
      <c r="AC6009">
        <v>-0.107500000000015</v>
      </c>
      <c r="AD6009">
        <v>-0.10209600000000001</v>
      </c>
      <c r="AE6009">
        <v>-0.61819000000000202</v>
      </c>
      <c r="AF6009">
        <v>7.2658601233584502E-2</v>
      </c>
      <c r="AG6009">
        <v>-0.10209600000000001</v>
      </c>
      <c r="AH6009">
        <v>0.60694997555578301</v>
      </c>
      <c r="AI6009">
        <v>99.4819661005602</v>
      </c>
      <c r="AJ6009">
        <v>83.173549385144696</v>
      </c>
      <c r="AK6009">
        <v>0.61975086799163603</v>
      </c>
      <c r="AL6009">
        <v>90.719133032875106</v>
      </c>
      <c r="AM6009">
        <v>86.700687282264994</v>
      </c>
      <c r="AN6009">
        <v>1.00000002822159</v>
      </c>
    </row>
    <row r="6010" spans="1:40" x14ac:dyDescent="0.25">
      <c r="A6010" t="str">
        <f>"20190312161434439"</f>
        <v>20190312161434439</v>
      </c>
      <c r="B6010" t="str">
        <f>"1552378474432728"</f>
        <v>1552378474432728</v>
      </c>
      <c r="C6010" t="s">
        <v>40</v>
      </c>
      <c r="D6010">
        <v>6.0963669999999999</v>
      </c>
      <c r="E6010">
        <v>0.52292329999999998</v>
      </c>
      <c r="F6010" t="s">
        <v>43</v>
      </c>
      <c r="G6010">
        <v>-302.24549999999999</v>
      </c>
      <c r="H6010">
        <v>1.0099290000000001</v>
      </c>
      <c r="I6010">
        <v>-25.63054</v>
      </c>
      <c r="J6010">
        <v>-302.142</v>
      </c>
      <c r="K6010">
        <v>1.1106210000000001</v>
      </c>
      <c r="L6010">
        <v>-25.036899999999999</v>
      </c>
      <c r="M6010">
        <v>-5.158194E-2</v>
      </c>
      <c r="N6010">
        <v>0</v>
      </c>
      <c r="O6010">
        <v>-0.99861659999999997</v>
      </c>
      <c r="P6010">
        <v>-0.1089103</v>
      </c>
      <c r="Q6010">
        <v>-2.3173349999999999E-2</v>
      </c>
      <c r="R6010">
        <v>-0.99378169999999999</v>
      </c>
      <c r="S6010">
        <v>-0.41091919999999998</v>
      </c>
      <c r="T6010">
        <v>-0.3626279</v>
      </c>
      <c r="U6010">
        <v>-2.9652400000000001</v>
      </c>
      <c r="V6010">
        <v>5.7528309999999999E-2</v>
      </c>
      <c r="W6010">
        <v>-1.285587E-2</v>
      </c>
      <c r="X6010">
        <v>0.99826110000000001</v>
      </c>
      <c r="Y6010">
        <v>8.4989289999999995E-2</v>
      </c>
      <c r="Z6010">
        <v>0.12036230000000001</v>
      </c>
      <c r="AA6010">
        <v>0.98908529999999995</v>
      </c>
      <c r="AB6010">
        <v>23</v>
      </c>
      <c r="AC6010">
        <v>-0.103499999999996</v>
      </c>
      <c r="AD6010">
        <v>-0.100691999999999</v>
      </c>
      <c r="AE6010">
        <v>-0.59363999999999995</v>
      </c>
      <c r="AF6010">
        <v>7.07636758851347E-2</v>
      </c>
      <c r="AG6010">
        <v>-0.100691999999999</v>
      </c>
      <c r="AH6010">
        <v>0.58194000782521804</v>
      </c>
      <c r="AI6010">
        <v>99.746187465623507</v>
      </c>
      <c r="AJ6010">
        <v>83.066894096602596</v>
      </c>
      <c r="AK6010">
        <v>0.59481135614276204</v>
      </c>
      <c r="AL6010">
        <v>90.736607382853407</v>
      </c>
      <c r="AM6010">
        <v>86.701776966945303</v>
      </c>
      <c r="AN6010">
        <v>1.00000000180906</v>
      </c>
    </row>
    <row r="6011" spans="1:40" x14ac:dyDescent="0.25">
      <c r="A6011" t="str">
        <f>"20190312161434462"</f>
        <v>20190312161434462</v>
      </c>
      <c r="B6011" t="str">
        <f>"1552378474452247"</f>
        <v>1552378474452247</v>
      </c>
      <c r="C6011" t="s">
        <v>40</v>
      </c>
      <c r="D6011">
        <v>6.159802</v>
      </c>
      <c r="E6011">
        <v>0.52095379999999902</v>
      </c>
      <c r="F6011" t="s">
        <v>43</v>
      </c>
      <c r="G6011">
        <v>-302.27679999999998</v>
      </c>
      <c r="H6011">
        <v>1.0014809999999901</v>
      </c>
      <c r="I6011">
        <v>-25.83</v>
      </c>
      <c r="J6011">
        <v>-302.15219999999999</v>
      </c>
      <c r="K6011">
        <v>1.1106199999999999</v>
      </c>
      <c r="L6011">
        <v>-25.266749999999998</v>
      </c>
      <c r="M6011">
        <v>-5.0161049999999999E-2</v>
      </c>
      <c r="N6011">
        <v>0</v>
      </c>
      <c r="O6011">
        <v>-0.9986893</v>
      </c>
      <c r="P6011">
        <v>-0.1072278</v>
      </c>
      <c r="Q6011">
        <v>-2.2734710000000002E-2</v>
      </c>
      <c r="R6011">
        <v>-0.99397469999999999</v>
      </c>
      <c r="S6011">
        <v>-0.50216669999999997</v>
      </c>
      <c r="T6011">
        <v>-0.40653010000000001</v>
      </c>
      <c r="U6011">
        <v>-2.9542540000000002</v>
      </c>
      <c r="V6011">
        <v>5.7257549999999997E-2</v>
      </c>
      <c r="W6011">
        <v>-1.244085E-2</v>
      </c>
      <c r="X6011">
        <v>0.99828190000000006</v>
      </c>
      <c r="Y6011">
        <v>0.1163853</v>
      </c>
      <c r="Z6011">
        <v>0.1346589</v>
      </c>
      <c r="AA6011">
        <v>0.98403320000000005</v>
      </c>
      <c r="AB6011">
        <v>23</v>
      </c>
      <c r="AC6011">
        <v>-0.124599999999986</v>
      </c>
      <c r="AD6011">
        <v>-0.109139</v>
      </c>
      <c r="AE6011">
        <v>-0.56325000000000003</v>
      </c>
      <c r="AF6011">
        <v>9.2864479295619806E-2</v>
      </c>
      <c r="AG6011">
        <v>-0.109139</v>
      </c>
      <c r="AH6011">
        <v>0.54913559316206895</v>
      </c>
      <c r="AI6011">
        <v>101.087438593763</v>
      </c>
      <c r="AJ6011">
        <v>80.401506751054399</v>
      </c>
      <c r="AK6011">
        <v>0.56752535847599295</v>
      </c>
      <c r="AL6011">
        <v>90.712826603808907</v>
      </c>
      <c r="AM6011">
        <v>86.717334445531506</v>
      </c>
      <c r="AN6011">
        <v>0.99999997682416697</v>
      </c>
    </row>
    <row r="6012" spans="1:40" x14ac:dyDescent="0.25">
      <c r="A6012" t="str">
        <f>"20190312161434502"</f>
        <v>20190312161434502</v>
      </c>
      <c r="B6012" t="str">
        <f>"1552378474492262"</f>
        <v>1552378474492262</v>
      </c>
      <c r="C6012" t="s">
        <v>40</v>
      </c>
      <c r="D6012">
        <v>6.0644879999999999</v>
      </c>
      <c r="E6012">
        <v>0.52116019999999996</v>
      </c>
      <c r="F6012" t="s">
        <v>43</v>
      </c>
      <c r="G6012">
        <v>-302.27789999999999</v>
      </c>
      <c r="H6012">
        <v>1.006475</v>
      </c>
      <c r="I6012">
        <v>-26.037710000000001</v>
      </c>
      <c r="J6012">
        <v>-302.17</v>
      </c>
      <c r="K6012">
        <v>1.1106199999999999</v>
      </c>
      <c r="L6012">
        <v>-25.686889999999998</v>
      </c>
      <c r="M6012">
        <v>-4.7564740000000001E-2</v>
      </c>
      <c r="N6012">
        <v>0</v>
      </c>
      <c r="O6012">
        <v>-0.9988167</v>
      </c>
      <c r="P6012">
        <v>-0.102893899999999</v>
      </c>
      <c r="Q6012">
        <v>-2.166848E-2</v>
      </c>
      <c r="R6012">
        <v>-0.99445660000000002</v>
      </c>
      <c r="S6012">
        <v>-0.48178100000000001</v>
      </c>
      <c r="T6012">
        <v>-0.39950180000000002</v>
      </c>
      <c r="U6012">
        <v>-2.9570919999999998</v>
      </c>
      <c r="V6012">
        <v>5.5498060000000002E-2</v>
      </c>
      <c r="W6012">
        <v>-1.1423020000000001E-2</v>
      </c>
      <c r="X6012">
        <v>0.99839350000000004</v>
      </c>
      <c r="Y6012">
        <v>0.112258</v>
      </c>
      <c r="Z6012">
        <v>0.13237889999999999</v>
      </c>
      <c r="AA6012">
        <v>0.98482179999999997</v>
      </c>
      <c r="AB6012">
        <v>23</v>
      </c>
      <c r="AC6012">
        <v>-0.107899999999972</v>
      </c>
      <c r="AD6012">
        <v>-0.104145</v>
      </c>
      <c r="AE6012">
        <v>-0.35082000000000202</v>
      </c>
      <c r="AF6012">
        <v>8.4303036305276802E-2</v>
      </c>
      <c r="AG6012">
        <v>-0.104145</v>
      </c>
      <c r="AH6012">
        <v>0.32906231294379101</v>
      </c>
      <c r="AI6012">
        <v>107.04494997657</v>
      </c>
      <c r="AJ6012">
        <v>75.630355396786996</v>
      </c>
      <c r="AK6012">
        <v>0.35529591716653097</v>
      </c>
      <c r="AL6012">
        <v>90.654505036692299</v>
      </c>
      <c r="AM6012">
        <v>86.818353167275205</v>
      </c>
      <c r="AN6012">
        <v>1.0000000504459601</v>
      </c>
    </row>
    <row r="6013" spans="1:40" x14ac:dyDescent="0.25">
      <c r="A6013" t="str">
        <f>"20190312161434531"</f>
        <v>20190312161434531</v>
      </c>
      <c r="B6013" t="str">
        <f>"1552378474522519"</f>
        <v>1552378474522519</v>
      </c>
      <c r="C6013" t="s">
        <v>40</v>
      </c>
      <c r="D6013">
        <v>5.991384</v>
      </c>
      <c r="E6013">
        <v>0.52109519999999998</v>
      </c>
      <c r="F6013" t="s">
        <v>43</v>
      </c>
      <c r="G6013">
        <v>-302.29140000000001</v>
      </c>
      <c r="H6013">
        <v>1.008683</v>
      </c>
      <c r="I6013">
        <v>-26.449719999999999</v>
      </c>
      <c r="J6013">
        <v>-302.18150000000003</v>
      </c>
      <c r="K6013">
        <v>1.1106149999999999</v>
      </c>
      <c r="L6013">
        <v>-25.972049999999999</v>
      </c>
      <c r="M6013">
        <v>-4.5806149999999997E-2</v>
      </c>
      <c r="N6013">
        <v>0</v>
      </c>
      <c r="O6013">
        <v>-0.99889950000000005</v>
      </c>
      <c r="P6013">
        <v>-0.1012063</v>
      </c>
      <c r="Q6013">
        <v>-2.220633E-2</v>
      </c>
      <c r="R6013">
        <v>-0.99461790000000005</v>
      </c>
      <c r="S6013">
        <v>-0.47088619999999998</v>
      </c>
      <c r="T6013">
        <v>-0.39545380000000002</v>
      </c>
      <c r="U6013">
        <v>-2.959381</v>
      </c>
      <c r="V6013">
        <v>5.556345E-2</v>
      </c>
      <c r="W6013">
        <v>-1.1992620000000001E-2</v>
      </c>
      <c r="X6013">
        <v>0.99838309999999997</v>
      </c>
      <c r="Y6013">
        <v>0.1103803</v>
      </c>
      <c r="Z6013">
        <v>0.1310298</v>
      </c>
      <c r="AA6013">
        <v>0.98521440000000005</v>
      </c>
      <c r="AB6013">
        <v>23</v>
      </c>
      <c r="AC6013">
        <v>-0.109899999999981</v>
      </c>
      <c r="AD6013">
        <v>-0.101931999999999</v>
      </c>
      <c r="AE6013">
        <v>-0.47767000000000298</v>
      </c>
      <c r="AF6013">
        <v>8.4259270363502406E-2</v>
      </c>
      <c r="AG6013">
        <v>-0.101931999999999</v>
      </c>
      <c r="AH6013">
        <v>0.46221321968477702</v>
      </c>
      <c r="AI6013">
        <v>102.24089275630099</v>
      </c>
      <c r="AJ6013">
        <v>79.668696937543999</v>
      </c>
      <c r="AK6013">
        <v>0.48076066573458098</v>
      </c>
      <c r="AL6013">
        <v>90.687143005710695</v>
      </c>
      <c r="AM6013">
        <v>86.814579027575803</v>
      </c>
      <c r="AN6013">
        <v>0.999999967137987</v>
      </c>
    </row>
    <row r="6014" spans="1:40" x14ac:dyDescent="0.25">
      <c r="A6014" t="str">
        <f>"20190312161434552"</f>
        <v>20190312161434552</v>
      </c>
      <c r="B6014" t="str">
        <f>"1552378474543015"</f>
        <v>1552378474543015</v>
      </c>
      <c r="C6014" t="s">
        <v>40</v>
      </c>
      <c r="D6014">
        <v>5.9868579999999998</v>
      </c>
      <c r="E6014">
        <v>0.52116809999999902</v>
      </c>
      <c r="F6014" t="s">
        <v>43</v>
      </c>
      <c r="G6014">
        <v>-302.32</v>
      </c>
      <c r="H6014">
        <v>0.99203540000000001</v>
      </c>
      <c r="I6014">
        <v>-26.853190000000001</v>
      </c>
      <c r="J6014">
        <v>-302.19029999999998</v>
      </c>
      <c r="K6014">
        <v>1.1106119999999999</v>
      </c>
      <c r="L6014">
        <v>-26.199100000000001</v>
      </c>
      <c r="M6014">
        <v>-4.4411880000000001E-2</v>
      </c>
      <c r="N6014">
        <v>0</v>
      </c>
      <c r="O6014">
        <v>-0.99896260000000003</v>
      </c>
      <c r="P6014">
        <v>-9.9872849999999999E-2</v>
      </c>
      <c r="Q6014">
        <v>-2.2194749999999999E-2</v>
      </c>
      <c r="R6014">
        <v>-0.99475290000000005</v>
      </c>
      <c r="S6014">
        <v>-0.46481319999999998</v>
      </c>
      <c r="T6014">
        <v>-0.39838459999999998</v>
      </c>
      <c r="U6014">
        <v>-2.9600520000000001</v>
      </c>
      <c r="V6014">
        <v>5.5618540000000001E-2</v>
      </c>
      <c r="W6014">
        <v>-1.2002570000000001E-2</v>
      </c>
      <c r="X6014">
        <v>0.99837989999999999</v>
      </c>
      <c r="Y6014">
        <v>0.1097408</v>
      </c>
      <c r="Z6014">
        <v>0.13199259999999999</v>
      </c>
      <c r="AA6014">
        <v>0.98515730000000001</v>
      </c>
      <c r="AB6014">
        <v>23</v>
      </c>
      <c r="AC6014">
        <v>-0.129700000000013</v>
      </c>
      <c r="AD6014">
        <v>-0.1185766</v>
      </c>
      <c r="AE6014">
        <v>-0.65408999999999995</v>
      </c>
      <c r="AF6014">
        <v>9.7440034560412697E-2</v>
      </c>
      <c r="AG6014">
        <v>-0.1185766</v>
      </c>
      <c r="AH6014">
        <v>0.63899933639880702</v>
      </c>
      <c r="AI6014">
        <v>100.39507694068</v>
      </c>
      <c r="AJ6014">
        <v>81.329843853626897</v>
      </c>
      <c r="AK6014">
        <v>0.65717206447079801</v>
      </c>
      <c r="AL6014">
        <v>90.687713148667598</v>
      </c>
      <c r="AM6014">
        <v>86.811417063950799</v>
      </c>
      <c r="AN6014">
        <v>0.99999995420117205</v>
      </c>
    </row>
    <row r="6015" spans="1:40" x14ac:dyDescent="0.25">
      <c r="A6015" t="str">
        <f>"20190312161434577"</f>
        <v>20190312161434577</v>
      </c>
      <c r="B6015" t="str">
        <f>"1552378474572296"</f>
        <v>1552378474572296</v>
      </c>
      <c r="C6015" t="s">
        <v>40</v>
      </c>
      <c r="D6015">
        <v>5.7467800000000002</v>
      </c>
      <c r="E6015">
        <v>0.52083619999999997</v>
      </c>
      <c r="F6015" t="s">
        <v>43</v>
      </c>
      <c r="G6015">
        <v>-302.32479999999998</v>
      </c>
      <c r="H6015">
        <v>0.99366529999999997</v>
      </c>
      <c r="I6015">
        <v>-27.060549999999999</v>
      </c>
      <c r="J6015">
        <v>-302.19970000000001</v>
      </c>
      <c r="K6015">
        <v>1.110611</v>
      </c>
      <c r="L6015">
        <v>-26.44998</v>
      </c>
      <c r="M6015">
        <v>-4.287875E-2</v>
      </c>
      <c r="N6015">
        <v>0</v>
      </c>
      <c r="O6015">
        <v>-0.99902979999999997</v>
      </c>
      <c r="P6015">
        <v>-9.7760990000000006E-2</v>
      </c>
      <c r="Q6015">
        <v>-2.0910990000000001E-2</v>
      </c>
      <c r="R6015">
        <v>-0.99499059999999995</v>
      </c>
      <c r="S6015">
        <v>-0.4614258</v>
      </c>
      <c r="T6015">
        <v>-0.40196229999999999</v>
      </c>
      <c r="U6015">
        <v>-2.9605410000000001</v>
      </c>
      <c r="V6015">
        <v>5.5027569999999998E-2</v>
      </c>
      <c r="W6015">
        <v>-1.074048E-2</v>
      </c>
      <c r="X6015">
        <v>0.99842710000000001</v>
      </c>
      <c r="Y6015">
        <v>0.1101169</v>
      </c>
      <c r="Z6015">
        <v>0.13315759999999999</v>
      </c>
      <c r="AA6015">
        <v>0.98495849999999996</v>
      </c>
      <c r="AB6015">
        <v>23</v>
      </c>
      <c r="AC6015">
        <v>-0.12509999999997401</v>
      </c>
      <c r="AD6015">
        <v>-0.1169457</v>
      </c>
      <c r="AE6015">
        <v>-0.61056999999999895</v>
      </c>
      <c r="AF6015">
        <v>9.5442807308027594E-2</v>
      </c>
      <c r="AG6015">
        <v>-0.1169457</v>
      </c>
      <c r="AH6015">
        <v>0.59444377194367903</v>
      </c>
      <c r="AI6015">
        <v>100.99244895567</v>
      </c>
      <c r="AJ6015">
        <v>80.8785429915403</v>
      </c>
      <c r="AK6015">
        <v>0.61330989248336498</v>
      </c>
      <c r="AL6015">
        <v>90.615395986011293</v>
      </c>
      <c r="AM6015">
        <v>86.845377114029901</v>
      </c>
      <c r="AN6015">
        <v>1.00000003269257</v>
      </c>
    </row>
    <row r="6016" spans="1:40" x14ac:dyDescent="0.25">
      <c r="A6016" t="str">
        <f>"20190312161434597"</f>
        <v>20190312161434597</v>
      </c>
      <c r="B6016" t="str">
        <f>"1552378474592791"</f>
        <v>1552378474592791</v>
      </c>
      <c r="C6016" t="s">
        <v>40</v>
      </c>
      <c r="D6016">
        <v>5.7682310000000001</v>
      </c>
      <c r="E6016">
        <v>0.51689449999999904</v>
      </c>
      <c r="F6016" t="s">
        <v>43</v>
      </c>
      <c r="G6016">
        <v>-302.32549999999998</v>
      </c>
      <c r="H6016">
        <v>1.000313</v>
      </c>
      <c r="I6016">
        <v>-27.27083</v>
      </c>
      <c r="J6016">
        <v>-302.2072</v>
      </c>
      <c r="K6016">
        <v>1.1106069999999999</v>
      </c>
      <c r="L6016">
        <v>-26.65738</v>
      </c>
      <c r="M6016">
        <v>-4.1620549999999999E-2</v>
      </c>
      <c r="N6016">
        <v>0</v>
      </c>
      <c r="O6016">
        <v>-0.99908319999999995</v>
      </c>
      <c r="P6016">
        <v>-9.4883999999999996E-2</v>
      </c>
      <c r="Q6016">
        <v>-2.0152389999999999E-2</v>
      </c>
      <c r="R6016">
        <v>-0.99528470000000002</v>
      </c>
      <c r="S6016">
        <v>-0.4532776</v>
      </c>
      <c r="T6016">
        <v>-0.39810119999999999</v>
      </c>
      <c r="U6016">
        <v>-2.962189</v>
      </c>
      <c r="V6016">
        <v>5.339638E-2</v>
      </c>
      <c r="W6016">
        <v>-1.0000159999999999E-2</v>
      </c>
      <c r="X6016">
        <v>0.9985233</v>
      </c>
      <c r="Y6016">
        <v>0.1086645</v>
      </c>
      <c r="Z6016">
        <v>0.13187779999999999</v>
      </c>
      <c r="AA6016">
        <v>0.98529199999999995</v>
      </c>
      <c r="AB6016">
        <v>23</v>
      </c>
      <c r="AC6016">
        <v>-0.11829999999997599</v>
      </c>
      <c r="AD6016">
        <v>-0.110293999999999</v>
      </c>
      <c r="AE6016">
        <v>-0.61345000000000005</v>
      </c>
      <c r="AF6016">
        <v>8.9863348566036005E-2</v>
      </c>
      <c r="AG6016">
        <v>-0.110293999999999</v>
      </c>
      <c r="AH6016">
        <v>0.59916837930449096</v>
      </c>
      <c r="AI6016">
        <v>100.31728296332901</v>
      </c>
      <c r="AJ6016">
        <v>81.470348075497796</v>
      </c>
      <c r="AK6016">
        <v>0.61582703302946296</v>
      </c>
      <c r="AL6016">
        <v>90.572976524890905</v>
      </c>
      <c r="AM6016">
        <v>86.939003839220007</v>
      </c>
      <c r="AN6016">
        <v>0.999999978620009</v>
      </c>
    </row>
    <row r="6017" spans="1:40" x14ac:dyDescent="0.25">
      <c r="A6017" t="str">
        <f>"20190312161434636"</f>
        <v>20190312161434636</v>
      </c>
      <c r="B6017" t="str">
        <f>"1552378474632816"</f>
        <v>1552378474632816</v>
      </c>
      <c r="C6017" t="s">
        <v>40</v>
      </c>
      <c r="D6017">
        <v>5.6551920000000004</v>
      </c>
      <c r="E6017">
        <v>0.4341121</v>
      </c>
      <c r="F6017" t="s">
        <v>43</v>
      </c>
      <c r="G6017">
        <v>-302.32240000000002</v>
      </c>
      <c r="H6017">
        <v>1.0040249999999999</v>
      </c>
      <c r="I6017">
        <v>-27.480119999999999</v>
      </c>
      <c r="J6017">
        <v>-302.22129999999999</v>
      </c>
      <c r="K6017">
        <v>1.110595</v>
      </c>
      <c r="L6017">
        <v>-27.067990000000002</v>
      </c>
      <c r="M6017">
        <v>-3.9166859999999998E-2</v>
      </c>
      <c r="N6017">
        <v>0</v>
      </c>
      <c r="O6017">
        <v>-0.99918249999999997</v>
      </c>
      <c r="P6017">
        <v>-9.1442519999999999E-2</v>
      </c>
      <c r="Q6017">
        <v>-2.0151530000000001E-2</v>
      </c>
      <c r="R6017">
        <v>-0.9956064</v>
      </c>
      <c r="S6017">
        <v>-0.41424559999999999</v>
      </c>
      <c r="T6017">
        <v>-0.38445620000000003</v>
      </c>
      <c r="U6017">
        <v>-2.9669490000000001</v>
      </c>
      <c r="V6017">
        <v>5.2396329999999998E-2</v>
      </c>
      <c r="W6017">
        <v>-1.0028540000000001E-2</v>
      </c>
      <c r="X6017">
        <v>0.99857600000000002</v>
      </c>
      <c r="Y6017">
        <v>9.8252519999999996E-2</v>
      </c>
      <c r="Z6017">
        <v>0.12744049999999901</v>
      </c>
      <c r="AA6017">
        <v>0.9869677</v>
      </c>
      <c r="AB6017">
        <v>23</v>
      </c>
      <c r="AC6017">
        <v>-0.10110000000003</v>
      </c>
      <c r="AD6017">
        <v>-0.10657</v>
      </c>
      <c r="AE6017">
        <v>-0.412129999999997</v>
      </c>
      <c r="AF6017">
        <v>7.9844006707414095E-2</v>
      </c>
      <c r="AG6017">
        <v>-0.10657</v>
      </c>
      <c r="AH6017">
        <v>0.39110660465257802</v>
      </c>
      <c r="AI6017">
        <v>104.947998848913</v>
      </c>
      <c r="AJ6017">
        <v>78.461676046941605</v>
      </c>
      <c r="AK6017">
        <v>0.41315445841714199</v>
      </c>
      <c r="AL6017">
        <v>90.574602655648903</v>
      </c>
      <c r="AM6017">
        <v>86.996384866455898</v>
      </c>
      <c r="AN6017">
        <v>0.99999998739399998</v>
      </c>
    </row>
    <row r="6018" spans="1:40" x14ac:dyDescent="0.25">
      <c r="A6018" t="str">
        <f>"20190312161434661"</f>
        <v>20190312161434661</v>
      </c>
      <c r="B6018" t="str">
        <f>"1552378474652327"</f>
        <v>1552378474652327</v>
      </c>
      <c r="C6018" t="s">
        <v>40</v>
      </c>
      <c r="D6018">
        <v>5.6215120000000001</v>
      </c>
      <c r="E6018">
        <v>0.43381130000000001</v>
      </c>
      <c r="F6018" t="s">
        <v>77</v>
      </c>
      <c r="G6018">
        <v>-300.7432</v>
      </c>
      <c r="H6018" s="1">
        <v>-2.9916790000000001E-6</v>
      </c>
      <c r="I6018">
        <v>-44.920760000000001</v>
      </c>
      <c r="J6018">
        <v>-302.2296</v>
      </c>
      <c r="K6018">
        <v>1.1105799999999999</v>
      </c>
      <c r="L6018">
        <v>-27.325839999999999</v>
      </c>
      <c r="M6018">
        <v>-3.7657219999999998E-2</v>
      </c>
      <c r="N6018">
        <v>0</v>
      </c>
      <c r="O6018">
        <v>-0.99924060000000003</v>
      </c>
      <c r="P6018">
        <v>-9.0201500000000004E-2</v>
      </c>
      <c r="Q6018">
        <v>-1.999109E-2</v>
      </c>
      <c r="R6018">
        <v>-0.99572309999999997</v>
      </c>
      <c r="S6018">
        <v>0.25106810000000002</v>
      </c>
      <c r="T6018">
        <v>-0.18864619999999999</v>
      </c>
      <c r="U6018">
        <v>-3.0324710000000001</v>
      </c>
      <c r="V6018">
        <v>5.2659619999999997E-2</v>
      </c>
      <c r="W6018">
        <v>-9.8823220000000007E-3</v>
      </c>
      <c r="X6018">
        <v>0.9985636</v>
      </c>
      <c r="Y6018">
        <v>-0.1198256</v>
      </c>
      <c r="Z6018">
        <v>6.169376E-2</v>
      </c>
      <c r="AA6018">
        <v>0.99087630000000004</v>
      </c>
      <c r="AB6018">
        <v>23</v>
      </c>
      <c r="AC6018">
        <v>1.4863999999999999</v>
      </c>
      <c r="AD6018">
        <v>-1.110582991679</v>
      </c>
      <c r="AE6018">
        <v>-17.594919999999899</v>
      </c>
      <c r="AF6018">
        <v>-2.1394910799015299</v>
      </c>
      <c r="AG6018">
        <v>-1.110582991679</v>
      </c>
      <c r="AH6018">
        <v>17.457403702835101</v>
      </c>
      <c r="AI6018">
        <v>93.613104686536403</v>
      </c>
      <c r="AJ6018">
        <v>96.987038784388702</v>
      </c>
      <c r="AK6018">
        <v>17.6230462947285</v>
      </c>
      <c r="AL6018">
        <v>90.566224570496303</v>
      </c>
      <c r="AM6018">
        <v>86.981282218800203</v>
      </c>
      <c r="AN6018">
        <v>0.99999997955580699</v>
      </c>
    </row>
    <row r="6019" spans="1:40" x14ac:dyDescent="0.25">
      <c r="A6019" t="str">
        <f>"20190312161434687"</f>
        <v>20190312161434687</v>
      </c>
      <c r="B6019" t="str">
        <f>"1552378474682583"</f>
        <v>1552378474682583</v>
      </c>
      <c r="C6019" t="s">
        <v>40</v>
      </c>
      <c r="D6019">
        <v>5.5987330000000002</v>
      </c>
      <c r="E6019">
        <v>0.43467460000000002</v>
      </c>
      <c r="F6019" t="s">
        <v>77</v>
      </c>
      <c r="G6019">
        <v>-300.66559999999998</v>
      </c>
      <c r="H6019" s="1">
        <v>-3.4248720000000001E-6</v>
      </c>
      <c r="I6019">
        <v>-45.790370000000003</v>
      </c>
      <c r="J6019">
        <v>-302.23790000000002</v>
      </c>
      <c r="K6019">
        <v>1.1105609999999999</v>
      </c>
      <c r="L6019">
        <v>-27.592040000000001</v>
      </c>
      <c r="M6019">
        <v>-3.61251E-2</v>
      </c>
      <c r="N6019">
        <v>0</v>
      </c>
      <c r="O6019">
        <v>-0.99929749999999995</v>
      </c>
      <c r="P6019">
        <v>-8.8793159999999996E-2</v>
      </c>
      <c r="Q6019">
        <v>-1.953709E-2</v>
      </c>
      <c r="R6019">
        <v>-0.99585889999999999</v>
      </c>
      <c r="S6019">
        <v>0.2568665</v>
      </c>
      <c r="T6019">
        <v>-0.18239549999999999</v>
      </c>
      <c r="U6019">
        <v>-3.0325009999999999</v>
      </c>
      <c r="V6019">
        <v>5.2776820000000002E-2</v>
      </c>
      <c r="W6019">
        <v>-9.4414040000000005E-3</v>
      </c>
      <c r="X6019">
        <v>0.9985617</v>
      </c>
      <c r="Y6019">
        <v>-0.1201945</v>
      </c>
      <c r="Z6019">
        <v>5.9655449999999999E-2</v>
      </c>
      <c r="AA6019">
        <v>0.99095639999999996</v>
      </c>
      <c r="AB6019">
        <v>23</v>
      </c>
      <c r="AC6019">
        <v>1.57230000000004</v>
      </c>
      <c r="AD6019">
        <v>-1.1105644248719999</v>
      </c>
      <c r="AE6019">
        <v>-18.198329999999999</v>
      </c>
      <c r="AF6019">
        <v>-2.22051460733358</v>
      </c>
      <c r="AG6019">
        <v>-1.1105644248719999</v>
      </c>
      <c r="AH6019">
        <v>18.062877970237999</v>
      </c>
      <c r="AI6019">
        <v>93.492079742471404</v>
      </c>
      <c r="AJ6019">
        <v>97.008349811902306</v>
      </c>
      <c r="AK6019">
        <v>18.232706848706901</v>
      </c>
      <c r="AL6019">
        <v>90.540960638544604</v>
      </c>
      <c r="AM6019">
        <v>86.974570439301601</v>
      </c>
      <c r="AN6019">
        <v>1.00000000077284</v>
      </c>
    </row>
    <row r="6020" spans="1:40" x14ac:dyDescent="0.25">
      <c r="A6020" t="str">
        <f>"20190312161434713"</f>
        <v>20190312161434713</v>
      </c>
      <c r="B6020" t="str">
        <f>"1552378474703079"</f>
        <v>1552378474703079</v>
      </c>
      <c r="C6020" t="s">
        <v>40</v>
      </c>
      <c r="D6020">
        <v>5.6089219999999997</v>
      </c>
      <c r="E6020">
        <v>0.4350503</v>
      </c>
      <c r="F6020" t="s">
        <v>77</v>
      </c>
      <c r="G6020">
        <v>-300.6148</v>
      </c>
      <c r="H6020" s="1">
        <v>-4.0203869999999999E-6</v>
      </c>
      <c r="I6020">
        <v>-46.964889999999997</v>
      </c>
      <c r="J6020">
        <v>-302.24599999999998</v>
      </c>
      <c r="K6020">
        <v>1.1105370000000001</v>
      </c>
      <c r="L6020">
        <v>-27.866849999999999</v>
      </c>
      <c r="M6020">
        <v>-3.4583599999999999E-2</v>
      </c>
      <c r="N6020">
        <v>0</v>
      </c>
      <c r="O6020">
        <v>-0.99935209999999997</v>
      </c>
      <c r="P6020">
        <v>-8.7658319999999998E-2</v>
      </c>
      <c r="Q6020">
        <v>-1.9530570000000001E-2</v>
      </c>
      <c r="R6020">
        <v>-0.99595959999999994</v>
      </c>
      <c r="S6020">
        <v>0.2539978</v>
      </c>
      <c r="T6020">
        <v>-0.17379520000000001</v>
      </c>
      <c r="U6020">
        <v>-3.0317080000000001</v>
      </c>
      <c r="V6020">
        <v>5.317881E-2</v>
      </c>
      <c r="W6020">
        <v>-9.4463299999999993E-3</v>
      </c>
      <c r="X6020">
        <v>0.99854030000000005</v>
      </c>
      <c r="Y6020">
        <v>-0.1177671</v>
      </c>
      <c r="Z6020">
        <v>5.6882019999999998E-2</v>
      </c>
      <c r="AA6020">
        <v>0.99141080000000004</v>
      </c>
      <c r="AB6020">
        <v>23</v>
      </c>
      <c r="AC6020">
        <v>1.63119999999997</v>
      </c>
      <c r="AD6020">
        <v>-1.1105410203870001</v>
      </c>
      <c r="AE6020">
        <v>-19.098040000000001</v>
      </c>
      <c r="AF6020">
        <v>-2.2830719408451099</v>
      </c>
      <c r="AG6020">
        <v>-1.1105410203870001</v>
      </c>
      <c r="AH6020">
        <v>18.966530779955701</v>
      </c>
      <c r="AI6020">
        <v>93.327031994735904</v>
      </c>
      <c r="AJ6020">
        <v>96.863881317603003</v>
      </c>
      <c r="AK6020">
        <v>19.135699847981599</v>
      </c>
      <c r="AL6020">
        <v>90.541242904170005</v>
      </c>
      <c r="AM6020">
        <v>86.951504466708897</v>
      </c>
      <c r="AN6020">
        <v>0.999999974853787</v>
      </c>
    </row>
    <row r="6021" spans="1:40" x14ac:dyDescent="0.25">
      <c r="A6021" t="str">
        <f>"20190312161434736"</f>
        <v>20190312161434736</v>
      </c>
      <c r="B6021" t="str">
        <f>"1552378474722599"</f>
        <v>1552378474722599</v>
      </c>
      <c r="C6021" t="s">
        <v>40</v>
      </c>
      <c r="D6021">
        <v>5.6267909999999999</v>
      </c>
      <c r="E6021">
        <v>0.43570979999999998</v>
      </c>
      <c r="F6021" t="s">
        <v>77</v>
      </c>
      <c r="G6021">
        <v>-300.58519999999999</v>
      </c>
      <c r="H6021" s="1">
        <v>-4.3672390000000003E-6</v>
      </c>
      <c r="I6021">
        <v>-47.648989999999998</v>
      </c>
      <c r="J6021">
        <v>-302.25279999999998</v>
      </c>
      <c r="K6021">
        <v>1.110519</v>
      </c>
      <c r="L6021">
        <v>-28.107600000000001</v>
      </c>
      <c r="M6021">
        <v>-3.3262060000000003E-2</v>
      </c>
      <c r="N6021">
        <v>0</v>
      </c>
      <c r="O6021">
        <v>-0.99939699999999998</v>
      </c>
      <c r="P6021">
        <v>-8.7465870000000001E-2</v>
      </c>
      <c r="Q6021">
        <v>-2.0216390000000001E-2</v>
      </c>
      <c r="R6021">
        <v>-0.99596280000000004</v>
      </c>
      <c r="S6021">
        <v>0.25448609999999999</v>
      </c>
      <c r="T6021">
        <v>-0.1701684</v>
      </c>
      <c r="U6021">
        <v>-3.0312190000000001</v>
      </c>
      <c r="V6021">
        <v>5.4307540000000001E-2</v>
      </c>
      <c r="W6021">
        <v>-1.013974E-2</v>
      </c>
      <c r="X6021">
        <v>0.99847280000000005</v>
      </c>
      <c r="Y6021">
        <v>-0.11663129999999999</v>
      </c>
      <c r="Z6021">
        <v>5.5714800000000002E-2</v>
      </c>
      <c r="AA6021">
        <v>0.99161129999999997</v>
      </c>
      <c r="AB6021">
        <v>23</v>
      </c>
      <c r="AC6021">
        <v>1.66759999999999</v>
      </c>
      <c r="AD6021">
        <v>-1.110523367239</v>
      </c>
      <c r="AE6021">
        <v>-19.54139</v>
      </c>
      <c r="AF6021">
        <v>-2.3092922200030999</v>
      </c>
      <c r="AG6021">
        <v>-1.110523367239</v>
      </c>
      <c r="AH6021">
        <v>19.4128635150939</v>
      </c>
      <c r="AI6021">
        <v>93.251194888521795</v>
      </c>
      <c r="AJ6021">
        <v>96.783843970992095</v>
      </c>
      <c r="AK6021">
        <v>19.581250280873601</v>
      </c>
      <c r="AL6021">
        <v>90.580974246920604</v>
      </c>
      <c r="AM6021">
        <v>86.886715500328904</v>
      </c>
      <c r="AN6021">
        <v>1.00000002778397</v>
      </c>
    </row>
    <row r="6022" spans="1:40" x14ac:dyDescent="0.25">
      <c r="A6022" t="str">
        <f>"20190312161434755"</f>
        <v>20190312161434755</v>
      </c>
      <c r="B6022" t="str">
        <f>"1552378474752855"</f>
        <v>1552378474752855</v>
      </c>
      <c r="C6022" t="s">
        <v>40</v>
      </c>
      <c r="D6022">
        <v>5.5618259999999999</v>
      </c>
      <c r="E6022">
        <v>0.43591059999999998</v>
      </c>
      <c r="F6022" t="s">
        <v>77</v>
      </c>
      <c r="G6022">
        <v>-300.62439999999998</v>
      </c>
      <c r="H6022" s="1">
        <v>-4.4759120000000001E-6</v>
      </c>
      <c r="I6022">
        <v>-47.857810000000001</v>
      </c>
      <c r="J6022">
        <v>-302.25819999999999</v>
      </c>
      <c r="K6022">
        <v>1.1105039999999999</v>
      </c>
      <c r="L6022">
        <v>-28.306059999999999</v>
      </c>
      <c r="M6022">
        <v>-3.2188889999999998E-2</v>
      </c>
      <c r="N6022">
        <v>0</v>
      </c>
      <c r="O6022">
        <v>-0.99943230000000005</v>
      </c>
      <c r="P6022">
        <v>-8.7103420000000001E-2</v>
      </c>
      <c r="Q6022">
        <v>-2.0748510000000001E-2</v>
      </c>
      <c r="R6022">
        <v>-0.99598359999999997</v>
      </c>
      <c r="S6022">
        <v>0.24987789999999999</v>
      </c>
      <c r="T6022">
        <v>-0.17040810000000001</v>
      </c>
      <c r="U6022">
        <v>-3.03064</v>
      </c>
      <c r="V6022">
        <v>5.5017299999999998E-2</v>
      </c>
      <c r="W6022">
        <v>-1.0677209999999999E-2</v>
      </c>
      <c r="X6022">
        <v>0.99842830000000005</v>
      </c>
      <c r="Y6022">
        <v>-0.1140824</v>
      </c>
      <c r="Z6022">
        <v>5.5818409999999999E-2</v>
      </c>
      <c r="AA6022">
        <v>0.9919019</v>
      </c>
      <c r="AB6022">
        <v>23</v>
      </c>
      <c r="AC6022">
        <v>1.6337999999999999</v>
      </c>
      <c r="AD6022">
        <v>-1.1105084759119901</v>
      </c>
      <c r="AE6022">
        <v>-19.551749999999998</v>
      </c>
      <c r="AF6022">
        <v>-2.2551088877466001</v>
      </c>
      <c r="AG6022">
        <v>-1.1105084759119901</v>
      </c>
      <c r="AH6022">
        <v>19.4267871373318</v>
      </c>
      <c r="AI6022">
        <v>93.249906546667304</v>
      </c>
      <c r="AJ6022">
        <v>96.621398706209604</v>
      </c>
      <c r="AK6022">
        <v>19.588741757700099</v>
      </c>
      <c r="AL6022">
        <v>90.611770701513706</v>
      </c>
      <c r="AM6022">
        <v>86.845968467369005</v>
      </c>
      <c r="AN6022">
        <v>0.99999998817678204</v>
      </c>
    </row>
    <row r="6023" spans="1:40" x14ac:dyDescent="0.25">
      <c r="A6023" t="str">
        <f>"20190312161434777"</f>
        <v>20190312161434777</v>
      </c>
      <c r="B6023" t="str">
        <f>"1552378474772375"</f>
        <v>1552378474772375</v>
      </c>
      <c r="C6023" t="s">
        <v>40</v>
      </c>
      <c r="D6023">
        <v>5.5915980000000003</v>
      </c>
      <c r="E6023">
        <v>0.43584119999999998</v>
      </c>
      <c r="F6023" t="s">
        <v>77</v>
      </c>
      <c r="G6023">
        <v>-300.64010000000002</v>
      </c>
      <c r="H6023" s="1">
        <v>-4.51936E-6</v>
      </c>
      <c r="I6023">
        <v>-47.941290000000002</v>
      </c>
      <c r="J6023">
        <v>-302.26400000000001</v>
      </c>
      <c r="K6023">
        <v>1.1105020000000001</v>
      </c>
      <c r="L6023">
        <v>-28.529299999999999</v>
      </c>
      <c r="M6023">
        <v>-3.0996909999999999E-2</v>
      </c>
      <c r="N6023">
        <v>0</v>
      </c>
      <c r="O6023">
        <v>-0.99946990000000002</v>
      </c>
      <c r="P6023">
        <v>-8.6134290000000002E-2</v>
      </c>
      <c r="Q6023">
        <v>-2.0465549999999999E-2</v>
      </c>
      <c r="R6023">
        <v>-0.99607349999999995</v>
      </c>
      <c r="S6023">
        <v>0.24972530000000001</v>
      </c>
      <c r="T6023">
        <v>-0.17138829999999999</v>
      </c>
      <c r="U6023">
        <v>-3.0303650000000002</v>
      </c>
      <c r="V6023">
        <v>5.5235640000000003E-2</v>
      </c>
      <c r="W6023">
        <v>-1.039956E-2</v>
      </c>
      <c r="X6023">
        <v>0.99841919999999995</v>
      </c>
      <c r="Y6023">
        <v>-0.1128538</v>
      </c>
      <c r="Z6023">
        <v>5.6150749999999999E-2</v>
      </c>
      <c r="AA6023">
        <v>0.99202380000000001</v>
      </c>
      <c r="AB6023">
        <v>23</v>
      </c>
      <c r="AC6023">
        <v>1.6238999999999899</v>
      </c>
      <c r="AD6023">
        <v>-1.1105065193600001</v>
      </c>
      <c r="AE6023">
        <v>-19.411989999999999</v>
      </c>
      <c r="AF6023">
        <v>-2.21765392284673</v>
      </c>
      <c r="AG6023">
        <v>-1.1105065193600001</v>
      </c>
      <c r="AH6023">
        <v>19.289632976450701</v>
      </c>
      <c r="AI6023">
        <v>93.273374045473901</v>
      </c>
      <c r="AJ6023">
        <v>96.558279562240401</v>
      </c>
      <c r="AK6023">
        <v>19.4484229185102</v>
      </c>
      <c r="AL6023">
        <v>90.595861629954399</v>
      </c>
      <c r="AM6023">
        <v>86.833448092406897</v>
      </c>
      <c r="AN6023">
        <v>1.0000000128515201</v>
      </c>
    </row>
    <row r="6024" spans="1:40" x14ac:dyDescent="0.25">
      <c r="A6024" t="str">
        <f>"20190312161434798"</f>
        <v>20190312161434798</v>
      </c>
      <c r="B6024" t="str">
        <f>"1552378474792872"</f>
        <v>1552378474792872</v>
      </c>
      <c r="C6024" t="s">
        <v>40</v>
      </c>
      <c r="D6024">
        <v>5.602379</v>
      </c>
      <c r="E6024">
        <v>0.43572759999999999</v>
      </c>
      <c r="F6024" t="s">
        <v>77</v>
      </c>
      <c r="G6024">
        <v>-300.61869999999999</v>
      </c>
      <c r="H6024" s="1">
        <v>-4.6706359999999999E-6</v>
      </c>
      <c r="I6024">
        <v>-48.24062</v>
      </c>
      <c r="J6024">
        <v>-302.2697</v>
      </c>
      <c r="K6024">
        <v>1.1105</v>
      </c>
      <c r="L6024">
        <v>-28.757349999999999</v>
      </c>
      <c r="M6024">
        <v>-2.979101E-2</v>
      </c>
      <c r="N6024">
        <v>0</v>
      </c>
      <c r="O6024">
        <v>-0.99950640000000002</v>
      </c>
      <c r="P6024">
        <v>-8.5017170000000003E-2</v>
      </c>
      <c r="Q6024">
        <v>-2.0283260000000001E-2</v>
      </c>
      <c r="R6024">
        <v>-0.99617310000000003</v>
      </c>
      <c r="S6024">
        <v>0.25292969999999998</v>
      </c>
      <c r="T6024">
        <v>-0.17071600000000001</v>
      </c>
      <c r="U6024">
        <v>-3.0301819999999999</v>
      </c>
      <c r="V6024">
        <v>5.5319989999999999E-2</v>
      </c>
      <c r="W6024">
        <v>-1.022142E-2</v>
      </c>
      <c r="X6024">
        <v>0.99841639999999998</v>
      </c>
      <c r="Y6024">
        <v>-0.11270280000000001</v>
      </c>
      <c r="Z6024">
        <v>5.593571E-2</v>
      </c>
      <c r="AA6024">
        <v>0.99205310000000002</v>
      </c>
      <c r="AB6024">
        <v>23</v>
      </c>
      <c r="AC6024">
        <v>1.65100000000001</v>
      </c>
      <c r="AD6024">
        <v>-1.110504670636</v>
      </c>
      <c r="AE6024">
        <v>-19.483270000000001</v>
      </c>
      <c r="AF6024">
        <v>-2.2235500166650599</v>
      </c>
      <c r="AG6024">
        <v>-1.110504670636</v>
      </c>
      <c r="AH6024">
        <v>19.362976978177201</v>
      </c>
      <c r="AI6024">
        <v>93.261044726762293</v>
      </c>
      <c r="AJ6024">
        <v>96.550873279994207</v>
      </c>
      <c r="AK6024">
        <v>19.521840916202901</v>
      </c>
      <c r="AL6024">
        <v>90.585654399543799</v>
      </c>
      <c r="AM6024">
        <v>86.828613458173905</v>
      </c>
      <c r="AN6024">
        <v>1.0000000432546801</v>
      </c>
    </row>
    <row r="6025" spans="1:40" x14ac:dyDescent="0.25">
      <c r="A6025" t="str">
        <f>"20190312161434820"</f>
        <v>20190312161434820</v>
      </c>
      <c r="B6025" t="str">
        <f>"1552378474812391"</f>
        <v>1552378474812391</v>
      </c>
      <c r="C6025" t="s">
        <v>40</v>
      </c>
      <c r="D6025">
        <v>5.617947</v>
      </c>
      <c r="E6025">
        <v>0.43565599999999999</v>
      </c>
      <c r="F6025" t="s">
        <v>77</v>
      </c>
      <c r="G6025">
        <v>-300.58679999999998</v>
      </c>
      <c r="H6025" s="1">
        <v>-4.8410720000000002E-6</v>
      </c>
      <c r="I6025">
        <v>-48.578749999999999</v>
      </c>
      <c r="J6025">
        <v>-302.27510000000001</v>
      </c>
      <c r="K6025">
        <v>1.110501</v>
      </c>
      <c r="L6025">
        <v>-28.983799999999999</v>
      </c>
      <c r="M6025">
        <v>-2.8600649999999998E-2</v>
      </c>
      <c r="N6025">
        <v>0</v>
      </c>
      <c r="O6025">
        <v>-0.99954129999999997</v>
      </c>
      <c r="P6025">
        <v>-8.3449969999999998E-2</v>
      </c>
      <c r="Q6025">
        <v>-1.9832229999999999E-2</v>
      </c>
      <c r="R6025">
        <v>-0.99631499999999995</v>
      </c>
      <c r="S6025">
        <v>0.25726320000000003</v>
      </c>
      <c r="T6025">
        <v>-0.1697592</v>
      </c>
      <c r="U6025">
        <v>-3.0300289999999999</v>
      </c>
      <c r="V6025">
        <v>5.4937329999999999E-2</v>
      </c>
      <c r="W6025">
        <v>-9.7737429999999997E-3</v>
      </c>
      <c r="X6025">
        <v>0.99844200000000005</v>
      </c>
      <c r="Y6025">
        <v>-0.1129339</v>
      </c>
      <c r="Z6025">
        <v>5.5624800000000002E-2</v>
      </c>
      <c r="AA6025">
        <v>0.99204429999999999</v>
      </c>
      <c r="AB6025">
        <v>24</v>
      </c>
      <c r="AC6025">
        <v>1.6883000000000199</v>
      </c>
      <c r="AD6025">
        <v>-1.1105058410719999</v>
      </c>
      <c r="AE6025">
        <v>-19.594950000000001</v>
      </c>
      <c r="AF6025">
        <v>-2.2409209479644998</v>
      </c>
      <c r="AG6025">
        <v>-1.1105058410719999</v>
      </c>
      <c r="AH6025">
        <v>19.476549860823301</v>
      </c>
      <c r="AI6025">
        <v>93.241991239495704</v>
      </c>
      <c r="AJ6025">
        <v>96.563441534000802</v>
      </c>
      <c r="AK6025">
        <v>19.636469753986201</v>
      </c>
      <c r="AL6025">
        <v>90.560003122180802</v>
      </c>
      <c r="AM6025">
        <v>86.850586879123696</v>
      </c>
      <c r="AN6025">
        <v>1.00000003182187</v>
      </c>
    </row>
    <row r="6026" spans="1:40" x14ac:dyDescent="0.25">
      <c r="A6026" t="str">
        <f>"20190312161434840"</f>
        <v>20190312161434840</v>
      </c>
      <c r="B6026" t="str">
        <f>"1552378474832887"</f>
        <v>1552378474832887</v>
      </c>
      <c r="C6026" t="s">
        <v>40</v>
      </c>
      <c r="D6026">
        <v>5.6533920000000002</v>
      </c>
      <c r="E6026">
        <v>0.43564520000000001</v>
      </c>
      <c r="F6026" t="s">
        <v>77</v>
      </c>
      <c r="G6026">
        <v>-300.54059999999998</v>
      </c>
      <c r="H6026" s="1">
        <v>-5.0556509999999999E-6</v>
      </c>
      <c r="I6026">
        <v>-49.005139999999997</v>
      </c>
      <c r="J6026">
        <v>-302.28019999999998</v>
      </c>
      <c r="K6026">
        <v>1.110509</v>
      </c>
      <c r="L6026">
        <v>-29.204709999999999</v>
      </c>
      <c r="M6026">
        <v>-2.7441489999999999E-2</v>
      </c>
      <c r="N6026">
        <v>0</v>
      </c>
      <c r="O6026">
        <v>-0.99957379999999996</v>
      </c>
      <c r="P6026">
        <v>-8.0873959999999995E-2</v>
      </c>
      <c r="Q6026">
        <v>-1.9003599999999999E-2</v>
      </c>
      <c r="R6026">
        <v>-0.99654359999999997</v>
      </c>
      <c r="S6026">
        <v>0.26248169999999998</v>
      </c>
      <c r="T6026">
        <v>-0.1680471</v>
      </c>
      <c r="U6026">
        <v>-3.0297239999999999</v>
      </c>
      <c r="V6026">
        <v>5.3512200000000003E-2</v>
      </c>
      <c r="W6026">
        <v>-8.9517039999999996E-3</v>
      </c>
      <c r="X6026">
        <v>0.9985271</v>
      </c>
      <c r="Y6026">
        <v>-0.11348900000000001</v>
      </c>
      <c r="Z6026">
        <v>5.5067959999999999E-2</v>
      </c>
      <c r="AA6026">
        <v>0.992012</v>
      </c>
      <c r="AB6026">
        <v>24</v>
      </c>
      <c r="AC6026">
        <v>1.73959999999999</v>
      </c>
      <c r="AD6026">
        <v>-1.110514055651</v>
      </c>
      <c r="AE6026">
        <v>-19.800429999999999</v>
      </c>
      <c r="AF6026">
        <v>-2.2752230248653902</v>
      </c>
      <c r="AG6026">
        <v>-1.110514055651</v>
      </c>
      <c r="AH6026">
        <v>19.683790648819301</v>
      </c>
      <c r="AI6026">
        <v>93.207759726611002</v>
      </c>
      <c r="AJ6026">
        <v>96.593481794292401</v>
      </c>
      <c r="AK6026">
        <v>19.845944058855501</v>
      </c>
      <c r="AL6026">
        <v>90.512901693993598</v>
      </c>
      <c r="AM6026">
        <v>86.932388671305006</v>
      </c>
      <c r="AN6026">
        <v>1.00000002899387</v>
      </c>
    </row>
    <row r="6027" spans="1:40" x14ac:dyDescent="0.25">
      <c r="A6027" t="str">
        <f>"20190312161434866"</f>
        <v>20190312161434866</v>
      </c>
      <c r="B6027" t="str">
        <f>"1552378474852408"</f>
        <v>1552378474852408</v>
      </c>
      <c r="C6027" t="s">
        <v>40</v>
      </c>
      <c r="D6027">
        <v>5.6790520000000004</v>
      </c>
      <c r="E6027">
        <v>0.43593280000000001</v>
      </c>
      <c r="F6027" t="s">
        <v>77</v>
      </c>
      <c r="G6027">
        <v>-300.47140000000002</v>
      </c>
      <c r="H6027" s="1">
        <v>-5.28203E-6</v>
      </c>
      <c r="I6027">
        <v>-49.45731</v>
      </c>
      <c r="J6027">
        <v>-302.28559999999999</v>
      </c>
      <c r="K6027">
        <v>1.110506</v>
      </c>
      <c r="L6027">
        <v>-29.463259999999998</v>
      </c>
      <c r="M6027">
        <v>-2.608363E-2</v>
      </c>
      <c r="N6027">
        <v>0</v>
      </c>
      <c r="O6027">
        <v>-0.9996102</v>
      </c>
      <c r="P6027">
        <v>-7.8492899999999893E-2</v>
      </c>
      <c r="Q6027">
        <v>-1.851007E-2</v>
      </c>
      <c r="R6027">
        <v>-0.99674309999999999</v>
      </c>
      <c r="S6027">
        <v>0.27053829999999901</v>
      </c>
      <c r="T6027">
        <v>-0.166101</v>
      </c>
      <c r="U6027">
        <v>-3.0292050000000001</v>
      </c>
      <c r="V6027">
        <v>5.2482139999999997E-2</v>
      </c>
      <c r="W6027">
        <v>-8.4700580000000008E-3</v>
      </c>
      <c r="X6027">
        <v>0.99858590000000003</v>
      </c>
      <c r="Y6027">
        <v>-0.1147751</v>
      </c>
      <c r="Z6027">
        <v>5.4434030000000001E-2</v>
      </c>
      <c r="AA6027">
        <v>0.99189899999999998</v>
      </c>
      <c r="AB6027">
        <v>24</v>
      </c>
      <c r="AC6027">
        <v>1.8141999999999701</v>
      </c>
      <c r="AD6027">
        <v>-1.11051128203</v>
      </c>
      <c r="AE6027">
        <v>-19.994050000000001</v>
      </c>
      <c r="AF6027">
        <v>-2.3280028614505799</v>
      </c>
      <c r="AG6027">
        <v>-1.11051128203</v>
      </c>
      <c r="AH6027">
        <v>19.8790986517905</v>
      </c>
      <c r="AI6027">
        <v>93.175748262494693</v>
      </c>
      <c r="AJ6027">
        <v>96.679374672271905</v>
      </c>
      <c r="AK6027">
        <v>20.045732609162901</v>
      </c>
      <c r="AL6027">
        <v>90.485304398766303</v>
      </c>
      <c r="AM6027">
        <v>86.991504616723205</v>
      </c>
      <c r="AN6027">
        <v>0.99999995829015498</v>
      </c>
    </row>
    <row r="6028" spans="1:40" x14ac:dyDescent="0.25">
      <c r="A6028" t="str">
        <f>"20190312161434906"</f>
        <v>20190312161434906</v>
      </c>
      <c r="B6028" t="str">
        <f>"1552378474902183"</f>
        <v>1552378474902183</v>
      </c>
      <c r="C6028" t="s">
        <v>40</v>
      </c>
      <c r="D6028">
        <v>5.6948990000000004</v>
      </c>
      <c r="E6028">
        <v>0.4149641</v>
      </c>
      <c r="F6028" t="s">
        <v>77</v>
      </c>
      <c r="G6028">
        <v>-300.44709999999998</v>
      </c>
      <c r="H6028" s="1">
        <v>-5.3865650000000003E-6</v>
      </c>
      <c r="I6028">
        <v>-49.665230000000001</v>
      </c>
      <c r="J6028">
        <v>-302.29390000000001</v>
      </c>
      <c r="K6028">
        <v>1.1105080000000001</v>
      </c>
      <c r="L6028">
        <v>-29.882390000000001</v>
      </c>
      <c r="M6028">
        <v>-2.3872830000000001E-2</v>
      </c>
      <c r="N6028">
        <v>0</v>
      </c>
      <c r="O6028">
        <v>-0.99966560000000004</v>
      </c>
      <c r="P6028">
        <v>-7.5558639999999996E-2</v>
      </c>
      <c r="Q6028">
        <v>-1.8300810000000001E-2</v>
      </c>
      <c r="R6028">
        <v>-0.99697360000000002</v>
      </c>
      <c r="S6028">
        <v>0.27560420000000002</v>
      </c>
      <c r="T6028">
        <v>-0.16647319999999999</v>
      </c>
      <c r="U6028">
        <v>-3.0284119999999999</v>
      </c>
      <c r="V6028">
        <v>5.1751039999999998E-2</v>
      </c>
      <c r="W6028">
        <v>-8.2796109999999992E-3</v>
      </c>
      <c r="X6028">
        <v>0.99862569999999995</v>
      </c>
      <c r="Y6028">
        <v>-0.1142464</v>
      </c>
      <c r="Z6028">
        <v>5.4571969999999997E-2</v>
      </c>
      <c r="AA6028">
        <v>0.99195250000000001</v>
      </c>
      <c r="AB6028">
        <v>24</v>
      </c>
      <c r="AC6028">
        <v>1.84680000000003</v>
      </c>
      <c r="AD6028">
        <v>-1.1105133865649901</v>
      </c>
      <c r="AE6028">
        <v>-19.78284</v>
      </c>
      <c r="AF6028">
        <v>-2.3113488171347898</v>
      </c>
      <c r="AG6028">
        <v>-1.1105133865649901</v>
      </c>
      <c r="AH6028">
        <v>19.671657914780599</v>
      </c>
      <c r="AI6028">
        <v>93.209029573318603</v>
      </c>
      <c r="AJ6028">
        <v>96.701321900735095</v>
      </c>
      <c r="AK6028">
        <v>19.838087066357001</v>
      </c>
      <c r="AL6028">
        <v>90.474392183939202</v>
      </c>
      <c r="AM6028">
        <v>87.033456952871703</v>
      </c>
      <c r="AN6028">
        <v>1.0000000053999401</v>
      </c>
    </row>
    <row r="6029" spans="1:40" x14ac:dyDescent="0.25">
      <c r="A6029" t="str">
        <f>"20190312161435284"</f>
        <v>20190312161435284</v>
      </c>
      <c r="B6029" t="str">
        <f>"1552378475273063"</f>
        <v>1552378475273063</v>
      </c>
      <c r="C6029" t="s">
        <v>40</v>
      </c>
      <c r="D6029">
        <v>5.2603739999999997</v>
      </c>
      <c r="E6029">
        <v>0.38463969999999997</v>
      </c>
      <c r="F6029" t="s">
        <v>41</v>
      </c>
      <c r="G6029">
        <v>-293.7287</v>
      </c>
      <c r="H6029">
        <v>-0.05</v>
      </c>
      <c r="I6029">
        <v>-87.822310000000002</v>
      </c>
      <c r="J6029">
        <v>-302.3254</v>
      </c>
      <c r="K6029">
        <v>1.1105080000000001</v>
      </c>
      <c r="L6029">
        <v>-33.952759999999998</v>
      </c>
      <c r="M6029">
        <v>-2.30438E-3</v>
      </c>
      <c r="N6029">
        <v>0</v>
      </c>
      <c r="O6029">
        <v>-0.99994859999999997</v>
      </c>
      <c r="P6029">
        <v>-5.5056330000000001E-2</v>
      </c>
      <c r="Q6029">
        <v>-2.165224E-2</v>
      </c>
      <c r="R6029">
        <v>-0.99824880000000005</v>
      </c>
      <c r="S6029">
        <v>0.44970700000000002</v>
      </c>
      <c r="T6029">
        <v>-6.0931440000000003E-2</v>
      </c>
      <c r="U6029">
        <v>-3.042084</v>
      </c>
      <c r="V6029">
        <v>5.277925E-2</v>
      </c>
      <c r="W6029">
        <v>-1.166824E-2</v>
      </c>
      <c r="X6029">
        <v>0.99853800000000004</v>
      </c>
      <c r="Y6029">
        <v>-0.14849000000000001</v>
      </c>
      <c r="Z6029">
        <v>1.9806830000000001E-2</v>
      </c>
      <c r="AA6029">
        <v>0.98871549999999997</v>
      </c>
      <c r="AB6029">
        <v>24</v>
      </c>
      <c r="AC6029">
        <v>8.5966999999999896</v>
      </c>
      <c r="AD6029">
        <v>-1.1605080000000001</v>
      </c>
      <c r="AE6029">
        <v>-53.869549999999997</v>
      </c>
      <c r="AF6029">
        <v>-8.7168741224005206</v>
      </c>
      <c r="AG6029">
        <v>-1.1605080000000001</v>
      </c>
      <c r="AH6029">
        <v>53.825236120540701</v>
      </c>
      <c r="AI6029">
        <v>91.219263386972202</v>
      </c>
      <c r="AJ6029">
        <v>99.199054170860904</v>
      </c>
      <c r="AK6029">
        <v>54.538855110057099</v>
      </c>
      <c r="AL6029">
        <v>90.668556099236696</v>
      </c>
      <c r="AM6029">
        <v>86.9743597208968</v>
      </c>
      <c r="AN6029">
        <v>0.99999996724962903</v>
      </c>
    </row>
    <row r="6030" spans="1:40" x14ac:dyDescent="0.25">
      <c r="A6030" t="str">
        <f>"20190312161435313"</f>
        <v>20190312161435313</v>
      </c>
      <c r="B6030" t="str">
        <f>"1552378475302343"</f>
        <v>1552378475302343</v>
      </c>
      <c r="C6030" t="s">
        <v>40</v>
      </c>
      <c r="D6030">
        <v>5.672885</v>
      </c>
      <c r="E6030">
        <v>0.39308369999999998</v>
      </c>
      <c r="F6030" t="s">
        <v>103</v>
      </c>
      <c r="G6030">
        <v>-288.10210000000001</v>
      </c>
      <c r="H6030">
        <v>1.5840590000000001</v>
      </c>
      <c r="I6030">
        <v>-91.564989999999995</v>
      </c>
      <c r="J6030">
        <v>-302.32420000000002</v>
      </c>
      <c r="K6030">
        <v>1.1105119999999999</v>
      </c>
      <c r="L6030">
        <v>-34.260680000000001</v>
      </c>
      <c r="M6030">
        <v>-6.7538029999999897E-4</v>
      </c>
      <c r="N6030">
        <v>0</v>
      </c>
      <c r="O6030">
        <v>-0.99995100000000003</v>
      </c>
      <c r="P6030">
        <v>-5.3599979999999998E-2</v>
      </c>
      <c r="Q6030">
        <v>-2.1269880000000001E-2</v>
      </c>
      <c r="R6030">
        <v>-0.99833640000000001</v>
      </c>
      <c r="S6030">
        <v>0.75231930000000002</v>
      </c>
      <c r="T6030">
        <v>2.5048379999999999E-2</v>
      </c>
      <c r="U6030">
        <v>-3.0473020000000002</v>
      </c>
      <c r="V6030">
        <v>5.2948519999999999E-2</v>
      </c>
      <c r="W6030">
        <v>-1.1283140000000001E-2</v>
      </c>
      <c r="X6030">
        <v>0.99853349999999996</v>
      </c>
      <c r="Y6030">
        <v>-0.2403322</v>
      </c>
      <c r="Z6030">
        <v>-7.9793399999999997E-3</v>
      </c>
      <c r="AA6030">
        <v>0.97065789999999996</v>
      </c>
      <c r="AB6030">
        <v>24</v>
      </c>
      <c r="AC6030">
        <v>14.222099999999999</v>
      </c>
      <c r="AD6030">
        <v>0.473547</v>
      </c>
      <c r="AE6030">
        <v>-57.304310000000001</v>
      </c>
      <c r="AF6030">
        <v>-14.259883552369899</v>
      </c>
      <c r="AG6030">
        <v>0.473547</v>
      </c>
      <c r="AH6030">
        <v>57.291005784573898</v>
      </c>
      <c r="AI6030">
        <v>89.540445090949405</v>
      </c>
      <c r="AJ6030">
        <v>103.977053493569</v>
      </c>
      <c r="AK6030">
        <v>59.040899971938401</v>
      </c>
      <c r="AL6030">
        <v>90.646490017686403</v>
      </c>
      <c r="AM6030">
        <v>86.964660557321594</v>
      </c>
      <c r="AN6030">
        <v>1.00000000282035</v>
      </c>
    </row>
    <row r="6031" spans="1:40" x14ac:dyDescent="0.25">
      <c r="A6031" t="str">
        <f>"20190312161435448"</f>
        <v>20190312161435448</v>
      </c>
      <c r="B6031" t="str">
        <f>"1552378475442889"</f>
        <v>1552378475442889</v>
      </c>
      <c r="C6031" t="s">
        <v>40</v>
      </c>
      <c r="D6031">
        <v>5.8307589999999996</v>
      </c>
      <c r="E6031">
        <v>0.39622800000000002</v>
      </c>
      <c r="F6031" t="s">
        <v>103</v>
      </c>
      <c r="G6031">
        <v>-289.32799999999997</v>
      </c>
      <c r="H6031">
        <v>0.98540879999999997</v>
      </c>
      <c r="I6031">
        <v>-91.564989999999995</v>
      </c>
      <c r="J6031">
        <v>-302.3116</v>
      </c>
      <c r="K6031">
        <v>1.110536</v>
      </c>
      <c r="L6031">
        <v>-35.743589999999998</v>
      </c>
      <c r="M6031">
        <v>7.1642859999999997E-3</v>
      </c>
      <c r="N6031">
        <v>0</v>
      </c>
      <c r="O6031">
        <v>-0.99992530000000002</v>
      </c>
      <c r="P6031">
        <v>-4.5694569999999997E-2</v>
      </c>
      <c r="Q6031">
        <v>-2.0503420000000001E-2</v>
      </c>
      <c r="R6031">
        <v>-0.9987452</v>
      </c>
      <c r="S6031">
        <v>0.68988039999999995</v>
      </c>
      <c r="T6031">
        <v>-6.6401960000000001E-3</v>
      </c>
      <c r="U6031">
        <v>-3.0419010000000002</v>
      </c>
      <c r="V6031">
        <v>5.2870689999999998E-2</v>
      </c>
      <c r="W6031">
        <v>-1.050187E-2</v>
      </c>
      <c r="X6031">
        <v>0.99854609999999999</v>
      </c>
      <c r="Y6031">
        <v>-0.2141825</v>
      </c>
      <c r="Z6031">
        <v>2.1304420000000002E-3</v>
      </c>
      <c r="AA6031">
        <v>0.97679130000000003</v>
      </c>
      <c r="AB6031">
        <v>25</v>
      </c>
      <c r="AC6031">
        <v>12.983599999999999</v>
      </c>
      <c r="AD6031">
        <v>-0.12512719999999999</v>
      </c>
      <c r="AE6031">
        <v>-55.821399999999997</v>
      </c>
      <c r="AF6031">
        <v>-12.583266691871399</v>
      </c>
      <c r="AG6031">
        <v>-0.12512719999999999</v>
      </c>
      <c r="AH6031">
        <v>55.912723532956001</v>
      </c>
      <c r="AI6031">
        <v>90.125093379327893</v>
      </c>
      <c r="AJ6031">
        <v>102.68321580077099</v>
      </c>
      <c r="AK6031">
        <v>57.3113157267194</v>
      </c>
      <c r="AL6031">
        <v>90.601723915143793</v>
      </c>
      <c r="AM6031">
        <v>86.96915210697</v>
      </c>
      <c r="AN6031">
        <v>0.99999995647989004</v>
      </c>
    </row>
    <row r="6032" spans="1:40" x14ac:dyDescent="0.25">
      <c r="A6032" t="str">
        <f>"20190312161435468"</f>
        <v>20190312161435468</v>
      </c>
      <c r="B6032" t="str">
        <f>"1552378475462408"</f>
        <v>1552378475462408</v>
      </c>
      <c r="C6032" t="s">
        <v>40</v>
      </c>
      <c r="D6032">
        <v>5.7516999999999996</v>
      </c>
      <c r="E6032">
        <v>0.42633910000000003</v>
      </c>
      <c r="F6032" t="s">
        <v>103</v>
      </c>
      <c r="G6032">
        <v>-289.63350000000003</v>
      </c>
      <c r="H6032">
        <v>0.71974749999999998</v>
      </c>
      <c r="I6032">
        <v>-91.564989999999995</v>
      </c>
      <c r="J6032">
        <v>-302.30869999999999</v>
      </c>
      <c r="K6032">
        <v>1.1105370000000001</v>
      </c>
      <c r="L6032">
        <v>-35.961150000000004</v>
      </c>
      <c r="M6032">
        <v>8.313974E-3</v>
      </c>
      <c r="N6032">
        <v>0</v>
      </c>
      <c r="O6032">
        <v>-0.99991640000000004</v>
      </c>
      <c r="P6032">
        <v>-4.5110839999999999E-2</v>
      </c>
      <c r="Q6032">
        <v>-2.1219829999999999E-2</v>
      </c>
      <c r="R6032">
        <v>-0.9987568</v>
      </c>
      <c r="S6032">
        <v>0.68926999999999905</v>
      </c>
      <c r="T6032">
        <v>-2.1245360000000001E-2</v>
      </c>
      <c r="U6032">
        <v>-3.0348510000000002</v>
      </c>
      <c r="V6032">
        <v>5.343651E-2</v>
      </c>
      <c r="W6032">
        <v>-1.121515E-2</v>
      </c>
      <c r="X6032">
        <v>0.99850830000000002</v>
      </c>
      <c r="Y6032">
        <v>-0.2133572</v>
      </c>
      <c r="Z6032">
        <v>6.8323389999999998E-3</v>
      </c>
      <c r="AA6032">
        <v>0.9769504</v>
      </c>
      <c r="AB6032">
        <v>25</v>
      </c>
      <c r="AC6032">
        <v>12.675199999999901</v>
      </c>
      <c r="AD6032">
        <v>-0.39078950000000001</v>
      </c>
      <c r="AE6032">
        <v>-55.603839999999998</v>
      </c>
      <c r="AF6032">
        <v>-12.2118769303429</v>
      </c>
      <c r="AG6032">
        <v>-0.39078950000000001</v>
      </c>
      <c r="AH6032">
        <v>55.7046889253308</v>
      </c>
      <c r="AI6032">
        <v>90.3926213846281</v>
      </c>
      <c r="AJ6032">
        <v>102.365073557825</v>
      </c>
      <c r="AK6032">
        <v>57.028896384754098</v>
      </c>
      <c r="AL6032">
        <v>90.642594211958695</v>
      </c>
      <c r="AM6032">
        <v>86.936661799755697</v>
      </c>
      <c r="AN6032">
        <v>1.0000000326796901</v>
      </c>
    </row>
    <row r="6033" spans="1:40" x14ac:dyDescent="0.25">
      <c r="A6033" t="str">
        <f>"20190312161435489"</f>
        <v>20190312161435489</v>
      </c>
      <c r="B6033" t="str">
        <f>"1552378475482904"</f>
        <v>1552378475482904</v>
      </c>
      <c r="C6033" t="s">
        <v>40</v>
      </c>
      <c r="D6033">
        <v>5.8252610000000002</v>
      </c>
      <c r="E6033">
        <v>0.4289328</v>
      </c>
      <c r="F6033" t="s">
        <v>77</v>
      </c>
      <c r="G6033">
        <v>-300.46629999999999</v>
      </c>
      <c r="H6033" s="1">
        <v>-4.6513169999999997E-6</v>
      </c>
      <c r="I6033">
        <v>-48.220059999999997</v>
      </c>
      <c r="J6033">
        <v>-302.30540000000002</v>
      </c>
      <c r="K6033">
        <v>1.110528</v>
      </c>
      <c r="L6033">
        <v>-36.196869999999997</v>
      </c>
      <c r="M6033">
        <v>9.560565E-3</v>
      </c>
      <c r="N6033">
        <v>0</v>
      </c>
      <c r="O6033">
        <v>-0.99990520000000005</v>
      </c>
      <c r="P6033">
        <v>-4.4812860000000003E-2</v>
      </c>
      <c r="Q6033">
        <v>-2.168235E-2</v>
      </c>
      <c r="R6033">
        <v>-0.99876019999999999</v>
      </c>
      <c r="S6033">
        <v>0.45364379999999999</v>
      </c>
      <c r="T6033">
        <v>-0.27343879999999998</v>
      </c>
      <c r="U6033">
        <v>-3.018402</v>
      </c>
      <c r="V6033">
        <v>5.4384210000000002E-2</v>
      </c>
      <c r="W6033">
        <v>-1.1673569999999999E-2</v>
      </c>
      <c r="X6033">
        <v>0.9984518</v>
      </c>
      <c r="Y6033">
        <v>-0.13856849999999901</v>
      </c>
      <c r="Z6033">
        <v>8.9282600000000004E-2</v>
      </c>
      <c r="AA6033">
        <v>0.98632010000000003</v>
      </c>
      <c r="AB6033">
        <v>25</v>
      </c>
      <c r="AC6033">
        <v>1.8391000000000299</v>
      </c>
      <c r="AD6033">
        <v>-1.110532651317</v>
      </c>
      <c r="AE6033">
        <v>-12.0231899999999</v>
      </c>
      <c r="AF6033">
        <v>-1.7098081510926999</v>
      </c>
      <c r="AG6033">
        <v>-1.110532651317</v>
      </c>
      <c r="AH6033">
        <v>11.9406817760241</v>
      </c>
      <c r="AI6033">
        <v>95.260111685319103</v>
      </c>
      <c r="AJ6033">
        <v>98.148894468489004</v>
      </c>
      <c r="AK6033">
        <v>12.113488678306499</v>
      </c>
      <c r="AL6033">
        <v>90.668861514258296</v>
      </c>
      <c r="AM6033">
        <v>86.882263465961898</v>
      </c>
      <c r="AN6033">
        <v>0.99999995572855305</v>
      </c>
    </row>
    <row r="6034" spans="1:40" x14ac:dyDescent="0.25">
      <c r="A6034" t="str">
        <f>"20190312161435517"</f>
        <v>20190312161435517</v>
      </c>
      <c r="B6034" t="str">
        <f>"1552378475512183"</f>
        <v>1552378475512183</v>
      </c>
      <c r="C6034" t="s">
        <v>40</v>
      </c>
      <c r="D6034">
        <v>5.955616</v>
      </c>
      <c r="E6034">
        <v>0.43139729999999998</v>
      </c>
      <c r="F6034" t="s">
        <v>77</v>
      </c>
      <c r="G6034">
        <v>-300.57819999999998</v>
      </c>
      <c r="H6034" s="1">
        <v>-4.648505E-6</v>
      </c>
      <c r="I6034">
        <v>-48.201790000000003</v>
      </c>
      <c r="J6034">
        <v>-302.30059999999997</v>
      </c>
      <c r="K6034">
        <v>1.110533</v>
      </c>
      <c r="L6034">
        <v>-36.501620000000003</v>
      </c>
      <c r="M6034">
        <v>1.1174679999999999E-2</v>
      </c>
      <c r="N6034">
        <v>0</v>
      </c>
      <c r="O6034">
        <v>-0.99988849999999996</v>
      </c>
      <c r="P6034">
        <v>-4.3244909999999998E-2</v>
      </c>
      <c r="Q6034">
        <v>-2.1680100000000001E-2</v>
      </c>
      <c r="R6034">
        <v>-0.99882939999999998</v>
      </c>
      <c r="S6034">
        <v>0.43408200000000002</v>
      </c>
      <c r="T6034">
        <v>-0.27910590000000002</v>
      </c>
      <c r="U6034">
        <v>-3.0171510000000001</v>
      </c>
      <c r="V6034">
        <v>5.4428709999999998E-2</v>
      </c>
      <c r="W6034">
        <v>-1.1667449999999999E-2</v>
      </c>
      <c r="X6034">
        <v>0.99844949999999999</v>
      </c>
      <c r="Y6034">
        <v>-0.1307411</v>
      </c>
      <c r="Z6034">
        <v>9.1243599999999994E-2</v>
      </c>
      <c r="AA6034">
        <v>0.9872088</v>
      </c>
      <c r="AB6034">
        <v>25</v>
      </c>
      <c r="AC6034">
        <v>1.7223999999999899</v>
      </c>
      <c r="AD6034">
        <v>-1.110537648505</v>
      </c>
      <c r="AE6034">
        <v>-11.70017</v>
      </c>
      <c r="AF6034">
        <v>-1.57762881303059</v>
      </c>
      <c r="AG6034">
        <v>-1.110537648505</v>
      </c>
      <c r="AH6034">
        <v>11.6162552313983</v>
      </c>
      <c r="AI6034">
        <v>95.411614696223694</v>
      </c>
      <c r="AJ6034">
        <v>97.734143768540505</v>
      </c>
      <c r="AK6034">
        <v>11.775380764180801</v>
      </c>
      <c r="AL6034">
        <v>90.668510804605503</v>
      </c>
      <c r="AM6034">
        <v>86.879710236550494</v>
      </c>
      <c r="AN6034">
        <v>1.0000000089559999</v>
      </c>
    </row>
    <row r="6035" spans="1:40" x14ac:dyDescent="0.25">
      <c r="A6035" t="str">
        <f>"20190312161435540"</f>
        <v>20190312161435540</v>
      </c>
      <c r="B6035" t="str">
        <f>"1552378475532680"</f>
        <v>1552378475532680</v>
      </c>
      <c r="C6035" t="s">
        <v>40</v>
      </c>
      <c r="D6035">
        <v>5.9836229999999997</v>
      </c>
      <c r="E6035">
        <v>0.43232700000000002</v>
      </c>
      <c r="F6035" t="s">
        <v>77</v>
      </c>
      <c r="G6035">
        <v>-300.67309999999998</v>
      </c>
      <c r="H6035" s="1">
        <v>-4.6541449999999998E-6</v>
      </c>
      <c r="I6035">
        <v>-48.202060000000003</v>
      </c>
      <c r="J6035">
        <v>-302.29610000000002</v>
      </c>
      <c r="K6035">
        <v>1.1105430000000001</v>
      </c>
      <c r="L6035">
        <v>-36.763640000000002</v>
      </c>
      <c r="M6035">
        <v>1.2564799999999999E-2</v>
      </c>
      <c r="N6035">
        <v>0</v>
      </c>
      <c r="O6035">
        <v>-0.99987210000000004</v>
      </c>
      <c r="P6035">
        <v>-4.1451250000000002E-2</v>
      </c>
      <c r="Q6035">
        <v>-2.1297389999999999E-2</v>
      </c>
      <c r="R6035">
        <v>-0.99891359999999996</v>
      </c>
      <c r="S6035">
        <v>0.41946410000000001</v>
      </c>
      <c r="T6035">
        <v>-0.2862111</v>
      </c>
      <c r="U6035">
        <v>-3.0154719999999999</v>
      </c>
      <c r="V6035">
        <v>5.4023410000000001E-2</v>
      </c>
      <c r="W6035">
        <v>-1.127907E-2</v>
      </c>
      <c r="X6035">
        <v>0.99847600000000003</v>
      </c>
      <c r="Y6035">
        <v>-0.1247154</v>
      </c>
      <c r="Z6035">
        <v>9.3662780000000001E-2</v>
      </c>
      <c r="AA6035">
        <v>0.98776180000000002</v>
      </c>
      <c r="AB6035">
        <v>25</v>
      </c>
      <c r="AC6035">
        <v>1.62300000000004</v>
      </c>
      <c r="AD6035">
        <v>-1.1105476541449999</v>
      </c>
      <c r="AE6035">
        <v>-11.438419999999899</v>
      </c>
      <c r="AF6035">
        <v>-1.4656007953974599</v>
      </c>
      <c r="AG6035">
        <v>-1.1105476541449999</v>
      </c>
      <c r="AH6035">
        <v>11.3530055672588</v>
      </c>
      <c r="AI6035">
        <v>95.541189843986103</v>
      </c>
      <c r="AJ6035">
        <v>97.355838572823899</v>
      </c>
      <c r="AK6035">
        <v>11.5009580989501</v>
      </c>
      <c r="AL6035">
        <v>90.646256788607303</v>
      </c>
      <c r="AM6035">
        <v>86.902981915387201</v>
      </c>
      <c r="AN6035">
        <v>1.0000000344120401</v>
      </c>
    </row>
    <row r="6036" spans="1:40" x14ac:dyDescent="0.25">
      <c r="A6036" t="str">
        <f>"20190312161435562"</f>
        <v>20190312161435562</v>
      </c>
      <c r="B6036" t="str">
        <f>"1552378475553175"</f>
        <v>1552378475553175</v>
      </c>
      <c r="C6036" t="s">
        <v>40</v>
      </c>
      <c r="D6036">
        <v>5.9942299999999999</v>
      </c>
      <c r="E6036">
        <v>0.4333573</v>
      </c>
      <c r="F6036" t="s">
        <v>77</v>
      </c>
      <c r="G6036">
        <v>-300.69580000000002</v>
      </c>
      <c r="H6036" s="1">
        <v>-4.7192560000000003E-6</v>
      </c>
      <c r="I6036">
        <v>-48.327260000000003</v>
      </c>
      <c r="J6036">
        <v>-302.29140000000001</v>
      </c>
      <c r="K6036">
        <v>1.1105430000000001</v>
      </c>
      <c r="L6036">
        <v>-37.0152</v>
      </c>
      <c r="M6036">
        <v>1.390219E-2</v>
      </c>
      <c r="N6036">
        <v>0</v>
      </c>
      <c r="O6036">
        <v>-0.99985429999999997</v>
      </c>
      <c r="P6036">
        <v>-3.9382380000000002E-2</v>
      </c>
      <c r="Q6036">
        <v>-2.2132160000000001E-2</v>
      </c>
      <c r="R6036">
        <v>-0.99897950000000002</v>
      </c>
      <c r="S6036">
        <v>0.41717530000000003</v>
      </c>
      <c r="T6036">
        <v>-0.28949760000000002</v>
      </c>
      <c r="U6036">
        <v>-3.0144039999999999</v>
      </c>
      <c r="V6036">
        <v>5.3292770000000003E-2</v>
      </c>
      <c r="W6036">
        <v>-1.209997E-2</v>
      </c>
      <c r="X6036">
        <v>0.99850559999999999</v>
      </c>
      <c r="Y6036">
        <v>-0.12268560000000001</v>
      </c>
      <c r="Z6036">
        <v>9.4775970000000001E-2</v>
      </c>
      <c r="AA6036">
        <v>0.98790979999999995</v>
      </c>
      <c r="AB6036">
        <v>25</v>
      </c>
      <c r="AC6036">
        <v>1.5955999999999899</v>
      </c>
      <c r="AD6036">
        <v>-1.110547719256</v>
      </c>
      <c r="AE6036">
        <v>-11.312059999999899</v>
      </c>
      <c r="AF6036">
        <v>-1.42471203030503</v>
      </c>
      <c r="AG6036">
        <v>-1.110547719256</v>
      </c>
      <c r="AH6036">
        <v>11.2270536354734</v>
      </c>
      <c r="AI6036">
        <v>95.604499488450003</v>
      </c>
      <c r="AJ6036">
        <v>97.232172941482006</v>
      </c>
      <c r="AK6036">
        <v>11.371449069482599</v>
      </c>
      <c r="AL6036">
        <v>90.693294144613901</v>
      </c>
      <c r="AM6036">
        <v>86.944878061466994</v>
      </c>
      <c r="AN6036">
        <v>0.99999998091981601</v>
      </c>
    </row>
    <row r="6037" spans="1:40" x14ac:dyDescent="0.25">
      <c r="A6037" t="str">
        <f>"20190312161435584"</f>
        <v>20190312161435584</v>
      </c>
      <c r="B6037" t="str">
        <f>"1552378475572696"</f>
        <v>1552378475572696</v>
      </c>
      <c r="C6037" t="s">
        <v>40</v>
      </c>
      <c r="D6037">
        <v>6.0157350000000003</v>
      </c>
      <c r="E6037">
        <v>0.4343342</v>
      </c>
      <c r="F6037" t="s">
        <v>77</v>
      </c>
      <c r="G6037">
        <v>-300.75479999999999</v>
      </c>
      <c r="H6037" s="1">
        <v>-4.6433580000000004E-6</v>
      </c>
      <c r="I6037">
        <v>-48.171579999999999</v>
      </c>
      <c r="J6037">
        <v>-302.28680000000003</v>
      </c>
      <c r="K6037">
        <v>1.1105499999999999</v>
      </c>
      <c r="L6037">
        <v>-37.253019999999999</v>
      </c>
      <c r="M6037">
        <v>1.5170319999999999E-2</v>
      </c>
      <c r="N6037">
        <v>0</v>
      </c>
      <c r="O6037">
        <v>-0.99983540000000004</v>
      </c>
      <c r="P6037">
        <v>-3.7485110000000002E-2</v>
      </c>
      <c r="Q6037">
        <v>-2.3182689999999999E-2</v>
      </c>
      <c r="R6037">
        <v>-0.99902829999999998</v>
      </c>
      <c r="S6037">
        <v>0.41497800000000001</v>
      </c>
      <c r="T6037">
        <v>-0.299904</v>
      </c>
      <c r="U6037">
        <v>-3.0127869999999999</v>
      </c>
      <c r="V6037">
        <v>5.2664999999999997E-2</v>
      </c>
      <c r="W6037">
        <v>-1.313017E-2</v>
      </c>
      <c r="X6037">
        <v>0.99852589999999997</v>
      </c>
      <c r="Y6037">
        <v>-0.1207463</v>
      </c>
      <c r="Z6037">
        <v>9.8215880000000005E-2</v>
      </c>
      <c r="AA6037">
        <v>0.98781280000000005</v>
      </c>
      <c r="AB6037">
        <v>25</v>
      </c>
      <c r="AC6037">
        <v>1.53200000000003</v>
      </c>
      <c r="AD6037">
        <v>-1.110554643358</v>
      </c>
      <c r="AE6037">
        <v>-10.918559999999999</v>
      </c>
      <c r="AF6037">
        <v>-1.3524558205121799</v>
      </c>
      <c r="AG6037">
        <v>-1.110554643358</v>
      </c>
      <c r="AH6037">
        <v>10.8306608335192</v>
      </c>
      <c r="AI6037">
        <v>95.809726594138198</v>
      </c>
      <c r="AJ6037">
        <v>97.117844901872104</v>
      </c>
      <c r="AK6037">
        <v>10.9711294975972</v>
      </c>
      <c r="AL6037">
        <v>90.752324952137499</v>
      </c>
      <c r="AM6037">
        <v>86.980860605874994</v>
      </c>
      <c r="AN6037">
        <v>0.99999998828001901</v>
      </c>
    </row>
    <row r="6038" spans="1:40" x14ac:dyDescent="0.25">
      <c r="A6038" t="str">
        <f>"20190312161435606"</f>
        <v>20190312161435606</v>
      </c>
      <c r="B6038" t="str">
        <f>"1552378475602952"</f>
        <v>1552378475602952</v>
      </c>
      <c r="C6038" t="s">
        <v>40</v>
      </c>
      <c r="D6038">
        <v>5.9287089999999996</v>
      </c>
      <c r="E6038">
        <v>0.43492900000000001</v>
      </c>
      <c r="F6038" t="s">
        <v>77</v>
      </c>
      <c r="G6038">
        <v>-300.81450000000001</v>
      </c>
      <c r="H6038" s="1">
        <v>-4.5512020000000002E-6</v>
      </c>
      <c r="I6038">
        <v>-47.983919999999998</v>
      </c>
      <c r="J6038">
        <v>-302.28160000000003</v>
      </c>
      <c r="K6038">
        <v>1.1105590000000001</v>
      </c>
      <c r="L6038">
        <v>-37.499760000000002</v>
      </c>
      <c r="M6038">
        <v>1.649188E-2</v>
      </c>
      <c r="N6038">
        <v>0</v>
      </c>
      <c r="O6038">
        <v>-0.99981419999999999</v>
      </c>
      <c r="P6038">
        <v>-3.5349100000000001E-2</v>
      </c>
      <c r="Q6038">
        <v>-2.339871E-2</v>
      </c>
      <c r="R6038">
        <v>-0.99910120000000002</v>
      </c>
      <c r="S6038">
        <v>0.41314699999999999</v>
      </c>
      <c r="T6038">
        <v>-0.31163279999999999</v>
      </c>
      <c r="U6038">
        <v>-3.0112000000000001</v>
      </c>
      <c r="V6038">
        <v>5.1850670000000001E-2</v>
      </c>
      <c r="W6038">
        <v>-1.331539E-2</v>
      </c>
      <c r="X6038">
        <v>0.99856610000000001</v>
      </c>
      <c r="Y6038">
        <v>-0.118862</v>
      </c>
      <c r="Z6038">
        <v>0.1020827</v>
      </c>
      <c r="AA6038">
        <v>0.9876492</v>
      </c>
      <c r="AB6038">
        <v>25</v>
      </c>
      <c r="AC6038">
        <v>1.4671000000000101</v>
      </c>
      <c r="AD6038">
        <v>-1.110563551202</v>
      </c>
      <c r="AE6038">
        <v>-10.484159999999999</v>
      </c>
      <c r="AF6038">
        <v>-1.27990276448395</v>
      </c>
      <c r="AG6038">
        <v>-1.110563551202</v>
      </c>
      <c r="AH6038">
        <v>10.392558387017401</v>
      </c>
      <c r="AI6038">
        <v>96.054164534777499</v>
      </c>
      <c r="AJ6038">
        <v>97.020947727359101</v>
      </c>
      <c r="AK6038">
        <v>10.529804001754099</v>
      </c>
      <c r="AL6038">
        <v>90.762938177295794</v>
      </c>
      <c r="AM6038">
        <v>87.0275789760571</v>
      </c>
      <c r="AN6038">
        <v>1.00000002382975</v>
      </c>
    </row>
    <row r="6039" spans="1:40" x14ac:dyDescent="0.25">
      <c r="A6039" t="str">
        <f>"20190312161435627"</f>
        <v>20190312161435627</v>
      </c>
      <c r="B6039" t="str">
        <f>"1552378475622472"</f>
        <v>1552378475622472</v>
      </c>
      <c r="C6039" t="s">
        <v>40</v>
      </c>
      <c r="D6039">
        <v>5.8832380000000004</v>
      </c>
      <c r="E6039">
        <v>0.43528319999999998</v>
      </c>
      <c r="F6039" t="s">
        <v>77</v>
      </c>
      <c r="G6039">
        <v>-300.79320000000001</v>
      </c>
      <c r="H6039" s="1">
        <v>-4.7135550000000003E-6</v>
      </c>
      <c r="I6039">
        <v>-48.304960000000001</v>
      </c>
      <c r="J6039">
        <v>-302.27629999999999</v>
      </c>
      <c r="K6039">
        <v>1.1105799999999999</v>
      </c>
      <c r="L6039">
        <v>-37.732640000000004</v>
      </c>
      <c r="M6039">
        <v>1.775082E-2</v>
      </c>
      <c r="N6039">
        <v>0</v>
      </c>
      <c r="O6039">
        <v>-0.99979209999999996</v>
      </c>
      <c r="P6039">
        <v>-3.2980820000000001E-2</v>
      </c>
      <c r="Q6039">
        <v>-2.2957140000000001E-2</v>
      </c>
      <c r="R6039">
        <v>-0.99919239999999998</v>
      </c>
      <c r="S6039">
        <v>0.41461179999999997</v>
      </c>
      <c r="T6039">
        <v>-0.3093824</v>
      </c>
      <c r="U6039">
        <v>-3.010132</v>
      </c>
      <c r="V6039">
        <v>5.0740790000000001E-2</v>
      </c>
      <c r="W6039">
        <v>-1.283247E-2</v>
      </c>
      <c r="X6039">
        <v>0.9986294</v>
      </c>
      <c r="Y6039">
        <v>-0.11814040000000001</v>
      </c>
      <c r="Z6039">
        <v>0.1013863</v>
      </c>
      <c r="AA6039">
        <v>0.98780749999999995</v>
      </c>
      <c r="AB6039">
        <v>25</v>
      </c>
      <c r="AC6039">
        <v>1.4830999999999701</v>
      </c>
      <c r="AD6039">
        <v>-1.110584713555</v>
      </c>
      <c r="AE6039">
        <v>-10.5723199999999</v>
      </c>
      <c r="AF6039">
        <v>-1.28132328628071</v>
      </c>
      <c r="AG6039">
        <v>-1.110584713555</v>
      </c>
      <c r="AH6039">
        <v>10.483531004010599</v>
      </c>
      <c r="AI6039">
        <v>96.002799299125499</v>
      </c>
      <c r="AJ6039">
        <v>96.968271981832302</v>
      </c>
      <c r="AK6039">
        <v>10.6197744835753</v>
      </c>
      <c r="AL6039">
        <v>90.735266560208103</v>
      </c>
      <c r="AM6039">
        <v>87.091278189207202</v>
      </c>
      <c r="AN6039">
        <v>0.99999998930024203</v>
      </c>
    </row>
    <row r="6040" spans="1:40" x14ac:dyDescent="0.25">
      <c r="A6040" t="str">
        <f>"20190312161435646"</f>
        <v>20190312161435646</v>
      </c>
      <c r="B6040" t="str">
        <f>"1552378475642969"</f>
        <v>1552378475642969</v>
      </c>
      <c r="C6040" t="s">
        <v>40</v>
      </c>
      <c r="D6040">
        <v>5.9391980000000002</v>
      </c>
      <c r="E6040">
        <v>0.43576549999999997</v>
      </c>
      <c r="F6040" t="s">
        <v>77</v>
      </c>
      <c r="G6040">
        <v>-300.75670000000002</v>
      </c>
      <c r="H6040" s="1">
        <v>-4.8875789999999996E-6</v>
      </c>
      <c r="I6040">
        <v>-48.650660000000002</v>
      </c>
      <c r="J6040">
        <v>-302.2713</v>
      </c>
      <c r="K6040">
        <v>1.110603</v>
      </c>
      <c r="L6040">
        <v>-37.945129999999999</v>
      </c>
      <c r="M6040">
        <v>1.8915709999999999E-2</v>
      </c>
      <c r="N6040">
        <v>0</v>
      </c>
      <c r="O6040">
        <v>-0.99977050000000001</v>
      </c>
      <c r="P6040">
        <v>-3.1330179999999999E-2</v>
      </c>
      <c r="Q6040">
        <v>-2.2803569999999999E-2</v>
      </c>
      <c r="R6040">
        <v>-0.99924900000000005</v>
      </c>
      <c r="S6040">
        <v>0.41882320000000001</v>
      </c>
      <c r="T6040">
        <v>-0.3060986</v>
      </c>
      <c r="U6040">
        <v>-3.0092159999999999</v>
      </c>
      <c r="V6040">
        <v>5.0254800000000002E-2</v>
      </c>
      <c r="W6040">
        <v>-1.263062E-2</v>
      </c>
      <c r="X6040">
        <v>0.99865660000000001</v>
      </c>
      <c r="Y6040">
        <v>-0.11839520000000001</v>
      </c>
      <c r="Z6040">
        <v>0.10033690000000001</v>
      </c>
      <c r="AA6040">
        <v>0.98788419999999999</v>
      </c>
      <c r="AB6040">
        <v>25</v>
      </c>
      <c r="AC6040">
        <v>1.51459999999997</v>
      </c>
      <c r="AD6040">
        <v>-1.110607887579</v>
      </c>
      <c r="AE6040">
        <v>-10.7055299999999</v>
      </c>
      <c r="AF6040">
        <v>-1.2981194403279901</v>
      </c>
      <c r="AG6040">
        <v>-1.110607887579</v>
      </c>
      <c r="AH6040">
        <v>10.62021057173</v>
      </c>
      <c r="AI6040">
        <v>95.926214757135696</v>
      </c>
      <c r="AJ6040">
        <v>96.9687548299067</v>
      </c>
      <c r="AK6040">
        <v>10.756739122484801</v>
      </c>
      <c r="AL6040">
        <v>90.723700432052794</v>
      </c>
      <c r="AM6040">
        <v>87.119168798624301</v>
      </c>
      <c r="AN6040">
        <v>1.0000000411040899</v>
      </c>
    </row>
    <row r="6041" spans="1:40" x14ac:dyDescent="0.25">
      <c r="A6041" t="str">
        <f>"20190312161435669"</f>
        <v>20190312161435669</v>
      </c>
      <c r="B6041" t="str">
        <f>"1552378475662489"</f>
        <v>1552378475662489</v>
      </c>
      <c r="C6041" t="s">
        <v>40</v>
      </c>
      <c r="D6041">
        <v>5.9838449999999996</v>
      </c>
      <c r="E6041">
        <v>0.43607970000000001</v>
      </c>
      <c r="F6041" t="s">
        <v>77</v>
      </c>
      <c r="G6041">
        <v>-300.72820000000002</v>
      </c>
      <c r="H6041" s="1">
        <v>-5.0623020000000003E-6</v>
      </c>
      <c r="I6041">
        <v>-48.996810000000004</v>
      </c>
      <c r="J6041">
        <v>-302.26490000000001</v>
      </c>
      <c r="K6041">
        <v>1.1106419999999999</v>
      </c>
      <c r="L6041">
        <v>-38.19641</v>
      </c>
      <c r="M6041">
        <v>2.0320169999999999E-2</v>
      </c>
      <c r="N6041">
        <v>0</v>
      </c>
      <c r="O6041">
        <v>-0.99974240000000003</v>
      </c>
      <c r="P6041">
        <v>-2.9808939999999999E-2</v>
      </c>
      <c r="Q6041">
        <v>-2.3193519999999999E-2</v>
      </c>
      <c r="R6041">
        <v>-0.99928680000000003</v>
      </c>
      <c r="S6041">
        <v>0.42004390000000003</v>
      </c>
      <c r="T6041">
        <v>-0.3023323</v>
      </c>
      <c r="U6041">
        <v>-3.0085139999999999</v>
      </c>
      <c r="V6041">
        <v>5.0138670000000003E-2</v>
      </c>
      <c r="W6041">
        <v>-1.295379E-2</v>
      </c>
      <c r="X6041">
        <v>0.99865820000000005</v>
      </c>
      <c r="Y6041">
        <v>-0.1174417</v>
      </c>
      <c r="Z6041">
        <v>9.9136080000000001E-2</v>
      </c>
      <c r="AA6041">
        <v>0.98811919999999998</v>
      </c>
      <c r="AB6041">
        <v>25</v>
      </c>
      <c r="AC6041">
        <v>1.53669999999999</v>
      </c>
      <c r="AD6041">
        <v>-1.1106470623019999</v>
      </c>
      <c r="AE6041">
        <v>-10.8003999999999</v>
      </c>
      <c r="AF6041">
        <v>-1.30339582497996</v>
      </c>
      <c r="AG6041">
        <v>-1.1106470623019999</v>
      </c>
      <c r="AH6041">
        <v>10.7183023852247</v>
      </c>
      <c r="AI6041">
        <v>95.873004446594393</v>
      </c>
      <c r="AJ6041">
        <v>96.933392856175104</v>
      </c>
      <c r="AK6041">
        <v>10.854233441136699</v>
      </c>
      <c r="AL6041">
        <v>90.742218295954203</v>
      </c>
      <c r="AM6041">
        <v>87.125819314443902</v>
      </c>
      <c r="AN6041">
        <v>0.99999994366598499</v>
      </c>
    </row>
    <row r="6042" spans="1:40" x14ac:dyDescent="0.25">
      <c r="A6042" t="str">
        <f>"20190312161435692"</f>
        <v>20190312161435692</v>
      </c>
      <c r="B6042" t="str">
        <f>"1552378475682984"</f>
        <v>1552378475682984</v>
      </c>
      <c r="C6042" t="s">
        <v>40</v>
      </c>
      <c r="D6042">
        <v>5.9589850000000002</v>
      </c>
      <c r="E6042">
        <v>0.43628159999999999</v>
      </c>
      <c r="F6042" t="s">
        <v>77</v>
      </c>
      <c r="G6042">
        <v>-300.70299999999997</v>
      </c>
      <c r="H6042" s="1">
        <v>-5.2226660000000003E-6</v>
      </c>
      <c r="I6042">
        <v>-49.314410000000002</v>
      </c>
      <c r="J6042">
        <v>-302.25779999999997</v>
      </c>
      <c r="K6042">
        <v>1.110695</v>
      </c>
      <c r="L6042">
        <v>-38.462620000000001</v>
      </c>
      <c r="M6042">
        <v>2.1850169999999999E-2</v>
      </c>
      <c r="N6042">
        <v>0</v>
      </c>
      <c r="O6042">
        <v>-0.99970919999999996</v>
      </c>
      <c r="P6042">
        <v>-2.8307499999999999E-2</v>
      </c>
      <c r="Q6042">
        <v>-2.3134330000000002E-2</v>
      </c>
      <c r="R6042">
        <v>-0.99933170000000004</v>
      </c>
      <c r="S6042">
        <v>0.42254639999999999</v>
      </c>
      <c r="T6042">
        <v>-0.30046630000000002</v>
      </c>
      <c r="U6042">
        <v>-3.0077820000000002</v>
      </c>
      <c r="V6042">
        <v>5.0167259999999998E-2</v>
      </c>
      <c r="W6042">
        <v>-1.280832E-2</v>
      </c>
      <c r="X6042">
        <v>0.99865870000000001</v>
      </c>
      <c r="Y6042">
        <v>-0.11676930000000001</v>
      </c>
      <c r="Z6042">
        <v>9.8547300000000004E-2</v>
      </c>
      <c r="AA6042">
        <v>0.98825779999999996</v>
      </c>
      <c r="AB6042">
        <v>25</v>
      </c>
      <c r="AC6042">
        <v>1.5548</v>
      </c>
      <c r="AD6042">
        <v>-1.1107002226660001</v>
      </c>
      <c r="AE6042">
        <v>-10.8517899999999</v>
      </c>
      <c r="AF6042">
        <v>-1.3039180288091701</v>
      </c>
      <c r="AG6042">
        <v>-1.1107002226660001</v>
      </c>
      <c r="AH6042">
        <v>10.772590899400701</v>
      </c>
      <c r="AI6042">
        <v>95.844282117543202</v>
      </c>
      <c r="AJ6042">
        <v>96.901526904647795</v>
      </c>
      <c r="AK6042">
        <v>10.907913269564199</v>
      </c>
      <c r="AL6042">
        <v>90.733882743290707</v>
      </c>
      <c r="AM6042">
        <v>87.124184591127104</v>
      </c>
      <c r="AN6042">
        <v>1.0000000030614</v>
      </c>
    </row>
    <row r="6043" spans="1:40" x14ac:dyDescent="0.25">
      <c r="A6043" t="str">
        <f>"20190312161435718"</f>
        <v>20190312161435718</v>
      </c>
      <c r="B6043" t="str">
        <f>"1552378475712264"</f>
        <v>1552378475712264</v>
      </c>
      <c r="C6043" t="s">
        <v>40</v>
      </c>
      <c r="D6043">
        <v>5.9676689999999999</v>
      </c>
      <c r="E6043">
        <v>0.43661220000000001</v>
      </c>
      <c r="F6043" t="s">
        <v>77</v>
      </c>
      <c r="G6043">
        <v>-300.67039999999997</v>
      </c>
      <c r="H6043" s="1">
        <v>-5.4111879999999996E-6</v>
      </c>
      <c r="I6043">
        <v>-49.688110000000002</v>
      </c>
      <c r="J6043">
        <v>-302.25</v>
      </c>
      <c r="K6043">
        <v>1.1107419999999999</v>
      </c>
      <c r="L6043">
        <v>-38.733089999999997</v>
      </c>
      <c r="M6043">
        <v>2.3445959999999998E-2</v>
      </c>
      <c r="N6043">
        <v>0</v>
      </c>
      <c r="O6043">
        <v>-0.99967209999999995</v>
      </c>
      <c r="P6043">
        <v>-2.6197249999999998E-2</v>
      </c>
      <c r="Q6043">
        <v>-2.2917380000000001E-2</v>
      </c>
      <c r="R6043">
        <v>-0.99939420000000001</v>
      </c>
      <c r="S6043">
        <v>0.4252319</v>
      </c>
      <c r="T6043">
        <v>-0.2975429</v>
      </c>
      <c r="U6043">
        <v>-3.0071720000000002</v>
      </c>
      <c r="V6043">
        <v>4.965311E-2</v>
      </c>
      <c r="W6043">
        <v>-1.2491789999999999E-2</v>
      </c>
      <c r="X6043">
        <v>0.99868840000000003</v>
      </c>
      <c r="Y6043">
        <v>-0.116089899999999</v>
      </c>
      <c r="Z6043">
        <v>9.7609810000000005E-2</v>
      </c>
      <c r="AA6043">
        <v>0.98843080000000005</v>
      </c>
      <c r="AB6043">
        <v>25</v>
      </c>
      <c r="AC6043">
        <v>1.5796000000000201</v>
      </c>
      <c r="AD6043">
        <v>-1.110747411188</v>
      </c>
      <c r="AE6043">
        <v>-10.9550199999999</v>
      </c>
      <c r="AF6043">
        <v>-1.3091171914049</v>
      </c>
      <c r="AG6043">
        <v>-1.110747411188</v>
      </c>
      <c r="AH6043">
        <v>10.8794794348252</v>
      </c>
      <c r="AI6043">
        <v>95.787985552508999</v>
      </c>
      <c r="AJ6043">
        <v>96.861357020902702</v>
      </c>
      <c r="AK6043">
        <v>11.014110059604301</v>
      </c>
      <c r="AL6043">
        <v>90.715745462387503</v>
      </c>
      <c r="AM6043">
        <v>87.153693796350098</v>
      </c>
      <c r="AN6043">
        <v>0.999999998222318</v>
      </c>
    </row>
    <row r="6044" spans="1:40" x14ac:dyDescent="0.25">
      <c r="A6044" t="str">
        <f>"20190312161435754"</f>
        <v>20190312161435754</v>
      </c>
      <c r="B6044" t="str">
        <f>"1552378475742521"</f>
        <v>1552378475742521</v>
      </c>
      <c r="C6044" t="s">
        <v>40</v>
      </c>
      <c r="D6044">
        <v>5.9586319999999997</v>
      </c>
      <c r="E6044">
        <v>0.43676359999999997</v>
      </c>
      <c r="F6044" t="s">
        <v>77</v>
      </c>
      <c r="G6044">
        <v>-300.65429999999998</v>
      </c>
      <c r="H6044" s="1">
        <v>-5.5260360000000003E-6</v>
      </c>
      <c r="I6044">
        <v>-49.91534</v>
      </c>
      <c r="J6044">
        <v>-302.23770000000002</v>
      </c>
      <c r="K6044">
        <v>1.1108389999999999</v>
      </c>
      <c r="L6044">
        <v>-39.132689999999997</v>
      </c>
      <c r="M6044">
        <v>2.5912729999999998E-2</v>
      </c>
      <c r="N6044">
        <v>0</v>
      </c>
      <c r="O6044">
        <v>-0.99960879999999996</v>
      </c>
      <c r="P6044">
        <v>-2.202894E-2</v>
      </c>
      <c r="Q6044">
        <v>-2.3406679999999999E-2</v>
      </c>
      <c r="R6044">
        <v>-0.99948349999999997</v>
      </c>
      <c r="S6044">
        <v>0.42898560000000002</v>
      </c>
      <c r="T6044">
        <v>-0.29861219999999999</v>
      </c>
      <c r="U6044">
        <v>-3.0062259999999998</v>
      </c>
      <c r="V6044">
        <v>4.795485E-2</v>
      </c>
      <c r="W6044">
        <v>-1.2755570000000001E-2</v>
      </c>
      <c r="X6044">
        <v>0.99876799999999999</v>
      </c>
      <c r="Y6044">
        <v>-0.1148868</v>
      </c>
      <c r="Z6044">
        <v>9.7976919999999995E-2</v>
      </c>
      <c r="AA6044">
        <v>0.98853500000000005</v>
      </c>
      <c r="AB6044">
        <v>25</v>
      </c>
      <c r="AC6044">
        <v>1.5834000000000299</v>
      </c>
      <c r="AD6044">
        <v>-1.11084452603599</v>
      </c>
      <c r="AE6044">
        <v>-10.782649999999901</v>
      </c>
      <c r="AF6044">
        <v>-1.2900421264394299</v>
      </c>
      <c r="AG6044">
        <v>-1.11084452603599</v>
      </c>
      <c r="AH6044">
        <v>10.7088034615754</v>
      </c>
      <c r="AI6044">
        <v>95.880008568185104</v>
      </c>
      <c r="AJ6044">
        <v>96.869068559456394</v>
      </c>
      <c r="AK6044">
        <v>10.843276987500699</v>
      </c>
      <c r="AL6044">
        <v>90.730860186433603</v>
      </c>
      <c r="AM6044">
        <v>87.251111337556296</v>
      </c>
      <c r="AN6044">
        <v>0.99999994501427203</v>
      </c>
    </row>
    <row r="6045" spans="1:40" x14ac:dyDescent="0.25">
      <c r="A6045" t="str">
        <f>"20190312161435782"</f>
        <v>20190312161435782</v>
      </c>
      <c r="B6045" t="str">
        <f>"1552378475772776"</f>
        <v>1552378475772776</v>
      </c>
      <c r="C6045" t="s">
        <v>40</v>
      </c>
      <c r="D6045">
        <v>5.9197730000000002</v>
      </c>
      <c r="E6045">
        <v>0.43690000000000001</v>
      </c>
      <c r="F6045" t="s">
        <v>77</v>
      </c>
      <c r="G6045">
        <v>-300.58920000000001</v>
      </c>
      <c r="H6045" s="1">
        <v>-5.7582309999999898E-6</v>
      </c>
      <c r="I6045">
        <v>-50.37847</v>
      </c>
      <c r="J6045">
        <v>-302.22669999999999</v>
      </c>
      <c r="K6045">
        <v>1.110946</v>
      </c>
      <c r="L6045">
        <v>-39.461060000000003</v>
      </c>
      <c r="M6045">
        <v>2.8064889999999999E-2</v>
      </c>
      <c r="N6045">
        <v>0</v>
      </c>
      <c r="O6045">
        <v>-0.99954759999999998</v>
      </c>
      <c r="P6045">
        <v>-1.8949239999999999E-2</v>
      </c>
      <c r="Q6045">
        <v>-2.3821459999999999E-2</v>
      </c>
      <c r="R6045">
        <v>-0.9995366</v>
      </c>
      <c r="S6045">
        <v>0.44039919999999999</v>
      </c>
      <c r="T6045">
        <v>-0.29676150000000001</v>
      </c>
      <c r="U6045">
        <v>-3.0043030000000002</v>
      </c>
      <c r="V6045">
        <v>4.7030120000000002E-2</v>
      </c>
      <c r="W6045">
        <v>-1.2894070000000001E-2</v>
      </c>
      <c r="X6045">
        <v>0.99881019999999998</v>
      </c>
      <c r="Y6045">
        <v>-0.11652319999999999</v>
      </c>
      <c r="Z6045">
        <v>9.7392720000000002E-2</v>
      </c>
      <c r="AA6045">
        <v>0.98840119999999998</v>
      </c>
      <c r="AB6045">
        <v>25</v>
      </c>
      <c r="AC6045">
        <v>1.63749999999998</v>
      </c>
      <c r="AD6045">
        <v>-1.110951758231</v>
      </c>
      <c r="AE6045">
        <v>-10.91741</v>
      </c>
      <c r="AF6045">
        <v>-1.3171025355558701</v>
      </c>
      <c r="AG6045">
        <v>-1.110951758231</v>
      </c>
      <c r="AH6045">
        <v>10.849196192735199</v>
      </c>
      <c r="AI6045">
        <v>95.804355693114701</v>
      </c>
      <c r="AJ6045">
        <v>96.921888330925995</v>
      </c>
      <c r="AK6045">
        <v>10.985173231530901</v>
      </c>
      <c r="AL6045">
        <v>90.738796299540098</v>
      </c>
      <c r="AM6045">
        <v>87.304153875192299</v>
      </c>
      <c r="AN6045">
        <v>0.99999995242620798</v>
      </c>
    </row>
    <row r="6046" spans="1:40" x14ac:dyDescent="0.25">
      <c r="A6046" t="str">
        <f>"20190312161435806"</f>
        <v>20190312161435806</v>
      </c>
      <c r="B6046" t="str">
        <f>"1552378475803032"</f>
        <v>1552378475803032</v>
      </c>
      <c r="C6046" t="s">
        <v>40</v>
      </c>
      <c r="D6046">
        <v>5.9181999999999997</v>
      </c>
      <c r="E6046">
        <v>0.43702550000000001</v>
      </c>
      <c r="F6046" t="s">
        <v>77</v>
      </c>
      <c r="G6046">
        <v>-300.55630000000002</v>
      </c>
      <c r="H6046" s="1">
        <v>-5.8651419999999999E-6</v>
      </c>
      <c r="I6046">
        <v>-50.64434</v>
      </c>
      <c r="J6046">
        <v>-302.21699999999998</v>
      </c>
      <c r="K6046">
        <v>1.1110420000000001</v>
      </c>
      <c r="L6046">
        <v>-39.730499999999999</v>
      </c>
      <c r="M6046">
        <v>2.9919950000000001E-2</v>
      </c>
      <c r="N6046">
        <v>0</v>
      </c>
      <c r="O6046">
        <v>-0.99949120000000002</v>
      </c>
      <c r="P6046">
        <v>-1.591542E-2</v>
      </c>
      <c r="Q6046">
        <v>-2.4671430000000001E-2</v>
      </c>
      <c r="R6046">
        <v>-0.99956920000000005</v>
      </c>
      <c r="S6046">
        <v>0.44851679999999999</v>
      </c>
      <c r="T6046">
        <v>-0.29829729999999999</v>
      </c>
      <c r="U6046">
        <v>-3.002777</v>
      </c>
      <c r="V6046">
        <v>4.5855369999999999E-2</v>
      </c>
      <c r="W6046">
        <v>-1.348649E-2</v>
      </c>
      <c r="X6046">
        <v>0.99885699999999999</v>
      </c>
      <c r="Y6046">
        <v>-0.1173593</v>
      </c>
      <c r="Z6046">
        <v>9.7908819999999994E-2</v>
      </c>
      <c r="AA6046">
        <v>0.98825130000000005</v>
      </c>
      <c r="AB6046">
        <v>25</v>
      </c>
      <c r="AC6046">
        <v>1.6606999999999601</v>
      </c>
      <c r="AD6046">
        <v>-1.1110478651419999</v>
      </c>
      <c r="AE6046">
        <v>-10.913839999999899</v>
      </c>
      <c r="AF6046">
        <v>-1.3200243086518699</v>
      </c>
      <c r="AG6046">
        <v>-1.1110478651419999</v>
      </c>
      <c r="AH6046">
        <v>10.848756595320101</v>
      </c>
      <c r="AI6046">
        <v>95.804898636635002</v>
      </c>
      <c r="AJ6046">
        <v>96.937372286019098</v>
      </c>
      <c r="AK6046">
        <v>10.985099507904801</v>
      </c>
      <c r="AL6046">
        <v>90.772742419751694</v>
      </c>
      <c r="AM6046">
        <v>87.371519865764995</v>
      </c>
      <c r="AN6046">
        <v>0.99999995340967696</v>
      </c>
    </row>
    <row r="6047" spans="1:40" x14ac:dyDescent="0.25">
      <c r="A6047" t="str">
        <f>"20190312161435827"</f>
        <v>20190312161435827</v>
      </c>
      <c r="B6047" t="str">
        <f>"1552378475822551"</f>
        <v>1552378475822551</v>
      </c>
      <c r="C6047" t="s">
        <v>40</v>
      </c>
      <c r="D6047">
        <v>5.9300480000000002</v>
      </c>
      <c r="E6047">
        <v>0.43705119999999997</v>
      </c>
      <c r="F6047" t="s">
        <v>77</v>
      </c>
      <c r="G6047">
        <v>-300.52069999999998</v>
      </c>
      <c r="H6047" s="1">
        <v>-5.9580499999999996E-6</v>
      </c>
      <c r="I6047">
        <v>-50.877510000000001</v>
      </c>
      <c r="J6047">
        <v>-302.20850000000002</v>
      </c>
      <c r="K6047">
        <v>1.111132</v>
      </c>
      <c r="L6047">
        <v>-39.954650000000001</v>
      </c>
      <c r="M6047">
        <v>3.154945E-2</v>
      </c>
      <c r="N6047">
        <v>0</v>
      </c>
      <c r="O6047">
        <v>-0.9994383</v>
      </c>
      <c r="P6047">
        <v>-1.2939559999999999E-2</v>
      </c>
      <c r="Q6047">
        <v>-2.5342279999999998E-2</v>
      </c>
      <c r="R6047">
        <v>-0.99959529999999996</v>
      </c>
      <c r="S6047">
        <v>0.45669559999999998</v>
      </c>
      <c r="T6047">
        <v>-0.2991356</v>
      </c>
      <c r="U6047">
        <v>-3.0011899999999998</v>
      </c>
      <c r="V6047">
        <v>4.4512950000000003E-2</v>
      </c>
      <c r="W6047">
        <v>-1.3916110000000001E-2</v>
      </c>
      <c r="X6047">
        <v>0.99891189999999996</v>
      </c>
      <c r="Y6047">
        <v>-0.1184455</v>
      </c>
      <c r="Z6047">
        <v>9.8198789999999994E-2</v>
      </c>
      <c r="AA6047">
        <v>0.988093</v>
      </c>
      <c r="AB6047">
        <v>25</v>
      </c>
      <c r="AC6047">
        <v>1.6878000000000299</v>
      </c>
      <c r="AD6047">
        <v>-1.11113795805</v>
      </c>
      <c r="AE6047">
        <v>-10.92286</v>
      </c>
      <c r="AF6047">
        <v>-1.3288965051975099</v>
      </c>
      <c r="AG6047">
        <v>-1.11113795805</v>
      </c>
      <c r="AH6047">
        <v>10.860904878789199</v>
      </c>
      <c r="AI6047">
        <v>95.798445531078301</v>
      </c>
      <c r="AJ6047">
        <v>96.975806772310506</v>
      </c>
      <c r="AK6047">
        <v>10.9981747699086</v>
      </c>
      <c r="AL6047">
        <v>90.797360089667507</v>
      </c>
      <c r="AM6047">
        <v>87.448505672861401</v>
      </c>
      <c r="AN6047">
        <v>1.00000002239842</v>
      </c>
    </row>
    <row r="6048" spans="1:40" x14ac:dyDescent="0.25">
      <c r="A6048" t="str">
        <f>"20190312161435849"</f>
        <v>20190312161435849</v>
      </c>
      <c r="B6048" t="str">
        <f>"1552378475842072"</f>
        <v>1552378475842072</v>
      </c>
      <c r="C6048" t="s">
        <v>40</v>
      </c>
      <c r="D6048">
        <v>5.9358659999999999</v>
      </c>
      <c r="E6048">
        <v>0.4370983</v>
      </c>
      <c r="F6048" t="s">
        <v>77</v>
      </c>
      <c r="G6048">
        <v>-300.49459999999999</v>
      </c>
      <c r="H6048" s="1">
        <v>-6.0094030000000003E-6</v>
      </c>
      <c r="I6048">
        <v>-51.00732</v>
      </c>
      <c r="J6048">
        <v>-302.1986</v>
      </c>
      <c r="K6048">
        <v>1.1112340000000001</v>
      </c>
      <c r="L6048">
        <v>-40.199460000000002</v>
      </c>
      <c r="M6048">
        <v>3.3427270000000002E-2</v>
      </c>
      <c r="N6048">
        <v>0</v>
      </c>
      <c r="O6048">
        <v>-0.99937430000000005</v>
      </c>
      <c r="P6048">
        <v>-1.044699E-2</v>
      </c>
      <c r="Q6048">
        <v>-2.608686E-2</v>
      </c>
      <c r="R6048">
        <v>-0.99960550000000004</v>
      </c>
      <c r="S6048">
        <v>0.46511839999999999</v>
      </c>
      <c r="T6048">
        <v>-0.3015507</v>
      </c>
      <c r="U6048">
        <v>-2.9995729999999998</v>
      </c>
      <c r="V6048">
        <v>4.3902209999999997E-2</v>
      </c>
      <c r="W6048">
        <v>-1.4383740000000001E-2</v>
      </c>
      <c r="X6048">
        <v>0.9989323</v>
      </c>
      <c r="Y6048">
        <v>-0.1193574</v>
      </c>
      <c r="Z6048">
        <v>9.9000820000000003E-2</v>
      </c>
      <c r="AA6048">
        <v>0.98790319999999998</v>
      </c>
      <c r="AB6048">
        <v>25</v>
      </c>
      <c r="AC6048">
        <v>1.704</v>
      </c>
      <c r="AD6048">
        <v>-1.1112400094029999</v>
      </c>
      <c r="AE6048">
        <v>-10.80786</v>
      </c>
      <c r="AF6048">
        <v>-1.32804728245008</v>
      </c>
      <c r="AG6048">
        <v>-1.1112400094029999</v>
      </c>
      <c r="AH6048">
        <v>10.7479174491222</v>
      </c>
      <c r="AI6048">
        <v>95.858663333067796</v>
      </c>
      <c r="AJ6048">
        <v>97.043947089853702</v>
      </c>
      <c r="AK6048">
        <v>10.8865188851196</v>
      </c>
      <c r="AL6048">
        <v>90.824156000987102</v>
      </c>
      <c r="AM6048">
        <v>87.483519462947598</v>
      </c>
      <c r="AN6048">
        <v>1.00000001800128</v>
      </c>
    </row>
    <row r="6049" spans="1:40" x14ac:dyDescent="0.25">
      <c r="A6049" t="str">
        <f>"20190312161435871"</f>
        <v>20190312161435871</v>
      </c>
      <c r="B6049" t="str">
        <f>"1552378475862568"</f>
        <v>1552378475862568</v>
      </c>
      <c r="C6049" t="s">
        <v>40</v>
      </c>
      <c r="D6049">
        <v>5.9124280000000002</v>
      </c>
      <c r="E6049">
        <v>0.43726510000000002</v>
      </c>
      <c r="F6049" t="s">
        <v>77</v>
      </c>
      <c r="G6049">
        <v>-300.46710000000002</v>
      </c>
      <c r="H6049" s="1">
        <v>-6.0834580000000004E-6</v>
      </c>
      <c r="I6049">
        <v>-51.193049999999999</v>
      </c>
      <c r="J6049">
        <v>-302.18810000000002</v>
      </c>
      <c r="K6049">
        <v>1.1113329999999999</v>
      </c>
      <c r="L6049">
        <v>-40.44641</v>
      </c>
      <c r="M6049">
        <v>3.5427500000000001E-2</v>
      </c>
      <c r="N6049">
        <v>0</v>
      </c>
      <c r="O6049">
        <v>-0.99930240000000004</v>
      </c>
      <c r="P6049">
        <v>-7.9442190000000006E-3</v>
      </c>
      <c r="Q6049">
        <v>-2.6497409999999999E-2</v>
      </c>
      <c r="R6049">
        <v>-0.9996176</v>
      </c>
      <c r="S6049">
        <v>0.47222900000000001</v>
      </c>
      <c r="T6049">
        <v>-0.30306339999999998</v>
      </c>
      <c r="U6049">
        <v>-2.99823</v>
      </c>
      <c r="V6049">
        <v>4.3403270000000001E-2</v>
      </c>
      <c r="W6049">
        <v>-1.452643E-2</v>
      </c>
      <c r="X6049">
        <v>0.99895199999999995</v>
      </c>
      <c r="Y6049">
        <v>-0.1197164</v>
      </c>
      <c r="Z6049">
        <v>9.9505750000000004E-2</v>
      </c>
      <c r="AA6049">
        <v>0.98780900000000005</v>
      </c>
      <c r="AB6049">
        <v>25</v>
      </c>
      <c r="AC6049">
        <v>1.7210000000000001</v>
      </c>
      <c r="AD6049">
        <v>-1.1113390834579999</v>
      </c>
      <c r="AE6049">
        <v>-10.746639999999999</v>
      </c>
      <c r="AF6049">
        <v>-1.3253472138408799</v>
      </c>
      <c r="AG6049">
        <v>-1.1113390834579999</v>
      </c>
      <c r="AH6049">
        <v>10.6894116450237</v>
      </c>
      <c r="AI6049">
        <v>95.890723732401796</v>
      </c>
      <c r="AJ6049">
        <v>97.067856969034096</v>
      </c>
      <c r="AK6049">
        <v>10.828441305766299</v>
      </c>
      <c r="AL6049">
        <v>90.8323324218116</v>
      </c>
      <c r="AM6049">
        <v>87.512131630173798</v>
      </c>
      <c r="AN6049">
        <v>0.99999997965961795</v>
      </c>
    </row>
    <row r="6050" spans="1:40" x14ac:dyDescent="0.25">
      <c r="A6050" t="str">
        <f>"20190312161435894"</f>
        <v>20190312161435894</v>
      </c>
      <c r="B6050" t="str">
        <f>"1552378475882886"</f>
        <v>1552378475882886</v>
      </c>
      <c r="C6050" t="s">
        <v>40</v>
      </c>
      <c r="D6050">
        <v>5.8994229999999996</v>
      </c>
      <c r="E6050">
        <v>0.4374247</v>
      </c>
      <c r="F6050" t="s">
        <v>77</v>
      </c>
      <c r="G6050">
        <v>-300.44040000000001</v>
      </c>
      <c r="H6050" s="1">
        <v>-6.1641750000000002E-6</v>
      </c>
      <c r="I6050">
        <v>-51.395029999999998</v>
      </c>
      <c r="J6050">
        <v>-302.17680000000001</v>
      </c>
      <c r="K6050">
        <v>1.1114269999999999</v>
      </c>
      <c r="L6050">
        <v>-40.698610000000002</v>
      </c>
      <c r="M6050">
        <v>3.7552549999999997E-2</v>
      </c>
      <c r="N6050">
        <v>0</v>
      </c>
      <c r="O6050">
        <v>-0.99922149999999998</v>
      </c>
      <c r="P6050">
        <v>-5.314338E-3</v>
      </c>
      <c r="Q6050">
        <v>-2.6703729999999998E-2</v>
      </c>
      <c r="R6050">
        <v>-0.99962930000000005</v>
      </c>
      <c r="S6050">
        <v>0.47839359999999997</v>
      </c>
      <c r="T6050">
        <v>-0.304199</v>
      </c>
      <c r="U6050">
        <v>-2.9968870000000001</v>
      </c>
      <c r="V6050">
        <v>4.2901710000000003E-2</v>
      </c>
      <c r="W6050">
        <v>-1.448289E-2</v>
      </c>
      <c r="X6050">
        <v>0.99897429999999998</v>
      </c>
      <c r="Y6050">
        <v>-0.11964909999999999</v>
      </c>
      <c r="Z6050">
        <v>9.9891599999999997E-2</v>
      </c>
      <c r="AA6050">
        <v>0.98777820000000005</v>
      </c>
      <c r="AB6050">
        <v>25</v>
      </c>
      <c r="AC6050">
        <v>1.7363999999999999</v>
      </c>
      <c r="AD6050">
        <v>-1.1114331641749999</v>
      </c>
      <c r="AE6050">
        <v>-10.69642</v>
      </c>
      <c r="AF6050">
        <v>-1.3195865147082899</v>
      </c>
      <c r="AG6050">
        <v>-1.1114331641749999</v>
      </c>
      <c r="AH6050">
        <v>10.642135767907901</v>
      </c>
      <c r="AI6050">
        <v>95.917197558852905</v>
      </c>
      <c r="AJ6050">
        <v>97.068391928823004</v>
      </c>
      <c r="AK6050">
        <v>10.781078144175201</v>
      </c>
      <c r="AL6050">
        <v>90.829837499580407</v>
      </c>
      <c r="AM6050">
        <v>87.540900295707203</v>
      </c>
      <c r="AN6050">
        <v>0.99999998144208202</v>
      </c>
    </row>
    <row r="6051" spans="1:40" x14ac:dyDescent="0.25">
      <c r="A6051" t="str">
        <f>"20190312161435918"</f>
        <v>20190312161435918</v>
      </c>
      <c r="B6051" t="str">
        <f>"1552378475912166"</f>
        <v>1552378475912166</v>
      </c>
      <c r="C6051" t="s">
        <v>40</v>
      </c>
      <c r="D6051">
        <v>5.9208429999999996</v>
      </c>
      <c r="E6051">
        <v>0.43764330000000001</v>
      </c>
      <c r="F6051" t="s">
        <v>77</v>
      </c>
      <c r="G6051">
        <v>-300.40780000000001</v>
      </c>
      <c r="H6051" s="1">
        <v>-6.2562689999999999E-6</v>
      </c>
      <c r="I6051">
        <v>-51.625790000000002</v>
      </c>
      <c r="J6051">
        <v>-302.16449999999998</v>
      </c>
      <c r="K6051">
        <v>1.1115029999999999</v>
      </c>
      <c r="L6051">
        <v>-40.95776</v>
      </c>
      <c r="M6051">
        <v>3.9816659999999997E-2</v>
      </c>
      <c r="N6051">
        <v>0</v>
      </c>
      <c r="O6051">
        <v>-0.99913129999999994</v>
      </c>
      <c r="P6051">
        <v>-2.485676E-3</v>
      </c>
      <c r="Q6051">
        <v>-2.7377809999999999E-2</v>
      </c>
      <c r="R6051">
        <v>-0.99962229999999996</v>
      </c>
      <c r="S6051">
        <v>0.48495480000000002</v>
      </c>
      <c r="T6051">
        <v>-0.30468499999999998</v>
      </c>
      <c r="U6051">
        <v>-2.9955440000000002</v>
      </c>
      <c r="V6051">
        <v>4.234156E-2</v>
      </c>
      <c r="W6051">
        <v>-1.4924679999999999E-2</v>
      </c>
      <c r="X6051">
        <v>0.99899170000000004</v>
      </c>
      <c r="Y6051">
        <v>-0.11957470000000001</v>
      </c>
      <c r="Z6051">
        <v>0.1000636</v>
      </c>
      <c r="AA6051">
        <v>0.98776980000000003</v>
      </c>
      <c r="AB6051">
        <v>25</v>
      </c>
      <c r="AC6051">
        <v>1.75669999999996</v>
      </c>
      <c r="AD6051">
        <v>-1.1115092562690001</v>
      </c>
      <c r="AE6051">
        <v>-10.66803</v>
      </c>
      <c r="AF6051">
        <v>-1.3165940541835699</v>
      </c>
      <c r="AG6051">
        <v>-1.1115092562690001</v>
      </c>
      <c r="AH6051">
        <v>10.6173048122089</v>
      </c>
      <c r="AI6051">
        <v>95.931335022141795</v>
      </c>
      <c r="AJ6051">
        <v>97.068851592428004</v>
      </c>
      <c r="AK6051">
        <v>10.756209100126201</v>
      </c>
      <c r="AL6051">
        <v>90.855152936217607</v>
      </c>
      <c r="AM6051">
        <v>87.573011325025803</v>
      </c>
      <c r="AN6051">
        <v>0.99999998522261302</v>
      </c>
    </row>
    <row r="6052" spans="1:40" x14ac:dyDescent="0.25">
      <c r="A6052" t="str">
        <f>"20190312161435943"</f>
        <v>20190312161435943</v>
      </c>
      <c r="B6052" t="str">
        <f>"1552378475932661"</f>
        <v>1552378475932661</v>
      </c>
      <c r="C6052" t="s">
        <v>40</v>
      </c>
      <c r="D6052">
        <v>5.8820100000000002</v>
      </c>
      <c r="E6052">
        <v>0.43781759999999997</v>
      </c>
      <c r="F6052" t="s">
        <v>77</v>
      </c>
      <c r="G6052">
        <v>-300.38749999999999</v>
      </c>
      <c r="H6052" s="1">
        <v>-6.3205930000000001E-6</v>
      </c>
      <c r="I6052">
        <v>-51.786610000000003</v>
      </c>
      <c r="J6052">
        <v>-302.15069999999997</v>
      </c>
      <c r="K6052">
        <v>1.111569</v>
      </c>
      <c r="L6052">
        <v>-41.231960000000001</v>
      </c>
      <c r="M6052">
        <v>4.2297660000000001E-2</v>
      </c>
      <c r="N6052">
        <v>0</v>
      </c>
      <c r="O6052">
        <v>-0.99902650000000004</v>
      </c>
      <c r="P6052">
        <v>4.601106E-4</v>
      </c>
      <c r="Q6052">
        <v>-2.8272149999999999E-2</v>
      </c>
      <c r="R6052">
        <v>-0.99960020000000005</v>
      </c>
      <c r="S6052">
        <v>0.49130249999999998</v>
      </c>
      <c r="T6052">
        <v>-0.30730990000000002</v>
      </c>
      <c r="U6052">
        <v>-2.9939580000000001</v>
      </c>
      <c r="V6052">
        <v>4.1881769999999999E-2</v>
      </c>
      <c r="W6052">
        <v>-1.5597359999999999E-2</v>
      </c>
      <c r="X6052">
        <v>0.99900080000000002</v>
      </c>
      <c r="Y6052">
        <v>-0.11921760000000001</v>
      </c>
      <c r="Z6052">
        <v>0.100939</v>
      </c>
      <c r="AA6052">
        <v>0.98772389999999999</v>
      </c>
      <c r="AB6052">
        <v>25</v>
      </c>
      <c r="AC6052">
        <v>1.7631999999999799</v>
      </c>
      <c r="AD6052">
        <v>-1.1115753205929999</v>
      </c>
      <c r="AE6052">
        <v>-10.554649999999899</v>
      </c>
      <c r="AF6052">
        <v>-1.3011102868251301</v>
      </c>
      <c r="AG6052">
        <v>-1.1115753205929999</v>
      </c>
      <c r="AH6052">
        <v>10.5064196294553</v>
      </c>
      <c r="AI6052">
        <v>95.993954725544199</v>
      </c>
      <c r="AJ6052">
        <v>97.059541086443005</v>
      </c>
      <c r="AK6052">
        <v>10.6448739354694</v>
      </c>
      <c r="AL6052">
        <v>90.893699156670806</v>
      </c>
      <c r="AM6052">
        <v>87.599357006058696</v>
      </c>
      <c r="AN6052">
        <v>0.999999979348971</v>
      </c>
    </row>
    <row r="6053" spans="1:40" x14ac:dyDescent="0.25">
      <c r="A6053" t="str">
        <f>"20190312161435968"</f>
        <v>20190312161435968</v>
      </c>
      <c r="B6053" t="str">
        <f>"1552378475962917"</f>
        <v>1552378475962917</v>
      </c>
      <c r="C6053" t="s">
        <v>40</v>
      </c>
      <c r="D6053">
        <v>6.8115889999999997</v>
      </c>
      <c r="E6053">
        <v>0.43795580000000001</v>
      </c>
      <c r="F6053" t="s">
        <v>77</v>
      </c>
      <c r="G6053">
        <v>-300.35860000000002</v>
      </c>
      <c r="H6053" s="1">
        <v>-6.3974360000000001E-6</v>
      </c>
      <c r="I6053">
        <v>-51.979390000000002</v>
      </c>
      <c r="J6053">
        <v>-302.13619999999997</v>
      </c>
      <c r="K6053">
        <v>1.1116189999999999</v>
      </c>
      <c r="L6053">
        <v>-41.506010000000003</v>
      </c>
      <c r="M6053">
        <v>4.4857929999999997E-2</v>
      </c>
      <c r="N6053">
        <v>0</v>
      </c>
      <c r="O6053">
        <v>-0.99891249999999998</v>
      </c>
      <c r="P6053">
        <v>3.179149E-3</v>
      </c>
      <c r="Q6053">
        <v>-2.870816E-2</v>
      </c>
      <c r="R6053">
        <v>-0.99958329999999995</v>
      </c>
      <c r="S6053">
        <v>0.49893189999999998</v>
      </c>
      <c r="T6053">
        <v>-0.30947659999999899</v>
      </c>
      <c r="U6053">
        <v>-2.9922179999999998</v>
      </c>
      <c r="V6053">
        <v>4.172667E-2</v>
      </c>
      <c r="W6053">
        <v>-1.5835780000000001E-2</v>
      </c>
      <c r="X6053">
        <v>0.99900359999999999</v>
      </c>
      <c r="Y6053">
        <v>-0.119204</v>
      </c>
      <c r="Z6053">
        <v>0.1016633</v>
      </c>
      <c r="AA6053">
        <v>0.98765119999999895</v>
      </c>
      <c r="AB6053">
        <v>25</v>
      </c>
      <c r="AC6053">
        <v>1.7775999999999501</v>
      </c>
      <c r="AD6053">
        <v>-1.111625397436</v>
      </c>
      <c r="AE6053">
        <v>-10.473380000000001</v>
      </c>
      <c r="AF6053">
        <v>-1.29181302930342</v>
      </c>
      <c r="AG6053">
        <v>-1.111625397436</v>
      </c>
      <c r="AH6053">
        <v>10.4283917963684</v>
      </c>
      <c r="AI6053">
        <v>96.038717235276494</v>
      </c>
      <c r="AJ6053">
        <v>97.061519822907997</v>
      </c>
      <c r="AK6053">
        <v>10.56673305168</v>
      </c>
      <c r="AL6053">
        <v>90.907361249273904</v>
      </c>
      <c r="AM6053">
        <v>87.608243616089098</v>
      </c>
      <c r="AN6053">
        <v>1.00000003986522</v>
      </c>
    </row>
    <row r="6054" spans="1:40" x14ac:dyDescent="0.25">
      <c r="A6054" t="str">
        <f>"20190312161436000"</f>
        <v>20190312161436000</v>
      </c>
      <c r="B6054" t="str">
        <f>"1552378475992795"</f>
        <v>1552378475992795</v>
      </c>
      <c r="C6054" t="s">
        <v>40</v>
      </c>
      <c r="D6054">
        <v>5.8267040000000003</v>
      </c>
      <c r="E6054">
        <v>0.4382836</v>
      </c>
      <c r="F6054" t="s">
        <v>77</v>
      </c>
      <c r="G6054">
        <v>-300.32190000000003</v>
      </c>
      <c r="H6054" s="1">
        <v>-6.502033E-6</v>
      </c>
      <c r="I6054">
        <v>-52.241419999999998</v>
      </c>
      <c r="J6054">
        <v>-302.11660000000001</v>
      </c>
      <c r="K6054">
        <v>1.1116680000000001</v>
      </c>
      <c r="L6054">
        <v>-41.852809999999998</v>
      </c>
      <c r="M6054">
        <v>4.8205030000000003E-2</v>
      </c>
      <c r="N6054">
        <v>0</v>
      </c>
      <c r="O6054">
        <v>-0.99875369999999997</v>
      </c>
      <c r="P6054">
        <v>7.7214750000000002E-3</v>
      </c>
      <c r="Q6054">
        <v>-2.8638259999999999E-2</v>
      </c>
      <c r="R6054">
        <v>-0.99955989999999995</v>
      </c>
      <c r="S6054">
        <v>0.50543209999999905</v>
      </c>
      <c r="T6054">
        <v>-0.30968519999999999</v>
      </c>
      <c r="U6054">
        <v>-2.9907530000000002</v>
      </c>
      <c r="V6054">
        <v>4.0535769999999999E-2</v>
      </c>
      <c r="W6054">
        <v>-1.555843E-2</v>
      </c>
      <c r="X6054">
        <v>0.99905690000000003</v>
      </c>
      <c r="Y6054">
        <v>-0.1180418</v>
      </c>
      <c r="Z6054">
        <v>0.1017451</v>
      </c>
      <c r="AA6054">
        <v>0.98778239999999995</v>
      </c>
      <c r="AB6054">
        <v>25</v>
      </c>
      <c r="AC6054">
        <v>1.79469999999997</v>
      </c>
      <c r="AD6054">
        <v>-1.1116745020329999</v>
      </c>
      <c r="AE6054">
        <v>-10.38861</v>
      </c>
      <c r="AF6054">
        <v>-1.27758255051723</v>
      </c>
      <c r="AG6054">
        <v>-1.1116745020329999</v>
      </c>
      <c r="AH6054">
        <v>10.3479915445535</v>
      </c>
      <c r="AI6054">
        <v>96.085855685542995</v>
      </c>
      <c r="AJ6054">
        <v>97.038228341633598</v>
      </c>
      <c r="AK6054">
        <v>10.485655266983001</v>
      </c>
      <c r="AL6054">
        <v>90.891468386141</v>
      </c>
      <c r="AM6054">
        <v>87.676553449197698</v>
      </c>
      <c r="AN6054">
        <v>0.99999995141558196</v>
      </c>
    </row>
    <row r="6055" spans="1:40" x14ac:dyDescent="0.25">
      <c r="A6055" t="str">
        <f>"20190312161436027"</f>
        <v>20190312161436027</v>
      </c>
      <c r="B6055" t="str">
        <f>"1552378476022071"</f>
        <v>1552378476022071</v>
      </c>
      <c r="C6055" t="s">
        <v>40</v>
      </c>
      <c r="D6055">
        <v>5.8021260000000003</v>
      </c>
      <c r="E6055">
        <v>0.43857889999999999</v>
      </c>
      <c r="F6055" t="s">
        <v>77</v>
      </c>
      <c r="G6055">
        <v>-300.26740000000001</v>
      </c>
      <c r="H6055" s="1">
        <v>-6.6300339999999997E-6</v>
      </c>
      <c r="I6055">
        <v>-52.563459999999999</v>
      </c>
      <c r="J6055">
        <v>-302.09809999999999</v>
      </c>
      <c r="K6055">
        <v>1.1117079999999999</v>
      </c>
      <c r="L6055">
        <v>-42.164029999999997</v>
      </c>
      <c r="M6055">
        <v>5.1272690000000003E-2</v>
      </c>
      <c r="N6055">
        <v>0</v>
      </c>
      <c r="O6055">
        <v>-0.99859889999999996</v>
      </c>
      <c r="P6055">
        <v>1.090174E-2</v>
      </c>
      <c r="Q6055">
        <v>-2.9252500000000001E-2</v>
      </c>
      <c r="R6055">
        <v>-0.99951259999999997</v>
      </c>
      <c r="S6055">
        <v>0.51596070000000005</v>
      </c>
      <c r="T6055">
        <v>-0.31017430000000001</v>
      </c>
      <c r="U6055">
        <v>-2.9884339999999998</v>
      </c>
      <c r="V6055">
        <v>4.0428180000000001E-2</v>
      </c>
      <c r="W6055">
        <v>-1.6011500000000001E-2</v>
      </c>
      <c r="X6055">
        <v>0.99905409999999994</v>
      </c>
      <c r="Y6055">
        <v>-0.1184958</v>
      </c>
      <c r="Z6055">
        <v>0.1019255</v>
      </c>
      <c r="AA6055">
        <v>0.98770950000000002</v>
      </c>
      <c r="AB6055">
        <v>25</v>
      </c>
      <c r="AC6055">
        <v>1.83069999999997</v>
      </c>
      <c r="AD6055">
        <v>-1.111714630034</v>
      </c>
      <c r="AE6055">
        <v>-10.399430000000001</v>
      </c>
      <c r="AF6055">
        <v>-1.2808418122443599</v>
      </c>
      <c r="AG6055">
        <v>-1.111714630034</v>
      </c>
      <c r="AH6055">
        <v>10.3647349790446</v>
      </c>
      <c r="AI6055">
        <v>96.076231353410506</v>
      </c>
      <c r="AJ6055">
        <v>97.044719106988893</v>
      </c>
      <c r="AK6055">
        <v>10.5025804616035</v>
      </c>
      <c r="AL6055">
        <v>90.917430622116797</v>
      </c>
      <c r="AM6055">
        <v>87.682707119552703</v>
      </c>
      <c r="AN6055">
        <v>0.99999995029858402</v>
      </c>
    </row>
    <row r="6056" spans="1:40" x14ac:dyDescent="0.25">
      <c r="A6056" t="str">
        <f>"20190312161436052"</f>
        <v>20190312161436052</v>
      </c>
      <c r="B6056" t="str">
        <f>"1552378476042568"</f>
        <v>1552378476042568</v>
      </c>
      <c r="C6056" t="s">
        <v>40</v>
      </c>
      <c r="D6056">
        <v>5.7800659999999997</v>
      </c>
      <c r="E6056">
        <v>0.43879780000000002</v>
      </c>
      <c r="F6056" t="s">
        <v>77</v>
      </c>
      <c r="G6056">
        <v>-300.22879999999998</v>
      </c>
      <c r="H6056" s="1">
        <v>-6.738235E-6</v>
      </c>
      <c r="I6056">
        <v>-52.834609999999998</v>
      </c>
      <c r="J6056">
        <v>-302.08159999999998</v>
      </c>
      <c r="K6056">
        <v>1.1117349999999999</v>
      </c>
      <c r="L6056">
        <v>-42.424619999999997</v>
      </c>
      <c r="M6056">
        <v>5.3893940000000001E-2</v>
      </c>
      <c r="N6056">
        <v>0</v>
      </c>
      <c r="O6056">
        <v>-0.9984594</v>
      </c>
      <c r="P6056">
        <v>1.390512E-2</v>
      </c>
      <c r="Q6056">
        <v>-2.9103549999999999E-2</v>
      </c>
      <c r="R6056">
        <v>-0.99947989999999998</v>
      </c>
      <c r="S6056">
        <v>0.52319340000000003</v>
      </c>
      <c r="T6056">
        <v>-0.3111659</v>
      </c>
      <c r="U6056">
        <v>-2.9866640000000002</v>
      </c>
      <c r="V6056">
        <v>4.0049019999999998E-2</v>
      </c>
      <c r="W6056">
        <v>-1.575029E-2</v>
      </c>
      <c r="X6056">
        <v>0.99907360000000001</v>
      </c>
      <c r="Y6056">
        <v>-0.11830300000000001</v>
      </c>
      <c r="Z6056">
        <v>0.1022662</v>
      </c>
      <c r="AA6056">
        <v>0.98769739999999995</v>
      </c>
      <c r="AB6056">
        <v>25</v>
      </c>
      <c r="AC6056">
        <v>1.8528</v>
      </c>
      <c r="AD6056">
        <v>-1.1117417382350001</v>
      </c>
      <c r="AE6056">
        <v>-10.409989999999899</v>
      </c>
      <c r="AF6056">
        <v>-1.2749280537530701</v>
      </c>
      <c r="AG6056">
        <v>-1.1117417382350001</v>
      </c>
      <c r="AH6056">
        <v>10.379969849535399</v>
      </c>
      <c r="AI6056">
        <v>96.068075547820399</v>
      </c>
      <c r="AJ6056">
        <v>97.002327466050005</v>
      </c>
      <c r="AK6056">
        <v>10.516899985834501</v>
      </c>
      <c r="AL6056">
        <v>90.902462433983203</v>
      </c>
      <c r="AM6056">
        <v>87.704461495331998</v>
      </c>
      <c r="AN6056">
        <v>1.0000000269275</v>
      </c>
    </row>
    <row r="6057" spans="1:40" x14ac:dyDescent="0.25">
      <c r="A6057" t="str">
        <f>"20190312161436098"</f>
        <v>20190312161436098</v>
      </c>
      <c r="B6057" t="str">
        <f>"1552378476092344"</f>
        <v>1552378476092344</v>
      </c>
      <c r="C6057" t="s">
        <v>40</v>
      </c>
      <c r="D6057">
        <v>5.7731440000000003</v>
      </c>
      <c r="E6057">
        <v>0.43922519999999998</v>
      </c>
      <c r="F6057" t="s">
        <v>77</v>
      </c>
      <c r="G6057">
        <v>-300.18360000000001</v>
      </c>
      <c r="H6057" s="1">
        <v>-6.84807699999999E-6</v>
      </c>
      <c r="I6057">
        <v>-53.11074</v>
      </c>
      <c r="J6057">
        <v>-302.04820000000001</v>
      </c>
      <c r="K6057">
        <v>1.1117870000000001</v>
      </c>
      <c r="L6057">
        <v>-42.921720000000001</v>
      </c>
      <c r="M6057">
        <v>5.902342E-2</v>
      </c>
      <c r="N6057">
        <v>0</v>
      </c>
      <c r="O6057">
        <v>-0.99816700000000003</v>
      </c>
      <c r="P6057">
        <v>1.9775850000000001E-2</v>
      </c>
      <c r="Q6057">
        <v>-2.8992569999999999E-2</v>
      </c>
      <c r="R6057">
        <v>-0.99938400000000005</v>
      </c>
      <c r="S6057">
        <v>0.53021240000000003</v>
      </c>
      <c r="T6057">
        <v>-0.310562</v>
      </c>
      <c r="U6057">
        <v>-2.9851380000000001</v>
      </c>
      <c r="V6057">
        <v>3.9314660000000001E-2</v>
      </c>
      <c r="W6057">
        <v>-1.546574E-2</v>
      </c>
      <c r="X6057">
        <v>0.99910719999999997</v>
      </c>
      <c r="Y6057">
        <v>-0.1155423</v>
      </c>
      <c r="Z6057">
        <v>0.1020725</v>
      </c>
      <c r="AA6057">
        <v>0.98804409999999998</v>
      </c>
      <c r="AB6057">
        <v>25</v>
      </c>
      <c r="AC6057">
        <v>1.86459999999999</v>
      </c>
      <c r="AD6057">
        <v>-1.111793848077</v>
      </c>
      <c r="AE6057">
        <v>-10.189019999999999</v>
      </c>
      <c r="AF6057">
        <v>-1.2455544489941499</v>
      </c>
      <c r="AG6057">
        <v>-1.111793848077</v>
      </c>
      <c r="AH6057">
        <v>10.1642195662875</v>
      </c>
      <c r="AI6057">
        <v>96.196385983633803</v>
      </c>
      <c r="AJ6057">
        <v>96.986367466486101</v>
      </c>
      <c r="AK6057">
        <v>10.300429643356299</v>
      </c>
      <c r="AL6057">
        <v>90.886156945241396</v>
      </c>
      <c r="AM6057">
        <v>87.7465856096875</v>
      </c>
      <c r="AN6057">
        <v>1.0000000143482499</v>
      </c>
    </row>
    <row r="6058" spans="1:40" x14ac:dyDescent="0.25">
      <c r="A6058" t="str">
        <f>"20190312161436119"</f>
        <v>20190312161436119</v>
      </c>
      <c r="B6058" t="str">
        <f>"1552378476112840"</f>
        <v>1552378476112840</v>
      </c>
      <c r="C6058" t="s">
        <v>40</v>
      </c>
      <c r="D6058">
        <v>5.6303679999999998</v>
      </c>
      <c r="E6058">
        <v>0.43938300000000002</v>
      </c>
      <c r="F6058" t="s">
        <v>77</v>
      </c>
      <c r="G6058">
        <v>-300.09769999999997</v>
      </c>
      <c r="H6058" s="1">
        <v>-7.045282E-6</v>
      </c>
      <c r="I6058">
        <v>-53.607149999999997</v>
      </c>
      <c r="J6058">
        <v>-302.03100000000001</v>
      </c>
      <c r="K6058">
        <v>1.111807</v>
      </c>
      <c r="L6058">
        <v>-43.16357</v>
      </c>
      <c r="M6058">
        <v>6.1577170000000001E-2</v>
      </c>
      <c r="N6058">
        <v>0</v>
      </c>
      <c r="O6058">
        <v>-0.99801189999999995</v>
      </c>
      <c r="P6058">
        <v>2.2816099999999999E-2</v>
      </c>
      <c r="Q6058">
        <v>-2.9158989999999999E-2</v>
      </c>
      <c r="R6058">
        <v>-0.99931460000000005</v>
      </c>
      <c r="S6058">
        <v>0.54434199999999999</v>
      </c>
      <c r="T6058">
        <v>-0.31027929999999998</v>
      </c>
      <c r="U6058">
        <v>-2.9820859999999998</v>
      </c>
      <c r="V6058">
        <v>3.883255E-2</v>
      </c>
      <c r="W6058">
        <v>-1.5564420000000001E-2</v>
      </c>
      <c r="X6058">
        <v>0.99912449999999997</v>
      </c>
      <c r="Y6058">
        <v>-0.11771040000000001</v>
      </c>
      <c r="Z6058">
        <v>0.1020035</v>
      </c>
      <c r="AA6058">
        <v>0.98779530000000004</v>
      </c>
      <c r="AB6058">
        <v>24</v>
      </c>
      <c r="AC6058">
        <v>1.93330000000003</v>
      </c>
      <c r="AD6058">
        <v>-1.111814045282</v>
      </c>
      <c r="AE6058">
        <v>-10.443579999999899</v>
      </c>
      <c r="AF6058">
        <v>-1.2725418769785299</v>
      </c>
      <c r="AG6058">
        <v>-1.111814045282</v>
      </c>
      <c r="AH6058">
        <v>10.4285396512687</v>
      </c>
      <c r="AI6058">
        <v>96.040992675845402</v>
      </c>
      <c r="AJ6058">
        <v>96.957119145566594</v>
      </c>
      <c r="AK6058">
        <v>10.564560216025701</v>
      </c>
      <c r="AL6058">
        <v>90.891811592970598</v>
      </c>
      <c r="AM6058">
        <v>87.774229440925893</v>
      </c>
      <c r="AN6058">
        <v>0.99999999230484404</v>
      </c>
    </row>
    <row r="6059" spans="1:40" x14ac:dyDescent="0.25">
      <c r="A6059" t="str">
        <f>"20190312161436196"</f>
        <v>20190312161436196</v>
      </c>
      <c r="B6059" t="str">
        <f>"1552378476192872"</f>
        <v>1552378476192872</v>
      </c>
      <c r="C6059" t="s">
        <v>40</v>
      </c>
      <c r="D6059">
        <v>5.7904470000000003</v>
      </c>
      <c r="E6059">
        <v>0.43938300000000002</v>
      </c>
      <c r="F6059" t="s">
        <v>77</v>
      </c>
      <c r="G6059">
        <v>-300.0564</v>
      </c>
      <c r="H6059" s="1">
        <v>-7.1297550000000001E-6</v>
      </c>
      <c r="I6059">
        <v>-53.820430000000002</v>
      </c>
      <c r="J6059">
        <v>-301.96699999999998</v>
      </c>
      <c r="K6059">
        <v>1.111918</v>
      </c>
      <c r="L6059">
        <v>-43.988860000000003</v>
      </c>
      <c r="M6059">
        <v>7.0666649999999998E-2</v>
      </c>
      <c r="N6059">
        <v>0</v>
      </c>
      <c r="O6059">
        <v>-0.99740700000000004</v>
      </c>
      <c r="P6059">
        <v>3.2601110000000003E-2</v>
      </c>
      <c r="Q6059">
        <v>-2.880423E-2</v>
      </c>
      <c r="R6059">
        <v>-0.99905339999999998</v>
      </c>
      <c r="S6059">
        <v>0.55221560000000003</v>
      </c>
      <c r="T6059">
        <v>-0.31093860000000001</v>
      </c>
      <c r="U6059">
        <v>-2.9803769999999998</v>
      </c>
      <c r="V6059">
        <v>3.8152909999999998E-2</v>
      </c>
      <c r="W6059">
        <v>-1.5032999999999999E-2</v>
      </c>
      <c r="X6059">
        <v>0.99915880000000001</v>
      </c>
      <c r="Y6059">
        <v>-0.1112819</v>
      </c>
      <c r="Z6059">
        <v>0.10219689999999999</v>
      </c>
      <c r="AA6059">
        <v>0.98852019999999996</v>
      </c>
      <c r="AB6059">
        <v>24</v>
      </c>
      <c r="AC6059">
        <v>1.9105999999999801</v>
      </c>
      <c r="AD6059">
        <v>-1.1119251297549999</v>
      </c>
      <c r="AE6059">
        <v>-9.8315699999999993</v>
      </c>
      <c r="AF6059">
        <v>-1.19624959424244</v>
      </c>
      <c r="AG6059">
        <v>-1.1119251297549999</v>
      </c>
      <c r="AH6059">
        <v>9.8209658443996304</v>
      </c>
      <c r="AI6059">
        <v>96.412498561621902</v>
      </c>
      <c r="AJ6059">
        <v>96.944741707658395</v>
      </c>
      <c r="AK6059">
        <v>9.95584053220872</v>
      </c>
      <c r="AL6059">
        <v>90.861359923218501</v>
      </c>
      <c r="AM6059">
        <v>87.813221300822306</v>
      </c>
      <c r="AN6059">
        <v>0.99999997162395304</v>
      </c>
    </row>
    <row r="6060" spans="1:40" x14ac:dyDescent="0.25">
      <c r="A6060" t="str">
        <f>"20190312161436223"</f>
        <v>20190312161436223</v>
      </c>
      <c r="B6060" t="str">
        <f>"1552378476212392"</f>
        <v>1552378476212392</v>
      </c>
      <c r="C6060" t="s">
        <v>40</v>
      </c>
      <c r="D6060">
        <v>6.3452760000000001</v>
      </c>
      <c r="E6060">
        <v>0.45950160000000001</v>
      </c>
      <c r="F6060" t="s">
        <v>77</v>
      </c>
      <c r="G6060">
        <v>-299.87119999999999</v>
      </c>
      <c r="H6060" s="1">
        <v>-6.8316819999999899E-6</v>
      </c>
      <c r="I6060">
        <v>-54.701390000000004</v>
      </c>
      <c r="J6060">
        <v>-301.94299999999998</v>
      </c>
      <c r="K6060">
        <v>1.11196299999999</v>
      </c>
      <c r="L6060">
        <v>-44.273960000000002</v>
      </c>
      <c r="M6060">
        <v>7.394299E-2</v>
      </c>
      <c r="N6060">
        <v>0</v>
      </c>
      <c r="O6060">
        <v>-0.99716899999999997</v>
      </c>
      <c r="P6060">
        <v>3.612837E-2</v>
      </c>
      <c r="Q6060">
        <v>-2.8214949999999999E-2</v>
      </c>
      <c r="R6060">
        <v>-0.99894879999999997</v>
      </c>
      <c r="S6060">
        <v>0.58203130000000003</v>
      </c>
      <c r="T6060">
        <v>-0.3087897</v>
      </c>
      <c r="U6060">
        <v>-2.974945</v>
      </c>
      <c r="V6060">
        <v>3.7907330000000003E-2</v>
      </c>
      <c r="W6060">
        <v>-1.439969E-2</v>
      </c>
      <c r="X6060">
        <v>0.99917750000000005</v>
      </c>
      <c r="Y6060">
        <v>-0.1179114</v>
      </c>
      <c r="Z6060">
        <v>0.10150960000000001</v>
      </c>
      <c r="AA6060">
        <v>0.98782219999999998</v>
      </c>
      <c r="AB6060">
        <v>24</v>
      </c>
      <c r="AC6060">
        <v>2.0717999999999899</v>
      </c>
      <c r="AD6060">
        <v>-1.1119698316819999</v>
      </c>
      <c r="AE6060">
        <v>-10.427429999999999</v>
      </c>
      <c r="AF6060">
        <v>-1.2810059124192801</v>
      </c>
      <c r="AG6060">
        <v>-1.1119698316819999</v>
      </c>
      <c r="AH6060">
        <v>10.437898200467099</v>
      </c>
      <c r="AI6060">
        <v>96.035949058739803</v>
      </c>
      <c r="AJ6060">
        <v>96.996718408031001</v>
      </c>
      <c r="AK6060">
        <v>10.5748367314837</v>
      </c>
      <c r="AL6060">
        <v>90.825069980949195</v>
      </c>
      <c r="AM6060">
        <v>87.827324096556595</v>
      </c>
      <c r="AN6060">
        <v>0.99999999662303696</v>
      </c>
    </row>
    <row r="6061" spans="1:40" x14ac:dyDescent="0.25">
      <c r="A6061" t="str">
        <f>"20190312161436318"</f>
        <v>20190312161436318</v>
      </c>
      <c r="B6061" t="str">
        <f>"1552378476312921"</f>
        <v>1552378476312921</v>
      </c>
      <c r="C6061" t="s">
        <v>40</v>
      </c>
      <c r="D6061">
        <v>6.1141449999999997</v>
      </c>
      <c r="E6061">
        <v>0.46081490000000003</v>
      </c>
      <c r="F6061" t="s">
        <v>43</v>
      </c>
      <c r="G6061">
        <v>-301.7595</v>
      </c>
      <c r="H6061">
        <v>0.81980200000000003</v>
      </c>
      <c r="I6061">
        <v>-45.817909999999998</v>
      </c>
      <c r="J6061">
        <v>-301.84739999999999</v>
      </c>
      <c r="K6061">
        <v>1.1120749999999999</v>
      </c>
      <c r="L6061">
        <v>-45.304989999999997</v>
      </c>
      <c r="M6061">
        <v>8.6350930000000006E-2</v>
      </c>
      <c r="N6061">
        <v>0</v>
      </c>
      <c r="O6061">
        <v>-0.99616970000000005</v>
      </c>
      <c r="P6061">
        <v>4.7558669999999997E-2</v>
      </c>
      <c r="Q6061">
        <v>-2.8895009999999999E-2</v>
      </c>
      <c r="R6061">
        <v>-0.99845059999999997</v>
      </c>
      <c r="S6061">
        <v>0.43609619999999999</v>
      </c>
      <c r="T6061">
        <v>-1.1321159999999999</v>
      </c>
      <c r="U6061">
        <v>-2.9516909999999998</v>
      </c>
      <c r="V6061">
        <v>3.8915070000000003E-2</v>
      </c>
      <c r="W6061">
        <v>-1.496575E-2</v>
      </c>
      <c r="X6061">
        <v>0.99913039999999997</v>
      </c>
      <c r="Y6061">
        <v>-5.0665450000000001E-2</v>
      </c>
      <c r="Z6061">
        <v>0.35431800000000002</v>
      </c>
      <c r="AA6061">
        <v>0.93375149999999996</v>
      </c>
      <c r="AB6061">
        <v>24</v>
      </c>
      <c r="AC6061">
        <v>8.78999999999905E-2</v>
      </c>
      <c r="AD6061">
        <v>-0.29227299999999901</v>
      </c>
      <c r="AE6061">
        <v>-0.51291999999999305</v>
      </c>
      <c r="AF6061">
        <v>-3.2898894730207802E-2</v>
      </c>
      <c r="AG6061">
        <v>-0.29227299999999901</v>
      </c>
      <c r="AH6061">
        <v>0.39423875727874602</v>
      </c>
      <c r="AI6061">
        <v>126.456709634988</v>
      </c>
      <c r="AJ6061">
        <v>94.770232468870901</v>
      </c>
      <c r="AK6061">
        <v>0.49186384451813397</v>
      </c>
      <c r="AL6061">
        <v>90.857506361583404</v>
      </c>
      <c r="AM6061">
        <v>87.769517561114</v>
      </c>
      <c r="AN6061">
        <v>0.99999995627516203</v>
      </c>
    </row>
    <row r="6062" spans="1:40" x14ac:dyDescent="0.25">
      <c r="A6062" t="str">
        <f>"20190312161436345"</f>
        <v>20190312161436345</v>
      </c>
      <c r="B6062" t="str">
        <f>"1552378476332440"</f>
        <v>1552378476332440</v>
      </c>
      <c r="C6062" t="s">
        <v>40</v>
      </c>
      <c r="D6062">
        <v>5.9488989999999999</v>
      </c>
      <c r="E6062">
        <v>0.45912170000000002</v>
      </c>
      <c r="F6062" t="s">
        <v>43</v>
      </c>
      <c r="G6062">
        <v>-301.73259999999999</v>
      </c>
      <c r="H6062">
        <v>0.84384930000000002</v>
      </c>
      <c r="I6062">
        <v>-46.041089999999997</v>
      </c>
      <c r="J6062">
        <v>-301.81959999999998</v>
      </c>
      <c r="K6062">
        <v>1.1121110000000001</v>
      </c>
      <c r="L6062">
        <v>-45.579709999999999</v>
      </c>
      <c r="M6062">
        <v>8.9787829999999999E-2</v>
      </c>
      <c r="N6062">
        <v>0</v>
      </c>
      <c r="O6062">
        <v>-0.99586580000000002</v>
      </c>
      <c r="P6062">
        <v>5.0748639999999998E-2</v>
      </c>
      <c r="Q6062">
        <v>-2.8766659999999999E-2</v>
      </c>
      <c r="R6062">
        <v>-0.99829749999999995</v>
      </c>
      <c r="S6062">
        <v>0.46130369999999998</v>
      </c>
      <c r="T6062">
        <v>-1.075725</v>
      </c>
      <c r="U6062">
        <v>-2.9515380000000002</v>
      </c>
      <c r="V6062">
        <v>3.9170860000000002E-2</v>
      </c>
      <c r="W6062">
        <v>-1.4816289999999999E-2</v>
      </c>
      <c r="X6062">
        <v>0.99912270000000003</v>
      </c>
      <c r="Y6062">
        <v>-5.5931870000000002E-2</v>
      </c>
      <c r="Z6062">
        <v>0.3383872</v>
      </c>
      <c r="AA6062">
        <v>0.93934320000000004</v>
      </c>
      <c r="AB6062">
        <v>24</v>
      </c>
      <c r="AC6062">
        <v>8.6999999999989003E-2</v>
      </c>
      <c r="AD6062">
        <v>-0.26826169999999999</v>
      </c>
      <c r="AE6062">
        <v>-0.46138000000000501</v>
      </c>
      <c r="AF6062">
        <v>-3.4089533341494602E-2</v>
      </c>
      <c r="AG6062">
        <v>-0.26826169999999999</v>
      </c>
      <c r="AH6062">
        <v>0.35231325584012801</v>
      </c>
      <c r="AI6062">
        <v>127.158122148907</v>
      </c>
      <c r="AJ6062">
        <v>95.526686565957206</v>
      </c>
      <c r="AK6062">
        <v>0.44412956016347499</v>
      </c>
      <c r="AL6062">
        <v>90.848941926740096</v>
      </c>
      <c r="AM6062">
        <v>87.754854197785804</v>
      </c>
      <c r="AN6062">
        <v>1.00000002418889</v>
      </c>
    </row>
    <row r="6063" spans="1:40" x14ac:dyDescent="0.25">
      <c r="A6063" t="str">
        <f>"20190312161436379"</f>
        <v>20190312161436379</v>
      </c>
      <c r="B6063" t="str">
        <f>"1552378476372460"</f>
        <v>1552378476372460</v>
      </c>
      <c r="C6063" t="s">
        <v>40</v>
      </c>
      <c r="D6063">
        <v>5.5121190000000002</v>
      </c>
      <c r="E6063">
        <v>0.4581209</v>
      </c>
      <c r="F6063" t="s">
        <v>43</v>
      </c>
      <c r="G6063">
        <v>-301.69990000000001</v>
      </c>
      <c r="H6063">
        <v>0.99372199999999999</v>
      </c>
      <c r="I6063">
        <v>-46.319800000000001</v>
      </c>
      <c r="J6063">
        <v>-301.78050000000002</v>
      </c>
      <c r="K6063">
        <v>1.112166</v>
      </c>
      <c r="L6063">
        <v>-45.949770000000001</v>
      </c>
      <c r="M6063">
        <v>9.4529370000000001E-2</v>
      </c>
      <c r="N6063">
        <v>0</v>
      </c>
      <c r="O6063">
        <v>-0.99542649999999999</v>
      </c>
      <c r="P6063">
        <v>5.4911069999999999E-2</v>
      </c>
      <c r="Q6063">
        <v>-2.841103E-2</v>
      </c>
      <c r="R6063">
        <v>-0.99808699999999995</v>
      </c>
      <c r="S6063">
        <v>0.48052980000000001</v>
      </c>
      <c r="T6063">
        <v>-0.47474870000000002</v>
      </c>
      <c r="U6063">
        <v>-2.9670100000000001</v>
      </c>
      <c r="V6063">
        <v>3.9763189999999997E-2</v>
      </c>
      <c r="W6063">
        <v>-1.4434249999999999E-2</v>
      </c>
      <c r="X6063">
        <v>0.99910489999999996</v>
      </c>
      <c r="Y6063">
        <v>-6.3876039999999995E-2</v>
      </c>
      <c r="Z6063">
        <v>0.1558011</v>
      </c>
      <c r="AA6063">
        <v>0.98572099999999996</v>
      </c>
      <c r="AB6063">
        <v>24</v>
      </c>
      <c r="AC6063">
        <v>8.0600000000004002E-2</v>
      </c>
      <c r="AD6063">
        <v>-0.11844399999999999</v>
      </c>
      <c r="AE6063">
        <v>-0.37002999999999903</v>
      </c>
      <c r="AF6063">
        <v>-4.1224465809988599E-2</v>
      </c>
      <c r="AG6063">
        <v>-0.11844399999999999</v>
      </c>
      <c r="AH6063">
        <v>0.342490608853531</v>
      </c>
      <c r="AI6063">
        <v>108.950065260228</v>
      </c>
      <c r="AJ6063">
        <v>96.863484858956198</v>
      </c>
      <c r="AK6063">
        <v>0.364730386546256</v>
      </c>
      <c r="AL6063">
        <v>90.827050301283805</v>
      </c>
      <c r="AM6063">
        <v>87.720898749131905</v>
      </c>
      <c r="AN6063">
        <v>1.0000000300280201</v>
      </c>
    </row>
    <row r="6064" spans="1:40" x14ac:dyDescent="0.25">
      <c r="A6064" t="str">
        <f>"20190312161436408"</f>
        <v>20190312161436408</v>
      </c>
      <c r="B6064" t="str">
        <f>"1552378476402712"</f>
        <v>1552378476402712</v>
      </c>
      <c r="C6064" t="s">
        <v>40</v>
      </c>
      <c r="D6064">
        <v>5.6894910000000003</v>
      </c>
      <c r="E6064">
        <v>0.45911000000000002</v>
      </c>
      <c r="F6064" t="s">
        <v>77</v>
      </c>
      <c r="G6064">
        <v>-300.25490000000002</v>
      </c>
      <c r="H6064" s="1">
        <v>-7.6215809999999997E-6</v>
      </c>
      <c r="I6064">
        <v>-54.999659999999999</v>
      </c>
      <c r="J6064">
        <v>-301.74689999999998</v>
      </c>
      <c r="K6064">
        <v>1.112212</v>
      </c>
      <c r="L6064">
        <v>-46.255099999999999</v>
      </c>
      <c r="M6064">
        <v>9.8537689999999997E-2</v>
      </c>
      <c r="N6064">
        <v>0</v>
      </c>
      <c r="O6064">
        <v>-0.99503770000000002</v>
      </c>
      <c r="P6064">
        <v>5.9081559999999998E-2</v>
      </c>
      <c r="Q6064">
        <v>-2.830775E-2</v>
      </c>
      <c r="R6064">
        <v>-0.99785210000000002</v>
      </c>
      <c r="S6064">
        <v>0.50030520000000001</v>
      </c>
      <c r="T6064">
        <v>-0.36472759999999999</v>
      </c>
      <c r="U6064">
        <v>-2.9678339999999999</v>
      </c>
      <c r="V6064">
        <v>3.9613160000000001E-2</v>
      </c>
      <c r="W6064">
        <v>-1.431382E-2</v>
      </c>
      <c r="X6064">
        <v>0.99911249999999996</v>
      </c>
      <c r="Y6064">
        <v>-6.7036589999999993E-2</v>
      </c>
      <c r="Z6064">
        <v>0.12012150000000001</v>
      </c>
      <c r="AA6064">
        <v>0.99049330000000002</v>
      </c>
      <c r="AB6064">
        <v>24</v>
      </c>
      <c r="AC6064">
        <v>1.49199999999996</v>
      </c>
      <c r="AD6064">
        <v>-1.1122196215809901</v>
      </c>
      <c r="AE6064">
        <v>-8.7445599999999999</v>
      </c>
      <c r="AF6064">
        <v>-0.61334521452416702</v>
      </c>
      <c r="AG6064">
        <v>-1.1122196215809901</v>
      </c>
      <c r="AH6064">
        <v>8.7120763470803002</v>
      </c>
      <c r="AI6064">
        <v>97.257490553828305</v>
      </c>
      <c r="AJ6064">
        <v>94.027077285824703</v>
      </c>
      <c r="AK6064">
        <v>8.8041750957239309</v>
      </c>
      <c r="AL6064">
        <v>90.820149533490394</v>
      </c>
      <c r="AM6064">
        <v>87.729506234132401</v>
      </c>
      <c r="AN6064">
        <v>0.99999993777221197</v>
      </c>
    </row>
    <row r="6065" spans="1:40" x14ac:dyDescent="0.25">
      <c r="A6065" t="str">
        <f>"20190312161436431"</f>
        <v>20190312161436431</v>
      </c>
      <c r="B6065" t="str">
        <f>"1552378476422232"</f>
        <v>1552378476422232</v>
      </c>
      <c r="C6065" t="s">
        <v>40</v>
      </c>
      <c r="D6065">
        <v>5.4467480000000004</v>
      </c>
      <c r="E6065">
        <v>0.4604297</v>
      </c>
      <c r="F6065" t="s">
        <v>77</v>
      </c>
      <c r="G6065">
        <v>-299.96629999999999</v>
      </c>
      <c r="H6065" s="1">
        <v>-8.3118560000000005E-6</v>
      </c>
      <c r="I6065">
        <v>-56.73554</v>
      </c>
      <c r="J6065">
        <v>-301.71789999999999</v>
      </c>
      <c r="K6065">
        <v>1.112244</v>
      </c>
      <c r="L6065">
        <v>-46.507539999999999</v>
      </c>
      <c r="M6065">
        <v>0.10194599999999999</v>
      </c>
      <c r="N6065">
        <v>0</v>
      </c>
      <c r="O6065">
        <v>-0.99469419999999997</v>
      </c>
      <c r="P6065">
        <v>6.2546270000000001E-2</v>
      </c>
      <c r="Q6065">
        <v>-2.8762139999999999E-2</v>
      </c>
      <c r="R6065">
        <v>-0.99762799999999996</v>
      </c>
      <c r="S6065">
        <v>0.50418090000000004</v>
      </c>
      <c r="T6065">
        <v>-0.31494030000000001</v>
      </c>
      <c r="U6065">
        <v>-2.9676819999999999</v>
      </c>
      <c r="V6065">
        <v>3.9569010000000002E-2</v>
      </c>
      <c r="W6065">
        <v>-1.4754949999999999E-2</v>
      </c>
      <c r="X6065">
        <v>0.99910790000000005</v>
      </c>
      <c r="Y6065">
        <v>-6.5192239999999999E-2</v>
      </c>
      <c r="Z6065">
        <v>0.1038641</v>
      </c>
      <c r="AA6065">
        <v>0.99245260000000002</v>
      </c>
      <c r="AB6065">
        <v>24</v>
      </c>
      <c r="AC6065">
        <v>1.7515999999999901</v>
      </c>
      <c r="AD6065">
        <v>-1.1122523118559999</v>
      </c>
      <c r="AE6065">
        <v>-10.2279999999999</v>
      </c>
      <c r="AF6065">
        <v>-0.69172230946330604</v>
      </c>
      <c r="AG6065">
        <v>-1.1122523118559999</v>
      </c>
      <c r="AH6065">
        <v>10.235692000544899</v>
      </c>
      <c r="AI6065">
        <v>96.187657980551506</v>
      </c>
      <c r="AJ6065">
        <v>93.866138184710906</v>
      </c>
      <c r="AK6065">
        <v>10.3191557643373</v>
      </c>
      <c r="AL6065">
        <v>90.845427035308106</v>
      </c>
      <c r="AM6065">
        <v>87.732023689377101</v>
      </c>
      <c r="AN6065">
        <v>1.0000000054721401</v>
      </c>
    </row>
    <row r="6066" spans="1:40" x14ac:dyDescent="0.25">
      <c r="A6066" t="str">
        <f>"20190312161436453"</f>
        <v>20190312161436453</v>
      </c>
      <c r="B6066" t="str">
        <f>"1552378476442728"</f>
        <v>1552378476442728</v>
      </c>
      <c r="C6066" t="s">
        <v>40</v>
      </c>
      <c r="D6066">
        <v>5.8554300000000001</v>
      </c>
      <c r="E6066">
        <v>0.46148129999999998</v>
      </c>
      <c r="F6066" t="s">
        <v>77</v>
      </c>
      <c r="G6066">
        <v>-300.07990000000001</v>
      </c>
      <c r="H6066" s="1">
        <v>-8.0766300000000003E-6</v>
      </c>
      <c r="I6066">
        <v>-56.141840000000002</v>
      </c>
      <c r="J6066">
        <v>-301.69150000000002</v>
      </c>
      <c r="K6066">
        <v>1.112293</v>
      </c>
      <c r="L6066">
        <v>-46.729979999999998</v>
      </c>
      <c r="M6066">
        <v>0.1050278</v>
      </c>
      <c r="N6066">
        <v>0</v>
      </c>
      <c r="O6066">
        <v>-0.99437310000000001</v>
      </c>
      <c r="P6066">
        <v>6.5526340000000002E-2</v>
      </c>
      <c r="Q6066">
        <v>-2.9118729999999999E-2</v>
      </c>
      <c r="R6066">
        <v>-0.99742569999999997</v>
      </c>
      <c r="S6066">
        <v>0.50421139999999998</v>
      </c>
      <c r="T6066">
        <v>-0.34237779999999901</v>
      </c>
      <c r="U6066">
        <v>-2.965668</v>
      </c>
      <c r="V6066">
        <v>3.9682420000000003E-2</v>
      </c>
      <c r="W6066">
        <v>-1.5099120000000001E-2</v>
      </c>
      <c r="X6066">
        <v>0.99909820000000005</v>
      </c>
      <c r="Y6066">
        <v>-6.2056269999999997E-2</v>
      </c>
      <c r="Z6066">
        <v>0.1128324</v>
      </c>
      <c r="AA6066">
        <v>0.99167430000000001</v>
      </c>
      <c r="AB6066">
        <v>24</v>
      </c>
      <c r="AC6066">
        <v>1.6116000000000099</v>
      </c>
      <c r="AD6066">
        <v>-1.1123010766300001</v>
      </c>
      <c r="AE6066">
        <v>-9.4118600000000008</v>
      </c>
      <c r="AF6066">
        <v>-0.60586261226614002</v>
      </c>
      <c r="AG6066">
        <v>-1.1123010766300001</v>
      </c>
      <c r="AH6066">
        <v>9.4015069610958992</v>
      </c>
      <c r="AI6066">
        <v>96.733513189048494</v>
      </c>
      <c r="AJ6066">
        <v>93.687221234583205</v>
      </c>
      <c r="AK6066">
        <v>9.4864438189212397</v>
      </c>
      <c r="AL6066">
        <v>90.865148772846894</v>
      </c>
      <c r="AM6066">
        <v>87.725508128280495</v>
      </c>
      <c r="AN6066">
        <v>0.99999994556253402</v>
      </c>
    </row>
    <row r="6067" spans="1:40" x14ac:dyDescent="0.25">
      <c r="A6067" t="str">
        <f>"20190312161436498"</f>
        <v>20190312161436498</v>
      </c>
      <c r="B6067" t="str">
        <f>"1552378476492505"</f>
        <v>1552378476492505</v>
      </c>
      <c r="C6067" t="s">
        <v>40</v>
      </c>
      <c r="D6067">
        <v>5.721527</v>
      </c>
      <c r="E6067">
        <v>0.4630069</v>
      </c>
      <c r="F6067" t="s">
        <v>43</v>
      </c>
      <c r="G6067">
        <v>-301.54320000000001</v>
      </c>
      <c r="H6067">
        <v>1.0084519999999999</v>
      </c>
      <c r="I6067">
        <v>-47.599820000000001</v>
      </c>
      <c r="J6067">
        <v>-301.6327</v>
      </c>
      <c r="K6067">
        <v>1.1124179999999999</v>
      </c>
      <c r="L6067">
        <v>-47.205109999999998</v>
      </c>
      <c r="M6067">
        <v>0.1118508</v>
      </c>
      <c r="N6067">
        <v>0</v>
      </c>
      <c r="O6067">
        <v>-0.99362870000000003</v>
      </c>
      <c r="P6067">
        <v>7.3210559999999994E-2</v>
      </c>
      <c r="Q6067">
        <v>-2.809619E-2</v>
      </c>
      <c r="R6067">
        <v>-0.9969209</v>
      </c>
      <c r="S6067">
        <v>0.50521850000000001</v>
      </c>
      <c r="T6067">
        <v>-0.35379310000000003</v>
      </c>
      <c r="U6067">
        <v>-2.9642330000000001</v>
      </c>
      <c r="V6067">
        <v>3.88429E-2</v>
      </c>
      <c r="W6067">
        <v>-1.4055969999999999E-2</v>
      </c>
      <c r="X6067">
        <v>0.99914650000000005</v>
      </c>
      <c r="Y6067">
        <v>-5.5538990000000003E-2</v>
      </c>
      <c r="Z6067">
        <v>0.1164874</v>
      </c>
      <c r="AA6067">
        <v>0.99163809999999997</v>
      </c>
      <c r="AB6067">
        <v>24</v>
      </c>
      <c r="AC6067">
        <v>8.9499999999986798E-2</v>
      </c>
      <c r="AD6067">
        <v>-0.103966</v>
      </c>
      <c r="AE6067">
        <v>-0.394710000000003</v>
      </c>
      <c r="AF6067">
        <v>-4.20131435559047E-2</v>
      </c>
      <c r="AG6067">
        <v>-0.103966</v>
      </c>
      <c r="AH6067">
        <v>0.37734482732374203</v>
      </c>
      <c r="AI6067">
        <v>105.31379628121999</v>
      </c>
      <c r="AJ6067">
        <v>96.3530814370624</v>
      </c>
      <c r="AK6067">
        <v>0.39365359403342598</v>
      </c>
      <c r="AL6067">
        <v>90.805374251076103</v>
      </c>
      <c r="AM6067">
        <v>87.773685777953503</v>
      </c>
      <c r="AN6067">
        <v>1.0000000348176401</v>
      </c>
    </row>
    <row r="6068" spans="1:40" x14ac:dyDescent="0.25">
      <c r="A6068" t="str">
        <f>"20190312161436521"</f>
        <v>20190312161436521</v>
      </c>
      <c r="B6068" t="str">
        <f>"1552378476513000"</f>
        <v>1552378476513000</v>
      </c>
      <c r="C6068" t="s">
        <v>40</v>
      </c>
      <c r="D6068">
        <v>5.7732140000000003</v>
      </c>
      <c r="E6068">
        <v>0.46400819999999998</v>
      </c>
      <c r="F6068" t="s">
        <v>43</v>
      </c>
      <c r="G6068">
        <v>-301.48860000000002</v>
      </c>
      <c r="H6068">
        <v>1.014562</v>
      </c>
      <c r="I6068">
        <v>-48.032960000000003</v>
      </c>
      <c r="J6068">
        <v>-301.60070000000002</v>
      </c>
      <c r="K6068">
        <v>1.1124799999999999</v>
      </c>
      <c r="L6068">
        <v>-47.451569999999997</v>
      </c>
      <c r="M6068">
        <v>0.11553239999999899</v>
      </c>
      <c r="N6068">
        <v>0</v>
      </c>
      <c r="O6068">
        <v>-0.99320719999999996</v>
      </c>
      <c r="P6068">
        <v>7.7594769999999993E-2</v>
      </c>
      <c r="Q6068">
        <v>-2.762073E-2</v>
      </c>
      <c r="R6068">
        <v>-0.9966024</v>
      </c>
      <c r="S6068">
        <v>0.51614380000000004</v>
      </c>
      <c r="T6068">
        <v>-0.35026489999999999</v>
      </c>
      <c r="U6068">
        <v>-2.961487</v>
      </c>
      <c r="V6068">
        <v>3.815197E-2</v>
      </c>
      <c r="W6068">
        <v>-1.3571959999999999E-2</v>
      </c>
      <c r="X6068">
        <v>0.99917979999999995</v>
      </c>
      <c r="Y6068">
        <v>-5.5566589999999999E-2</v>
      </c>
      <c r="Z6068">
        <v>0.1153371</v>
      </c>
      <c r="AA6068">
        <v>0.99177099999999996</v>
      </c>
      <c r="AB6068">
        <v>24</v>
      </c>
      <c r="AC6068">
        <v>0.11209999999999801</v>
      </c>
      <c r="AD6068">
        <v>-9.79179999999997E-2</v>
      </c>
      <c r="AE6068">
        <v>-0.58138999999999097</v>
      </c>
      <c r="AF6068">
        <v>-4.2997454437497397E-2</v>
      </c>
      <c r="AG6068">
        <v>-9.79179999999997E-2</v>
      </c>
      <c r="AH6068">
        <v>0.57473037936920701</v>
      </c>
      <c r="AI6068">
        <v>99.6423243383108</v>
      </c>
      <c r="AJ6068">
        <v>94.278513727058893</v>
      </c>
      <c r="AK6068">
        <v>0.58459535131745399</v>
      </c>
      <c r="AL6068">
        <v>90.777639885295301</v>
      </c>
      <c r="AM6068">
        <v>87.813321040021407</v>
      </c>
      <c r="AN6068">
        <v>1.00000002182058</v>
      </c>
    </row>
    <row r="6069" spans="1:40" x14ac:dyDescent="0.25">
      <c r="A6069" t="str">
        <f>"20190312161436570"</f>
        <v>20190312161436570</v>
      </c>
      <c r="B6069" t="str">
        <f>"1552378476562776"</f>
        <v>1552378476562776</v>
      </c>
      <c r="C6069" t="s">
        <v>40</v>
      </c>
      <c r="D6069">
        <v>5.7670329999999996</v>
      </c>
      <c r="E6069">
        <v>0.46594419999999998</v>
      </c>
      <c r="F6069" t="s">
        <v>77</v>
      </c>
      <c r="G6069">
        <v>-299.9624</v>
      </c>
      <c r="H6069" s="1">
        <v>-8.3179920000000004E-6</v>
      </c>
      <c r="I6069">
        <v>-56.751170000000002</v>
      </c>
      <c r="J6069">
        <v>-301.53120000000001</v>
      </c>
      <c r="K6069">
        <v>1.1126130000000001</v>
      </c>
      <c r="L6069">
        <v>-47.961120000000001</v>
      </c>
      <c r="M6069">
        <v>0.1234971</v>
      </c>
      <c r="N6069">
        <v>0</v>
      </c>
      <c r="O6069">
        <v>-0.99224809999999997</v>
      </c>
      <c r="P6069">
        <v>8.6306599999999997E-2</v>
      </c>
      <c r="Q6069">
        <v>-2.7792399999999998E-2</v>
      </c>
      <c r="R6069">
        <v>-0.99588100000000002</v>
      </c>
      <c r="S6069">
        <v>0.52142330000000003</v>
      </c>
      <c r="T6069">
        <v>-0.35407450000000001</v>
      </c>
      <c r="U6069">
        <v>-2.9598080000000002</v>
      </c>
      <c r="V6069">
        <v>3.7435709999999997E-2</v>
      </c>
      <c r="W6069">
        <v>-1.372229E-2</v>
      </c>
      <c r="X6069">
        <v>0.9992048</v>
      </c>
      <c r="Y6069">
        <v>-4.9342579999999997E-2</v>
      </c>
      <c r="Z6069">
        <v>0.1164723</v>
      </c>
      <c r="AA6069">
        <v>0.9919675</v>
      </c>
      <c r="AB6069">
        <v>24</v>
      </c>
      <c r="AC6069">
        <v>1.56880000000001</v>
      </c>
      <c r="AD6069">
        <v>-1.1126213179919999</v>
      </c>
      <c r="AE6069">
        <v>-8.7900499999999901</v>
      </c>
      <c r="AF6069">
        <v>-0.46393478289555501</v>
      </c>
      <c r="AG6069">
        <v>-1.1126213179919999</v>
      </c>
      <c r="AH6069">
        <v>8.7801775721739794</v>
      </c>
      <c r="AI6069">
        <v>97.212055776133496</v>
      </c>
      <c r="AJ6069">
        <v>93.024632259665097</v>
      </c>
      <c r="AK6069">
        <v>8.8625436460949203</v>
      </c>
      <c r="AL6069">
        <v>90.786253992384005</v>
      </c>
      <c r="AM6069">
        <v>87.854388355898195</v>
      </c>
      <c r="AN6069">
        <v>0.99999998298454396</v>
      </c>
    </row>
    <row r="6070" spans="1:40" x14ac:dyDescent="0.25">
      <c r="A6070" t="str">
        <f>"20190312161436601"</f>
        <v>20190312161436601</v>
      </c>
      <c r="B6070" t="str">
        <f>"1552378476593033"</f>
        <v>1552378476593033</v>
      </c>
      <c r="C6070" t="s">
        <v>40</v>
      </c>
      <c r="D6070">
        <v>5.771331</v>
      </c>
      <c r="E6070">
        <v>0.46694649999999999</v>
      </c>
      <c r="F6070" t="s">
        <v>43</v>
      </c>
      <c r="G6070">
        <v>-301.37110000000001</v>
      </c>
      <c r="H6070">
        <v>1.0022580000000001</v>
      </c>
      <c r="I6070">
        <v>-48.849519999999998</v>
      </c>
      <c r="J6070">
        <v>-301.48289999999997</v>
      </c>
      <c r="K6070">
        <v>1.112711</v>
      </c>
      <c r="L6070">
        <v>-48.295650000000002</v>
      </c>
      <c r="M6070">
        <v>0.12900110000000001</v>
      </c>
      <c r="N6070">
        <v>0</v>
      </c>
      <c r="O6070">
        <v>-0.99154759999999997</v>
      </c>
      <c r="P6070">
        <v>9.1448059999999998E-2</v>
      </c>
      <c r="Q6070">
        <v>-2.743141E-2</v>
      </c>
      <c r="R6070">
        <v>-0.99543230000000005</v>
      </c>
      <c r="S6070">
        <v>0.53247069999999996</v>
      </c>
      <c r="T6070">
        <v>-0.3671355</v>
      </c>
      <c r="U6070">
        <v>-2.955994</v>
      </c>
      <c r="V6070">
        <v>3.7822479999999999E-2</v>
      </c>
      <c r="W6070">
        <v>-1.3342420000000001E-2</v>
      </c>
      <c r="X6070">
        <v>0.99919539999999996</v>
      </c>
      <c r="Y6070">
        <v>-4.7521340000000002E-2</v>
      </c>
      <c r="Z6070">
        <v>0.1206971</v>
      </c>
      <c r="AA6070">
        <v>0.99155130000000002</v>
      </c>
      <c r="AB6070">
        <v>24</v>
      </c>
      <c r="AC6070">
        <v>0.111799999999959</v>
      </c>
      <c r="AD6070">
        <v>-0.110452999999999</v>
      </c>
      <c r="AE6070">
        <v>-0.55386999999999598</v>
      </c>
      <c r="AF6070">
        <v>-3.7958511700940202E-2</v>
      </c>
      <c r="AG6070">
        <v>-0.110452999999999</v>
      </c>
      <c r="AH6070">
        <v>0.54291911709892604</v>
      </c>
      <c r="AI6070">
        <v>101.47221898769</v>
      </c>
      <c r="AJ6070">
        <v>93.999360295396997</v>
      </c>
      <c r="AK6070">
        <v>0.55533942911612899</v>
      </c>
      <c r="AL6070">
        <v>90.764487035102803</v>
      </c>
      <c r="AM6070">
        <v>87.832221466030603</v>
      </c>
      <c r="AN6070">
        <v>1.0000000037729799</v>
      </c>
    </row>
    <row r="6071" spans="1:40" x14ac:dyDescent="0.25">
      <c r="A6071" t="str">
        <f>"20190312161436633"</f>
        <v>20190312161436633</v>
      </c>
      <c r="B6071" t="str">
        <f>"1552378476622313"</f>
        <v>1552378476622313</v>
      </c>
      <c r="C6071" t="s">
        <v>40</v>
      </c>
      <c r="D6071">
        <v>5.8585019999999997</v>
      </c>
      <c r="E6071">
        <v>0.4679585</v>
      </c>
      <c r="F6071" t="s">
        <v>43</v>
      </c>
      <c r="G6071">
        <v>-301.34219999999999</v>
      </c>
      <c r="H6071">
        <v>1.015943</v>
      </c>
      <c r="I6071">
        <v>-49.066719999999997</v>
      </c>
      <c r="J6071">
        <v>-301.43610000000001</v>
      </c>
      <c r="K6071">
        <v>1.112787</v>
      </c>
      <c r="L6071">
        <v>-48.60718</v>
      </c>
      <c r="M6071">
        <v>0.1342855</v>
      </c>
      <c r="N6071">
        <v>0</v>
      </c>
      <c r="O6071">
        <v>-0.99084559999999999</v>
      </c>
      <c r="P6071">
        <v>9.6215750000000003E-2</v>
      </c>
      <c r="Q6071">
        <v>-2.7901100000000002E-2</v>
      </c>
      <c r="R6071">
        <v>-0.99496949999999995</v>
      </c>
      <c r="S6071">
        <v>0.54013059999999902</v>
      </c>
      <c r="T6071">
        <v>-0.37096600000000002</v>
      </c>
      <c r="U6071">
        <v>-2.9539179999999998</v>
      </c>
      <c r="V6071">
        <v>3.8366030000000002E-2</v>
      </c>
      <c r="W6071">
        <v>-1.3795750000000001E-2</v>
      </c>
      <c r="X6071">
        <v>0.99916850000000001</v>
      </c>
      <c r="Y6071">
        <v>-4.4779840000000001E-2</v>
      </c>
      <c r="Z6071">
        <v>0.12187199999999999</v>
      </c>
      <c r="AA6071">
        <v>0.99153519999999995</v>
      </c>
      <c r="AB6071">
        <v>24</v>
      </c>
      <c r="AC6071">
        <v>9.3900000000019204E-2</v>
      </c>
      <c r="AD6071">
        <v>-9.6843999999999902E-2</v>
      </c>
      <c r="AE6071">
        <v>-0.459540000000004</v>
      </c>
      <c r="AF6071">
        <v>-3.0052657319631099E-2</v>
      </c>
      <c r="AG6071">
        <v>-9.6843999999999902E-2</v>
      </c>
      <c r="AH6071">
        <v>0.4488522185862</v>
      </c>
      <c r="AI6071">
        <v>102.149060862746</v>
      </c>
      <c r="AJ6071">
        <v>93.830490826258099</v>
      </c>
      <c r="AK6071">
        <v>0.46016327176093202</v>
      </c>
      <c r="AL6071">
        <v>90.7904633387177</v>
      </c>
      <c r="AM6071">
        <v>87.801039363890297</v>
      </c>
      <c r="AN6071">
        <v>0.99999998318413597</v>
      </c>
    </row>
    <row r="6072" spans="1:40" x14ac:dyDescent="0.25">
      <c r="A6072" t="str">
        <f>"20190312161436653"</f>
        <v>20190312161436653</v>
      </c>
      <c r="B6072" t="str">
        <f>"1552378476642809"</f>
        <v>1552378476642809</v>
      </c>
      <c r="C6072" t="s">
        <v>40</v>
      </c>
      <c r="D6072">
        <v>5.8434670000000004</v>
      </c>
      <c r="E6072">
        <v>0.46872180000000002</v>
      </c>
      <c r="F6072" t="s">
        <v>43</v>
      </c>
      <c r="G6072">
        <v>-301.27620000000002</v>
      </c>
      <c r="H6072">
        <v>1.001692</v>
      </c>
      <c r="I6072">
        <v>-49.47184</v>
      </c>
      <c r="J6072">
        <v>-301.40260000000001</v>
      </c>
      <c r="K6072">
        <v>1.112835</v>
      </c>
      <c r="L6072">
        <v>-48.822690000000001</v>
      </c>
      <c r="M6072">
        <v>0.13805020000000001</v>
      </c>
      <c r="N6072">
        <v>0</v>
      </c>
      <c r="O6072">
        <v>-0.99032810000000004</v>
      </c>
      <c r="P6072">
        <v>9.9438700000000005E-2</v>
      </c>
      <c r="Q6072">
        <v>-2.8081490000000001E-2</v>
      </c>
      <c r="R6072">
        <v>-0.99464730000000001</v>
      </c>
      <c r="S6072">
        <v>0.54660030000000004</v>
      </c>
      <c r="T6072">
        <v>-0.37960139999999998</v>
      </c>
      <c r="U6072">
        <v>-2.95166</v>
      </c>
      <c r="V6072">
        <v>3.89281E-2</v>
      </c>
      <c r="W6072">
        <v>-1.3964030000000001E-2</v>
      </c>
      <c r="X6072">
        <v>0.99914440000000004</v>
      </c>
      <c r="Y6072">
        <v>-4.3155850000000003E-2</v>
      </c>
      <c r="Z6072">
        <v>0.1246403</v>
      </c>
      <c r="AA6072">
        <v>0.99126300000000001</v>
      </c>
      <c r="AB6072">
        <v>24</v>
      </c>
      <c r="AC6072">
        <v>0.12639999999998899</v>
      </c>
      <c r="AD6072">
        <v>-0.11114300000000001</v>
      </c>
      <c r="AE6072">
        <v>-0.64914999999999801</v>
      </c>
      <c r="AF6072">
        <v>-3.4588713066293297E-2</v>
      </c>
      <c r="AG6072">
        <v>-0.11114300000000001</v>
      </c>
      <c r="AH6072">
        <v>0.64224554822115798</v>
      </c>
      <c r="AI6072">
        <v>99.804079918471899</v>
      </c>
      <c r="AJ6072">
        <v>93.0827377163628</v>
      </c>
      <c r="AK6072">
        <v>0.65270857948281802</v>
      </c>
      <c r="AL6072">
        <v>90.800106018837297</v>
      </c>
      <c r="AM6072">
        <v>87.768802711880596</v>
      </c>
      <c r="AN6072">
        <v>0.99999996157740401</v>
      </c>
    </row>
    <row r="6073" spans="1:40" x14ac:dyDescent="0.25">
      <c r="A6073" t="str">
        <f>"20190312161436678"</f>
        <v>20190312161436678</v>
      </c>
      <c r="B6073" t="str">
        <f>"1552378476673065"</f>
        <v>1552378476673065</v>
      </c>
      <c r="C6073" t="s">
        <v>40</v>
      </c>
      <c r="D6073">
        <v>5.795204</v>
      </c>
      <c r="E6073">
        <v>0.46962599999999999</v>
      </c>
      <c r="F6073" t="s">
        <v>43</v>
      </c>
      <c r="G6073">
        <v>-301.24310000000003</v>
      </c>
      <c r="H6073">
        <v>1.001274</v>
      </c>
      <c r="I6073">
        <v>-49.678339999999999</v>
      </c>
      <c r="J6073">
        <v>-301.3596</v>
      </c>
      <c r="K6073">
        <v>1.1128910000000001</v>
      </c>
      <c r="L6073">
        <v>-49.090179999999997</v>
      </c>
      <c r="M6073">
        <v>0.14283419999999999</v>
      </c>
      <c r="N6073">
        <v>0</v>
      </c>
      <c r="O6073">
        <v>-0.98964920000000001</v>
      </c>
      <c r="P6073">
        <v>0.103630399999999</v>
      </c>
      <c r="Q6073">
        <v>-2.8404510000000001E-2</v>
      </c>
      <c r="R6073">
        <v>-0.99421040000000005</v>
      </c>
      <c r="S6073">
        <v>0.55041499999999999</v>
      </c>
      <c r="T6073">
        <v>-0.38494400000000001</v>
      </c>
      <c r="U6073">
        <v>-2.950256</v>
      </c>
      <c r="V6073">
        <v>3.9547350000000002E-2</v>
      </c>
      <c r="W6073">
        <v>-1.427226E-2</v>
      </c>
      <c r="X6073">
        <v>0.9991158</v>
      </c>
      <c r="Y6073">
        <v>-3.9611559999999997E-2</v>
      </c>
      <c r="Z6073">
        <v>0.12629009999999999</v>
      </c>
      <c r="AA6073">
        <v>0.99120220000000003</v>
      </c>
      <c r="AB6073">
        <v>24</v>
      </c>
      <c r="AC6073">
        <v>0.116499999999973</v>
      </c>
      <c r="AD6073">
        <v>-0.11161699999999999</v>
      </c>
      <c r="AE6073">
        <v>-0.58816000000000901</v>
      </c>
      <c r="AF6073">
        <v>-3.02398467827013E-2</v>
      </c>
      <c r="AG6073">
        <v>-0.11161699999999999</v>
      </c>
      <c r="AH6073">
        <v>0.578715064169947</v>
      </c>
      <c r="AI6073">
        <v>100.902097813636</v>
      </c>
      <c r="AJ6073">
        <v>92.991180558525798</v>
      </c>
      <c r="AK6073">
        <v>0.59015585104247403</v>
      </c>
      <c r="AL6073">
        <v>90.8177679971012</v>
      </c>
      <c r="AM6073">
        <v>87.733281784258196</v>
      </c>
      <c r="AN6073">
        <v>1.0000000360535799</v>
      </c>
    </row>
    <row r="6074" spans="1:40" x14ac:dyDescent="0.25">
      <c r="A6074" t="str">
        <f>"20190312161436751"</f>
        <v>20190312161436751</v>
      </c>
      <c r="B6074" t="str">
        <f>"1552378476742360"</f>
        <v>1552378476742360</v>
      </c>
      <c r="C6074" t="s">
        <v>40</v>
      </c>
      <c r="D6074">
        <v>5.7176400000000003</v>
      </c>
      <c r="E6074">
        <v>0.47100229999999998</v>
      </c>
      <c r="F6074" t="s">
        <v>43</v>
      </c>
      <c r="G6074">
        <v>-301.20929999999998</v>
      </c>
      <c r="H6074">
        <v>1.007944</v>
      </c>
      <c r="I6074">
        <v>-49.887819999999998</v>
      </c>
      <c r="J6074">
        <v>-301.23450000000003</v>
      </c>
      <c r="K6074">
        <v>1.1130850000000001</v>
      </c>
      <c r="L6074">
        <v>-49.822600000000001</v>
      </c>
      <c r="M6074">
        <v>0.15662490000000001</v>
      </c>
      <c r="N6074">
        <v>0</v>
      </c>
      <c r="O6074">
        <v>-0.9875604</v>
      </c>
      <c r="P6074">
        <v>0.1172735</v>
      </c>
      <c r="Q6074">
        <v>-2.8347290000000001E-2</v>
      </c>
      <c r="R6074">
        <v>-0.99269499999999999</v>
      </c>
      <c r="S6074">
        <v>0.55593870000000001</v>
      </c>
      <c r="T6074">
        <v>-0.3879975</v>
      </c>
      <c r="U6074">
        <v>-2.9484249999999999</v>
      </c>
      <c r="V6074">
        <v>3.9770300000000001E-2</v>
      </c>
      <c r="W6074">
        <v>-1.4177840000000001E-2</v>
      </c>
      <c r="X6074">
        <v>0.99910829999999995</v>
      </c>
      <c r="Y6074">
        <v>-2.755664E-2</v>
      </c>
      <c r="Z6074">
        <v>0.12695600000000001</v>
      </c>
      <c r="AA6074">
        <v>0.99152549999999995</v>
      </c>
      <c r="AB6074">
        <v>24</v>
      </c>
      <c r="AC6074">
        <v>2.52000000000407E-2</v>
      </c>
      <c r="AD6074">
        <v>-0.105141</v>
      </c>
      <c r="AE6074">
        <v>-6.5219999999996503E-2</v>
      </c>
      <c r="AF6074">
        <v>-4.4991295392802196E-3</v>
      </c>
      <c r="AG6074">
        <v>-0.105141</v>
      </c>
      <c r="AH6074">
        <v>2.0961864455641601E-2</v>
      </c>
      <c r="AI6074">
        <v>168.47484119103001</v>
      </c>
      <c r="AJ6074">
        <v>102.11383682109199</v>
      </c>
      <c r="AK6074">
        <v>0.107304574968022</v>
      </c>
      <c r="AL6074">
        <v>90.812357577920594</v>
      </c>
      <c r="AM6074">
        <v>87.720499405164304</v>
      </c>
      <c r="AN6074">
        <v>1.00000004151902</v>
      </c>
    </row>
    <row r="6075" spans="1:40" x14ac:dyDescent="0.25">
      <c r="A6075" t="str">
        <f>"20190312161436775"</f>
        <v>20190312161436775</v>
      </c>
      <c r="B6075" t="str">
        <f>"1552378476762856"</f>
        <v>1552378476762856</v>
      </c>
      <c r="C6075" t="s">
        <v>40</v>
      </c>
      <c r="D6075">
        <v>5.8187569999999997</v>
      </c>
      <c r="E6075">
        <v>0.47151959999999998</v>
      </c>
      <c r="F6075" t="s">
        <v>43</v>
      </c>
      <c r="G6075">
        <v>-301.05970000000002</v>
      </c>
      <c r="H6075">
        <v>0.9955387</v>
      </c>
      <c r="I6075">
        <v>-50.70158</v>
      </c>
      <c r="J6075">
        <v>-301.1884</v>
      </c>
      <c r="K6075">
        <v>1.1131740000000001</v>
      </c>
      <c r="L6075">
        <v>-50.075319999999998</v>
      </c>
      <c r="M6075">
        <v>0.16167519999999999</v>
      </c>
      <c r="N6075">
        <v>0</v>
      </c>
      <c r="O6075">
        <v>-0.98674600000000001</v>
      </c>
      <c r="P6075">
        <v>0.12278550000000001</v>
      </c>
      <c r="Q6075">
        <v>-2.80644E-2</v>
      </c>
      <c r="R6075">
        <v>-0.99203649999999999</v>
      </c>
      <c r="S6075">
        <v>0.58581539999999999</v>
      </c>
      <c r="T6075">
        <v>-0.39369500000000002</v>
      </c>
      <c r="U6075">
        <v>-2.9416199999999999</v>
      </c>
      <c r="V6075">
        <v>3.9334460000000002E-2</v>
      </c>
      <c r="W6075">
        <v>-1.3882530000000001E-2</v>
      </c>
      <c r="X6075">
        <v>0.99912970000000001</v>
      </c>
      <c r="Y6075">
        <v>-3.2517049999999999E-2</v>
      </c>
      <c r="Z6075">
        <v>0.12878779999999901</v>
      </c>
      <c r="AA6075">
        <v>0.99113890000000004</v>
      </c>
      <c r="AB6075">
        <v>23</v>
      </c>
      <c r="AC6075">
        <v>0.12869999999998</v>
      </c>
      <c r="AD6075">
        <v>-0.1176353</v>
      </c>
      <c r="AE6075">
        <v>-0.62626000000000204</v>
      </c>
      <c r="AF6075">
        <v>-2.49029425837165E-2</v>
      </c>
      <c r="AG6075">
        <v>-0.1176353</v>
      </c>
      <c r="AH6075">
        <v>0.617910616547381</v>
      </c>
      <c r="AI6075">
        <v>100.77021523818399</v>
      </c>
      <c r="AJ6075">
        <v>92.307877085973104</v>
      </c>
      <c r="AK6075">
        <v>0.62950119173626895</v>
      </c>
      <c r="AL6075">
        <v>90.795435896838796</v>
      </c>
      <c r="AM6075">
        <v>87.745502614967293</v>
      </c>
      <c r="AN6075">
        <v>1.0000000409023899</v>
      </c>
    </row>
    <row r="6076" spans="1:40" x14ac:dyDescent="0.25">
      <c r="A6076" t="str">
        <f>"20190312161436803"</f>
        <v>20190312161436803</v>
      </c>
      <c r="B6076" t="str">
        <f>"1552378476793113"</f>
        <v>1552378476793113</v>
      </c>
      <c r="C6076" t="s">
        <v>40</v>
      </c>
      <c r="D6076">
        <v>5.7672509999999999</v>
      </c>
      <c r="E6076">
        <v>0.47221259999999998</v>
      </c>
      <c r="F6076" t="s">
        <v>43</v>
      </c>
      <c r="G6076">
        <v>-301.01889999999997</v>
      </c>
      <c r="H6076">
        <v>1.002535</v>
      </c>
      <c r="I6076">
        <v>-50.908540000000002</v>
      </c>
      <c r="J6076">
        <v>-301.13389999999998</v>
      </c>
      <c r="K6076">
        <v>1.1132660000000001</v>
      </c>
      <c r="L6076">
        <v>-50.364559999999997</v>
      </c>
      <c r="M6076">
        <v>0.16761760000000001</v>
      </c>
      <c r="N6076">
        <v>0</v>
      </c>
      <c r="O6076">
        <v>-0.98575389999999996</v>
      </c>
      <c r="P6076">
        <v>0.12963160000000001</v>
      </c>
      <c r="Q6076">
        <v>-2.7240090000000002E-2</v>
      </c>
      <c r="R6076">
        <v>-0.99118830000000002</v>
      </c>
      <c r="S6076">
        <v>0.59817500000000001</v>
      </c>
      <c r="T6076">
        <v>-0.39024449999999999</v>
      </c>
      <c r="U6076">
        <v>-2.9390260000000001</v>
      </c>
      <c r="V6076">
        <v>3.8457390000000001E-2</v>
      </c>
      <c r="W6076">
        <v>-1.3047410000000001E-2</v>
      </c>
      <c r="X6076">
        <v>0.99917509999999998</v>
      </c>
      <c r="Y6076">
        <v>-3.069904E-2</v>
      </c>
      <c r="Z6076">
        <v>0.12754779999999999</v>
      </c>
      <c r="AA6076">
        <v>0.99135720000000005</v>
      </c>
      <c r="AB6076">
        <v>23</v>
      </c>
      <c r="AC6076">
        <v>0.115000000000009</v>
      </c>
      <c r="AD6076">
        <v>-0.110731</v>
      </c>
      <c r="AE6076">
        <v>-0.54398000000000402</v>
      </c>
      <c r="AF6076">
        <v>-2.1336939187399501E-2</v>
      </c>
      <c r="AG6076">
        <v>-0.110731</v>
      </c>
      <c r="AH6076">
        <v>0.534365721695365</v>
      </c>
      <c r="AI6076">
        <v>101.698047745709</v>
      </c>
      <c r="AJ6076">
        <v>92.286575322624003</v>
      </c>
      <c r="AK6076">
        <v>0.54613491360459199</v>
      </c>
      <c r="AL6076">
        <v>90.747582706152002</v>
      </c>
      <c r="AM6076">
        <v>87.795822741875796</v>
      </c>
      <c r="AN6076">
        <v>1.00000004310666</v>
      </c>
    </row>
    <row r="6077" spans="1:40" x14ac:dyDescent="0.25">
      <c r="A6077" t="str">
        <f>"20190312161436834"</f>
        <v>20190312161436834</v>
      </c>
      <c r="B6077" t="str">
        <f>"1552378476822393"</f>
        <v>1552378476822393</v>
      </c>
      <c r="C6077" t="s">
        <v>40</v>
      </c>
      <c r="D6077">
        <v>5.6629990000000001</v>
      </c>
      <c r="E6077">
        <v>0.4731418</v>
      </c>
      <c r="F6077" t="s">
        <v>43</v>
      </c>
      <c r="G6077">
        <v>-300.9769</v>
      </c>
      <c r="H6077">
        <v>1.0146770000000001</v>
      </c>
      <c r="I6077">
        <v>-51.117489999999997</v>
      </c>
      <c r="J6077">
        <v>-301.07310000000001</v>
      </c>
      <c r="K6077">
        <v>1.113351</v>
      </c>
      <c r="L6077">
        <v>-50.675260000000002</v>
      </c>
      <c r="M6077">
        <v>0.17422609999999999</v>
      </c>
      <c r="N6077">
        <v>0</v>
      </c>
      <c r="O6077">
        <v>-0.98460720000000002</v>
      </c>
      <c r="P6077">
        <v>0.136218899999999</v>
      </c>
      <c r="Q6077">
        <v>-2.750849E-2</v>
      </c>
      <c r="R6077">
        <v>-0.99029690000000004</v>
      </c>
      <c r="S6077">
        <v>0.61337280000000005</v>
      </c>
      <c r="T6077">
        <v>-0.38493189999999999</v>
      </c>
      <c r="U6077">
        <v>-2.9358520000000001</v>
      </c>
      <c r="V6077">
        <v>3.852001E-2</v>
      </c>
      <c r="W6077">
        <v>-1.3298529999999999E-2</v>
      </c>
      <c r="X6077">
        <v>0.99916930000000004</v>
      </c>
      <c r="Y6077">
        <v>-2.9173589999999999E-2</v>
      </c>
      <c r="Z6077">
        <v>0.1256921</v>
      </c>
      <c r="AA6077">
        <v>0.99164030000000003</v>
      </c>
      <c r="AB6077">
        <v>23</v>
      </c>
      <c r="AC6077">
        <v>9.6200000000010194E-2</v>
      </c>
      <c r="AD6077">
        <v>-9.8673999999999901E-2</v>
      </c>
      <c r="AE6077">
        <v>-0.442230000000009</v>
      </c>
      <c r="AF6077">
        <v>-1.6870929416132802E-2</v>
      </c>
      <c r="AG6077">
        <v>-9.8673999999999901E-2</v>
      </c>
      <c r="AH6077">
        <v>0.43170538440389999</v>
      </c>
      <c r="AI6077">
        <v>102.865317057938</v>
      </c>
      <c r="AJ6077">
        <v>92.237964705902201</v>
      </c>
      <c r="AK6077">
        <v>0.44315993214491201</v>
      </c>
      <c r="AL6077">
        <v>90.761972128953502</v>
      </c>
      <c r="AM6077">
        <v>87.792224435372205</v>
      </c>
      <c r="AN6077">
        <v>0.99999996606652497</v>
      </c>
    </row>
    <row r="6078" spans="1:40" x14ac:dyDescent="0.25">
      <c r="A6078" t="str">
        <f>"20190312161436856"</f>
        <v>20190312161436856</v>
      </c>
      <c r="B6078" t="str">
        <f>"1552378476852651"</f>
        <v>1552378476852651</v>
      </c>
      <c r="C6078" t="s">
        <v>40</v>
      </c>
      <c r="D6078">
        <v>5.5880869999999998</v>
      </c>
      <c r="E6078">
        <v>0.47392669999999998</v>
      </c>
      <c r="F6078" t="s">
        <v>43</v>
      </c>
      <c r="G6078">
        <v>-300.89350000000002</v>
      </c>
      <c r="H6078">
        <v>1.0033319999999999</v>
      </c>
      <c r="I6078">
        <v>-51.516979999999997</v>
      </c>
      <c r="J6078">
        <v>-301.0256</v>
      </c>
      <c r="K6078">
        <v>1.1134310000000001</v>
      </c>
      <c r="L6078">
        <v>-50.909120000000001</v>
      </c>
      <c r="M6078">
        <v>0.17937629999999999</v>
      </c>
      <c r="N6078">
        <v>0</v>
      </c>
      <c r="O6078">
        <v>-0.98368199999999995</v>
      </c>
      <c r="P6078">
        <v>0.1415458</v>
      </c>
      <c r="Q6078">
        <v>-2.737643E-2</v>
      </c>
      <c r="R6078">
        <v>-0.98955340000000003</v>
      </c>
      <c r="S6078">
        <v>0.62606809999999902</v>
      </c>
      <c r="T6078">
        <v>-0.38351619999999997</v>
      </c>
      <c r="U6078">
        <v>-2.932617</v>
      </c>
      <c r="V6078">
        <v>3.837426E-2</v>
      </c>
      <c r="W6078">
        <v>-1.3153069999999999E-2</v>
      </c>
      <c r="X6078">
        <v>0.99917690000000003</v>
      </c>
      <c r="Y6078">
        <v>-2.828435E-2</v>
      </c>
      <c r="Z6078">
        <v>0.12514239999999999</v>
      </c>
      <c r="AA6078">
        <v>0.99173549999999999</v>
      </c>
      <c r="AB6078">
        <v>23</v>
      </c>
      <c r="AC6078">
        <v>0.13209999999997901</v>
      </c>
      <c r="AD6078">
        <v>-0.110099</v>
      </c>
      <c r="AE6078">
        <v>-0.60785999999999496</v>
      </c>
      <c r="AF6078">
        <v>-2.02755693268265E-2</v>
      </c>
      <c r="AG6078">
        <v>-0.110099</v>
      </c>
      <c r="AH6078">
        <v>0.60281252448146605</v>
      </c>
      <c r="AI6078">
        <v>100.344817735718</v>
      </c>
      <c r="AJ6078">
        <v>91.926414460551996</v>
      </c>
      <c r="AK6078">
        <v>0.613119750280681</v>
      </c>
      <c r="AL6078">
        <v>90.753637105649901</v>
      </c>
      <c r="AM6078">
        <v>87.800586594446898</v>
      </c>
      <c r="AN6078">
        <v>1.00000003228729</v>
      </c>
    </row>
    <row r="6079" spans="1:40" x14ac:dyDescent="0.25">
      <c r="A6079" t="str">
        <f>"20190312161436893"</f>
        <v>20190312161436893</v>
      </c>
      <c r="B6079" t="str">
        <f>"1552378476882905"</f>
        <v>1552378476882905</v>
      </c>
      <c r="C6079" t="s">
        <v>40</v>
      </c>
      <c r="D6079">
        <v>5.596743</v>
      </c>
      <c r="E6079">
        <v>0.47463280000000002</v>
      </c>
      <c r="F6079" t="s">
        <v>43</v>
      </c>
      <c r="G6079">
        <v>-300.84949999999998</v>
      </c>
      <c r="H6079">
        <v>1.0078780000000001</v>
      </c>
      <c r="I6079">
        <v>-51.720779999999998</v>
      </c>
      <c r="J6079">
        <v>-300.94880000000001</v>
      </c>
      <c r="K6079">
        <v>1.1135740000000001</v>
      </c>
      <c r="L6079">
        <v>-51.273710000000001</v>
      </c>
      <c r="M6079">
        <v>0.1876795</v>
      </c>
      <c r="N6079">
        <v>0</v>
      </c>
      <c r="O6079">
        <v>-0.98213130000000004</v>
      </c>
      <c r="P6079">
        <v>0.1502492</v>
      </c>
      <c r="Q6079">
        <v>-2.545671E-2</v>
      </c>
      <c r="R6079">
        <v>-0.98832039999999999</v>
      </c>
      <c r="S6079">
        <v>0.63589479999999998</v>
      </c>
      <c r="T6079">
        <v>-0.38110179999999999</v>
      </c>
      <c r="U6079">
        <v>-2.9301759999999999</v>
      </c>
      <c r="V6079">
        <v>3.8019280000000003E-2</v>
      </c>
      <c r="W6079">
        <v>-1.1210700000000001E-2</v>
      </c>
      <c r="X6079">
        <v>0.99921409999999999</v>
      </c>
      <c r="Y6079">
        <v>-2.3211720000000002E-2</v>
      </c>
      <c r="Z6079">
        <v>0.1241404</v>
      </c>
      <c r="AA6079">
        <v>0.99199309999999996</v>
      </c>
      <c r="AB6079">
        <v>23</v>
      </c>
      <c r="AC6079">
        <v>9.9300000000027894E-2</v>
      </c>
      <c r="AD6079">
        <v>-0.105696</v>
      </c>
      <c r="AE6079">
        <v>-0.44707000000000302</v>
      </c>
      <c r="AF6079">
        <v>-1.29322368765558E-2</v>
      </c>
      <c r="AG6079">
        <v>-0.105696</v>
      </c>
      <c r="AH6079">
        <v>0.43461236017947702</v>
      </c>
      <c r="AI6079">
        <v>103.66293253526599</v>
      </c>
      <c r="AJ6079">
        <v>91.704378641910395</v>
      </c>
      <c r="AK6079">
        <v>0.44746708346805403</v>
      </c>
      <c r="AL6079">
        <v>90.642339262567106</v>
      </c>
      <c r="AM6079">
        <v>87.820993548119404</v>
      </c>
      <c r="AN6079">
        <v>0.99999998154250902</v>
      </c>
    </row>
    <row r="6080" spans="1:40" x14ac:dyDescent="0.25">
      <c r="A6080" t="str">
        <f>"20190312161436921"</f>
        <v>20190312161436921</v>
      </c>
      <c r="B6080" t="str">
        <f>"1552378476913160"</f>
        <v>1552378476913160</v>
      </c>
      <c r="C6080" t="s">
        <v>40</v>
      </c>
      <c r="D6080">
        <v>5.5866030000000002</v>
      </c>
      <c r="E6080">
        <v>0.47523399999999999</v>
      </c>
      <c r="F6080" t="s">
        <v>43</v>
      </c>
      <c r="G6080">
        <v>-300.75900000000001</v>
      </c>
      <c r="H6080">
        <v>1.004451</v>
      </c>
      <c r="I6080">
        <v>-52.120719999999999</v>
      </c>
      <c r="J6080">
        <v>-300.88630000000001</v>
      </c>
      <c r="K6080">
        <v>1.113686</v>
      </c>
      <c r="L6080">
        <v>-51.558169999999997</v>
      </c>
      <c r="M6080">
        <v>0.19441610000000001</v>
      </c>
      <c r="N6080">
        <v>0</v>
      </c>
      <c r="O6080">
        <v>-0.98082000000000003</v>
      </c>
      <c r="P6080">
        <v>0.15752099999999999</v>
      </c>
      <c r="Q6080">
        <v>-2.498802E-2</v>
      </c>
      <c r="R6080">
        <v>-0.98719970000000001</v>
      </c>
      <c r="S6080">
        <v>0.65612789999999999</v>
      </c>
      <c r="T6080">
        <v>-0.37722860000000003</v>
      </c>
      <c r="U6080">
        <v>-2.9259949999999999</v>
      </c>
      <c r="V6080">
        <v>3.7522840000000002E-2</v>
      </c>
      <c r="W6080">
        <v>-1.0725180000000001E-2</v>
      </c>
      <c r="X6080">
        <v>0.99923819999999997</v>
      </c>
      <c r="Y6080">
        <v>-2.3221350000000002E-2</v>
      </c>
      <c r="Z6080">
        <v>0.12273439999999999</v>
      </c>
      <c r="AA6080">
        <v>0.99216780000000004</v>
      </c>
      <c r="AB6080">
        <v>23</v>
      </c>
      <c r="AC6080">
        <v>0.127299999999991</v>
      </c>
      <c r="AD6080">
        <v>-0.109234999999999</v>
      </c>
      <c r="AE6080">
        <v>-0.562549999999994</v>
      </c>
      <c r="AF6080">
        <v>-1.4954712895712799E-2</v>
      </c>
      <c r="AG6080">
        <v>-0.109234999999999</v>
      </c>
      <c r="AH6080">
        <v>0.55660110558669795</v>
      </c>
      <c r="AI6080">
        <v>101.099484398332</v>
      </c>
      <c r="AJ6080">
        <v>91.539048041696304</v>
      </c>
      <c r="AK6080">
        <v>0.56741582583069305</v>
      </c>
      <c r="AL6080">
        <v>90.614519338398907</v>
      </c>
      <c r="AM6080">
        <v>87.849471038399898</v>
      </c>
      <c r="AN6080">
        <v>0.99999998667346801</v>
      </c>
    </row>
    <row r="6081" spans="1:40" x14ac:dyDescent="0.25">
      <c r="A6081" t="str">
        <f>"20190312161436946"</f>
        <v>20190312161436946</v>
      </c>
      <c r="B6081" t="str">
        <f>"1552378476932681"</f>
        <v>1552378476932681</v>
      </c>
      <c r="C6081" t="s">
        <v>40</v>
      </c>
      <c r="D6081">
        <v>5.6170869999999997</v>
      </c>
      <c r="E6081">
        <v>0.47565109999999999</v>
      </c>
      <c r="F6081" t="s">
        <v>43</v>
      </c>
      <c r="G6081">
        <v>-300.7097</v>
      </c>
      <c r="H6081">
        <v>1.0142519999999999</v>
      </c>
      <c r="I6081">
        <v>-52.325049999999997</v>
      </c>
      <c r="J6081">
        <v>-300.83080000000001</v>
      </c>
      <c r="K6081">
        <v>1.1137729999999999</v>
      </c>
      <c r="L6081">
        <v>-51.802579999999999</v>
      </c>
      <c r="M6081">
        <v>0.2003779</v>
      </c>
      <c r="N6081">
        <v>0</v>
      </c>
      <c r="O6081">
        <v>-0.97961909999999996</v>
      </c>
      <c r="P6081">
        <v>0.16454240000000001</v>
      </c>
      <c r="Q6081">
        <v>-2.4983720000000001E-2</v>
      </c>
      <c r="R6081">
        <v>-0.98605359999999997</v>
      </c>
      <c r="S6081">
        <v>0.67318730000000004</v>
      </c>
      <c r="T6081">
        <v>-0.37909759999999998</v>
      </c>
      <c r="U6081">
        <v>-2.9219059999999999</v>
      </c>
      <c r="V6081">
        <v>3.6491660000000002E-2</v>
      </c>
      <c r="W6081">
        <v>-1.071126E-2</v>
      </c>
      <c r="X6081">
        <v>0.99927659999999996</v>
      </c>
      <c r="Y6081">
        <v>-2.2930059999999999E-2</v>
      </c>
      <c r="Z6081">
        <v>0.1231971</v>
      </c>
      <c r="AA6081">
        <v>0.99211729999999998</v>
      </c>
      <c r="AB6081">
        <v>23</v>
      </c>
      <c r="AC6081">
        <v>0.121100000000012</v>
      </c>
      <c r="AD6081">
        <v>-9.9520999999999707E-2</v>
      </c>
      <c r="AE6081">
        <v>-0.52246999999999799</v>
      </c>
      <c r="AF6081">
        <v>-1.3477708359772401E-2</v>
      </c>
      <c r="AG6081">
        <v>-9.9520999999999707E-2</v>
      </c>
      <c r="AH6081">
        <v>0.51829306531711405</v>
      </c>
      <c r="AI6081">
        <v>100.865870558236</v>
      </c>
      <c r="AJ6081">
        <v>91.489585465958399</v>
      </c>
      <c r="AK6081">
        <v>0.52793349923966904</v>
      </c>
      <c r="AL6081">
        <v>90.613721697790893</v>
      </c>
      <c r="AM6081">
        <v>87.908597648560601</v>
      </c>
      <c r="AN6081">
        <v>1.0000000478239499</v>
      </c>
    </row>
    <row r="6082" spans="1:40" x14ac:dyDescent="0.25">
      <c r="A6082" t="str">
        <f>"20190312161436974"</f>
        <v>20190312161436974</v>
      </c>
      <c r="B6082" t="str">
        <f>"1552378476962937"</f>
        <v>1552378476962937</v>
      </c>
      <c r="C6082" t="s">
        <v>40</v>
      </c>
      <c r="D6082">
        <v>5.588095</v>
      </c>
      <c r="E6082">
        <v>0.47588330000000001</v>
      </c>
      <c r="F6082" t="s">
        <v>43</v>
      </c>
      <c r="G6082">
        <v>-300.65949999999998</v>
      </c>
      <c r="H6082">
        <v>1.01969</v>
      </c>
      <c r="I6082">
        <v>-52.526679999999999</v>
      </c>
      <c r="J6082">
        <v>-300.7647</v>
      </c>
      <c r="K6082">
        <v>1.1139030000000001</v>
      </c>
      <c r="L6082">
        <v>-52.083010000000002</v>
      </c>
      <c r="M6082">
        <v>0.2074995</v>
      </c>
      <c r="N6082">
        <v>0</v>
      </c>
      <c r="O6082">
        <v>-0.97813530000000004</v>
      </c>
      <c r="P6082">
        <v>0.17256199999999999</v>
      </c>
      <c r="Q6082">
        <v>-2.5116309999999999E-2</v>
      </c>
      <c r="R6082">
        <v>-0.98467859999999996</v>
      </c>
      <c r="S6082">
        <v>0.69079590000000002</v>
      </c>
      <c r="T6082">
        <v>-0.37962439999999997</v>
      </c>
      <c r="U6082">
        <v>-2.9175420000000001</v>
      </c>
      <c r="V6082">
        <v>3.5632850000000001E-2</v>
      </c>
      <c r="W6082">
        <v>-1.082689E-2</v>
      </c>
      <c r="X6082">
        <v>0.99930629999999998</v>
      </c>
      <c r="Y6082">
        <v>-2.165684E-2</v>
      </c>
      <c r="Z6082">
        <v>0.1231841</v>
      </c>
      <c r="AA6082">
        <v>0.99214749999999996</v>
      </c>
      <c r="AB6082">
        <v>23</v>
      </c>
      <c r="AC6082">
        <v>0.105200000000024</v>
      </c>
      <c r="AD6082">
        <v>-9.4213000000000102E-2</v>
      </c>
      <c r="AE6082">
        <v>-0.443670000000011</v>
      </c>
      <c r="AF6082">
        <v>-1.03957730004195E-2</v>
      </c>
      <c r="AG6082">
        <v>-9.4213000000000102E-2</v>
      </c>
      <c r="AH6082">
        <v>0.43717873385443101</v>
      </c>
      <c r="AI6082">
        <v>102.15804797887201</v>
      </c>
      <c r="AJ6082">
        <v>91.3621927194813</v>
      </c>
      <c r="AK6082">
        <v>0.44733589929698198</v>
      </c>
      <c r="AL6082">
        <v>90.620347221473807</v>
      </c>
      <c r="AM6082">
        <v>87.957836052631194</v>
      </c>
      <c r="AN6082">
        <v>1.00000000138294</v>
      </c>
    </row>
    <row r="6083" spans="1:40" x14ac:dyDescent="0.25">
      <c r="A6083" t="str">
        <f>"20190312161437004"</f>
        <v>20190312161437004</v>
      </c>
      <c r="B6083" t="str">
        <f>"1552378476993192"</f>
        <v>1552378476993192</v>
      </c>
      <c r="C6083" t="s">
        <v>40</v>
      </c>
      <c r="D6083">
        <v>5.5313319999999999</v>
      </c>
      <c r="E6083">
        <v>0.47478189999999998</v>
      </c>
      <c r="F6083" t="s">
        <v>43</v>
      </c>
      <c r="G6083">
        <v>-300.56079999999997</v>
      </c>
      <c r="H6083">
        <v>1.00526</v>
      </c>
      <c r="I6083">
        <v>-52.916530000000002</v>
      </c>
      <c r="J6083">
        <v>-300.69080000000002</v>
      </c>
      <c r="K6083">
        <v>1.114052</v>
      </c>
      <c r="L6083">
        <v>-52.385469999999998</v>
      </c>
      <c r="M6083">
        <v>0.21549750000000001</v>
      </c>
      <c r="N6083">
        <v>0</v>
      </c>
      <c r="O6083">
        <v>-0.97640400000000005</v>
      </c>
      <c r="P6083">
        <v>0.1821758</v>
      </c>
      <c r="Q6083">
        <v>-2.4944310000000001E-2</v>
      </c>
      <c r="R6083">
        <v>-0.98294950000000003</v>
      </c>
      <c r="S6083">
        <v>0.71273799999999998</v>
      </c>
      <c r="T6083">
        <v>-0.37964189999999998</v>
      </c>
      <c r="U6083">
        <v>-2.9121090000000001</v>
      </c>
      <c r="V6083">
        <v>3.4049589999999998E-2</v>
      </c>
      <c r="W6083">
        <v>-1.0637809999999999E-2</v>
      </c>
      <c r="X6083">
        <v>0.99936349999999996</v>
      </c>
      <c r="Y6083">
        <v>-2.09581E-2</v>
      </c>
      <c r="Z6083">
        <v>0.122981199999999</v>
      </c>
      <c r="AA6083">
        <v>0.99218770000000001</v>
      </c>
      <c r="AB6083">
        <v>23</v>
      </c>
      <c r="AC6083">
        <v>0.13000000000005199</v>
      </c>
      <c r="AD6083">
        <v>-0.108792</v>
      </c>
      <c r="AE6083">
        <v>-0.53106000000000297</v>
      </c>
      <c r="AF6083">
        <v>-1.20158824287877E-2</v>
      </c>
      <c r="AG6083">
        <v>-0.108792</v>
      </c>
      <c r="AH6083">
        <v>0.52577952359907199</v>
      </c>
      <c r="AI6083">
        <v>101.687449578673</v>
      </c>
      <c r="AJ6083">
        <v>91.309179039110006</v>
      </c>
      <c r="AK6083">
        <v>0.53705138313815803</v>
      </c>
      <c r="AL6083">
        <v>90.6095131298121</v>
      </c>
      <c r="AM6083">
        <v>88.048614517750593</v>
      </c>
      <c r="AN6083">
        <v>0.99999997135650598</v>
      </c>
    </row>
    <row r="6084" spans="1:40" x14ac:dyDescent="0.25">
      <c r="A6084" t="str">
        <f>"20190312161437050"</f>
        <v>20190312161437050</v>
      </c>
      <c r="B6084" t="str">
        <f>"1552378477042969"</f>
        <v>1552378477042969</v>
      </c>
      <c r="C6084" t="s">
        <v>40</v>
      </c>
      <c r="D6084">
        <v>5.4269809999999996</v>
      </c>
      <c r="E6084">
        <v>0.37363879999999999</v>
      </c>
      <c r="F6084" t="s">
        <v>43</v>
      </c>
      <c r="G6084">
        <v>-300.5016</v>
      </c>
      <c r="H6084">
        <v>1.018767</v>
      </c>
      <c r="I6084">
        <v>-53.119059999999998</v>
      </c>
      <c r="J6084">
        <v>-300.57490000000001</v>
      </c>
      <c r="K6084">
        <v>1.1142840000000001</v>
      </c>
      <c r="L6084">
        <v>-52.836030000000001</v>
      </c>
      <c r="M6084">
        <v>0.22803000000000001</v>
      </c>
      <c r="N6084">
        <v>0</v>
      </c>
      <c r="O6084">
        <v>-0.973553</v>
      </c>
      <c r="P6084">
        <v>0.19573019999999999</v>
      </c>
      <c r="Q6084">
        <v>-2.4399009999999999E-2</v>
      </c>
      <c r="R6084">
        <v>-0.98035430000000001</v>
      </c>
      <c r="S6084">
        <v>0.75009159999999997</v>
      </c>
      <c r="T6084">
        <v>-0.3778108</v>
      </c>
      <c r="U6084">
        <v>-2.9034420000000001</v>
      </c>
      <c r="V6084">
        <v>3.3100110000000002E-2</v>
      </c>
      <c r="W6084">
        <v>-1.0055130000000001E-2</v>
      </c>
      <c r="X6084">
        <v>0.99940150000000005</v>
      </c>
      <c r="Y6084">
        <v>-2.0818699999999999E-2</v>
      </c>
      <c r="Z6084">
        <v>0.1220295</v>
      </c>
      <c r="AA6084">
        <v>0.99230810000000003</v>
      </c>
      <c r="AB6084">
        <v>23</v>
      </c>
      <c r="AC6084">
        <v>7.3300000000017407E-2</v>
      </c>
      <c r="AD6084">
        <v>-9.5517000000000005E-2</v>
      </c>
      <c r="AE6084">
        <v>-0.28302999999998901</v>
      </c>
      <c r="AF6084">
        <v>-6.1647839289878997E-3</v>
      </c>
      <c r="AG6084">
        <v>-9.5517000000000005E-2</v>
      </c>
      <c r="AH6084">
        <v>0.26409967717121402</v>
      </c>
      <c r="AI6084">
        <v>109.878560053513</v>
      </c>
      <c r="AJ6084">
        <v>91.337191972960099</v>
      </c>
      <c r="AK6084">
        <v>0.28090948957240802</v>
      </c>
      <c r="AL6084">
        <v>90.576126196632302</v>
      </c>
      <c r="AM6084">
        <v>88.103061062876606</v>
      </c>
      <c r="AN6084">
        <v>1.0000000405617799</v>
      </c>
    </row>
    <row r="6085" spans="1:40" x14ac:dyDescent="0.25">
      <c r="A6085" t="str">
        <f>"20190312161437074"</f>
        <v>20190312161437074</v>
      </c>
      <c r="B6085" t="str">
        <f>"1552378477062489"</f>
        <v>1552378477062489</v>
      </c>
      <c r="C6085" t="s">
        <v>40</v>
      </c>
      <c r="D6085">
        <v>5.4344330000000003</v>
      </c>
      <c r="E6085">
        <v>0.37444909999999998</v>
      </c>
      <c r="F6085" t="s">
        <v>77</v>
      </c>
      <c r="G6085">
        <v>-293.07909999999998</v>
      </c>
      <c r="H6085" s="1">
        <v>-1.188683E-5</v>
      </c>
      <c r="I6085">
        <v>-65.840810000000005</v>
      </c>
      <c r="J6085">
        <v>-300.51010000000002</v>
      </c>
      <c r="K6085">
        <v>1.114392</v>
      </c>
      <c r="L6085">
        <v>-53.0760199999999</v>
      </c>
      <c r="M6085">
        <v>0.2350274</v>
      </c>
      <c r="N6085">
        <v>0</v>
      </c>
      <c r="O6085">
        <v>-0.97188730000000001</v>
      </c>
      <c r="P6085">
        <v>0.20389170000000001</v>
      </c>
      <c r="Q6085">
        <v>-2.3646210000000001E-2</v>
      </c>
      <c r="R6085">
        <v>-0.97870780000000002</v>
      </c>
      <c r="S6085">
        <v>1.5787659999999999</v>
      </c>
      <c r="T6085">
        <v>-0.2346936</v>
      </c>
      <c r="U6085">
        <v>-2.7390750000000001</v>
      </c>
      <c r="V6085">
        <v>3.1961870000000003E-2</v>
      </c>
      <c r="W6085">
        <v>-9.2888009999999993E-3</v>
      </c>
      <c r="X6085">
        <v>0.9994459</v>
      </c>
      <c r="Y6085">
        <v>-0.28032509999999999</v>
      </c>
      <c r="Z6085">
        <v>7.4455709999999994E-2</v>
      </c>
      <c r="AA6085">
        <v>0.95701309999999995</v>
      </c>
      <c r="AB6085">
        <v>23</v>
      </c>
      <c r="AC6085">
        <v>7.43100000000004</v>
      </c>
      <c r="AD6085">
        <v>-1.1144038868299999</v>
      </c>
      <c r="AE6085">
        <v>-12.76479</v>
      </c>
      <c r="AF6085">
        <v>-4.1985348780188598</v>
      </c>
      <c r="AG6085">
        <v>-1.1144038868299999</v>
      </c>
      <c r="AH6085">
        <v>14.0737055034175</v>
      </c>
      <c r="AI6085">
        <v>94.339222219710607</v>
      </c>
      <c r="AJ6085">
        <v>106.611145030201</v>
      </c>
      <c r="AK6085">
        <v>14.7288416972228</v>
      </c>
      <c r="AL6085">
        <v>90.532216760972503</v>
      </c>
      <c r="AM6085">
        <v>88.168328711684794</v>
      </c>
      <c r="AN6085">
        <v>0.99999997499236104</v>
      </c>
    </row>
    <row r="6086" spans="1:40" x14ac:dyDescent="0.25">
      <c r="A6086" t="str">
        <f>"20190312161437095"</f>
        <v>20190312161437095</v>
      </c>
      <c r="B6086" t="str">
        <f>"1552378477092745"</f>
        <v>1552378477092745</v>
      </c>
      <c r="C6086" t="s">
        <v>40</v>
      </c>
      <c r="D6086">
        <v>5.414085</v>
      </c>
      <c r="E6086">
        <v>0.37481500000000001</v>
      </c>
      <c r="F6086" t="s">
        <v>77</v>
      </c>
      <c r="G6086">
        <v>-292.82549999999998</v>
      </c>
      <c r="H6086" s="1">
        <v>-1.1870599999999999E-5</v>
      </c>
      <c r="I6086">
        <v>-66.216130000000007</v>
      </c>
      <c r="J6086">
        <v>-300.45269999999999</v>
      </c>
      <c r="K6086">
        <v>1.1144689999999999</v>
      </c>
      <c r="L6086">
        <v>-53.282870000000003</v>
      </c>
      <c r="M6086">
        <v>0.24119450000000001</v>
      </c>
      <c r="N6086">
        <v>0</v>
      </c>
      <c r="O6086">
        <v>-0.97037499999999999</v>
      </c>
      <c r="P6086">
        <v>0.2105281</v>
      </c>
      <c r="Q6086">
        <v>-2.4074740000000001E-2</v>
      </c>
      <c r="R6086">
        <v>-0.97729149999999998</v>
      </c>
      <c r="S6086">
        <v>1.595032</v>
      </c>
      <c r="T6086">
        <v>-0.23130790000000001</v>
      </c>
      <c r="U6086">
        <v>-2.7273860000000001</v>
      </c>
      <c r="V6086">
        <v>3.153069E-2</v>
      </c>
      <c r="W6086">
        <v>-9.7025389999999996E-3</v>
      </c>
      <c r="X6086">
        <v>0.99945569999999895</v>
      </c>
      <c r="Y6086">
        <v>-0.28030749999999999</v>
      </c>
      <c r="Z6086">
        <v>7.3386140000000002E-2</v>
      </c>
      <c r="AA6086">
        <v>0.95710090000000003</v>
      </c>
      <c r="AB6086">
        <v>23</v>
      </c>
      <c r="AC6086">
        <v>7.62720000000001</v>
      </c>
      <c r="AD6086">
        <v>-1.1144808706</v>
      </c>
      <c r="AE6086">
        <v>-12.933260000000001</v>
      </c>
      <c r="AF6086">
        <v>-4.2587726015258598</v>
      </c>
      <c r="AG6086">
        <v>-1.1144808706</v>
      </c>
      <c r="AH6086">
        <v>14.3123196688283</v>
      </c>
      <c r="AI6086">
        <v>94.268332085572695</v>
      </c>
      <c r="AJ6086">
        <v>106.57089525831501</v>
      </c>
      <c r="AK6086">
        <v>14.974034392412999</v>
      </c>
      <c r="AL6086">
        <v>90.555923252319303</v>
      </c>
      <c r="AM6086">
        <v>88.193039993871395</v>
      </c>
      <c r="AN6086">
        <v>1.0000000099687001</v>
      </c>
    </row>
    <row r="6087" spans="1:40" x14ac:dyDescent="0.25">
      <c r="A6087" t="str">
        <f>"20190312161437120"</f>
        <v>20190312161437120</v>
      </c>
      <c r="B6087" t="str">
        <f>"1552378477112264"</f>
        <v>1552378477112264</v>
      </c>
      <c r="C6087" t="s">
        <v>40</v>
      </c>
      <c r="D6087">
        <v>5.4070769999999904</v>
      </c>
      <c r="E6087">
        <v>0.3753417</v>
      </c>
      <c r="F6087" t="s">
        <v>77</v>
      </c>
      <c r="G6087">
        <v>-292.66219999999998</v>
      </c>
      <c r="H6087" s="1">
        <v>-1.185394E-5</v>
      </c>
      <c r="I6087">
        <v>-66.424619999999905</v>
      </c>
      <c r="J6087">
        <v>-300.38549999999998</v>
      </c>
      <c r="K6087">
        <v>1.114574</v>
      </c>
      <c r="L6087">
        <v>-53.517670000000003</v>
      </c>
      <c r="M6087">
        <v>0.24840090000000001</v>
      </c>
      <c r="N6087">
        <v>0</v>
      </c>
      <c r="O6087">
        <v>-0.96855539999999996</v>
      </c>
      <c r="P6087">
        <v>0.2174749</v>
      </c>
      <c r="Q6087">
        <v>-2.4647450000000001E-2</v>
      </c>
      <c r="R6087">
        <v>-0.97575500000000004</v>
      </c>
      <c r="S6087">
        <v>1.610687</v>
      </c>
      <c r="T6087">
        <v>-0.23042000000000001</v>
      </c>
      <c r="U6087">
        <v>-2.7170719999999999</v>
      </c>
      <c r="V6087">
        <v>3.1854609999999998E-2</v>
      </c>
      <c r="W6087">
        <v>-1.02498E-2</v>
      </c>
      <c r="X6087">
        <v>0.99944</v>
      </c>
      <c r="Y6087">
        <v>-0.278858099999999</v>
      </c>
      <c r="Z6087">
        <v>7.3056739999999995E-2</v>
      </c>
      <c r="AA6087">
        <v>0.9575494</v>
      </c>
      <c r="AB6087">
        <v>23</v>
      </c>
      <c r="AC6087">
        <v>7.7232999999999903</v>
      </c>
      <c r="AD6087">
        <v>-1.11458585394</v>
      </c>
      <c r="AE6087">
        <v>-12.906949999999901</v>
      </c>
      <c r="AF6087">
        <v>-4.2514228998089099</v>
      </c>
      <c r="AG6087">
        <v>-1.11458585394</v>
      </c>
      <c r="AH6087">
        <v>14.3422396193897</v>
      </c>
      <c r="AI6087">
        <v>94.261173121284202</v>
      </c>
      <c r="AJ6087">
        <v>106.511230226584</v>
      </c>
      <c r="AK6087">
        <v>15.0005578429208</v>
      </c>
      <c r="AL6087">
        <v>90.587280538391695</v>
      </c>
      <c r="AM6087">
        <v>88.174460633731897</v>
      </c>
      <c r="AN6087">
        <v>1.0000000440891399</v>
      </c>
    </row>
    <row r="6088" spans="1:40" x14ac:dyDescent="0.25">
      <c r="A6088" t="str">
        <f>"20190312161437171"</f>
        <v>20190312161437171</v>
      </c>
      <c r="B6088" t="str">
        <f>"1552378477163017"</f>
        <v>1552378477163017</v>
      </c>
      <c r="C6088" t="s">
        <v>40</v>
      </c>
      <c r="D6088">
        <v>5.4515070000000003</v>
      </c>
      <c r="E6088">
        <v>0.37620619999999999</v>
      </c>
      <c r="F6088" t="s">
        <v>77</v>
      </c>
      <c r="G6088">
        <v>-292.4796</v>
      </c>
      <c r="H6088" s="1">
        <v>-1.1838650000000001E-5</v>
      </c>
      <c r="I6088">
        <v>-66.675519999999906</v>
      </c>
      <c r="J6088">
        <v>-300.23820000000001</v>
      </c>
      <c r="K6088">
        <v>1.114849</v>
      </c>
      <c r="L6088">
        <v>-54.008580000000002</v>
      </c>
      <c r="M6088">
        <v>0.2642465</v>
      </c>
      <c r="N6088">
        <v>0</v>
      </c>
      <c r="O6088">
        <v>-0.96435210000000005</v>
      </c>
      <c r="P6088">
        <v>0.2349233</v>
      </c>
      <c r="Q6088">
        <v>-2.372117E-2</v>
      </c>
      <c r="R6088">
        <v>-0.9717249</v>
      </c>
      <c r="S6088">
        <v>1.626099</v>
      </c>
      <c r="T6088">
        <v>-0.2292498</v>
      </c>
      <c r="U6088">
        <v>-2.7063290000000002</v>
      </c>
      <c r="V6088">
        <v>3.0334739999999999E-2</v>
      </c>
      <c r="W6088">
        <v>-9.2760789999999996E-3</v>
      </c>
      <c r="X6088">
        <v>0.99949679999999996</v>
      </c>
      <c r="Y6088">
        <v>-0.26880279999999901</v>
      </c>
      <c r="Z6088">
        <v>7.2475650000000003E-2</v>
      </c>
      <c r="AA6088">
        <v>0.96046469999999995</v>
      </c>
      <c r="AB6088">
        <v>23</v>
      </c>
      <c r="AC6088">
        <v>7.7586000000000004</v>
      </c>
      <c r="AD6088">
        <v>-1.1148608386499901</v>
      </c>
      <c r="AE6088">
        <v>-12.666939999999901</v>
      </c>
      <c r="AF6088">
        <v>-4.1120752520793102</v>
      </c>
      <c r="AG6088">
        <v>-1.1148608386499901</v>
      </c>
      <c r="AH6088">
        <v>14.187075039494101</v>
      </c>
      <c r="AI6088">
        <v>94.316293054879495</v>
      </c>
      <c r="AJ6088">
        <v>106.16405054820299</v>
      </c>
      <c r="AK6088">
        <v>14.813006978482001</v>
      </c>
      <c r="AL6088">
        <v>90.531487774023702</v>
      </c>
      <c r="AM6088">
        <v>88.261606024319505</v>
      </c>
      <c r="AN6088">
        <v>1.00000004765135</v>
      </c>
    </row>
    <row r="6089" spans="1:40" x14ac:dyDescent="0.25">
      <c r="A6089" t="str">
        <f>"20190312161437206"</f>
        <v>20190312161437206</v>
      </c>
      <c r="B6089" t="str">
        <f>"1552378477203034"</f>
        <v>1552378477203034</v>
      </c>
      <c r="C6089" t="s">
        <v>40</v>
      </c>
      <c r="D6089">
        <v>5.4311980000000002</v>
      </c>
      <c r="E6089">
        <v>0.37729410000000002</v>
      </c>
      <c r="F6089" t="s">
        <v>77</v>
      </c>
      <c r="G6089">
        <v>-291.77890000000002</v>
      </c>
      <c r="H6089" s="1">
        <v>-1.1772470000000001E-5</v>
      </c>
      <c r="I6089">
        <v>-67.598709999999997</v>
      </c>
      <c r="J6089">
        <v>-300.12990000000002</v>
      </c>
      <c r="K6089">
        <v>1.115067</v>
      </c>
      <c r="L6089">
        <v>-54.348849999999999</v>
      </c>
      <c r="M6089">
        <v>0.27589999999999998</v>
      </c>
      <c r="N6089">
        <v>0</v>
      </c>
      <c r="O6089">
        <v>-0.9610822</v>
      </c>
      <c r="P6089">
        <v>0.24971460000000001</v>
      </c>
      <c r="Q6089">
        <v>-2.3926530000000001E-2</v>
      </c>
      <c r="R6089">
        <v>-0.968024</v>
      </c>
      <c r="S6089">
        <v>1.6674500000000001</v>
      </c>
      <c r="T6089">
        <v>-0.21975449999999999</v>
      </c>
      <c r="U6089">
        <v>-2.6788020000000001</v>
      </c>
      <c r="V6089">
        <v>2.7197099999999998E-2</v>
      </c>
      <c r="W6089">
        <v>-9.4652899999999995E-3</v>
      </c>
      <c r="X6089">
        <v>0.99958530000000001</v>
      </c>
      <c r="Y6089">
        <v>-0.27236500000000002</v>
      </c>
      <c r="Z6089">
        <v>6.9450109999999995E-2</v>
      </c>
      <c r="AA6089">
        <v>0.95968430000000005</v>
      </c>
      <c r="AB6089">
        <v>23</v>
      </c>
      <c r="AC6089">
        <v>8.3509999999999902</v>
      </c>
      <c r="AD6089">
        <v>-1.11507877247</v>
      </c>
      <c r="AE6089">
        <v>-13.2498599999999</v>
      </c>
      <c r="AF6089">
        <v>-4.3487550297498698</v>
      </c>
      <c r="AG6089">
        <v>-1.11507877247</v>
      </c>
      <c r="AH6089">
        <v>14.9638999112438</v>
      </c>
      <c r="AI6089">
        <v>94.092959188499805</v>
      </c>
      <c r="AJ6089">
        <v>106.204732089833</v>
      </c>
      <c r="AK6089">
        <v>15.622847740770901</v>
      </c>
      <c r="AL6089">
        <v>90.542329254650298</v>
      </c>
      <c r="AM6089">
        <v>88.441458986649096</v>
      </c>
      <c r="AN6089">
        <v>1.00000002296964</v>
      </c>
    </row>
    <row r="6090" spans="1:40" x14ac:dyDescent="0.25">
      <c r="A6090" t="str">
        <f>"20190312161437235"</f>
        <v>20190312161437235</v>
      </c>
      <c r="B6090" t="str">
        <f>"1552378477222553"</f>
        <v>1552378477222553</v>
      </c>
      <c r="C6090" t="s">
        <v>40</v>
      </c>
      <c r="D6090">
        <v>5.0775600000000001</v>
      </c>
      <c r="E6090">
        <v>0.37807859999999999</v>
      </c>
      <c r="F6090" t="s">
        <v>77</v>
      </c>
      <c r="G6090">
        <v>-291.40469999999999</v>
      </c>
      <c r="H6090" s="1">
        <v>-1.171592E-5</v>
      </c>
      <c r="I6090">
        <v>-67.978309999999993</v>
      </c>
      <c r="J6090">
        <v>-300.04109999999997</v>
      </c>
      <c r="K6090">
        <v>1.1152139999999999</v>
      </c>
      <c r="L6090">
        <v>-54.615749999999998</v>
      </c>
      <c r="M6090">
        <v>0.28542269999999997</v>
      </c>
      <c r="N6090">
        <v>0</v>
      </c>
      <c r="O6090">
        <v>-0.95829690000000001</v>
      </c>
      <c r="P6090">
        <v>0.26105299999999998</v>
      </c>
      <c r="Q6090">
        <v>-2.3947059999999999E-2</v>
      </c>
      <c r="R6090">
        <v>-0.96502739999999998</v>
      </c>
      <c r="S6090">
        <v>1.6997990000000001</v>
      </c>
      <c r="T6090">
        <v>-0.2172357</v>
      </c>
      <c r="U6090">
        <v>-2.655243</v>
      </c>
      <c r="V6090">
        <v>2.5393329999999999E-2</v>
      </c>
      <c r="W6090">
        <v>-9.4705810000000005E-3</v>
      </c>
      <c r="X6090">
        <v>0.99963270000000004</v>
      </c>
      <c r="Y6090">
        <v>-0.27499790000000002</v>
      </c>
      <c r="Z6090">
        <v>6.864257E-2</v>
      </c>
      <c r="AA6090">
        <v>0.95899129999999999</v>
      </c>
      <c r="AB6090">
        <v>23</v>
      </c>
      <c r="AC6090">
        <v>8.6363999999999805</v>
      </c>
      <c r="AD6090">
        <v>-1.1152257159200001</v>
      </c>
      <c r="AE6090">
        <v>-13.362559999999901</v>
      </c>
      <c r="AF6090">
        <v>-4.4408872525281504</v>
      </c>
      <c r="AG6090">
        <v>-1.1152257159200001</v>
      </c>
      <c r="AH6090">
        <v>15.197193512488701</v>
      </c>
      <c r="AI6090">
        <v>94.029138272243202</v>
      </c>
      <c r="AJ6090">
        <v>106.289291202344</v>
      </c>
      <c r="AK6090">
        <v>15.8719847102732</v>
      </c>
      <c r="AL6090">
        <v>90.542632419636007</v>
      </c>
      <c r="AM6090">
        <v>88.544847717901703</v>
      </c>
      <c r="AN6090">
        <v>1.00000002401112</v>
      </c>
    </row>
    <row r="6091" spans="1:40" x14ac:dyDescent="0.25">
      <c r="A6091" t="str">
        <f>"20190312161437256"</f>
        <v>20190312161437256</v>
      </c>
      <c r="B6091" t="str">
        <f>"1552378477252809"</f>
        <v>1552378477252809</v>
      </c>
      <c r="C6091" t="s">
        <v>40</v>
      </c>
      <c r="D6091">
        <v>5.3339309999999998</v>
      </c>
      <c r="E6091">
        <v>0.37910830000000001</v>
      </c>
      <c r="F6091" t="s">
        <v>77</v>
      </c>
      <c r="G6091">
        <v>-291.17910000000001</v>
      </c>
      <c r="H6091" s="1">
        <v>-1.167339E-5</v>
      </c>
      <c r="I6091">
        <v>-68.162189999999995</v>
      </c>
      <c r="J6091">
        <v>-299.96969999999999</v>
      </c>
      <c r="K6091">
        <v>1.1153299999999999</v>
      </c>
      <c r="L6091">
        <v>-54.823520000000002</v>
      </c>
      <c r="M6091">
        <v>0.293081799999999</v>
      </c>
      <c r="N6091">
        <v>0</v>
      </c>
      <c r="O6091">
        <v>-0.955982</v>
      </c>
      <c r="P6091">
        <v>0.27044810000000002</v>
      </c>
      <c r="Q6091">
        <v>-2.3746119999999999E-2</v>
      </c>
      <c r="R6091">
        <v>-0.96244189999999996</v>
      </c>
      <c r="S6091">
        <v>1.724915</v>
      </c>
      <c r="T6091">
        <v>-0.21707090000000001</v>
      </c>
      <c r="U6091">
        <v>-2.6367189999999998</v>
      </c>
      <c r="V6091">
        <v>2.364927E-2</v>
      </c>
      <c r="W6091">
        <v>-9.2624930000000001E-3</v>
      </c>
      <c r="X6091">
        <v>0.99967740000000005</v>
      </c>
      <c r="Y6091">
        <v>-0.27678550000000002</v>
      </c>
      <c r="Z6091">
        <v>6.8566340000000003E-2</v>
      </c>
      <c r="AA6091">
        <v>0.95848239999999996</v>
      </c>
      <c r="AB6091">
        <v>23</v>
      </c>
      <c r="AC6091">
        <v>8.79059999999998</v>
      </c>
      <c r="AD6091">
        <v>-1.1153416733899999</v>
      </c>
      <c r="AE6091">
        <v>-13.33867</v>
      </c>
      <c r="AF6091">
        <v>-4.47298251332837</v>
      </c>
      <c r="AG6091">
        <v>-1.1153416733899999</v>
      </c>
      <c r="AH6091">
        <v>15.2550743549773</v>
      </c>
      <c r="AI6091">
        <v>94.013243527744393</v>
      </c>
      <c r="AJ6091">
        <v>106.341810526505</v>
      </c>
      <c r="AK6091">
        <v>15.9364002581771</v>
      </c>
      <c r="AL6091">
        <v>90.530709349210198</v>
      </c>
      <c r="AM6091">
        <v>88.644812147412495</v>
      </c>
      <c r="AN6091">
        <v>0.99999999290943398</v>
      </c>
    </row>
    <row r="6092" spans="1:40" x14ac:dyDescent="0.25">
      <c r="A6092" t="str">
        <f>"20190312161437280"</f>
        <v>20190312161437280</v>
      </c>
      <c r="B6092" t="str">
        <f>"1552378477272329"</f>
        <v>1552378477272329</v>
      </c>
      <c r="C6092" t="s">
        <v>40</v>
      </c>
      <c r="D6092">
        <v>5.3328620000000004</v>
      </c>
      <c r="E6092">
        <v>0.37944060000000002</v>
      </c>
      <c r="F6092" t="s">
        <v>77</v>
      </c>
      <c r="G6092">
        <v>-290.97949999999997</v>
      </c>
      <c r="H6092" s="1">
        <v>-1.164099E-5</v>
      </c>
      <c r="I6092">
        <v>-68.352859999999893</v>
      </c>
      <c r="J6092">
        <v>-299.89080000000001</v>
      </c>
      <c r="K6092">
        <v>1.115437</v>
      </c>
      <c r="L6092">
        <v>-55.046199999999999</v>
      </c>
      <c r="M6092">
        <v>0.30150909999999997</v>
      </c>
      <c r="N6092">
        <v>0</v>
      </c>
      <c r="O6092">
        <v>-0.95335749999999997</v>
      </c>
      <c r="P6092">
        <v>0.28059729999999999</v>
      </c>
      <c r="Q6092">
        <v>-2.410116E-2</v>
      </c>
      <c r="R6092">
        <v>-0.95952320000000002</v>
      </c>
      <c r="S6092">
        <v>1.7423709999999999</v>
      </c>
      <c r="T6092">
        <v>-0.21616270000000001</v>
      </c>
      <c r="U6092">
        <v>-2.6221009999999998</v>
      </c>
      <c r="V6092">
        <v>2.192063E-2</v>
      </c>
      <c r="W6092">
        <v>-9.608063E-3</v>
      </c>
      <c r="X6092">
        <v>0.99971350000000003</v>
      </c>
      <c r="Y6092">
        <v>-0.275200099999999</v>
      </c>
      <c r="Z6092">
        <v>6.8221560000000001E-2</v>
      </c>
      <c r="AA6092">
        <v>0.95896329999999996</v>
      </c>
      <c r="AB6092">
        <v>23</v>
      </c>
      <c r="AC6092">
        <v>8.9113000000000397</v>
      </c>
      <c r="AD6092">
        <v>-1.11544864099</v>
      </c>
      <c r="AE6092">
        <v>-13.3066599999999</v>
      </c>
      <c r="AF6092">
        <v>-4.4623800836854803</v>
      </c>
      <c r="AG6092">
        <v>-1.11544864099</v>
      </c>
      <c r="AH6092">
        <v>15.3001690250886</v>
      </c>
      <c r="AI6092">
        <v>94.003509794472194</v>
      </c>
      <c r="AJ6092">
        <v>106.259620712428</v>
      </c>
      <c r="AK6092">
        <v>15.9766152196965</v>
      </c>
      <c r="AL6092">
        <v>90.550509953964806</v>
      </c>
      <c r="AM6092">
        <v>88.743881764861001</v>
      </c>
      <c r="AN6092">
        <v>0.99999995548822795</v>
      </c>
    </row>
    <row r="6093" spans="1:40" x14ac:dyDescent="0.25">
      <c r="A6093" t="str">
        <f>"20190312161437299"</f>
        <v>20190312161437299</v>
      </c>
      <c r="B6093" t="str">
        <f>"1552378477292825"</f>
        <v>1552378477292825</v>
      </c>
      <c r="C6093" t="s">
        <v>40</v>
      </c>
      <c r="D6093">
        <v>5.3200669999999999</v>
      </c>
      <c r="E6093">
        <v>0.39187810000000001</v>
      </c>
      <c r="F6093" t="s">
        <v>77</v>
      </c>
      <c r="G6093">
        <v>-290.81130000000002</v>
      </c>
      <c r="H6093" s="1">
        <v>-1.1596879999999999E-5</v>
      </c>
      <c r="I6093">
        <v>-68.423680000000004</v>
      </c>
      <c r="J6093">
        <v>-299.82470000000001</v>
      </c>
      <c r="K6093">
        <v>1.1155330000000001</v>
      </c>
      <c r="L6093">
        <v>-55.227809999999998</v>
      </c>
      <c r="M6093">
        <v>0.3085521</v>
      </c>
      <c r="N6093">
        <v>0</v>
      </c>
      <c r="O6093">
        <v>-0.95110099999999997</v>
      </c>
      <c r="P6093">
        <v>0.28841990000000001</v>
      </c>
      <c r="Q6093">
        <v>-2.399542E-2</v>
      </c>
      <c r="R6093">
        <v>-0.95720349999999998</v>
      </c>
      <c r="S6093">
        <v>1.76751699999999</v>
      </c>
      <c r="T6093">
        <v>-0.21714639999999999</v>
      </c>
      <c r="U6093">
        <v>-2.6042179999999999</v>
      </c>
      <c r="V6093">
        <v>2.115647E-2</v>
      </c>
      <c r="W6093">
        <v>-9.4862220000000008E-3</v>
      </c>
      <c r="X6093">
        <v>0.99973120000000004</v>
      </c>
      <c r="Y6093">
        <v>-0.27747529999999998</v>
      </c>
      <c r="Z6093">
        <v>6.8487419999999993E-2</v>
      </c>
      <c r="AA6093">
        <v>0.95828860000000005</v>
      </c>
      <c r="AB6093">
        <v>23</v>
      </c>
      <c r="AC6093">
        <v>9.0133999999999901</v>
      </c>
      <c r="AD6093">
        <v>-1.11554459688</v>
      </c>
      <c r="AE6093">
        <v>-13.195869999999999</v>
      </c>
      <c r="AF6093">
        <v>-4.4796665350260003</v>
      </c>
      <c r="AG6093">
        <v>-1.11554459688</v>
      </c>
      <c r="AH6093">
        <v>15.258903891892</v>
      </c>
      <c r="AI6093">
        <v>94.012573425604103</v>
      </c>
      <c r="AJ6093">
        <v>106.361037106509</v>
      </c>
      <c r="AK6093">
        <v>15.941957219697301</v>
      </c>
      <c r="AL6093">
        <v>90.5435286207519</v>
      </c>
      <c r="AM6093">
        <v>88.787678591469103</v>
      </c>
      <c r="AN6093">
        <v>1.00000002844206</v>
      </c>
    </row>
    <row r="6094" spans="1:40" x14ac:dyDescent="0.25">
      <c r="A6094" t="str">
        <f>"20190312161437340"</f>
        <v>20190312161437340</v>
      </c>
      <c r="B6094" t="str">
        <f>"1552378477332842"</f>
        <v>1552378477332842</v>
      </c>
      <c r="C6094" t="s">
        <v>40</v>
      </c>
      <c r="D6094">
        <v>5.3382990000000001</v>
      </c>
      <c r="E6094">
        <v>0.3934163</v>
      </c>
      <c r="F6094" t="s">
        <v>77</v>
      </c>
      <c r="G6094">
        <v>-291.7774</v>
      </c>
      <c r="H6094" s="1">
        <v>-1.178382E-5</v>
      </c>
      <c r="I6094">
        <v>-67.661900000000003</v>
      </c>
      <c r="J6094">
        <v>-299.68090000000001</v>
      </c>
      <c r="K6094">
        <v>1.115756</v>
      </c>
      <c r="L6094">
        <v>-55.607210000000002</v>
      </c>
      <c r="M6094">
        <v>0.32377410000000001</v>
      </c>
      <c r="N6094">
        <v>0</v>
      </c>
      <c r="O6094">
        <v>-0.9460267</v>
      </c>
      <c r="P6094">
        <v>0.30628379999999999</v>
      </c>
      <c r="Q6094">
        <v>-2.1755469999999999E-2</v>
      </c>
      <c r="R6094">
        <v>-0.95169179999999998</v>
      </c>
      <c r="S6094">
        <v>1.694183</v>
      </c>
      <c r="T6094">
        <v>-0.2348546</v>
      </c>
      <c r="U6094">
        <v>-2.617737</v>
      </c>
      <c r="V6094">
        <v>1.848054E-2</v>
      </c>
      <c r="W6094">
        <v>-7.2242440000000003E-3</v>
      </c>
      <c r="X6094">
        <v>0.99980309999999994</v>
      </c>
      <c r="Y6094">
        <v>-0.2406537</v>
      </c>
      <c r="Z6094">
        <v>7.4045130000000001E-2</v>
      </c>
      <c r="AA6094">
        <v>0.96778260000000005</v>
      </c>
      <c r="AB6094">
        <v>23</v>
      </c>
      <c r="AC6094">
        <v>7.9035000000000002</v>
      </c>
      <c r="AD6094">
        <v>-1.11576778382</v>
      </c>
      <c r="AE6094">
        <v>-12.054690000000001</v>
      </c>
      <c r="AF6094">
        <v>-3.5530017536669201</v>
      </c>
      <c r="AG6094">
        <v>-1.11576778382</v>
      </c>
      <c r="AH6094">
        <v>13.8812595365109</v>
      </c>
      <c r="AI6094">
        <v>94.452588173238794</v>
      </c>
      <c r="AJ6094">
        <v>104.357009638078</v>
      </c>
      <c r="AK6094">
        <v>14.3721301667132</v>
      </c>
      <c r="AL6094">
        <v>90.413922300360198</v>
      </c>
      <c r="AM6094">
        <v>88.941055115329405</v>
      </c>
      <c r="AN6094">
        <v>0.99999997941483598</v>
      </c>
    </row>
    <row r="6095" spans="1:40" x14ac:dyDescent="0.25">
      <c r="A6095" t="str">
        <f>"20190312161437368"</f>
        <v>20190312161437368</v>
      </c>
      <c r="B6095" t="str">
        <f>"1552378477363097"</f>
        <v>1552378477363097</v>
      </c>
      <c r="C6095" t="s">
        <v>40</v>
      </c>
      <c r="D6095">
        <v>5.2316659999999997</v>
      </c>
      <c r="E6095">
        <v>0.39421079999999997</v>
      </c>
      <c r="F6095" t="s">
        <v>77</v>
      </c>
      <c r="G6095">
        <v>-291.26830000000001</v>
      </c>
      <c r="H6095" s="1">
        <v>-1.170964E-5</v>
      </c>
      <c r="I6095">
        <v>-68.193250000000006</v>
      </c>
      <c r="J6095">
        <v>-299.57780000000002</v>
      </c>
      <c r="K6095">
        <v>1.115909</v>
      </c>
      <c r="L6095">
        <v>-55.86768</v>
      </c>
      <c r="M6095">
        <v>0.33458670000000001</v>
      </c>
      <c r="N6095">
        <v>0</v>
      </c>
      <c r="O6095">
        <v>-0.94225630000000005</v>
      </c>
      <c r="P6095">
        <v>0.31809189999999998</v>
      </c>
      <c r="Q6095">
        <v>-2.1299660000000002E-2</v>
      </c>
      <c r="R6095">
        <v>-0.94782069999999996</v>
      </c>
      <c r="S6095">
        <v>1.7311099999999999</v>
      </c>
      <c r="T6095">
        <v>-0.2295982</v>
      </c>
      <c r="U6095">
        <v>-2.5899049999999999</v>
      </c>
      <c r="V6095">
        <v>1.7499770000000001E-2</v>
      </c>
      <c r="W6095">
        <v>-6.7422430000000002E-3</v>
      </c>
      <c r="X6095">
        <v>0.99982409999999999</v>
      </c>
      <c r="Y6095">
        <v>-0.24393860000000001</v>
      </c>
      <c r="Z6095">
        <v>7.2327799999999998E-2</v>
      </c>
      <c r="AA6095">
        <v>0.9670898</v>
      </c>
      <c r="AB6095">
        <v>23</v>
      </c>
      <c r="AC6095">
        <v>8.3095000000000105</v>
      </c>
      <c r="AD6095">
        <v>-1.1159207096399999</v>
      </c>
      <c r="AE6095">
        <v>-12.325570000000001</v>
      </c>
      <c r="AF6095">
        <v>-3.6853175767783801</v>
      </c>
      <c r="AG6095">
        <v>-1.1159207096399999</v>
      </c>
      <c r="AH6095">
        <v>14.3148956990992</v>
      </c>
      <c r="AI6095">
        <v>94.317271958643204</v>
      </c>
      <c r="AJ6095">
        <v>104.43708204222099</v>
      </c>
      <c r="AK6095">
        <v>14.8237337924021</v>
      </c>
      <c r="AL6095">
        <v>90.386305008533995</v>
      </c>
      <c r="AM6095">
        <v>88.997263024804596</v>
      </c>
      <c r="AN6095">
        <v>0.99999996536576596</v>
      </c>
    </row>
    <row r="6096" spans="1:40" x14ac:dyDescent="0.25">
      <c r="A6096" t="str">
        <f>"20190312161437394"</f>
        <v>20190312161437394</v>
      </c>
      <c r="B6096" t="str">
        <f>"1552378477382617"</f>
        <v>1552378477382617</v>
      </c>
      <c r="C6096" t="s">
        <v>40</v>
      </c>
      <c r="D6096">
        <v>5.2479440000000004</v>
      </c>
      <c r="E6096">
        <v>0.40324739999999998</v>
      </c>
      <c r="F6096" t="s">
        <v>77</v>
      </c>
      <c r="G6096">
        <v>-291.01830000000001</v>
      </c>
      <c r="H6096" s="1">
        <v>-1.1660519999999999E-5</v>
      </c>
      <c r="I6096">
        <v>-68.386380000000003</v>
      </c>
      <c r="J6096">
        <v>-299.48259999999999</v>
      </c>
      <c r="K6096">
        <v>1.116031</v>
      </c>
      <c r="L6096">
        <v>-56.098880000000001</v>
      </c>
      <c r="M6096">
        <v>0.3444875</v>
      </c>
      <c r="N6096">
        <v>0</v>
      </c>
      <c r="O6096">
        <v>-0.93868149999999995</v>
      </c>
      <c r="P6096">
        <v>0.32909929999999998</v>
      </c>
      <c r="Q6096">
        <v>-2.0792290000000001E-2</v>
      </c>
      <c r="R6096">
        <v>-0.94406670000000004</v>
      </c>
      <c r="S6096">
        <v>1.757355</v>
      </c>
      <c r="T6096">
        <v>-0.22911020000000001</v>
      </c>
      <c r="U6096">
        <v>-2.5702210000000001</v>
      </c>
      <c r="V6096">
        <v>1.639007E-2</v>
      </c>
      <c r="W6096">
        <v>-6.2158179999999997E-3</v>
      </c>
      <c r="X6096">
        <v>0.99984629999999997</v>
      </c>
      <c r="Y6096">
        <v>-0.2439152</v>
      </c>
      <c r="Z6096">
        <v>7.2040049999999994E-2</v>
      </c>
      <c r="AA6096">
        <v>0.96711709999999995</v>
      </c>
      <c r="AB6096">
        <v>22</v>
      </c>
      <c r="AC6096">
        <v>8.4642999999999802</v>
      </c>
      <c r="AD6096">
        <v>-1.11604266052</v>
      </c>
      <c r="AE6096">
        <v>-12.2875</v>
      </c>
      <c r="AF6096">
        <v>-3.69211638140052</v>
      </c>
      <c r="AG6096">
        <v>-1.11604266052</v>
      </c>
      <c r="AH6096">
        <v>14.3709761619087</v>
      </c>
      <c r="AI6096">
        <v>94.301505469597402</v>
      </c>
      <c r="AJ6096">
        <v>104.40851583993199</v>
      </c>
      <c r="AK6096">
        <v>14.8795910709957</v>
      </c>
      <c r="AL6096">
        <v>90.356142449792202</v>
      </c>
      <c r="AM6096">
        <v>89.0608579191275</v>
      </c>
      <c r="AN6096">
        <v>0.99999994720584995</v>
      </c>
    </row>
    <row r="6097" spans="1:40" x14ac:dyDescent="0.25">
      <c r="A6097" t="str">
        <f>"20190312161437413"</f>
        <v>20190312161437413</v>
      </c>
      <c r="B6097" t="str">
        <f>"1552378477403113"</f>
        <v>1552378477403113</v>
      </c>
      <c r="C6097" t="s">
        <v>40</v>
      </c>
      <c r="D6097">
        <v>5.3034410000000003</v>
      </c>
      <c r="E6097">
        <v>0.40375070000000002</v>
      </c>
      <c r="F6097" t="s">
        <v>77</v>
      </c>
      <c r="G6097">
        <v>-293.43209999999999</v>
      </c>
      <c r="H6097" s="1">
        <v>-1.187518E-5</v>
      </c>
      <c r="I6097">
        <v>-65.135589999999993</v>
      </c>
      <c r="J6097">
        <v>-299.40480000000002</v>
      </c>
      <c r="K6097">
        <v>1.1161209999999999</v>
      </c>
      <c r="L6097">
        <v>-56.282649999999997</v>
      </c>
      <c r="M6097">
        <v>0.35251929999999998</v>
      </c>
      <c r="N6097">
        <v>0</v>
      </c>
      <c r="O6097">
        <v>-0.93569429999999998</v>
      </c>
      <c r="P6097">
        <v>0.33807530000000002</v>
      </c>
      <c r="Q6097">
        <v>-2.0240859999999999E-2</v>
      </c>
      <c r="R6097">
        <v>-0.9409016</v>
      </c>
      <c r="S6097">
        <v>1.721222</v>
      </c>
      <c r="T6097">
        <v>-0.31748520000000002</v>
      </c>
      <c r="U6097">
        <v>-2.5707089999999999</v>
      </c>
      <c r="V6097">
        <v>1.5434140000000001E-2</v>
      </c>
      <c r="W6097">
        <v>-5.6513359999999999E-3</v>
      </c>
      <c r="X6097">
        <v>0.99986489999999995</v>
      </c>
      <c r="Y6097">
        <v>-0.2247458</v>
      </c>
      <c r="Z6097">
        <v>9.9671979999999993E-2</v>
      </c>
      <c r="AA6097">
        <v>0.96930629999999995</v>
      </c>
      <c r="AB6097">
        <v>22</v>
      </c>
      <c r="AC6097">
        <v>5.9727000000000299</v>
      </c>
      <c r="AD6097">
        <v>-1.1161328751799999</v>
      </c>
      <c r="AE6097">
        <v>-8.8529400000000091</v>
      </c>
      <c r="AF6097">
        <v>-2.4413763894815799</v>
      </c>
      <c r="AG6097">
        <v>-1.1161328751799999</v>
      </c>
      <c r="AH6097">
        <v>10.277942591905299</v>
      </c>
      <c r="AI6097">
        <v>96.031219692700603</v>
      </c>
      <c r="AJ6097">
        <v>103.362144653379</v>
      </c>
      <c r="AK6097">
        <v>10.6227197643859</v>
      </c>
      <c r="AL6097">
        <v>90.323799430083895</v>
      </c>
      <c r="AM6097">
        <v>89.115639667478803</v>
      </c>
      <c r="AN6097">
        <v>0.999999984264067</v>
      </c>
    </row>
    <row r="6098" spans="1:40" x14ac:dyDescent="0.25">
      <c r="A6098" t="str">
        <f>"20190312161437434"</f>
        <v>20190312161437434</v>
      </c>
      <c r="B6098" t="str">
        <f>"1552378477422633"</f>
        <v>1552378477422633</v>
      </c>
      <c r="C6098" t="s">
        <v>40</v>
      </c>
      <c r="D6098">
        <v>5.3500310000000004</v>
      </c>
      <c r="E6098">
        <v>0.40483209999999997</v>
      </c>
      <c r="F6098" t="s">
        <v>77</v>
      </c>
      <c r="G6098">
        <v>-293.07010000000002</v>
      </c>
      <c r="H6098" s="1">
        <v>-1.183436E-5</v>
      </c>
      <c r="I6098">
        <v>-65.577089999999998</v>
      </c>
      <c r="J6098">
        <v>-299.3272</v>
      </c>
      <c r="K6098">
        <v>1.1162110000000001</v>
      </c>
      <c r="L6098">
        <v>-56.461399999999998</v>
      </c>
      <c r="M6098">
        <v>0.3604832</v>
      </c>
      <c r="N6098">
        <v>0</v>
      </c>
      <c r="O6098">
        <v>-0.93265480000000001</v>
      </c>
      <c r="P6098">
        <v>0.34716760000000002</v>
      </c>
      <c r="Q6098">
        <v>-2.0611009999999999E-2</v>
      </c>
      <c r="R6098">
        <v>-0.93757670000000004</v>
      </c>
      <c r="S6098">
        <v>1.7420040000000001</v>
      </c>
      <c r="T6098">
        <v>-0.30692909999999901</v>
      </c>
      <c r="U6098">
        <v>-2.5559080000000001</v>
      </c>
      <c r="V6098">
        <v>1.4282670000000001E-2</v>
      </c>
      <c r="W6098">
        <v>-6.0121389999999997E-3</v>
      </c>
      <c r="X6098">
        <v>0.99987990000000004</v>
      </c>
      <c r="Y6098">
        <v>-0.22463279999999999</v>
      </c>
      <c r="Z6098">
        <v>9.6196309999999993E-2</v>
      </c>
      <c r="AA6098">
        <v>0.96968359999999998</v>
      </c>
      <c r="AB6098">
        <v>22</v>
      </c>
      <c r="AC6098">
        <v>6.2570999999999799</v>
      </c>
      <c r="AD6098">
        <v>-1.11622283436</v>
      </c>
      <c r="AE6098">
        <v>-9.1156899999999901</v>
      </c>
      <c r="AF6098">
        <v>-2.5241981804596998</v>
      </c>
      <c r="AG6098">
        <v>-1.11622283436</v>
      </c>
      <c r="AH6098">
        <v>10.6499392819709</v>
      </c>
      <c r="AI6098">
        <v>95.823167270649094</v>
      </c>
      <c r="AJ6098">
        <v>103.33392524700901</v>
      </c>
      <c r="AK6098">
        <v>11.001760612731401</v>
      </c>
      <c r="AL6098">
        <v>90.344472273540006</v>
      </c>
      <c r="AM6098">
        <v>89.181620653457998</v>
      </c>
      <c r="AN6098">
        <v>0.99999997745084601</v>
      </c>
    </row>
    <row r="6099" spans="1:40" x14ac:dyDescent="0.25">
      <c r="A6099" t="str">
        <f>"20190312161437456"</f>
        <v>20190312161437456</v>
      </c>
      <c r="B6099" t="str">
        <f>"1552378477452889"</f>
        <v>1552378477452889</v>
      </c>
      <c r="C6099" t="s">
        <v>40</v>
      </c>
      <c r="D6099">
        <v>5.3003839999999904</v>
      </c>
      <c r="E6099">
        <v>0.41049989999999997</v>
      </c>
      <c r="F6099" t="s">
        <v>77</v>
      </c>
      <c r="G6099">
        <v>-292.9522</v>
      </c>
      <c r="H6099" s="1">
        <v>-1.181299E-5</v>
      </c>
      <c r="I6099">
        <v>-65.677669999999907</v>
      </c>
      <c r="J6099">
        <v>-299.23910000000001</v>
      </c>
      <c r="K6099">
        <v>1.116306</v>
      </c>
      <c r="L6099">
        <v>-56.658749999999998</v>
      </c>
      <c r="M6099">
        <v>0.36946760000000001</v>
      </c>
      <c r="N6099">
        <v>0</v>
      </c>
      <c r="O6099">
        <v>-0.92913179999999995</v>
      </c>
      <c r="P6099">
        <v>0.35723739999999998</v>
      </c>
      <c r="Q6099">
        <v>-2.022067E-2</v>
      </c>
      <c r="R6099">
        <v>-0.93379500000000004</v>
      </c>
      <c r="S6099">
        <v>1.75824</v>
      </c>
      <c r="T6099">
        <v>-0.30786049999999998</v>
      </c>
      <c r="U6099">
        <v>-2.5419010000000002</v>
      </c>
      <c r="V6099">
        <v>1.317114E-2</v>
      </c>
      <c r="W6099">
        <v>-5.6078430000000004E-3</v>
      </c>
      <c r="X6099">
        <v>0.99989749999999999</v>
      </c>
      <c r="Y6099">
        <v>-0.2219034</v>
      </c>
      <c r="Z6099">
        <v>9.6260310000000002E-2</v>
      </c>
      <c r="AA6099">
        <v>0.97030550000000004</v>
      </c>
      <c r="AB6099">
        <v>22</v>
      </c>
      <c r="AC6099">
        <v>6.2869000000000002</v>
      </c>
      <c r="AD6099">
        <v>-1.11631781299</v>
      </c>
      <c r="AE6099">
        <v>-9.0189199999999907</v>
      </c>
      <c r="AF6099">
        <v>-2.4838118628301902</v>
      </c>
      <c r="AG6099">
        <v>-1.11631781299</v>
      </c>
      <c r="AH6099">
        <v>10.594451339459299</v>
      </c>
      <c r="AI6099">
        <v>95.857287466719299</v>
      </c>
      <c r="AJ6099">
        <v>103.19439056700899</v>
      </c>
      <c r="AK6099">
        <v>10.938824708976099</v>
      </c>
      <c r="AL6099">
        <v>90.321307430228003</v>
      </c>
      <c r="AM6099">
        <v>89.245315554539104</v>
      </c>
      <c r="AN6099">
        <v>0.99999996866912999</v>
      </c>
    </row>
    <row r="6100" spans="1:40" x14ac:dyDescent="0.25">
      <c r="A6100" t="str">
        <f>"20190312161437477"</f>
        <v>20190312161437477</v>
      </c>
      <c r="B6100" t="str">
        <f>"1552378477472993"</f>
        <v>1552378477472993</v>
      </c>
      <c r="C6100" t="s">
        <v>40</v>
      </c>
      <c r="D6100">
        <v>5.3106580000000001</v>
      </c>
      <c r="E6100">
        <v>0.41094229999999998</v>
      </c>
      <c r="F6100" t="s">
        <v>77</v>
      </c>
      <c r="G6100">
        <v>-293.6816</v>
      </c>
      <c r="H6100" s="1">
        <v>-1.1887E-5</v>
      </c>
      <c r="I6100">
        <v>-64.744259999999997</v>
      </c>
      <c r="J6100">
        <v>-299.149</v>
      </c>
      <c r="K6100">
        <v>1.116411</v>
      </c>
      <c r="L6100">
        <v>-56.854950000000002</v>
      </c>
      <c r="M6100">
        <v>0.3785905</v>
      </c>
      <c r="N6100">
        <v>0</v>
      </c>
      <c r="O6100">
        <v>-0.92545169999999999</v>
      </c>
      <c r="P6100">
        <v>0.36666969999999999</v>
      </c>
      <c r="Q6100">
        <v>-2.0085929999999998E-2</v>
      </c>
      <c r="R6100">
        <v>-0.93013480000000004</v>
      </c>
      <c r="S6100">
        <v>1.744324</v>
      </c>
      <c r="T6100">
        <v>-0.35037600000000002</v>
      </c>
      <c r="U6100">
        <v>-2.5377809999999998</v>
      </c>
      <c r="V6100">
        <v>1.288884E-2</v>
      </c>
      <c r="W6100">
        <v>-5.4458429999999997E-3</v>
      </c>
      <c r="X6100">
        <v>0.99990210000000002</v>
      </c>
      <c r="Y6100">
        <v>-0.20860509999999999</v>
      </c>
      <c r="Z6100">
        <v>0.1092124</v>
      </c>
      <c r="AA6100">
        <v>0.97188300000000005</v>
      </c>
      <c r="AB6100">
        <v>22</v>
      </c>
      <c r="AC6100">
        <v>5.4673999999999898</v>
      </c>
      <c r="AD6100">
        <v>-1.1164228869999999</v>
      </c>
      <c r="AE6100">
        <v>-7.8893099999999903</v>
      </c>
      <c r="AF6100">
        <v>-2.04554041135418</v>
      </c>
      <c r="AG6100">
        <v>-1.1164228869999999</v>
      </c>
      <c r="AH6100">
        <v>9.2469631033638002</v>
      </c>
      <c r="AI6100">
        <v>96.723234414403805</v>
      </c>
      <c r="AJ6100">
        <v>102.47364543166201</v>
      </c>
      <c r="AK6100">
        <v>9.53608736705322</v>
      </c>
      <c r="AL6100">
        <v>90.312025363822002</v>
      </c>
      <c r="AM6100">
        <v>89.261492461649297</v>
      </c>
      <c r="AN6100">
        <v>0.99999999449346799</v>
      </c>
    </row>
    <row r="6101" spans="1:40" x14ac:dyDescent="0.25">
      <c r="A6101" t="str">
        <f>"20190312161437500"</f>
        <v>20190312161437500</v>
      </c>
      <c r="B6101" t="str">
        <f>"1552378477492499"</f>
        <v>1552378477492499</v>
      </c>
      <c r="C6101" t="s">
        <v>40</v>
      </c>
      <c r="D6101">
        <v>5.3007530000000003</v>
      </c>
      <c r="E6101">
        <v>0.41163889999999997</v>
      </c>
      <c r="F6101" t="s">
        <v>77</v>
      </c>
      <c r="G6101">
        <v>-293.2217</v>
      </c>
      <c r="H6101" s="1">
        <v>-1.183738E-5</v>
      </c>
      <c r="I6101">
        <v>-65.316999999999993</v>
      </c>
      <c r="J6101">
        <v>-299.06029999999998</v>
      </c>
      <c r="K6101">
        <v>1.116514</v>
      </c>
      <c r="L6101">
        <v>-57.042909999999999</v>
      </c>
      <c r="M6101">
        <v>0.38751020000000003</v>
      </c>
      <c r="N6101">
        <v>0</v>
      </c>
      <c r="O6101">
        <v>-0.92175169999999995</v>
      </c>
      <c r="P6101">
        <v>0.37561719999999998</v>
      </c>
      <c r="Q6101">
        <v>-1.953446E-2</v>
      </c>
      <c r="R6101">
        <v>-0.92656890000000003</v>
      </c>
      <c r="S6101">
        <v>1.766418</v>
      </c>
      <c r="T6101">
        <v>-0.33271099999999998</v>
      </c>
      <c r="U6101">
        <v>-2.52182</v>
      </c>
      <c r="V6101">
        <v>1.290561E-2</v>
      </c>
      <c r="W6101">
        <v>-4.8628650000000001E-3</v>
      </c>
      <c r="X6101">
        <v>0.99990489999999999</v>
      </c>
      <c r="Y6101">
        <v>-0.2081337</v>
      </c>
      <c r="Z6101">
        <v>0.10347820000000001</v>
      </c>
      <c r="AA6101">
        <v>0.97261120000000001</v>
      </c>
      <c r="AB6101">
        <v>22</v>
      </c>
      <c r="AC6101">
        <v>5.83859999999998</v>
      </c>
      <c r="AD6101">
        <v>-1.11652583738</v>
      </c>
      <c r="AE6101">
        <v>-8.2740899999999904</v>
      </c>
      <c r="AF6101">
        <v>-2.1495427179685702</v>
      </c>
      <c r="AG6101">
        <v>-1.11652583738</v>
      </c>
      <c r="AH6101">
        <v>9.7714256381360496</v>
      </c>
      <c r="AI6101">
        <v>96.367638011916497</v>
      </c>
      <c r="AJ6101">
        <v>102.406462570484</v>
      </c>
      <c r="AK6101">
        <v>10.067170548050299</v>
      </c>
      <c r="AL6101">
        <v>90.278622737399004</v>
      </c>
      <c r="AM6101">
        <v>89.260533747675495</v>
      </c>
      <c r="AN6101">
        <v>1.00000000563474</v>
      </c>
    </row>
    <row r="6102" spans="1:40" x14ac:dyDescent="0.25">
      <c r="A6102" t="str">
        <f>"20190312161437521"</f>
        <v>20190312161437521</v>
      </c>
      <c r="B6102" t="str">
        <f>"1552378477512996"</f>
        <v>1552378477512996</v>
      </c>
      <c r="C6102" t="s">
        <v>40</v>
      </c>
      <c r="D6102">
        <v>5.2278269999999996</v>
      </c>
      <c r="E6102">
        <v>0.41163889999999997</v>
      </c>
      <c r="F6102" t="s">
        <v>77</v>
      </c>
      <c r="G6102">
        <v>-293.0102</v>
      </c>
      <c r="H6102" s="1">
        <v>-1.180655E-5</v>
      </c>
      <c r="I6102">
        <v>-65.537769999999995</v>
      </c>
      <c r="J6102">
        <v>-298.96679999999998</v>
      </c>
      <c r="K6102">
        <v>1.1166240000000001</v>
      </c>
      <c r="L6102">
        <v>-57.2354699999999</v>
      </c>
      <c r="M6102">
        <v>0.39683180000000001</v>
      </c>
      <c r="N6102">
        <v>0</v>
      </c>
      <c r="O6102">
        <v>-0.91777690000000001</v>
      </c>
      <c r="P6102">
        <v>0.385459</v>
      </c>
      <c r="Q6102">
        <v>-1.9258000000000001E-2</v>
      </c>
      <c r="R6102">
        <v>-0.92252420000000002</v>
      </c>
      <c r="S6102">
        <v>1.7854920000000001</v>
      </c>
      <c r="T6102">
        <v>-0.32950699999999999</v>
      </c>
      <c r="U6102">
        <v>-2.5069889999999999</v>
      </c>
      <c r="V6102">
        <v>1.239446E-2</v>
      </c>
      <c r="W6102">
        <v>-4.5619889999999998E-3</v>
      </c>
      <c r="X6102">
        <v>0.99991280000000005</v>
      </c>
      <c r="Y6102">
        <v>-0.2059243</v>
      </c>
      <c r="Z6102">
        <v>0.10216359999999999</v>
      </c>
      <c r="AA6102">
        <v>0.97322030000000004</v>
      </c>
      <c r="AB6102">
        <v>22</v>
      </c>
      <c r="AC6102">
        <v>5.9565999999999804</v>
      </c>
      <c r="AD6102">
        <v>-1.1166358065499999</v>
      </c>
      <c r="AE6102">
        <v>-8.3023000000000007</v>
      </c>
      <c r="AF6102">
        <v>-2.1468038952609598</v>
      </c>
      <c r="AG6102">
        <v>-1.1166358065499999</v>
      </c>
      <c r="AH6102">
        <v>9.8666469120650202</v>
      </c>
      <c r="AI6102">
        <v>96.310435372604402</v>
      </c>
      <c r="AJ6102">
        <v>102.27520147651499</v>
      </c>
      <c r="AK6102">
        <v>10.1590532913524</v>
      </c>
      <c r="AL6102">
        <v>90.261383617044601</v>
      </c>
      <c r="AM6102">
        <v>89.289824193367707</v>
      </c>
      <c r="AN6102">
        <v>1.0000000209930799</v>
      </c>
    </row>
    <row r="6103" spans="1:40" x14ac:dyDescent="0.25">
      <c r="A6103" t="str">
        <f>"20190312161437545"</f>
        <v>20190312161437545</v>
      </c>
      <c r="B6103" t="str">
        <f>"1552378477532516"</f>
        <v>1552378477532516</v>
      </c>
      <c r="C6103" t="s">
        <v>40</v>
      </c>
      <c r="D6103">
        <v>5.3347280000000001</v>
      </c>
      <c r="E6103">
        <v>0.41746339999999998</v>
      </c>
      <c r="F6103" t="s">
        <v>77</v>
      </c>
      <c r="G6103">
        <v>-292.81079999999997</v>
      </c>
      <c r="H6103" s="1">
        <v>-1.1766589999999999E-5</v>
      </c>
      <c r="I6103">
        <v>-65.687609999999907</v>
      </c>
      <c r="J6103">
        <v>-298.86340000000001</v>
      </c>
      <c r="K6103">
        <v>1.1167320000000001</v>
      </c>
      <c r="L6103">
        <v>-57.442500000000003</v>
      </c>
      <c r="M6103">
        <v>0.40706399999999998</v>
      </c>
      <c r="N6103">
        <v>0</v>
      </c>
      <c r="O6103">
        <v>-0.91328399999999998</v>
      </c>
      <c r="P6103">
        <v>0.39591320000000002</v>
      </c>
      <c r="Q6103">
        <v>-1.8602239999999999E-2</v>
      </c>
      <c r="R6103">
        <v>-0.91809960000000002</v>
      </c>
      <c r="S6103">
        <v>1.812073</v>
      </c>
      <c r="T6103">
        <v>-0.32868969999999997</v>
      </c>
      <c r="U6103">
        <v>-2.487946</v>
      </c>
      <c r="V6103">
        <v>1.220747E-2</v>
      </c>
      <c r="W6103">
        <v>-3.8744159999999999E-3</v>
      </c>
      <c r="X6103">
        <v>0.99991799999999997</v>
      </c>
      <c r="Y6103">
        <v>-0.20536009999999999</v>
      </c>
      <c r="Z6103">
        <v>0.1015359</v>
      </c>
      <c r="AA6103">
        <v>0.97340519999999997</v>
      </c>
      <c r="AB6103">
        <v>22</v>
      </c>
      <c r="AC6103">
        <v>6.0526000000000399</v>
      </c>
      <c r="AD6103">
        <v>-1.11674376659</v>
      </c>
      <c r="AE6103">
        <v>-8.2451099999999897</v>
      </c>
      <c r="AF6103">
        <v>-2.1461011615925698</v>
      </c>
      <c r="AG6103">
        <v>-1.11674376659</v>
      </c>
      <c r="AH6103">
        <v>9.8772326104220305</v>
      </c>
      <c r="AI6103">
        <v>96.304726479250505</v>
      </c>
      <c r="AJ6103">
        <v>102.25855149032699</v>
      </c>
      <c r="AK6103">
        <v>10.1691981432358</v>
      </c>
      <c r="AL6103">
        <v>90.221988235805398</v>
      </c>
      <c r="AM6103">
        <v>89.300540881295802</v>
      </c>
      <c r="AN6103">
        <v>1.0000000200735699</v>
      </c>
    </row>
    <row r="6104" spans="1:40" x14ac:dyDescent="0.25">
      <c r="A6104" t="str">
        <f>"20190312161437570"</f>
        <v>20190312161437570</v>
      </c>
      <c r="B6104" t="str">
        <f>"1552378477562772"</f>
        <v>1552378477562772</v>
      </c>
      <c r="C6104" t="s">
        <v>40</v>
      </c>
      <c r="D6104">
        <v>5.3034949999999998</v>
      </c>
      <c r="E6104">
        <v>0.41833369999999998</v>
      </c>
      <c r="F6104" t="s">
        <v>77</v>
      </c>
      <c r="G6104">
        <v>-293.48360000000002</v>
      </c>
      <c r="H6104" s="1">
        <v>-1.1843690000000001E-5</v>
      </c>
      <c r="I6104">
        <v>-64.873580000000004</v>
      </c>
      <c r="J6104">
        <v>-298.7534</v>
      </c>
      <c r="K6104">
        <v>1.1168400000000001</v>
      </c>
      <c r="L6104">
        <v>-57.655819999999999</v>
      </c>
      <c r="M6104">
        <v>0.41784870000000002</v>
      </c>
      <c r="N6104">
        <v>0</v>
      </c>
      <c r="O6104">
        <v>-0.90839990000000004</v>
      </c>
      <c r="P6104">
        <v>0.40693649999999998</v>
      </c>
      <c r="Q6104">
        <v>-1.9781159999999999E-2</v>
      </c>
      <c r="R6104">
        <v>-0.91324249999999996</v>
      </c>
      <c r="S6104">
        <v>1.7986150000000001</v>
      </c>
      <c r="T6104">
        <v>-0.37336180000000002</v>
      </c>
      <c r="U6104">
        <v>-2.4844360000000001</v>
      </c>
      <c r="V6104">
        <v>1.201873E-2</v>
      </c>
      <c r="W6104">
        <v>-5.0203269999999998E-3</v>
      </c>
      <c r="X6104">
        <v>0.9999152</v>
      </c>
      <c r="Y6104">
        <v>-0.19002169999999999</v>
      </c>
      <c r="Z6104">
        <v>0.11471339999999999</v>
      </c>
      <c r="AA6104">
        <v>0.97505520000000001</v>
      </c>
      <c r="AB6104">
        <v>22</v>
      </c>
      <c r="AC6104">
        <v>5.2697999999999698</v>
      </c>
      <c r="AD6104">
        <v>-1.1168518436899999</v>
      </c>
      <c r="AE6104">
        <v>-7.2177600000000002</v>
      </c>
      <c r="AF6104">
        <v>-1.7441026660852701</v>
      </c>
      <c r="AG6104">
        <v>-1.1168518436899999</v>
      </c>
      <c r="AH6104">
        <v>8.6248183262166993</v>
      </c>
      <c r="AI6104">
        <v>97.233513675275901</v>
      </c>
      <c r="AJ6104">
        <v>101.432132879763</v>
      </c>
      <c r="AK6104">
        <v>8.8699911674613805</v>
      </c>
      <c r="AL6104">
        <v>90.287644748432101</v>
      </c>
      <c r="AM6104">
        <v>89.311352258457902</v>
      </c>
      <c r="AN6104">
        <v>1.0000000303725101</v>
      </c>
    </row>
    <row r="6105" spans="1:40" x14ac:dyDescent="0.25">
      <c r="A6105" t="str">
        <f>"20190312161437607"</f>
        <v>20190312161437607</v>
      </c>
      <c r="B6105" t="str">
        <f>"1552378477602393"</f>
        <v>1552378477602393</v>
      </c>
      <c r="C6105" t="s">
        <v>40</v>
      </c>
      <c r="D6105">
        <v>5.2057190000000002</v>
      </c>
      <c r="E6105">
        <v>0.42001549999999999</v>
      </c>
      <c r="F6105" t="s">
        <v>77</v>
      </c>
      <c r="G6105">
        <v>-293.17329999999998</v>
      </c>
      <c r="H6105" s="1">
        <v>-1.1800340000000001E-5</v>
      </c>
      <c r="I6105">
        <v>-65.207459999999998</v>
      </c>
      <c r="J6105">
        <v>-298.58049999999997</v>
      </c>
      <c r="K6105">
        <v>1.116987</v>
      </c>
      <c r="L6105">
        <v>-57.977910000000001</v>
      </c>
      <c r="M6105">
        <v>0.43457289999999998</v>
      </c>
      <c r="N6105">
        <v>0</v>
      </c>
      <c r="O6105">
        <v>-0.90051819999999905</v>
      </c>
      <c r="P6105">
        <v>0.42336790000000002</v>
      </c>
      <c r="Q6105">
        <v>-1.990418E-2</v>
      </c>
      <c r="R6105">
        <v>-0.90573939999999997</v>
      </c>
      <c r="S6105">
        <v>1.8217159999999999</v>
      </c>
      <c r="T6105">
        <v>-0.36461529999999998</v>
      </c>
      <c r="U6105">
        <v>-2.465363</v>
      </c>
      <c r="V6105">
        <v>1.244493E-2</v>
      </c>
      <c r="W6105">
        <v>-5.0812670000000004E-3</v>
      </c>
      <c r="X6105">
        <v>0.99990959999999995</v>
      </c>
      <c r="Y6105">
        <v>-0.1816121</v>
      </c>
      <c r="Z6105">
        <v>0.11116470000000001</v>
      </c>
      <c r="AA6105">
        <v>0.97706680000000001</v>
      </c>
      <c r="AB6105">
        <v>22</v>
      </c>
      <c r="AC6105">
        <v>5.40719999999998</v>
      </c>
      <c r="AD6105">
        <v>-1.11699880034</v>
      </c>
      <c r="AE6105">
        <v>-7.2295499999999997</v>
      </c>
      <c r="AF6105">
        <v>-1.7016505448841599</v>
      </c>
      <c r="AG6105">
        <v>-1.11699880034</v>
      </c>
      <c r="AH6105">
        <v>8.72750651223161</v>
      </c>
      <c r="AI6105">
        <v>97.160020281200502</v>
      </c>
      <c r="AJ6105">
        <v>101.032860460384</v>
      </c>
      <c r="AK6105">
        <v>8.9617336948779496</v>
      </c>
      <c r="AL6105">
        <v>90.291136420524097</v>
      </c>
      <c r="AM6105">
        <v>89.286930387502395</v>
      </c>
      <c r="AN6105">
        <v>0.99999995186459301</v>
      </c>
    </row>
    <row r="6106" spans="1:40" x14ac:dyDescent="0.25">
      <c r="A6106" t="str">
        <f>"20190312161437631"</f>
        <v>20190312161437631</v>
      </c>
      <c r="B6106" t="str">
        <f>"1552378477622889"</f>
        <v>1552378477622889</v>
      </c>
      <c r="C6106" t="s">
        <v>40</v>
      </c>
      <c r="D6106">
        <v>5.2059730000000002</v>
      </c>
      <c r="E6106">
        <v>0.4204697</v>
      </c>
      <c r="F6106" t="s">
        <v>77</v>
      </c>
      <c r="G6106">
        <v>-292.88940000000002</v>
      </c>
      <c r="H6106" s="1">
        <v>-1.175066E-5</v>
      </c>
      <c r="I6106">
        <v>-65.459419999999994</v>
      </c>
      <c r="J6106">
        <v>-298.46809999999999</v>
      </c>
      <c r="K6106">
        <v>1.117062</v>
      </c>
      <c r="L6106">
        <v>-58.179049999999997</v>
      </c>
      <c r="M6106">
        <v>0.4452623</v>
      </c>
      <c r="N6106">
        <v>0</v>
      </c>
      <c r="O6106">
        <v>-0.89528039999999998</v>
      </c>
      <c r="P6106">
        <v>0.4341621</v>
      </c>
      <c r="Q6106">
        <v>-1.9615359999999998E-2</v>
      </c>
      <c r="R6106">
        <v>-0.90062140000000002</v>
      </c>
      <c r="S6106">
        <v>1.854187</v>
      </c>
      <c r="T6106">
        <v>-0.36392150000000001</v>
      </c>
      <c r="U6106">
        <v>-2.4375</v>
      </c>
      <c r="V6106">
        <v>1.239735E-2</v>
      </c>
      <c r="W6106">
        <v>-4.7612890000000001E-3</v>
      </c>
      <c r="X6106">
        <v>0.99991180000000002</v>
      </c>
      <c r="Y6106">
        <v>-0.18354760000000001</v>
      </c>
      <c r="Z6106">
        <v>0.11061</v>
      </c>
      <c r="AA6106">
        <v>0.97676799999999997</v>
      </c>
      <c r="AB6106">
        <v>22</v>
      </c>
      <c r="AC6106">
        <v>5.5786999999999596</v>
      </c>
      <c r="AD6106">
        <v>-1.1170737506599999</v>
      </c>
      <c r="AE6106">
        <v>-7.2803699999999898</v>
      </c>
      <c r="AF6106">
        <v>-1.72739172658597</v>
      </c>
      <c r="AG6106">
        <v>-1.1170737506599999</v>
      </c>
      <c r="AH6106">
        <v>8.8713326012042195</v>
      </c>
      <c r="AI6106">
        <v>97.045922374478295</v>
      </c>
      <c r="AJ6106">
        <v>101.01854050534401</v>
      </c>
      <c r="AK6106">
        <v>9.1067160965234901</v>
      </c>
      <c r="AL6106">
        <v>90.272802799310298</v>
      </c>
      <c r="AM6106">
        <v>89.289657909239693</v>
      </c>
      <c r="AN6106">
        <v>0.99999998596960105</v>
      </c>
    </row>
    <row r="6107" spans="1:40" x14ac:dyDescent="0.25">
      <c r="A6107" t="str">
        <f>"20190312161437654"</f>
        <v>20190312161437654</v>
      </c>
      <c r="B6107" t="str">
        <f>"1552378477642409"</f>
        <v>1552378477642409</v>
      </c>
      <c r="C6107" t="s">
        <v>40</v>
      </c>
      <c r="D6107">
        <v>5.2814940000000004</v>
      </c>
      <c r="E6107">
        <v>0.42043649999999999</v>
      </c>
      <c r="F6107" t="s">
        <v>77</v>
      </c>
      <c r="G6107">
        <v>-292.63159999999999</v>
      </c>
      <c r="H6107" s="1">
        <v>-1.1704329999999999E-5</v>
      </c>
      <c r="I6107">
        <v>-65.681659999999994</v>
      </c>
      <c r="J6107">
        <v>-298.36040000000003</v>
      </c>
      <c r="K6107">
        <v>1.11713</v>
      </c>
      <c r="L6107">
        <v>-58.366329999999998</v>
      </c>
      <c r="M6107">
        <v>0.45539089999999999</v>
      </c>
      <c r="N6107">
        <v>0</v>
      </c>
      <c r="O6107">
        <v>-0.89017080000000004</v>
      </c>
      <c r="P6107">
        <v>0.44483289999999998</v>
      </c>
      <c r="Q6107">
        <v>-2.029102E-2</v>
      </c>
      <c r="R6107">
        <v>-0.89538410000000002</v>
      </c>
      <c r="S6107">
        <v>1.8801270000000001</v>
      </c>
      <c r="T6107">
        <v>-0.359846</v>
      </c>
      <c r="U6107">
        <v>-2.4168400000000001</v>
      </c>
      <c r="V6107">
        <v>1.1865550000000001E-2</v>
      </c>
      <c r="W6107">
        <v>-5.4168849999999998E-3</v>
      </c>
      <c r="X6107">
        <v>0.99991490000000005</v>
      </c>
      <c r="Y6107">
        <v>-0.1830852</v>
      </c>
      <c r="Z6107">
        <v>0.1089096</v>
      </c>
      <c r="AA6107">
        <v>0.97704579999999996</v>
      </c>
      <c r="AB6107">
        <v>22</v>
      </c>
      <c r="AC6107">
        <v>5.7288000000000299</v>
      </c>
      <c r="AD6107">
        <v>-1.11714170433</v>
      </c>
      <c r="AE6107">
        <v>-7.3153299999999799</v>
      </c>
      <c r="AF6107">
        <v>-1.74326585102541</v>
      </c>
      <c r="AG6107">
        <v>-1.11714170433</v>
      </c>
      <c r="AH6107">
        <v>8.9917358243395</v>
      </c>
      <c r="AI6107">
        <v>96.954008161682495</v>
      </c>
      <c r="AJ6107">
        <v>100.972056799635</v>
      </c>
      <c r="AK6107">
        <v>9.2270414841169508</v>
      </c>
      <c r="AL6107">
        <v>90.310366175578395</v>
      </c>
      <c r="AM6107">
        <v>89.320128114495304</v>
      </c>
      <c r="AN6107">
        <v>0.99999997058095702</v>
      </c>
    </row>
    <row r="6108" spans="1:40" x14ac:dyDescent="0.25">
      <c r="A6108" t="str">
        <f>"20190312161437675"</f>
        <v>20190312161437675</v>
      </c>
      <c r="B6108" t="str">
        <f>"1552378477672666"</f>
        <v>1552378477672666</v>
      </c>
      <c r="C6108" t="s">
        <v>40</v>
      </c>
      <c r="D6108">
        <v>5.288608</v>
      </c>
      <c r="E6108">
        <v>0.42101899999999998</v>
      </c>
      <c r="F6108" t="s">
        <v>77</v>
      </c>
      <c r="G6108">
        <v>-292.24669999999998</v>
      </c>
      <c r="H6108" s="1">
        <v>-1.163925E-5</v>
      </c>
      <c r="I6108">
        <v>-66.035390000000007</v>
      </c>
      <c r="J6108">
        <v>-298.2559</v>
      </c>
      <c r="K6108">
        <v>1.1171930000000001</v>
      </c>
      <c r="L6108">
        <v>-58.543059999999997</v>
      </c>
      <c r="M6108">
        <v>0.46508650000000001</v>
      </c>
      <c r="N6108">
        <v>0</v>
      </c>
      <c r="O6108">
        <v>-0.88514319999999902</v>
      </c>
      <c r="P6108">
        <v>0.45516269999999998</v>
      </c>
      <c r="Q6108">
        <v>-2.107705E-2</v>
      </c>
      <c r="R6108">
        <v>-0.89015900000000003</v>
      </c>
      <c r="S6108">
        <v>1.908752</v>
      </c>
      <c r="T6108">
        <v>-0.34878160000000002</v>
      </c>
      <c r="U6108">
        <v>-2.3943479999999999</v>
      </c>
      <c r="V6108">
        <v>1.122334E-2</v>
      </c>
      <c r="W6108">
        <v>-6.186001E-3</v>
      </c>
      <c r="X6108">
        <v>0.99991790000000003</v>
      </c>
      <c r="Y6108">
        <v>-0.18423149999999999</v>
      </c>
      <c r="Z6108">
        <v>0.1051639</v>
      </c>
      <c r="AA6108">
        <v>0.97724060000000001</v>
      </c>
      <c r="AB6108">
        <v>22</v>
      </c>
      <c r="AC6108">
        <v>6.0092000000000203</v>
      </c>
      <c r="AD6108">
        <v>-1.1172046392499999</v>
      </c>
      <c r="AE6108">
        <v>-7.4923300000000097</v>
      </c>
      <c r="AF6108">
        <v>-1.8101269020920501</v>
      </c>
      <c r="AG6108">
        <v>-1.1172046392499999</v>
      </c>
      <c r="AH6108">
        <v>9.3017421865954795</v>
      </c>
      <c r="AI6108">
        <v>96.723874113883994</v>
      </c>
      <c r="AJ6108">
        <v>101.01217530167899</v>
      </c>
      <c r="AK6108">
        <v>9.5418611032402403</v>
      </c>
      <c r="AL6108">
        <v>90.354434003380405</v>
      </c>
      <c r="AM6108">
        <v>89.356924192075596</v>
      </c>
      <c r="AN6108">
        <v>1.0000000183547599</v>
      </c>
    </row>
    <row r="6109" spans="1:40" x14ac:dyDescent="0.25">
      <c r="A6109" t="str">
        <f>"20190312161437697"</f>
        <v>20190312161437697</v>
      </c>
      <c r="B6109" t="str">
        <f>"1552378477692808"</f>
        <v>1552378477692808</v>
      </c>
      <c r="C6109" t="s">
        <v>40</v>
      </c>
      <c r="D6109">
        <v>5.3039420000000002</v>
      </c>
      <c r="E6109">
        <v>0.42154239999999998</v>
      </c>
      <c r="F6109" t="s">
        <v>77</v>
      </c>
      <c r="G6109">
        <v>-291.9529</v>
      </c>
      <c r="H6109" s="1">
        <v>-1.1586079999999999E-5</v>
      </c>
      <c r="I6109">
        <v>-66.286630000000002</v>
      </c>
      <c r="J6109">
        <v>-298.1431</v>
      </c>
      <c r="K6109">
        <v>1.1172660000000001</v>
      </c>
      <c r="L6109">
        <v>-58.728969999999997</v>
      </c>
      <c r="M6109">
        <v>0.47542810000000002</v>
      </c>
      <c r="N6109">
        <v>0</v>
      </c>
      <c r="O6109">
        <v>-0.8796313</v>
      </c>
      <c r="P6109">
        <v>0.46668700000000002</v>
      </c>
      <c r="Q6109">
        <v>-2.1287179999999999E-2</v>
      </c>
      <c r="R6109">
        <v>-0.88416640000000002</v>
      </c>
      <c r="S6109">
        <v>1.9323729999999999</v>
      </c>
      <c r="T6109">
        <v>-0.3425127</v>
      </c>
      <c r="U6109">
        <v>-2.3740230000000002</v>
      </c>
      <c r="V6109">
        <v>9.9558470000000003E-3</v>
      </c>
      <c r="W6109">
        <v>-6.3881950000000002E-3</v>
      </c>
      <c r="X6109">
        <v>0.99992999999999999</v>
      </c>
      <c r="Y6109">
        <v>-0.18281500000000001</v>
      </c>
      <c r="Z6109">
        <v>0.1027863</v>
      </c>
      <c r="AA6109">
        <v>0.9777595</v>
      </c>
      <c r="AB6109">
        <v>22</v>
      </c>
      <c r="AC6109">
        <v>6.1901999999999999</v>
      </c>
      <c r="AD6109">
        <v>-1.1172775860799999</v>
      </c>
      <c r="AE6109">
        <v>-7.5576600000000003</v>
      </c>
      <c r="AF6109">
        <v>-1.8282570924760499</v>
      </c>
      <c r="AG6109">
        <v>-1.1172775860799999</v>
      </c>
      <c r="AH6109">
        <v>9.4681466656975601</v>
      </c>
      <c r="AI6109">
        <v>96.609024210153805</v>
      </c>
      <c r="AJ6109">
        <v>100.929052341831</v>
      </c>
      <c r="AK6109">
        <v>9.7075555359578303</v>
      </c>
      <c r="AL6109">
        <v>90.3660191140103</v>
      </c>
      <c r="AM6109">
        <v>89.429550902233302</v>
      </c>
      <c r="AN6109">
        <v>0.99999996641242195</v>
      </c>
    </row>
    <row r="6110" spans="1:40" x14ac:dyDescent="0.25">
      <c r="A6110" t="str">
        <f>"20190312161437724"</f>
        <v>20190312161437724</v>
      </c>
      <c r="B6110" t="str">
        <f>"1552378477712329"</f>
        <v>1552378477712329</v>
      </c>
      <c r="C6110" t="s">
        <v>40</v>
      </c>
      <c r="D6110">
        <v>5.2905280000000001</v>
      </c>
      <c r="E6110">
        <v>0.42154239999999998</v>
      </c>
      <c r="F6110" t="s">
        <v>77</v>
      </c>
      <c r="G6110">
        <v>-291.7133</v>
      </c>
      <c r="H6110" s="1">
        <v>-1.1533600000000001E-5</v>
      </c>
      <c r="I6110">
        <v>-66.442920000000001</v>
      </c>
      <c r="J6110">
        <v>-298.01209999999998</v>
      </c>
      <c r="K6110">
        <v>1.1173409999999999</v>
      </c>
      <c r="L6110">
        <v>-58.938479999999998</v>
      </c>
      <c r="M6110">
        <v>0.48725940000000001</v>
      </c>
      <c r="N6110">
        <v>0</v>
      </c>
      <c r="O6110">
        <v>-0.87313259999999904</v>
      </c>
      <c r="P6110">
        <v>0.47960649999999999</v>
      </c>
      <c r="Q6110">
        <v>-2.0804329999999999E-2</v>
      </c>
      <c r="R6110">
        <v>-0.87723709999999899</v>
      </c>
      <c r="S6110">
        <v>1.95932</v>
      </c>
      <c r="T6110">
        <v>-0.34046409999999899</v>
      </c>
      <c r="U6110">
        <v>-2.3506469999999999</v>
      </c>
      <c r="V6110">
        <v>8.7851879999999993E-3</v>
      </c>
      <c r="W6110">
        <v>-5.8931119999999998E-3</v>
      </c>
      <c r="X6110">
        <v>0.99994400000000006</v>
      </c>
      <c r="Y6110">
        <v>-0.18100810000000001</v>
      </c>
      <c r="Z6110">
        <v>0.1015633</v>
      </c>
      <c r="AA6110">
        <v>0.97822339999999997</v>
      </c>
      <c r="AB6110">
        <v>22</v>
      </c>
      <c r="AC6110">
        <v>6.2987999999999698</v>
      </c>
      <c r="AD6110">
        <v>-1.1173525336000001</v>
      </c>
      <c r="AE6110">
        <v>-7.50443999999999</v>
      </c>
      <c r="AF6110">
        <v>-1.81961327488368</v>
      </c>
      <c r="AG6110">
        <v>-1.1173525336000001</v>
      </c>
      <c r="AH6110">
        <v>9.4990229799668793</v>
      </c>
      <c r="AI6110">
        <v>96.590031450168993</v>
      </c>
      <c r="AJ6110">
        <v>100.844095676067</v>
      </c>
      <c r="AK6110">
        <v>9.7360621777191891</v>
      </c>
      <c r="AL6110">
        <v>90.337652415145001</v>
      </c>
      <c r="AM6110">
        <v>89.496630567079904</v>
      </c>
      <c r="AN6110">
        <v>0.99999995571661904</v>
      </c>
    </row>
    <row r="6111" spans="1:40" x14ac:dyDescent="0.25">
      <c r="A6111" t="str">
        <f>"20190312161437765"</f>
        <v>20190312161437765</v>
      </c>
      <c r="B6111" t="str">
        <f>"1552378477752344"</f>
        <v>1552378477752344</v>
      </c>
      <c r="C6111" t="s">
        <v>40</v>
      </c>
      <c r="D6111">
        <v>5.2376490000000002</v>
      </c>
      <c r="E6111">
        <v>0.43592720000000001</v>
      </c>
      <c r="F6111" t="s">
        <v>77</v>
      </c>
      <c r="G6111">
        <v>-291.43470000000002</v>
      </c>
      <c r="H6111" s="1">
        <v>-1.1467390000000001E-5</v>
      </c>
      <c r="I6111">
        <v>-66.596859999999893</v>
      </c>
      <c r="J6111">
        <v>-297.7998</v>
      </c>
      <c r="K6111">
        <v>1.1174649999999999</v>
      </c>
      <c r="L6111">
        <v>-59.264040000000001</v>
      </c>
      <c r="M6111">
        <v>0.50604769999999999</v>
      </c>
      <c r="N6111">
        <v>0</v>
      </c>
      <c r="O6111">
        <v>-0.86237830000000004</v>
      </c>
      <c r="P6111">
        <v>0.50004769999999998</v>
      </c>
      <c r="Q6111">
        <v>-2.076505E-2</v>
      </c>
      <c r="R6111">
        <v>-0.86574889999999904</v>
      </c>
      <c r="S6111">
        <v>1.993927</v>
      </c>
      <c r="T6111">
        <v>-0.33872760000000002</v>
      </c>
      <c r="U6111">
        <v>-2.3216549999999998</v>
      </c>
      <c r="V6111">
        <v>6.9833600000000001E-3</v>
      </c>
      <c r="W6111">
        <v>-5.8347549999999996E-3</v>
      </c>
      <c r="X6111">
        <v>0.99995860000000003</v>
      </c>
      <c r="Y6111">
        <v>-0.174238</v>
      </c>
      <c r="Z6111">
        <v>9.9860389999999993E-2</v>
      </c>
      <c r="AA6111">
        <v>0.97962700000000003</v>
      </c>
      <c r="AB6111">
        <v>22</v>
      </c>
      <c r="AC6111">
        <v>6.3650999999999804</v>
      </c>
      <c r="AD6111">
        <v>-1.11747646739</v>
      </c>
      <c r="AE6111">
        <v>-7.3328199999999901</v>
      </c>
      <c r="AF6111">
        <v>-1.75531428717309</v>
      </c>
      <c r="AG6111">
        <v>-1.11747646739</v>
      </c>
      <c r="AH6111">
        <v>9.4209801508333602</v>
      </c>
      <c r="AI6111">
        <v>96.651163009958907</v>
      </c>
      <c r="AJ6111">
        <v>100.554312404656</v>
      </c>
      <c r="AK6111">
        <v>9.6480437864014998</v>
      </c>
      <c r="AL6111">
        <v>90.334308730659899</v>
      </c>
      <c r="AM6111">
        <v>89.599872884476895</v>
      </c>
      <c r="AN6111">
        <v>1.0000000066983701</v>
      </c>
    </row>
    <row r="6112" spans="1:40" x14ac:dyDescent="0.25">
      <c r="A6112" t="str">
        <f>"20190312161437789"</f>
        <v>20190312161437789</v>
      </c>
      <c r="B6112" t="str">
        <f>"1552378477782662"</f>
        <v>1552378477782662</v>
      </c>
      <c r="C6112" t="s">
        <v>40</v>
      </c>
      <c r="D6112">
        <v>5.1408940000000003</v>
      </c>
      <c r="E6112">
        <v>0.4357142</v>
      </c>
      <c r="F6112" t="s">
        <v>77</v>
      </c>
      <c r="G6112">
        <v>-292.03489999999999</v>
      </c>
      <c r="H6112" s="1">
        <v>-1.1589349999999999E-5</v>
      </c>
      <c r="I6112">
        <v>-66.154820000000001</v>
      </c>
      <c r="J6112">
        <v>-297.66849999999999</v>
      </c>
      <c r="K6112">
        <v>1.1175349999999999</v>
      </c>
      <c r="L6112">
        <v>-59.457610000000003</v>
      </c>
      <c r="M6112">
        <v>0.51743229999999996</v>
      </c>
      <c r="N6112">
        <v>0</v>
      </c>
      <c r="O6112">
        <v>-0.85559549999999995</v>
      </c>
      <c r="P6112">
        <v>0.51147339999999997</v>
      </c>
      <c r="Q6112">
        <v>-2.0982750000000001E-2</v>
      </c>
      <c r="R6112">
        <v>-0.85904309999999995</v>
      </c>
      <c r="S6112">
        <v>1.9494629999999999</v>
      </c>
      <c r="T6112">
        <v>-0.37788339999999998</v>
      </c>
      <c r="U6112">
        <v>-2.3301699999999999</v>
      </c>
      <c r="V6112">
        <v>6.9900250000000004E-3</v>
      </c>
      <c r="W6112">
        <v>-6.0224440000000001E-3</v>
      </c>
      <c r="X6112">
        <v>0.9999574</v>
      </c>
      <c r="Y6112">
        <v>-0.1475969</v>
      </c>
      <c r="Z6112">
        <v>0.11048719999999999</v>
      </c>
      <c r="AA6112">
        <v>0.98285690000000003</v>
      </c>
      <c r="AB6112">
        <v>22</v>
      </c>
      <c r="AC6112">
        <v>5.6336000000000004</v>
      </c>
      <c r="AD6112">
        <v>-1.1175465893499901</v>
      </c>
      <c r="AE6112">
        <v>-6.6972100000000001</v>
      </c>
      <c r="AF6112">
        <v>-1.33314042828213</v>
      </c>
      <c r="AG6112">
        <v>-1.1175465893499901</v>
      </c>
      <c r="AH6112">
        <v>8.5073368687011008</v>
      </c>
      <c r="AI6112">
        <v>97.394453964421601</v>
      </c>
      <c r="AJ6112">
        <v>98.906093862443797</v>
      </c>
      <c r="AK6112">
        <v>8.6833722929774897</v>
      </c>
      <c r="AL6112">
        <v>90.3450627211854</v>
      </c>
      <c r="AM6112">
        <v>89.599490530322697</v>
      </c>
      <c r="AN6112">
        <v>0.99999996604799601</v>
      </c>
    </row>
    <row r="6113" spans="1:40" x14ac:dyDescent="0.25">
      <c r="A6113" t="str">
        <f>"20190312161437831"</f>
        <v>20190312161437831</v>
      </c>
      <c r="B6113" t="str">
        <f>"1552378477822678"</f>
        <v>1552378477822678</v>
      </c>
      <c r="C6113" t="s">
        <v>40</v>
      </c>
      <c r="D6113">
        <v>5.2334050000000003</v>
      </c>
      <c r="E6113">
        <v>0.4369963</v>
      </c>
      <c r="F6113" t="s">
        <v>77</v>
      </c>
      <c r="G6113">
        <v>-291.16230000000002</v>
      </c>
      <c r="H6113" s="1">
        <v>-1.145493E-5</v>
      </c>
      <c r="I6113">
        <v>-67.02664</v>
      </c>
      <c r="J6113">
        <v>-297.43470000000002</v>
      </c>
      <c r="K6113">
        <v>1.117629</v>
      </c>
      <c r="L6113">
        <v>-59.787779999999998</v>
      </c>
      <c r="M6113">
        <v>0.53727040000000004</v>
      </c>
      <c r="N6113">
        <v>0</v>
      </c>
      <c r="O6113">
        <v>-0.84327859999999999</v>
      </c>
      <c r="P6113">
        <v>0.53024439999999995</v>
      </c>
      <c r="Q6113">
        <v>-2.0955959999999999E-2</v>
      </c>
      <c r="R6113">
        <v>-0.8475857</v>
      </c>
      <c r="S6113">
        <v>1.9809570000000001</v>
      </c>
      <c r="T6113">
        <v>-0.340258</v>
      </c>
      <c r="U6113">
        <v>-2.304535</v>
      </c>
      <c r="V6113">
        <v>8.3468129999999998E-3</v>
      </c>
      <c r="W6113">
        <v>-5.9229579999999999E-3</v>
      </c>
      <c r="X6113">
        <v>0.99994760000000005</v>
      </c>
      <c r="Y6113">
        <v>-0.13857120000000001</v>
      </c>
      <c r="Z6113">
        <v>9.8104919999999998E-2</v>
      </c>
      <c r="AA6113">
        <v>0.9854813</v>
      </c>
      <c r="AB6113">
        <v>22</v>
      </c>
      <c r="AC6113">
        <v>6.2724000000000002</v>
      </c>
      <c r="AD6113">
        <v>-1.1176404549299901</v>
      </c>
      <c r="AE6113">
        <v>-7.2388599999999901</v>
      </c>
      <c r="AF6113">
        <v>-1.38150122458664</v>
      </c>
      <c r="AG6113">
        <v>-1.1176404549299901</v>
      </c>
      <c r="AH6113">
        <v>9.3481238997809601</v>
      </c>
      <c r="AI6113">
        <v>96.745217346311605</v>
      </c>
      <c r="AJ6113">
        <v>98.406540378394894</v>
      </c>
      <c r="AK6113">
        <v>9.5155181816696999</v>
      </c>
      <c r="AL6113">
        <v>90.339362487769506</v>
      </c>
      <c r="AM6113">
        <v>89.521748889203806</v>
      </c>
      <c r="AN6113">
        <v>0.99999997673224295</v>
      </c>
    </row>
    <row r="6114" spans="1:40" x14ac:dyDescent="0.25">
      <c r="A6114" t="str">
        <f>"20190312161437852"</f>
        <v>20190312161437852</v>
      </c>
      <c r="B6114" t="str">
        <f>"1552378477843174"</f>
        <v>1552378477843174</v>
      </c>
      <c r="C6114" t="s">
        <v>40</v>
      </c>
      <c r="D6114">
        <v>5.1384489999999996</v>
      </c>
      <c r="E6114">
        <v>0.4377624</v>
      </c>
      <c r="F6114" t="s">
        <v>77</v>
      </c>
      <c r="G6114">
        <v>-290.8372</v>
      </c>
      <c r="H6114" s="1">
        <v>-1.137218E-5</v>
      </c>
      <c r="I6114">
        <v>-67.176990000000004</v>
      </c>
      <c r="J6114">
        <v>-297.31319999999999</v>
      </c>
      <c r="K6114">
        <v>1.1176759999999999</v>
      </c>
      <c r="L6114">
        <v>-59.95288</v>
      </c>
      <c r="M6114">
        <v>0.54736019999999996</v>
      </c>
      <c r="N6114">
        <v>0</v>
      </c>
      <c r="O6114">
        <v>-0.83676450000000002</v>
      </c>
      <c r="P6114">
        <v>0.5399467</v>
      </c>
      <c r="Q6114">
        <v>-2.0180400000000001E-2</v>
      </c>
      <c r="R6114">
        <v>-0.84145709999999996</v>
      </c>
      <c r="S6114">
        <v>2.0227970000000002</v>
      </c>
      <c r="T6114">
        <v>-0.3426688</v>
      </c>
      <c r="U6114">
        <v>-2.265533</v>
      </c>
      <c r="V6114">
        <v>8.8660579999999996E-3</v>
      </c>
      <c r="W6114">
        <v>-5.1147390000000001E-3</v>
      </c>
      <c r="X6114">
        <v>0.99994760000000005</v>
      </c>
      <c r="Y6114">
        <v>-0.1451741</v>
      </c>
      <c r="Z6114">
        <v>9.8407380000000003E-2</v>
      </c>
      <c r="AA6114">
        <v>0.98450009999999999</v>
      </c>
      <c r="AB6114">
        <v>22</v>
      </c>
      <c r="AC6114">
        <v>6.4759999999999902</v>
      </c>
      <c r="AD6114">
        <v>-1.11768737218</v>
      </c>
      <c r="AE6114">
        <v>-7.2241099999999898</v>
      </c>
      <c r="AF6114">
        <v>-1.44567254073746</v>
      </c>
      <c r="AG6114">
        <v>-1.11768737218</v>
      </c>
      <c r="AH6114">
        <v>9.4650300923337092</v>
      </c>
      <c r="AI6114">
        <v>96.658129938252202</v>
      </c>
      <c r="AJ6114">
        <v>98.684143864734196</v>
      </c>
      <c r="AK6114">
        <v>9.6398126955743102</v>
      </c>
      <c r="AL6114">
        <v>90.293054240117996</v>
      </c>
      <c r="AM6114">
        <v>89.491998987656402</v>
      </c>
      <c r="AN6114">
        <v>0.999999985142628</v>
      </c>
    </row>
    <row r="6115" spans="1:40" x14ac:dyDescent="0.25">
      <c r="A6115" t="str">
        <f>"20190312161437875"</f>
        <v>20190312161437875</v>
      </c>
      <c r="B6115" t="str">
        <f>"1552378477862695"</f>
        <v>1552378477862695</v>
      </c>
      <c r="C6115" t="s">
        <v>40</v>
      </c>
      <c r="D6115">
        <v>5.1257299999999999</v>
      </c>
      <c r="E6115">
        <v>0.43846970000000002</v>
      </c>
      <c r="F6115" t="s">
        <v>77</v>
      </c>
      <c r="G6115">
        <v>-290.3673</v>
      </c>
      <c r="H6115" s="1">
        <v>-1.128873E-5</v>
      </c>
      <c r="I6115">
        <v>-67.587450000000004</v>
      </c>
      <c r="J6115">
        <v>-297.18579999999997</v>
      </c>
      <c r="K6115">
        <v>1.117715</v>
      </c>
      <c r="L6115">
        <v>-60.121339999999996</v>
      </c>
      <c r="M6115">
        <v>0.55777319999999997</v>
      </c>
      <c r="N6115">
        <v>0</v>
      </c>
      <c r="O6115">
        <v>-0.82985929999999997</v>
      </c>
      <c r="P6115">
        <v>0.54991859999999904</v>
      </c>
      <c r="Q6115">
        <v>-1.920299E-2</v>
      </c>
      <c r="R6115">
        <v>-0.83499760000000001</v>
      </c>
      <c r="S6115">
        <v>2.043488</v>
      </c>
      <c r="T6115">
        <v>-0.32882430000000001</v>
      </c>
      <c r="U6115">
        <v>-2.2460939999999998</v>
      </c>
      <c r="V6115">
        <v>9.4608190000000005E-3</v>
      </c>
      <c r="W6115">
        <v>-4.1032619999999999E-3</v>
      </c>
      <c r="X6115">
        <v>0.99994680000000002</v>
      </c>
      <c r="Y6115">
        <v>-0.142349799999999</v>
      </c>
      <c r="Z6115">
        <v>9.3743220000000002E-2</v>
      </c>
      <c r="AA6115">
        <v>0.98536729999999995</v>
      </c>
      <c r="AB6115">
        <v>22</v>
      </c>
      <c r="AC6115">
        <v>6.81849999999997</v>
      </c>
      <c r="AD6115">
        <v>-1.1177262887299999</v>
      </c>
      <c r="AE6115">
        <v>-7.4661099999999996</v>
      </c>
      <c r="AF6115">
        <v>-1.47612755083611</v>
      </c>
      <c r="AG6115">
        <v>-1.1177262887299999</v>
      </c>
      <c r="AH6115">
        <v>9.8793840410521607</v>
      </c>
      <c r="AI6115">
        <v>96.384560480687497</v>
      </c>
      <c r="AJ6115">
        <v>98.497978837109898</v>
      </c>
      <c r="AK6115">
        <v>10.0513926215948</v>
      </c>
      <c r="AL6115">
        <v>90.235100260827707</v>
      </c>
      <c r="AM6115">
        <v>89.4579223357713</v>
      </c>
      <c r="AN6115">
        <v>0.99999997334271495</v>
      </c>
    </row>
    <row r="6116" spans="1:40" x14ac:dyDescent="0.25">
      <c r="A6116" t="str">
        <f>"20190312161437898"</f>
        <v>20190312161437898</v>
      </c>
      <c r="B6116" t="str">
        <f>"1552378477892950"</f>
        <v>1552378477892950</v>
      </c>
      <c r="C6116" t="s">
        <v>40</v>
      </c>
      <c r="D6116">
        <v>5.1866909999999997</v>
      </c>
      <c r="E6116">
        <v>0.43989499999999998</v>
      </c>
      <c r="F6116" t="s">
        <v>77</v>
      </c>
      <c r="G6116">
        <v>-289.89049999999997</v>
      </c>
      <c r="H6116" s="1">
        <v>-1.8843549999999999E-6</v>
      </c>
      <c r="I6116">
        <v>-67.981189999999998</v>
      </c>
      <c r="J6116">
        <v>-297.05419999999998</v>
      </c>
      <c r="K6116">
        <v>1.1177649999999999</v>
      </c>
      <c r="L6116">
        <v>-60.290559999999999</v>
      </c>
      <c r="M6116">
        <v>0.56835360000000001</v>
      </c>
      <c r="N6116">
        <v>0</v>
      </c>
      <c r="O6116">
        <v>-0.82264839999999995</v>
      </c>
      <c r="P6116">
        <v>0.56000329999999998</v>
      </c>
      <c r="Q6116">
        <v>-1.958909E-2</v>
      </c>
      <c r="R6116">
        <v>-0.82825849999999901</v>
      </c>
      <c r="S6116">
        <v>2.0654300000000001</v>
      </c>
      <c r="T6116">
        <v>-0.31644830000000002</v>
      </c>
      <c r="U6116">
        <v>-2.2252809999999998</v>
      </c>
      <c r="V6116">
        <v>1.014138E-2</v>
      </c>
      <c r="W6116">
        <v>-4.4539509999999899E-3</v>
      </c>
      <c r="X6116">
        <v>0.99993869999999896</v>
      </c>
      <c r="Y6116">
        <v>-0.13978299999999999</v>
      </c>
      <c r="Z6116">
        <v>8.951721E-2</v>
      </c>
      <c r="AA6116">
        <v>0.98612750000000005</v>
      </c>
      <c r="AB6116">
        <v>22</v>
      </c>
      <c r="AC6116">
        <v>7.1637000000000004</v>
      </c>
      <c r="AD6116">
        <v>-1.1177668843549999</v>
      </c>
      <c r="AE6116">
        <v>-7.6906299999999899</v>
      </c>
      <c r="AF6116">
        <v>-1.5053532222667501</v>
      </c>
      <c r="AG6116">
        <v>-1.1177668843549999</v>
      </c>
      <c r="AH6116">
        <v>10.283056797098</v>
      </c>
      <c r="AI6116">
        <v>96.138764258788996</v>
      </c>
      <c r="AJ6116">
        <v>98.328463158263503</v>
      </c>
      <c r="AK6116">
        <v>10.452595286525399</v>
      </c>
      <c r="AL6116">
        <v>90.255193426844301</v>
      </c>
      <c r="AM6116">
        <v>89.418926029087501</v>
      </c>
      <c r="AN6116">
        <v>1.0000000445127499</v>
      </c>
    </row>
    <row r="6117" spans="1:40" x14ac:dyDescent="0.25">
      <c r="A6117" t="str">
        <f>"20190312161437922"</f>
        <v>20190312161437922</v>
      </c>
      <c r="B6117" t="str">
        <f>"1552378477912470"</f>
        <v>1552378477912470</v>
      </c>
      <c r="C6117" t="s">
        <v>40</v>
      </c>
      <c r="D6117">
        <v>5.2685639999999996</v>
      </c>
      <c r="E6117">
        <v>0.44052039999999998</v>
      </c>
      <c r="F6117" t="s">
        <v>77</v>
      </c>
      <c r="G6117">
        <v>-289.75409999999999</v>
      </c>
      <c r="H6117" s="1">
        <v>-1.9566090000000001E-6</v>
      </c>
      <c r="I6117">
        <v>-68.019469999999998</v>
      </c>
      <c r="J6117">
        <v>-296.91969999999998</v>
      </c>
      <c r="K6117">
        <v>1.117815</v>
      </c>
      <c r="L6117">
        <v>-60.4589199999999</v>
      </c>
      <c r="M6117">
        <v>0.5790014</v>
      </c>
      <c r="N6117">
        <v>0</v>
      </c>
      <c r="O6117">
        <v>-0.81518900000000005</v>
      </c>
      <c r="P6117">
        <v>0.5700153</v>
      </c>
      <c r="Q6117">
        <v>-1.9154350000000001E-2</v>
      </c>
      <c r="R6117">
        <v>-0.8214108</v>
      </c>
      <c r="S6117">
        <v>2.083466</v>
      </c>
      <c r="T6117">
        <v>-0.31901180000000001</v>
      </c>
      <c r="U6117">
        <v>-2.2058409999999999</v>
      </c>
      <c r="V6117">
        <v>1.1003310000000001E-2</v>
      </c>
      <c r="W6117">
        <v>-3.9799199999999996E-3</v>
      </c>
      <c r="X6117">
        <v>0.99993149999999997</v>
      </c>
      <c r="Y6117">
        <v>-0.13548099999999999</v>
      </c>
      <c r="Z6117">
        <v>8.9458869999999996E-2</v>
      </c>
      <c r="AA6117">
        <v>0.98673299999999997</v>
      </c>
      <c r="AB6117">
        <v>22</v>
      </c>
      <c r="AC6117">
        <v>7.16559999999998</v>
      </c>
      <c r="AD6117">
        <v>-1.1178169566089999</v>
      </c>
      <c r="AE6117">
        <v>-7.5605500000000001</v>
      </c>
      <c r="AF6117">
        <v>-1.44724773149621</v>
      </c>
      <c r="AG6117">
        <v>-1.1178169566089999</v>
      </c>
      <c r="AH6117">
        <v>10.195915699877199</v>
      </c>
      <c r="AI6117">
        <v>96.194959703171193</v>
      </c>
      <c r="AJ6117">
        <v>98.0788156575057</v>
      </c>
      <c r="AK6117">
        <v>10.358606938377701</v>
      </c>
      <c r="AL6117">
        <v>90.228033230231802</v>
      </c>
      <c r="AM6117">
        <v>89.369539034569101</v>
      </c>
      <c r="AN6117">
        <v>0.99999995864320501</v>
      </c>
    </row>
    <row r="6118" spans="1:40" x14ac:dyDescent="0.25">
      <c r="A6118" t="str">
        <f>"20190312161437943"</f>
        <v>20190312161437943</v>
      </c>
      <c r="B6118" t="str">
        <f>"1552378477932967"</f>
        <v>1552378477932967</v>
      </c>
      <c r="C6118" t="s">
        <v>40</v>
      </c>
      <c r="D6118">
        <v>5.0389280000000003</v>
      </c>
      <c r="E6118">
        <v>0.43965549999999998</v>
      </c>
      <c r="F6118" t="s">
        <v>77</v>
      </c>
      <c r="G6118">
        <v>-289.66289999999998</v>
      </c>
      <c r="H6118" s="1">
        <v>-2.0194550000000001E-6</v>
      </c>
      <c r="I6118">
        <v>-67.979460000000003</v>
      </c>
      <c r="J6118">
        <v>-296.78949999999998</v>
      </c>
      <c r="K6118">
        <v>1.117861</v>
      </c>
      <c r="L6118">
        <v>-60.617550000000001</v>
      </c>
      <c r="M6118">
        <v>0.5891438</v>
      </c>
      <c r="N6118">
        <v>0</v>
      </c>
      <c r="O6118">
        <v>-0.80788919999999997</v>
      </c>
      <c r="P6118">
        <v>0.58003319999999903</v>
      </c>
      <c r="Q6118">
        <v>-1.818322E-2</v>
      </c>
      <c r="R6118">
        <v>-0.81439010000000001</v>
      </c>
      <c r="S6118">
        <v>2.1063839999999998</v>
      </c>
      <c r="T6118">
        <v>-0.32446340000000001</v>
      </c>
      <c r="U6118">
        <v>-2.1829529999999999</v>
      </c>
      <c r="V6118">
        <v>1.1248060000000001E-2</v>
      </c>
      <c r="W6118">
        <v>-2.981451E-3</v>
      </c>
      <c r="X6118">
        <v>0.9999323</v>
      </c>
      <c r="Y6118">
        <v>-0.13354579999999999</v>
      </c>
      <c r="Z6118">
        <v>9.023304E-2</v>
      </c>
      <c r="AA6118">
        <v>0.98692630000000003</v>
      </c>
      <c r="AB6118">
        <v>22</v>
      </c>
      <c r="AC6118">
        <v>7.1265999999999901</v>
      </c>
      <c r="AD6118">
        <v>-1.1178630194550001</v>
      </c>
      <c r="AE6118">
        <v>-7.36191</v>
      </c>
      <c r="AF6118">
        <v>-1.4037309048342901</v>
      </c>
      <c r="AG6118">
        <v>-1.1178630194550001</v>
      </c>
      <c r="AH6118">
        <v>10.0279795657975</v>
      </c>
      <c r="AI6118">
        <v>96.299830583527296</v>
      </c>
      <c r="AJ6118">
        <v>97.968566779293994</v>
      </c>
      <c r="AK6118">
        <v>10.1872691313965</v>
      </c>
      <c r="AL6118">
        <v>90.170824811137507</v>
      </c>
      <c r="AM6118">
        <v>89.355517183468805</v>
      </c>
      <c r="AN6118">
        <v>1.0000000062435499</v>
      </c>
    </row>
    <row r="6119" spans="1:40" x14ac:dyDescent="0.25">
      <c r="A6119" t="str">
        <f>"20190312161437965"</f>
        <v>20190312161437965</v>
      </c>
      <c r="B6119" t="str">
        <f>"1552378477962247"</f>
        <v>1552378477962247</v>
      </c>
      <c r="C6119" t="s">
        <v>40</v>
      </c>
      <c r="D6119">
        <v>5.3372609999999998</v>
      </c>
      <c r="E6119">
        <v>0.3619156</v>
      </c>
      <c r="F6119" t="s">
        <v>77</v>
      </c>
      <c r="G6119">
        <v>-289.26850000000002</v>
      </c>
      <c r="H6119" s="1">
        <v>-2.2062580000000001E-6</v>
      </c>
      <c r="I6119">
        <v>-68.189419999999998</v>
      </c>
      <c r="J6119">
        <v>-296.65480000000002</v>
      </c>
      <c r="K6119">
        <v>1.1178999999999999</v>
      </c>
      <c r="L6119">
        <v>-60.7772199999999</v>
      </c>
      <c r="M6119">
        <v>0.59946189999999999</v>
      </c>
      <c r="N6119">
        <v>0</v>
      </c>
      <c r="O6119">
        <v>-0.80026239999999904</v>
      </c>
      <c r="P6119">
        <v>0.58990030000000004</v>
      </c>
      <c r="Q6119">
        <v>-1.8185320000000001E-2</v>
      </c>
      <c r="R6119">
        <v>-0.80727150000000003</v>
      </c>
      <c r="S6119">
        <v>2.1388240000000001</v>
      </c>
      <c r="T6119">
        <v>-0.31789830000000002</v>
      </c>
      <c r="U6119">
        <v>-2.1532900000000001</v>
      </c>
      <c r="V6119">
        <v>1.1911049999999999E-2</v>
      </c>
      <c r="W6119">
        <v>-2.9490990000000002E-3</v>
      </c>
      <c r="X6119">
        <v>0.9999247</v>
      </c>
      <c r="Y6119">
        <v>-0.13528879999999999</v>
      </c>
      <c r="Z6119">
        <v>8.7715420000000002E-2</v>
      </c>
      <c r="AA6119">
        <v>0.98691589999999996</v>
      </c>
      <c r="AB6119">
        <v>22</v>
      </c>
      <c r="AC6119">
        <v>7.3863000000000003</v>
      </c>
      <c r="AD6119">
        <v>-1.117902206258</v>
      </c>
      <c r="AE6119">
        <v>-7.4122000000000003</v>
      </c>
      <c r="AF6119">
        <v>-1.4512490443761801</v>
      </c>
      <c r="AG6119">
        <v>-1.117902206258</v>
      </c>
      <c r="AH6119">
        <v>10.243766341270501</v>
      </c>
      <c r="AI6119">
        <v>96.166943670465699</v>
      </c>
      <c r="AJ6119">
        <v>98.063513814767603</v>
      </c>
      <c r="AK6119">
        <v>10.406275894195099</v>
      </c>
      <c r="AL6119">
        <v>90.168971173026193</v>
      </c>
      <c r="AM6119">
        <v>89.317527991306903</v>
      </c>
      <c r="AN6119">
        <v>0.99999998798355205</v>
      </c>
    </row>
    <row r="6120" spans="1:40" x14ac:dyDescent="0.25">
      <c r="A6120" t="str">
        <f>"20190312161437990"</f>
        <v>20190312161437990</v>
      </c>
      <c r="B6120" t="str">
        <f>"1552378477982274"</f>
        <v>1552378477982274</v>
      </c>
      <c r="C6120" t="s">
        <v>40</v>
      </c>
      <c r="D6120">
        <v>5.5433000000000003</v>
      </c>
      <c r="E6120">
        <v>0.35702399999999901</v>
      </c>
      <c r="F6120" t="s">
        <v>77</v>
      </c>
      <c r="G6120">
        <v>-280.6508</v>
      </c>
      <c r="H6120">
        <v>7.9987210000000003E-2</v>
      </c>
      <c r="I6120">
        <v>-71.396940000000001</v>
      </c>
      <c r="J6120">
        <v>-296.5059</v>
      </c>
      <c r="K6120">
        <v>1.1179479999999999</v>
      </c>
      <c r="L6120">
        <v>-60.94885</v>
      </c>
      <c r="M6120">
        <v>0.61067769999999899</v>
      </c>
      <c r="N6120">
        <v>0</v>
      </c>
      <c r="O6120">
        <v>-0.79173669999999996</v>
      </c>
      <c r="P6120">
        <v>0.60075719999999899</v>
      </c>
      <c r="Q6120">
        <v>-1.8573269999999999E-2</v>
      </c>
      <c r="R6120">
        <v>-0.79921600000000004</v>
      </c>
      <c r="S6120">
        <v>2.662506</v>
      </c>
      <c r="T6120">
        <v>-0.17267289999999999</v>
      </c>
      <c r="U6120">
        <v>-1.7667539999999999</v>
      </c>
      <c r="V6120">
        <v>1.2486580000000001E-2</v>
      </c>
      <c r="W6120">
        <v>-3.302836E-3</v>
      </c>
      <c r="X6120">
        <v>0.99991660000000004</v>
      </c>
      <c r="Y6120">
        <v>-0.3208992</v>
      </c>
      <c r="Z6120">
        <v>4.81754E-2</v>
      </c>
      <c r="AA6120">
        <v>0.94588729999999999</v>
      </c>
      <c r="AB6120">
        <v>21</v>
      </c>
      <c r="AC6120">
        <v>15.855099999999901</v>
      </c>
      <c r="AD6120">
        <v>-1.0379607900000001</v>
      </c>
      <c r="AE6120">
        <v>-10.448089999999899</v>
      </c>
      <c r="AF6120">
        <v>-6.1549539846975101</v>
      </c>
      <c r="AG6120">
        <v>-1.0379607900000001</v>
      </c>
      <c r="AH6120">
        <v>17.9030225515565</v>
      </c>
      <c r="AI6120">
        <v>93.138224183535002</v>
      </c>
      <c r="AJ6120">
        <v>108.972668817938</v>
      </c>
      <c r="AK6120">
        <v>18.959932427011999</v>
      </c>
      <c r="AL6120">
        <v>90.189238904411297</v>
      </c>
      <c r="AM6120">
        <v>89.2845491814995</v>
      </c>
      <c r="AN6120">
        <v>1.0000000151806401</v>
      </c>
    </row>
    <row r="6121" spans="1:40" x14ac:dyDescent="0.25">
      <c r="A6121" t="str">
        <f>"20190312161438010"</f>
        <v>20190312161438010</v>
      </c>
      <c r="B6121" t="str">
        <f>"1552378478002771"</f>
        <v>1552378478002771</v>
      </c>
      <c r="C6121" t="s">
        <v>40</v>
      </c>
      <c r="D6121">
        <v>5.2756939999999997</v>
      </c>
      <c r="E6121">
        <v>0.35305969999999998</v>
      </c>
      <c r="F6121" t="s">
        <v>77</v>
      </c>
      <c r="G6121">
        <v>-281.45170000000002</v>
      </c>
      <c r="H6121">
        <v>6.5483299999999994E-2</v>
      </c>
      <c r="I6121">
        <v>-70.399259999999998</v>
      </c>
      <c r="J6121">
        <v>-296.3766</v>
      </c>
      <c r="K6121">
        <v>1.1179829999999999</v>
      </c>
      <c r="L6121">
        <v>-61.093600000000002</v>
      </c>
      <c r="M6121">
        <v>0.62024489999999999</v>
      </c>
      <c r="N6121">
        <v>0</v>
      </c>
      <c r="O6121">
        <v>-0.78426370000000001</v>
      </c>
      <c r="P6121">
        <v>0.609461699999999</v>
      </c>
      <c r="Q6121">
        <v>-1.8016379999999999E-2</v>
      </c>
      <c r="R6121">
        <v>-0.79261079999999995</v>
      </c>
      <c r="S6121">
        <v>2.7179869999999999</v>
      </c>
      <c r="T6121">
        <v>-0.19001879999999999</v>
      </c>
      <c r="U6121">
        <v>-1.7062379999999999</v>
      </c>
      <c r="V6121">
        <v>1.3688479999999999E-2</v>
      </c>
      <c r="W6121">
        <v>-2.7041360000000002E-3</v>
      </c>
      <c r="X6121">
        <v>0.99990270000000003</v>
      </c>
      <c r="Y6121">
        <v>-0.33303650000000001</v>
      </c>
      <c r="Z6121">
        <v>5.2669840000000002E-2</v>
      </c>
      <c r="AA6121">
        <v>0.94144170000000005</v>
      </c>
      <c r="AB6121">
        <v>21</v>
      </c>
      <c r="AC6121">
        <v>14.9248999999999</v>
      </c>
      <c r="AD6121">
        <v>-1.0524997</v>
      </c>
      <c r="AE6121">
        <v>-9.3056599999999907</v>
      </c>
      <c r="AF6121">
        <v>-5.9127685748863401</v>
      </c>
      <c r="AG6121">
        <v>-1.0524997</v>
      </c>
      <c r="AH6121">
        <v>16.497983162573501</v>
      </c>
      <c r="AI6121">
        <v>93.436782892503203</v>
      </c>
      <c r="AJ6121">
        <v>109.717345313492</v>
      </c>
      <c r="AK6121">
        <v>17.557107856114001</v>
      </c>
      <c r="AL6121">
        <v>90.154935761393403</v>
      </c>
      <c r="AM6121">
        <v>89.215680543237696</v>
      </c>
      <c r="AN6121">
        <v>1.0000000481517499</v>
      </c>
    </row>
    <row r="6122" spans="1:40" x14ac:dyDescent="0.25">
      <c r="A6122" t="str">
        <f>"20190312161438032"</f>
        <v>20190312161438032</v>
      </c>
      <c r="B6122" t="str">
        <f>"1552378478022290"</f>
        <v>1552378478022290</v>
      </c>
      <c r="C6122" t="s">
        <v>40</v>
      </c>
      <c r="D6122">
        <v>5.2587900000000003</v>
      </c>
      <c r="E6122">
        <v>0.35120240000000003</v>
      </c>
      <c r="F6122" t="s">
        <v>77</v>
      </c>
      <c r="G6122">
        <v>-280.09530000000001</v>
      </c>
      <c r="H6122">
        <v>7.9987290000000003E-2</v>
      </c>
      <c r="I6122">
        <v>-70.866569999999996</v>
      </c>
      <c r="J6122">
        <v>-296.23899999999998</v>
      </c>
      <c r="K6122">
        <v>1.1180159999999999</v>
      </c>
      <c r="L6122">
        <v>-61.243650000000002</v>
      </c>
      <c r="M6122">
        <v>0.63025620000000004</v>
      </c>
      <c r="N6122">
        <v>0</v>
      </c>
      <c r="O6122">
        <v>-0.77624079999999995</v>
      </c>
      <c r="P6122">
        <v>0.61900710000000003</v>
      </c>
      <c r="Q6122">
        <v>-1.7858369999999998E-2</v>
      </c>
      <c r="R6122">
        <v>-0.78518250000000001</v>
      </c>
      <c r="S6122">
        <v>2.7614749999999999</v>
      </c>
      <c r="T6122">
        <v>-0.1760544</v>
      </c>
      <c r="U6122">
        <v>-1.6575930000000001</v>
      </c>
      <c r="V6122">
        <v>1.441871E-2</v>
      </c>
      <c r="W6122">
        <v>-2.513716E-3</v>
      </c>
      <c r="X6122">
        <v>0.99989289999999997</v>
      </c>
      <c r="Y6122">
        <v>-0.33995789999999998</v>
      </c>
      <c r="Z6122">
        <v>4.8419129999999998E-2</v>
      </c>
      <c r="AA6122">
        <v>0.93919339999999996</v>
      </c>
      <c r="AB6122">
        <v>21</v>
      </c>
      <c r="AC6122">
        <v>16.143699999999999</v>
      </c>
      <c r="AD6122">
        <v>-1.0380287100000001</v>
      </c>
      <c r="AE6122">
        <v>-9.6229199999999899</v>
      </c>
      <c r="AF6122">
        <v>-6.4475603790917004</v>
      </c>
      <c r="AG6122">
        <v>-1.0380287100000001</v>
      </c>
      <c r="AH6122">
        <v>17.592709224355801</v>
      </c>
      <c r="AI6122">
        <v>93.170944695554795</v>
      </c>
      <c r="AJ6122">
        <v>110.12740431278699</v>
      </c>
      <c r="AK6122">
        <v>18.765712251272301</v>
      </c>
      <c r="AL6122">
        <v>90.144025467252206</v>
      </c>
      <c r="AM6122">
        <v>89.173837544772894</v>
      </c>
      <c r="AN6122">
        <v>1.0000000147182999</v>
      </c>
    </row>
    <row r="6123" spans="1:40" x14ac:dyDescent="0.25">
      <c r="A6123" t="str">
        <f>"20190312161438054"</f>
        <v>20190312161438054</v>
      </c>
      <c r="B6123" t="str">
        <f>"1552378478042787"</f>
        <v>1552378478042787</v>
      </c>
      <c r="C6123" t="s">
        <v>40</v>
      </c>
      <c r="D6123">
        <v>5.2907229999999998</v>
      </c>
      <c r="E6123">
        <v>0.3504873</v>
      </c>
      <c r="F6123" t="s">
        <v>42</v>
      </c>
      <c r="G6123">
        <v>-279.1748</v>
      </c>
      <c r="H6123">
        <v>7.9986950000000001E-2</v>
      </c>
      <c r="I6123">
        <v>-71.110939999999999</v>
      </c>
      <c r="J6123">
        <v>-296.09699999999998</v>
      </c>
      <c r="K6123">
        <v>1.1180369999999999</v>
      </c>
      <c r="L6123">
        <v>-61.394319999999901</v>
      </c>
      <c r="M6123">
        <v>0.64038709999999999</v>
      </c>
      <c r="N6123">
        <v>0</v>
      </c>
      <c r="O6123">
        <v>-0.76790400000000003</v>
      </c>
      <c r="P6123">
        <v>0.62856849999999997</v>
      </c>
      <c r="Q6123">
        <v>-1.7729040000000001E-2</v>
      </c>
      <c r="R6123">
        <v>-0.77755209999999997</v>
      </c>
      <c r="S6123">
        <v>2.7929689999999998</v>
      </c>
      <c r="T6123">
        <v>-0.16989870000000001</v>
      </c>
      <c r="U6123">
        <v>-1.61502099999999</v>
      </c>
      <c r="V6123">
        <v>1.5302400000000001E-2</v>
      </c>
      <c r="W6123">
        <v>-2.3510110000000001E-3</v>
      </c>
      <c r="X6123">
        <v>0.99988010000000005</v>
      </c>
      <c r="Y6123">
        <v>-0.34306199999999998</v>
      </c>
      <c r="Z6123">
        <v>4.6362529999999999E-2</v>
      </c>
      <c r="AA6123">
        <v>0.93816790000000005</v>
      </c>
      <c r="AB6123">
        <v>21</v>
      </c>
      <c r="AC6123">
        <v>16.922199999999901</v>
      </c>
      <c r="AD6123">
        <v>-1.0380500500000001</v>
      </c>
      <c r="AE6123">
        <v>-9.7166200000000007</v>
      </c>
      <c r="AF6123">
        <v>-6.7538857191926702</v>
      </c>
      <c r="AG6123">
        <v>-1.0380500500000001</v>
      </c>
      <c r="AH6123">
        <v>18.248632896185601</v>
      </c>
      <c r="AI6123">
        <v>93.053678579798699</v>
      </c>
      <c r="AJ6123">
        <v>110.309697342942</v>
      </c>
      <c r="AK6123">
        <v>19.486023781006899</v>
      </c>
      <c r="AL6123">
        <v>90.134703138372103</v>
      </c>
      <c r="AM6123">
        <v>89.123200377376705</v>
      </c>
      <c r="AN6123">
        <v>0.99999995253724405</v>
      </c>
    </row>
    <row r="6124" spans="1:40" x14ac:dyDescent="0.25">
      <c r="A6124" t="str">
        <f>"20190312161438076"</f>
        <v>20190312161438076</v>
      </c>
      <c r="B6124" t="str">
        <f>"1552378478073042"</f>
        <v>1552378478073042</v>
      </c>
      <c r="C6124" t="s">
        <v>40</v>
      </c>
      <c r="D6124">
        <v>5.262035</v>
      </c>
      <c r="E6124">
        <v>0.3504157</v>
      </c>
      <c r="F6124" t="s">
        <v>42</v>
      </c>
      <c r="G6124">
        <v>-278.52859999999998</v>
      </c>
      <c r="H6124">
        <v>7.9987150000000007E-2</v>
      </c>
      <c r="I6124">
        <v>-71.23057</v>
      </c>
      <c r="J6124">
        <v>-295.95179999999999</v>
      </c>
      <c r="K6124">
        <v>1.118052</v>
      </c>
      <c r="L6124">
        <v>-61.544429999999998</v>
      </c>
      <c r="M6124">
        <v>0.65056559999999997</v>
      </c>
      <c r="N6124">
        <v>0</v>
      </c>
      <c r="O6124">
        <v>-0.75929999999999997</v>
      </c>
      <c r="P6124">
        <v>0.63809309999999997</v>
      </c>
      <c r="Q6124">
        <v>-1.743051E-2</v>
      </c>
      <c r="R6124">
        <v>-0.7697619</v>
      </c>
      <c r="S6124">
        <v>2.8170470000000001</v>
      </c>
      <c r="T6124">
        <v>-0.16644779999999901</v>
      </c>
      <c r="U6124">
        <v>-1.5772090000000001</v>
      </c>
      <c r="V6124">
        <v>1.6319050000000002E-2</v>
      </c>
      <c r="W6124">
        <v>-2.0183470000000002E-3</v>
      </c>
      <c r="X6124">
        <v>0.9998648</v>
      </c>
      <c r="Y6124">
        <v>-0.343616799999999</v>
      </c>
      <c r="Z6124">
        <v>4.5051569999999999E-2</v>
      </c>
      <c r="AA6124">
        <v>0.93802870000000005</v>
      </c>
      <c r="AB6124">
        <v>21</v>
      </c>
      <c r="AC6124">
        <v>17.423200000000001</v>
      </c>
      <c r="AD6124">
        <v>-1.03806485</v>
      </c>
      <c r="AE6124">
        <v>-9.6861399999999893</v>
      </c>
      <c r="AF6124">
        <v>-6.9100183710534804</v>
      </c>
      <c r="AG6124">
        <v>-1.03806485</v>
      </c>
      <c r="AH6124">
        <v>18.641202472816001</v>
      </c>
      <c r="AI6124">
        <v>92.988965665236293</v>
      </c>
      <c r="AJ6124">
        <v>110.338999050506</v>
      </c>
      <c r="AK6124">
        <v>19.9077965167827</v>
      </c>
      <c r="AL6124">
        <v>90.115642843012694</v>
      </c>
      <c r="AM6124">
        <v>89.064943900444007</v>
      </c>
      <c r="AN6124">
        <v>1.00000000169827</v>
      </c>
    </row>
    <row r="6125" spans="1:40" x14ac:dyDescent="0.25">
      <c r="A6125" t="str">
        <f>"20190312161438099"</f>
        <v>20190312161438099</v>
      </c>
      <c r="B6125" t="str">
        <f>"1552378478092566"</f>
        <v>1552378478092566</v>
      </c>
      <c r="C6125" t="s">
        <v>40</v>
      </c>
      <c r="D6125">
        <v>5.279852</v>
      </c>
      <c r="E6125">
        <v>0.3508964</v>
      </c>
      <c r="F6125" t="s">
        <v>42</v>
      </c>
      <c r="G6125">
        <v>-278.09840000000003</v>
      </c>
      <c r="H6125">
        <v>7.9987279999999994E-2</v>
      </c>
      <c r="I6125">
        <v>-71.24915</v>
      </c>
      <c r="J6125">
        <v>-295.8032</v>
      </c>
      <c r="K6125">
        <v>1.1180589999999999</v>
      </c>
      <c r="L6125">
        <v>-61.693660000000001</v>
      </c>
      <c r="M6125">
        <v>0.66076559999999995</v>
      </c>
      <c r="N6125">
        <v>0</v>
      </c>
      <c r="O6125">
        <v>-0.75044</v>
      </c>
      <c r="P6125">
        <v>0.64800100000000005</v>
      </c>
      <c r="Q6125">
        <v>-1.7053789999999999E-2</v>
      </c>
      <c r="R6125">
        <v>-0.76144860000000003</v>
      </c>
      <c r="S6125">
        <v>2.836792</v>
      </c>
      <c r="T6125">
        <v>-0.16494239999999999</v>
      </c>
      <c r="U6125">
        <v>-1.5420229999999999</v>
      </c>
      <c r="V6125">
        <v>1.688841E-2</v>
      </c>
      <c r="W6125">
        <v>-1.6163760000000001E-3</v>
      </c>
      <c r="X6125">
        <v>0.99985610000000003</v>
      </c>
      <c r="Y6125">
        <v>-0.3426825</v>
      </c>
      <c r="Z6125">
        <v>4.4264039999999998E-2</v>
      </c>
      <c r="AA6125">
        <v>0.93840789999999996</v>
      </c>
      <c r="AB6125">
        <v>21</v>
      </c>
      <c r="AC6125">
        <v>17.704799999999899</v>
      </c>
      <c r="AD6125">
        <v>-1.03807172</v>
      </c>
      <c r="AE6125">
        <v>-9.5554900000000007</v>
      </c>
      <c r="AF6125">
        <v>-6.9547329590823104</v>
      </c>
      <c r="AG6125">
        <v>-1.03807172</v>
      </c>
      <c r="AH6125">
        <v>18.8215942970035</v>
      </c>
      <c r="AI6125">
        <v>92.961521730148903</v>
      </c>
      <c r="AJ6125">
        <v>110.279683484964</v>
      </c>
      <c r="AK6125">
        <v>20.092245153516501</v>
      </c>
      <c r="AL6125">
        <v>90.092611560836204</v>
      </c>
      <c r="AM6125">
        <v>89.032318141356697</v>
      </c>
      <c r="AN6125">
        <v>1.00000002588545</v>
      </c>
    </row>
    <row r="6126" spans="1:40" x14ac:dyDescent="0.25">
      <c r="A6126" t="str">
        <f>"20190312161438121"</f>
        <v>20190312161438121</v>
      </c>
      <c r="B6126" t="str">
        <f>"1552378478113058"</f>
        <v>1552378478113058</v>
      </c>
      <c r="C6126" t="s">
        <v>40</v>
      </c>
      <c r="D6126">
        <v>5.2622</v>
      </c>
      <c r="E6126">
        <v>0.3511107</v>
      </c>
      <c r="F6126" t="s">
        <v>42</v>
      </c>
      <c r="G6126">
        <v>-278.1345</v>
      </c>
      <c r="H6126">
        <v>7.9987249999999996E-2</v>
      </c>
      <c r="I6126">
        <v>-71.02722</v>
      </c>
      <c r="J6126">
        <v>-295.65800000000002</v>
      </c>
      <c r="K6126">
        <v>1.1180680000000001</v>
      </c>
      <c r="L6126">
        <v>-61.835720000000002</v>
      </c>
      <c r="M6126">
        <v>0.67054609999999903</v>
      </c>
      <c r="N6126">
        <v>0</v>
      </c>
      <c r="O6126">
        <v>-0.74171359999999997</v>
      </c>
      <c r="P6126">
        <v>0.657645699999999</v>
      </c>
      <c r="Q6126">
        <v>-1.7127050000000001E-2</v>
      </c>
      <c r="R6126">
        <v>-0.75313289999999999</v>
      </c>
      <c r="S6126">
        <v>2.8537599999999999</v>
      </c>
      <c r="T6126">
        <v>-0.16766389999999901</v>
      </c>
      <c r="U6126">
        <v>-1.5075069999999999</v>
      </c>
      <c r="V6126">
        <v>1.7261829999999999E-2</v>
      </c>
      <c r="W6126">
        <v>-1.6690260000000001E-3</v>
      </c>
      <c r="X6126">
        <v>0.99984960000000001</v>
      </c>
      <c r="Y6126">
        <v>-0.34151490000000001</v>
      </c>
      <c r="Z6126">
        <v>4.4626619999999999E-2</v>
      </c>
      <c r="AA6126">
        <v>0.93881630000000005</v>
      </c>
      <c r="AB6126">
        <v>21</v>
      </c>
      <c r="AC6126">
        <v>17.523499999999999</v>
      </c>
      <c r="AD6126">
        <v>-1.03808075</v>
      </c>
      <c r="AE6126">
        <v>-9.1914999999999996</v>
      </c>
      <c r="AF6126">
        <v>-6.8161171805048104</v>
      </c>
      <c r="AG6126">
        <v>-1.03808075</v>
      </c>
      <c r="AH6126">
        <v>18.518933889743298</v>
      </c>
      <c r="AI6126">
        <v>93.011271330022794</v>
      </c>
      <c r="AJ6126">
        <v>110.206747388262</v>
      </c>
      <c r="AK6126">
        <v>19.760768645844099</v>
      </c>
      <c r="AL6126">
        <v>90.095628191097404</v>
      </c>
      <c r="AM6126">
        <v>89.010919482616401</v>
      </c>
      <c r="AN6126">
        <v>0.99999998952144797</v>
      </c>
    </row>
    <row r="6127" spans="1:40" x14ac:dyDescent="0.25">
      <c r="A6127" t="str">
        <f>"20190312161438145"</f>
        <v>20190312161438145</v>
      </c>
      <c r="B6127" t="str">
        <f>"1552378478132579"</f>
        <v>1552378478132579</v>
      </c>
      <c r="C6127" t="s">
        <v>40</v>
      </c>
      <c r="D6127">
        <v>5.2900219999999996</v>
      </c>
      <c r="E6127">
        <v>0.35153299999999998</v>
      </c>
      <c r="F6127" t="s">
        <v>42</v>
      </c>
      <c r="G6127">
        <v>-278.00189999999998</v>
      </c>
      <c r="H6127">
        <v>7.9987269999999999E-2</v>
      </c>
      <c r="I6127">
        <v>-70.88794</v>
      </c>
      <c r="J6127">
        <v>-295.50409999999999</v>
      </c>
      <c r="K6127">
        <v>1.118079</v>
      </c>
      <c r="L6127">
        <v>-61.982239999999997</v>
      </c>
      <c r="M6127">
        <v>0.68070299999999995</v>
      </c>
      <c r="N6127">
        <v>0</v>
      </c>
      <c r="O6127">
        <v>-0.73240300000000003</v>
      </c>
      <c r="P6127">
        <v>0.66776820000000003</v>
      </c>
      <c r="Q6127">
        <v>-1.6601580000000001E-2</v>
      </c>
      <c r="R6127">
        <v>-0.74418459999999997</v>
      </c>
      <c r="S6127">
        <v>2.871429</v>
      </c>
      <c r="T6127">
        <v>-0.1688238</v>
      </c>
      <c r="U6127">
        <v>-1.4721679999999999</v>
      </c>
      <c r="V6127">
        <v>1.751948E-2</v>
      </c>
      <c r="W6127">
        <v>-1.125022E-3</v>
      </c>
      <c r="X6127">
        <v>0.99984589999999995</v>
      </c>
      <c r="Y6127">
        <v>-0.3400531</v>
      </c>
      <c r="Z6127">
        <v>4.4522369999999999E-2</v>
      </c>
      <c r="AA6127">
        <v>0.93935170000000001</v>
      </c>
      <c r="AB6127">
        <v>21</v>
      </c>
      <c r="AC6127">
        <v>17.502199999999998</v>
      </c>
      <c r="AD6127">
        <v>-1.0380917300000001</v>
      </c>
      <c r="AE6127">
        <v>-8.9056999999999906</v>
      </c>
      <c r="AF6127">
        <v>-6.7384716579227399</v>
      </c>
      <c r="AG6127">
        <v>-1.0380917300000001</v>
      </c>
      <c r="AH6127">
        <v>18.387094079816102</v>
      </c>
      <c r="AI6127">
        <v>93.034406618728994</v>
      </c>
      <c r="AJ6127">
        <v>110.126791142016</v>
      </c>
      <c r="AK6127">
        <v>19.6104529122744</v>
      </c>
      <c r="AL6127">
        <v>90.064459025360506</v>
      </c>
      <c r="AM6127">
        <v>88.996155755792401</v>
      </c>
      <c r="AN6127">
        <v>1.0000000108003899</v>
      </c>
    </row>
    <row r="6128" spans="1:40" x14ac:dyDescent="0.25">
      <c r="A6128" t="str">
        <f>"20190312161438167"</f>
        <v>20190312161438167</v>
      </c>
      <c r="B6128" t="str">
        <f>"1552378478162835"</f>
        <v>1552378478162835</v>
      </c>
      <c r="C6128" t="s">
        <v>40</v>
      </c>
      <c r="D6128">
        <v>8.0635139999999996</v>
      </c>
      <c r="E6128">
        <v>0.35226929999999901</v>
      </c>
      <c r="F6128" t="s">
        <v>42</v>
      </c>
      <c r="G6128">
        <v>-277.72309999999999</v>
      </c>
      <c r="H6128">
        <v>7.9987349999999999E-2</v>
      </c>
      <c r="I6128">
        <v>-70.816890000000001</v>
      </c>
      <c r="J6128">
        <v>-295.3535</v>
      </c>
      <c r="K6128">
        <v>1.1181030000000001</v>
      </c>
      <c r="L6128">
        <v>-62.121699999999997</v>
      </c>
      <c r="M6128">
        <v>0.6904399</v>
      </c>
      <c r="N6128">
        <v>0</v>
      </c>
      <c r="O6128">
        <v>-0.72323110000000002</v>
      </c>
      <c r="P6128">
        <v>0.67710819999999905</v>
      </c>
      <c r="Q6128">
        <v>-1.635553E-2</v>
      </c>
      <c r="R6128">
        <v>-0.73570190000000002</v>
      </c>
      <c r="S6128">
        <v>2.8888240000000001</v>
      </c>
      <c r="T6128">
        <v>-0.1686549</v>
      </c>
      <c r="U6128">
        <v>-1.435333</v>
      </c>
      <c r="V6128">
        <v>1.8273540000000001E-2</v>
      </c>
      <c r="W6128">
        <v>-8.5306070000000002E-4</v>
      </c>
      <c r="X6128">
        <v>0.99983270000000002</v>
      </c>
      <c r="Y6128">
        <v>-0.33934350000000002</v>
      </c>
      <c r="Z6128">
        <v>4.4089030000000001E-2</v>
      </c>
      <c r="AA6128">
        <v>0.93962869999999998</v>
      </c>
      <c r="AB6128">
        <v>21</v>
      </c>
      <c r="AC6128">
        <v>17.630400000000002</v>
      </c>
      <c r="AD6128">
        <v>-1.0381156499999999</v>
      </c>
      <c r="AE6128">
        <v>-8.6951900000000002</v>
      </c>
      <c r="AF6128">
        <v>-6.7293553205303702</v>
      </c>
      <c r="AG6128">
        <v>-1.0381156499999999</v>
      </c>
      <c r="AH6128">
        <v>18.412135261413901</v>
      </c>
      <c r="AI6128">
        <v>93.031327192926398</v>
      </c>
      <c r="AJ6128">
        <v>110.076589078349</v>
      </c>
      <c r="AK6128">
        <v>19.630808236476799</v>
      </c>
      <c r="AL6128">
        <v>90.048876781801098</v>
      </c>
      <c r="AM6128">
        <v>88.952944663028205</v>
      </c>
      <c r="AN6128">
        <v>1.00000003898298</v>
      </c>
    </row>
    <row r="6129" spans="1:40" x14ac:dyDescent="0.25">
      <c r="A6129" t="str">
        <f>"20190312161438190"</f>
        <v>20190312161438190</v>
      </c>
      <c r="B6129" t="str">
        <f>"1552378478182354"</f>
        <v>1552378478182354</v>
      </c>
      <c r="C6129" t="s">
        <v>40</v>
      </c>
      <c r="D6129">
        <v>5.3132029999999997</v>
      </c>
      <c r="E6129">
        <v>0.3525837</v>
      </c>
      <c r="F6129" t="s">
        <v>42</v>
      </c>
      <c r="G6129">
        <v>-277.4717</v>
      </c>
      <c r="H6129">
        <v>7.9987420000000004E-2</v>
      </c>
      <c r="I6129">
        <v>-70.763359999999906</v>
      </c>
      <c r="J6129">
        <v>-295.20100000000002</v>
      </c>
      <c r="K6129">
        <v>1.11812</v>
      </c>
      <c r="L6129">
        <v>-62.258850000000002</v>
      </c>
      <c r="M6129">
        <v>0.70008119999999996</v>
      </c>
      <c r="N6129">
        <v>0</v>
      </c>
      <c r="O6129">
        <v>-0.71390220000000004</v>
      </c>
      <c r="P6129">
        <v>0.68661450000000002</v>
      </c>
      <c r="Q6129">
        <v>-1.5641410000000001E-2</v>
      </c>
      <c r="R6129">
        <v>-0.72685349999999904</v>
      </c>
      <c r="S6129">
        <v>2.9024960000000002</v>
      </c>
      <c r="T6129">
        <v>-0.16850290000000001</v>
      </c>
      <c r="U6129">
        <v>-1.402679</v>
      </c>
      <c r="V6129">
        <v>1.8688679999999999E-2</v>
      </c>
      <c r="W6129">
        <v>-1.208696E-4</v>
      </c>
      <c r="X6129">
        <v>0.99982539999999998</v>
      </c>
      <c r="Y6129">
        <v>-0.33703430000000001</v>
      </c>
      <c r="Z6129">
        <v>4.3632919999999999E-2</v>
      </c>
      <c r="AA6129">
        <v>0.94048080000000001</v>
      </c>
      <c r="AB6129">
        <v>21</v>
      </c>
      <c r="AC6129">
        <v>17.729299999999899</v>
      </c>
      <c r="AD6129">
        <v>-1.0381325800000001</v>
      </c>
      <c r="AE6129">
        <v>-8.5045099999999891</v>
      </c>
      <c r="AF6129">
        <v>-6.6852757684148703</v>
      </c>
      <c r="AG6129">
        <v>-1.0381325800000001</v>
      </c>
      <c r="AH6129">
        <v>18.434082472388699</v>
      </c>
      <c r="AI6129">
        <v>93.030521201635906</v>
      </c>
      <c r="AJ6129">
        <v>109.933604327731</v>
      </c>
      <c r="AK6129">
        <v>19.636344566956499</v>
      </c>
      <c r="AL6129">
        <v>90.006925317580993</v>
      </c>
      <c r="AM6129">
        <v>88.929155222149006</v>
      </c>
      <c r="AN6129">
        <v>1.0000000559273701</v>
      </c>
    </row>
    <row r="6130" spans="1:40" x14ac:dyDescent="0.25">
      <c r="A6130" t="str">
        <f>"20190312161438211"</f>
        <v>20190312161438211</v>
      </c>
      <c r="B6130" t="str">
        <f>"1552378478202850"</f>
        <v>1552378478202850</v>
      </c>
      <c r="C6130" t="s">
        <v>40</v>
      </c>
      <c r="D6130">
        <v>5.2953140000000003</v>
      </c>
      <c r="E6130">
        <v>0.3530587</v>
      </c>
      <c r="F6130" t="s">
        <v>42</v>
      </c>
      <c r="G6130">
        <v>-276.77319999999997</v>
      </c>
      <c r="H6130">
        <v>7.9987649999999993E-2</v>
      </c>
      <c r="I6130">
        <v>-70.888660000000002</v>
      </c>
      <c r="J6130">
        <v>-295.0471</v>
      </c>
      <c r="K6130">
        <v>1.11812</v>
      </c>
      <c r="L6130">
        <v>-62.393459999999997</v>
      </c>
      <c r="M6130">
        <v>0.70961339999999995</v>
      </c>
      <c r="N6130">
        <v>0</v>
      </c>
      <c r="O6130">
        <v>-0.70442769999999899</v>
      </c>
      <c r="P6130">
        <v>0.69596519999999995</v>
      </c>
      <c r="Q6130">
        <v>-1.529089E-2</v>
      </c>
      <c r="R6130">
        <v>-0.71791260000000001</v>
      </c>
      <c r="S6130">
        <v>2.9186100000000001</v>
      </c>
      <c r="T6130">
        <v>-0.1644195</v>
      </c>
      <c r="U6130">
        <v>-1.3667910000000001</v>
      </c>
      <c r="V6130">
        <v>1.918431E-2</v>
      </c>
      <c r="W6130">
        <v>2.4730359999999997E-4</v>
      </c>
      <c r="X6130">
        <v>0.99981589999999998</v>
      </c>
      <c r="Y6130">
        <v>-0.33592430000000001</v>
      </c>
      <c r="Z6130">
        <v>4.216868E-2</v>
      </c>
      <c r="AA6130">
        <v>0.94094460000000002</v>
      </c>
      <c r="AB6130">
        <v>21</v>
      </c>
      <c r="AC6130">
        <v>18.273900000000001</v>
      </c>
      <c r="AD6130">
        <v>-1.0381323499999999</v>
      </c>
      <c r="AE6130">
        <v>-8.4952000000000005</v>
      </c>
      <c r="AF6130">
        <v>-6.8270048129849901</v>
      </c>
      <c r="AG6130">
        <v>-1.0381323499999999</v>
      </c>
      <c r="AH6130">
        <v>18.903675882616501</v>
      </c>
      <c r="AI6130">
        <v>92.956800603741499</v>
      </c>
      <c r="AJ6130">
        <v>109.857030683503</v>
      </c>
      <c r="AK6130">
        <v>20.125473295494199</v>
      </c>
      <c r="AL6130">
        <v>89.9858305468411</v>
      </c>
      <c r="AM6130">
        <v>88.900752499114901</v>
      </c>
      <c r="AN6130">
        <v>0.99999996640102695</v>
      </c>
    </row>
    <row r="6131" spans="1:40" x14ac:dyDescent="0.25">
      <c r="A6131" t="str">
        <f>"20190312161438234"</f>
        <v>20190312161438234</v>
      </c>
      <c r="B6131" t="str">
        <f>"1552378478222370"</f>
        <v>1552378478222370</v>
      </c>
      <c r="C6131" t="s">
        <v>40</v>
      </c>
      <c r="D6131">
        <v>5.3330289999999998</v>
      </c>
      <c r="E6131">
        <v>0.35359590000000002</v>
      </c>
      <c r="F6131" t="s">
        <v>42</v>
      </c>
      <c r="G6131">
        <v>-276.24290000000002</v>
      </c>
      <c r="H6131">
        <v>7.9987799999999998E-2</v>
      </c>
      <c r="I6131">
        <v>-70.929339999999996</v>
      </c>
      <c r="J6131">
        <v>-294.89190000000002</v>
      </c>
      <c r="K6131">
        <v>1.118109</v>
      </c>
      <c r="L6131">
        <v>-62.525480000000002</v>
      </c>
      <c r="M6131">
        <v>0.71900819999999999</v>
      </c>
      <c r="N6131">
        <v>0</v>
      </c>
      <c r="O6131">
        <v>-0.6948358</v>
      </c>
      <c r="P6131">
        <v>0.70508349999999997</v>
      </c>
      <c r="Q6131">
        <v>-1.542138E-2</v>
      </c>
      <c r="R6131">
        <v>-0.70895659999999905</v>
      </c>
      <c r="S6131">
        <v>2.933411</v>
      </c>
      <c r="T6131">
        <v>-0.161945799999999</v>
      </c>
      <c r="U6131">
        <v>-1.3315729999999999</v>
      </c>
      <c r="V6131">
        <v>1.983155E-2</v>
      </c>
      <c r="W6131">
        <v>1.3524699999999999E-4</v>
      </c>
      <c r="X6131">
        <v>0.99980329999999995</v>
      </c>
      <c r="Y6131">
        <v>-0.33447179999999999</v>
      </c>
      <c r="Z6131">
        <v>4.1123630000000001E-2</v>
      </c>
      <c r="AA6131">
        <v>0.94150809999999996</v>
      </c>
      <c r="AB6131">
        <v>21</v>
      </c>
      <c r="AC6131">
        <v>18.649000000000001</v>
      </c>
      <c r="AD6131">
        <v>-1.0381212</v>
      </c>
      <c r="AE6131">
        <v>-8.4038599999999892</v>
      </c>
      <c r="AF6131">
        <v>-6.8985768464163497</v>
      </c>
      <c r="AG6131">
        <v>-1.0381212</v>
      </c>
      <c r="AH6131">
        <v>19.200849175817101</v>
      </c>
      <c r="AI6131">
        <v>92.912811826683907</v>
      </c>
      <c r="AJ6131">
        <v>109.76260107170999</v>
      </c>
      <c r="AK6131">
        <v>20.428917426145599</v>
      </c>
      <c r="AL6131">
        <v>89.992250917480604</v>
      </c>
      <c r="AM6131">
        <v>88.863661350014894</v>
      </c>
      <c r="AN6131">
        <v>0.99999997367902105</v>
      </c>
    </row>
    <row r="6132" spans="1:40" x14ac:dyDescent="0.25">
      <c r="A6132" t="str">
        <f>"20190312161438255"</f>
        <v>20190312161438255</v>
      </c>
      <c r="B6132" t="str">
        <f>"1552378478252627"</f>
        <v>1552378478252627</v>
      </c>
      <c r="C6132" t="s">
        <v>40</v>
      </c>
      <c r="D6132">
        <v>5.3474320000000004</v>
      </c>
      <c r="E6132">
        <v>0.35258659999999997</v>
      </c>
      <c r="F6132" t="s">
        <v>42</v>
      </c>
      <c r="G6132">
        <v>-275.8297</v>
      </c>
      <c r="H6132">
        <v>7.9987920000000004E-2</v>
      </c>
      <c r="I6132">
        <v>-70.914379999999994</v>
      </c>
      <c r="J6132">
        <v>-294.73759999999999</v>
      </c>
      <c r="K6132">
        <v>1.11809</v>
      </c>
      <c r="L6132">
        <v>-62.653109999999998</v>
      </c>
      <c r="M6132">
        <v>0.72813479999999997</v>
      </c>
      <c r="N6132">
        <v>0</v>
      </c>
      <c r="O6132">
        <v>-0.68526560000000003</v>
      </c>
      <c r="P6132">
        <v>0.71383339999999995</v>
      </c>
      <c r="Q6132">
        <v>-1.5417490000000001E-2</v>
      </c>
      <c r="R6132">
        <v>-0.70014549999999998</v>
      </c>
      <c r="S6132">
        <v>2.947174</v>
      </c>
      <c r="T6132">
        <v>-0.1605027</v>
      </c>
      <c r="U6132">
        <v>-1.296997</v>
      </c>
      <c r="V6132">
        <v>2.063794E-2</v>
      </c>
      <c r="W6132">
        <v>1.5813510000000001E-4</v>
      </c>
      <c r="X6132">
        <v>0.99978699999999998</v>
      </c>
      <c r="Y6132">
        <v>-0.33290879999999901</v>
      </c>
      <c r="Z6132">
        <v>4.0348269999999999E-2</v>
      </c>
      <c r="AA6132">
        <v>0.94209540000000003</v>
      </c>
      <c r="AB6132">
        <v>21</v>
      </c>
      <c r="AC6132">
        <v>18.907899999999898</v>
      </c>
      <c r="AD6132">
        <v>-1.03810208</v>
      </c>
      <c r="AE6132">
        <v>-8.2612700000000103</v>
      </c>
      <c r="AF6132">
        <v>-6.9248884193664502</v>
      </c>
      <c r="AG6132">
        <v>-1.03810208</v>
      </c>
      <c r="AH6132">
        <v>19.381847913576699</v>
      </c>
      <c r="AI6132">
        <v>92.887431318431496</v>
      </c>
      <c r="AJ6132">
        <v>109.66116430392999</v>
      </c>
      <c r="AK6132">
        <v>20.607953903631302</v>
      </c>
      <c r="AL6132">
        <v>89.990939526116406</v>
      </c>
      <c r="AM6132">
        <v>88.817449166003797</v>
      </c>
      <c r="AN6132">
        <v>0.99999999747157597</v>
      </c>
    </row>
    <row r="6133" spans="1:40" x14ac:dyDescent="0.25">
      <c r="A6133" t="str">
        <f>"20190312161438278"</f>
        <v>20190312161438278</v>
      </c>
      <c r="B6133" t="str">
        <f>"1552378478273122"</f>
        <v>1552378478273122</v>
      </c>
      <c r="C6133" t="s">
        <v>40</v>
      </c>
      <c r="D6133">
        <v>5.5110049999999999</v>
      </c>
      <c r="E6133">
        <v>0.29537760000000002</v>
      </c>
      <c r="F6133" t="s">
        <v>42</v>
      </c>
      <c r="G6133">
        <v>-275.10840000000002</v>
      </c>
      <c r="H6133">
        <v>7.9988139999999999E-2</v>
      </c>
      <c r="I6133">
        <v>-70.948589999999996</v>
      </c>
      <c r="J6133">
        <v>-294.5779</v>
      </c>
      <c r="K6133">
        <v>1.118072</v>
      </c>
      <c r="L6133">
        <v>-62.781709999999997</v>
      </c>
      <c r="M6133">
        <v>0.73736979999999996</v>
      </c>
      <c r="N6133">
        <v>0</v>
      </c>
      <c r="O6133">
        <v>-0.67531850000000004</v>
      </c>
      <c r="P6133">
        <v>0.72272709999999996</v>
      </c>
      <c r="Q6133">
        <v>-1.5130559999999999E-2</v>
      </c>
      <c r="R6133">
        <v>-0.69096780000000002</v>
      </c>
      <c r="S6133">
        <v>2.9687190000000001</v>
      </c>
      <c r="T6133">
        <v>-0.15700229999999901</v>
      </c>
      <c r="U6133">
        <v>-1.2546079999999999</v>
      </c>
      <c r="V6133">
        <v>2.1425509999999998E-2</v>
      </c>
      <c r="W6133">
        <v>4.6188039999999999E-4</v>
      </c>
      <c r="X6133">
        <v>0.9997703</v>
      </c>
      <c r="Y6133">
        <v>-0.3340457</v>
      </c>
      <c r="Z6133">
        <v>3.9048520000000003E-2</v>
      </c>
      <c r="AA6133">
        <v>0.94174769999999997</v>
      </c>
      <c r="AB6133">
        <v>21</v>
      </c>
      <c r="AC6133">
        <v>19.469499999999901</v>
      </c>
      <c r="AD6133">
        <v>-1.03808386</v>
      </c>
      <c r="AE6133">
        <v>-8.1668799999999901</v>
      </c>
      <c r="AF6133">
        <v>-7.1097372996937001</v>
      </c>
      <c r="AG6133">
        <v>-1.03808386</v>
      </c>
      <c r="AH6133">
        <v>19.825830342896101</v>
      </c>
      <c r="AI6133">
        <v>92.821643740261294</v>
      </c>
      <c r="AJ6133">
        <v>109.72833178304499</v>
      </c>
      <c r="AK6133">
        <v>21.087663013154199</v>
      </c>
      <c r="AL6133">
        <v>89.973536200421805</v>
      </c>
      <c r="AM6133">
        <v>88.772314581242895</v>
      </c>
      <c r="AN6133">
        <v>0.999999959287176</v>
      </c>
    </row>
    <row r="6134" spans="1:40" x14ac:dyDescent="0.25">
      <c r="A6134" t="str">
        <f>"20190312161438291"</f>
        <v>20190312161438291</v>
      </c>
      <c r="B6134" t="str">
        <f>"1552378478282882"</f>
        <v>1552378478282882</v>
      </c>
      <c r="C6134" t="s">
        <v>40</v>
      </c>
      <c r="D6134">
        <v>5.5099269999999896</v>
      </c>
      <c r="E6134">
        <v>0.2940893</v>
      </c>
      <c r="F6134" t="s">
        <v>62</v>
      </c>
      <c r="G6134">
        <v>-224.41249999999999</v>
      </c>
      <c r="H6134">
        <v>1.2343139999999999</v>
      </c>
      <c r="I6134">
        <v>-81.815569999999994</v>
      </c>
      <c r="J6134">
        <v>-294.48250000000002</v>
      </c>
      <c r="K6134">
        <v>1.1180589999999999</v>
      </c>
      <c r="L6134">
        <v>-62.856990000000003</v>
      </c>
      <c r="M6134">
        <v>0.74278379999999999</v>
      </c>
      <c r="N6134">
        <v>0</v>
      </c>
      <c r="O6134">
        <v>-0.66935900000000004</v>
      </c>
      <c r="P6134">
        <v>0.72782619999999998</v>
      </c>
      <c r="Q6134">
        <v>-1.5018699999999999E-2</v>
      </c>
      <c r="R6134">
        <v>-0.68559740000000002</v>
      </c>
      <c r="S6134">
        <v>3.2962039999999999</v>
      </c>
      <c r="T6134">
        <v>5.460978E-3</v>
      </c>
      <c r="U6134">
        <v>-0.89416499999999999</v>
      </c>
      <c r="V6134">
        <v>2.206907E-2</v>
      </c>
      <c r="W6134">
        <v>5.8633480000000004E-4</v>
      </c>
      <c r="X6134">
        <v>0.99975630000000004</v>
      </c>
      <c r="Y6134">
        <v>-0.45159480000000002</v>
      </c>
      <c r="Z6134">
        <v>-1.353883E-3</v>
      </c>
      <c r="AA6134">
        <v>0.89222209999999902</v>
      </c>
      <c r="AB6134">
        <v>21</v>
      </c>
      <c r="AC6134">
        <v>70.069999999999993</v>
      </c>
      <c r="AD6134">
        <v>0.116255</v>
      </c>
      <c r="AE6134">
        <v>-18.958579999999898</v>
      </c>
      <c r="AF6134">
        <v>-32.823562183002998</v>
      </c>
      <c r="AG6134">
        <v>0.116255</v>
      </c>
      <c r="AH6134">
        <v>64.744261451412697</v>
      </c>
      <c r="AI6134">
        <v>89.908238325908997</v>
      </c>
      <c r="AJ6134">
        <v>116.883756348845</v>
      </c>
      <c r="AK6134">
        <v>72.589387244247803</v>
      </c>
      <c r="AL6134">
        <v>89.966405489443403</v>
      </c>
      <c r="AM6134">
        <v>88.735432579436505</v>
      </c>
      <c r="AN6134">
        <v>1.00000002351442</v>
      </c>
    </row>
    <row r="6135" spans="1:40" x14ac:dyDescent="0.25">
      <c r="A6135" t="str">
        <f>"20190312161438311"</f>
        <v>20190312161438311</v>
      </c>
      <c r="B6135" t="str">
        <f>"1552378478302403"</f>
        <v>1552378478302403</v>
      </c>
      <c r="C6135" t="s">
        <v>40</v>
      </c>
      <c r="D6135">
        <v>5.3540570000000001</v>
      </c>
      <c r="E6135">
        <v>0.29405130000000002</v>
      </c>
      <c r="F6135" t="s">
        <v>62</v>
      </c>
      <c r="G6135">
        <v>-221.69460000000001</v>
      </c>
      <c r="H6135">
        <v>1.174242</v>
      </c>
      <c r="I6135">
        <v>-81.815550000000002</v>
      </c>
      <c r="J6135">
        <v>-294.33530000000002</v>
      </c>
      <c r="K6135">
        <v>1.118044</v>
      </c>
      <c r="L6135">
        <v>-62.970489999999998</v>
      </c>
      <c r="M6135">
        <v>0.75098500000000001</v>
      </c>
      <c r="N6135">
        <v>0</v>
      </c>
      <c r="O6135">
        <v>-0.66014459999999997</v>
      </c>
      <c r="P6135">
        <v>0.73591470000000003</v>
      </c>
      <c r="Q6135">
        <v>-1.5078039999999999E-2</v>
      </c>
      <c r="R6135">
        <v>-0.67690660000000002</v>
      </c>
      <c r="S6135">
        <v>3.3098450000000001</v>
      </c>
      <c r="T6135">
        <v>2.5548929999999999E-3</v>
      </c>
      <c r="U6135">
        <v>-0.8620911</v>
      </c>
      <c r="V6135">
        <v>2.2533149999999998E-2</v>
      </c>
      <c r="W6135">
        <v>5.357901E-4</v>
      </c>
      <c r="X6135">
        <v>0.99974600000000002</v>
      </c>
      <c r="Y6135">
        <v>-0.4495942</v>
      </c>
      <c r="Z6135">
        <v>-6.2640739999999997E-4</v>
      </c>
      <c r="AA6135">
        <v>0.89323269999999899</v>
      </c>
      <c r="AB6135">
        <v>21</v>
      </c>
      <c r="AC6135">
        <v>72.640699999999995</v>
      </c>
      <c r="AD6135">
        <v>5.6197999999999901E-2</v>
      </c>
      <c r="AE6135">
        <v>-18.84506</v>
      </c>
      <c r="AF6135">
        <v>-33.804888057656399</v>
      </c>
      <c r="AG6135">
        <v>5.6197999999999901E-2</v>
      </c>
      <c r="AH6135">
        <v>67.000229924066801</v>
      </c>
      <c r="AI6135">
        <v>89.957093829854301</v>
      </c>
      <c r="AJ6135">
        <v>116.77317488116201</v>
      </c>
      <c r="AK6135">
        <v>75.045349120939605</v>
      </c>
      <c r="AL6135">
        <v>89.969301488545796</v>
      </c>
      <c r="AM6135">
        <v>88.7088362025723</v>
      </c>
      <c r="AN6135">
        <v>1.00000004721797</v>
      </c>
    </row>
    <row r="6136" spans="1:40" x14ac:dyDescent="0.25">
      <c r="A6136" t="str">
        <f>"20190312161438323"</f>
        <v>20190312161438323</v>
      </c>
      <c r="B6136" t="str">
        <f>"1552378478313138"</f>
        <v>1552378478313138</v>
      </c>
      <c r="C6136" t="s">
        <v>40</v>
      </c>
      <c r="D6136">
        <v>5.3625489999999996</v>
      </c>
      <c r="E6136">
        <v>0.2948558</v>
      </c>
      <c r="F6136" t="s">
        <v>62</v>
      </c>
      <c r="G6136">
        <v>-218.2894</v>
      </c>
      <c r="H6136">
        <v>1.2823020000000001</v>
      </c>
      <c r="I6136">
        <v>-81.81559</v>
      </c>
      <c r="J6136">
        <v>-294.24290000000002</v>
      </c>
      <c r="K6136">
        <v>1.1180289999999999</v>
      </c>
      <c r="L6136">
        <v>-63.040219999999998</v>
      </c>
      <c r="M6136">
        <v>0.75603589999999998</v>
      </c>
      <c r="N6136">
        <v>0</v>
      </c>
      <c r="O6136">
        <v>-0.65435379999999999</v>
      </c>
      <c r="P6136">
        <v>0.74072780000000005</v>
      </c>
      <c r="Q6136">
        <v>-1.4989509999999999E-2</v>
      </c>
      <c r="R6136">
        <v>-0.67163809999999902</v>
      </c>
      <c r="S6136">
        <v>3.3199459999999998</v>
      </c>
      <c r="T6136">
        <v>7.1712729999999997E-3</v>
      </c>
      <c r="U6136">
        <v>-0.82272339999999999</v>
      </c>
      <c r="V6136">
        <v>2.3079300000000001E-2</v>
      </c>
      <c r="W6136">
        <v>6.3449540000000003E-4</v>
      </c>
      <c r="X6136">
        <v>0.99973339999999999</v>
      </c>
      <c r="Y6136">
        <v>-0.45333790000000002</v>
      </c>
      <c r="Z6136">
        <v>-1.7520859999999999E-3</v>
      </c>
      <c r="AA6136">
        <v>0.89133700000000005</v>
      </c>
      <c r="AB6136">
        <v>21</v>
      </c>
      <c r="AC6136">
        <v>75.953500000000005</v>
      </c>
      <c r="AD6136">
        <v>0.164272999999999</v>
      </c>
      <c r="AE6136">
        <v>-18.775369999999999</v>
      </c>
      <c r="AF6136">
        <v>-35.509549506419603</v>
      </c>
      <c r="AG6136">
        <v>0.164272999999999</v>
      </c>
      <c r="AH6136">
        <v>69.717046723580196</v>
      </c>
      <c r="AI6136">
        <v>89.879700730347693</v>
      </c>
      <c r="AJ6136">
        <v>116.991478351968</v>
      </c>
      <c r="AK6136">
        <v>78.239514924526802</v>
      </c>
      <c r="AL6136">
        <v>89.963646087706906</v>
      </c>
      <c r="AM6136">
        <v>88.677535781493702</v>
      </c>
      <c r="AN6136">
        <v>0.99999996387422996</v>
      </c>
    </row>
    <row r="6137" spans="1:40" x14ac:dyDescent="0.25">
      <c r="A6137" t="str">
        <f>"20190312161438336"</f>
        <v>20190312161438336</v>
      </c>
      <c r="B6137" t="str">
        <f>"1552378478332658"</f>
        <v>1552378478332658</v>
      </c>
      <c r="C6137" t="s">
        <v>40</v>
      </c>
      <c r="D6137">
        <v>5.3999730000000001</v>
      </c>
      <c r="E6137">
        <v>0.2953365</v>
      </c>
      <c r="F6137" t="s">
        <v>62</v>
      </c>
      <c r="G6137">
        <v>-216.66149999999999</v>
      </c>
      <c r="H6137">
        <v>1.2807249999999999</v>
      </c>
      <c r="I6137">
        <v>-81.81559</v>
      </c>
      <c r="J6137">
        <v>-294.15309999999999</v>
      </c>
      <c r="K6137">
        <v>1.118017</v>
      </c>
      <c r="L6137">
        <v>-63.106810000000003</v>
      </c>
      <c r="M6137">
        <v>0.76087329999999997</v>
      </c>
      <c r="N6137">
        <v>0</v>
      </c>
      <c r="O6137">
        <v>-0.64872240000000003</v>
      </c>
      <c r="P6137">
        <v>0.74571350000000003</v>
      </c>
      <c r="Q6137">
        <v>-1.4894930000000001E-2</v>
      </c>
      <c r="R6137">
        <v>-0.66610029999999998</v>
      </c>
      <c r="S6137">
        <v>3.3213810000000001</v>
      </c>
      <c r="T6137">
        <v>6.9653989999999997E-3</v>
      </c>
      <c r="U6137">
        <v>-0.80380249999999998</v>
      </c>
      <c r="V6137">
        <v>2.3049969999999999E-2</v>
      </c>
      <c r="W6137">
        <v>7.2747860000000003E-4</v>
      </c>
      <c r="X6137">
        <v>0.99973400000000001</v>
      </c>
      <c r="Y6137">
        <v>-0.45159959999999999</v>
      </c>
      <c r="Z6137">
        <v>-1.6926210000000001E-3</v>
      </c>
      <c r="AA6137">
        <v>0.89221909999999904</v>
      </c>
      <c r="AB6137">
        <v>21</v>
      </c>
      <c r="AC6137">
        <v>77.491600000000005</v>
      </c>
      <c r="AD6137">
        <v>0.16270799999999899</v>
      </c>
      <c r="AE6137">
        <v>-18.708780000000001</v>
      </c>
      <c r="AF6137">
        <v>-36.039539488252601</v>
      </c>
      <c r="AG6137">
        <v>0.16270799999999899</v>
      </c>
      <c r="AH6137">
        <v>71.106013568947901</v>
      </c>
      <c r="AI6137">
        <v>89.883056493483707</v>
      </c>
      <c r="AJ6137">
        <v>116.877822550134</v>
      </c>
      <c r="AK6137">
        <v>79.717877832303003</v>
      </c>
      <c r="AL6137">
        <v>89.958318540796199</v>
      </c>
      <c r="AM6137">
        <v>88.679216613024593</v>
      </c>
      <c r="AN6137">
        <v>0.99999995054905599</v>
      </c>
    </row>
    <row r="6138" spans="1:40" x14ac:dyDescent="0.25">
      <c r="A6138" t="str">
        <f>"20190312161438349"</f>
        <v>20190312161438349</v>
      </c>
      <c r="B6138" t="str">
        <f>"1552378478342418"</f>
        <v>1552378478342418</v>
      </c>
      <c r="C6138" t="s">
        <v>40</v>
      </c>
      <c r="D6138">
        <v>5.4024419999999997</v>
      </c>
      <c r="E6138">
        <v>0.29609629999999998</v>
      </c>
      <c r="F6138" t="s">
        <v>62</v>
      </c>
      <c r="G6138">
        <v>-214.6207</v>
      </c>
      <c r="H6138">
        <v>1.4231450000000001</v>
      </c>
      <c r="I6138">
        <v>-81.815640000000002</v>
      </c>
      <c r="J6138">
        <v>-294.0607</v>
      </c>
      <c r="K6138">
        <v>1.118004</v>
      </c>
      <c r="L6138">
        <v>-63.17465</v>
      </c>
      <c r="M6138">
        <v>0.76579350000000002</v>
      </c>
      <c r="N6138">
        <v>0</v>
      </c>
      <c r="O6138">
        <v>-0.64290700000000001</v>
      </c>
      <c r="P6138">
        <v>0.75043979999999999</v>
      </c>
      <c r="Q6138">
        <v>-1.5037740000000001E-2</v>
      </c>
      <c r="R6138">
        <v>-0.66076809999999997</v>
      </c>
      <c r="S6138">
        <v>3.324646</v>
      </c>
      <c r="T6138">
        <v>1.2755270000000001E-2</v>
      </c>
      <c r="U6138">
        <v>-0.78207399999999905</v>
      </c>
      <c r="V6138">
        <v>2.3544570000000001E-2</v>
      </c>
      <c r="W6138">
        <v>5.9301069999999996E-4</v>
      </c>
      <c r="X6138">
        <v>0.99972260000000002</v>
      </c>
      <c r="Y6138">
        <v>-0.4505149</v>
      </c>
      <c r="Z6138">
        <v>-3.0820980000000001E-3</v>
      </c>
      <c r="AA6138">
        <v>0.89276359999999999</v>
      </c>
      <c r="AB6138">
        <v>21</v>
      </c>
      <c r="AC6138">
        <v>79.44</v>
      </c>
      <c r="AD6138">
        <v>0.305141</v>
      </c>
      <c r="AE6138">
        <v>-18.640989999999999</v>
      </c>
      <c r="AF6138">
        <v>-36.801117542732499</v>
      </c>
      <c r="AG6138">
        <v>0.305141</v>
      </c>
      <c r="AH6138">
        <v>72.826448750660305</v>
      </c>
      <c r="AI6138">
        <v>89.7857361892829</v>
      </c>
      <c r="AJ6138">
        <v>116.80866880814099</v>
      </c>
      <c r="AK6138">
        <v>81.597224223967601</v>
      </c>
      <c r="AL6138">
        <v>89.9660229872743</v>
      </c>
      <c r="AM6138">
        <v>88.650870587532296</v>
      </c>
      <c r="AN6138">
        <v>0.99999998769446696</v>
      </c>
    </row>
    <row r="6139" spans="1:40" x14ac:dyDescent="0.25">
      <c r="A6139" t="str">
        <f>"20190312161438361"</f>
        <v>20190312161438361</v>
      </c>
      <c r="B6139" t="str">
        <f>"1552378478353155"</f>
        <v>1552378478353155</v>
      </c>
      <c r="C6139" t="s">
        <v>40</v>
      </c>
      <c r="D6139">
        <v>5.5739910000000004</v>
      </c>
      <c r="E6139">
        <v>0.2972592</v>
      </c>
      <c r="F6139" t="s">
        <v>62</v>
      </c>
      <c r="G6139">
        <v>-212.78149999999999</v>
      </c>
      <c r="H6139">
        <v>1.3931720000000001</v>
      </c>
      <c r="I6139">
        <v>-81.815629999999999</v>
      </c>
      <c r="J6139">
        <v>-293.96080000000001</v>
      </c>
      <c r="K6139">
        <v>1.117985</v>
      </c>
      <c r="L6139">
        <v>-63.246369999999999</v>
      </c>
      <c r="M6139">
        <v>0.77102389999999998</v>
      </c>
      <c r="N6139">
        <v>0</v>
      </c>
      <c r="O6139">
        <v>-0.636625</v>
      </c>
      <c r="P6139">
        <v>0.75563130000000001</v>
      </c>
      <c r="Q6139">
        <v>-1.4898369999999999E-2</v>
      </c>
      <c r="R6139">
        <v>-0.65482769999999901</v>
      </c>
      <c r="S6139">
        <v>3.3262019999999999</v>
      </c>
      <c r="T6139">
        <v>1.1260869999999999E-2</v>
      </c>
      <c r="U6139">
        <v>-0.76284790000000002</v>
      </c>
      <c r="V6139">
        <v>2.382722E-2</v>
      </c>
      <c r="W6139">
        <v>7.3510800000000005E-4</v>
      </c>
      <c r="X6139">
        <v>0.99971580000000004</v>
      </c>
      <c r="Y6139">
        <v>-0.44820559999999998</v>
      </c>
      <c r="Z6139">
        <v>-2.7031640000000001E-3</v>
      </c>
      <c r="AA6139">
        <v>0.89392640000000001</v>
      </c>
      <c r="AB6139">
        <v>21</v>
      </c>
      <c r="AC6139">
        <v>81.179299999999998</v>
      </c>
      <c r="AD6139">
        <v>0.27518699999999902</v>
      </c>
      <c r="AE6139">
        <v>-18.56926</v>
      </c>
      <c r="AF6139">
        <v>-37.3673321975512</v>
      </c>
      <c r="AG6139">
        <v>0.27518699999999902</v>
      </c>
      <c r="AH6139">
        <v>74.420610025625805</v>
      </c>
      <c r="AI6139">
        <v>89.810663769602996</v>
      </c>
      <c r="AJ6139">
        <v>116.661684616465</v>
      </c>
      <c r="AK6139">
        <v>83.275569286756493</v>
      </c>
      <c r="AL6139">
        <v>89.957881409426705</v>
      </c>
      <c r="AM6139">
        <v>88.634671246634795</v>
      </c>
      <c r="AN6139">
        <v>0.99999997878316904</v>
      </c>
    </row>
    <row r="6140" spans="1:40" x14ac:dyDescent="0.25">
      <c r="A6140" t="str">
        <f>"20190312161438376"</f>
        <v>20190312161438376</v>
      </c>
      <c r="B6140" t="str">
        <f>"1552378478372675"</f>
        <v>1552378478372675</v>
      </c>
      <c r="C6140" t="s">
        <v>40</v>
      </c>
      <c r="D6140">
        <v>5.5065169999999997</v>
      </c>
      <c r="E6140">
        <v>0.29957590000000001</v>
      </c>
      <c r="F6140" t="s">
        <v>62</v>
      </c>
      <c r="G6140">
        <v>-210.86099999999999</v>
      </c>
      <c r="H6140">
        <v>1.2499849999999999</v>
      </c>
      <c r="I6140">
        <v>-81.815579999999997</v>
      </c>
      <c r="J6140">
        <v>-293.85700000000003</v>
      </c>
      <c r="K6140">
        <v>1.1179680000000001</v>
      </c>
      <c r="L6140">
        <v>-63.31955</v>
      </c>
      <c r="M6140">
        <v>0.77636830000000001</v>
      </c>
      <c r="N6140">
        <v>0</v>
      </c>
      <c r="O6140">
        <v>-0.63009649999999995</v>
      </c>
      <c r="P6140">
        <v>0.76093449999999996</v>
      </c>
      <c r="Q6140">
        <v>-1.5009679999999999E-2</v>
      </c>
      <c r="R6140">
        <v>-0.64865539999999999</v>
      </c>
      <c r="S6140">
        <v>3.3261720000000001</v>
      </c>
      <c r="T6140">
        <v>5.283594E-3</v>
      </c>
      <c r="U6140">
        <v>-0.74325559999999902</v>
      </c>
      <c r="V6140">
        <v>2.4128520000000001E-2</v>
      </c>
      <c r="W6140">
        <v>6.2686610000000005E-4</v>
      </c>
      <c r="X6140">
        <v>0.99970870000000001</v>
      </c>
      <c r="Y6140">
        <v>-0.44567190000000001</v>
      </c>
      <c r="Z6140">
        <v>-1.259987E-3</v>
      </c>
      <c r="AA6140">
        <v>0.89519550000000003</v>
      </c>
      <c r="AB6140">
        <v>21</v>
      </c>
      <c r="AC6140">
        <v>82.995999999999995</v>
      </c>
      <c r="AD6140">
        <v>0.132017</v>
      </c>
      <c r="AE6140">
        <v>-18.496030000000001</v>
      </c>
      <c r="AF6140">
        <v>-37.940042247514</v>
      </c>
      <c r="AG6140">
        <v>0.132017</v>
      </c>
      <c r="AH6140">
        <v>76.098340843721502</v>
      </c>
      <c r="AI6140">
        <v>89.911044899996199</v>
      </c>
      <c r="AJ6140">
        <v>116.499281861814</v>
      </c>
      <c r="AK6140">
        <v>85.031886450899407</v>
      </c>
      <c r="AL6140">
        <v>89.964083216934498</v>
      </c>
      <c r="AM6140">
        <v>88.617403233420404</v>
      </c>
      <c r="AN6140">
        <v>1.0000000316470901</v>
      </c>
    </row>
    <row r="6141" spans="1:40" x14ac:dyDescent="0.25">
      <c r="A6141" t="str">
        <f>"20190312161438390"</f>
        <v>20190312161438390</v>
      </c>
      <c r="B6141" t="str">
        <f>"1552378478382434"</f>
        <v>1552378478382434</v>
      </c>
      <c r="C6141" t="s">
        <v>40</v>
      </c>
      <c r="D6141">
        <v>5.6065829999999997</v>
      </c>
      <c r="E6141">
        <v>0.30049540000000002</v>
      </c>
      <c r="F6141" t="s">
        <v>62</v>
      </c>
      <c r="G6141">
        <v>-209.7064</v>
      </c>
      <c r="H6141">
        <v>1.01169</v>
      </c>
      <c r="I6141">
        <v>-81.8155</v>
      </c>
      <c r="J6141">
        <v>-293.75729999999999</v>
      </c>
      <c r="K6141">
        <v>1.1179619999999999</v>
      </c>
      <c r="L6141">
        <v>-63.389040000000001</v>
      </c>
      <c r="M6141">
        <v>0.78143439999999997</v>
      </c>
      <c r="N6141">
        <v>0</v>
      </c>
      <c r="O6141">
        <v>-0.62380239999999998</v>
      </c>
      <c r="P6141">
        <v>0.76583559999999995</v>
      </c>
      <c r="Q6141">
        <v>-1.498931E-2</v>
      </c>
      <c r="R6141">
        <v>-0.64286180000000004</v>
      </c>
      <c r="S6141">
        <v>3.3203429999999998</v>
      </c>
      <c r="T6141">
        <v>-4.1933059999999999E-3</v>
      </c>
      <c r="U6141">
        <v>-0.72979740000000004</v>
      </c>
      <c r="V6141">
        <v>2.461901E-2</v>
      </c>
      <c r="W6141">
        <v>6.5356889999999997E-4</v>
      </c>
      <c r="X6141">
        <v>0.99969669999999999</v>
      </c>
      <c r="Y6141">
        <v>-0.4415578</v>
      </c>
      <c r="Z6141">
        <v>9.9388660000000002E-4</v>
      </c>
      <c r="AA6141">
        <v>0.89723220000000004</v>
      </c>
      <c r="AB6141">
        <v>21</v>
      </c>
      <c r="AC6141">
        <v>84.050899999999899</v>
      </c>
      <c r="AD6141">
        <v>-0.10627200000000001</v>
      </c>
      <c r="AE6141">
        <v>-18.426459999999999</v>
      </c>
      <c r="AF6141">
        <v>-38.036415913601701</v>
      </c>
      <c r="AG6141">
        <v>-0.10627200000000001</v>
      </c>
      <c r="AH6141">
        <v>77.183526065895705</v>
      </c>
      <c r="AI6141">
        <v>90.070762983552299</v>
      </c>
      <c r="AJ6141">
        <v>116.23430149795099</v>
      </c>
      <c r="AK6141">
        <v>86.046946054205094</v>
      </c>
      <c r="AL6141">
        <v>89.962553258020094</v>
      </c>
      <c r="AM6141">
        <v>88.589291811827096</v>
      </c>
      <c r="AN6141">
        <v>1.00000000739828</v>
      </c>
    </row>
    <row r="6142" spans="1:40" x14ac:dyDescent="0.25">
      <c r="A6142" t="str">
        <f>"20190312161438403"</f>
        <v>20190312161438403</v>
      </c>
      <c r="B6142" t="str">
        <f>"1552378478393171"</f>
        <v>1552378478393171</v>
      </c>
      <c r="C6142" t="s">
        <v>40</v>
      </c>
      <c r="D6142">
        <v>5.465846</v>
      </c>
      <c r="E6142">
        <v>0.3015272</v>
      </c>
      <c r="F6142" t="s">
        <v>62</v>
      </c>
      <c r="G6142">
        <v>-207.56819999999999</v>
      </c>
      <c r="H6142">
        <v>0.91600510000000002</v>
      </c>
      <c r="I6142">
        <v>-81.815469999999905</v>
      </c>
      <c r="J6142">
        <v>-293.64999999999998</v>
      </c>
      <c r="K6142">
        <v>1.117945</v>
      </c>
      <c r="L6142">
        <v>-63.4621</v>
      </c>
      <c r="M6142">
        <v>0.78678970000000004</v>
      </c>
      <c r="N6142">
        <v>0</v>
      </c>
      <c r="O6142">
        <v>-0.61703419999999998</v>
      </c>
      <c r="P6142">
        <v>0.77124079999999995</v>
      </c>
      <c r="Q6142">
        <v>-1.514016E-2</v>
      </c>
      <c r="R6142">
        <v>-0.63636340000000002</v>
      </c>
      <c r="S6142">
        <v>3.3211059999999999</v>
      </c>
      <c r="T6142">
        <v>-7.7817440000000002E-3</v>
      </c>
      <c r="U6142">
        <v>-0.71002200000000004</v>
      </c>
      <c r="V6142">
        <v>2.4800039999999999E-2</v>
      </c>
      <c r="W6142">
        <v>5.0241149999999998E-4</v>
      </c>
      <c r="X6142">
        <v>0.99969229999999998</v>
      </c>
      <c r="Y6142">
        <v>-0.4389556</v>
      </c>
      <c r="Z6142">
        <v>1.8308700000000001E-3</v>
      </c>
      <c r="AA6142">
        <v>0.8985069</v>
      </c>
      <c r="AB6142">
        <v>21</v>
      </c>
      <c r="AC6142">
        <v>86.081799999999902</v>
      </c>
      <c r="AD6142">
        <v>-0.20193990000000001</v>
      </c>
      <c r="AE6142">
        <v>-18.353369999999899</v>
      </c>
      <c r="AF6142">
        <v>-38.679431704390602</v>
      </c>
      <c r="AG6142">
        <v>-0.20193990000000001</v>
      </c>
      <c r="AH6142">
        <v>79.061637257394494</v>
      </c>
      <c r="AI6142">
        <v>90.131456385914007</v>
      </c>
      <c r="AJ6142">
        <v>116.069329738728</v>
      </c>
      <c r="AK6142">
        <v>88.016371786831002</v>
      </c>
      <c r="AL6142">
        <v>89.971213940102899</v>
      </c>
      <c r="AM6142">
        <v>88.578916492717198</v>
      </c>
      <c r="AN6142">
        <v>0.99999999454030297</v>
      </c>
    </row>
    <row r="6143" spans="1:40" x14ac:dyDescent="0.25">
      <c r="A6143" t="str">
        <f>"20190312161438423"</f>
        <v>20190312161438423</v>
      </c>
      <c r="B6143" t="str">
        <f>"1552378478412690"</f>
        <v>1552378478412690</v>
      </c>
      <c r="C6143" t="s">
        <v>40</v>
      </c>
      <c r="D6143">
        <v>5.6598410000000001</v>
      </c>
      <c r="E6143">
        <v>0.32107089999999999</v>
      </c>
      <c r="F6143" t="s">
        <v>62</v>
      </c>
      <c r="G6143">
        <v>-206.94280000000001</v>
      </c>
      <c r="H6143">
        <v>0.83211900000000005</v>
      </c>
      <c r="I6143">
        <v>-81.421359999999893</v>
      </c>
      <c r="J6143">
        <v>-293.512</v>
      </c>
      <c r="K6143">
        <v>1.1179209999999999</v>
      </c>
      <c r="L6143">
        <v>-63.5541699999999</v>
      </c>
      <c r="M6143">
        <v>0.79354849999999999</v>
      </c>
      <c r="N6143">
        <v>0</v>
      </c>
      <c r="O6143">
        <v>-0.60831759999999901</v>
      </c>
      <c r="P6143">
        <v>0.77800859999999905</v>
      </c>
      <c r="Q6143">
        <v>-1.5275820000000001E-2</v>
      </c>
      <c r="R6143">
        <v>-0.62806839999999997</v>
      </c>
      <c r="S6143">
        <v>3.3218990000000002</v>
      </c>
      <c r="T6143">
        <v>-1.0950329999999999E-2</v>
      </c>
      <c r="U6143">
        <v>-0.68804929999999997</v>
      </c>
      <c r="V6143">
        <v>2.5126740000000002E-2</v>
      </c>
      <c r="W6143">
        <v>3.6746659999999998E-4</v>
      </c>
      <c r="X6143">
        <v>0.99968420000000002</v>
      </c>
      <c r="Y6143">
        <v>-0.43477169999999998</v>
      </c>
      <c r="Z6143">
        <v>2.5498420000000001E-3</v>
      </c>
      <c r="AA6143">
        <v>0.90053709999999898</v>
      </c>
      <c r="AB6143">
        <v>21</v>
      </c>
      <c r="AC6143">
        <v>86.569199999999995</v>
      </c>
      <c r="AD6143">
        <v>-0.285801999999999</v>
      </c>
      <c r="AE6143">
        <v>-17.867190000000001</v>
      </c>
      <c r="AF6143">
        <v>-38.487119280113298</v>
      </c>
      <c r="AG6143">
        <v>-0.285801999999999</v>
      </c>
      <c r="AH6143">
        <v>79.574123643617597</v>
      </c>
      <c r="AI6143">
        <v>90.1852546622098</v>
      </c>
      <c r="AJ6143">
        <v>115.81137103783701</v>
      </c>
      <c r="AK6143">
        <v>88.393332253709104</v>
      </c>
      <c r="AL6143">
        <v>89.978945714105905</v>
      </c>
      <c r="AM6143">
        <v>88.560192207470706</v>
      </c>
      <c r="AN6143">
        <v>0.99999999391218497</v>
      </c>
    </row>
    <row r="6144" spans="1:40" x14ac:dyDescent="0.25">
      <c r="A6144" t="str">
        <f>"20190312161438436"</f>
        <v>20190312161438436</v>
      </c>
      <c r="B6144" t="str">
        <f>"1552378478432211"</f>
        <v>1552378478432211</v>
      </c>
      <c r="C6144" t="s">
        <v>40</v>
      </c>
      <c r="D6144">
        <v>5.4951540000000003</v>
      </c>
      <c r="E6144">
        <v>0.3225634</v>
      </c>
      <c r="F6144" t="s">
        <v>42</v>
      </c>
      <c r="G6144">
        <v>-264.75529999999998</v>
      </c>
      <c r="H6144">
        <v>3.8770569999999997E-2</v>
      </c>
      <c r="I6144">
        <v>-70.383669999999995</v>
      </c>
      <c r="J6144">
        <v>-293.41539999999998</v>
      </c>
      <c r="K6144">
        <v>1.1179049999999999</v>
      </c>
      <c r="L6144">
        <v>-63.617249999999999</v>
      </c>
      <c r="M6144">
        <v>0.79819050000000002</v>
      </c>
      <c r="N6144">
        <v>0</v>
      </c>
      <c r="O6144">
        <v>-0.60221380000000002</v>
      </c>
      <c r="P6144">
        <v>0.78269789999999995</v>
      </c>
      <c r="Q6144">
        <v>-1.5574050000000001E-2</v>
      </c>
      <c r="R6144">
        <v>-0.62220690000000001</v>
      </c>
      <c r="S6144">
        <v>3.2336429999999998</v>
      </c>
      <c r="T6144">
        <v>-0.121349</v>
      </c>
      <c r="U6144">
        <v>-0.76797490000000002</v>
      </c>
      <c r="V6144">
        <v>2.5294110000000002E-2</v>
      </c>
      <c r="W6144" s="1">
        <v>6.8637430000000003E-5</v>
      </c>
      <c r="X6144">
        <v>0.99968000000000001</v>
      </c>
      <c r="Y6144">
        <v>-0.40092480000000003</v>
      </c>
      <c r="Z6144">
        <v>2.8077959999999999E-2</v>
      </c>
      <c r="AA6144">
        <v>0.91568059999999996</v>
      </c>
      <c r="AB6144">
        <v>21</v>
      </c>
      <c r="AC6144">
        <v>28.6601</v>
      </c>
      <c r="AD6144">
        <v>-1.0791344300000001</v>
      </c>
      <c r="AE6144">
        <v>-6.7664199999999903</v>
      </c>
      <c r="AF6144">
        <v>-11.844077061094101</v>
      </c>
      <c r="AG6144">
        <v>-1.0791344300000001</v>
      </c>
      <c r="AH6144">
        <v>26.918009418801098</v>
      </c>
      <c r="AI6144">
        <v>92.101503485835906</v>
      </c>
      <c r="AJ6144">
        <v>113.749767186648</v>
      </c>
      <c r="AK6144">
        <v>29.4283183960248</v>
      </c>
      <c r="AL6144">
        <v>89.996067364742899</v>
      </c>
      <c r="AM6144">
        <v>88.550599593434399</v>
      </c>
      <c r="AN6144">
        <v>0.999999949555893</v>
      </c>
    </row>
    <row r="6145" spans="1:40" x14ac:dyDescent="0.25">
      <c r="A6145" t="str">
        <f>"20190312161438447"</f>
        <v>20190312161438447</v>
      </c>
      <c r="B6145" t="str">
        <f>"1552378478442947"</f>
        <v>1552378478442947</v>
      </c>
      <c r="C6145" t="s">
        <v>40</v>
      </c>
      <c r="D6145">
        <v>5.467041</v>
      </c>
      <c r="E6145">
        <v>0.32281530000000003</v>
      </c>
      <c r="F6145" t="s">
        <v>42</v>
      </c>
      <c r="G6145">
        <v>-263.23540000000003</v>
      </c>
      <c r="H6145">
        <v>7.9986890000000005E-2</v>
      </c>
      <c r="I6145">
        <v>-70.654399999999995</v>
      </c>
      <c r="J6145">
        <v>-293.32260000000002</v>
      </c>
      <c r="K6145">
        <v>1.1178889999999999</v>
      </c>
      <c r="L6145">
        <v>-63.677250000000001</v>
      </c>
      <c r="M6145">
        <v>0.80259320000000001</v>
      </c>
      <c r="N6145">
        <v>0</v>
      </c>
      <c r="O6145">
        <v>-0.59633359999999902</v>
      </c>
      <c r="P6145">
        <v>0.7870722</v>
      </c>
      <c r="Q6145">
        <v>-1.5774219999999999E-2</v>
      </c>
      <c r="R6145">
        <v>-0.61665909999999902</v>
      </c>
      <c r="S6145">
        <v>3.2316590000000001</v>
      </c>
      <c r="T6145">
        <v>-0.1111394</v>
      </c>
      <c r="U6145">
        <v>-0.75353999999999999</v>
      </c>
      <c r="V6145">
        <v>2.5578440000000001E-2</v>
      </c>
      <c r="W6145">
        <v>-1.30166E-4</v>
      </c>
      <c r="X6145">
        <v>0.99967280000000003</v>
      </c>
      <c r="Y6145">
        <v>-0.39804230000000002</v>
      </c>
      <c r="Z6145">
        <v>2.5547710000000001E-2</v>
      </c>
      <c r="AA6145">
        <v>0.91701129999999997</v>
      </c>
      <c r="AB6145">
        <v>21</v>
      </c>
      <c r="AC6145">
        <v>30.087199999999999</v>
      </c>
      <c r="AD6145">
        <v>-1.0379021100000001</v>
      </c>
      <c r="AE6145">
        <v>-6.9771499999999902</v>
      </c>
      <c r="AF6145">
        <v>-12.3296935195558</v>
      </c>
      <c r="AG6145">
        <v>-1.0379021100000001</v>
      </c>
      <c r="AH6145">
        <v>28.279816939310901</v>
      </c>
      <c r="AI6145">
        <v>91.926856587834607</v>
      </c>
      <c r="AJ6145">
        <v>113.55667961397801</v>
      </c>
      <c r="AK6145">
        <v>30.868213897099</v>
      </c>
      <c r="AL6145">
        <v>90.0074579625295</v>
      </c>
      <c r="AM6145">
        <v>88.534303461590596</v>
      </c>
      <c r="AN6145">
        <v>0.99999999029792996</v>
      </c>
    </row>
    <row r="6146" spans="1:40" x14ac:dyDescent="0.25">
      <c r="A6146" t="str">
        <f>"20190312161438459"</f>
        <v>20190312161438459</v>
      </c>
      <c r="B6146" t="str">
        <f>"1552378478452707"</f>
        <v>1552378478452707</v>
      </c>
      <c r="C6146" t="s">
        <v>40</v>
      </c>
      <c r="D6146">
        <v>5.5041719999999996</v>
      </c>
      <c r="E6146">
        <v>0.32353850000000001</v>
      </c>
      <c r="F6146" t="s">
        <v>42</v>
      </c>
      <c r="G6146">
        <v>-262.51029999999997</v>
      </c>
      <c r="H6146">
        <v>7.9987100000000005E-2</v>
      </c>
      <c r="I6146">
        <v>-70.651700000000005</v>
      </c>
      <c r="J6146">
        <v>-293.2346</v>
      </c>
      <c r="K6146">
        <v>1.117875</v>
      </c>
      <c r="L6146">
        <v>-63.732640000000004</v>
      </c>
      <c r="M6146">
        <v>0.80669820000000003</v>
      </c>
      <c r="N6146">
        <v>0</v>
      </c>
      <c r="O6146">
        <v>-0.59076899999999999</v>
      </c>
      <c r="P6146">
        <v>0.79114039999999997</v>
      </c>
      <c r="Q6146">
        <v>-1.5949700000000001E-2</v>
      </c>
      <c r="R6146">
        <v>-0.6114269</v>
      </c>
      <c r="S6146">
        <v>3.2355960000000001</v>
      </c>
      <c r="T6146">
        <v>-0.1089898</v>
      </c>
      <c r="U6146">
        <v>-0.73239140000000003</v>
      </c>
      <c r="V6146">
        <v>2.5868619999999998E-2</v>
      </c>
      <c r="W6146">
        <v>-3.0420319999999997E-4</v>
      </c>
      <c r="X6146">
        <v>0.99966529999999998</v>
      </c>
      <c r="Y6146">
        <v>-0.39766109999999999</v>
      </c>
      <c r="Z6146">
        <v>2.4900189999999999E-2</v>
      </c>
      <c r="AA6146">
        <v>0.91719439999999997</v>
      </c>
      <c r="AB6146">
        <v>21</v>
      </c>
      <c r="AC6146">
        <v>30.724299999999999</v>
      </c>
      <c r="AD6146">
        <v>-1.0378879000000001</v>
      </c>
      <c r="AE6146">
        <v>-6.91906</v>
      </c>
      <c r="AF6146">
        <v>-12.557178682449701</v>
      </c>
      <c r="AG6146">
        <v>-1.0378879000000001</v>
      </c>
      <c r="AH6146">
        <v>28.844797579199899</v>
      </c>
      <c r="AI6146">
        <v>91.889568718008704</v>
      </c>
      <c r="AJ6146">
        <v>113.52522621448099</v>
      </c>
      <c r="AK6146">
        <v>31.476694476087498</v>
      </c>
      <c r="AL6146">
        <v>90.017429559829793</v>
      </c>
      <c r="AM6146">
        <v>88.517671819434995</v>
      </c>
      <c r="AN6146">
        <v>0.99999999503218995</v>
      </c>
    </row>
    <row r="6147" spans="1:40" x14ac:dyDescent="0.25">
      <c r="A6147" t="str">
        <f>"20190312161438471"</f>
        <v>20190312161438471</v>
      </c>
      <c r="B6147" t="str">
        <f>"1552378478462468"</f>
        <v>1552378478462468</v>
      </c>
      <c r="C6147" t="s">
        <v>40</v>
      </c>
      <c r="D6147">
        <v>5.523714</v>
      </c>
      <c r="E6147">
        <v>0.3245113</v>
      </c>
      <c r="F6147" t="s">
        <v>42</v>
      </c>
      <c r="G6147">
        <v>-262.49160000000001</v>
      </c>
      <c r="H6147">
        <v>7.9987100000000005E-2</v>
      </c>
      <c r="I6147">
        <v>-70.528120000000001</v>
      </c>
      <c r="J6147">
        <v>-293.14150000000001</v>
      </c>
      <c r="K6147">
        <v>1.1178600000000001</v>
      </c>
      <c r="L6147">
        <v>-63.79083</v>
      </c>
      <c r="M6147">
        <v>0.81099030000000005</v>
      </c>
      <c r="N6147">
        <v>0</v>
      </c>
      <c r="O6147">
        <v>-0.58486289999999996</v>
      </c>
      <c r="P6147">
        <v>0.79542460000000004</v>
      </c>
      <c r="Q6147">
        <v>-1.602398E-2</v>
      </c>
      <c r="R6147">
        <v>-0.60584090000000002</v>
      </c>
      <c r="S6147">
        <v>3.236847</v>
      </c>
      <c r="T6147">
        <v>-0.10927630000000001</v>
      </c>
      <c r="U6147">
        <v>-0.71548459999999903</v>
      </c>
      <c r="V6147">
        <v>2.6130980000000002E-2</v>
      </c>
      <c r="W6147">
        <v>-3.776769E-4</v>
      </c>
      <c r="X6147">
        <v>0.99965850000000001</v>
      </c>
      <c r="Y6147">
        <v>-0.39560079999999997</v>
      </c>
      <c r="Z6147">
        <v>2.4787630000000001E-2</v>
      </c>
      <c r="AA6147">
        <v>0.91808800000000002</v>
      </c>
      <c r="AB6147">
        <v>21</v>
      </c>
      <c r="AC6147">
        <v>30.649899999999999</v>
      </c>
      <c r="AD6147">
        <v>-1.0378729</v>
      </c>
      <c r="AE6147">
        <v>-6.73728999999999</v>
      </c>
      <c r="AF6147">
        <v>-12.449929003853899</v>
      </c>
      <c r="AG6147">
        <v>-1.0378729</v>
      </c>
      <c r="AH6147">
        <v>28.769009081714099</v>
      </c>
      <c r="AI6147">
        <v>91.896301107621895</v>
      </c>
      <c r="AJ6147">
        <v>113.400783492733</v>
      </c>
      <c r="AK6147">
        <v>31.364530857344398</v>
      </c>
      <c r="AL6147">
        <v>90.021639291958607</v>
      </c>
      <c r="AM6147">
        <v>88.502634649907506</v>
      </c>
      <c r="AN6147">
        <v>1.00000004368892</v>
      </c>
    </row>
    <row r="6148" spans="1:40" x14ac:dyDescent="0.25">
      <c r="A6148" t="str">
        <f>"20190312161438483"</f>
        <v>20190312161438483</v>
      </c>
      <c r="B6148" t="str">
        <f>"1552378478472227"</f>
        <v>1552378478472227</v>
      </c>
      <c r="C6148" t="s">
        <v>40</v>
      </c>
      <c r="D6148">
        <v>5.5153540000000003</v>
      </c>
      <c r="E6148">
        <v>0.32498120000000003</v>
      </c>
      <c r="F6148" t="s">
        <v>42</v>
      </c>
      <c r="G6148">
        <v>-262.59030000000001</v>
      </c>
      <c r="H6148">
        <v>4.0608949999999998E-2</v>
      </c>
      <c r="I6148">
        <v>-70.383669999999995</v>
      </c>
      <c r="J6148">
        <v>-293.04599999999999</v>
      </c>
      <c r="K6148">
        <v>1.1178440000000001</v>
      </c>
      <c r="L6148">
        <v>-63.849369999999901</v>
      </c>
      <c r="M6148">
        <v>0.81532439999999995</v>
      </c>
      <c r="N6148">
        <v>0</v>
      </c>
      <c r="O6148">
        <v>-0.57880589999999998</v>
      </c>
      <c r="P6148">
        <v>0.79986939999999995</v>
      </c>
      <c r="Q6148">
        <v>-1.6194030000000002E-2</v>
      </c>
      <c r="R6148">
        <v>-0.59995619999999905</v>
      </c>
      <c r="S6148">
        <v>3.2371829999999999</v>
      </c>
      <c r="T6148">
        <v>-0.1141446</v>
      </c>
      <c r="U6148">
        <v>-0.69857789999999997</v>
      </c>
      <c r="V6148">
        <v>2.6206989999999999E-2</v>
      </c>
      <c r="W6148">
        <v>-5.5061809999999896E-4</v>
      </c>
      <c r="X6148">
        <v>0.9996564</v>
      </c>
      <c r="Y6148">
        <v>-0.39331519999999998</v>
      </c>
      <c r="Z6148">
        <v>2.5702510000000001E-2</v>
      </c>
      <c r="AA6148">
        <v>0.91904439999999998</v>
      </c>
      <c r="AB6148">
        <v>21</v>
      </c>
      <c r="AC6148">
        <v>30.455699999999901</v>
      </c>
      <c r="AD6148">
        <v>-1.0772350500000001</v>
      </c>
      <c r="AE6148">
        <v>-6.5343</v>
      </c>
      <c r="AF6148">
        <v>-12.2870828950047</v>
      </c>
      <c r="AG6148">
        <v>-1.0772350500000001</v>
      </c>
      <c r="AH6148">
        <v>28.5824704896228</v>
      </c>
      <c r="AI6148">
        <v>91.983068248512495</v>
      </c>
      <c r="AJ6148">
        <v>113.261987372918</v>
      </c>
      <c r="AK6148">
        <v>31.130217807009</v>
      </c>
      <c r="AL6148">
        <v>90.031548094412798</v>
      </c>
      <c r="AM6148">
        <v>88.498277940122804</v>
      </c>
      <c r="AN6148">
        <v>1.00000001378305</v>
      </c>
    </row>
    <row r="6149" spans="1:40" x14ac:dyDescent="0.25">
      <c r="A6149" t="str">
        <f>"20190312161438494"</f>
        <v>20190312161438494</v>
      </c>
      <c r="B6149" t="str">
        <f>"1552378478492722"</f>
        <v>1552378478492722</v>
      </c>
      <c r="C6149" t="s">
        <v>40</v>
      </c>
      <c r="D6149">
        <v>5.5133460000000003</v>
      </c>
      <c r="E6149">
        <v>0.32696890000000001</v>
      </c>
      <c r="F6149" t="s">
        <v>42</v>
      </c>
      <c r="G6149">
        <v>-261.8</v>
      </c>
      <c r="H6149">
        <v>8.1903080000000003E-3</v>
      </c>
      <c r="I6149">
        <v>-70.383669999999995</v>
      </c>
      <c r="J6149">
        <v>-292.9633</v>
      </c>
      <c r="K6149">
        <v>1.117828</v>
      </c>
      <c r="L6149">
        <v>-63.8992</v>
      </c>
      <c r="M6149">
        <v>0.81902369999999902</v>
      </c>
      <c r="N6149">
        <v>0</v>
      </c>
      <c r="O6149">
        <v>-0.57355919999999905</v>
      </c>
      <c r="P6149">
        <v>0.80352469999999998</v>
      </c>
      <c r="Q6149">
        <v>-1.6333159999999999E-2</v>
      </c>
      <c r="R6149">
        <v>-0.5950474</v>
      </c>
      <c r="S6149">
        <v>3.2400509999999998</v>
      </c>
      <c r="T6149">
        <v>-0.11506570000000001</v>
      </c>
      <c r="U6149">
        <v>-0.67758180000000001</v>
      </c>
      <c r="V6149">
        <v>2.650866E-2</v>
      </c>
      <c r="W6149">
        <v>-6.8810569999999997E-4</v>
      </c>
      <c r="X6149">
        <v>0.99964830000000005</v>
      </c>
      <c r="Y6149">
        <v>-0.39327319999999999</v>
      </c>
      <c r="Z6149">
        <v>2.5765340000000001E-2</v>
      </c>
      <c r="AA6149">
        <v>0.91906060000000001</v>
      </c>
      <c r="AB6149">
        <v>21</v>
      </c>
      <c r="AC6149">
        <v>31.1632999999999</v>
      </c>
      <c r="AD6149">
        <v>-1.109637692</v>
      </c>
      <c r="AE6149">
        <v>-6.4844699999999902</v>
      </c>
      <c r="AF6149">
        <v>-12.549257404381001</v>
      </c>
      <c r="AG6149">
        <v>-1.109637692</v>
      </c>
      <c r="AH6149">
        <v>29.210574229319601</v>
      </c>
      <c r="AI6149">
        <v>91.998975729344593</v>
      </c>
      <c r="AJ6149">
        <v>113.249013618218</v>
      </c>
      <c r="AK6149">
        <v>31.811519989078</v>
      </c>
      <c r="AL6149">
        <v>90.039425557428402</v>
      </c>
      <c r="AM6149">
        <v>88.4809872911394</v>
      </c>
      <c r="AN6149">
        <v>0.99999995311866896</v>
      </c>
    </row>
    <row r="6150" spans="1:40" x14ac:dyDescent="0.25">
      <c r="A6150" t="str">
        <f>"20190312161438506"</f>
        <v>20190312161438506</v>
      </c>
      <c r="B6150" t="str">
        <f>"1552378478502483"</f>
        <v>1552378478502483</v>
      </c>
      <c r="C6150" t="s">
        <v>40</v>
      </c>
      <c r="D6150">
        <v>5.5851699999999997</v>
      </c>
      <c r="E6150">
        <v>0.32755959999999901</v>
      </c>
      <c r="F6150" t="s">
        <v>42</v>
      </c>
      <c r="G6150">
        <v>-263.90780000000001</v>
      </c>
      <c r="H6150" s="1">
        <v>-2.9094850000000001E-6</v>
      </c>
      <c r="I6150">
        <v>-69.917850000000001</v>
      </c>
      <c r="J6150">
        <v>-292.87349999999998</v>
      </c>
      <c r="K6150">
        <v>1.117812</v>
      </c>
      <c r="L6150">
        <v>-63.9527</v>
      </c>
      <c r="M6150">
        <v>0.82298689999999997</v>
      </c>
      <c r="N6150">
        <v>0</v>
      </c>
      <c r="O6150">
        <v>-0.56785779999999997</v>
      </c>
      <c r="P6150">
        <v>0.80753209999999997</v>
      </c>
      <c r="Q6150">
        <v>-1.6606929999999999E-2</v>
      </c>
      <c r="R6150">
        <v>-0.5895899</v>
      </c>
      <c r="S6150">
        <v>3.2348020000000002</v>
      </c>
      <c r="T6150">
        <v>-0.1244502</v>
      </c>
      <c r="U6150">
        <v>-0.67007450000000002</v>
      </c>
      <c r="V6150">
        <v>2.6686169999999999E-2</v>
      </c>
      <c r="W6150">
        <v>-9.6274679999999995E-4</v>
      </c>
      <c r="X6150">
        <v>0.99964339999999996</v>
      </c>
      <c r="Y6150">
        <v>-0.38854309999999997</v>
      </c>
      <c r="Z6150">
        <v>2.765424E-2</v>
      </c>
      <c r="AA6150">
        <v>0.92101549999999999</v>
      </c>
      <c r="AB6150">
        <v>21</v>
      </c>
      <c r="AC6150">
        <v>28.965699999999899</v>
      </c>
      <c r="AD6150">
        <v>-1.1178149094850001</v>
      </c>
      <c r="AE6150">
        <v>-5.9651500000000004</v>
      </c>
      <c r="AF6150">
        <v>-11.5240220110995</v>
      </c>
      <c r="AG6150">
        <v>-1.1178149094850001</v>
      </c>
      <c r="AH6150">
        <v>27.1900355387472</v>
      </c>
      <c r="AI6150">
        <v>92.167713213600905</v>
      </c>
      <c r="AJ6150">
        <v>112.968811657111</v>
      </c>
      <c r="AK6150">
        <v>29.552506257211199</v>
      </c>
      <c r="AL6150">
        <v>90.055161336743396</v>
      </c>
      <c r="AM6150">
        <v>88.470812844395198</v>
      </c>
      <c r="AN6150">
        <v>1.0000000028571101</v>
      </c>
    </row>
    <row r="6151" spans="1:40" x14ac:dyDescent="0.25">
      <c r="A6151" t="str">
        <f>"20190312161438518"</f>
        <v>20190312161438518</v>
      </c>
      <c r="B6151" t="str">
        <f>"1552378478512244"</f>
        <v>1552378478512244</v>
      </c>
      <c r="C6151" t="s">
        <v>40</v>
      </c>
      <c r="D6151">
        <v>5.5627750000000002</v>
      </c>
      <c r="E6151">
        <v>0.32755959999999901</v>
      </c>
      <c r="F6151" t="s">
        <v>104</v>
      </c>
      <c r="G6151">
        <v>-264.40050000000002</v>
      </c>
      <c r="H6151" s="1">
        <v>-3.0362560000000001E-6</v>
      </c>
      <c r="I6151">
        <v>-69.687359999999998</v>
      </c>
      <c r="J6151">
        <v>-292.7851</v>
      </c>
      <c r="K6151">
        <v>1.1177969999999999</v>
      </c>
      <c r="L6151">
        <v>-64.004269999999906</v>
      </c>
      <c r="M6151">
        <v>0.82683469999999903</v>
      </c>
      <c r="N6151">
        <v>0</v>
      </c>
      <c r="O6151">
        <v>-0.56224099999999999</v>
      </c>
      <c r="P6151">
        <v>0.81153169999999897</v>
      </c>
      <c r="Q6151">
        <v>-1.6839779999999999E-2</v>
      </c>
      <c r="R6151">
        <v>-0.58406619999999998</v>
      </c>
      <c r="S6151">
        <v>3.2364809999999999</v>
      </c>
      <c r="T6151">
        <v>-0.1270599</v>
      </c>
      <c r="U6151">
        <v>-0.65185550000000003</v>
      </c>
      <c r="V6151">
        <v>2.667885E-2</v>
      </c>
      <c r="W6151">
        <v>-1.1999479999999999E-3</v>
      </c>
      <c r="X6151">
        <v>0.99964330000000001</v>
      </c>
      <c r="Y6151">
        <v>-0.38731890000000002</v>
      </c>
      <c r="Z6151">
        <v>2.804268E-2</v>
      </c>
      <c r="AA6151">
        <v>0.92151919999999998</v>
      </c>
      <c r="AB6151">
        <v>21</v>
      </c>
      <c r="AC6151">
        <v>28.384599999999899</v>
      </c>
      <c r="AD6151">
        <v>-1.1178000362560001</v>
      </c>
      <c r="AE6151">
        <v>-5.68309</v>
      </c>
      <c r="AF6151">
        <v>-11.2445356299294</v>
      </c>
      <c r="AG6151">
        <v>-1.1178000362560001</v>
      </c>
      <c r="AH6151">
        <v>26.627994136818899</v>
      </c>
      <c r="AI6151">
        <v>92.214623264277705</v>
      </c>
      <c r="AJ6151">
        <v>112.893482163298</v>
      </c>
      <c r="AK6151">
        <v>28.926443442018002</v>
      </c>
      <c r="AL6151">
        <v>90.068751975004204</v>
      </c>
      <c r="AM6151">
        <v>88.471231947550706</v>
      </c>
      <c r="AN6151">
        <v>0.99999996407370695</v>
      </c>
    </row>
    <row r="6152" spans="1:40" x14ac:dyDescent="0.25">
      <c r="A6152" t="str">
        <f>"20190312161438529"</f>
        <v>20190312161438529</v>
      </c>
      <c r="B6152" t="str">
        <f>"1552378478522980"</f>
        <v>1552378478522980</v>
      </c>
      <c r="C6152" t="s">
        <v>40</v>
      </c>
      <c r="D6152">
        <v>5.6506499999999997</v>
      </c>
      <c r="E6152">
        <v>0.30226520000000001</v>
      </c>
      <c r="F6152" t="s">
        <v>42</v>
      </c>
      <c r="G6152">
        <v>-264.51749999999998</v>
      </c>
      <c r="H6152" s="1">
        <v>-3.0423449999999998E-6</v>
      </c>
      <c r="I6152">
        <v>-69.497219999999999</v>
      </c>
      <c r="J6152">
        <v>-292.69549999999998</v>
      </c>
      <c r="K6152">
        <v>1.117785</v>
      </c>
      <c r="L6152">
        <v>-64.056089999999998</v>
      </c>
      <c r="M6152">
        <v>0.8306829</v>
      </c>
      <c r="N6152">
        <v>0</v>
      </c>
      <c r="O6152">
        <v>-0.55653960000000002</v>
      </c>
      <c r="P6152">
        <v>0.81530950000000002</v>
      </c>
      <c r="Q6152">
        <v>-1.724531E-2</v>
      </c>
      <c r="R6152">
        <v>-0.57876879999999997</v>
      </c>
      <c r="S6152">
        <v>3.2408139999999999</v>
      </c>
      <c r="T6152">
        <v>-0.12815299999999999</v>
      </c>
      <c r="U6152">
        <v>-0.62976069999999995</v>
      </c>
      <c r="V6152">
        <v>2.7057830000000001E-2</v>
      </c>
      <c r="W6152">
        <v>-1.603019E-3</v>
      </c>
      <c r="X6152">
        <v>0.99963259999999998</v>
      </c>
      <c r="Y6152">
        <v>-0.38725510000000002</v>
      </c>
      <c r="Z6152">
        <v>2.8091789999999998E-2</v>
      </c>
      <c r="AA6152">
        <v>0.92154460000000005</v>
      </c>
      <c r="AB6152">
        <v>21</v>
      </c>
      <c r="AC6152">
        <v>28.178000000000001</v>
      </c>
      <c r="AD6152">
        <v>-1.117788042345</v>
      </c>
      <c r="AE6152">
        <v>-5.4411300000000002</v>
      </c>
      <c r="AF6152">
        <v>-11.146690741336901</v>
      </c>
      <c r="AG6152">
        <v>-1.117788042345</v>
      </c>
      <c r="AH6152">
        <v>26.398174935586301</v>
      </c>
      <c r="AI6152">
        <v>92.233884225863804</v>
      </c>
      <c r="AJ6152">
        <v>112.89201544558</v>
      </c>
      <c r="AK6152">
        <v>28.676851370407402</v>
      </c>
      <c r="AL6152">
        <v>90.091846261099803</v>
      </c>
      <c r="AM6152">
        <v>88.449509338018501</v>
      </c>
      <c r="AN6152">
        <v>1.00000001540849</v>
      </c>
    </row>
    <row r="6153" spans="1:40" x14ac:dyDescent="0.25">
      <c r="A6153" t="str">
        <f>"20190312161438540"</f>
        <v>20190312161438540</v>
      </c>
      <c r="B6153" t="str">
        <f>"1552378478532739"</f>
        <v>1552378478532739</v>
      </c>
      <c r="C6153" t="s">
        <v>40</v>
      </c>
      <c r="D6153">
        <v>5.7149700000000001</v>
      </c>
      <c r="E6153">
        <v>0.29790359999999899</v>
      </c>
      <c r="F6153" t="s">
        <v>41</v>
      </c>
      <c r="G6153">
        <v>-98.018510000000006</v>
      </c>
      <c r="H6153">
        <v>-0.05</v>
      </c>
      <c r="I6153">
        <v>-90.139629999999997</v>
      </c>
      <c r="J6153">
        <v>-292.6028</v>
      </c>
      <c r="K6153">
        <v>1.117769</v>
      </c>
      <c r="L6153">
        <v>-64.108369999999994</v>
      </c>
      <c r="M6153">
        <v>0.8345998</v>
      </c>
      <c r="N6153">
        <v>0</v>
      </c>
      <c r="O6153">
        <v>-0.55064799999999903</v>
      </c>
      <c r="P6153">
        <v>0.81908239999999999</v>
      </c>
      <c r="Q6153">
        <v>-1.7583439999999999E-2</v>
      </c>
      <c r="R6153">
        <v>-0.57340669999999905</v>
      </c>
      <c r="S6153">
        <v>3.3596189999999999</v>
      </c>
      <c r="T6153">
        <v>-2.0152929999999999E-2</v>
      </c>
      <c r="U6153">
        <v>-0.45013429999999999</v>
      </c>
      <c r="V6153">
        <v>2.7581410000000001E-2</v>
      </c>
      <c r="W6153">
        <v>-1.936356E-3</v>
      </c>
      <c r="X6153">
        <v>0.99961770000000005</v>
      </c>
      <c r="Y6153">
        <v>-0.43497249999999998</v>
      </c>
      <c r="Z6153">
        <v>4.4100299999999997E-3</v>
      </c>
      <c r="AA6153">
        <v>0.90043289999999998</v>
      </c>
      <c r="AB6153">
        <v>21</v>
      </c>
      <c r="AC6153">
        <v>194.58428999999899</v>
      </c>
      <c r="AD6153">
        <v>-1.1677690000000001</v>
      </c>
      <c r="AE6153">
        <v>-26.03126</v>
      </c>
      <c r="AF6153">
        <v>-85.428566241422999</v>
      </c>
      <c r="AG6153">
        <v>-1.1677690000000001</v>
      </c>
      <c r="AH6153">
        <v>176.74814074778399</v>
      </c>
      <c r="AI6153">
        <v>90.3408240043631</v>
      </c>
      <c r="AJ6153">
        <v>115.79610485844</v>
      </c>
      <c r="AK6153">
        <v>196.314311430168</v>
      </c>
      <c r="AL6153">
        <v>90.110945094112495</v>
      </c>
      <c r="AM6153">
        <v>88.419498240638902</v>
      </c>
      <c r="AN6153">
        <v>1.00000001490271</v>
      </c>
    </row>
    <row r="6154" spans="1:40" x14ac:dyDescent="0.25">
      <c r="A6154" t="str">
        <f>"20190312161438552"</f>
        <v>20190312161438552</v>
      </c>
      <c r="B6154" t="str">
        <f>"1552378478542499"</f>
        <v>1552378478542499</v>
      </c>
      <c r="C6154" t="s">
        <v>40</v>
      </c>
      <c r="D6154">
        <v>5.6058579999999996</v>
      </c>
      <c r="E6154">
        <v>0.29615839999999999</v>
      </c>
      <c r="F6154" t="s">
        <v>57</v>
      </c>
      <c r="G6154">
        <v>-18.827059999999999</v>
      </c>
      <c r="H6154">
        <v>-0.1</v>
      </c>
      <c r="I6154">
        <v>-96.46942</v>
      </c>
      <c r="J6154">
        <v>-292.5154</v>
      </c>
      <c r="K6154">
        <v>1.1177549999999901</v>
      </c>
      <c r="L6154">
        <v>-64.157259999999994</v>
      </c>
      <c r="M6154">
        <v>0.83824940000000003</v>
      </c>
      <c r="N6154">
        <v>0</v>
      </c>
      <c r="O6154">
        <v>-0.54507640000000002</v>
      </c>
      <c r="P6154">
        <v>0.8226173</v>
      </c>
      <c r="Q6154">
        <v>-1.779447E-2</v>
      </c>
      <c r="R6154">
        <v>-0.56831690000000001</v>
      </c>
      <c r="S6154">
        <v>3.3824160000000001</v>
      </c>
      <c r="T6154">
        <v>-1.504517E-2</v>
      </c>
      <c r="U6154">
        <v>-0.39981080000000002</v>
      </c>
      <c r="V6154">
        <v>2.804835E-2</v>
      </c>
      <c r="W6154">
        <v>-2.1432859999999999E-3</v>
      </c>
      <c r="X6154">
        <v>0.9996043</v>
      </c>
      <c r="Y6154">
        <v>-0.4429514</v>
      </c>
      <c r="Z6154">
        <v>3.2729399999999998E-3</v>
      </c>
      <c r="AA6154">
        <v>0.89653959999999999</v>
      </c>
      <c r="AB6154">
        <v>21</v>
      </c>
      <c r="AC6154">
        <v>273.68833999999998</v>
      </c>
      <c r="AD6154">
        <v>-1.2177549999999999</v>
      </c>
      <c r="AE6154">
        <v>-32.312159999999999</v>
      </c>
      <c r="AF6154">
        <v>-122.107044917761</v>
      </c>
      <c r="AG6154">
        <v>-1.2177549999999999</v>
      </c>
      <c r="AH6154">
        <v>247.05523056525999</v>
      </c>
      <c r="AI6154">
        <v>90.253178067952803</v>
      </c>
      <c r="AJ6154">
        <v>116.30088435651599</v>
      </c>
      <c r="AK6154">
        <v>275.58646609629102</v>
      </c>
      <c r="AL6154">
        <v>90.122801332411996</v>
      </c>
      <c r="AM6154">
        <v>88.392733489870693</v>
      </c>
      <c r="AN6154">
        <v>1.0000000300955401</v>
      </c>
    </row>
    <row r="6155" spans="1:40" x14ac:dyDescent="0.25">
      <c r="A6155" t="str">
        <f>"20190312161438562"</f>
        <v>20190312161438562</v>
      </c>
      <c r="B6155" t="str">
        <f>"1552378478552259"</f>
        <v>1552378478552259</v>
      </c>
      <c r="C6155" t="s">
        <v>40</v>
      </c>
      <c r="D6155">
        <v>5.6979879999999996</v>
      </c>
      <c r="E6155">
        <v>0.29578840000000001</v>
      </c>
      <c r="F6155" t="s">
        <v>44</v>
      </c>
      <c r="G6155">
        <v>0</v>
      </c>
      <c r="H6155">
        <v>0</v>
      </c>
      <c r="I6155">
        <v>0</v>
      </c>
      <c r="J6155">
        <v>-292.4271</v>
      </c>
      <c r="K6155">
        <v>1.117737</v>
      </c>
      <c r="L6155">
        <v>-64.205659999999995</v>
      </c>
      <c r="M6155">
        <v>0.8418795</v>
      </c>
      <c r="N6155">
        <v>0</v>
      </c>
      <c r="O6155">
        <v>-0.53945319999999997</v>
      </c>
      <c r="P6155">
        <v>0.82619519999999902</v>
      </c>
      <c r="Q6155">
        <v>-1.8079189999999998E-2</v>
      </c>
      <c r="R6155">
        <v>-0.56309399999999998</v>
      </c>
      <c r="S6155">
        <v>3.3925779999999999</v>
      </c>
      <c r="T6155">
        <v>-3.8540359999999999E-3</v>
      </c>
      <c r="U6155">
        <v>-0.36807250000000002</v>
      </c>
      <c r="V6155">
        <v>2.841515E-2</v>
      </c>
      <c r="W6155">
        <v>-2.4257879999999999E-3</v>
      </c>
      <c r="X6155">
        <v>0.99959330000000002</v>
      </c>
      <c r="Y6155">
        <v>-0.44555099999999997</v>
      </c>
      <c r="Z6155">
        <v>8.3287360000000002E-4</v>
      </c>
      <c r="AA6155">
        <v>0.89525619999999995</v>
      </c>
      <c r="AB6155">
        <v>21</v>
      </c>
      <c r="AC6155">
        <v>3.3925779999999999</v>
      </c>
      <c r="AD6155">
        <v>-3.8540359999999999E-3</v>
      </c>
      <c r="AE6155">
        <v>-0.36807250000000002</v>
      </c>
      <c r="AF6155">
        <v>-1.5204366428518901</v>
      </c>
      <c r="AG6155">
        <v>-3.8540359999999999E-3</v>
      </c>
      <c r="AH6155">
        <v>3.0550459177045699</v>
      </c>
      <c r="AI6155">
        <v>90.064709471121702</v>
      </c>
      <c r="AJ6155">
        <v>116.458632458273</v>
      </c>
      <c r="AK6155">
        <v>3.4124841388354601</v>
      </c>
      <c r="AL6155">
        <v>90.138987545798102</v>
      </c>
      <c r="AM6155">
        <v>88.371707927188893</v>
      </c>
      <c r="AN6155">
        <v>1.00000003530091</v>
      </c>
    </row>
    <row r="6156" spans="1:40" x14ac:dyDescent="0.25">
      <c r="A6156" t="str">
        <f>"20190312161438576"</f>
        <v>20190312161438576</v>
      </c>
      <c r="B6156" t="str">
        <f>"1552378478572557"</f>
        <v>1552378478572557</v>
      </c>
      <c r="C6156" t="s">
        <v>40</v>
      </c>
      <c r="D6156">
        <v>5.5914869999999999</v>
      </c>
      <c r="E6156">
        <v>0.2962748</v>
      </c>
      <c r="F6156" t="s">
        <v>57</v>
      </c>
      <c r="G6156">
        <v>350.64150000000001</v>
      </c>
      <c r="H6156">
        <v>-0.1</v>
      </c>
      <c r="I6156">
        <v>-129.32249999999999</v>
      </c>
      <c r="J6156">
        <v>-292.3297</v>
      </c>
      <c r="K6156">
        <v>1.117721</v>
      </c>
      <c r="L6156">
        <v>-64.258179999999996</v>
      </c>
      <c r="M6156">
        <v>0.84582959999999996</v>
      </c>
      <c r="N6156">
        <v>0</v>
      </c>
      <c r="O6156">
        <v>-0.53323809999999905</v>
      </c>
      <c r="P6156">
        <v>0.83004029999999995</v>
      </c>
      <c r="Q6156">
        <v>-1.8263970000000001E-2</v>
      </c>
      <c r="R6156">
        <v>-0.55740419999999902</v>
      </c>
      <c r="S6156">
        <v>3.3965450000000001</v>
      </c>
      <c r="T6156">
        <v>-6.4318179999999997E-3</v>
      </c>
      <c r="U6156">
        <v>-0.34393309999999999</v>
      </c>
      <c r="V6156">
        <v>2.891463E-2</v>
      </c>
      <c r="W6156">
        <v>-2.606461E-3</v>
      </c>
      <c r="X6156">
        <v>0.99957850000000004</v>
      </c>
      <c r="Y6156">
        <v>-0.44536199999999998</v>
      </c>
      <c r="Z6156">
        <v>1.379223E-3</v>
      </c>
      <c r="AA6156">
        <v>0.89534959999999997</v>
      </c>
      <c r="AB6156">
        <v>21</v>
      </c>
      <c r="AC6156">
        <v>642.97119999999995</v>
      </c>
      <c r="AD6156">
        <v>-1.2177209999999901</v>
      </c>
      <c r="AE6156">
        <v>-65.064319999999896</v>
      </c>
      <c r="AF6156">
        <v>-287.85541265376298</v>
      </c>
      <c r="AG6156">
        <v>-1.2177209999999901</v>
      </c>
      <c r="AH6156">
        <v>578.60316755040299</v>
      </c>
      <c r="AI6156">
        <v>90.107961184639194</v>
      </c>
      <c r="AJ6156">
        <v>116.45037179926901</v>
      </c>
      <c r="AK6156">
        <v>646.25370168213499</v>
      </c>
      <c r="AL6156">
        <v>90.149339381833002</v>
      </c>
      <c r="AM6156">
        <v>88.343077193524493</v>
      </c>
      <c r="AN6156">
        <v>1.0000000135646101</v>
      </c>
    </row>
    <row r="6157" spans="1:40" x14ac:dyDescent="0.25">
      <c r="A6157" t="str">
        <f>"20190312161438591"</f>
        <v>20190312161438591</v>
      </c>
      <c r="B6157" t="str">
        <f>"1552378478582302"</f>
        <v>1552378478582302</v>
      </c>
      <c r="C6157" t="s">
        <v>40</v>
      </c>
      <c r="D6157">
        <v>5.7615249999999998</v>
      </c>
      <c r="E6157">
        <v>0.29672199999999999</v>
      </c>
      <c r="F6157" t="s">
        <v>57</v>
      </c>
      <c r="G6157">
        <v>175.63659999999999</v>
      </c>
      <c r="H6157">
        <v>-0.1</v>
      </c>
      <c r="I6157">
        <v>-108.8676</v>
      </c>
      <c r="J6157">
        <v>-292.21589999999998</v>
      </c>
      <c r="K6157">
        <v>1.117707</v>
      </c>
      <c r="L6157">
        <v>-64.318539999999999</v>
      </c>
      <c r="M6157">
        <v>0.85036489999999998</v>
      </c>
      <c r="N6157">
        <v>0</v>
      </c>
      <c r="O6157">
        <v>-0.52597609999999995</v>
      </c>
      <c r="P6157">
        <v>0.83480529999999997</v>
      </c>
      <c r="Q6157">
        <v>-1.8340490000000001E-2</v>
      </c>
      <c r="R6157">
        <v>-0.55024030000000002</v>
      </c>
      <c r="S6157">
        <v>3.3966669999999999</v>
      </c>
      <c r="T6157">
        <v>-8.8386539999999996E-3</v>
      </c>
      <c r="U6157">
        <v>-0.32379150000000001</v>
      </c>
      <c r="V6157">
        <v>2.88734E-2</v>
      </c>
      <c r="W6157">
        <v>-2.6890220000000001E-3</v>
      </c>
      <c r="X6157">
        <v>0.99957949999999995</v>
      </c>
      <c r="Y6157">
        <v>-0.44295380000000001</v>
      </c>
      <c r="Z6157">
        <v>1.877187E-3</v>
      </c>
      <c r="AA6157">
        <v>0.89654249999999902</v>
      </c>
      <c r="AB6157">
        <v>20</v>
      </c>
      <c r="AC6157">
        <v>467.85250000000002</v>
      </c>
      <c r="AD6157">
        <v>-1.2177069999999901</v>
      </c>
      <c r="AE6157">
        <v>-44.549059999999997</v>
      </c>
      <c r="AF6157">
        <v>-208.21868765085799</v>
      </c>
      <c r="AG6157">
        <v>-1.2177069999999901</v>
      </c>
      <c r="AH6157">
        <v>421.32243356516898</v>
      </c>
      <c r="AI6157">
        <v>90.148456235073496</v>
      </c>
      <c r="AJ6157">
        <v>116.29870717476</v>
      </c>
      <c r="AK6157">
        <v>469.96712408705702</v>
      </c>
      <c r="AL6157">
        <v>90.154069791062696</v>
      </c>
      <c r="AM6157">
        <v>88.345440175931401</v>
      </c>
      <c r="AN6157">
        <v>1.0000000404435601</v>
      </c>
    </row>
    <row r="6158" spans="1:40" x14ac:dyDescent="0.25">
      <c r="A6158" t="str">
        <f>"20190312161438602"</f>
        <v>20190312161438602</v>
      </c>
      <c r="B6158" t="str">
        <f>"1552378478593036"</f>
        <v>1552378478593036</v>
      </c>
      <c r="C6158" t="s">
        <v>40</v>
      </c>
      <c r="D6158">
        <v>5.5945340000000003</v>
      </c>
      <c r="E6158">
        <v>0.29740640000000002</v>
      </c>
      <c r="F6158" t="s">
        <v>57</v>
      </c>
      <c r="G6158">
        <v>21.571660000000001</v>
      </c>
      <c r="H6158">
        <v>-0.1</v>
      </c>
      <c r="I6158">
        <v>-91.777450000000002</v>
      </c>
      <c r="J6158">
        <v>-292.11829999999998</v>
      </c>
      <c r="K6158">
        <v>1.1176919999999999</v>
      </c>
      <c r="L6158">
        <v>-64.369140000000002</v>
      </c>
      <c r="M6158">
        <v>0.85418989999999995</v>
      </c>
      <c r="N6158">
        <v>0</v>
      </c>
      <c r="O6158">
        <v>-0.519740799999999</v>
      </c>
      <c r="P6158">
        <v>0.83837519999999999</v>
      </c>
      <c r="Q6158">
        <v>-1.8722989999999998E-2</v>
      </c>
      <c r="R6158">
        <v>-0.54477240000000005</v>
      </c>
      <c r="S6158">
        <v>3.3974299999999999</v>
      </c>
      <c r="T6158">
        <v>-1.3184309999999999E-2</v>
      </c>
      <c r="U6158">
        <v>-0.29730220000000002</v>
      </c>
      <c r="V6158">
        <v>2.966396E-2</v>
      </c>
      <c r="W6158">
        <v>-3.062511E-3</v>
      </c>
      <c r="X6158">
        <v>0.99955519999999998</v>
      </c>
      <c r="Y6158">
        <v>-0.44334220000000002</v>
      </c>
      <c r="Z6158">
        <v>2.781586E-3</v>
      </c>
      <c r="AA6158">
        <v>0.89634809999999998</v>
      </c>
      <c r="AB6158">
        <v>20</v>
      </c>
      <c r="AC6158">
        <v>313.68995999999999</v>
      </c>
      <c r="AD6158">
        <v>-1.217692</v>
      </c>
      <c r="AE6158">
        <v>-27.408309999999901</v>
      </c>
      <c r="AF6158">
        <v>-139.63947889498701</v>
      </c>
      <c r="AG6158">
        <v>-1.217692</v>
      </c>
      <c r="AH6158">
        <v>282.22412532365303</v>
      </c>
      <c r="AI6158">
        <v>90.221570708958595</v>
      </c>
      <c r="AJ6158">
        <v>116.32538688755599</v>
      </c>
      <c r="AK6158">
        <v>314.88271428354301</v>
      </c>
      <c r="AL6158">
        <v>90.175469235674498</v>
      </c>
      <c r="AM6158">
        <v>88.300122890376599</v>
      </c>
      <c r="AN6158">
        <v>0.99999996367177202</v>
      </c>
    </row>
    <row r="6159" spans="1:40" x14ac:dyDescent="0.25">
      <c r="A6159" t="str">
        <f>"20190312161438615"</f>
        <v>20190312161438615</v>
      </c>
      <c r="B6159" t="str">
        <f>"1552378478612558"</f>
        <v>1552378478612558</v>
      </c>
      <c r="C6159" t="s">
        <v>40</v>
      </c>
      <c r="D6159">
        <v>5.7547800000000002</v>
      </c>
      <c r="E6159">
        <v>0.29861130000000002</v>
      </c>
      <c r="F6159" t="s">
        <v>57</v>
      </c>
      <c r="G6159">
        <v>-2.1140750000000001</v>
      </c>
      <c r="H6159">
        <v>-0.1</v>
      </c>
      <c r="I6159">
        <v>-88.251710000000003</v>
      </c>
      <c r="J6159">
        <v>-292.02370000000002</v>
      </c>
      <c r="K6159">
        <v>1.1176790000000001</v>
      </c>
      <c r="L6159">
        <v>-64.417330000000007</v>
      </c>
      <c r="M6159">
        <v>0.85783889999999996</v>
      </c>
      <c r="N6159">
        <v>0</v>
      </c>
      <c r="O6159">
        <v>-0.51369589999999998</v>
      </c>
      <c r="P6159">
        <v>0.84192239999999996</v>
      </c>
      <c r="Q6159">
        <v>-1.9029379999999999E-2</v>
      </c>
      <c r="R6159">
        <v>-0.53926319999999905</v>
      </c>
      <c r="S6159">
        <v>3.3963009999999998</v>
      </c>
      <c r="T6159">
        <v>-1.426065E-2</v>
      </c>
      <c r="U6159">
        <v>-0.27969359999999999</v>
      </c>
      <c r="V6159">
        <v>3.0176999999999999E-2</v>
      </c>
      <c r="W6159">
        <v>-3.3645680000000001E-3</v>
      </c>
      <c r="X6159">
        <v>0.99953890000000001</v>
      </c>
      <c r="Y6159">
        <v>-0.44159870000000001</v>
      </c>
      <c r="Z6159">
        <v>2.9855670000000002E-3</v>
      </c>
      <c r="AA6159">
        <v>0.89720769999999905</v>
      </c>
      <c r="AB6159">
        <v>20</v>
      </c>
      <c r="AC6159">
        <v>289.90962500000001</v>
      </c>
      <c r="AD6159">
        <v>-1.217679</v>
      </c>
      <c r="AE6159">
        <v>-23.834379999999999</v>
      </c>
      <c r="AF6159">
        <v>-128.49178562648399</v>
      </c>
      <c r="AG6159">
        <v>-1.217679</v>
      </c>
      <c r="AH6159">
        <v>260.96467952156598</v>
      </c>
      <c r="AI6159">
        <v>90.239847462159702</v>
      </c>
      <c r="AJ6159">
        <v>116.21435862201901</v>
      </c>
      <c r="AK6159">
        <v>290.88517609775698</v>
      </c>
      <c r="AL6159">
        <v>90.192775911517103</v>
      </c>
      <c r="AM6159">
        <v>88.270712927787699</v>
      </c>
      <c r="AN6159">
        <v>0.999999992130018</v>
      </c>
    </row>
    <row r="6160" spans="1:40" x14ac:dyDescent="0.25">
      <c r="A6160" t="str">
        <f>"20190312161438626"</f>
        <v>20190312161438626</v>
      </c>
      <c r="B6160" t="str">
        <f>"1552378478622316"</f>
        <v>1552378478622316</v>
      </c>
      <c r="C6160" t="s">
        <v>40</v>
      </c>
      <c r="D6160">
        <v>5.7834159999999999</v>
      </c>
      <c r="E6160">
        <v>0.29937170000000002</v>
      </c>
      <c r="F6160" t="s">
        <v>41</v>
      </c>
      <c r="G6160">
        <v>-83.44847</v>
      </c>
      <c r="H6160">
        <v>-0.05</v>
      </c>
      <c r="I6160">
        <v>-80.727680000000007</v>
      </c>
      <c r="J6160">
        <v>-291.9325</v>
      </c>
      <c r="K6160">
        <v>1.1176600000000001</v>
      </c>
      <c r="L6160">
        <v>-64.463290000000001</v>
      </c>
      <c r="M6160">
        <v>0.86131199999999997</v>
      </c>
      <c r="N6160">
        <v>0</v>
      </c>
      <c r="O6160">
        <v>-0.50785119999999995</v>
      </c>
      <c r="P6160">
        <v>0.84518479999999996</v>
      </c>
      <c r="Q6160">
        <v>-1.9282609999999999E-2</v>
      </c>
      <c r="R6160">
        <v>-0.53412649999999995</v>
      </c>
      <c r="S6160">
        <v>3.3928829999999999</v>
      </c>
      <c r="T6160">
        <v>-1.8994569999999999E-2</v>
      </c>
      <c r="U6160">
        <v>-0.26531979999999999</v>
      </c>
      <c r="V6160">
        <v>3.0894029999999999E-2</v>
      </c>
      <c r="W6160">
        <v>-3.609723E-3</v>
      </c>
      <c r="X6160">
        <v>0.99951610000000002</v>
      </c>
      <c r="Y6160">
        <v>-0.43919320000000001</v>
      </c>
      <c r="Z6160">
        <v>3.9470579999999998E-3</v>
      </c>
      <c r="AA6160">
        <v>0.89838399999999996</v>
      </c>
      <c r="AB6160">
        <v>20</v>
      </c>
      <c r="AC6160">
        <v>208.48402999999999</v>
      </c>
      <c r="AD6160">
        <v>-1.1676599999999999</v>
      </c>
      <c r="AE6160">
        <v>-16.264389999999999</v>
      </c>
      <c r="AF6160">
        <v>-91.877797570811794</v>
      </c>
      <c r="AG6160">
        <v>-1.1676599999999999</v>
      </c>
      <c r="AH6160">
        <v>187.845321284352</v>
      </c>
      <c r="AI6160">
        <v>90.319932030106003</v>
      </c>
      <c r="AJ6160">
        <v>116.06390941528601</v>
      </c>
      <c r="AK6160">
        <v>209.114222005009</v>
      </c>
      <c r="AL6160">
        <v>90.206822352053607</v>
      </c>
      <c r="AM6160">
        <v>88.229609150501602</v>
      </c>
      <c r="AN6160">
        <v>0.99999995267449204</v>
      </c>
    </row>
    <row r="6161" spans="1:40" x14ac:dyDescent="0.25">
      <c r="A6161" t="str">
        <f>"20190312161438636"</f>
        <v>20190312161438636</v>
      </c>
      <c r="B6161" t="str">
        <f>"1552378478633053"</f>
        <v>1552378478633053</v>
      </c>
      <c r="C6161" t="s">
        <v>40</v>
      </c>
      <c r="D6161">
        <v>5.7777900000000004</v>
      </c>
      <c r="E6161">
        <v>0.30000369999999998</v>
      </c>
      <c r="F6161" t="s">
        <v>41</v>
      </c>
      <c r="G6161">
        <v>-104.2461</v>
      </c>
      <c r="H6161">
        <v>-0.05</v>
      </c>
      <c r="I6161">
        <v>-78.284210000000002</v>
      </c>
      <c r="J6161">
        <v>-291.85199999999998</v>
      </c>
      <c r="K6161">
        <v>1.117648</v>
      </c>
      <c r="L6161">
        <v>-64.502780000000001</v>
      </c>
      <c r="M6161">
        <v>0.8643267</v>
      </c>
      <c r="N6161">
        <v>0</v>
      </c>
      <c r="O6161">
        <v>-0.50270349999999997</v>
      </c>
      <c r="P6161">
        <v>0.84795499999999902</v>
      </c>
      <c r="Q6161">
        <v>-1.99744E-2</v>
      </c>
      <c r="R6161">
        <v>-0.529692099999999</v>
      </c>
      <c r="S6161">
        <v>3.391235</v>
      </c>
      <c r="T6161">
        <v>-2.1098019999999999E-2</v>
      </c>
      <c r="U6161">
        <v>-0.24972530000000001</v>
      </c>
      <c r="V6161">
        <v>3.1641959999999997E-2</v>
      </c>
      <c r="W6161">
        <v>-4.29269E-3</v>
      </c>
      <c r="X6161">
        <v>0.99948999999999999</v>
      </c>
      <c r="Y6161">
        <v>-0.43790299999999999</v>
      </c>
      <c r="Z6161">
        <v>4.3561160000000002E-3</v>
      </c>
      <c r="AA6161">
        <v>0.89901169999999997</v>
      </c>
      <c r="AB6161">
        <v>20</v>
      </c>
      <c r="AC6161">
        <v>187.60589999999999</v>
      </c>
      <c r="AD6161">
        <v>-1.167648</v>
      </c>
      <c r="AE6161">
        <v>-13.781429999999901</v>
      </c>
      <c r="AF6161">
        <v>-82.404727190196397</v>
      </c>
      <c r="AG6161">
        <v>-1.167648</v>
      </c>
      <c r="AH6161">
        <v>169.09357119135501</v>
      </c>
      <c r="AI6161">
        <v>90.355656372545297</v>
      </c>
      <c r="AJ6161">
        <v>115.981460904993</v>
      </c>
      <c r="AK6161">
        <v>188.10778368634399</v>
      </c>
      <c r="AL6161">
        <v>90.245953787319294</v>
      </c>
      <c r="AM6161">
        <v>88.186729772673303</v>
      </c>
      <c r="AN6161">
        <v>0.99999995046003698</v>
      </c>
    </row>
    <row r="6162" spans="1:40" x14ac:dyDescent="0.25">
      <c r="A6162" t="str">
        <f>"20190312161438646"</f>
        <v>20190312161438646</v>
      </c>
      <c r="B6162" t="str">
        <f>"1552378478642815"</f>
        <v>1552378478642815</v>
      </c>
      <c r="C6162" t="s">
        <v>40</v>
      </c>
      <c r="D6162">
        <v>5.6284789999999996</v>
      </c>
      <c r="E6162">
        <v>0.30080839999999998</v>
      </c>
      <c r="F6162" t="s">
        <v>41</v>
      </c>
      <c r="G6162">
        <v>-136.351</v>
      </c>
      <c r="H6162">
        <v>-0.05</v>
      </c>
      <c r="I6162">
        <v>-75.334119999999999</v>
      </c>
      <c r="J6162">
        <v>-291.7654</v>
      </c>
      <c r="K6162">
        <v>1.1176330000000001</v>
      </c>
      <c r="L6162">
        <v>-64.54504</v>
      </c>
      <c r="M6162">
        <v>0.86753119999999995</v>
      </c>
      <c r="N6162">
        <v>0</v>
      </c>
      <c r="O6162">
        <v>-0.4971526</v>
      </c>
      <c r="P6162">
        <v>0.85110769999999902</v>
      </c>
      <c r="Q6162">
        <v>-2.042513E-2</v>
      </c>
      <c r="R6162">
        <v>-0.52459389999999995</v>
      </c>
      <c r="S6162">
        <v>3.3898009999999998</v>
      </c>
      <c r="T6162">
        <v>-2.545381E-2</v>
      </c>
      <c r="U6162">
        <v>-0.2361145</v>
      </c>
      <c r="V6162">
        <v>3.2063960000000002E-2</v>
      </c>
      <c r="W6162">
        <v>-4.7403870000000004E-3</v>
      </c>
      <c r="X6162">
        <v>0.99947459999999999</v>
      </c>
      <c r="Y6162">
        <v>-0.43569449999999998</v>
      </c>
      <c r="Z6162">
        <v>5.2147019999999999E-3</v>
      </c>
      <c r="AA6162">
        <v>0.90007950000000003</v>
      </c>
      <c r="AB6162">
        <v>20</v>
      </c>
      <c r="AC6162">
        <v>155.4144</v>
      </c>
      <c r="AD6162">
        <v>-1.1676329999999999</v>
      </c>
      <c r="AE6162">
        <v>-10.789079999999901</v>
      </c>
      <c r="AF6162">
        <v>-67.908768107703395</v>
      </c>
      <c r="AG6162">
        <v>-1.1676329999999999</v>
      </c>
      <c r="AH6162">
        <v>140.198832679872</v>
      </c>
      <c r="AI6162">
        <v>90.429447432031793</v>
      </c>
      <c r="AJ6162">
        <v>115.844373826911</v>
      </c>
      <c r="AK6162">
        <v>155.784071193198</v>
      </c>
      <c r="AL6162">
        <v>90.271605179493903</v>
      </c>
      <c r="AM6162">
        <v>88.162534869332305</v>
      </c>
      <c r="AN6162">
        <v>1.0000000224224701</v>
      </c>
    </row>
    <row r="6163" spans="1:40" x14ac:dyDescent="0.25">
      <c r="A6163" t="str">
        <f>"20190312161438658"</f>
        <v>20190312161438658</v>
      </c>
      <c r="B6163" t="str">
        <f>"1552378478652572"</f>
        <v>1552378478652572</v>
      </c>
      <c r="C6163" t="s">
        <v>40</v>
      </c>
      <c r="D6163">
        <v>5.5783269999999998</v>
      </c>
      <c r="E6163">
        <v>0.30139650000000001</v>
      </c>
      <c r="F6163" t="s">
        <v>41</v>
      </c>
      <c r="G6163">
        <v>-145.755</v>
      </c>
      <c r="H6163">
        <v>-0.05</v>
      </c>
      <c r="I6163">
        <v>-74.079390000000004</v>
      </c>
      <c r="J6163">
        <v>-291.67959999999999</v>
      </c>
      <c r="K6163">
        <v>1.1176200000000001</v>
      </c>
      <c r="L6163">
        <v>-64.585849999999994</v>
      </c>
      <c r="M6163">
        <v>0.87066149999999998</v>
      </c>
      <c r="N6163">
        <v>0</v>
      </c>
      <c r="O6163">
        <v>-0.49165039999999999</v>
      </c>
      <c r="P6163">
        <v>0.8541185</v>
      </c>
      <c r="Q6163">
        <v>-2.0880619999999999E-2</v>
      </c>
      <c r="R6163">
        <v>-0.51965899999999998</v>
      </c>
      <c r="S6163">
        <v>3.3878170000000001</v>
      </c>
      <c r="T6163">
        <v>-2.7092100000000001E-2</v>
      </c>
      <c r="U6163">
        <v>-0.2212219</v>
      </c>
      <c r="V6163">
        <v>3.2620379999999997E-2</v>
      </c>
      <c r="W6163">
        <v>-5.1906970000000002E-3</v>
      </c>
      <c r="X6163">
        <v>0.99945430000000002</v>
      </c>
      <c r="Y6163">
        <v>-0.43389420000000001</v>
      </c>
      <c r="Z6163">
        <v>5.5097100000000001E-3</v>
      </c>
      <c r="AA6163">
        <v>0.90094700000000005</v>
      </c>
      <c r="AB6163">
        <v>20</v>
      </c>
      <c r="AC6163">
        <v>145.9246</v>
      </c>
      <c r="AD6163">
        <v>-1.1676200000000001</v>
      </c>
      <c r="AE6163">
        <v>-9.4935400000000101</v>
      </c>
      <c r="AF6163">
        <v>-63.481432565397697</v>
      </c>
      <c r="AG6163">
        <v>-1.1676200000000001</v>
      </c>
      <c r="AH6163">
        <v>131.725083010573</v>
      </c>
      <c r="AI6163">
        <v>90.457506177053602</v>
      </c>
      <c r="AJ6163">
        <v>115.73051670218101</v>
      </c>
      <c r="AK6163">
        <v>146.22842784890301</v>
      </c>
      <c r="AL6163">
        <v>90.2974063767237</v>
      </c>
      <c r="AM6163">
        <v>88.130633017735803</v>
      </c>
      <c r="AN6163">
        <v>0.99999996515758904</v>
      </c>
    </row>
    <row r="6164" spans="1:40" x14ac:dyDescent="0.25">
      <c r="A6164" t="str">
        <f>"20190312161438670"</f>
        <v>20190312161438670</v>
      </c>
      <c r="B6164" t="str">
        <f>"1552378478662332"</f>
        <v>1552378478662332</v>
      </c>
      <c r="C6164" t="s">
        <v>40</v>
      </c>
      <c r="D6164">
        <v>5.6023370000000003</v>
      </c>
      <c r="E6164">
        <v>0.30212169999999999</v>
      </c>
      <c r="F6164" t="s">
        <v>41</v>
      </c>
      <c r="G6164">
        <v>-152.82050000000001</v>
      </c>
      <c r="H6164">
        <v>-0.05</v>
      </c>
      <c r="I6164">
        <v>-73.017259999999993</v>
      </c>
      <c r="J6164">
        <v>-291.58710000000002</v>
      </c>
      <c r="K6164">
        <v>1.1176060000000001</v>
      </c>
      <c r="L6164">
        <v>-64.629519999999999</v>
      </c>
      <c r="M6164">
        <v>0.87398759999999998</v>
      </c>
      <c r="N6164">
        <v>0</v>
      </c>
      <c r="O6164">
        <v>-0.48571310000000001</v>
      </c>
      <c r="P6164">
        <v>0.85735490000000003</v>
      </c>
      <c r="Q6164">
        <v>-2.0994619999999999E-2</v>
      </c>
      <c r="R6164">
        <v>-0.51429729999999996</v>
      </c>
      <c r="S6164">
        <v>3.386536</v>
      </c>
      <c r="T6164">
        <v>-2.847624E-2</v>
      </c>
      <c r="U6164">
        <v>-0.20562739999999999</v>
      </c>
      <c r="V6164">
        <v>3.3163779999999997E-2</v>
      </c>
      <c r="W6164">
        <v>-5.2998480000000002E-3</v>
      </c>
      <c r="X6164">
        <v>0.99943590000000004</v>
      </c>
      <c r="Y6164">
        <v>-0.43186839999999999</v>
      </c>
      <c r="Z6164">
        <v>5.7429129999999997E-3</v>
      </c>
      <c r="AA6164">
        <v>0.90191840000000001</v>
      </c>
      <c r="AB6164">
        <v>20</v>
      </c>
      <c r="AC6164">
        <v>138.76660000000001</v>
      </c>
      <c r="AD6164">
        <v>-1.1676059999999999</v>
      </c>
      <c r="AE6164">
        <v>-8.3877399999999902</v>
      </c>
      <c r="AF6164">
        <v>-60.072600110821099</v>
      </c>
      <c r="AG6164">
        <v>-1.1676059999999999</v>
      </c>
      <c r="AH6164">
        <v>125.359801590174</v>
      </c>
      <c r="AI6164">
        <v>90.481240869411195</v>
      </c>
      <c r="AJ6164">
        <v>115.60380885733299</v>
      </c>
      <c r="AK6164">
        <v>139.014964815209</v>
      </c>
      <c r="AL6164">
        <v>90.303660337513307</v>
      </c>
      <c r="AM6164">
        <v>88.099480232325902</v>
      </c>
      <c r="AN6164">
        <v>1.0000000214507601</v>
      </c>
    </row>
    <row r="6165" spans="1:40" x14ac:dyDescent="0.25">
      <c r="A6165" t="str">
        <f>"20190312161438679"</f>
        <v>20190312161438679</v>
      </c>
      <c r="B6165" t="str">
        <f>"1552378478673068"</f>
        <v>1552378478673068</v>
      </c>
      <c r="C6165" t="s">
        <v>40</v>
      </c>
      <c r="D6165">
        <v>5.6001899999999996</v>
      </c>
      <c r="E6165">
        <v>0.30293049999999999</v>
      </c>
      <c r="F6165" t="s">
        <v>77</v>
      </c>
      <c r="G6165">
        <v>-176.26339999999999</v>
      </c>
      <c r="H6165">
        <v>7.9987329999999995E-2</v>
      </c>
      <c r="I6165">
        <v>-71.08023</v>
      </c>
      <c r="J6165">
        <v>-291.49970000000002</v>
      </c>
      <c r="K6165">
        <v>1.1175930000000001</v>
      </c>
      <c r="L6165">
        <v>-64.66968</v>
      </c>
      <c r="M6165">
        <v>0.87708039999999998</v>
      </c>
      <c r="N6165">
        <v>0</v>
      </c>
      <c r="O6165">
        <v>-0.48010599999999998</v>
      </c>
      <c r="P6165">
        <v>0.86036590000000002</v>
      </c>
      <c r="Q6165">
        <v>-2.1037960000000001E-2</v>
      </c>
      <c r="R6165">
        <v>-0.50924269999999905</v>
      </c>
      <c r="S6165">
        <v>3.3847960000000001</v>
      </c>
      <c r="T6165">
        <v>-3.0454519999999999E-2</v>
      </c>
      <c r="U6165">
        <v>-0.1893311</v>
      </c>
      <c r="V6165">
        <v>3.3683360000000002E-2</v>
      </c>
      <c r="W6165">
        <v>-5.3384959999999999E-3</v>
      </c>
      <c r="X6165">
        <v>0.99941829999999998</v>
      </c>
      <c r="Y6165">
        <v>-0.43038700000000002</v>
      </c>
      <c r="Z6165">
        <v>6.0958640000000003E-3</v>
      </c>
      <c r="AA6165">
        <v>0.90262390000000003</v>
      </c>
      <c r="AB6165">
        <v>20</v>
      </c>
      <c r="AC6165">
        <v>115.2363</v>
      </c>
      <c r="AD6165">
        <v>-1.03760567</v>
      </c>
      <c r="AE6165">
        <v>-6.4105499999999997</v>
      </c>
      <c r="AF6165">
        <v>-49.704726028225203</v>
      </c>
      <c r="AG6165">
        <v>-1.03760567</v>
      </c>
      <c r="AH6165">
        <v>104.15271100372</v>
      </c>
      <c r="AI6165">
        <v>90.515131495413499</v>
      </c>
      <c r="AJ6165">
        <v>115.511844121474</v>
      </c>
      <c r="AK6165">
        <v>115.409807315027</v>
      </c>
      <c r="AL6165">
        <v>90.305874741622901</v>
      </c>
      <c r="AM6165">
        <v>88.069692998369405</v>
      </c>
      <c r="AN6165">
        <v>1.0000000033276599</v>
      </c>
    </row>
    <row r="6166" spans="1:40" x14ac:dyDescent="0.25">
      <c r="A6166" t="str">
        <f>"20190312161438691"</f>
        <v>20190312161438691</v>
      </c>
      <c r="B6166" t="str">
        <f>"1552378478682829"</f>
        <v>1552378478682829</v>
      </c>
      <c r="C6166" t="s">
        <v>40</v>
      </c>
      <c r="D6166">
        <v>5.0446879999999998</v>
      </c>
      <c r="E6166">
        <v>0.30316680000000001</v>
      </c>
      <c r="F6166" t="s">
        <v>77</v>
      </c>
      <c r="G6166">
        <v>-182.60599999999999</v>
      </c>
      <c r="H6166">
        <v>7.4745389999999995E-2</v>
      </c>
      <c r="I6166">
        <v>-70.299009999999996</v>
      </c>
      <c r="J6166">
        <v>-291.4101</v>
      </c>
      <c r="K6166">
        <v>1.1175729999999999</v>
      </c>
      <c r="L6166">
        <v>-64.710449999999994</v>
      </c>
      <c r="M6166">
        <v>0.88020929999999997</v>
      </c>
      <c r="N6166">
        <v>0</v>
      </c>
      <c r="O6166">
        <v>-0.47434510000000002</v>
      </c>
      <c r="P6166">
        <v>0.86340550000000005</v>
      </c>
      <c r="Q6166">
        <v>-2.1343319999999999E-2</v>
      </c>
      <c r="R6166">
        <v>-0.50405909999999998</v>
      </c>
      <c r="S6166">
        <v>3.3825989999999999</v>
      </c>
      <c r="T6166">
        <v>-3.2394289999999999E-2</v>
      </c>
      <c r="U6166">
        <v>-0.17486570000000001</v>
      </c>
      <c r="V6166">
        <v>3.423404E-2</v>
      </c>
      <c r="W6166">
        <v>-5.6387950000000003E-3</v>
      </c>
      <c r="X6166">
        <v>0.99939789999999995</v>
      </c>
      <c r="Y6166">
        <v>-0.42827949999999998</v>
      </c>
      <c r="Z6166">
        <v>6.4311489999999997E-3</v>
      </c>
      <c r="AA6166">
        <v>0.90362350000000002</v>
      </c>
      <c r="AB6166">
        <v>20</v>
      </c>
      <c r="AC6166">
        <v>108.80410000000001</v>
      </c>
      <c r="AD6166">
        <v>-1.04282761</v>
      </c>
      <c r="AE6166">
        <v>-5.5885600000000002</v>
      </c>
      <c r="AF6166">
        <v>-46.692642321225399</v>
      </c>
      <c r="AG6166">
        <v>-1.04282761</v>
      </c>
      <c r="AH6166">
        <v>98.423506606746002</v>
      </c>
      <c r="AI6166">
        <v>90.548459154637399</v>
      </c>
      <c r="AJ6166">
        <v>115.37991488366499</v>
      </c>
      <c r="AK6166">
        <v>108.94253985074</v>
      </c>
      <c r="AL6166">
        <v>90.323080878794997</v>
      </c>
      <c r="AM6166">
        <v>88.038119387339705</v>
      </c>
      <c r="AN6166">
        <v>0.99999996401409097</v>
      </c>
    </row>
    <row r="6167" spans="1:40" x14ac:dyDescent="0.25">
      <c r="A6167" t="str">
        <f>"20190312161438702"</f>
        <v>20190312161438702</v>
      </c>
      <c r="B6167" t="str">
        <f>"1552378478692588"</f>
        <v>1552378478692588</v>
      </c>
      <c r="C6167" t="s">
        <v>40</v>
      </c>
      <c r="D6167">
        <v>7.2875949999999996</v>
      </c>
      <c r="E6167">
        <v>0.3034365</v>
      </c>
      <c r="F6167" t="s">
        <v>77</v>
      </c>
      <c r="G6167">
        <v>-177.85069999999999</v>
      </c>
      <c r="H6167">
        <v>7.9987500000000003E-2</v>
      </c>
      <c r="I6167">
        <v>-69.958119999999994</v>
      </c>
      <c r="J6167">
        <v>-291.32119999999998</v>
      </c>
      <c r="K6167">
        <v>1.1175600000000001</v>
      </c>
      <c r="L6167">
        <v>-64.750029999999995</v>
      </c>
      <c r="M6167">
        <v>0.88326469999999901</v>
      </c>
      <c r="N6167">
        <v>0</v>
      </c>
      <c r="O6167">
        <v>-0.46863139999999998</v>
      </c>
      <c r="P6167">
        <v>0.86632369999999903</v>
      </c>
      <c r="Q6167">
        <v>-2.211807E-2</v>
      </c>
      <c r="R6167">
        <v>-0.49899339999999998</v>
      </c>
      <c r="S6167">
        <v>3.382568</v>
      </c>
      <c r="T6167">
        <v>-3.0906320000000001E-2</v>
      </c>
      <c r="U6167">
        <v>-0.15631099999999901</v>
      </c>
      <c r="V6167">
        <v>3.4878850000000003E-2</v>
      </c>
      <c r="W6167">
        <v>-6.407205E-3</v>
      </c>
      <c r="X6167">
        <v>0.99937100000000001</v>
      </c>
      <c r="Y6167">
        <v>-0.42737190000000003</v>
      </c>
      <c r="Z6167">
        <v>6.0873269999999896E-3</v>
      </c>
      <c r="AA6167">
        <v>0.90405539999999995</v>
      </c>
      <c r="AB6167">
        <v>20</v>
      </c>
      <c r="AC6167">
        <v>113.4705</v>
      </c>
      <c r="AD6167">
        <v>-1.0375725</v>
      </c>
      <c r="AE6167">
        <v>-5.2080899999999799</v>
      </c>
      <c r="AF6167">
        <v>-48.577204640287</v>
      </c>
      <c r="AG6167">
        <v>-1.0375725</v>
      </c>
      <c r="AH6167">
        <v>102.66830531907701</v>
      </c>
      <c r="AI6167">
        <v>90.523389854752907</v>
      </c>
      <c r="AJ6167">
        <v>115.32103329786</v>
      </c>
      <c r="AK6167">
        <v>113.585220360962</v>
      </c>
      <c r="AL6167">
        <v>90.367108320062997</v>
      </c>
      <c r="AM6167">
        <v>88.001142625759897</v>
      </c>
      <c r="AN6167">
        <v>0.99999999104711701</v>
      </c>
    </row>
    <row r="6168" spans="1:40" x14ac:dyDescent="0.25">
      <c r="A6168" t="str">
        <f>"20190312161438713"</f>
        <v>20190312161438713</v>
      </c>
      <c r="B6168" t="str">
        <f>"1552378478702348"</f>
        <v>1552378478702348</v>
      </c>
      <c r="C6168" t="s">
        <v>40</v>
      </c>
      <c r="D6168">
        <v>5.6323489999999996</v>
      </c>
      <c r="E6168">
        <v>0.3034365</v>
      </c>
      <c r="F6168" t="s">
        <v>77</v>
      </c>
      <c r="G6168">
        <v>-176.78030000000001</v>
      </c>
      <c r="H6168">
        <v>7.9987589999999997E-2</v>
      </c>
      <c r="I6168">
        <v>-69.439840000000004</v>
      </c>
      <c r="J6168">
        <v>-291.23360000000002</v>
      </c>
      <c r="K6168">
        <v>1.1175469999999901</v>
      </c>
      <c r="L6168">
        <v>-64.788390000000007</v>
      </c>
      <c r="M6168">
        <v>0.88622990000000001</v>
      </c>
      <c r="N6168">
        <v>0</v>
      </c>
      <c r="O6168">
        <v>-0.46299980000000002</v>
      </c>
      <c r="P6168">
        <v>0.86914720000000001</v>
      </c>
      <c r="Q6168">
        <v>-2.288401E-2</v>
      </c>
      <c r="R6168">
        <v>-0.49402400000000002</v>
      </c>
      <c r="S6168">
        <v>3.382355</v>
      </c>
      <c r="T6168">
        <v>-3.063917E-2</v>
      </c>
      <c r="U6168">
        <v>-0.1384888</v>
      </c>
      <c r="V6168">
        <v>3.5539269999999998E-2</v>
      </c>
      <c r="W6168">
        <v>-7.1664390000000001E-3</v>
      </c>
      <c r="X6168">
        <v>0.99934259999999997</v>
      </c>
      <c r="Y6168">
        <v>-0.42636980000000002</v>
      </c>
      <c r="Z6168">
        <v>5.9868539999999998E-3</v>
      </c>
      <c r="AA6168">
        <v>0.90452920000000003</v>
      </c>
      <c r="AB6168">
        <v>20</v>
      </c>
      <c r="AC6168">
        <v>114.4533</v>
      </c>
      <c r="AD6168">
        <v>-1.0375594099999901</v>
      </c>
      <c r="AE6168">
        <v>-4.6514499999999899</v>
      </c>
      <c r="AF6168">
        <v>-48.871157267963099</v>
      </c>
      <c r="AG6168">
        <v>-1.0375594099999901</v>
      </c>
      <c r="AH6168">
        <v>103.588855873432</v>
      </c>
      <c r="AI6168">
        <v>90.519006361753895</v>
      </c>
      <c r="AJ6168">
        <v>115.257004219119</v>
      </c>
      <c r="AK6168">
        <v>114.543081866196</v>
      </c>
      <c r="AL6168">
        <v>90.410610217460501</v>
      </c>
      <c r="AM6168">
        <v>87.963268640586193</v>
      </c>
      <c r="AN6168">
        <v>1.00000001486741</v>
      </c>
    </row>
    <row r="6169" spans="1:40" x14ac:dyDescent="0.25">
      <c r="A6169" t="str">
        <f>"20190312161438723"</f>
        <v>20190312161438723</v>
      </c>
      <c r="B6169" t="str">
        <f>"1552378478713084"</f>
        <v>1552378478713084</v>
      </c>
      <c r="C6169" t="s">
        <v>40</v>
      </c>
      <c r="D6169">
        <v>5.5984669999999896</v>
      </c>
      <c r="E6169">
        <v>0.32505590000000001</v>
      </c>
      <c r="F6169" t="s">
        <v>77</v>
      </c>
      <c r="G6169">
        <v>-180.1738</v>
      </c>
      <c r="H6169">
        <v>7.9988519999999994E-2</v>
      </c>
      <c r="I6169">
        <v>-68.700530000000001</v>
      </c>
      <c r="J6169">
        <v>-291.14339999999999</v>
      </c>
      <c r="K6169">
        <v>1.11754</v>
      </c>
      <c r="L6169">
        <v>-64.827299999999994</v>
      </c>
      <c r="M6169">
        <v>0.88924059999999905</v>
      </c>
      <c r="N6169">
        <v>0</v>
      </c>
      <c r="O6169">
        <v>-0.4571904</v>
      </c>
      <c r="P6169">
        <v>0.87194470000000002</v>
      </c>
      <c r="Q6169">
        <v>-2.319502E-2</v>
      </c>
      <c r="R6169">
        <v>-0.48905480000000001</v>
      </c>
      <c r="S6169">
        <v>3.3830870000000002</v>
      </c>
      <c r="T6169">
        <v>-3.1605960000000002E-2</v>
      </c>
      <c r="U6169">
        <v>-0.1191711</v>
      </c>
      <c r="V6169">
        <v>3.6383390000000002E-2</v>
      </c>
      <c r="W6169">
        <v>-7.4675610000000002E-3</v>
      </c>
      <c r="X6169">
        <v>0.99931000000000003</v>
      </c>
      <c r="Y6169">
        <v>-0.42561379999999999</v>
      </c>
      <c r="Z6169">
        <v>6.1241689999999996E-3</v>
      </c>
      <c r="AA6169">
        <v>0.90488420000000003</v>
      </c>
      <c r="AB6169">
        <v>20</v>
      </c>
      <c r="AC6169">
        <v>110.9696</v>
      </c>
      <c r="AD6169">
        <v>-1.0375514800000001</v>
      </c>
      <c r="AE6169">
        <v>-3.87323</v>
      </c>
      <c r="AF6169">
        <v>-47.291267458997403</v>
      </c>
      <c r="AG6169">
        <v>-1.0375514800000001</v>
      </c>
      <c r="AH6169">
        <v>100.452164300812</v>
      </c>
      <c r="AI6169">
        <v>90.535413309302299</v>
      </c>
      <c r="AJ6169">
        <v>115.210303870826</v>
      </c>
      <c r="AK6169">
        <v>111.032327741381</v>
      </c>
      <c r="AL6169">
        <v>90.427863707007404</v>
      </c>
      <c r="AM6169">
        <v>87.914866942568494</v>
      </c>
      <c r="AN6169">
        <v>0.99999999581759003</v>
      </c>
    </row>
    <row r="6170" spans="1:40" x14ac:dyDescent="0.25">
      <c r="A6170" t="str">
        <f>"20190312161438736"</f>
        <v>20190312161438736</v>
      </c>
      <c r="B6170" t="str">
        <f>"1552378478732605"</f>
        <v>1552378478732605</v>
      </c>
      <c r="C6170" t="s">
        <v>40</v>
      </c>
      <c r="D6170">
        <v>5.6614750000000003</v>
      </c>
      <c r="E6170">
        <v>0.32577089999999997</v>
      </c>
      <c r="F6170" t="s">
        <v>105</v>
      </c>
      <c r="G6170">
        <v>-257.03250000000003</v>
      </c>
      <c r="H6170" s="1">
        <v>-3.3497860000000001E-6</v>
      </c>
      <c r="I6170">
        <v>-67.367379999999997</v>
      </c>
      <c r="J6170">
        <v>-291.05070000000001</v>
      </c>
      <c r="K6170">
        <v>1.1175280000000001</v>
      </c>
      <c r="L6170">
        <v>-64.866419999999906</v>
      </c>
      <c r="M6170">
        <v>0.892285199999999</v>
      </c>
      <c r="N6170">
        <v>0</v>
      </c>
      <c r="O6170">
        <v>-0.4512196</v>
      </c>
      <c r="P6170">
        <v>0.87493589999999999</v>
      </c>
      <c r="Q6170">
        <v>-2.2996829999999999E-2</v>
      </c>
      <c r="R6170">
        <v>-0.48369210000000001</v>
      </c>
      <c r="S6170">
        <v>3.2998959999999999</v>
      </c>
      <c r="T6170">
        <v>-0.1081114</v>
      </c>
      <c r="U6170">
        <v>-0.24572749999999999</v>
      </c>
      <c r="V6170">
        <v>3.6940260000000003E-2</v>
      </c>
      <c r="W6170">
        <v>-7.2644869999999896E-3</v>
      </c>
      <c r="X6170">
        <v>0.99929109999999999</v>
      </c>
      <c r="Y6170">
        <v>-0.38332880000000003</v>
      </c>
      <c r="Z6170">
        <v>2.0548210000000001E-2</v>
      </c>
      <c r="AA6170">
        <v>0.92338339999999997</v>
      </c>
      <c r="AB6170">
        <v>20</v>
      </c>
      <c r="AC6170">
        <v>34.018199999999901</v>
      </c>
      <c r="AD6170">
        <v>-1.117531349786</v>
      </c>
      <c r="AE6170">
        <v>-2.5009600000000201</v>
      </c>
      <c r="AF6170">
        <v>-13.105537391808999</v>
      </c>
      <c r="AG6170">
        <v>-1.117531349786</v>
      </c>
      <c r="AH6170">
        <v>31.452247694363098</v>
      </c>
      <c r="AI6170">
        <v>91.878498168002395</v>
      </c>
      <c r="AJ6170">
        <v>112.620538886505</v>
      </c>
      <c r="AK6170">
        <v>34.091756652795603</v>
      </c>
      <c r="AL6170">
        <v>90.416228094305097</v>
      </c>
      <c r="AM6170">
        <v>87.882941524554795</v>
      </c>
      <c r="AN6170">
        <v>1.00000002905972</v>
      </c>
    </row>
    <row r="6171" spans="1:40" x14ac:dyDescent="0.25">
      <c r="A6171" t="str">
        <f>"20190312161438747"</f>
        <v>20190312161438747</v>
      </c>
      <c r="B6171" t="str">
        <f>"1552378478743342"</f>
        <v>1552378478743342</v>
      </c>
      <c r="C6171" t="s">
        <v>40</v>
      </c>
      <c r="D6171">
        <v>5.6456400000000002</v>
      </c>
      <c r="E6171">
        <v>0.3262833</v>
      </c>
      <c r="F6171" t="s">
        <v>105</v>
      </c>
      <c r="G6171">
        <v>-258.49779999999998</v>
      </c>
      <c r="H6171" s="1">
        <v>-3.8176490000000004E-6</v>
      </c>
      <c r="I6171">
        <v>-67.136899999999997</v>
      </c>
      <c r="J6171">
        <v>-290.95929999999998</v>
      </c>
      <c r="K6171">
        <v>1.117516</v>
      </c>
      <c r="L6171">
        <v>-64.904539999999997</v>
      </c>
      <c r="M6171">
        <v>0.89524009999999998</v>
      </c>
      <c r="N6171">
        <v>0</v>
      </c>
      <c r="O6171">
        <v>-0.44532840000000001</v>
      </c>
      <c r="P6171">
        <v>0.87782660000000001</v>
      </c>
      <c r="Q6171">
        <v>-2.3136440000000001E-2</v>
      </c>
      <c r="R6171">
        <v>-0.47841980000000001</v>
      </c>
      <c r="S6171">
        <v>3.298645</v>
      </c>
      <c r="T6171">
        <v>-0.1132418</v>
      </c>
      <c r="U6171">
        <v>-0.230072</v>
      </c>
      <c r="V6171">
        <v>3.751877E-2</v>
      </c>
      <c r="W6171">
        <v>-7.3989019999999997E-3</v>
      </c>
      <c r="X6171">
        <v>0.9992685</v>
      </c>
      <c r="Y6171">
        <v>-0.38153670000000001</v>
      </c>
      <c r="Z6171">
        <v>2.1325770000000001E-2</v>
      </c>
      <c r="AA6171">
        <v>0.92410769999999998</v>
      </c>
      <c r="AB6171">
        <v>20</v>
      </c>
      <c r="AC6171">
        <v>32.461500000000001</v>
      </c>
      <c r="AD6171">
        <v>-1.117519817649</v>
      </c>
      <c r="AE6171">
        <v>-2.2323599999999999</v>
      </c>
      <c r="AF6171">
        <v>-12.4442697888281</v>
      </c>
      <c r="AG6171">
        <v>-1.117519817649</v>
      </c>
      <c r="AH6171">
        <v>30.022979101712298</v>
      </c>
      <c r="AI6171">
        <v>91.969362503727297</v>
      </c>
      <c r="AJ6171">
        <v>112.513591444322</v>
      </c>
      <c r="AK6171">
        <v>32.519040195888799</v>
      </c>
      <c r="AL6171">
        <v>90.423929738973698</v>
      </c>
      <c r="AM6171">
        <v>87.8497692218819</v>
      </c>
      <c r="AN6171">
        <v>0.99999996847268302</v>
      </c>
    </row>
    <row r="6172" spans="1:40" x14ac:dyDescent="0.25">
      <c r="A6172" t="str">
        <f>"20190312161438758"</f>
        <v>20190312161438758</v>
      </c>
      <c r="B6172" t="str">
        <f>"1552378478753100"</f>
        <v>1552378478753100</v>
      </c>
      <c r="C6172" t="s">
        <v>40</v>
      </c>
      <c r="D6172">
        <v>5.666404</v>
      </c>
      <c r="E6172">
        <v>0.32663809999999999</v>
      </c>
      <c r="F6172" t="s">
        <v>105</v>
      </c>
      <c r="G6172">
        <v>-258.81319999999999</v>
      </c>
      <c r="H6172" s="1">
        <v>-3.9051470000000003E-6</v>
      </c>
      <c r="I6172">
        <v>-66.988559999999893</v>
      </c>
      <c r="J6172">
        <v>-290.86520000000002</v>
      </c>
      <c r="K6172">
        <v>1.1174980000000001</v>
      </c>
      <c r="L6172">
        <v>-64.942599999999999</v>
      </c>
      <c r="M6172">
        <v>0.89823069999999905</v>
      </c>
      <c r="N6172">
        <v>0</v>
      </c>
      <c r="O6172">
        <v>-0.43926539999999997</v>
      </c>
      <c r="P6172">
        <v>0.88070339999999903</v>
      </c>
      <c r="Q6172">
        <v>-2.3309090000000001E-2</v>
      </c>
      <c r="R6172">
        <v>-0.47309489999999998</v>
      </c>
      <c r="S6172">
        <v>3.297974</v>
      </c>
      <c r="T6172">
        <v>-0.11465019999999999</v>
      </c>
      <c r="U6172">
        <v>-0.2138062</v>
      </c>
      <c r="V6172">
        <v>3.822801E-2</v>
      </c>
      <c r="W6172">
        <v>-7.564734E-3</v>
      </c>
      <c r="X6172">
        <v>0.99924040000000003</v>
      </c>
      <c r="Y6172">
        <v>-0.37980330000000001</v>
      </c>
      <c r="Z6172">
        <v>2.13823E-2</v>
      </c>
      <c r="AA6172">
        <v>0.92482010000000003</v>
      </c>
      <c r="AB6172">
        <v>20</v>
      </c>
      <c r="AC6172">
        <v>32.052</v>
      </c>
      <c r="AD6172">
        <v>-1.1175019051470001</v>
      </c>
      <c r="AE6172">
        <v>-2.0459599999999898</v>
      </c>
      <c r="AF6172">
        <v>-12.2281792433239</v>
      </c>
      <c r="AG6172">
        <v>-1.1175019051470001</v>
      </c>
      <c r="AH6172">
        <v>29.6562842585403</v>
      </c>
      <c r="AI6172">
        <v>91.995182616226103</v>
      </c>
      <c r="AJ6172">
        <v>112.40782893458901</v>
      </c>
      <c r="AK6172">
        <v>32.097856223402403</v>
      </c>
      <c r="AL6172">
        <v>90.433431468970198</v>
      </c>
      <c r="AM6172">
        <v>87.8090998012417</v>
      </c>
      <c r="AN6172">
        <v>0.99999999147060503</v>
      </c>
    </row>
    <row r="6173" spans="1:40" x14ac:dyDescent="0.25">
      <c r="A6173" t="str">
        <f>"20190312161438769"</f>
        <v>20190312161438769</v>
      </c>
      <c r="B6173" t="str">
        <f>"1552378478762861"</f>
        <v>1552378478762861</v>
      </c>
      <c r="C6173" t="s">
        <v>40</v>
      </c>
      <c r="D6173">
        <v>6.7713169999999998</v>
      </c>
      <c r="E6173">
        <v>0.32629449999999999</v>
      </c>
      <c r="F6173" t="s">
        <v>105</v>
      </c>
      <c r="G6173">
        <v>-257.85489999999999</v>
      </c>
      <c r="H6173" s="1">
        <v>-3.5685600000000002E-6</v>
      </c>
      <c r="I6173">
        <v>-66.910160000000005</v>
      </c>
      <c r="J6173">
        <v>-290.77510000000001</v>
      </c>
      <c r="K6173">
        <v>1.1174850000000001</v>
      </c>
      <c r="L6173">
        <v>-64.978790000000004</v>
      </c>
      <c r="M6173">
        <v>0.90105009999999996</v>
      </c>
      <c r="N6173">
        <v>0</v>
      </c>
      <c r="O6173">
        <v>-0.43345240000000002</v>
      </c>
      <c r="P6173">
        <v>0.88340370000000001</v>
      </c>
      <c r="Q6173">
        <v>-2.3595060000000001E-2</v>
      </c>
      <c r="R6173">
        <v>-0.46801870000000001</v>
      </c>
      <c r="S6173">
        <v>3.2977910000000001</v>
      </c>
      <c r="T6173">
        <v>-0.1116407</v>
      </c>
      <c r="U6173">
        <v>-0.19656370000000001</v>
      </c>
      <c r="V6173">
        <v>3.8941730000000001E-2</v>
      </c>
      <c r="W6173">
        <v>-7.8436500000000006E-3</v>
      </c>
      <c r="X6173">
        <v>0.99921070000000001</v>
      </c>
      <c r="Y6173">
        <v>-0.37866830000000001</v>
      </c>
      <c r="Z6173">
        <v>2.0632259999999999E-2</v>
      </c>
      <c r="AA6173">
        <v>0.92530239999999997</v>
      </c>
      <c r="AB6173">
        <v>20</v>
      </c>
      <c r="AC6173">
        <v>32.920200000000001</v>
      </c>
      <c r="AD6173">
        <v>-1.11748856856</v>
      </c>
      <c r="AE6173">
        <v>-1.93137</v>
      </c>
      <c r="AF6173">
        <v>-12.5161327344257</v>
      </c>
      <c r="AG6173">
        <v>-1.11748856856</v>
      </c>
      <c r="AH6173">
        <v>30.468392041122002</v>
      </c>
      <c r="AI6173">
        <v>91.943072564168105</v>
      </c>
      <c r="AJ6173">
        <v>112.33240357877401</v>
      </c>
      <c r="AK6173">
        <v>32.957931866216001</v>
      </c>
      <c r="AL6173">
        <v>90.449412648310698</v>
      </c>
      <c r="AM6173">
        <v>87.768170234004103</v>
      </c>
      <c r="AN6173">
        <v>1.0000000020876001</v>
      </c>
    </row>
    <row r="6174" spans="1:40" x14ac:dyDescent="0.25">
      <c r="A6174" t="str">
        <f>"20190312161438781"</f>
        <v>20190312161438781</v>
      </c>
      <c r="B6174" t="str">
        <f>"1552378478772620"</f>
        <v>1552378478772620</v>
      </c>
      <c r="C6174" t="s">
        <v>40</v>
      </c>
      <c r="D6174">
        <v>5.7480089999999997</v>
      </c>
      <c r="E6174">
        <v>0.3258219</v>
      </c>
      <c r="F6174" t="s">
        <v>105</v>
      </c>
      <c r="G6174">
        <v>-255.71209999999999</v>
      </c>
      <c r="H6174" s="1">
        <v>-2.8305959999999999E-6</v>
      </c>
      <c r="I6174">
        <v>-66.844809999999995</v>
      </c>
      <c r="J6174">
        <v>-290.67910000000001</v>
      </c>
      <c r="K6174">
        <v>1.11747</v>
      </c>
      <c r="L6174">
        <v>-65.016199999999998</v>
      </c>
      <c r="M6174">
        <v>0.90400219999999998</v>
      </c>
      <c r="N6174">
        <v>0</v>
      </c>
      <c r="O6174">
        <v>-0.42726180000000002</v>
      </c>
      <c r="P6174">
        <v>0.88629910000000001</v>
      </c>
      <c r="Q6174">
        <v>-2.3583610000000001E-2</v>
      </c>
      <c r="R6174">
        <v>-0.46251229999999899</v>
      </c>
      <c r="S6174">
        <v>3.3001100000000001</v>
      </c>
      <c r="T6174">
        <v>-0.1051773</v>
      </c>
      <c r="U6174">
        <v>-0.1756287</v>
      </c>
      <c r="V6174">
        <v>3.9576939999999998E-2</v>
      </c>
      <c r="W6174">
        <v>-7.8271590000000002E-3</v>
      </c>
      <c r="X6174">
        <v>0.99918589999999996</v>
      </c>
      <c r="Y6174">
        <v>-0.37826419999999999</v>
      </c>
      <c r="Z6174">
        <v>1.9246679999999999E-2</v>
      </c>
      <c r="AA6174">
        <v>0.92549749999999997</v>
      </c>
      <c r="AB6174">
        <v>20</v>
      </c>
      <c r="AC6174">
        <v>34.966999999999999</v>
      </c>
      <c r="AD6174">
        <v>-1.117472830596</v>
      </c>
      <c r="AE6174">
        <v>-1.8286099999999901</v>
      </c>
      <c r="AF6174">
        <v>-13.274985844813299</v>
      </c>
      <c r="AG6174">
        <v>-1.117472830596</v>
      </c>
      <c r="AH6174">
        <v>32.362261567344298</v>
      </c>
      <c r="AI6174">
        <v>91.829795775705506</v>
      </c>
      <c r="AJ6174">
        <v>112.303417563019</v>
      </c>
      <c r="AK6174">
        <v>34.996999420812102</v>
      </c>
      <c r="AL6174">
        <v>90.448467741784796</v>
      </c>
      <c r="AM6174">
        <v>87.731746537233505</v>
      </c>
      <c r="AN6174">
        <v>1.0000000306782899</v>
      </c>
    </row>
    <row r="6175" spans="1:40" x14ac:dyDescent="0.25">
      <c r="A6175" t="str">
        <f>"20190312161438793"</f>
        <v>20190312161438793</v>
      </c>
      <c r="B6175" t="str">
        <f>"1552378478782380"</f>
        <v>1552378478782380</v>
      </c>
      <c r="C6175" t="s">
        <v>40</v>
      </c>
      <c r="D6175">
        <v>5.7975379999999896</v>
      </c>
      <c r="E6175">
        <v>0.32541920000000002</v>
      </c>
      <c r="F6175" t="s">
        <v>105</v>
      </c>
      <c r="G6175">
        <v>-253.24170000000001</v>
      </c>
      <c r="H6175" s="1">
        <v>-1.940564E-6</v>
      </c>
      <c r="I6175">
        <v>-66.74127</v>
      </c>
      <c r="J6175">
        <v>-290.58960000000002</v>
      </c>
      <c r="K6175">
        <v>1.1174630000000001</v>
      </c>
      <c r="L6175">
        <v>-65.050629999999998</v>
      </c>
      <c r="M6175">
        <v>0.90670930000000005</v>
      </c>
      <c r="N6175">
        <v>0</v>
      </c>
      <c r="O6175">
        <v>-0.42148669999999999</v>
      </c>
      <c r="P6175">
        <v>0.88900100000000004</v>
      </c>
      <c r="Q6175">
        <v>-2.3850730000000001E-2</v>
      </c>
      <c r="R6175">
        <v>-0.45728390000000002</v>
      </c>
      <c r="S6175">
        <v>3.3028559999999998</v>
      </c>
      <c r="T6175">
        <v>-9.8587389999999997E-2</v>
      </c>
      <c r="U6175">
        <v>-0.1521912</v>
      </c>
      <c r="V6175">
        <v>4.0072499999999997E-2</v>
      </c>
      <c r="W6175">
        <v>-8.0913579999999999E-3</v>
      </c>
      <c r="X6175">
        <v>0.99916400000000005</v>
      </c>
      <c r="Y6175">
        <v>-0.37900250000000002</v>
      </c>
      <c r="Z6175">
        <v>1.7887599999999899E-2</v>
      </c>
      <c r="AA6175">
        <v>0.92522280000000001</v>
      </c>
      <c r="AB6175">
        <v>20</v>
      </c>
      <c r="AC6175">
        <v>37.347900000000003</v>
      </c>
      <c r="AD6175">
        <v>-1.11746494056399</v>
      </c>
      <c r="AE6175">
        <v>-1.6906399999999999</v>
      </c>
      <c r="AF6175">
        <v>-14.197654349759301</v>
      </c>
      <c r="AG6175">
        <v>-1.11746494056399</v>
      </c>
      <c r="AH6175">
        <v>34.549332787470902</v>
      </c>
      <c r="AI6175">
        <v>91.713579095266994</v>
      </c>
      <c r="AJ6175">
        <v>112.339652561379</v>
      </c>
      <c r="AK6175">
        <v>37.369486389138999</v>
      </c>
      <c r="AL6175">
        <v>90.463605728714597</v>
      </c>
      <c r="AM6175">
        <v>87.703324693952993</v>
      </c>
      <c r="AN6175">
        <v>0.99999998711326699</v>
      </c>
    </row>
    <row r="6176" spans="1:40" x14ac:dyDescent="0.25">
      <c r="A6176" t="str">
        <f>"20190312161438803"</f>
        <v>20190312161438803</v>
      </c>
      <c r="B6176" t="str">
        <f>"1552378478793117"</f>
        <v>1552378478793117</v>
      </c>
      <c r="C6176" t="s">
        <v>40</v>
      </c>
      <c r="D6176">
        <v>5.6788730000000003</v>
      </c>
      <c r="E6176">
        <v>0.32541569999999997</v>
      </c>
      <c r="F6176" t="s">
        <v>105</v>
      </c>
      <c r="G6176">
        <v>-250.95939999999999</v>
      </c>
      <c r="H6176" s="1">
        <v>-9.3280220000000003E-7</v>
      </c>
      <c r="I6176">
        <v>-66.612399999999994</v>
      </c>
      <c r="J6176">
        <v>-290.49419999999998</v>
      </c>
      <c r="K6176">
        <v>1.1174459999999999</v>
      </c>
      <c r="L6176">
        <v>-65.086519999999993</v>
      </c>
      <c r="M6176">
        <v>0.90954590000000002</v>
      </c>
      <c r="N6176">
        <v>0</v>
      </c>
      <c r="O6176">
        <v>-0.41532999999999998</v>
      </c>
      <c r="P6176">
        <v>0.89185969999999903</v>
      </c>
      <c r="Q6176">
        <v>-2.384389E-2</v>
      </c>
      <c r="R6176">
        <v>-0.45168340000000001</v>
      </c>
      <c r="S6176">
        <v>3.3050839999999901</v>
      </c>
      <c r="T6176">
        <v>-9.3194369999999999E-2</v>
      </c>
      <c r="U6176">
        <v>-0.130249</v>
      </c>
      <c r="V6176">
        <v>4.0561310000000003E-2</v>
      </c>
      <c r="W6176">
        <v>-8.0821569999999995E-3</v>
      </c>
      <c r="X6176">
        <v>0.99914440000000004</v>
      </c>
      <c r="Y6176">
        <v>-0.3789286</v>
      </c>
      <c r="Z6176">
        <v>1.6744129999999999E-2</v>
      </c>
      <c r="AA6176">
        <v>0.92527440000000005</v>
      </c>
      <c r="AB6176">
        <v>20</v>
      </c>
      <c r="AC6176">
        <v>39.534799999999898</v>
      </c>
      <c r="AD6176">
        <v>-1.1174469328022001</v>
      </c>
      <c r="AE6176">
        <v>-1.5258799999999999</v>
      </c>
      <c r="AF6176">
        <v>-15.021855706241601</v>
      </c>
      <c r="AG6176">
        <v>-1.1174469328022001</v>
      </c>
      <c r="AH6176">
        <v>36.567447022984901</v>
      </c>
      <c r="AI6176">
        <v>91.619114057042694</v>
      </c>
      <c r="AJ6176">
        <v>112.332789380067</v>
      </c>
      <c r="AK6176">
        <v>39.548489456432897</v>
      </c>
      <c r="AL6176">
        <v>90.463078510089403</v>
      </c>
      <c r="AM6176">
        <v>87.675294522798396</v>
      </c>
      <c r="AN6176">
        <v>1.00000003659102</v>
      </c>
    </row>
    <row r="6177" spans="1:40" x14ac:dyDescent="0.25">
      <c r="A6177" t="str">
        <f>"20190312161438815"</f>
        <v>20190312161438815</v>
      </c>
      <c r="B6177" t="str">
        <f>"1552378478802877"</f>
        <v>1552378478802877</v>
      </c>
      <c r="C6177" t="s">
        <v>40</v>
      </c>
      <c r="D6177">
        <v>5.657705</v>
      </c>
      <c r="E6177">
        <v>0.32552389999999998</v>
      </c>
      <c r="F6177" t="s">
        <v>106</v>
      </c>
      <c r="G6177">
        <v>-249.05590000000001</v>
      </c>
      <c r="H6177" s="1">
        <v>-4.0339719999999999E-6</v>
      </c>
      <c r="I6177">
        <v>-66.461669999999998</v>
      </c>
      <c r="J6177">
        <v>-290.40210000000002</v>
      </c>
      <c r="K6177">
        <v>1.1174309999999901</v>
      </c>
      <c r="L6177">
        <v>-65.120450000000005</v>
      </c>
      <c r="M6177">
        <v>0.91223779999999999</v>
      </c>
      <c r="N6177">
        <v>0</v>
      </c>
      <c r="O6177">
        <v>-0.40938360000000001</v>
      </c>
      <c r="P6177">
        <v>0.89470059999999996</v>
      </c>
      <c r="Q6177">
        <v>-2.3999360000000001E-2</v>
      </c>
      <c r="R6177">
        <v>-0.446021</v>
      </c>
      <c r="S6177">
        <v>3.3058169999999998</v>
      </c>
      <c r="T6177">
        <v>-8.9146610000000001E-2</v>
      </c>
      <c r="U6177">
        <v>-0.10971069999999999</v>
      </c>
      <c r="V6177">
        <v>4.0754600000000002E-2</v>
      </c>
      <c r="W6177">
        <v>-8.2404039999999998E-3</v>
      </c>
      <c r="X6177">
        <v>0.9991352</v>
      </c>
      <c r="Y6177">
        <v>-0.37866509999999998</v>
      </c>
      <c r="Z6177">
        <v>1.5867610000000001E-2</v>
      </c>
      <c r="AA6177">
        <v>0.92539780000000005</v>
      </c>
      <c r="AB6177">
        <v>20</v>
      </c>
      <c r="AC6177">
        <v>41.346200000000003</v>
      </c>
      <c r="AD6177">
        <v>-1.1174350339719901</v>
      </c>
      <c r="AE6177">
        <v>-1.3412199999999901</v>
      </c>
      <c r="AF6177">
        <v>-15.693278629737099</v>
      </c>
      <c r="AG6177">
        <v>-1.1174350339719901</v>
      </c>
      <c r="AH6177">
        <v>38.243084863543302</v>
      </c>
      <c r="AI6177">
        <v>91.548431352872896</v>
      </c>
      <c r="AJ6177">
        <v>112.311088021251</v>
      </c>
      <c r="AK6177">
        <v>41.352886176008198</v>
      </c>
      <c r="AL6177">
        <v>90.472145716701306</v>
      </c>
      <c r="AM6177">
        <v>87.664207178085405</v>
      </c>
      <c r="AN6177">
        <v>0.99999999477914103</v>
      </c>
    </row>
    <row r="6178" spans="1:40" x14ac:dyDescent="0.25">
      <c r="A6178" t="str">
        <f>"20190312161438837"</f>
        <v>20190312161438837</v>
      </c>
      <c r="B6178" t="str">
        <f>"1552378478833133"</f>
        <v>1552378478833133</v>
      </c>
      <c r="C6178" t="s">
        <v>40</v>
      </c>
      <c r="D6178">
        <v>5.6446420000000002</v>
      </c>
      <c r="E6178">
        <v>0.3265285</v>
      </c>
      <c r="F6178" t="s">
        <v>106</v>
      </c>
      <c r="G6178">
        <v>-247.99850000000001</v>
      </c>
      <c r="H6178" s="1">
        <v>-3.6402680000000001E-6</v>
      </c>
      <c r="I6178">
        <v>-66.270780000000002</v>
      </c>
      <c r="J6178">
        <v>-290.2251</v>
      </c>
      <c r="K6178">
        <v>1.117405</v>
      </c>
      <c r="L6178">
        <v>-65.183840000000004</v>
      </c>
      <c r="M6178">
        <v>0.91727919999999996</v>
      </c>
      <c r="N6178">
        <v>0</v>
      </c>
      <c r="O6178">
        <v>-0.39795970000000003</v>
      </c>
      <c r="P6178">
        <v>0.90003869999999897</v>
      </c>
      <c r="Q6178">
        <v>-2.4346969999999999E-2</v>
      </c>
      <c r="R6178">
        <v>-0.4351295</v>
      </c>
      <c r="S6178">
        <v>3.3060299999999998</v>
      </c>
      <c r="T6178">
        <v>-8.7121729999999994E-2</v>
      </c>
      <c r="U6178">
        <v>-8.9691160000000006E-2</v>
      </c>
      <c r="V6178">
        <v>4.1114739999999997E-2</v>
      </c>
      <c r="W6178">
        <v>-8.5942109999999992E-3</v>
      </c>
      <c r="X6178">
        <v>0.99911749999999999</v>
      </c>
      <c r="Y6178">
        <v>-0.37271880000000002</v>
      </c>
      <c r="Z6178">
        <v>1.515388E-2</v>
      </c>
      <c r="AA6178">
        <v>0.9278206</v>
      </c>
      <c r="AB6178">
        <v>20</v>
      </c>
      <c r="AC6178">
        <v>42.226599999999898</v>
      </c>
      <c r="AD6178">
        <v>-1.1174086402679999</v>
      </c>
      <c r="AE6178">
        <v>-1.08693999999999</v>
      </c>
      <c r="AF6178">
        <v>-15.798196313810299</v>
      </c>
      <c r="AG6178">
        <v>-1.1174086402679999</v>
      </c>
      <c r="AH6178">
        <v>39.143193457199899</v>
      </c>
      <c r="AI6178">
        <v>91.516376705730195</v>
      </c>
      <c r="AJ6178">
        <v>111.979007267231</v>
      </c>
      <c r="AK6178">
        <v>42.225835727274998</v>
      </c>
      <c r="AL6178">
        <v>90.492418065329005</v>
      </c>
      <c r="AM6178">
        <v>87.643547725775505</v>
      </c>
      <c r="AN6178">
        <v>1.00000003055711</v>
      </c>
    </row>
    <row r="6179" spans="1:40" x14ac:dyDescent="0.25">
      <c r="A6179" t="str">
        <f>"20190312161438847"</f>
        <v>20190312161438847</v>
      </c>
      <c r="B6179" t="str">
        <f>"1552378478842892"</f>
        <v>1552378478842892</v>
      </c>
      <c r="C6179" t="s">
        <v>40</v>
      </c>
      <c r="D6179">
        <v>5.6418379999999999</v>
      </c>
      <c r="E6179">
        <v>0.34255160000000001</v>
      </c>
      <c r="F6179" t="s">
        <v>106</v>
      </c>
      <c r="G6179">
        <v>-247.59119999999999</v>
      </c>
      <c r="H6179" s="1">
        <v>-3.4390789999999999E-6</v>
      </c>
      <c r="I6179">
        <v>-65.917950000000005</v>
      </c>
      <c r="J6179">
        <v>-290.13290000000001</v>
      </c>
      <c r="K6179">
        <v>1.1173869999999999</v>
      </c>
      <c r="L6179">
        <v>-65.216089999999994</v>
      </c>
      <c r="M6179">
        <v>0.91983999999999999</v>
      </c>
      <c r="N6179">
        <v>0</v>
      </c>
      <c r="O6179">
        <v>-0.39200449999999998</v>
      </c>
      <c r="P6179">
        <v>0.90277609999999997</v>
      </c>
      <c r="Q6179">
        <v>-2.4283269999999999E-2</v>
      </c>
      <c r="R6179">
        <v>-0.42942459999999999</v>
      </c>
      <c r="S6179">
        <v>3.3033450000000002</v>
      </c>
      <c r="T6179">
        <v>-8.657861E-2</v>
      </c>
      <c r="U6179">
        <v>-5.6884770000000001E-2</v>
      </c>
      <c r="V6179">
        <v>4.1266959999999998E-2</v>
      </c>
      <c r="W6179">
        <v>-8.5343880000000004E-3</v>
      </c>
      <c r="X6179">
        <v>0.99911170000000005</v>
      </c>
      <c r="Y6179">
        <v>-0.3758939</v>
      </c>
      <c r="Z6179">
        <v>1.497475E-2</v>
      </c>
      <c r="AA6179">
        <v>0.92654170000000002</v>
      </c>
      <c r="AB6179">
        <v>20</v>
      </c>
      <c r="AC6179">
        <v>42.541699999999999</v>
      </c>
      <c r="AD6179">
        <v>-1.1173904390789999</v>
      </c>
      <c r="AE6179">
        <v>-0.70185999999999604</v>
      </c>
      <c r="AF6179">
        <v>-16.021707307552301</v>
      </c>
      <c r="AG6179">
        <v>-1.1173904390789999</v>
      </c>
      <c r="AH6179">
        <v>39.383996744229201</v>
      </c>
      <c r="AI6179">
        <v>91.505404201971302</v>
      </c>
      <c r="AJ6179">
        <v>112.13686302139899</v>
      </c>
      <c r="AK6179">
        <v>42.532844555609898</v>
      </c>
      <c r="AL6179">
        <v>90.488990352465294</v>
      </c>
      <c r="AM6179">
        <v>87.634819555912301</v>
      </c>
      <c r="AN6179">
        <v>0.99999999342153301</v>
      </c>
    </row>
    <row r="6180" spans="1:40" x14ac:dyDescent="0.25">
      <c r="A6180" t="str">
        <f>"20190312161438859"</f>
        <v>20190312161438859</v>
      </c>
      <c r="B6180" t="str">
        <f>"1552378478852652"</f>
        <v>1552378478852652</v>
      </c>
      <c r="C6180" t="s">
        <v>40</v>
      </c>
      <c r="D6180">
        <v>5.6355550000000001</v>
      </c>
      <c r="E6180">
        <v>0.3437519</v>
      </c>
      <c r="F6180" t="s">
        <v>42</v>
      </c>
      <c r="G6180">
        <v>-263.9529</v>
      </c>
      <c r="H6180" s="1">
        <v>-2.3026670000000001E-6</v>
      </c>
      <c r="I6180">
        <v>-66.410449999999997</v>
      </c>
      <c r="J6180">
        <v>-290.03800000000001</v>
      </c>
      <c r="K6180">
        <v>1.1173649999999999</v>
      </c>
      <c r="L6180">
        <v>-65.248170000000002</v>
      </c>
      <c r="M6180">
        <v>0.92242539999999995</v>
      </c>
      <c r="N6180">
        <v>0</v>
      </c>
      <c r="O6180">
        <v>-0.38588220000000001</v>
      </c>
      <c r="P6180">
        <v>0.90556320000000001</v>
      </c>
      <c r="Q6180">
        <v>-2.4113300000000001E-2</v>
      </c>
      <c r="R6180">
        <v>-0.4235257</v>
      </c>
      <c r="S6180">
        <v>3.24884</v>
      </c>
      <c r="T6180">
        <v>-0.13866329999999999</v>
      </c>
      <c r="U6180">
        <v>-0.14822389999999999</v>
      </c>
      <c r="V6180">
        <v>4.1384089999999998E-2</v>
      </c>
      <c r="W6180">
        <v>-8.3696309999999902E-3</v>
      </c>
      <c r="X6180">
        <v>0.99910829999999995</v>
      </c>
      <c r="Y6180">
        <v>-0.34283429999999998</v>
      </c>
      <c r="Z6180">
        <v>2.3397060000000001E-2</v>
      </c>
      <c r="AA6180">
        <v>0.93910439999999995</v>
      </c>
      <c r="AB6180">
        <v>20</v>
      </c>
      <c r="AC6180">
        <v>26.085100000000001</v>
      </c>
      <c r="AD6180">
        <v>-1.1173673026669999</v>
      </c>
      <c r="AE6180">
        <v>-1.16227999999999</v>
      </c>
      <c r="AF6180">
        <v>-8.9782357132650095</v>
      </c>
      <c r="AG6180">
        <v>-1.1173673026669999</v>
      </c>
      <c r="AH6180">
        <v>24.468029000416401</v>
      </c>
      <c r="AI6180">
        <v>92.454845197960296</v>
      </c>
      <c r="AJ6180">
        <v>110.149977363273</v>
      </c>
      <c r="AK6180">
        <v>26.087193589522698</v>
      </c>
      <c r="AL6180">
        <v>90.479550110016305</v>
      </c>
      <c r="AM6180">
        <v>87.628105944246997</v>
      </c>
      <c r="AN6180">
        <v>1.00000004437854</v>
      </c>
    </row>
    <row r="6181" spans="1:40" x14ac:dyDescent="0.25">
      <c r="A6181" t="str">
        <f>"20190312161438870"</f>
        <v>20190312161438870</v>
      </c>
      <c r="B6181" t="str">
        <f>"1552378478862413"</f>
        <v>1552378478862413</v>
      </c>
      <c r="C6181" t="s">
        <v>40</v>
      </c>
      <c r="D6181">
        <v>5.7765839999999997</v>
      </c>
      <c r="E6181">
        <v>0.34261340000000001</v>
      </c>
      <c r="F6181" t="s">
        <v>104</v>
      </c>
      <c r="G6181">
        <v>-265.11770000000001</v>
      </c>
      <c r="H6181" s="1">
        <v>-2.6770919999999999E-6</v>
      </c>
      <c r="I6181">
        <v>-66.286559999999994</v>
      </c>
      <c r="J6181">
        <v>-289.94589999999999</v>
      </c>
      <c r="K6181">
        <v>1.117348</v>
      </c>
      <c r="L6181">
        <v>-65.278989999999993</v>
      </c>
      <c r="M6181">
        <v>0.92488859999999995</v>
      </c>
      <c r="N6181">
        <v>0</v>
      </c>
      <c r="O6181">
        <v>-0.37994050000000001</v>
      </c>
      <c r="P6181">
        <v>0.90815699999999999</v>
      </c>
      <c r="Q6181">
        <v>-2.4069380000000001E-2</v>
      </c>
      <c r="R6181">
        <v>-0.41793740000000001</v>
      </c>
      <c r="S6181">
        <v>3.2457280000000002</v>
      </c>
      <c r="T6181">
        <v>-0.1455311</v>
      </c>
      <c r="U6181">
        <v>-0.13525390000000001</v>
      </c>
      <c r="V6181">
        <v>4.165278E-2</v>
      </c>
      <c r="W6181">
        <v>-8.3281680000000004E-3</v>
      </c>
      <c r="X6181">
        <v>0.99909740000000002</v>
      </c>
      <c r="Y6181">
        <v>-0.34043689999999999</v>
      </c>
      <c r="Z6181">
        <v>2.4281489999999999E-2</v>
      </c>
      <c r="AA6181">
        <v>0.93995379999999995</v>
      </c>
      <c r="AB6181">
        <v>20</v>
      </c>
      <c r="AC6181">
        <v>24.828199999999899</v>
      </c>
      <c r="AD6181">
        <v>-1.1173506770919901</v>
      </c>
      <c r="AE6181">
        <v>-1.0075699999999801</v>
      </c>
      <c r="AF6181">
        <v>-8.4851540865521091</v>
      </c>
      <c r="AG6181">
        <v>-1.1173506770919901</v>
      </c>
      <c r="AH6181">
        <v>23.301662608997599</v>
      </c>
      <c r="AI6181">
        <v>92.579842423011101</v>
      </c>
      <c r="AJ6181">
        <v>110.00877671252</v>
      </c>
      <c r="AK6181">
        <v>24.823653896066201</v>
      </c>
      <c r="AL6181">
        <v>90.477174410972907</v>
      </c>
      <c r="AM6181">
        <v>87.6126979493676</v>
      </c>
      <c r="AN6181">
        <v>0.99999996357536103</v>
      </c>
    </row>
    <row r="6182" spans="1:40" x14ac:dyDescent="0.25">
      <c r="A6182" t="str">
        <f>"20190312161438880"</f>
        <v>20190312161438880</v>
      </c>
      <c r="B6182" t="str">
        <f>"1552378478873149"</f>
        <v>1552378478873149</v>
      </c>
      <c r="C6182" t="s">
        <v>40</v>
      </c>
      <c r="D6182">
        <v>5.722143</v>
      </c>
      <c r="E6182">
        <v>0.34261340000000001</v>
      </c>
      <c r="F6182" t="s">
        <v>104</v>
      </c>
      <c r="G6182">
        <v>-265.22269999999997</v>
      </c>
      <c r="H6182" s="1">
        <v>-2.6782780000000001E-6</v>
      </c>
      <c r="I6182">
        <v>-66.091819999999998</v>
      </c>
      <c r="J6182">
        <v>-289.8544</v>
      </c>
      <c r="K6182">
        <v>1.117329</v>
      </c>
      <c r="L6182">
        <v>-65.30865</v>
      </c>
      <c r="M6182">
        <v>0.92728820000000001</v>
      </c>
      <c r="N6182">
        <v>0</v>
      </c>
      <c r="O6182">
        <v>-0.3740462</v>
      </c>
      <c r="P6182">
        <v>0.9107037</v>
      </c>
      <c r="Q6182">
        <v>-2.3785319999999999E-2</v>
      </c>
      <c r="R6182">
        <v>-0.41237590000000002</v>
      </c>
      <c r="S6182">
        <v>3.2503660000000001</v>
      </c>
      <c r="T6182">
        <v>-0.14689839999999901</v>
      </c>
      <c r="U6182">
        <v>-0.1068726</v>
      </c>
      <c r="V6182">
        <v>4.1893640000000003E-2</v>
      </c>
      <c r="W6182">
        <v>-8.0474020000000004E-3</v>
      </c>
      <c r="X6182">
        <v>0.99908969999999997</v>
      </c>
      <c r="Y6182">
        <v>-0.3426959</v>
      </c>
      <c r="Z6182">
        <v>2.428727E-2</v>
      </c>
      <c r="AA6182">
        <v>0.93913239999999998</v>
      </c>
      <c r="AB6182">
        <v>20</v>
      </c>
      <c r="AC6182">
        <v>24.631699999999999</v>
      </c>
      <c r="AD6182">
        <v>-1.1173316782780001</v>
      </c>
      <c r="AE6182">
        <v>-0.78316999999999803</v>
      </c>
      <c r="AF6182">
        <v>-8.47071651824829</v>
      </c>
      <c r="AG6182">
        <v>-1.1173316782780001</v>
      </c>
      <c r="AH6182">
        <v>23.0887803788913</v>
      </c>
      <c r="AI6182">
        <v>92.601262782902893</v>
      </c>
      <c r="AJ6182">
        <v>110.146868933568</v>
      </c>
      <c r="AK6182">
        <v>24.618961143730001</v>
      </c>
      <c r="AL6182">
        <v>90.461087132147995</v>
      </c>
      <c r="AM6182">
        <v>87.598890841684295</v>
      </c>
      <c r="AN6182">
        <v>1.00000003319874</v>
      </c>
    </row>
    <row r="6183" spans="1:40" x14ac:dyDescent="0.25">
      <c r="A6183" t="str">
        <f>"20190312161438891"</f>
        <v>20190312161438891</v>
      </c>
      <c r="B6183" t="str">
        <f>"1552378478882909"</f>
        <v>1552378478882909</v>
      </c>
      <c r="C6183" t="s">
        <v>40</v>
      </c>
      <c r="D6183">
        <v>5.7049949999999896</v>
      </c>
      <c r="E6183">
        <v>0.32861849999999998</v>
      </c>
      <c r="F6183" t="s">
        <v>104</v>
      </c>
      <c r="G6183">
        <v>-265.03859999999997</v>
      </c>
      <c r="H6183" s="1">
        <v>-2.5945400000000001E-6</v>
      </c>
      <c r="I6183">
        <v>-65.97296</v>
      </c>
      <c r="J6183">
        <v>-289.76389999999998</v>
      </c>
      <c r="K6183">
        <v>1.117308</v>
      </c>
      <c r="L6183">
        <v>-65.337590000000006</v>
      </c>
      <c r="M6183">
        <v>0.92962049999999996</v>
      </c>
      <c r="N6183">
        <v>0</v>
      </c>
      <c r="O6183">
        <v>-0.36821189999999998</v>
      </c>
      <c r="P6183">
        <v>0.91319629999999996</v>
      </c>
      <c r="Q6183">
        <v>-2.3867349999999999E-2</v>
      </c>
      <c r="R6183">
        <v>-0.40682119999999999</v>
      </c>
      <c r="S6183">
        <v>3.2509769999999998</v>
      </c>
      <c r="T6183">
        <v>-0.1463749</v>
      </c>
      <c r="U6183">
        <v>-8.7036130000000003E-2</v>
      </c>
      <c r="V6183">
        <v>4.208837E-2</v>
      </c>
      <c r="W6183">
        <v>-8.1335669999999995E-3</v>
      </c>
      <c r="X6183">
        <v>0.99908079999999999</v>
      </c>
      <c r="Y6183">
        <v>-0.34253529999999999</v>
      </c>
      <c r="Z6183">
        <v>2.3953080000000002E-2</v>
      </c>
      <c r="AA6183">
        <v>0.93919960000000002</v>
      </c>
      <c r="AB6183">
        <v>20</v>
      </c>
      <c r="AC6183">
        <v>24.725300000000001</v>
      </c>
      <c r="AD6183">
        <v>-1.1173105945399999</v>
      </c>
      <c r="AE6183">
        <v>-0.635369999999994</v>
      </c>
      <c r="AF6183">
        <v>-8.4971176995199205</v>
      </c>
      <c r="AG6183">
        <v>-1.1173105945399999</v>
      </c>
      <c r="AH6183">
        <v>23.174425601526501</v>
      </c>
      <c r="AI6183">
        <v>92.591794891752301</v>
      </c>
      <c r="AJ6183">
        <v>110.135929256786</v>
      </c>
      <c r="AK6183">
        <v>24.708366885021999</v>
      </c>
      <c r="AL6183">
        <v>90.466024192720894</v>
      </c>
      <c r="AM6183">
        <v>87.5877216973835</v>
      </c>
      <c r="AN6183">
        <v>1.0000000153650199</v>
      </c>
    </row>
    <row r="6184" spans="1:40" x14ac:dyDescent="0.25">
      <c r="A6184" t="str">
        <f>"20190312161438902"</f>
        <v>20190312161438902</v>
      </c>
      <c r="B6184" t="str">
        <f>"1552378478892668"</f>
        <v>1552378478892668</v>
      </c>
      <c r="C6184" t="s">
        <v>40</v>
      </c>
      <c r="D6184">
        <v>5.6722340000000004</v>
      </c>
      <c r="E6184">
        <v>0.3282853</v>
      </c>
      <c r="F6184" t="s">
        <v>104</v>
      </c>
      <c r="G6184">
        <v>-262.61189999999999</v>
      </c>
      <c r="H6184" s="1">
        <v>-1.3689740000000001E-6</v>
      </c>
      <c r="I6184">
        <v>-65.056019999999904</v>
      </c>
      <c r="J6184">
        <v>-289.67270000000002</v>
      </c>
      <c r="K6184">
        <v>1.1172879999999901</v>
      </c>
      <c r="L6184">
        <v>-65.366029999999995</v>
      </c>
      <c r="M6184">
        <v>0.93192629999999999</v>
      </c>
      <c r="N6184">
        <v>0</v>
      </c>
      <c r="O6184">
        <v>-0.3623362</v>
      </c>
      <c r="P6184">
        <v>0.91564659999999998</v>
      </c>
      <c r="Q6184">
        <v>-2.4063859999999999E-2</v>
      </c>
      <c r="R6184">
        <v>-0.40126339999999999</v>
      </c>
      <c r="S6184">
        <v>3.2968440000000001</v>
      </c>
      <c r="T6184">
        <v>-0.13566589999999901</v>
      </c>
      <c r="U6184">
        <v>3.4179689999999999E-2</v>
      </c>
      <c r="V6184">
        <v>4.2327869999999997E-2</v>
      </c>
      <c r="W6184">
        <v>-8.3338590000000008E-3</v>
      </c>
      <c r="X6184">
        <v>0.99906899999999998</v>
      </c>
      <c r="Y6184">
        <v>-0.37140909999999999</v>
      </c>
      <c r="Z6184">
        <v>2.2288249999999999E-2</v>
      </c>
      <c r="AA6184">
        <v>0.92820170000000002</v>
      </c>
      <c r="AB6184">
        <v>20</v>
      </c>
      <c r="AC6184">
        <v>27.0608</v>
      </c>
      <c r="AD6184">
        <v>-1.11728936897399</v>
      </c>
      <c r="AE6184">
        <v>0.31001000000001899</v>
      </c>
      <c r="AF6184">
        <v>-10.0779762154829</v>
      </c>
      <c r="AG6184">
        <v>-1.11728936897399</v>
      </c>
      <c r="AH6184">
        <v>25.066453598426399</v>
      </c>
      <c r="AI6184">
        <v>92.368161850617</v>
      </c>
      <c r="AJ6184">
        <v>111.902610143334</v>
      </c>
      <c r="AK6184">
        <v>27.039619748360501</v>
      </c>
      <c r="AL6184">
        <v>90.4775004826989</v>
      </c>
      <c r="AM6184">
        <v>87.573982584525595</v>
      </c>
      <c r="AN6184">
        <v>0.99999998427278403</v>
      </c>
    </row>
    <row r="6185" spans="1:40" x14ac:dyDescent="0.25">
      <c r="A6185" t="str">
        <f>"20190312161438914"</f>
        <v>20190312161438914</v>
      </c>
      <c r="B6185" t="str">
        <f>"1552378478902429"</f>
        <v>1552378478902429</v>
      </c>
      <c r="C6185" t="s">
        <v>40</v>
      </c>
      <c r="D6185">
        <v>5.6877129999999996</v>
      </c>
      <c r="E6185">
        <v>0.32837709999999998</v>
      </c>
      <c r="F6185" t="s">
        <v>104</v>
      </c>
      <c r="G6185">
        <v>-262.7645</v>
      </c>
      <c r="H6185" s="1">
        <v>-1.3936399999999999E-6</v>
      </c>
      <c r="I6185">
        <v>-64.902789999999996</v>
      </c>
      <c r="J6185">
        <v>-289.57870000000003</v>
      </c>
      <c r="K6185">
        <v>1.1172660000000001</v>
      </c>
      <c r="L6185">
        <v>-65.394679999999994</v>
      </c>
      <c r="M6185">
        <v>0.93425460000000005</v>
      </c>
      <c r="N6185">
        <v>0</v>
      </c>
      <c r="O6185">
        <v>-0.35629</v>
      </c>
      <c r="P6185">
        <v>0.91814059999999997</v>
      </c>
      <c r="Q6185">
        <v>-2.4196869999999999E-2</v>
      </c>
      <c r="R6185">
        <v>-0.39551540000000002</v>
      </c>
      <c r="S6185">
        <v>3.2976380000000001</v>
      </c>
      <c r="T6185">
        <v>-0.13692550000000001</v>
      </c>
      <c r="U6185">
        <v>5.6762699999999902E-2</v>
      </c>
      <c r="V6185">
        <v>4.2541589999999997E-2</v>
      </c>
      <c r="W6185">
        <v>-8.4715509999999904E-3</v>
      </c>
      <c r="X6185">
        <v>0.99905880000000002</v>
      </c>
      <c r="Y6185">
        <v>-0.37174059999999998</v>
      </c>
      <c r="Z6185">
        <v>2.226237E-2</v>
      </c>
      <c r="AA6185">
        <v>0.9280697</v>
      </c>
      <c r="AB6185">
        <v>20</v>
      </c>
      <c r="AC6185">
        <v>26.8142</v>
      </c>
      <c r="AD6185">
        <v>-1.1172673936399999</v>
      </c>
      <c r="AE6185">
        <v>0.49189000000001198</v>
      </c>
      <c r="AF6185">
        <v>-9.9969621042947203</v>
      </c>
      <c r="AG6185">
        <v>-1.1172673936399999</v>
      </c>
      <c r="AH6185">
        <v>24.835739120110102</v>
      </c>
      <c r="AI6185">
        <v>92.389697943390999</v>
      </c>
      <c r="AJ6185">
        <v>111.92593097357801</v>
      </c>
      <c r="AK6185">
        <v>26.795549544388201</v>
      </c>
      <c r="AL6185">
        <v>90.485389914504907</v>
      </c>
      <c r="AM6185">
        <v>87.561723128050502</v>
      </c>
      <c r="AN6185">
        <v>1.00000001995675</v>
      </c>
    </row>
    <row r="6186" spans="1:40" x14ac:dyDescent="0.25">
      <c r="A6186" t="str">
        <f>"20190312161438924"</f>
        <v>20190312161438924</v>
      </c>
      <c r="B6186" t="str">
        <f>"1552378478922925"</f>
        <v>1552378478922925</v>
      </c>
      <c r="C6186" t="s">
        <v>40</v>
      </c>
      <c r="D6186">
        <v>5.67483</v>
      </c>
      <c r="E6186">
        <v>0.32914829999999901</v>
      </c>
      <c r="F6186" t="s">
        <v>104</v>
      </c>
      <c r="G6186">
        <v>-262.29539999999997</v>
      </c>
      <c r="H6186" s="1">
        <v>-1.154742E-6</v>
      </c>
      <c r="I6186">
        <v>-64.761219999999994</v>
      </c>
      <c r="J6186">
        <v>-289.48500000000001</v>
      </c>
      <c r="K6186">
        <v>1.1172500000000001</v>
      </c>
      <c r="L6186">
        <v>-65.422759999999997</v>
      </c>
      <c r="M6186">
        <v>0.93653260000000005</v>
      </c>
      <c r="N6186">
        <v>0</v>
      </c>
      <c r="O6186">
        <v>-0.35025859999999998</v>
      </c>
      <c r="P6186">
        <v>0.92067500000000002</v>
      </c>
      <c r="Q6186">
        <v>-2.4488289999999999E-2</v>
      </c>
      <c r="R6186">
        <v>-0.38956160000000001</v>
      </c>
      <c r="S6186">
        <v>3.296875</v>
      </c>
      <c r="T6186">
        <v>-0.13500879999999901</v>
      </c>
      <c r="U6186">
        <v>7.6538090000000003E-2</v>
      </c>
      <c r="V6186">
        <v>4.252098E-2</v>
      </c>
      <c r="W6186">
        <v>-8.7716919999999993E-3</v>
      </c>
      <c r="X6186">
        <v>0.99905710000000003</v>
      </c>
      <c r="Y6186">
        <v>-0.37134610000000001</v>
      </c>
      <c r="Z6186">
        <v>2.171611E-2</v>
      </c>
      <c r="AA6186">
        <v>0.92824050000000002</v>
      </c>
      <c r="AB6186">
        <v>20</v>
      </c>
      <c r="AC6186">
        <v>27.189599999999999</v>
      </c>
      <c r="AD6186">
        <v>-1.1172511547419901</v>
      </c>
      <c r="AE6186">
        <v>0.66154000000000202</v>
      </c>
      <c r="AF6186">
        <v>-10.127000212533099</v>
      </c>
      <c r="AG6186">
        <v>-1.1172511547419901</v>
      </c>
      <c r="AH6186">
        <v>25.192571419957201</v>
      </c>
      <c r="AI6186">
        <v>92.3562937438803</v>
      </c>
      <c r="AJ6186">
        <v>111.899317538462</v>
      </c>
      <c r="AK6186">
        <v>27.174805209919398</v>
      </c>
      <c r="AL6186">
        <v>90.502587359560493</v>
      </c>
      <c r="AM6186">
        <v>87.562898826321202</v>
      </c>
      <c r="AN6186">
        <v>1.00000003269055</v>
      </c>
    </row>
    <row r="6187" spans="1:40" x14ac:dyDescent="0.25">
      <c r="A6187" t="str">
        <f>"20190312161438937"</f>
        <v>20190312161438937</v>
      </c>
      <c r="B6187" t="str">
        <f>"1552378478932688"</f>
        <v>1552378478932688</v>
      </c>
      <c r="C6187" t="s">
        <v>40</v>
      </c>
      <c r="D6187">
        <v>10.00273</v>
      </c>
      <c r="E6187">
        <v>0.32914829999999901</v>
      </c>
      <c r="F6187" t="s">
        <v>104</v>
      </c>
      <c r="G6187">
        <v>-263.4502</v>
      </c>
      <c r="H6187" s="1">
        <v>-1.6315120000000001E-6</v>
      </c>
      <c r="I6187">
        <v>-64.691109999999995</v>
      </c>
      <c r="J6187">
        <v>-289.3888</v>
      </c>
      <c r="K6187">
        <v>1.117227</v>
      </c>
      <c r="L6187">
        <v>-65.450620000000001</v>
      </c>
      <c r="M6187">
        <v>0.93882129999999997</v>
      </c>
      <c r="N6187">
        <v>0</v>
      </c>
      <c r="O6187">
        <v>-0.34407749999999998</v>
      </c>
      <c r="P6187">
        <v>0.92324609999999996</v>
      </c>
      <c r="Q6187">
        <v>-2.4605510000000001E-2</v>
      </c>
      <c r="R6187">
        <v>-0.38342100000000001</v>
      </c>
      <c r="S6187">
        <v>3.2939449999999999</v>
      </c>
      <c r="T6187">
        <v>-0.1413558</v>
      </c>
      <c r="U6187">
        <v>9.2559810000000006E-2</v>
      </c>
      <c r="V6187">
        <v>4.2455449999999999E-2</v>
      </c>
      <c r="W6187">
        <v>-8.8991239999999996E-3</v>
      </c>
      <c r="X6187">
        <v>0.99905869999999997</v>
      </c>
      <c r="Y6187">
        <v>-0.36970589999999998</v>
      </c>
      <c r="Z6187">
        <v>2.2470509999999999E-2</v>
      </c>
      <c r="AA6187">
        <v>0.92887710000000001</v>
      </c>
      <c r="AB6187">
        <v>20</v>
      </c>
      <c r="AC6187">
        <v>25.938600000000001</v>
      </c>
      <c r="AD6187">
        <v>-1.1172286315119999</v>
      </c>
      <c r="AE6187">
        <v>0.75951000000000501</v>
      </c>
      <c r="AF6187">
        <v>-9.6211844737627494</v>
      </c>
      <c r="AG6187">
        <v>-1.1172286315119999</v>
      </c>
      <c r="AH6187">
        <v>24.048516773630801</v>
      </c>
      <c r="AI6187">
        <v>92.469830849644893</v>
      </c>
      <c r="AJ6187">
        <v>111.805060718608</v>
      </c>
      <c r="AK6187">
        <v>25.925789274482</v>
      </c>
      <c r="AL6187">
        <v>90.509888990620695</v>
      </c>
      <c r="AM6187">
        <v>87.566654069731996</v>
      </c>
      <c r="AN6187">
        <v>0.99999997284417896</v>
      </c>
    </row>
    <row r="6188" spans="1:40" x14ac:dyDescent="0.25">
      <c r="A6188" t="str">
        <f>"20190312161438949"</f>
        <v>20190312161438949</v>
      </c>
      <c r="B6188" t="str">
        <f>"1552378478942444"</f>
        <v>1552378478942444</v>
      </c>
      <c r="C6188" t="s">
        <v>40</v>
      </c>
      <c r="D6188">
        <v>5.670166</v>
      </c>
      <c r="E6188">
        <v>0.32871430000000001</v>
      </c>
      <c r="F6188" t="s">
        <v>104</v>
      </c>
      <c r="G6188">
        <v>-263.48200000000003</v>
      </c>
      <c r="H6188" s="1">
        <v>-1.607657E-6</v>
      </c>
      <c r="I6188">
        <v>-64.550259999999994</v>
      </c>
      <c r="J6188">
        <v>-289.29579999999999</v>
      </c>
      <c r="K6188">
        <v>1.1172059999999999</v>
      </c>
      <c r="L6188">
        <v>-65.477289999999996</v>
      </c>
      <c r="M6188">
        <v>0.94098970000000004</v>
      </c>
      <c r="N6188">
        <v>0</v>
      </c>
      <c r="O6188">
        <v>-0.33810279999999998</v>
      </c>
      <c r="P6188">
        <v>0.92586400000000002</v>
      </c>
      <c r="Q6188">
        <v>-2.4519429999999998E-2</v>
      </c>
      <c r="R6188">
        <v>-0.37706119999999999</v>
      </c>
      <c r="S6188">
        <v>3.2931520000000001</v>
      </c>
      <c r="T6188">
        <v>-0.142017</v>
      </c>
      <c r="U6188">
        <v>0.114440899999999</v>
      </c>
      <c r="V6188">
        <v>4.1931679999999999E-2</v>
      </c>
      <c r="W6188">
        <v>-8.8301590000000006E-3</v>
      </c>
      <c r="X6188">
        <v>0.99908140000000001</v>
      </c>
      <c r="Y6188">
        <v>-0.36997140000000001</v>
      </c>
      <c r="Z6188">
        <v>2.2342770000000001E-2</v>
      </c>
      <c r="AA6188">
        <v>0.9287744</v>
      </c>
      <c r="AB6188">
        <v>20</v>
      </c>
      <c r="AC6188">
        <v>25.813799999999901</v>
      </c>
      <c r="AD6188">
        <v>-1.1172076076569999</v>
      </c>
      <c r="AE6188">
        <v>0.92703000000000202</v>
      </c>
      <c r="AF6188">
        <v>-9.58319607182003</v>
      </c>
      <c r="AG6188">
        <v>-1.1172076076569999</v>
      </c>
      <c r="AH6188">
        <v>23.935009708798599</v>
      </c>
      <c r="AI6188">
        <v>92.481217157701806</v>
      </c>
      <c r="AJ6188">
        <v>111.82037621459401</v>
      </c>
      <c r="AK6188">
        <v>25.806404041435901</v>
      </c>
      <c r="AL6188">
        <v>90.505937448098194</v>
      </c>
      <c r="AM6188">
        <v>87.596693214636005</v>
      </c>
      <c r="AN6188">
        <v>0.99999994066077202</v>
      </c>
    </row>
    <row r="6189" spans="1:40" x14ac:dyDescent="0.25">
      <c r="A6189" t="str">
        <f>"20190312161438959"</f>
        <v>20190312161438959</v>
      </c>
      <c r="B6189" t="str">
        <f>"1552378478953180"</f>
        <v>1552378478953180</v>
      </c>
      <c r="C6189" t="s">
        <v>40</v>
      </c>
      <c r="D6189">
        <v>5.6882769999999896</v>
      </c>
      <c r="E6189">
        <v>0.32890029999999998</v>
      </c>
      <c r="F6189" t="s">
        <v>42</v>
      </c>
      <c r="G6189">
        <v>-261.74509999999998</v>
      </c>
      <c r="H6189" s="1">
        <v>-7.9803249999999997E-7</v>
      </c>
      <c r="I6189">
        <v>-64.307819999999893</v>
      </c>
      <c r="J6189">
        <v>-289.20089999999999</v>
      </c>
      <c r="K6189">
        <v>1.1171819999999999</v>
      </c>
      <c r="L6189">
        <v>-65.503389999999996</v>
      </c>
      <c r="M6189">
        <v>0.94315110000000002</v>
      </c>
      <c r="N6189">
        <v>0</v>
      </c>
      <c r="O6189">
        <v>-0.33202609999999999</v>
      </c>
      <c r="P6189">
        <v>0.92836750000000001</v>
      </c>
      <c r="Q6189">
        <v>-2.421013E-2</v>
      </c>
      <c r="R6189">
        <v>-0.3708748</v>
      </c>
      <c r="S6189">
        <v>3.2936399999999999</v>
      </c>
      <c r="T6189">
        <v>-0.13356009999999999</v>
      </c>
      <c r="U6189">
        <v>0.13980100000000001</v>
      </c>
      <c r="V6189">
        <v>4.1701349999999998E-2</v>
      </c>
      <c r="W6189">
        <v>-8.5342070000000003E-3</v>
      </c>
      <c r="X6189">
        <v>0.99909369999999997</v>
      </c>
      <c r="Y6189">
        <v>-0.37119489999999999</v>
      </c>
      <c r="Z6189">
        <v>2.0800800000000001E-2</v>
      </c>
      <c r="AA6189">
        <v>0.92832199999999998</v>
      </c>
      <c r="AB6189">
        <v>20</v>
      </c>
      <c r="AC6189">
        <v>27.4558</v>
      </c>
      <c r="AD6189">
        <v>-1.1171827980325</v>
      </c>
      <c r="AE6189">
        <v>1.19557</v>
      </c>
      <c r="AF6189">
        <v>-10.227894057669699</v>
      </c>
      <c r="AG6189">
        <v>-1.1171827980325</v>
      </c>
      <c r="AH6189">
        <v>25.4588001223083</v>
      </c>
      <c r="AI6189">
        <v>92.331732152749893</v>
      </c>
      <c r="AJ6189">
        <v>111.88744823916799</v>
      </c>
      <c r="AK6189">
        <v>27.459213716470099</v>
      </c>
      <c r="AL6189">
        <v>90.488979964481302</v>
      </c>
      <c r="AM6189">
        <v>87.609908576671401</v>
      </c>
      <c r="AN6189">
        <v>1.0000000283303101</v>
      </c>
    </row>
    <row r="6190" spans="1:40" x14ac:dyDescent="0.25">
      <c r="A6190" t="str">
        <f>"20190312161438970"</f>
        <v>20190312161438970</v>
      </c>
      <c r="B6190" t="str">
        <f>"1552378478962941"</f>
        <v>1552378478962941</v>
      </c>
      <c r="C6190" t="s">
        <v>40</v>
      </c>
      <c r="D6190">
        <v>5.6306339999999997</v>
      </c>
      <c r="E6190">
        <v>0.32890239999999998</v>
      </c>
      <c r="F6190" t="s">
        <v>104</v>
      </c>
      <c r="G6190">
        <v>-260.52539999999999</v>
      </c>
      <c r="H6190" s="1">
        <v>-2.2178620000000001E-7</v>
      </c>
      <c r="I6190">
        <v>-64.10857</v>
      </c>
      <c r="J6190">
        <v>-289.10739999999998</v>
      </c>
      <c r="K6190">
        <v>1.1171599999999999</v>
      </c>
      <c r="L6190">
        <v>-65.528840000000002</v>
      </c>
      <c r="M6190">
        <v>0.94523880000000005</v>
      </c>
      <c r="N6190">
        <v>0</v>
      </c>
      <c r="O6190">
        <v>-0.32603510000000002</v>
      </c>
      <c r="P6190">
        <v>0.93083850000000001</v>
      </c>
      <c r="Q6190">
        <v>-2.4031009999999998E-2</v>
      </c>
      <c r="R6190">
        <v>-0.36464000000000002</v>
      </c>
      <c r="S6190">
        <v>3.2921140000000002</v>
      </c>
      <c r="T6190">
        <v>-0.12825929999999999</v>
      </c>
      <c r="U6190">
        <v>0.16012570000000001</v>
      </c>
      <c r="V6190">
        <v>4.1335009999999998E-2</v>
      </c>
      <c r="W6190">
        <v>-8.3704169999999998E-3</v>
      </c>
      <c r="X6190">
        <v>0.99911030000000001</v>
      </c>
      <c r="Y6190">
        <v>-0.37109039999999999</v>
      </c>
      <c r="Z6190">
        <v>1.9759929999999998E-2</v>
      </c>
      <c r="AA6190">
        <v>0.92838639999999995</v>
      </c>
      <c r="AB6190">
        <v>20</v>
      </c>
      <c r="AC6190">
        <v>28.581999999999901</v>
      </c>
      <c r="AD6190">
        <v>-1.1171602217862</v>
      </c>
      <c r="AE6190">
        <v>1.4202699999999999</v>
      </c>
      <c r="AF6190">
        <v>-10.6462032319701</v>
      </c>
      <c r="AG6190">
        <v>-1.1171602217862</v>
      </c>
      <c r="AH6190">
        <v>26.516331723248001</v>
      </c>
      <c r="AI6190">
        <v>92.238979741358804</v>
      </c>
      <c r="AJ6190">
        <v>111.875267072615</v>
      </c>
      <c r="AK6190">
        <v>28.595551022403502</v>
      </c>
      <c r="AL6190">
        <v>90.479595158126699</v>
      </c>
      <c r="AM6190">
        <v>87.630920452842801</v>
      </c>
      <c r="AN6190">
        <v>1.00000001924927</v>
      </c>
    </row>
    <row r="6191" spans="1:40" x14ac:dyDescent="0.25">
      <c r="A6191" t="str">
        <f>"20190312161438982"</f>
        <v>20190312161438982</v>
      </c>
      <c r="B6191" t="str">
        <f>"1552378478972702"</f>
        <v>1552378478972702</v>
      </c>
      <c r="C6191" t="s">
        <v>40</v>
      </c>
      <c r="D6191">
        <v>5.7440709999999999</v>
      </c>
      <c r="E6191">
        <v>0.3292987</v>
      </c>
      <c r="F6191" t="s">
        <v>105</v>
      </c>
      <c r="G6191">
        <v>-259.28969999999998</v>
      </c>
      <c r="H6191" s="1">
        <v>-3.6517690000000001E-6</v>
      </c>
      <c r="I6191">
        <v>-63.88008</v>
      </c>
      <c r="J6191">
        <v>-289.00909999999999</v>
      </c>
      <c r="K6191">
        <v>1.117135</v>
      </c>
      <c r="L6191">
        <v>-65.554689999999994</v>
      </c>
      <c r="M6191">
        <v>0.94738219999999995</v>
      </c>
      <c r="N6191">
        <v>0</v>
      </c>
      <c r="O6191">
        <v>-0.31975369999999997</v>
      </c>
      <c r="P6191">
        <v>0.9332433</v>
      </c>
      <c r="Q6191">
        <v>-2.3654069999999999E-2</v>
      </c>
      <c r="R6191">
        <v>-0.3584659</v>
      </c>
      <c r="S6191">
        <v>3.2910159999999999</v>
      </c>
      <c r="T6191">
        <v>-0.1233027</v>
      </c>
      <c r="U6191">
        <v>0.18197630000000001</v>
      </c>
      <c r="V6191">
        <v>4.1338699999999902E-2</v>
      </c>
      <c r="W6191">
        <v>-8.0039380000000004E-3</v>
      </c>
      <c r="X6191">
        <v>0.99911309999999998</v>
      </c>
      <c r="Y6191">
        <v>-0.37113380000000001</v>
      </c>
      <c r="Z6191">
        <v>1.8777970000000001E-2</v>
      </c>
      <c r="AA6191">
        <v>0.92838949999999998</v>
      </c>
      <c r="AB6191">
        <v>20</v>
      </c>
      <c r="AC6191">
        <v>29.7194</v>
      </c>
      <c r="AD6191">
        <v>-1.1171386517690001</v>
      </c>
      <c r="AE6191">
        <v>1.6746099999999999</v>
      </c>
      <c r="AF6191">
        <v>-11.0750298258654</v>
      </c>
      <c r="AG6191">
        <v>-1.1171386517690001</v>
      </c>
      <c r="AH6191">
        <v>27.584416531308499</v>
      </c>
      <c r="AI6191">
        <v>92.152326933034004</v>
      </c>
      <c r="AJ6191">
        <v>111.87525764726099</v>
      </c>
      <c r="AK6191">
        <v>29.7456605202139</v>
      </c>
      <c r="AL6191">
        <v>90.458596777767198</v>
      </c>
      <c r="AM6191">
        <v>87.630715837093902</v>
      </c>
      <c r="AN6191">
        <v>0.99999996886640297</v>
      </c>
    </row>
    <row r="6192" spans="1:40" x14ac:dyDescent="0.25">
      <c r="A6192" t="str">
        <f>"20190312161438994"</f>
        <v>20190312161438994</v>
      </c>
      <c r="B6192" t="str">
        <f>"1552378478983437"</f>
        <v>1552378478983437</v>
      </c>
      <c r="C6192" t="s">
        <v>40</v>
      </c>
      <c r="D6192">
        <v>5.8277519999999896</v>
      </c>
      <c r="E6192">
        <v>0.3298663</v>
      </c>
      <c r="F6192" t="s">
        <v>105</v>
      </c>
      <c r="G6192">
        <v>-258.13639999999998</v>
      </c>
      <c r="H6192" s="1">
        <v>-3.231297E-6</v>
      </c>
      <c r="I6192">
        <v>-63.670459999999999</v>
      </c>
      <c r="J6192">
        <v>-288.91399999999999</v>
      </c>
      <c r="K6192">
        <v>1.1171120000000001</v>
      </c>
      <c r="L6192">
        <v>-65.579099999999997</v>
      </c>
      <c r="M6192">
        <v>0.94940869999999999</v>
      </c>
      <c r="N6192">
        <v>0</v>
      </c>
      <c r="O6192">
        <v>-0.31368600000000002</v>
      </c>
      <c r="P6192">
        <v>0.93552199999999996</v>
      </c>
      <c r="Q6192">
        <v>-2.335959E-2</v>
      </c>
      <c r="R6192">
        <v>-0.35249530000000001</v>
      </c>
      <c r="S6192">
        <v>3.2886660000000001</v>
      </c>
      <c r="T6192">
        <v>-0.1190015</v>
      </c>
      <c r="U6192">
        <v>0.20071410000000001</v>
      </c>
      <c r="V6192">
        <v>4.1339309999999997E-2</v>
      </c>
      <c r="W6192">
        <v>-7.71990099999999E-3</v>
      </c>
      <c r="X6192">
        <v>0.99911530000000004</v>
      </c>
      <c r="Y6192">
        <v>-0.3705387</v>
      </c>
      <c r="Z6192">
        <v>1.791384E-2</v>
      </c>
      <c r="AA6192">
        <v>0.92864420000000003</v>
      </c>
      <c r="AB6192">
        <v>20</v>
      </c>
      <c r="AC6192">
        <v>30.7776</v>
      </c>
      <c r="AD6192">
        <v>-1.1171152312970001</v>
      </c>
      <c r="AE6192">
        <v>1.9086399999999899</v>
      </c>
      <c r="AF6192">
        <v>-11.452836884284901</v>
      </c>
      <c r="AG6192">
        <v>-1.1171152312970001</v>
      </c>
      <c r="AH6192">
        <v>28.5874991488662</v>
      </c>
      <c r="AI6192">
        <v>92.077454763119903</v>
      </c>
      <c r="AJ6192">
        <v>111.832221656675</v>
      </c>
      <c r="AK6192">
        <v>30.816562539070802</v>
      </c>
      <c r="AL6192">
        <v>90.4423221572453</v>
      </c>
      <c r="AM6192">
        <v>87.6306861265995</v>
      </c>
      <c r="AN6192">
        <v>0.999999959058407</v>
      </c>
    </row>
    <row r="6193" spans="1:40" x14ac:dyDescent="0.25">
      <c r="A6193" t="str">
        <f>"20190312161439016"</f>
        <v>20190312161439016</v>
      </c>
      <c r="B6193" t="str">
        <f>"1552378479012718"</f>
        <v>1552378479012718</v>
      </c>
      <c r="C6193" t="s">
        <v>40</v>
      </c>
      <c r="D6193">
        <v>5.7766820000000001</v>
      </c>
      <c r="E6193">
        <v>0.33168309999999901</v>
      </c>
      <c r="F6193" t="s">
        <v>105</v>
      </c>
      <c r="G6193">
        <v>-257.40010000000001</v>
      </c>
      <c r="H6193" s="1">
        <v>-2.957206E-6</v>
      </c>
      <c r="I6193">
        <v>-63.494529999999997</v>
      </c>
      <c r="J6193">
        <v>-288.73309999999998</v>
      </c>
      <c r="K6193">
        <v>1.117056</v>
      </c>
      <c r="L6193">
        <v>-65.623869999999997</v>
      </c>
      <c r="M6193">
        <v>0.95313789999999998</v>
      </c>
      <c r="N6193">
        <v>0</v>
      </c>
      <c r="O6193">
        <v>-0.3021665</v>
      </c>
      <c r="P6193">
        <v>0.939612</v>
      </c>
      <c r="Q6193">
        <v>-2.2993420000000001E-2</v>
      </c>
      <c r="R6193">
        <v>-0.34146880000000002</v>
      </c>
      <c r="S6193">
        <v>3.2857669999999999</v>
      </c>
      <c r="T6193">
        <v>-0.11647490000000001</v>
      </c>
      <c r="U6193">
        <v>0.21734619999999999</v>
      </c>
      <c r="V6193">
        <v>4.1678140000000002E-2</v>
      </c>
      <c r="W6193">
        <v>-7.369408E-3</v>
      </c>
      <c r="X6193">
        <v>0.99910390000000004</v>
      </c>
      <c r="Y6193">
        <v>-0.3640446</v>
      </c>
      <c r="Z6193">
        <v>1.7039510000000001E-2</v>
      </c>
      <c r="AA6193">
        <v>0.93122570000000005</v>
      </c>
      <c r="AB6193">
        <v>20</v>
      </c>
      <c r="AC6193">
        <v>31.332999999999899</v>
      </c>
      <c r="AD6193">
        <v>-1.1170589572059999</v>
      </c>
      <c r="AE6193">
        <v>2.1293399999999898</v>
      </c>
      <c r="AF6193">
        <v>-11.4840936580453</v>
      </c>
      <c r="AG6193">
        <v>-1.1170589572059999</v>
      </c>
      <c r="AH6193">
        <v>29.1875942376433</v>
      </c>
      <c r="AI6193">
        <v>92.039678838384404</v>
      </c>
      <c r="AJ6193">
        <v>111.477555962252</v>
      </c>
      <c r="AK6193">
        <v>31.385472519016499</v>
      </c>
      <c r="AL6193">
        <v>90.4222398023484</v>
      </c>
      <c r="AM6193">
        <v>87.611261663452893</v>
      </c>
      <c r="AN6193">
        <v>0.99999998926167</v>
      </c>
    </row>
    <row r="6194" spans="1:40" x14ac:dyDescent="0.25">
      <c r="A6194" t="str">
        <f>"20190312161439026"</f>
        <v>20190312161439026</v>
      </c>
      <c r="B6194" t="str">
        <f>"1552378479022480"</f>
        <v>1552378479022480</v>
      </c>
      <c r="C6194" t="s">
        <v>40</v>
      </c>
      <c r="D6194">
        <v>5.7314990000000003</v>
      </c>
      <c r="E6194">
        <v>0.33139350000000001</v>
      </c>
      <c r="F6194" t="s">
        <v>105</v>
      </c>
      <c r="G6194">
        <v>-255.85470000000001</v>
      </c>
      <c r="H6194" s="1">
        <v>-2.2729680000000001E-6</v>
      </c>
      <c r="I6194">
        <v>-63.19509</v>
      </c>
      <c r="J6194">
        <v>-288.6404</v>
      </c>
      <c r="K6194">
        <v>1.11702099999999</v>
      </c>
      <c r="L6194">
        <v>-65.646059999999906</v>
      </c>
      <c r="M6194">
        <v>0.95498380000000005</v>
      </c>
      <c r="N6194">
        <v>0</v>
      </c>
      <c r="O6194">
        <v>-0.29628120000000002</v>
      </c>
      <c r="P6194">
        <v>0.9416291</v>
      </c>
      <c r="Q6194">
        <v>-2.3019250000000002E-2</v>
      </c>
      <c r="R6194">
        <v>-0.33586470000000002</v>
      </c>
      <c r="S6194">
        <v>3.278076</v>
      </c>
      <c r="T6194">
        <v>-0.1113741</v>
      </c>
      <c r="U6194">
        <v>0.24215700000000001</v>
      </c>
      <c r="V6194">
        <v>4.1889000000000003E-2</v>
      </c>
      <c r="W6194">
        <v>-7.4031449999999999E-3</v>
      </c>
      <c r="X6194">
        <v>0.99909479999999995</v>
      </c>
      <c r="Y6194">
        <v>-0.36549359999999997</v>
      </c>
      <c r="Z6194">
        <v>1.616163E-2</v>
      </c>
      <c r="AA6194">
        <v>0.93067350000000004</v>
      </c>
      <c r="AB6194">
        <v>20</v>
      </c>
      <c r="AC6194">
        <v>32.785699999999899</v>
      </c>
      <c r="AD6194">
        <v>-1.1170232729680001</v>
      </c>
      <c r="AE6194">
        <v>2.4509699999999901</v>
      </c>
      <c r="AF6194">
        <v>-12.0418693844579</v>
      </c>
      <c r="AG6194">
        <v>-1.1170232729680001</v>
      </c>
      <c r="AH6194">
        <v>30.551785422442901</v>
      </c>
      <c r="AI6194">
        <v>91.948156478659797</v>
      </c>
      <c r="AJ6194">
        <v>111.51168969631701</v>
      </c>
      <c r="AK6194">
        <v>32.858270675184599</v>
      </c>
      <c r="AL6194">
        <v>90.424172856442695</v>
      </c>
      <c r="AM6194">
        <v>87.599168710387104</v>
      </c>
      <c r="AN6194">
        <v>0.99999995713196399</v>
      </c>
    </row>
    <row r="6195" spans="1:40" x14ac:dyDescent="0.25">
      <c r="A6195" t="str">
        <f>"20190312161439038"</f>
        <v>20190312161439038</v>
      </c>
      <c r="B6195" t="str">
        <f>"1552378479033212"</f>
        <v>1552378479033212</v>
      </c>
      <c r="C6195" t="s">
        <v>40</v>
      </c>
      <c r="D6195">
        <v>5.5787309999999897</v>
      </c>
      <c r="E6195">
        <v>0.33126100000000003</v>
      </c>
      <c r="F6195" t="s">
        <v>105</v>
      </c>
      <c r="G6195">
        <v>-253.70480000000001</v>
      </c>
      <c r="H6195" s="1">
        <v>-1.2713429999999999E-6</v>
      </c>
      <c r="I6195">
        <v>-62.838340000000002</v>
      </c>
      <c r="J6195">
        <v>-288.54430000000002</v>
      </c>
      <c r="K6195">
        <v>1.1169880000000001</v>
      </c>
      <c r="L6195">
        <v>-65.668149999999997</v>
      </c>
      <c r="M6195">
        <v>0.9568489</v>
      </c>
      <c r="N6195">
        <v>0</v>
      </c>
      <c r="O6195">
        <v>-0.2902013</v>
      </c>
      <c r="P6195">
        <v>0.94367000000000001</v>
      </c>
      <c r="Q6195">
        <v>-2.2944079999999999E-2</v>
      </c>
      <c r="R6195">
        <v>-0.33009159999999999</v>
      </c>
      <c r="S6195">
        <v>3.277374</v>
      </c>
      <c r="T6195">
        <v>-0.10478990000000001</v>
      </c>
      <c r="U6195">
        <v>0.2633972</v>
      </c>
      <c r="V6195">
        <v>4.2122359999999998E-2</v>
      </c>
      <c r="W6195">
        <v>-7.3369530000000002E-3</v>
      </c>
      <c r="X6195">
        <v>0.99908549999999996</v>
      </c>
      <c r="Y6195">
        <v>-0.36563109999999999</v>
      </c>
      <c r="Z6195">
        <v>1.502217E-2</v>
      </c>
      <c r="AA6195">
        <v>0.93063870000000004</v>
      </c>
      <c r="AB6195">
        <v>20</v>
      </c>
      <c r="AC6195">
        <v>34.839500000000001</v>
      </c>
      <c r="AD6195">
        <v>-1.1169892713430001</v>
      </c>
      <c r="AE6195">
        <v>2.8298099999999899</v>
      </c>
      <c r="AF6195">
        <v>-12.806523082461799</v>
      </c>
      <c r="AG6195">
        <v>-1.1169892713430001</v>
      </c>
      <c r="AH6195">
        <v>32.485381918635099</v>
      </c>
      <c r="AI6195">
        <v>91.832175290546502</v>
      </c>
      <c r="AJ6195">
        <v>111.515558008049</v>
      </c>
      <c r="AK6195">
        <v>34.936438526179302</v>
      </c>
      <c r="AL6195">
        <v>90.4203802213394</v>
      </c>
      <c r="AM6195">
        <v>87.585787221884999</v>
      </c>
      <c r="AN6195">
        <v>0.99999998020077097</v>
      </c>
    </row>
    <row r="6196" spans="1:40" x14ac:dyDescent="0.25">
      <c r="A6196" t="str">
        <f>"20190312161439049"</f>
        <v>20190312161439049</v>
      </c>
      <c r="B6196" t="str">
        <f>"1552378479042972"</f>
        <v>1552378479042972</v>
      </c>
      <c r="C6196" t="s">
        <v>40</v>
      </c>
      <c r="D6196">
        <v>5.5849479999999998</v>
      </c>
      <c r="E6196">
        <v>0.33166790000000002</v>
      </c>
      <c r="F6196" t="s">
        <v>105</v>
      </c>
      <c r="G6196">
        <v>-251.64179999999999</v>
      </c>
      <c r="H6196" s="1">
        <v>-3.0398959999999999E-7</v>
      </c>
      <c r="I6196">
        <v>-62.468089999999997</v>
      </c>
      <c r="J6196">
        <v>-288.44869999999997</v>
      </c>
      <c r="K6196">
        <v>1.1169560000000001</v>
      </c>
      <c r="L6196">
        <v>-65.689850000000007</v>
      </c>
      <c r="M6196">
        <v>0.95866340000000005</v>
      </c>
      <c r="N6196">
        <v>0</v>
      </c>
      <c r="O6196">
        <v>-0.28415059999999998</v>
      </c>
      <c r="P6196">
        <v>0.94553140000000002</v>
      </c>
      <c r="Q6196">
        <v>-2.3017119999999999E-2</v>
      </c>
      <c r="R6196">
        <v>-0.32471640000000002</v>
      </c>
      <c r="S6196">
        <v>3.276062</v>
      </c>
      <c r="T6196">
        <v>-9.9161860000000004E-2</v>
      </c>
      <c r="U6196">
        <v>0.28408810000000001</v>
      </c>
      <c r="V6196">
        <v>4.2750080000000003E-2</v>
      </c>
      <c r="W6196">
        <v>-7.4128739999999999E-3</v>
      </c>
      <c r="X6196">
        <v>0.99905829999999995</v>
      </c>
      <c r="Y6196">
        <v>-0.36565550000000002</v>
      </c>
      <c r="Z6196">
        <v>1.4042239999999999E-2</v>
      </c>
      <c r="AA6196">
        <v>0.93064429999999998</v>
      </c>
      <c r="AB6196">
        <v>20</v>
      </c>
      <c r="AC6196">
        <v>36.806899999999899</v>
      </c>
      <c r="AD6196">
        <v>-1.1169563039896</v>
      </c>
      <c r="AE6196">
        <v>3.2217600000000002</v>
      </c>
      <c r="AF6196">
        <v>-13.5364254098613</v>
      </c>
      <c r="AG6196">
        <v>-1.1169563039896</v>
      </c>
      <c r="AH6196">
        <v>34.3424088529367</v>
      </c>
      <c r="AI6196">
        <v>91.733151068169605</v>
      </c>
      <c r="AJ6196">
        <v>111.51240636300101</v>
      </c>
      <c r="AK6196">
        <v>36.930792708578899</v>
      </c>
      <c r="AL6196">
        <v>90.424730282741393</v>
      </c>
      <c r="AM6196">
        <v>87.549786799368206</v>
      </c>
      <c r="AN6196">
        <v>1.0000000034199099</v>
      </c>
    </row>
    <row r="6197" spans="1:40" x14ac:dyDescent="0.25">
      <c r="A6197" t="str">
        <f>"20190312161439060"</f>
        <v>20190312161439060</v>
      </c>
      <c r="B6197" t="str">
        <f>"1552378479052733"</f>
        <v>1552378479052733</v>
      </c>
      <c r="C6197" t="s">
        <v>40</v>
      </c>
      <c r="D6197">
        <v>5.6968360000000002</v>
      </c>
      <c r="E6197">
        <v>0.33214080000000001</v>
      </c>
      <c r="F6197" t="s">
        <v>105</v>
      </c>
      <c r="G6197">
        <v>-251.1875</v>
      </c>
      <c r="H6197" s="1">
        <v>-6.7187099999999997E-8</v>
      </c>
      <c r="I6197">
        <v>-62.279510000000002</v>
      </c>
      <c r="J6197">
        <v>-288.3546</v>
      </c>
      <c r="K6197">
        <v>1.1169209999999901</v>
      </c>
      <c r="L6197">
        <v>-65.710269999999994</v>
      </c>
      <c r="M6197">
        <v>0.9603971</v>
      </c>
      <c r="N6197">
        <v>0</v>
      </c>
      <c r="O6197">
        <v>-0.27823490000000001</v>
      </c>
      <c r="P6197">
        <v>0.94739300000000004</v>
      </c>
      <c r="Q6197">
        <v>-2.282004E-2</v>
      </c>
      <c r="R6197">
        <v>-0.3192584</v>
      </c>
      <c r="S6197">
        <v>3.2733150000000002</v>
      </c>
      <c r="T6197">
        <v>-9.8122360000000006E-2</v>
      </c>
      <c r="U6197">
        <v>0.299591099999999</v>
      </c>
      <c r="V6197">
        <v>4.3142809999999997E-2</v>
      </c>
      <c r="W6197">
        <v>-7.2235440000000001E-3</v>
      </c>
      <c r="X6197">
        <v>0.99904280000000001</v>
      </c>
      <c r="Y6197">
        <v>-0.36436649999999998</v>
      </c>
      <c r="Z6197">
        <v>1.371352E-2</v>
      </c>
      <c r="AA6197">
        <v>0.9311547</v>
      </c>
      <c r="AB6197">
        <v>20</v>
      </c>
      <c r="AC6197">
        <v>37.167099999999998</v>
      </c>
      <c r="AD6197">
        <v>-1.1169210671870999</v>
      </c>
      <c r="AE6197">
        <v>3.4307599999999998</v>
      </c>
      <c r="AF6197">
        <v>-13.6253943802305</v>
      </c>
      <c r="AG6197">
        <v>-1.1169210671870999</v>
      </c>
      <c r="AH6197">
        <v>34.713403556854999</v>
      </c>
      <c r="AI6197">
        <v>91.715548440972199</v>
      </c>
      <c r="AJ6197">
        <v>111.430555760871</v>
      </c>
      <c r="AK6197">
        <v>37.308434317031001</v>
      </c>
      <c r="AL6197">
        <v>90.413882184187003</v>
      </c>
      <c r="AM6197">
        <v>87.527267045310694</v>
      </c>
      <c r="AN6197">
        <v>0.99999999893722802</v>
      </c>
    </row>
    <row r="6198" spans="1:40" x14ac:dyDescent="0.25">
      <c r="A6198" t="str">
        <f>"20190312161439071"</f>
        <v>20190312161439071</v>
      </c>
      <c r="B6198" t="str">
        <f>"1552378479062492"</f>
        <v>1552378479062492</v>
      </c>
      <c r="C6198" t="s">
        <v>40</v>
      </c>
      <c r="D6198">
        <v>5.62493</v>
      </c>
      <c r="E6198">
        <v>0.33284750000000002</v>
      </c>
      <c r="F6198" t="s">
        <v>105</v>
      </c>
      <c r="G6198">
        <v>-251.01079999999999</v>
      </c>
      <c r="H6198" s="1">
        <v>4.529636E-8</v>
      </c>
      <c r="I6198">
        <v>-62.114690000000003</v>
      </c>
      <c r="J6198">
        <v>-288.26159999999999</v>
      </c>
      <c r="K6198">
        <v>1.1168880000000001</v>
      </c>
      <c r="L6198">
        <v>-65.730130000000003</v>
      </c>
      <c r="M6198">
        <v>0.96206979999999997</v>
      </c>
      <c r="N6198">
        <v>0</v>
      </c>
      <c r="O6198">
        <v>-0.27239570000000002</v>
      </c>
      <c r="P6198">
        <v>0.94911840000000003</v>
      </c>
      <c r="Q6198">
        <v>-2.290267E-2</v>
      </c>
      <c r="R6198">
        <v>-0.31408560000000002</v>
      </c>
      <c r="S6198">
        <v>3.2703549999999999</v>
      </c>
      <c r="T6198">
        <v>-9.7813609999999995E-2</v>
      </c>
      <c r="U6198">
        <v>0.3148804</v>
      </c>
      <c r="V6198">
        <v>4.3763370000000003E-2</v>
      </c>
      <c r="W6198">
        <v>-7.3105399999999999E-3</v>
      </c>
      <c r="X6198">
        <v>0.99901519999999999</v>
      </c>
      <c r="Y6198">
        <v>-0.36310589999999998</v>
      </c>
      <c r="Z6198">
        <v>1.3492199999999999E-2</v>
      </c>
      <c r="AA6198">
        <v>0.93165019999999998</v>
      </c>
      <c r="AB6198">
        <v>20</v>
      </c>
      <c r="AC6198">
        <v>37.250799999999998</v>
      </c>
      <c r="AD6198">
        <v>-1.1168879547036401</v>
      </c>
      <c r="AE6198">
        <v>3.61544</v>
      </c>
      <c r="AF6198">
        <v>-13.614652935049399</v>
      </c>
      <c r="AG6198">
        <v>-1.1168879547036401</v>
      </c>
      <c r="AH6198">
        <v>34.825898179199498</v>
      </c>
      <c r="AI6198">
        <v>91.710874609504899</v>
      </c>
      <c r="AJ6198">
        <v>111.352254286632</v>
      </c>
      <c r="AK6198">
        <v>37.409215405207</v>
      </c>
      <c r="AL6198">
        <v>90.418866809290407</v>
      </c>
      <c r="AM6198">
        <v>87.491675504450896</v>
      </c>
      <c r="AN6198">
        <v>1.00000002318994</v>
      </c>
    </row>
    <row r="6199" spans="1:40" x14ac:dyDescent="0.25">
      <c r="A6199" t="str">
        <f>"20190312161439082"</f>
        <v>20190312161439082</v>
      </c>
      <c r="B6199" t="str">
        <f>"1552378479073229"</f>
        <v>1552378479073229</v>
      </c>
      <c r="C6199" t="s">
        <v>40</v>
      </c>
      <c r="D6199">
        <v>5.5818510000000003</v>
      </c>
      <c r="E6199">
        <v>0.3334839</v>
      </c>
      <c r="F6199" t="s">
        <v>105</v>
      </c>
      <c r="G6199">
        <v>-251.3322</v>
      </c>
      <c r="H6199" s="1">
        <v>-7.3392699999999998E-8</v>
      </c>
      <c r="I6199">
        <v>-62.028419999999997</v>
      </c>
      <c r="J6199">
        <v>-288.17129999999997</v>
      </c>
      <c r="K6199">
        <v>1.116852</v>
      </c>
      <c r="L6199">
        <v>-65.748719999999906</v>
      </c>
      <c r="M6199">
        <v>0.96365100000000004</v>
      </c>
      <c r="N6199">
        <v>0</v>
      </c>
      <c r="O6199">
        <v>-0.26674890000000001</v>
      </c>
      <c r="P6199">
        <v>0.95074060000000005</v>
      </c>
      <c r="Q6199">
        <v>-2.2692230000000001E-2</v>
      </c>
      <c r="R6199">
        <v>-0.30915679999999901</v>
      </c>
      <c r="S6199">
        <v>3.266785</v>
      </c>
      <c r="T6199">
        <v>-9.8800059999999995E-2</v>
      </c>
      <c r="U6199">
        <v>0.32745360000000001</v>
      </c>
      <c r="V6199">
        <v>4.4433210000000001E-2</v>
      </c>
      <c r="W6199">
        <v>-7.1042719999999896E-3</v>
      </c>
      <c r="X6199">
        <v>0.99898710000000002</v>
      </c>
      <c r="Y6199">
        <v>-0.36128710000000003</v>
      </c>
      <c r="Z6199">
        <v>1.3447600000000001E-2</v>
      </c>
      <c r="AA6199">
        <v>0.93235769999999996</v>
      </c>
      <c r="AB6199">
        <v>20</v>
      </c>
      <c r="AC6199">
        <v>36.839099999999902</v>
      </c>
      <c r="AD6199">
        <v>-1.1168520733927001</v>
      </c>
      <c r="AE6199">
        <v>3.7202999999999902</v>
      </c>
      <c r="AF6199">
        <v>-13.401154719901999</v>
      </c>
      <c r="AG6199">
        <v>-1.1168520733927001</v>
      </c>
      <c r="AH6199">
        <v>34.480105228116699</v>
      </c>
      <c r="AI6199">
        <v>91.729294527485493</v>
      </c>
      <c r="AJ6199">
        <v>111.239281994808</v>
      </c>
      <c r="AK6199">
        <v>37.009673909973799</v>
      </c>
      <c r="AL6199">
        <v>90.407048224778507</v>
      </c>
      <c r="AM6199">
        <v>87.453261837892995</v>
      </c>
      <c r="AN6199">
        <v>1.00000000339898</v>
      </c>
    </row>
    <row r="6200" spans="1:40" x14ac:dyDescent="0.25">
      <c r="A6200" t="str">
        <f>"20190312161439093"</f>
        <v>20190312161439093</v>
      </c>
      <c r="B6200" t="str">
        <f>"1552378479082988"</f>
        <v>1552378479082988</v>
      </c>
      <c r="C6200" t="s">
        <v>40</v>
      </c>
      <c r="D6200">
        <v>5.5976100000000004</v>
      </c>
      <c r="E6200">
        <v>0.3334839</v>
      </c>
      <c r="F6200" t="s">
        <v>105</v>
      </c>
      <c r="G6200">
        <v>-250.97380000000001</v>
      </c>
      <c r="H6200" s="1">
        <v>1.137902E-7</v>
      </c>
      <c r="I6200">
        <v>-61.877929999999999</v>
      </c>
      <c r="J6200">
        <v>-288.0761</v>
      </c>
      <c r="K6200">
        <v>1.1168149999999999</v>
      </c>
      <c r="L6200">
        <v>-65.76782</v>
      </c>
      <c r="M6200">
        <v>0.96527490000000005</v>
      </c>
      <c r="N6200">
        <v>0</v>
      </c>
      <c r="O6200">
        <v>-0.26081140000000003</v>
      </c>
      <c r="P6200">
        <v>0.95247729999999997</v>
      </c>
      <c r="Q6200">
        <v>-2.2847220000000001E-2</v>
      </c>
      <c r="R6200">
        <v>-0.30375150000000001</v>
      </c>
      <c r="S6200">
        <v>3.2634889999999999</v>
      </c>
      <c r="T6200">
        <v>-9.798598E-2</v>
      </c>
      <c r="U6200">
        <v>0.339599599999999</v>
      </c>
      <c r="V6200">
        <v>4.4911720000000002E-2</v>
      </c>
      <c r="W6200">
        <v>-7.2678400000000002E-3</v>
      </c>
      <c r="X6200">
        <v>0.99896450000000003</v>
      </c>
      <c r="Y6200">
        <v>-0.3590816</v>
      </c>
      <c r="Z6200">
        <v>1.3141659999999999E-2</v>
      </c>
      <c r="AA6200">
        <v>0.93321370000000003</v>
      </c>
      <c r="AB6200">
        <v>20</v>
      </c>
      <c r="AC6200">
        <v>37.1022999999999</v>
      </c>
      <c r="AD6200">
        <v>-1.1168148862098</v>
      </c>
      <c r="AE6200">
        <v>3.8898899999999901</v>
      </c>
      <c r="AF6200">
        <v>-13.4209775581415</v>
      </c>
      <c r="AG6200">
        <v>-1.1168148862098</v>
      </c>
      <c r="AH6200">
        <v>34.7720875040674</v>
      </c>
      <c r="AI6200">
        <v>91.716280545027004</v>
      </c>
      <c r="AJ6200">
        <v>111.105085043871</v>
      </c>
      <c r="AK6200">
        <v>37.288979383950903</v>
      </c>
      <c r="AL6200">
        <v>90.416420233309395</v>
      </c>
      <c r="AM6200">
        <v>87.425814049709203</v>
      </c>
      <c r="AN6200">
        <v>0.999999978175936</v>
      </c>
    </row>
    <row r="6201" spans="1:40" x14ac:dyDescent="0.25">
      <c r="A6201" t="str">
        <f>"20190312161439103"</f>
        <v>20190312161439103</v>
      </c>
      <c r="B6201" t="str">
        <f>"1552378479092749"</f>
        <v>1552378479092749</v>
      </c>
      <c r="C6201" t="s">
        <v>40</v>
      </c>
      <c r="D6201">
        <v>5.6875549999999997</v>
      </c>
      <c r="E6201">
        <v>0.3491822</v>
      </c>
      <c r="F6201" t="s">
        <v>105</v>
      </c>
      <c r="G6201">
        <v>-251.0359</v>
      </c>
      <c r="H6201" s="1">
        <v>1.2658070000000001E-7</v>
      </c>
      <c r="I6201">
        <v>-61.700679999999998</v>
      </c>
      <c r="J6201">
        <v>-287.98419999999999</v>
      </c>
      <c r="K6201">
        <v>1.1167720000000001</v>
      </c>
      <c r="L6201">
        <v>-65.785740000000004</v>
      </c>
      <c r="M6201">
        <v>0.96680069999999996</v>
      </c>
      <c r="N6201">
        <v>0</v>
      </c>
      <c r="O6201">
        <v>-0.25509799999999999</v>
      </c>
      <c r="P6201">
        <v>0.95421089999999997</v>
      </c>
      <c r="Q6201">
        <v>-2.285394E-2</v>
      </c>
      <c r="R6201">
        <v>-0.2982611</v>
      </c>
      <c r="S6201">
        <v>3.2615050000000001</v>
      </c>
      <c r="T6201">
        <v>-9.8338960000000003E-2</v>
      </c>
      <c r="U6201">
        <v>0.35812379999999999</v>
      </c>
      <c r="V6201">
        <v>4.5066189999999999E-2</v>
      </c>
      <c r="W6201">
        <v>-7.2880469999999998E-3</v>
      </c>
      <c r="X6201">
        <v>0.9989574</v>
      </c>
      <c r="Y6201">
        <v>-0.3588616</v>
      </c>
      <c r="Z6201">
        <v>1.302274E-2</v>
      </c>
      <c r="AA6201">
        <v>0.93330000000000002</v>
      </c>
      <c r="AB6201">
        <v>20</v>
      </c>
      <c r="AC6201">
        <v>36.948299999999897</v>
      </c>
      <c r="AD6201">
        <v>-1.1167718734193</v>
      </c>
      <c r="AE6201">
        <v>4.0850599999999897</v>
      </c>
      <c r="AF6201">
        <v>-13.364295530887601</v>
      </c>
      <c r="AG6201">
        <v>-1.1167718734193</v>
      </c>
      <c r="AH6201">
        <v>34.652116919859701</v>
      </c>
      <c r="AI6201">
        <v>91.722325790406501</v>
      </c>
      <c r="AJ6201">
        <v>111.090150272869</v>
      </c>
      <c r="AK6201">
        <v>37.1567057404419</v>
      </c>
      <c r="AL6201">
        <v>90.417578038192303</v>
      </c>
      <c r="AM6201">
        <v>87.416953995537696</v>
      </c>
      <c r="AN6201">
        <v>0.99999998206247498</v>
      </c>
    </row>
    <row r="6202" spans="1:40" x14ac:dyDescent="0.25">
      <c r="A6202" t="str">
        <f>"20190312161439116"</f>
        <v>20190312161439116</v>
      </c>
      <c r="B6202" t="str">
        <f>"1552378479113245"</f>
        <v>1552378479113245</v>
      </c>
      <c r="C6202" t="s">
        <v>40</v>
      </c>
      <c r="D6202">
        <v>5.6594930000000003</v>
      </c>
      <c r="E6202">
        <v>0.35299989999999998</v>
      </c>
      <c r="F6202" t="s">
        <v>105</v>
      </c>
      <c r="G6202">
        <v>-257.5976</v>
      </c>
      <c r="H6202" s="1">
        <v>-3.004809E-6</v>
      </c>
      <c r="I6202">
        <v>-63.347900000000003</v>
      </c>
      <c r="J6202">
        <v>-287.88869999999997</v>
      </c>
      <c r="K6202">
        <v>1.1167290000000001</v>
      </c>
      <c r="L6202">
        <v>-65.80368</v>
      </c>
      <c r="M6202">
        <v>0.96833880000000006</v>
      </c>
      <c r="N6202">
        <v>0</v>
      </c>
      <c r="O6202">
        <v>-0.24919649999999999</v>
      </c>
      <c r="P6202">
        <v>0.95599659999999997</v>
      </c>
      <c r="Q6202">
        <v>-2.3087070000000001E-2</v>
      </c>
      <c r="R6202">
        <v>-0.29246830000000001</v>
      </c>
      <c r="S6202">
        <v>3.2218930000000001</v>
      </c>
      <c r="T6202">
        <v>-0.1184119</v>
      </c>
      <c r="U6202">
        <v>0.25848389999999999</v>
      </c>
      <c r="V6202">
        <v>4.5104789999999999E-2</v>
      </c>
      <c r="W6202">
        <v>-7.5379799999999997E-3</v>
      </c>
      <c r="X6202">
        <v>0.9989538</v>
      </c>
      <c r="Y6202">
        <v>-0.32548820000000001</v>
      </c>
      <c r="Z6202">
        <v>1.506102E-2</v>
      </c>
      <c r="AA6202">
        <v>0.94542619999999999</v>
      </c>
      <c r="AB6202">
        <v>20</v>
      </c>
      <c r="AC6202">
        <v>30.291099999999901</v>
      </c>
      <c r="AD6202">
        <v>-1.1167320048089999</v>
      </c>
      <c r="AE6202">
        <v>2.4557799999999901</v>
      </c>
      <c r="AF6202">
        <v>-9.9141737027571004</v>
      </c>
      <c r="AG6202">
        <v>-1.1167320048089999</v>
      </c>
      <c r="AH6202">
        <v>28.684518757319001</v>
      </c>
      <c r="AI6202">
        <v>92.107288983077396</v>
      </c>
      <c r="AJ6202">
        <v>109.066584204093</v>
      </c>
      <c r="AK6202">
        <v>30.370043577808602</v>
      </c>
      <c r="AL6202">
        <v>90.431898539403505</v>
      </c>
      <c r="AM6202">
        <v>87.414735266664394</v>
      </c>
      <c r="AN6202">
        <v>0.99999997887893199</v>
      </c>
    </row>
    <row r="6203" spans="1:40" x14ac:dyDescent="0.25">
      <c r="A6203" t="str">
        <f>"20190312161439126"</f>
        <v>20190312161439126</v>
      </c>
      <c r="B6203" t="str">
        <f>"1552378479123005"</f>
        <v>1552378479123005</v>
      </c>
      <c r="C6203" t="s">
        <v>40</v>
      </c>
      <c r="D6203">
        <v>5.604476</v>
      </c>
      <c r="E6203">
        <v>0.35420800000000002</v>
      </c>
      <c r="F6203" t="s">
        <v>42</v>
      </c>
      <c r="G6203">
        <v>-263.0874</v>
      </c>
      <c r="H6203" s="1">
        <v>-1.257069E-6</v>
      </c>
      <c r="I6203">
        <v>-63.8688</v>
      </c>
      <c r="J6203">
        <v>-287.79410000000001</v>
      </c>
      <c r="K6203">
        <v>1.1166780000000001</v>
      </c>
      <c r="L6203">
        <v>-65.82114</v>
      </c>
      <c r="M6203">
        <v>0.96982190000000001</v>
      </c>
      <c r="N6203">
        <v>0</v>
      </c>
      <c r="O6203">
        <v>-0.24336179999999999</v>
      </c>
      <c r="P6203">
        <v>0.95765270000000002</v>
      </c>
      <c r="Q6203">
        <v>-2.3261730000000001E-2</v>
      </c>
      <c r="R6203">
        <v>-0.28698430000000003</v>
      </c>
      <c r="S6203">
        <v>3.2112430000000001</v>
      </c>
      <c r="T6203">
        <v>-0.1445931</v>
      </c>
      <c r="U6203">
        <v>0.25051879999999999</v>
      </c>
      <c r="V6203">
        <v>4.5397180000000002E-2</v>
      </c>
      <c r="W6203">
        <v>-7.7256299999999998E-3</v>
      </c>
      <c r="X6203">
        <v>0.99893920000000003</v>
      </c>
      <c r="Y6203">
        <v>-0.31752540000000001</v>
      </c>
      <c r="Z6203">
        <v>1.8013660000000001E-2</v>
      </c>
      <c r="AA6203">
        <v>0.94807859999999999</v>
      </c>
      <c r="AB6203">
        <v>20</v>
      </c>
      <c r="AC6203">
        <v>24.706700000000001</v>
      </c>
      <c r="AD6203">
        <v>-1.1166792570690001</v>
      </c>
      <c r="AE6203">
        <v>1.95233999999999</v>
      </c>
      <c r="AF6203">
        <v>-7.8909412863332102</v>
      </c>
      <c r="AG6203">
        <v>-1.1166792570690001</v>
      </c>
      <c r="AH6203">
        <v>23.440975468215701</v>
      </c>
      <c r="AI6203">
        <v>92.585059747636606</v>
      </c>
      <c r="AJ6203">
        <v>108.60478948881</v>
      </c>
      <c r="AK6203">
        <v>24.758700649448802</v>
      </c>
      <c r="AL6203">
        <v>90.442650371079296</v>
      </c>
      <c r="AM6203">
        <v>87.397961372628401</v>
      </c>
      <c r="AN6203">
        <v>1.00000005730374</v>
      </c>
    </row>
    <row r="6204" spans="1:40" x14ac:dyDescent="0.25">
      <c r="A6204" t="str">
        <f>"20190312161439138"</f>
        <v>20190312161439138</v>
      </c>
      <c r="B6204" t="str">
        <f>"1552378479132765"</f>
        <v>1552378479132765</v>
      </c>
      <c r="C6204" t="s">
        <v>40</v>
      </c>
      <c r="D6204">
        <v>5.6731980000000002</v>
      </c>
      <c r="E6204">
        <v>0.35553050000000003</v>
      </c>
      <c r="F6204" t="s">
        <v>42</v>
      </c>
      <c r="G6204">
        <v>-263.80720000000002</v>
      </c>
      <c r="H6204" s="1">
        <v>-1.56796699999999E-6</v>
      </c>
      <c r="I6204">
        <v>-63.876739999999998</v>
      </c>
      <c r="J6204">
        <v>-287.69459999999998</v>
      </c>
      <c r="K6204">
        <v>1.116628</v>
      </c>
      <c r="L6204">
        <v>-65.838530000000006</v>
      </c>
      <c r="M6204">
        <v>0.97132799999999997</v>
      </c>
      <c r="N6204">
        <v>0</v>
      </c>
      <c r="O6204">
        <v>-0.2372803</v>
      </c>
      <c r="P6204">
        <v>0.95941509999999997</v>
      </c>
      <c r="Q6204">
        <v>-2.3270929999999999E-2</v>
      </c>
      <c r="R6204">
        <v>-0.28103630000000002</v>
      </c>
      <c r="S6204">
        <v>3.2069399999999999</v>
      </c>
      <c r="T6204">
        <v>-0.14929509999999999</v>
      </c>
      <c r="U6204">
        <v>0.25994869999999998</v>
      </c>
      <c r="V6204">
        <v>4.5457030000000002E-2</v>
      </c>
      <c r="W6204">
        <v>-7.7536289999999997E-3</v>
      </c>
      <c r="X6204">
        <v>0.99893620000000005</v>
      </c>
      <c r="Y6204">
        <v>-0.31442320000000001</v>
      </c>
      <c r="Z6204">
        <v>1.8273020000000001E-2</v>
      </c>
      <c r="AA6204">
        <v>0.94910709999999998</v>
      </c>
      <c r="AB6204">
        <v>20</v>
      </c>
      <c r="AC6204">
        <v>23.8873999999999</v>
      </c>
      <c r="AD6204">
        <v>-1.116629567967</v>
      </c>
      <c r="AE6204">
        <v>1.9617899999999999</v>
      </c>
      <c r="AF6204">
        <v>-7.5579794872222896</v>
      </c>
      <c r="AG6204">
        <v>-1.116629567967</v>
      </c>
      <c r="AH6204">
        <v>22.690258199978398</v>
      </c>
      <c r="AI6204">
        <v>92.673188100920697</v>
      </c>
      <c r="AJ6204">
        <v>108.422585111199</v>
      </c>
      <c r="AK6204">
        <v>23.941965932291701</v>
      </c>
      <c r="AL6204">
        <v>90.444254670801101</v>
      </c>
      <c r="AM6204">
        <v>87.394527849174807</v>
      </c>
      <c r="AN6204">
        <v>0.99999999600476497</v>
      </c>
    </row>
    <row r="6205" spans="1:40" x14ac:dyDescent="0.25">
      <c r="A6205" t="str">
        <f>"20190312161439151"</f>
        <v>20190312161439151</v>
      </c>
      <c r="B6205" t="str">
        <f>"1552378479142524"</f>
        <v>1552378479142524</v>
      </c>
      <c r="C6205" t="s">
        <v>40</v>
      </c>
      <c r="D6205">
        <v>5.6767640000000004</v>
      </c>
      <c r="E6205">
        <v>0.35632399999999997</v>
      </c>
      <c r="F6205" t="s">
        <v>42</v>
      </c>
      <c r="G6205">
        <v>-264.73500000000001</v>
      </c>
      <c r="H6205" s="1">
        <v>-1.9727970000000001E-6</v>
      </c>
      <c r="I6205">
        <v>-63.902410000000003</v>
      </c>
      <c r="J6205">
        <v>-287.59629999999999</v>
      </c>
      <c r="K6205">
        <v>1.1165780000000001</v>
      </c>
      <c r="L6205">
        <v>-65.855469999999997</v>
      </c>
      <c r="M6205">
        <v>0.97277429999999998</v>
      </c>
      <c r="N6205">
        <v>0</v>
      </c>
      <c r="O6205">
        <v>-0.23128000000000001</v>
      </c>
      <c r="P6205">
        <v>0.96111829999999998</v>
      </c>
      <c r="Q6205">
        <v>-2.3383040000000001E-2</v>
      </c>
      <c r="R6205">
        <v>-0.27514480000000002</v>
      </c>
      <c r="S6205">
        <v>3.2021480000000002</v>
      </c>
      <c r="T6205">
        <v>-0.1557345</v>
      </c>
      <c r="U6205">
        <v>0.27001950000000002</v>
      </c>
      <c r="V6205">
        <v>4.5496309999999998E-2</v>
      </c>
      <c r="W6205">
        <v>-7.8846599999999999E-3</v>
      </c>
      <c r="X6205">
        <v>0.99893339999999997</v>
      </c>
      <c r="Y6205">
        <v>-0.3115984</v>
      </c>
      <c r="Z6205">
        <v>1.8732459999999999E-2</v>
      </c>
      <c r="AA6205">
        <v>0.95002920000000002</v>
      </c>
      <c r="AB6205">
        <v>20</v>
      </c>
      <c r="AC6205">
        <v>22.8612999999999</v>
      </c>
      <c r="AD6205">
        <v>-1.1165799727970001</v>
      </c>
      <c r="AE6205">
        <v>1.95306</v>
      </c>
      <c r="AF6205">
        <v>-7.1710552264360397</v>
      </c>
      <c r="AG6205">
        <v>-1.1165799727970001</v>
      </c>
      <c r="AH6205">
        <v>21.738095043664998</v>
      </c>
      <c r="AI6205">
        <v>92.792644439625803</v>
      </c>
      <c r="AJ6205">
        <v>108.256909157392</v>
      </c>
      <c r="AK6205">
        <v>22.917581897391798</v>
      </c>
      <c r="AL6205">
        <v>90.4517624173738</v>
      </c>
      <c r="AM6205">
        <v>87.392272234628805</v>
      </c>
      <c r="AN6205">
        <v>1.00000000986124</v>
      </c>
    </row>
    <row r="6206" spans="1:40" x14ac:dyDescent="0.25">
      <c r="A6206" t="str">
        <f>"20190312161439161"</f>
        <v>20190312161439161</v>
      </c>
      <c r="B6206" t="str">
        <f>"1552378479153260"</f>
        <v>1552378479153260</v>
      </c>
      <c r="C6206" t="s">
        <v>40</v>
      </c>
      <c r="D6206">
        <v>5.6517210000000002</v>
      </c>
      <c r="E6206">
        <v>0.3572033</v>
      </c>
      <c r="F6206" t="s">
        <v>42</v>
      </c>
      <c r="G6206">
        <v>-264.63920000000002</v>
      </c>
      <c r="H6206" s="1">
        <v>-1.9097469999999999E-6</v>
      </c>
      <c r="I6206">
        <v>-63.819839999999999</v>
      </c>
      <c r="J6206">
        <v>-287.50020000000001</v>
      </c>
      <c r="K6206">
        <v>1.116533</v>
      </c>
      <c r="L6206">
        <v>-65.87115</v>
      </c>
      <c r="M6206">
        <v>0.97413939999999999</v>
      </c>
      <c r="N6206">
        <v>0</v>
      </c>
      <c r="O6206">
        <v>-0.225462</v>
      </c>
      <c r="P6206">
        <v>0.96267760000000002</v>
      </c>
      <c r="Q6206">
        <v>-2.3291559999999999E-2</v>
      </c>
      <c r="R6206">
        <v>-0.26964719999999998</v>
      </c>
      <c r="S6206">
        <v>3.1987920000000001</v>
      </c>
      <c r="T6206">
        <v>-0.15558139999999901</v>
      </c>
      <c r="U6206">
        <v>0.2836304</v>
      </c>
      <c r="V6206">
        <v>4.5754379999999997E-2</v>
      </c>
      <c r="W6206">
        <v>-7.8098350000000002E-3</v>
      </c>
      <c r="X6206">
        <v>0.99892219999999998</v>
      </c>
      <c r="Y6206">
        <v>-0.31002469999999999</v>
      </c>
      <c r="Z6206">
        <v>1.8415480000000001E-2</v>
      </c>
      <c r="AA6206">
        <v>0.95055009999999995</v>
      </c>
      <c r="AB6206">
        <v>20</v>
      </c>
      <c r="AC6206">
        <v>22.860999999999901</v>
      </c>
      <c r="AD6206">
        <v>-1.1165349097470001</v>
      </c>
      <c r="AE6206">
        <v>2.05131</v>
      </c>
      <c r="AF6206">
        <v>-7.1364460998839601</v>
      </c>
      <c r="AG6206">
        <v>-1.1165349097470001</v>
      </c>
      <c r="AH6206">
        <v>21.758213447105799</v>
      </c>
      <c r="AI6206">
        <v>92.791521693634806</v>
      </c>
      <c r="AJ6206">
        <v>108.15890105396301</v>
      </c>
      <c r="AK6206">
        <v>22.925866735001499</v>
      </c>
      <c r="AL6206">
        <v>90.447475128988202</v>
      </c>
      <c r="AM6206">
        <v>87.377471577022703</v>
      </c>
      <c r="AN6206">
        <v>1.00000000923237</v>
      </c>
    </row>
    <row r="6207" spans="1:40" x14ac:dyDescent="0.25">
      <c r="A6207" t="str">
        <f>"20190312161439173"</f>
        <v>20190312161439173</v>
      </c>
      <c r="B6207" t="str">
        <f>"1552378479163021"</f>
        <v>1552378479163021</v>
      </c>
      <c r="C6207" t="s">
        <v>40</v>
      </c>
      <c r="D6207">
        <v>5.6872680000000004</v>
      </c>
      <c r="E6207">
        <v>0.358245599999999</v>
      </c>
      <c r="F6207" t="s">
        <v>42</v>
      </c>
      <c r="G6207">
        <v>-264.97669999999999</v>
      </c>
      <c r="H6207" s="1">
        <v>-2.046354E-6</v>
      </c>
      <c r="I6207">
        <v>-63.789119999999997</v>
      </c>
      <c r="J6207">
        <v>-287.40609999999998</v>
      </c>
      <c r="K6207">
        <v>1.1164829999999999</v>
      </c>
      <c r="L6207">
        <v>-65.886200000000002</v>
      </c>
      <c r="M6207">
        <v>0.97543590000000002</v>
      </c>
      <c r="N6207">
        <v>0</v>
      </c>
      <c r="O6207">
        <v>-0.21978610000000001</v>
      </c>
      <c r="P6207">
        <v>0.96416959999999996</v>
      </c>
      <c r="Q6207">
        <v>-2.3311189999999999E-2</v>
      </c>
      <c r="R6207">
        <v>-0.26426040000000001</v>
      </c>
      <c r="S6207">
        <v>3.1951900000000002</v>
      </c>
      <c r="T6207">
        <v>-0.15839159999999999</v>
      </c>
      <c r="U6207">
        <v>0.29534909999999998</v>
      </c>
      <c r="V6207">
        <v>4.5985400000000003E-2</v>
      </c>
      <c r="W6207">
        <v>-7.8462610000000002E-3</v>
      </c>
      <c r="X6207">
        <v>0.99891129999999995</v>
      </c>
      <c r="Y6207">
        <v>-0.30802649999999998</v>
      </c>
      <c r="Z6207">
        <v>1.8440789999999999E-2</v>
      </c>
      <c r="AA6207">
        <v>0.95119909999999996</v>
      </c>
      <c r="AB6207">
        <v>20</v>
      </c>
      <c r="AC6207">
        <v>22.429399999999902</v>
      </c>
      <c r="AD6207">
        <v>-1.1164850463539999</v>
      </c>
      <c r="AE6207">
        <v>2.0970800000000001</v>
      </c>
      <c r="AF6207">
        <v>-6.9589074232910502</v>
      </c>
      <c r="AG6207">
        <v>-1.1164850463539999</v>
      </c>
      <c r="AH6207">
        <v>21.367391381817601</v>
      </c>
      <c r="AI6207">
        <v>92.844306647574697</v>
      </c>
      <c r="AJ6207">
        <v>108.03933392579999</v>
      </c>
      <c r="AK6207">
        <v>22.4997410173637</v>
      </c>
      <c r="AL6207">
        <v>90.449562251763297</v>
      </c>
      <c r="AM6207">
        <v>87.364219985604393</v>
      </c>
      <c r="AN6207">
        <v>1.0000000030462599</v>
      </c>
    </row>
    <row r="6208" spans="1:40" x14ac:dyDescent="0.25">
      <c r="A6208" t="str">
        <f>"20190312161439184"</f>
        <v>20190312161439184</v>
      </c>
      <c r="B6208" t="str">
        <f>"1552378479172781"</f>
        <v>1552378479172781</v>
      </c>
      <c r="C6208" t="s">
        <v>40</v>
      </c>
      <c r="D6208">
        <v>5.7036470000000001</v>
      </c>
      <c r="E6208">
        <v>0.35926419999999998</v>
      </c>
      <c r="F6208" t="s">
        <v>42</v>
      </c>
      <c r="G6208">
        <v>-265.25009999999997</v>
      </c>
      <c r="H6208" s="1">
        <v>-2.1576809999999998E-6</v>
      </c>
      <c r="I6208">
        <v>-63.766759999999998</v>
      </c>
      <c r="J6208">
        <v>-287.31029999999998</v>
      </c>
      <c r="K6208">
        <v>1.116431</v>
      </c>
      <c r="L6208">
        <v>-65.900909999999996</v>
      </c>
      <c r="M6208">
        <v>0.97671260000000004</v>
      </c>
      <c r="N6208">
        <v>0</v>
      </c>
      <c r="O6208">
        <v>-0.21404229999999999</v>
      </c>
      <c r="P6208">
        <v>0.9656363</v>
      </c>
      <c r="Q6208">
        <v>-2.318539E-2</v>
      </c>
      <c r="R6208">
        <v>-0.25886179999999998</v>
      </c>
      <c r="S6208">
        <v>3.191284</v>
      </c>
      <c r="T6208">
        <v>-0.1608145</v>
      </c>
      <c r="U6208">
        <v>0.30526730000000002</v>
      </c>
      <c r="V6208">
        <v>4.6271140000000002E-2</v>
      </c>
      <c r="W6208">
        <v>-7.7373210000000001E-3</v>
      </c>
      <c r="X6208">
        <v>0.99889890000000003</v>
      </c>
      <c r="Y6208">
        <v>-0.30545409999999901</v>
      </c>
      <c r="Z6208">
        <v>1.8394130000000002E-2</v>
      </c>
      <c r="AA6208">
        <v>0.95202909999999996</v>
      </c>
      <c r="AB6208">
        <v>20</v>
      </c>
      <c r="AC6208">
        <v>22.060199999999998</v>
      </c>
      <c r="AD6208">
        <v>-1.116433157681</v>
      </c>
      <c r="AE6208">
        <v>2.1341499999999902</v>
      </c>
      <c r="AF6208">
        <v>-6.7897816106009401</v>
      </c>
      <c r="AG6208">
        <v>-1.116433157681</v>
      </c>
      <c r="AH6208">
        <v>21.038595395934301</v>
      </c>
      <c r="AI6208">
        <v>92.891045282388006</v>
      </c>
      <c r="AJ6208">
        <v>107.886436558038</v>
      </c>
      <c r="AK6208">
        <v>22.135267189465999</v>
      </c>
      <c r="AL6208">
        <v>90.443320284266406</v>
      </c>
      <c r="AM6208">
        <v>87.347832446305205</v>
      </c>
      <c r="AN6208">
        <v>0.99999994847718199</v>
      </c>
    </row>
    <row r="6209" spans="1:40" x14ac:dyDescent="0.25">
      <c r="A6209" t="str">
        <f>"20190312161439195"</f>
        <v>20190312161439195</v>
      </c>
      <c r="B6209" t="str">
        <f>"1552378479182543"</f>
        <v>1552378479182543</v>
      </c>
      <c r="C6209" t="s">
        <v>40</v>
      </c>
      <c r="D6209">
        <v>5.6846920000000001</v>
      </c>
      <c r="E6209">
        <v>0.35926419999999998</v>
      </c>
      <c r="F6209" t="s">
        <v>42</v>
      </c>
      <c r="G6209">
        <v>-265.62549999999999</v>
      </c>
      <c r="H6209" s="1">
        <v>-2.3151929999999999E-6</v>
      </c>
      <c r="I6209">
        <v>-63.753459999999997</v>
      </c>
      <c r="J6209">
        <v>-287.22269999999997</v>
      </c>
      <c r="K6209">
        <v>1.1163799999999999</v>
      </c>
      <c r="L6209">
        <v>-65.913849999999996</v>
      </c>
      <c r="M6209">
        <v>0.97784300000000002</v>
      </c>
      <c r="N6209">
        <v>0</v>
      </c>
      <c r="O6209">
        <v>-0.208818</v>
      </c>
      <c r="P6209">
        <v>0.96694340000000001</v>
      </c>
      <c r="Q6209">
        <v>-2.3235550000000001E-2</v>
      </c>
      <c r="R6209">
        <v>-0.25393070000000001</v>
      </c>
      <c r="S6209">
        <v>3.1874389999999999</v>
      </c>
      <c r="T6209">
        <v>-0.16410339999999901</v>
      </c>
      <c r="U6209">
        <v>0.31564330000000002</v>
      </c>
      <c r="V6209">
        <v>4.6513880000000001E-2</v>
      </c>
      <c r="W6209">
        <v>-7.8035140000000001E-3</v>
      </c>
      <c r="X6209">
        <v>0.99888719999999998</v>
      </c>
      <c r="Y6209">
        <v>-0.30352410000000002</v>
      </c>
      <c r="Z6209">
        <v>1.847594E-2</v>
      </c>
      <c r="AA6209">
        <v>0.95264459999999995</v>
      </c>
      <c r="AB6209">
        <v>20</v>
      </c>
      <c r="AC6209">
        <v>21.597199999999901</v>
      </c>
      <c r="AD6209">
        <v>-1.1163823151929999</v>
      </c>
      <c r="AE6209">
        <v>2.16039</v>
      </c>
      <c r="AF6209">
        <v>-6.6056534502717597</v>
      </c>
      <c r="AG6209">
        <v>-1.1163823151929999</v>
      </c>
      <c r="AH6209">
        <v>20.615259224210899</v>
      </c>
      <c r="AI6209">
        <v>92.952153638208998</v>
      </c>
      <c r="AJ6209">
        <v>107.766780429406</v>
      </c>
      <c r="AK6209">
        <v>21.676482183697999</v>
      </c>
      <c r="AL6209">
        <v>90.447112938875406</v>
      </c>
      <c r="AM6209">
        <v>87.333907923402705</v>
      </c>
      <c r="AN6209">
        <v>1.00000003709362</v>
      </c>
    </row>
    <row r="6210" spans="1:40" x14ac:dyDescent="0.25">
      <c r="A6210" t="str">
        <f>"20190312161439205"</f>
        <v>20190312161439205</v>
      </c>
      <c r="B6210" t="str">
        <f>"1552378479193277"</f>
        <v>1552378479193277</v>
      </c>
      <c r="C6210" t="s">
        <v>40</v>
      </c>
      <c r="D6210">
        <v>5.7091649999999996</v>
      </c>
      <c r="E6210">
        <v>0.37193150000000003</v>
      </c>
      <c r="F6210" t="s">
        <v>42</v>
      </c>
      <c r="G6210">
        <v>-265.57650000000001</v>
      </c>
      <c r="H6210" s="1">
        <v>-2.269063E-6</v>
      </c>
      <c r="I6210">
        <v>-63.658990000000003</v>
      </c>
      <c r="J6210">
        <v>-287.12639999999999</v>
      </c>
      <c r="K6210">
        <v>1.1163289999999999</v>
      </c>
      <c r="L6210">
        <v>-65.927669999999907</v>
      </c>
      <c r="M6210">
        <v>0.97904530000000001</v>
      </c>
      <c r="N6210">
        <v>0</v>
      </c>
      <c r="O6210">
        <v>-0.20310780000000001</v>
      </c>
      <c r="P6210">
        <v>0.9683794</v>
      </c>
      <c r="Q6210">
        <v>-2.3206609999999999E-2</v>
      </c>
      <c r="R6210">
        <v>-0.2484006</v>
      </c>
      <c r="S6210">
        <v>3.1857600000000001</v>
      </c>
      <c r="T6210">
        <v>-0.16430310000000001</v>
      </c>
      <c r="U6210">
        <v>0.33184809999999998</v>
      </c>
      <c r="V6210">
        <v>4.6633639999999997E-2</v>
      </c>
      <c r="W6210">
        <v>-7.7941779999999997E-3</v>
      </c>
      <c r="X6210">
        <v>0.99888160000000004</v>
      </c>
      <c r="Y6210">
        <v>-0.30281629999999998</v>
      </c>
      <c r="Z6210">
        <v>1.819631E-2</v>
      </c>
      <c r="AA6210">
        <v>0.95287529999999998</v>
      </c>
      <c r="AB6210">
        <v>20</v>
      </c>
      <c r="AC6210">
        <v>21.549899999999901</v>
      </c>
      <c r="AD6210">
        <v>-1.1163312690629901</v>
      </c>
      <c r="AE6210">
        <v>2.2686799999999798</v>
      </c>
      <c r="AF6210">
        <v>-6.5813437970122797</v>
      </c>
      <c r="AG6210">
        <v>-1.1163312690629901</v>
      </c>
      <c r="AH6210">
        <v>20.5851526389045</v>
      </c>
      <c r="AI6210">
        <v>92.956939023756604</v>
      </c>
      <c r="AJ6210">
        <v>107.729761239225</v>
      </c>
      <c r="AK6210">
        <v>21.6404434068195</v>
      </c>
      <c r="AL6210">
        <v>90.446578048926497</v>
      </c>
      <c r="AM6210">
        <v>87.327038474389695</v>
      </c>
      <c r="AN6210">
        <v>0.99999994820445104</v>
      </c>
    </row>
    <row r="6211" spans="1:40" x14ac:dyDescent="0.25">
      <c r="A6211" t="str">
        <f>"20190312161439217"</f>
        <v>20190312161439217</v>
      </c>
      <c r="B6211" t="str">
        <f>"1552378479212798"</f>
        <v>1552378479212798</v>
      </c>
      <c r="C6211" t="s">
        <v>40</v>
      </c>
      <c r="D6211">
        <v>5.691262</v>
      </c>
      <c r="E6211">
        <v>0.37361260000000002</v>
      </c>
      <c r="F6211" t="s">
        <v>42</v>
      </c>
      <c r="G6211">
        <v>-270.33819999999997</v>
      </c>
      <c r="H6211" s="1">
        <v>-2.3076229999999999E-7</v>
      </c>
      <c r="I6211">
        <v>-64.572339999999997</v>
      </c>
      <c r="J6211">
        <v>-287.029</v>
      </c>
      <c r="K6211">
        <v>1.1162749999999999</v>
      </c>
      <c r="L6211">
        <v>-65.940919999999906</v>
      </c>
      <c r="M6211">
        <v>0.98021760000000002</v>
      </c>
      <c r="N6211">
        <v>0</v>
      </c>
      <c r="O6211">
        <v>-0.1973741</v>
      </c>
      <c r="P6211">
        <v>0.96981300000000004</v>
      </c>
      <c r="Q6211">
        <v>-2.3308039999999999E-2</v>
      </c>
      <c r="R6211">
        <v>-0.24273429999999999</v>
      </c>
      <c r="S6211">
        <v>3.158325</v>
      </c>
      <c r="T6211">
        <v>-0.21001139999999999</v>
      </c>
      <c r="U6211">
        <v>0.25497439999999999</v>
      </c>
      <c r="V6211">
        <v>4.6640649999999999E-2</v>
      </c>
      <c r="W6211">
        <v>-7.9176579999999993E-3</v>
      </c>
      <c r="X6211">
        <v>0.99888030000000005</v>
      </c>
      <c r="Y6211">
        <v>-0.27460570000000001</v>
      </c>
      <c r="Z6211">
        <v>2.215609E-2</v>
      </c>
      <c r="AA6211">
        <v>0.96130159999999998</v>
      </c>
      <c r="AB6211">
        <v>20</v>
      </c>
      <c r="AC6211">
        <v>16.690799999999999</v>
      </c>
      <c r="AD6211">
        <v>-1.1162752307622901</v>
      </c>
      <c r="AE6211">
        <v>1.3685799999999899</v>
      </c>
      <c r="AF6211">
        <v>-4.6158324897369001</v>
      </c>
      <c r="AG6211">
        <v>-1.1162752307622901</v>
      </c>
      <c r="AH6211">
        <v>16.021057287045402</v>
      </c>
      <c r="AI6211">
        <v>93.8303577292277</v>
      </c>
      <c r="AJ6211">
        <v>106.072238920855</v>
      </c>
      <c r="AK6211">
        <v>16.710064528867498</v>
      </c>
      <c r="AL6211">
        <v>90.453653151188902</v>
      </c>
      <c r="AM6211">
        <v>87.3266337816694</v>
      </c>
      <c r="AN6211">
        <v>0.99999994663435698</v>
      </c>
    </row>
    <row r="6212" spans="1:40" x14ac:dyDescent="0.25">
      <c r="A6212" t="str">
        <f>"20190312161439228"</f>
        <v>20190312161439228</v>
      </c>
      <c r="B6212" t="str">
        <f>"1552378479222557"</f>
        <v>1552378479222557</v>
      </c>
      <c r="C6212" t="s">
        <v>40</v>
      </c>
      <c r="D6212">
        <v>8.38487299999999</v>
      </c>
      <c r="E6212">
        <v>0.37361260000000002</v>
      </c>
      <c r="F6212" t="s">
        <v>42</v>
      </c>
      <c r="G6212">
        <v>-269.99220000000003</v>
      </c>
      <c r="H6212" s="1">
        <v>-7.4192309999999901E-8</v>
      </c>
      <c r="I6212">
        <v>-64.535569999999893</v>
      </c>
      <c r="J6212">
        <v>-286.93430000000001</v>
      </c>
      <c r="K6212">
        <v>1.1162270000000001</v>
      </c>
      <c r="L6212">
        <v>-65.953609999999998</v>
      </c>
      <c r="M6212">
        <v>0.98132039999999998</v>
      </c>
      <c r="N6212">
        <v>0</v>
      </c>
      <c r="O6212">
        <v>-0.1918166</v>
      </c>
      <c r="P6212">
        <v>0.97121299999999999</v>
      </c>
      <c r="Q6212">
        <v>-2.3195859999999999E-2</v>
      </c>
      <c r="R6212">
        <v>-0.23708119999999999</v>
      </c>
      <c r="S6212">
        <v>3.1535340000000001</v>
      </c>
      <c r="T6212">
        <v>-0.20662459999999999</v>
      </c>
      <c r="U6212">
        <v>0.26013180000000002</v>
      </c>
      <c r="V6212">
        <v>4.6479819999999998E-2</v>
      </c>
      <c r="W6212">
        <v>-7.8287879999999997E-3</v>
      </c>
      <c r="X6212">
        <v>0.99888860000000002</v>
      </c>
      <c r="Y6212">
        <v>-0.2708853</v>
      </c>
      <c r="Z6212">
        <v>2.135076E-2</v>
      </c>
      <c r="AA6212">
        <v>0.96237479999999997</v>
      </c>
      <c r="AB6212">
        <v>20</v>
      </c>
      <c r="AC6212">
        <v>16.9420999999999</v>
      </c>
      <c r="AD6212">
        <v>-1.1162270741923099</v>
      </c>
      <c r="AE6212">
        <v>1.41804</v>
      </c>
      <c r="AF6212">
        <v>-4.6219072453491998</v>
      </c>
      <c r="AG6212">
        <v>-1.1162270741923099</v>
      </c>
      <c r="AH6212">
        <v>16.285197511096701</v>
      </c>
      <c r="AI6212">
        <v>93.772522409665598</v>
      </c>
      <c r="AJ6212">
        <v>105.844489621411</v>
      </c>
      <c r="AK6212">
        <v>16.965130339646699</v>
      </c>
      <c r="AL6212">
        <v>90.448561071068795</v>
      </c>
      <c r="AM6212">
        <v>87.335861096254206</v>
      </c>
      <c r="AN6212">
        <v>1.0000000493993599</v>
      </c>
    </row>
    <row r="6213" spans="1:40" x14ac:dyDescent="0.25">
      <c r="A6213" t="str">
        <f>"20190312161439239"</f>
        <v>20190312161439239</v>
      </c>
      <c r="B6213" t="str">
        <f>"1552378479233293"</f>
        <v>1552378479233293</v>
      </c>
      <c r="C6213" t="s">
        <v>40</v>
      </c>
      <c r="D6213">
        <v>5.4249689999999999</v>
      </c>
      <c r="E6213">
        <v>0.3727066</v>
      </c>
      <c r="F6213" t="s">
        <v>104</v>
      </c>
      <c r="G6213">
        <v>-269.87279999999998</v>
      </c>
      <c r="H6213" s="1">
        <v>-3.9687919999999998E-6</v>
      </c>
      <c r="I6213">
        <v>-64.446010000000001</v>
      </c>
      <c r="J6213">
        <v>-286.84339999999997</v>
      </c>
      <c r="K6213">
        <v>1.11617099999999</v>
      </c>
      <c r="L6213">
        <v>-65.964939999999999</v>
      </c>
      <c r="M6213">
        <v>0.9823366</v>
      </c>
      <c r="N6213">
        <v>0</v>
      </c>
      <c r="O6213">
        <v>-0.18654409999999999</v>
      </c>
      <c r="P6213">
        <v>0.97247450000000002</v>
      </c>
      <c r="Q6213">
        <v>-2.3102270000000001E-2</v>
      </c>
      <c r="R6213">
        <v>-0.23186219999999999</v>
      </c>
      <c r="S6213">
        <v>3.1519469999999998</v>
      </c>
      <c r="T6213">
        <v>-0.20621300000000001</v>
      </c>
      <c r="U6213">
        <v>0.27850340000000001</v>
      </c>
      <c r="V6213">
        <v>4.647714E-2</v>
      </c>
      <c r="W6213">
        <v>-7.7567869999999898E-3</v>
      </c>
      <c r="X6213">
        <v>0.99888920000000003</v>
      </c>
      <c r="Y6213">
        <v>-0.27133930000000001</v>
      </c>
      <c r="Z6213">
        <v>2.0989669999999998E-2</v>
      </c>
      <c r="AA6213">
        <v>0.96225490000000002</v>
      </c>
      <c r="AB6213">
        <v>20</v>
      </c>
      <c r="AC6213">
        <v>16.970599999999902</v>
      </c>
      <c r="AD6213">
        <v>-1.11617496879199</v>
      </c>
      <c r="AE6213">
        <v>1.5189299999999899</v>
      </c>
      <c r="AF6213">
        <v>-4.6384634321924203</v>
      </c>
      <c r="AG6213">
        <v>-1.11617496879199</v>
      </c>
      <c r="AH6213">
        <v>16.319231746042298</v>
      </c>
      <c r="AI6213">
        <v>93.764085208069901</v>
      </c>
      <c r="AJ6213">
        <v>105.866896722014</v>
      </c>
      <c r="AK6213">
        <v>17.002309088878999</v>
      </c>
      <c r="AL6213">
        <v>90.444435630947396</v>
      </c>
      <c r="AM6213">
        <v>87.336016085553695</v>
      </c>
      <c r="AN6213">
        <v>0.99999996308188999</v>
      </c>
    </row>
    <row r="6214" spans="1:40" x14ac:dyDescent="0.25">
      <c r="A6214" t="str">
        <f>"20190312161439250"</f>
        <v>20190312161439250</v>
      </c>
      <c r="B6214" t="str">
        <f>"1552378479243053"</f>
        <v>1552378479243053</v>
      </c>
      <c r="C6214" t="s">
        <v>40</v>
      </c>
      <c r="D6214">
        <v>5.7218070000000001</v>
      </c>
      <c r="E6214">
        <v>0.37339509999999998</v>
      </c>
      <c r="F6214" t="s">
        <v>42</v>
      </c>
      <c r="G6214">
        <v>-268.1823</v>
      </c>
      <c r="H6214" s="1">
        <v>-3.3465130000000002E-6</v>
      </c>
      <c r="I6214">
        <v>-64.181039999999996</v>
      </c>
      <c r="J6214">
        <v>-286.7423</v>
      </c>
      <c r="K6214">
        <v>1.116115</v>
      </c>
      <c r="L6214">
        <v>-65.977289999999996</v>
      </c>
      <c r="M6214">
        <v>0.98342870000000004</v>
      </c>
      <c r="N6214">
        <v>0</v>
      </c>
      <c r="O6214">
        <v>-0.1807001</v>
      </c>
      <c r="P6214">
        <v>0.97387919999999994</v>
      </c>
      <c r="Q6214">
        <v>-2.3272709999999999E-2</v>
      </c>
      <c r="R6214">
        <v>-0.2258715</v>
      </c>
      <c r="S6214">
        <v>3.1522830000000002</v>
      </c>
      <c r="T6214">
        <v>-0.18854770000000001</v>
      </c>
      <c r="U6214">
        <v>0.301330599999999</v>
      </c>
      <c r="V6214">
        <v>4.6269820000000003E-2</v>
      </c>
      <c r="W6214">
        <v>-7.9537159999999996E-3</v>
      </c>
      <c r="X6214">
        <v>0.99889729999999999</v>
      </c>
      <c r="Y6214">
        <v>-0.27268629999999999</v>
      </c>
      <c r="Z6214">
        <v>1.888312E-2</v>
      </c>
      <c r="AA6214">
        <v>0.96191760000000004</v>
      </c>
      <c r="AB6214">
        <v>20</v>
      </c>
      <c r="AC6214">
        <v>18.559999999999999</v>
      </c>
      <c r="AD6214">
        <v>-1.116118346513</v>
      </c>
      <c r="AE6214">
        <v>1.7962499999999999</v>
      </c>
      <c r="AF6214">
        <v>-5.1025482508606697</v>
      </c>
      <c r="AG6214">
        <v>-1.116118346513</v>
      </c>
      <c r="AH6214">
        <v>17.8657773604662</v>
      </c>
      <c r="AI6214">
        <v>93.437653380224504</v>
      </c>
      <c r="AJ6214">
        <v>105.93958566865101</v>
      </c>
      <c r="AK6214">
        <v>18.613643370107098</v>
      </c>
      <c r="AL6214">
        <v>90.455719169224906</v>
      </c>
      <c r="AM6214">
        <v>87.347903756026497</v>
      </c>
      <c r="AN6214">
        <v>0.99999998689416503</v>
      </c>
    </row>
    <row r="6215" spans="1:40" x14ac:dyDescent="0.25">
      <c r="A6215" t="str">
        <f>"20190312161439260"</f>
        <v>20190312161439260</v>
      </c>
      <c r="B6215" t="str">
        <f>"1552378479252813"</f>
        <v>1552378479252813</v>
      </c>
      <c r="C6215" t="s">
        <v>40</v>
      </c>
      <c r="D6215">
        <v>5.7228079999999997</v>
      </c>
      <c r="E6215">
        <v>0.37379380000000001</v>
      </c>
      <c r="F6215" t="s">
        <v>42</v>
      </c>
      <c r="G6215">
        <v>-267.85090000000002</v>
      </c>
      <c r="H6215" s="1">
        <v>-3.2168970000000002E-6</v>
      </c>
      <c r="I6215">
        <v>-64.086100000000002</v>
      </c>
      <c r="J6215">
        <v>-286.65679999999998</v>
      </c>
      <c r="K6215">
        <v>1.1160650000000001</v>
      </c>
      <c r="L6215">
        <v>-65.987119999999905</v>
      </c>
      <c r="M6215">
        <v>0.98431740000000001</v>
      </c>
      <c r="N6215">
        <v>0</v>
      </c>
      <c r="O6215">
        <v>-0.175795799999999</v>
      </c>
      <c r="P6215">
        <v>0.97505940000000002</v>
      </c>
      <c r="Q6215">
        <v>-2.3206520000000001E-2</v>
      </c>
      <c r="R6215">
        <v>-0.22072829999999999</v>
      </c>
      <c r="S6215">
        <v>3.1491389999999999</v>
      </c>
      <c r="T6215">
        <v>-0.18605360000000001</v>
      </c>
      <c r="U6215">
        <v>0.31524659999999999</v>
      </c>
      <c r="V6215">
        <v>4.5975040000000002E-2</v>
      </c>
      <c r="W6215">
        <v>-7.9119819999999997E-3</v>
      </c>
      <c r="X6215">
        <v>0.99891129999999995</v>
      </c>
      <c r="Y6215">
        <v>-0.27222200000000002</v>
      </c>
      <c r="Z6215">
        <v>1.8349109999999998E-2</v>
      </c>
      <c r="AA6215">
        <v>0.96205949999999996</v>
      </c>
      <c r="AB6215">
        <v>20</v>
      </c>
      <c r="AC6215">
        <v>18.805899999999902</v>
      </c>
      <c r="AD6215">
        <v>-1.11606821689699</v>
      </c>
      <c r="AE6215">
        <v>1.9010199999999799</v>
      </c>
      <c r="AF6215">
        <v>-5.1597731154128397</v>
      </c>
      <c r="AG6215">
        <v>-1.11606821689699</v>
      </c>
      <c r="AH6215">
        <v>18.115580159280199</v>
      </c>
      <c r="AI6215">
        <v>93.390905078855099</v>
      </c>
      <c r="AJ6215">
        <v>105.89828674932301</v>
      </c>
      <c r="AK6215">
        <v>18.869104678670102</v>
      </c>
      <c r="AL6215">
        <v>90.453327885767294</v>
      </c>
      <c r="AM6215">
        <v>87.364812960429703</v>
      </c>
      <c r="AN6215">
        <v>1.00000004451492</v>
      </c>
    </row>
    <row r="6216" spans="1:40" x14ac:dyDescent="0.25">
      <c r="A6216" t="str">
        <f>"20190312161439273"</f>
        <v>20190312161439273</v>
      </c>
      <c r="B6216" t="str">
        <f>"1552378479262573"</f>
        <v>1552378479262573</v>
      </c>
      <c r="C6216" t="s">
        <v>40</v>
      </c>
      <c r="D6216">
        <v>5.7131100000000004</v>
      </c>
      <c r="E6216">
        <v>0.37548969999999998</v>
      </c>
      <c r="F6216" t="s">
        <v>104</v>
      </c>
      <c r="G6216">
        <v>-267.35789999999997</v>
      </c>
      <c r="H6216" s="1">
        <v>-3.0289669999999999E-6</v>
      </c>
      <c r="I6216">
        <v>-63.972470000000001</v>
      </c>
      <c r="J6216">
        <v>-286.56009999999998</v>
      </c>
      <c r="K6216">
        <v>1.1160110000000001</v>
      </c>
      <c r="L6216">
        <v>-65.997919999999993</v>
      </c>
      <c r="M6216">
        <v>0.98528720000000003</v>
      </c>
      <c r="N6216">
        <v>0</v>
      </c>
      <c r="O6216">
        <v>-0.1702776</v>
      </c>
      <c r="P6216">
        <v>0.97626210000000002</v>
      </c>
      <c r="Q6216">
        <v>-2.3115210000000001E-2</v>
      </c>
      <c r="R6216">
        <v>-0.2153563</v>
      </c>
      <c r="S6216">
        <v>3.1467900000000002</v>
      </c>
      <c r="T6216">
        <v>-0.18198139999999999</v>
      </c>
      <c r="U6216">
        <v>0.32849119999999998</v>
      </c>
      <c r="V6216">
        <v>4.6069770000000003E-2</v>
      </c>
      <c r="W6216">
        <v>-7.8425119999999994E-3</v>
      </c>
      <c r="X6216">
        <v>0.9989074</v>
      </c>
      <c r="Y6216">
        <v>-0.27095370000000002</v>
      </c>
      <c r="Z6216">
        <v>1.7606279999999998E-2</v>
      </c>
      <c r="AA6216">
        <v>0.96243140000000005</v>
      </c>
      <c r="AB6216">
        <v>20</v>
      </c>
      <c r="AC6216">
        <v>19.202200000000001</v>
      </c>
      <c r="AD6216">
        <v>-1.116014028967</v>
      </c>
      <c r="AE6216">
        <v>2.0254500000000002</v>
      </c>
      <c r="AF6216">
        <v>-5.2483866787748399</v>
      </c>
      <c r="AG6216">
        <v>-1.116014028967</v>
      </c>
      <c r="AH6216">
        <v>18.5149351082149</v>
      </c>
      <c r="AI6216">
        <v>93.318951611098001</v>
      </c>
      <c r="AJ6216">
        <v>105.82632197798399</v>
      </c>
      <c r="AK6216">
        <v>19.2767702716041</v>
      </c>
      <c r="AL6216">
        <v>90.449347462063997</v>
      </c>
      <c r="AM6216">
        <v>87.359380629945704</v>
      </c>
      <c r="AN6216">
        <v>0.99999996123853996</v>
      </c>
    </row>
    <row r="6217" spans="1:40" x14ac:dyDescent="0.25">
      <c r="A6217" t="str">
        <f>"20190312161439283"</f>
        <v>20190312161439283</v>
      </c>
      <c r="B6217" t="str">
        <f>"1552378479273310"</f>
        <v>1552378479273310</v>
      </c>
      <c r="C6217" t="s">
        <v>40</v>
      </c>
      <c r="D6217">
        <v>5.8417130000000004</v>
      </c>
      <c r="E6217">
        <v>0.3775269</v>
      </c>
      <c r="F6217" t="s">
        <v>42</v>
      </c>
      <c r="G6217">
        <v>-267.78230000000002</v>
      </c>
      <c r="H6217" s="1">
        <v>-3.1797479999999999E-6</v>
      </c>
      <c r="I6217">
        <v>-64.008369999999999</v>
      </c>
      <c r="J6217">
        <v>-286.46289999999999</v>
      </c>
      <c r="K6217">
        <v>1.1159570000000001</v>
      </c>
      <c r="L6217">
        <v>-66.008240000000001</v>
      </c>
      <c r="M6217">
        <v>0.98622290000000001</v>
      </c>
      <c r="N6217">
        <v>0</v>
      </c>
      <c r="O6217">
        <v>-0.16477410000000001</v>
      </c>
      <c r="P6217">
        <v>0.97747600000000001</v>
      </c>
      <c r="Q6217">
        <v>-2.309539E-2</v>
      </c>
      <c r="R6217">
        <v>-0.20977989999999999</v>
      </c>
      <c r="S6217">
        <v>3.141937</v>
      </c>
      <c r="T6217">
        <v>-0.18673339999999999</v>
      </c>
      <c r="U6217">
        <v>0.33288570000000001</v>
      </c>
      <c r="V6217">
        <v>4.5943489999999997E-2</v>
      </c>
      <c r="W6217">
        <v>-7.8477749999999995E-3</v>
      </c>
      <c r="X6217">
        <v>0.99891319999999995</v>
      </c>
      <c r="Y6217">
        <v>-0.26703870000000002</v>
      </c>
      <c r="Z6217">
        <v>1.765216E-2</v>
      </c>
      <c r="AA6217">
        <v>0.96352409999999999</v>
      </c>
      <c r="AB6217">
        <v>19</v>
      </c>
      <c r="AC6217">
        <v>18.680599999999899</v>
      </c>
      <c r="AD6217">
        <v>-1.1159601797480001</v>
      </c>
      <c r="AE6217">
        <v>1.99987</v>
      </c>
      <c r="AF6217">
        <v>-5.0331782301360999</v>
      </c>
      <c r="AG6217">
        <v>-1.1159601797480001</v>
      </c>
      <c r="AH6217">
        <v>18.032021501027799</v>
      </c>
      <c r="AI6217">
        <v>93.411316185130204</v>
      </c>
      <c r="AJ6217">
        <v>105.595718035034</v>
      </c>
      <c r="AK6217">
        <v>18.754520778538399</v>
      </c>
      <c r="AL6217">
        <v>90.449649007688706</v>
      </c>
      <c r="AM6217">
        <v>87.366623791568998</v>
      </c>
      <c r="AN6217">
        <v>0.99999998649003496</v>
      </c>
    </row>
    <row r="6218" spans="1:40" x14ac:dyDescent="0.25">
      <c r="A6218" t="str">
        <f>"20190312161439294"</f>
        <v>20190312161439294</v>
      </c>
      <c r="B6218" t="str">
        <f>"1552378479282676"</f>
        <v>1552378479282676</v>
      </c>
      <c r="C6218" t="s">
        <v>40</v>
      </c>
      <c r="D6218">
        <v>5.717085</v>
      </c>
      <c r="E6218">
        <v>0.3775269</v>
      </c>
      <c r="F6218" t="s">
        <v>42</v>
      </c>
      <c r="G6218">
        <v>-267.86799999999999</v>
      </c>
      <c r="H6218" s="1">
        <v>-3.2113460000000001E-6</v>
      </c>
      <c r="I6218">
        <v>-64.022019999999998</v>
      </c>
      <c r="J6218">
        <v>-286.37689999999998</v>
      </c>
      <c r="K6218">
        <v>1.115912</v>
      </c>
      <c r="L6218">
        <v>-66.016909999999996</v>
      </c>
      <c r="M6218">
        <v>0.98701859999999997</v>
      </c>
      <c r="N6218">
        <v>0</v>
      </c>
      <c r="O6218">
        <v>-0.15993879999999999</v>
      </c>
      <c r="P6218">
        <v>0.97851560000000004</v>
      </c>
      <c r="Q6218">
        <v>-2.3045469999999998E-2</v>
      </c>
      <c r="R6218">
        <v>-0.2048817</v>
      </c>
      <c r="S6218">
        <v>3.1365660000000002</v>
      </c>
      <c r="T6218">
        <v>-0.18823860000000001</v>
      </c>
      <c r="U6218">
        <v>0.33502199999999999</v>
      </c>
      <c r="V6218">
        <v>4.5834430000000002E-2</v>
      </c>
      <c r="W6218">
        <v>-7.8202959999999992E-3</v>
      </c>
      <c r="X6218">
        <v>0.99891839999999998</v>
      </c>
      <c r="Y6218">
        <v>-0.26313720000000002</v>
      </c>
      <c r="Z6218">
        <v>1.7419879999999999E-2</v>
      </c>
      <c r="AA6218">
        <v>0.96460119999999905</v>
      </c>
      <c r="AB6218">
        <v>19</v>
      </c>
      <c r="AC6218">
        <v>18.508899999999901</v>
      </c>
      <c r="AD6218">
        <v>-1.115915211346</v>
      </c>
      <c r="AE6218">
        <v>1.9948899999999901</v>
      </c>
      <c r="AF6218">
        <v>-4.9121614363153796</v>
      </c>
      <c r="AG6218">
        <v>-1.115915211346</v>
      </c>
      <c r="AH6218">
        <v>17.8872150263919</v>
      </c>
      <c r="AI6218">
        <v>93.442705600341995</v>
      </c>
      <c r="AJ6218">
        <v>105.355931545188</v>
      </c>
      <c r="AK6218">
        <v>18.5829776444928</v>
      </c>
      <c r="AL6218">
        <v>90.448074540079602</v>
      </c>
      <c r="AM6218">
        <v>87.372879750817702</v>
      </c>
      <c r="AN6218">
        <v>0.99999996093075505</v>
      </c>
    </row>
    <row r="6219" spans="1:40" x14ac:dyDescent="0.25">
      <c r="A6219" t="str">
        <f>"20190312161439305"</f>
        <v>20190312161439305</v>
      </c>
      <c r="B6219" t="str">
        <f>"1552378479303161"</f>
        <v>1552378479303161</v>
      </c>
      <c r="C6219" t="s">
        <v>40</v>
      </c>
      <c r="D6219">
        <v>5.782737</v>
      </c>
      <c r="E6219">
        <v>0.4010822</v>
      </c>
      <c r="F6219" t="s">
        <v>42</v>
      </c>
      <c r="G6219">
        <v>-267.7944</v>
      </c>
      <c r="H6219" s="1">
        <v>-3.1713169999999999E-6</v>
      </c>
      <c r="I6219">
        <v>-63.937609999999999</v>
      </c>
      <c r="J6219">
        <v>-286.28149999999999</v>
      </c>
      <c r="K6219">
        <v>1.115858</v>
      </c>
      <c r="L6219">
        <v>-66.026179999999997</v>
      </c>
      <c r="M6219">
        <v>0.98786870000000004</v>
      </c>
      <c r="N6219">
        <v>0</v>
      </c>
      <c r="O6219">
        <v>-0.15460360000000001</v>
      </c>
      <c r="P6219">
        <v>0.97961659999999995</v>
      </c>
      <c r="Q6219">
        <v>-2.300031E-2</v>
      </c>
      <c r="R6219">
        <v>-0.1995565</v>
      </c>
      <c r="S6219">
        <v>3.1348880000000001</v>
      </c>
      <c r="T6219">
        <v>-0.18825629999999999</v>
      </c>
      <c r="U6219">
        <v>0.350769</v>
      </c>
      <c r="V6219">
        <v>4.5797039999999997E-2</v>
      </c>
      <c r="W6219">
        <v>-7.7989159999999899E-3</v>
      </c>
      <c r="X6219">
        <v>0.99892029999999998</v>
      </c>
      <c r="Y6219">
        <v>-0.26277790000000001</v>
      </c>
      <c r="Z6219">
        <v>1.7098729999999999E-2</v>
      </c>
      <c r="AA6219">
        <v>0.96470480000000003</v>
      </c>
      <c r="AB6219">
        <v>19</v>
      </c>
      <c r="AC6219">
        <v>18.487100000000002</v>
      </c>
      <c r="AD6219">
        <v>-1.1158611713169999</v>
      </c>
      <c r="AE6219">
        <v>2.08857000000001</v>
      </c>
      <c r="AF6219">
        <v>-4.9042876281748997</v>
      </c>
      <c r="AG6219">
        <v>-1.1158611713169999</v>
      </c>
      <c r="AH6219">
        <v>17.8775287688585</v>
      </c>
      <c r="AI6219">
        <v>93.444655791884799</v>
      </c>
      <c r="AJ6219">
        <v>105.340392507912</v>
      </c>
      <c r="AK6219">
        <v>18.571570159113801</v>
      </c>
      <c r="AL6219">
        <v>90.446849510897295</v>
      </c>
      <c r="AM6219">
        <v>87.375024843499602</v>
      </c>
      <c r="AN6219">
        <v>0.999999978857813</v>
      </c>
    </row>
    <row r="6220" spans="1:40" x14ac:dyDescent="0.25">
      <c r="A6220" t="str">
        <f>"20190312161439317"</f>
        <v>20190312161439317</v>
      </c>
      <c r="B6220" t="str">
        <f>"1552378479312937"</f>
        <v>1552378479312937</v>
      </c>
      <c r="C6220" t="s">
        <v>40</v>
      </c>
      <c r="D6220">
        <v>5.6916330000000004</v>
      </c>
      <c r="E6220">
        <v>0.40227259999999998</v>
      </c>
      <c r="F6220" t="s">
        <v>106</v>
      </c>
      <c r="G6220">
        <v>-243.4648</v>
      </c>
      <c r="H6220" s="1">
        <v>-1.3254400000000001E-6</v>
      </c>
      <c r="I6220">
        <v>-63.5854</v>
      </c>
      <c r="J6220">
        <v>-286.1823</v>
      </c>
      <c r="K6220">
        <v>1.1157979999999901</v>
      </c>
      <c r="L6220">
        <v>-66.035160000000005</v>
      </c>
      <c r="M6220">
        <v>0.98871129999999996</v>
      </c>
      <c r="N6220">
        <v>0</v>
      </c>
      <c r="O6220">
        <v>-0.14912129999999901</v>
      </c>
      <c r="P6220">
        <v>0.98070970000000002</v>
      </c>
      <c r="Q6220">
        <v>-2.2995700000000001E-2</v>
      </c>
      <c r="R6220">
        <v>-0.19411229999999999</v>
      </c>
      <c r="S6220">
        <v>3.0964969999999998</v>
      </c>
      <c r="T6220">
        <v>-8.0698850000000003E-2</v>
      </c>
      <c r="U6220">
        <v>0.1765137</v>
      </c>
      <c r="V6220">
        <v>4.5789049999999998E-2</v>
      </c>
      <c r="W6220">
        <v>-7.8195309999999994E-3</v>
      </c>
      <c r="X6220">
        <v>0.99892049999999999</v>
      </c>
      <c r="Y6220">
        <v>-0.20505109999999999</v>
      </c>
      <c r="Z6220">
        <v>6.5454500000000004E-3</v>
      </c>
      <c r="AA6220">
        <v>0.97872939999999997</v>
      </c>
      <c r="AB6220">
        <v>19</v>
      </c>
      <c r="AC6220">
        <v>42.717500000000001</v>
      </c>
      <c r="AD6220">
        <v>-1.1157993254399901</v>
      </c>
      <c r="AE6220">
        <v>2.4497599999999999</v>
      </c>
      <c r="AF6220">
        <v>-8.78715456147442</v>
      </c>
      <c r="AG6220">
        <v>-1.1157993254399901</v>
      </c>
      <c r="AH6220">
        <v>41.845962366955398</v>
      </c>
      <c r="AI6220">
        <v>91.494812106934006</v>
      </c>
      <c r="AJ6220">
        <v>101.85912666354299</v>
      </c>
      <c r="AK6220">
        <v>42.773165183775397</v>
      </c>
      <c r="AL6220">
        <v>90.448030701726097</v>
      </c>
      <c r="AM6220">
        <v>87.375482695237295</v>
      </c>
      <c r="AN6220">
        <v>0.99999997374260496</v>
      </c>
    </row>
    <row r="6221" spans="1:40" x14ac:dyDescent="0.25">
      <c r="A6221" t="str">
        <f>"20190312161439328"</f>
        <v>20190312161439328</v>
      </c>
      <c r="B6221" t="str">
        <f>"1552378479322681"</f>
        <v>1552378479322681</v>
      </c>
      <c r="C6221" t="s">
        <v>40</v>
      </c>
      <c r="D6221">
        <v>5.5717049999999997</v>
      </c>
      <c r="E6221">
        <v>0.40284510000000001</v>
      </c>
      <c r="F6221" t="s">
        <v>106</v>
      </c>
      <c r="G6221">
        <v>-242.982</v>
      </c>
      <c r="H6221" s="1">
        <v>-1.085383E-6</v>
      </c>
      <c r="I6221">
        <v>-63.461570000000002</v>
      </c>
      <c r="J6221">
        <v>-286.08890000000002</v>
      </c>
      <c r="K6221">
        <v>1.11574</v>
      </c>
      <c r="L6221">
        <v>-66.043400000000005</v>
      </c>
      <c r="M6221">
        <v>0.98947410000000002</v>
      </c>
      <c r="N6221">
        <v>0</v>
      </c>
      <c r="O6221">
        <v>-0.14397579999999999</v>
      </c>
      <c r="P6221">
        <v>0.98174819999999996</v>
      </c>
      <c r="Q6221">
        <v>-2.2942319999999999E-2</v>
      </c>
      <c r="R6221">
        <v>-0.18879770000000001</v>
      </c>
      <c r="S6221">
        <v>3.093658</v>
      </c>
      <c r="T6221">
        <v>-7.9904680000000006E-2</v>
      </c>
      <c r="U6221">
        <v>0.18429570000000001</v>
      </c>
      <c r="V6221">
        <v>4.5573719999999998E-2</v>
      </c>
      <c r="W6221">
        <v>-7.7922199999999999E-3</v>
      </c>
      <c r="X6221">
        <v>0.9989306</v>
      </c>
      <c r="Y6221">
        <v>-0.20246810000000001</v>
      </c>
      <c r="Z6221">
        <v>6.3214009999999999E-3</v>
      </c>
      <c r="AA6221">
        <v>0.97926840000000004</v>
      </c>
      <c r="AB6221">
        <v>19</v>
      </c>
      <c r="AC6221">
        <v>43.106900000000003</v>
      </c>
      <c r="AD6221">
        <v>-1.1157410853830001</v>
      </c>
      <c r="AE6221">
        <v>2.5818300000000098</v>
      </c>
      <c r="AF6221">
        <v>-8.7560879805407694</v>
      </c>
      <c r="AG6221">
        <v>-1.1157410853830001</v>
      </c>
      <c r="AH6221">
        <v>42.2577132781975</v>
      </c>
      <c r="AI6221">
        <v>91.480999028000298</v>
      </c>
      <c r="AJ6221">
        <v>101.70641752640201</v>
      </c>
      <c r="AK6221">
        <v>43.169761250149797</v>
      </c>
      <c r="AL6221">
        <v>90.446465831389105</v>
      </c>
      <c r="AM6221">
        <v>87.387834127507205</v>
      </c>
      <c r="AN6221">
        <v>1.0000000131317599</v>
      </c>
    </row>
    <row r="6222" spans="1:40" x14ac:dyDescent="0.25">
      <c r="A6222" t="str">
        <f>"20190312161439340"</f>
        <v>20190312161439340</v>
      </c>
      <c r="B6222" t="str">
        <f>"1552378479332454"</f>
        <v>1552378479332454</v>
      </c>
      <c r="C6222" t="s">
        <v>40</v>
      </c>
      <c r="D6222">
        <v>5.7034339999999997</v>
      </c>
      <c r="E6222">
        <v>0.40409420000000001</v>
      </c>
      <c r="F6222" t="s">
        <v>106</v>
      </c>
      <c r="G6222">
        <v>-248.08760000000001</v>
      </c>
      <c r="H6222" s="1">
        <v>-3.2001320000000001E-6</v>
      </c>
      <c r="I6222">
        <v>-63.618580000000001</v>
      </c>
      <c r="J6222">
        <v>-285.98270000000002</v>
      </c>
      <c r="K6222">
        <v>1.1156740000000001</v>
      </c>
      <c r="L6222">
        <v>-66.051879999999997</v>
      </c>
      <c r="M6222">
        <v>0.99029500000000004</v>
      </c>
      <c r="N6222">
        <v>0</v>
      </c>
      <c r="O6222">
        <v>-0.13821839999999999</v>
      </c>
      <c r="P6222">
        <v>0.98279760000000005</v>
      </c>
      <c r="Q6222">
        <v>-2.315244E-2</v>
      </c>
      <c r="R6222">
        <v>-0.18322959999999999</v>
      </c>
      <c r="S6222">
        <v>3.091583</v>
      </c>
      <c r="T6222">
        <v>-9.0770959999999998E-2</v>
      </c>
      <c r="U6222">
        <v>0.19726560000000001</v>
      </c>
      <c r="V6222">
        <v>4.5723399999999997E-2</v>
      </c>
      <c r="W6222">
        <v>-8.0292760000000001E-3</v>
      </c>
      <c r="X6222">
        <v>0.99892190000000003</v>
      </c>
      <c r="Y6222">
        <v>-0.20087340000000001</v>
      </c>
      <c r="Z6222">
        <v>6.9935789999999998E-3</v>
      </c>
      <c r="AA6222">
        <v>0.97959229999999997</v>
      </c>
      <c r="AB6222">
        <v>19</v>
      </c>
      <c r="AC6222">
        <v>37.895099999999999</v>
      </c>
      <c r="AD6222">
        <v>-1.1156772001319999</v>
      </c>
      <c r="AE6222">
        <v>2.4333000000000098</v>
      </c>
      <c r="AF6222">
        <v>-7.6416972084827002</v>
      </c>
      <c r="AG6222">
        <v>-1.1156772001319999</v>
      </c>
      <c r="AH6222">
        <v>37.162854642759697</v>
      </c>
      <c r="AI6222">
        <v>91.684357403000305</v>
      </c>
      <c r="AJ6222">
        <v>101.619613703279</v>
      </c>
      <c r="AK6222">
        <v>37.956791711628</v>
      </c>
      <c r="AL6222">
        <v>90.460048556597897</v>
      </c>
      <c r="AM6222">
        <v>87.379244011809405</v>
      </c>
      <c r="AN6222">
        <v>1.00000003044012</v>
      </c>
    </row>
    <row r="6223" spans="1:40" x14ac:dyDescent="0.25">
      <c r="A6223" t="str">
        <f>"20190312161439350"</f>
        <v>20190312161439350</v>
      </c>
      <c r="B6223" t="str">
        <f>"1552378479343177"</f>
        <v>1552378479343177</v>
      </c>
      <c r="C6223" t="s">
        <v>40</v>
      </c>
      <c r="D6223">
        <v>5.7102469999999999</v>
      </c>
      <c r="E6223">
        <v>0.40499000000000002</v>
      </c>
      <c r="F6223" t="s">
        <v>105</v>
      </c>
      <c r="G6223">
        <v>-253.13480000000001</v>
      </c>
      <c r="H6223" s="1">
        <v>-1.2545480000000001E-6</v>
      </c>
      <c r="I6223">
        <v>-63.862560000000002</v>
      </c>
      <c r="J6223">
        <v>-285.8963</v>
      </c>
      <c r="K6223">
        <v>1.115618</v>
      </c>
      <c r="L6223">
        <v>-66.058589999999995</v>
      </c>
      <c r="M6223">
        <v>0.99093560000000003</v>
      </c>
      <c r="N6223">
        <v>0</v>
      </c>
      <c r="O6223">
        <v>-0.13355059999999999</v>
      </c>
      <c r="P6223">
        <v>0.98366909999999996</v>
      </c>
      <c r="Q6223">
        <v>-2.300818E-2</v>
      </c>
      <c r="R6223">
        <v>-0.1785108</v>
      </c>
      <c r="S6223">
        <v>3.0883790000000002</v>
      </c>
      <c r="T6223">
        <v>-0.1048962</v>
      </c>
      <c r="U6223">
        <v>0.2058411</v>
      </c>
      <c r="V6223">
        <v>4.5633279999999998E-2</v>
      </c>
      <c r="W6223">
        <v>-7.9092309999999992E-3</v>
      </c>
      <c r="X6223">
        <v>0.99892689999999995</v>
      </c>
      <c r="Y6223">
        <v>-0.19898479999999999</v>
      </c>
      <c r="Z6223">
        <v>7.8995469999999998E-3</v>
      </c>
      <c r="AA6223">
        <v>0.97997080000000003</v>
      </c>
      <c r="AB6223">
        <v>19</v>
      </c>
      <c r="AC6223">
        <v>32.761499999999899</v>
      </c>
      <c r="AD6223">
        <v>-1.1156192545479999</v>
      </c>
      <c r="AE6223">
        <v>2.1960299999999999</v>
      </c>
      <c r="AF6223">
        <v>-6.5445780798293702</v>
      </c>
      <c r="AG6223">
        <v>-1.1156192545479999</v>
      </c>
      <c r="AH6223">
        <v>32.137548425990097</v>
      </c>
      <c r="AI6223">
        <v>91.948206611686203</v>
      </c>
      <c r="AJ6223">
        <v>101.51047676853101</v>
      </c>
      <c r="AK6223">
        <v>32.816126026649698</v>
      </c>
      <c r="AL6223">
        <v>90.4531703021418</v>
      </c>
      <c r="AM6223">
        <v>87.384415368028499</v>
      </c>
      <c r="AN6223">
        <v>0.99999995186108803</v>
      </c>
    </row>
    <row r="6224" spans="1:40" x14ac:dyDescent="0.25">
      <c r="A6224" t="str">
        <f>"20190312161439361"</f>
        <v>20190312161439361</v>
      </c>
      <c r="B6224" t="str">
        <f>"1552378479352938"</f>
        <v>1552378479352938</v>
      </c>
      <c r="C6224" t="s">
        <v>40</v>
      </c>
      <c r="D6224">
        <v>5.6952360000000004</v>
      </c>
      <c r="E6224">
        <v>0.40597319999999998</v>
      </c>
      <c r="F6224" t="s">
        <v>105</v>
      </c>
      <c r="G6224">
        <v>-254.84309999999999</v>
      </c>
      <c r="H6224" s="1">
        <v>-1.9969159999999999E-6</v>
      </c>
      <c r="I6224">
        <v>-63.905349999999999</v>
      </c>
      <c r="J6224">
        <v>-285.80329999999998</v>
      </c>
      <c r="K6224">
        <v>1.115551</v>
      </c>
      <c r="L6224">
        <v>-66.065250000000006</v>
      </c>
      <c r="M6224">
        <v>0.99159229999999998</v>
      </c>
      <c r="N6224">
        <v>0</v>
      </c>
      <c r="O6224">
        <v>-0.1285859</v>
      </c>
      <c r="P6224">
        <v>0.98453930000000001</v>
      </c>
      <c r="Q6224">
        <v>-2.280805E-2</v>
      </c>
      <c r="R6224">
        <v>-0.1736733</v>
      </c>
      <c r="S6224">
        <v>3.0860599999999998</v>
      </c>
      <c r="T6224">
        <v>-0.11086989999999899</v>
      </c>
      <c r="U6224">
        <v>0.21398929999999999</v>
      </c>
      <c r="V6224">
        <v>4.572184E-2</v>
      </c>
      <c r="W6224">
        <v>-7.7334739999999997E-3</v>
      </c>
      <c r="X6224">
        <v>0.99892429999999999</v>
      </c>
      <c r="Y6224">
        <v>-0.19668260000000001</v>
      </c>
      <c r="Z6224">
        <v>8.1362150000000005E-3</v>
      </c>
      <c r="AA6224">
        <v>0.98043349999999996</v>
      </c>
      <c r="AB6224">
        <v>19</v>
      </c>
      <c r="AC6224">
        <v>30.960199999999901</v>
      </c>
      <c r="AD6224">
        <v>-1.1155529969160001</v>
      </c>
      <c r="AE6224">
        <v>2.1598999999999999</v>
      </c>
      <c r="AF6224">
        <v>-6.1155282424913304</v>
      </c>
      <c r="AG6224">
        <v>-1.1155529969160001</v>
      </c>
      <c r="AH6224">
        <v>30.3861047953277</v>
      </c>
      <c r="AI6224">
        <v>92.061237937545201</v>
      </c>
      <c r="AJ6224">
        <v>101.379369342564</v>
      </c>
      <c r="AK6224">
        <v>31.015472087431998</v>
      </c>
      <c r="AL6224">
        <v>90.443099826799099</v>
      </c>
      <c r="AM6224">
        <v>87.379339590215807</v>
      </c>
      <c r="AN6224">
        <v>1.00000002520179</v>
      </c>
    </row>
    <row r="6225" spans="1:40" x14ac:dyDescent="0.25">
      <c r="A6225" t="str">
        <f>"20190312161439372"</f>
        <v>20190312161439372</v>
      </c>
      <c r="B6225" t="str">
        <f>"1552378479362698"</f>
        <v>1552378479362698</v>
      </c>
      <c r="C6225" t="s">
        <v>40</v>
      </c>
      <c r="D6225">
        <v>5.6756869999999999</v>
      </c>
      <c r="E6225">
        <v>0.40685919999999998</v>
      </c>
      <c r="F6225" t="s">
        <v>105</v>
      </c>
      <c r="G6225">
        <v>-254.5616</v>
      </c>
      <c r="H6225" s="1">
        <v>-1.85773E-6</v>
      </c>
      <c r="I6225">
        <v>-63.822420000000001</v>
      </c>
      <c r="J6225">
        <v>-285.71499999999997</v>
      </c>
      <c r="K6225">
        <v>1.115494</v>
      </c>
      <c r="L6225">
        <v>-66.071290000000005</v>
      </c>
      <c r="M6225">
        <v>0.99218879999999998</v>
      </c>
      <c r="N6225">
        <v>0</v>
      </c>
      <c r="O6225">
        <v>-0.12390130000000001</v>
      </c>
      <c r="P6225">
        <v>0.98534630000000001</v>
      </c>
      <c r="Q6225">
        <v>-2.2664960000000001E-2</v>
      </c>
      <c r="R6225">
        <v>-0.16905329999999999</v>
      </c>
      <c r="S6225">
        <v>3.0836489999999999</v>
      </c>
      <c r="T6225">
        <v>-0.1101085</v>
      </c>
      <c r="U6225">
        <v>0.2213745</v>
      </c>
      <c r="V6225">
        <v>4.5751170000000001E-2</v>
      </c>
      <c r="W6225">
        <v>-7.6141519999999999E-3</v>
      </c>
      <c r="X6225">
        <v>0.99892380000000003</v>
      </c>
      <c r="Y6225">
        <v>-0.1944478</v>
      </c>
      <c r="Z6225">
        <v>7.8799449999999993E-3</v>
      </c>
      <c r="AA6225">
        <v>0.98088120000000001</v>
      </c>
      <c r="AB6225">
        <v>19</v>
      </c>
      <c r="AC6225">
        <v>31.153399999999898</v>
      </c>
      <c r="AD6225">
        <v>-1.11549585772999</v>
      </c>
      <c r="AE6225">
        <v>2.2488700000000099</v>
      </c>
      <c r="AF6225">
        <v>-6.0841295392480603</v>
      </c>
      <c r="AG6225">
        <v>-1.11549585772999</v>
      </c>
      <c r="AH6225">
        <v>30.595607638661299</v>
      </c>
      <c r="AI6225">
        <v>92.0479771077989</v>
      </c>
      <c r="AJ6225">
        <v>101.24691018289499</v>
      </c>
      <c r="AK6225">
        <v>31.214614686679599</v>
      </c>
      <c r="AL6225">
        <v>90.436263010797205</v>
      </c>
      <c r="AM6225">
        <v>87.377659503885198</v>
      </c>
      <c r="AN6225">
        <v>0.99999995153674204</v>
      </c>
    </row>
    <row r="6226" spans="1:40" x14ac:dyDescent="0.25">
      <c r="A6226" t="str">
        <f>"20190312161439383"</f>
        <v>20190312161439383</v>
      </c>
      <c r="B6226" t="str">
        <f>"1552378479372457"</f>
        <v>1552378479372457</v>
      </c>
      <c r="C6226" t="s">
        <v>40</v>
      </c>
      <c r="D6226">
        <v>5.6779219999999997</v>
      </c>
      <c r="E6226">
        <v>0.40795670000000001</v>
      </c>
      <c r="F6226" t="s">
        <v>105</v>
      </c>
      <c r="G6226">
        <v>-254.1352</v>
      </c>
      <c r="H6226" s="1">
        <v>-1.653394E-6</v>
      </c>
      <c r="I6226">
        <v>-63.72616</v>
      </c>
      <c r="J6226">
        <v>-285.61680000000001</v>
      </c>
      <c r="K6226">
        <v>1.115434</v>
      </c>
      <c r="L6226">
        <v>-66.077550000000002</v>
      </c>
      <c r="M6226">
        <v>0.99281960000000002</v>
      </c>
      <c r="N6226">
        <v>0</v>
      </c>
      <c r="O6226">
        <v>-0.1187426</v>
      </c>
      <c r="P6226">
        <v>0.98618289999999997</v>
      </c>
      <c r="Q6226">
        <v>-2.2448559999999999E-2</v>
      </c>
      <c r="R6226">
        <v>-0.16413259999999999</v>
      </c>
      <c r="S6226">
        <v>3.0813290000000002</v>
      </c>
      <c r="T6226">
        <v>-0.1088421</v>
      </c>
      <c r="U6226">
        <v>0.22882079999999999</v>
      </c>
      <c r="V6226">
        <v>4.5952470000000002E-2</v>
      </c>
      <c r="W6226">
        <v>-7.4223600000000002E-3</v>
      </c>
      <c r="X6226">
        <v>0.99891600000000003</v>
      </c>
      <c r="Y6226">
        <v>-0.19176869999999999</v>
      </c>
      <c r="Z6226">
        <v>7.566138E-3</v>
      </c>
      <c r="AA6226">
        <v>0.98141100000000003</v>
      </c>
      <c r="AB6226">
        <v>19</v>
      </c>
      <c r="AC6226">
        <v>31.4816</v>
      </c>
      <c r="AD6226">
        <v>-1.115435653394</v>
      </c>
      <c r="AE6226">
        <v>2.3513899999999999</v>
      </c>
      <c r="AF6226">
        <v>-6.0657765268777597</v>
      </c>
      <c r="AG6226">
        <v>-1.115435653394</v>
      </c>
      <c r="AH6226">
        <v>30.940956470438401</v>
      </c>
      <c r="AI6226">
        <v>92.026110277292801</v>
      </c>
      <c r="AJ6226">
        <v>101.09180125417301</v>
      </c>
      <c r="AK6226">
        <v>31.5496533875802</v>
      </c>
      <c r="AL6226">
        <v>90.425273829029393</v>
      </c>
      <c r="AM6226">
        <v>87.366117175686796</v>
      </c>
      <c r="AN6226">
        <v>0.99999994799153302</v>
      </c>
    </row>
    <row r="6227" spans="1:40" x14ac:dyDescent="0.25">
      <c r="A6227" t="str">
        <f>"20190312161439398"</f>
        <v>20190312161439398</v>
      </c>
      <c r="B6227" t="str">
        <f>"1552378479392680"</f>
        <v>1552378479392680</v>
      </c>
      <c r="C6227" t="s">
        <v>40</v>
      </c>
      <c r="D6227">
        <v>5.5809550000000003</v>
      </c>
      <c r="E6227">
        <v>0.40886800000000001</v>
      </c>
      <c r="F6227" t="s">
        <v>105</v>
      </c>
      <c r="G6227">
        <v>-253.16679999999999</v>
      </c>
      <c r="H6227" s="1">
        <v>-1.209025E-6</v>
      </c>
      <c r="I6227">
        <v>-63.596040000000002</v>
      </c>
      <c r="J6227">
        <v>-285.52190000000002</v>
      </c>
      <c r="K6227">
        <v>1.1153690000000001</v>
      </c>
      <c r="L6227">
        <v>-66.083100000000002</v>
      </c>
      <c r="M6227">
        <v>0.99339630000000001</v>
      </c>
      <c r="N6227">
        <v>0</v>
      </c>
      <c r="O6227">
        <v>-0.1138209</v>
      </c>
      <c r="P6227">
        <v>0.98696399999999995</v>
      </c>
      <c r="Q6227">
        <v>-2.2122530000000001E-2</v>
      </c>
      <c r="R6227">
        <v>-0.15941649999999999</v>
      </c>
      <c r="S6227">
        <v>3.078827</v>
      </c>
      <c r="T6227">
        <v>-0.1058316</v>
      </c>
      <c r="U6227">
        <v>0.23544309999999999</v>
      </c>
      <c r="V6227">
        <v>4.6121780000000001E-2</v>
      </c>
      <c r="W6227">
        <v>-7.1206469999999999E-3</v>
      </c>
      <c r="X6227">
        <v>0.99891039999999998</v>
      </c>
      <c r="Y6227">
        <v>-0.18907689999999999</v>
      </c>
      <c r="Z6227">
        <v>7.1478940000000001E-3</v>
      </c>
      <c r="AA6227">
        <v>0.98193629999999998</v>
      </c>
      <c r="AB6227">
        <v>19</v>
      </c>
      <c r="AC6227">
        <v>32.3551</v>
      </c>
      <c r="AD6227">
        <v>-1.1153702090249999</v>
      </c>
      <c r="AE6227">
        <v>2.48706</v>
      </c>
      <c r="AF6227">
        <v>-6.1467030103797899</v>
      </c>
      <c r="AG6227">
        <v>-1.1153702090249999</v>
      </c>
      <c r="AH6227">
        <v>31.824083747208899</v>
      </c>
      <c r="AI6227">
        <v>91.970884107527397</v>
      </c>
      <c r="AJ6227">
        <v>100.93185318084301</v>
      </c>
      <c r="AK6227">
        <v>32.431440223190201</v>
      </c>
      <c r="AL6227">
        <v>90.407986486758901</v>
      </c>
      <c r="AM6227">
        <v>87.356411684339093</v>
      </c>
      <c r="AN6227">
        <v>0.99999995471611203</v>
      </c>
    </row>
    <row r="6228" spans="1:40" x14ac:dyDescent="0.25">
      <c r="A6228" t="str">
        <f>"20190312161439409"</f>
        <v>20190312161439409</v>
      </c>
      <c r="B6228" t="str">
        <f>"1552378479402440"</f>
        <v>1552378479402440</v>
      </c>
      <c r="C6228" t="s">
        <v>40</v>
      </c>
      <c r="D6228">
        <v>5.7222470000000003</v>
      </c>
      <c r="E6228">
        <v>0.40970279999999998</v>
      </c>
      <c r="F6228" t="s">
        <v>105</v>
      </c>
      <c r="G6228">
        <v>-252.00919999999999</v>
      </c>
      <c r="H6228" s="1">
        <v>-6.7743669999999905E-7</v>
      </c>
      <c r="I6228">
        <v>-63.438690000000001</v>
      </c>
      <c r="J6228">
        <v>-285.40910000000002</v>
      </c>
      <c r="K6228">
        <v>1.115291</v>
      </c>
      <c r="L6228">
        <v>-66.089359999999999</v>
      </c>
      <c r="M6228">
        <v>0.99404539999999997</v>
      </c>
      <c r="N6228">
        <v>0</v>
      </c>
      <c r="O6228">
        <v>-0.10800800000000001</v>
      </c>
      <c r="P6228">
        <v>0.98785409999999996</v>
      </c>
      <c r="Q6228">
        <v>-2.1936130000000002E-2</v>
      </c>
      <c r="R6228">
        <v>-0.15382770000000001</v>
      </c>
      <c r="S6228">
        <v>3.0765989999999999</v>
      </c>
      <c r="T6228">
        <v>-0.10239529999999999</v>
      </c>
      <c r="U6228">
        <v>0.24276729999999999</v>
      </c>
      <c r="V6228">
        <v>4.6307830000000001E-2</v>
      </c>
      <c r="W6228">
        <v>-6.9632979999999997E-3</v>
      </c>
      <c r="X6228">
        <v>0.99890299999999999</v>
      </c>
      <c r="Y6228">
        <v>-0.18572569999999999</v>
      </c>
      <c r="Z6228">
        <v>6.6720969999999897E-3</v>
      </c>
      <c r="AA6228">
        <v>0.98257899999999998</v>
      </c>
      <c r="AB6228">
        <v>19</v>
      </c>
      <c r="AC6228">
        <v>33.399900000000002</v>
      </c>
      <c r="AD6228">
        <v>-1.1152916774367001</v>
      </c>
      <c r="AE6228">
        <v>2.6506699999999901</v>
      </c>
      <c r="AF6228">
        <v>-6.2360821714482704</v>
      </c>
      <c r="AG6228">
        <v>-1.1152916774367001</v>
      </c>
      <c r="AH6228">
        <v>32.881712672724703</v>
      </c>
      <c r="AI6228">
        <v>91.908634782632802</v>
      </c>
      <c r="AJ6228">
        <v>100.738720972438</v>
      </c>
      <c r="AK6228">
        <v>33.486409551733601</v>
      </c>
      <c r="AL6228">
        <v>90.398970789965006</v>
      </c>
      <c r="AM6228">
        <v>87.345743335367104</v>
      </c>
      <c r="AN6228">
        <v>1.0000000530236699</v>
      </c>
    </row>
    <row r="6229" spans="1:40" x14ac:dyDescent="0.25">
      <c r="A6229" t="str">
        <f>"20190312161439418"</f>
        <v>20190312161439418</v>
      </c>
      <c r="B6229" t="str">
        <f>"1552378479413175"</f>
        <v>1552378479413175</v>
      </c>
      <c r="C6229" t="s">
        <v>40</v>
      </c>
      <c r="D6229">
        <v>5.6819680000000004</v>
      </c>
      <c r="E6229">
        <v>0.41058600000000001</v>
      </c>
      <c r="F6229" t="s">
        <v>105</v>
      </c>
      <c r="G6229">
        <v>-251.99209999999999</v>
      </c>
      <c r="H6229" s="1">
        <v>-6.4634579999999997E-7</v>
      </c>
      <c r="I6229">
        <v>-63.331919999999997</v>
      </c>
      <c r="J6229">
        <v>-285.32670000000002</v>
      </c>
      <c r="K6229">
        <v>1.1152310000000001</v>
      </c>
      <c r="L6229">
        <v>-66.093319999999906</v>
      </c>
      <c r="M6229">
        <v>0.99448919999999996</v>
      </c>
      <c r="N6229">
        <v>0</v>
      </c>
      <c r="O6229">
        <v>-0.1038433</v>
      </c>
      <c r="P6229">
        <v>0.98842419999999998</v>
      </c>
      <c r="Q6229">
        <v>-2.1728040000000001E-2</v>
      </c>
      <c r="R6229">
        <v>-0.15015229999999999</v>
      </c>
      <c r="S6229">
        <v>3.0740970000000001</v>
      </c>
      <c r="T6229">
        <v>-0.1025978</v>
      </c>
      <c r="U6229">
        <v>0.2536621</v>
      </c>
      <c r="V6229">
        <v>4.6772300000000003E-2</v>
      </c>
      <c r="W6229">
        <v>-6.7740830000000002E-3</v>
      </c>
      <c r="X6229">
        <v>0.99888259999999995</v>
      </c>
      <c r="Y6229">
        <v>-0.1851341</v>
      </c>
      <c r="Z6229">
        <v>6.5416279999999999E-3</v>
      </c>
      <c r="AA6229">
        <v>0.98269150000000005</v>
      </c>
      <c r="AB6229">
        <v>19</v>
      </c>
      <c r="AC6229">
        <v>33.334600000000002</v>
      </c>
      <c r="AD6229">
        <v>-1.1152316463458001</v>
      </c>
      <c r="AE6229">
        <v>2.7613999999999899</v>
      </c>
      <c r="AF6229">
        <v>-6.2015085007503599</v>
      </c>
      <c r="AG6229">
        <v>-1.1152316463458001</v>
      </c>
      <c r="AH6229">
        <v>32.831065134662502</v>
      </c>
      <c r="AI6229">
        <v>91.911739628530597</v>
      </c>
      <c r="AJ6229">
        <v>100.69665411048901</v>
      </c>
      <c r="AK6229">
        <v>33.4302450961153</v>
      </c>
      <c r="AL6229">
        <v>90.388129337379894</v>
      </c>
      <c r="AM6229">
        <v>87.319104975289903</v>
      </c>
      <c r="AN6229">
        <v>0.99999999241527004</v>
      </c>
    </row>
    <row r="6230" spans="1:40" x14ac:dyDescent="0.25">
      <c r="A6230" t="str">
        <f>"20190312161439429"</f>
        <v>20190312161439429</v>
      </c>
      <c r="B6230" t="str">
        <f>"1552378479422936"</f>
        <v>1552378479422936</v>
      </c>
      <c r="C6230" t="s">
        <v>40</v>
      </c>
      <c r="D6230">
        <v>5.6750939999999996</v>
      </c>
      <c r="E6230">
        <v>0.4114332</v>
      </c>
      <c r="F6230" t="s">
        <v>105</v>
      </c>
      <c r="G6230">
        <v>-252.268</v>
      </c>
      <c r="H6230" s="1">
        <v>-7.6080220000000002E-7</v>
      </c>
      <c r="I6230">
        <v>-63.314399999999999</v>
      </c>
      <c r="J6230">
        <v>-285.23509999999999</v>
      </c>
      <c r="K6230">
        <v>1.115165</v>
      </c>
      <c r="L6230">
        <v>-66.09769</v>
      </c>
      <c r="M6230">
        <v>0.99496099999999998</v>
      </c>
      <c r="N6230">
        <v>0</v>
      </c>
      <c r="O6230">
        <v>-9.9223229999999996E-2</v>
      </c>
      <c r="P6230">
        <v>0.9890795</v>
      </c>
      <c r="Q6230">
        <v>-2.14927E-2</v>
      </c>
      <c r="R6230">
        <v>-0.1458071</v>
      </c>
      <c r="S6230">
        <v>3.0720830000000001</v>
      </c>
      <c r="T6230">
        <v>-0.1036363</v>
      </c>
      <c r="U6230">
        <v>0.25823970000000002</v>
      </c>
      <c r="V6230">
        <v>4.7017839999999998E-2</v>
      </c>
      <c r="W6230">
        <v>-6.562376E-3</v>
      </c>
      <c r="X6230">
        <v>0.99887250000000005</v>
      </c>
      <c r="Y6230">
        <v>-0.18207690000000001</v>
      </c>
      <c r="Z6230">
        <v>6.4050369999999997E-3</v>
      </c>
      <c r="AA6230">
        <v>0.98326340000000001</v>
      </c>
      <c r="AB6230">
        <v>19</v>
      </c>
      <c r="AC6230">
        <v>32.967099999999903</v>
      </c>
      <c r="AD6230">
        <v>-1.1151657608022001</v>
      </c>
      <c r="AE6230">
        <v>2.78329</v>
      </c>
      <c r="AF6230">
        <v>-6.0341378673490498</v>
      </c>
      <c r="AG6230">
        <v>-1.1151657608022001</v>
      </c>
      <c r="AH6230">
        <v>32.491269731635498</v>
      </c>
      <c r="AI6230">
        <v>91.932713125604806</v>
      </c>
      <c r="AJ6230">
        <v>100.520860880973</v>
      </c>
      <c r="AK6230">
        <v>33.065647177246298</v>
      </c>
      <c r="AL6230">
        <v>90.375999144627897</v>
      </c>
      <c r="AM6230">
        <v>87.305024596684703</v>
      </c>
      <c r="AN6230">
        <v>1.0000000066566399</v>
      </c>
    </row>
    <row r="6231" spans="1:40" x14ac:dyDescent="0.25">
      <c r="A6231" t="str">
        <f>"20190312161439440"</f>
        <v>20190312161439440</v>
      </c>
      <c r="B6231" t="str">
        <f>"1552378479432697"</f>
        <v>1552378479432697</v>
      </c>
      <c r="C6231" t="s">
        <v>40</v>
      </c>
      <c r="D6231">
        <v>5.5301859999999996</v>
      </c>
      <c r="E6231">
        <v>0.41182639999999998</v>
      </c>
      <c r="F6231" t="s">
        <v>105</v>
      </c>
      <c r="G6231">
        <v>-251.56720000000001</v>
      </c>
      <c r="H6231" s="1">
        <v>-4.3281389999999998E-7</v>
      </c>
      <c r="I6231">
        <v>-63.191299999999998</v>
      </c>
      <c r="J6231">
        <v>-285.13569999999999</v>
      </c>
      <c r="K6231">
        <v>1.1150949999999999</v>
      </c>
      <c r="L6231">
        <v>-66.10172</v>
      </c>
      <c r="M6231">
        <v>0.99543959999999998</v>
      </c>
      <c r="N6231">
        <v>0</v>
      </c>
      <c r="O6231">
        <v>-9.4306130000000002E-2</v>
      </c>
      <c r="P6231">
        <v>0.98973160000000004</v>
      </c>
      <c r="Q6231">
        <v>-2.1458729999999999E-2</v>
      </c>
      <c r="R6231">
        <v>-0.141319899999999</v>
      </c>
      <c r="S6231">
        <v>3.0699459999999998</v>
      </c>
      <c r="T6231">
        <v>-0.1016845</v>
      </c>
      <c r="U6231">
        <v>0.26501459999999999</v>
      </c>
      <c r="V6231">
        <v>4.7421440000000002E-2</v>
      </c>
      <c r="W6231">
        <v>-6.5535489999999997E-3</v>
      </c>
      <c r="X6231">
        <v>0.9988534</v>
      </c>
      <c r="Y6231">
        <v>-0.1794394</v>
      </c>
      <c r="Z6231">
        <v>6.0824449999999997E-3</v>
      </c>
      <c r="AA6231">
        <v>0.98375020000000002</v>
      </c>
      <c r="AB6231">
        <v>19</v>
      </c>
      <c r="AC6231">
        <v>33.568499999999901</v>
      </c>
      <c r="AD6231">
        <v>-1.1150954328139</v>
      </c>
      <c r="AE6231">
        <v>2.9104199999999998</v>
      </c>
      <c r="AF6231">
        <v>-6.05685461165075</v>
      </c>
      <c r="AG6231">
        <v>-1.1150954328139</v>
      </c>
      <c r="AH6231">
        <v>33.108102528044803</v>
      </c>
      <c r="AI6231">
        <v>91.897549452482394</v>
      </c>
      <c r="AJ6231">
        <v>100.36715047887699</v>
      </c>
      <c r="AK6231">
        <v>33.676035672544401</v>
      </c>
      <c r="AL6231">
        <v>90.375493413319901</v>
      </c>
      <c r="AM6231">
        <v>87.281873641303306</v>
      </c>
      <c r="AN6231">
        <v>0.99999992833386198</v>
      </c>
    </row>
    <row r="6232" spans="1:40" x14ac:dyDescent="0.25">
      <c r="A6232" t="str">
        <f>"20190312161439452"</f>
        <v>20190312161439452</v>
      </c>
      <c r="B6232" t="str">
        <f>"1552378479442456"</f>
        <v>1552378479442456</v>
      </c>
      <c r="C6232" t="s">
        <v>40</v>
      </c>
      <c r="D6232">
        <v>5.6025330000000002</v>
      </c>
      <c r="E6232">
        <v>0.41228779999999998</v>
      </c>
      <c r="F6232" t="s">
        <v>105</v>
      </c>
      <c r="G6232">
        <v>-250.06129999999999</v>
      </c>
      <c r="H6232" s="1">
        <v>2.6644759999999998E-7</v>
      </c>
      <c r="I6232">
        <v>-62.951979999999999</v>
      </c>
      <c r="J6232">
        <v>-285.04570000000001</v>
      </c>
      <c r="K6232">
        <v>1.115029</v>
      </c>
      <c r="L6232">
        <v>-66.105159999999998</v>
      </c>
      <c r="M6232">
        <v>0.99584930000000005</v>
      </c>
      <c r="N6232">
        <v>0</v>
      </c>
      <c r="O6232">
        <v>-8.9879109999999998E-2</v>
      </c>
      <c r="P6232">
        <v>0.99026820000000004</v>
      </c>
      <c r="Q6232">
        <v>-2.0945769999999999E-2</v>
      </c>
      <c r="R6232">
        <v>-0.1375865</v>
      </c>
      <c r="S6232">
        <v>3.0683590000000001</v>
      </c>
      <c r="T6232">
        <v>-9.7549919999999998E-2</v>
      </c>
      <c r="U6232">
        <v>0.27554319999999999</v>
      </c>
      <c r="V6232">
        <v>4.8088310000000002E-2</v>
      </c>
      <c r="W6232">
        <v>-6.0600230000000003E-3</v>
      </c>
      <c r="X6232">
        <v>0.99882470000000001</v>
      </c>
      <c r="Y6232">
        <v>-0.17847299999999999</v>
      </c>
      <c r="Z6232">
        <v>5.6818980000000003E-3</v>
      </c>
      <c r="AA6232">
        <v>0.98392840000000004</v>
      </c>
      <c r="AB6232">
        <v>19</v>
      </c>
      <c r="AC6232">
        <v>34.984400000000001</v>
      </c>
      <c r="AD6232">
        <v>-1.1150287335523901</v>
      </c>
      <c r="AE6232">
        <v>3.1531799999999901</v>
      </c>
      <c r="AF6232">
        <v>-6.2787791625047404</v>
      </c>
      <c r="AG6232">
        <v>-1.1150287335523901</v>
      </c>
      <c r="AH6232">
        <v>34.524554955902197</v>
      </c>
      <c r="AI6232">
        <v>91.819988584498503</v>
      </c>
      <c r="AJ6232">
        <v>100.307396466079</v>
      </c>
      <c r="AK6232">
        <v>35.108563795052397</v>
      </c>
      <c r="AL6232">
        <v>90.347215868462698</v>
      </c>
      <c r="AM6232">
        <v>87.243629106499498</v>
      </c>
      <c r="AN6232">
        <v>0.99999999538375295</v>
      </c>
    </row>
    <row r="6233" spans="1:40" x14ac:dyDescent="0.25">
      <c r="A6233" t="str">
        <f>"20190312161439461"</f>
        <v>20190312161439461</v>
      </c>
      <c r="B6233" t="str">
        <f>"1552378479453192"</f>
        <v>1552378479453192</v>
      </c>
      <c r="C6233" t="s">
        <v>40</v>
      </c>
      <c r="D6233">
        <v>5.6294750000000002</v>
      </c>
      <c r="E6233">
        <v>0.41287000000000001</v>
      </c>
      <c r="F6233" t="s">
        <v>106</v>
      </c>
      <c r="G6233">
        <v>-248.52520000000001</v>
      </c>
      <c r="H6233" s="1">
        <v>-3.191667E-6</v>
      </c>
      <c r="I6233">
        <v>-62.731250000000003</v>
      </c>
      <c r="J6233">
        <v>-284.95249999999999</v>
      </c>
      <c r="K6233">
        <v>1.1149639999999901</v>
      </c>
      <c r="L6233">
        <v>-66.108310000000003</v>
      </c>
      <c r="M6233">
        <v>0.99624679999999999</v>
      </c>
      <c r="N6233">
        <v>0</v>
      </c>
      <c r="O6233">
        <v>-8.5364140000000005E-2</v>
      </c>
      <c r="P6233">
        <v>0.99081430000000004</v>
      </c>
      <c r="Q6233">
        <v>-2.0280380000000001E-2</v>
      </c>
      <c r="R6233">
        <v>-0.1336996</v>
      </c>
      <c r="S6233">
        <v>3.0668639999999998</v>
      </c>
      <c r="T6233">
        <v>-9.3636629999999998E-2</v>
      </c>
      <c r="U6233">
        <v>0.2833252</v>
      </c>
      <c r="V6233">
        <v>4.8686809999999997E-2</v>
      </c>
      <c r="W6233">
        <v>-5.416349E-3</v>
      </c>
      <c r="X6233">
        <v>0.9987994</v>
      </c>
      <c r="Y6233">
        <v>-0.17654489999999901</v>
      </c>
      <c r="Z6233">
        <v>5.2893870000000004E-3</v>
      </c>
      <c r="AA6233">
        <v>0.9842784</v>
      </c>
      <c r="AB6233">
        <v>19</v>
      </c>
      <c r="AC6233">
        <v>36.427299999999903</v>
      </c>
      <c r="AD6233">
        <v>-1.1149671916670001</v>
      </c>
      <c r="AE6233">
        <v>3.37705999999999</v>
      </c>
      <c r="AF6233">
        <v>-6.4686264422276301</v>
      </c>
      <c r="AG6233">
        <v>-1.1149671916670001</v>
      </c>
      <c r="AH6233">
        <v>35.972583277973897</v>
      </c>
      <c r="AI6233">
        <v>91.747302022233399</v>
      </c>
      <c r="AJ6233">
        <v>100.194040171707</v>
      </c>
      <c r="AK6233">
        <v>36.566556135058001</v>
      </c>
      <c r="AL6233">
        <v>90.310335457981495</v>
      </c>
      <c r="AM6233">
        <v>87.209307041121406</v>
      </c>
      <c r="AN6233">
        <v>0.99999999187241195</v>
      </c>
    </row>
    <row r="6234" spans="1:40" x14ac:dyDescent="0.25">
      <c r="A6234" t="str">
        <f>"20190312161439474"</f>
        <v>20190312161439474</v>
      </c>
      <c r="B6234" t="str">
        <f>"1552378479462954"</f>
        <v>1552378479462954</v>
      </c>
      <c r="C6234" t="s">
        <v>40</v>
      </c>
      <c r="D6234">
        <v>5.6585219999999996</v>
      </c>
      <c r="E6234">
        <v>0.41344550000000002</v>
      </c>
      <c r="F6234" t="s">
        <v>106</v>
      </c>
      <c r="G6234">
        <v>-246.33629999999999</v>
      </c>
      <c r="H6234" s="1">
        <v>-2.254623E-6</v>
      </c>
      <c r="I6234">
        <v>-62.447800000000001</v>
      </c>
      <c r="J6234">
        <v>-284.85849999999999</v>
      </c>
      <c r="K6234">
        <v>1.1148929999999999</v>
      </c>
      <c r="L6234">
        <v>-66.111109999999996</v>
      </c>
      <c r="M6234">
        <v>0.99662209999999996</v>
      </c>
      <c r="N6234">
        <v>0</v>
      </c>
      <c r="O6234">
        <v>-8.0868389999999998E-2</v>
      </c>
      <c r="P6234">
        <v>0.99133780000000005</v>
      </c>
      <c r="Q6234">
        <v>-1.9878659999999999E-2</v>
      </c>
      <c r="R6234">
        <v>-0.12982460000000001</v>
      </c>
      <c r="S6234">
        <v>3.0652469999999998</v>
      </c>
      <c r="T6234">
        <v>-8.8502999999999998E-2</v>
      </c>
      <c r="U6234">
        <v>0.29055789999999998</v>
      </c>
      <c r="V6234">
        <v>4.9281909999999998E-2</v>
      </c>
      <c r="W6234">
        <v>-5.0372059999999998E-3</v>
      </c>
      <c r="X6234">
        <v>0.9987722</v>
      </c>
      <c r="Y6234">
        <v>-0.17446900000000001</v>
      </c>
      <c r="Z6234">
        <v>4.8423449999999996E-3</v>
      </c>
      <c r="AA6234">
        <v>0.98465069999999999</v>
      </c>
      <c r="AB6234">
        <v>19</v>
      </c>
      <c r="AC6234">
        <v>38.522199999999998</v>
      </c>
      <c r="AD6234">
        <v>-1.114895254623</v>
      </c>
      <c r="AE6234">
        <v>3.6633099999999899</v>
      </c>
      <c r="AF6234">
        <v>-6.7612440157075602</v>
      </c>
      <c r="AG6234">
        <v>-1.114895254623</v>
      </c>
      <c r="AH6234">
        <v>38.068128684487696</v>
      </c>
      <c r="AI6234">
        <v>91.651698445309904</v>
      </c>
      <c r="AJ6234">
        <v>100.071226275705</v>
      </c>
      <c r="AK6234">
        <v>38.679966825314601</v>
      </c>
      <c r="AL6234">
        <v>90.288611866650399</v>
      </c>
      <c r="AM6234">
        <v>87.175174447317801</v>
      </c>
      <c r="AN6234">
        <v>0.999999993795187</v>
      </c>
    </row>
    <row r="6235" spans="1:40" x14ac:dyDescent="0.25">
      <c r="A6235" t="str">
        <f>"20190312161439484"</f>
        <v>20190312161439484</v>
      </c>
      <c r="B6235" t="str">
        <f>"1552378479472712"</f>
        <v>1552378479472712</v>
      </c>
      <c r="C6235" t="s">
        <v>40</v>
      </c>
      <c r="D6235">
        <v>5.6692650000000002</v>
      </c>
      <c r="E6235">
        <v>0.41404560000000001</v>
      </c>
      <c r="F6235" t="s">
        <v>106</v>
      </c>
      <c r="G6235">
        <v>-244.78659999999999</v>
      </c>
      <c r="H6235" s="1">
        <v>-1.5278819999999999E-6</v>
      </c>
      <c r="I6235">
        <v>-62.215040000000002</v>
      </c>
      <c r="J6235">
        <v>-284.76569999999998</v>
      </c>
      <c r="K6235">
        <v>1.1148209999999901</v>
      </c>
      <c r="L6235">
        <v>-66.113619999999997</v>
      </c>
      <c r="M6235">
        <v>0.99696870000000004</v>
      </c>
      <c r="N6235">
        <v>0</v>
      </c>
      <c r="O6235">
        <v>-7.6480549999999994E-2</v>
      </c>
      <c r="P6235">
        <v>0.9918169</v>
      </c>
      <c r="Q6235">
        <v>-1.9510880000000001E-2</v>
      </c>
      <c r="R6235">
        <v>-0.12617010000000001</v>
      </c>
      <c r="S6235">
        <v>3.063507</v>
      </c>
      <c r="T6235">
        <v>-8.5234050000000006E-2</v>
      </c>
      <c r="U6235">
        <v>0.29785159999999899</v>
      </c>
      <c r="V6235">
        <v>4.9991969999999997E-2</v>
      </c>
      <c r="W6235">
        <v>-4.690886E-3</v>
      </c>
      <c r="X6235">
        <v>0.99873860000000003</v>
      </c>
      <c r="Y6235">
        <v>-0.1725197</v>
      </c>
      <c r="Z6235">
        <v>4.5169390000000002E-3</v>
      </c>
      <c r="AA6235">
        <v>0.98499570000000003</v>
      </c>
      <c r="AB6235">
        <v>19</v>
      </c>
      <c r="AC6235">
        <v>39.979099999999903</v>
      </c>
      <c r="AD6235">
        <v>-1.1148225278820001</v>
      </c>
      <c r="AE6235">
        <v>3.8985799999999902</v>
      </c>
      <c r="AF6235">
        <v>-6.9397493173241598</v>
      </c>
      <c r="AG6235">
        <v>-1.1148225278820001</v>
      </c>
      <c r="AH6235">
        <v>39.533333437057202</v>
      </c>
      <c r="AI6235">
        <v>91.590973514681295</v>
      </c>
      <c r="AJ6235">
        <v>99.956358657740793</v>
      </c>
      <c r="AK6235">
        <v>40.153298774839399</v>
      </c>
      <c r="AL6235">
        <v>90.268768956660594</v>
      </c>
      <c r="AM6235">
        <v>87.134445114090994</v>
      </c>
      <c r="AN6235">
        <v>0.999999996302953</v>
      </c>
    </row>
    <row r="6236" spans="1:40" x14ac:dyDescent="0.25">
      <c r="A6236" t="str">
        <f>"20190312161439496"</f>
        <v>20190312161439496</v>
      </c>
      <c r="B6236" t="str">
        <f>"1552378479493209"</f>
        <v>1552378479493209</v>
      </c>
      <c r="C6236" t="s">
        <v>40</v>
      </c>
      <c r="D6236">
        <v>5.5712539999999997</v>
      </c>
      <c r="E6236">
        <v>0.41515999999999997</v>
      </c>
      <c r="F6236" t="s">
        <v>106</v>
      </c>
      <c r="G6236">
        <v>-243.70490000000001</v>
      </c>
      <c r="H6236" s="1">
        <v>-1.015145E-6</v>
      </c>
      <c r="I6236">
        <v>-62.032029999999999</v>
      </c>
      <c r="J6236">
        <v>-284.67439999999999</v>
      </c>
      <c r="K6236">
        <v>1.1147419999999999</v>
      </c>
      <c r="L6236">
        <v>-66.115629999999996</v>
      </c>
      <c r="M6236">
        <v>0.99728510000000004</v>
      </c>
      <c r="N6236">
        <v>0</v>
      </c>
      <c r="O6236">
        <v>-7.2239730000000002E-2</v>
      </c>
      <c r="P6236">
        <v>0.99227889999999996</v>
      </c>
      <c r="Q6236">
        <v>-1.933547E-2</v>
      </c>
      <c r="R6236">
        <v>-0.1225091</v>
      </c>
      <c r="S6236">
        <v>3.0618289999999999</v>
      </c>
      <c r="T6236">
        <v>-8.3130239999999994E-2</v>
      </c>
      <c r="U6236">
        <v>0.30435180000000001</v>
      </c>
      <c r="V6236">
        <v>5.0551400000000003E-2</v>
      </c>
      <c r="W6236">
        <v>-4.5393930000000001E-3</v>
      </c>
      <c r="X6236">
        <v>0.99871120000000002</v>
      </c>
      <c r="Y6236">
        <v>-0.1704601</v>
      </c>
      <c r="Z6236">
        <v>4.2647730000000003E-3</v>
      </c>
      <c r="AA6236">
        <v>0.98535530000000005</v>
      </c>
      <c r="AB6236">
        <v>19</v>
      </c>
      <c r="AC6236">
        <v>40.969499999999897</v>
      </c>
      <c r="AD6236">
        <v>-1.114743015145</v>
      </c>
      <c r="AE6236">
        <v>4.0835999999999997</v>
      </c>
      <c r="AF6236">
        <v>-7.0277042427174399</v>
      </c>
      <c r="AG6236">
        <v>-1.114743015145</v>
      </c>
      <c r="AH6236">
        <v>40.537692564135099</v>
      </c>
      <c r="AI6236">
        <v>91.552036864124403</v>
      </c>
      <c r="AJ6236">
        <v>99.835170581111797</v>
      </c>
      <c r="AK6236">
        <v>41.157451297878701</v>
      </c>
      <c r="AL6236">
        <v>90.260088939239694</v>
      </c>
      <c r="AM6236">
        <v>87.102353401437497</v>
      </c>
      <c r="AN6236">
        <v>1.0000000555680999</v>
      </c>
    </row>
    <row r="6237" spans="1:40" x14ac:dyDescent="0.25">
      <c r="A6237" t="str">
        <f>"20190312161439506"</f>
        <v>20190312161439506</v>
      </c>
      <c r="B6237" t="str">
        <f>"1552378479502967"</f>
        <v>1552378479502967</v>
      </c>
      <c r="C6237" t="s">
        <v>40</v>
      </c>
      <c r="D6237">
        <v>5.7849729999999999</v>
      </c>
      <c r="E6237">
        <v>0.41462209999999999</v>
      </c>
      <c r="F6237" t="s">
        <v>106</v>
      </c>
      <c r="G6237">
        <v>-243.76349999999999</v>
      </c>
      <c r="H6237" s="1">
        <v>-1.0352160000000001E-6</v>
      </c>
      <c r="I6237">
        <v>-62.012949999999996</v>
      </c>
      <c r="J6237">
        <v>-284.58179999999999</v>
      </c>
      <c r="K6237">
        <v>1.1146659999999999</v>
      </c>
      <c r="L6237">
        <v>-66.117490000000004</v>
      </c>
      <c r="M6237">
        <v>0.99758480000000005</v>
      </c>
      <c r="N6237">
        <v>0</v>
      </c>
      <c r="O6237">
        <v>-6.7981650000000005E-2</v>
      </c>
      <c r="P6237">
        <v>0.99272110000000002</v>
      </c>
      <c r="Q6237">
        <v>-1.913902E-2</v>
      </c>
      <c r="R6237">
        <v>-0.11890729999999999</v>
      </c>
      <c r="S6237">
        <v>3.0596009999999998</v>
      </c>
      <c r="T6237">
        <v>-8.3368419999999999E-2</v>
      </c>
      <c r="U6237">
        <v>0.30682369999999998</v>
      </c>
      <c r="V6237">
        <v>5.1187120000000003E-2</v>
      </c>
      <c r="W6237">
        <v>-4.3666260000000002E-3</v>
      </c>
      <c r="X6237">
        <v>0.99867950000000005</v>
      </c>
      <c r="Y6237">
        <v>-0.1671137</v>
      </c>
      <c r="Z6237">
        <v>4.1187439999999997E-3</v>
      </c>
      <c r="AA6237">
        <v>0.98592900000000006</v>
      </c>
      <c r="AB6237">
        <v>19</v>
      </c>
      <c r="AC6237">
        <v>40.818300000000001</v>
      </c>
      <c r="AD6237">
        <v>-1.114667035216</v>
      </c>
      <c r="AE6237">
        <v>4.1045400000000001</v>
      </c>
      <c r="AF6237">
        <v>-6.8651513874643797</v>
      </c>
      <c r="AG6237">
        <v>-1.114667035216</v>
      </c>
      <c r="AH6237">
        <v>40.414951983897403</v>
      </c>
      <c r="AI6237">
        <v>91.557548964127704</v>
      </c>
      <c r="AJ6237">
        <v>99.640617827870201</v>
      </c>
      <c r="AK6237">
        <v>41.0090371751512</v>
      </c>
      <c r="AL6237">
        <v>90.250190044053099</v>
      </c>
      <c r="AM6237">
        <v>87.065883731416704</v>
      </c>
      <c r="AN6237">
        <v>0.99999996619838305</v>
      </c>
    </row>
    <row r="6238" spans="1:40" x14ac:dyDescent="0.25">
      <c r="A6238" t="str">
        <f>"20190312161439518"</f>
        <v>20190312161439518</v>
      </c>
      <c r="B6238" t="str">
        <f>"1552378479512728"</f>
        <v>1552378479512728</v>
      </c>
      <c r="C6238" t="s">
        <v>40</v>
      </c>
      <c r="D6238">
        <v>5.0694030000000003</v>
      </c>
      <c r="E6238">
        <v>0.41462209999999999</v>
      </c>
      <c r="F6238" t="s">
        <v>106</v>
      </c>
      <c r="G6238">
        <v>-243.66929999999999</v>
      </c>
      <c r="H6238" s="1">
        <v>-9.4037910000000002E-7</v>
      </c>
      <c r="I6238">
        <v>-61.8084699999999</v>
      </c>
      <c r="J6238">
        <v>-284.48320000000001</v>
      </c>
      <c r="K6238">
        <v>1.114576</v>
      </c>
      <c r="L6238">
        <v>-66.118960000000001</v>
      </c>
      <c r="M6238">
        <v>0.99787680000000001</v>
      </c>
      <c r="N6238">
        <v>0</v>
      </c>
      <c r="O6238">
        <v>-6.3557589999999997E-2</v>
      </c>
      <c r="P6238">
        <v>0.993197</v>
      </c>
      <c r="Q6238">
        <v>-1.8789230000000001E-2</v>
      </c>
      <c r="R6238">
        <v>-0.11491899999999999</v>
      </c>
      <c r="S6238">
        <v>3.0589599999999999</v>
      </c>
      <c r="T6238">
        <v>-8.3341719999999994E-2</v>
      </c>
      <c r="U6238">
        <v>0.32217410000000002</v>
      </c>
      <c r="V6238">
        <v>5.1599590000000001E-2</v>
      </c>
      <c r="W6238">
        <v>-4.0469590000000001E-3</v>
      </c>
      <c r="X6238">
        <v>0.99865970000000004</v>
      </c>
      <c r="Y6238">
        <v>-0.16765969999999999</v>
      </c>
      <c r="Z6238">
        <v>4.0045209999999996E-3</v>
      </c>
      <c r="AA6238">
        <v>0.98583679999999996</v>
      </c>
      <c r="AB6238">
        <v>19</v>
      </c>
      <c r="AC6238">
        <v>40.813899999999997</v>
      </c>
      <c r="AD6238">
        <v>-1.1145769403790999</v>
      </c>
      <c r="AE6238">
        <v>4.3104899999999997</v>
      </c>
      <c r="AF6238">
        <v>-6.89098635887947</v>
      </c>
      <c r="AG6238">
        <v>-1.1145769403790999</v>
      </c>
      <c r="AH6238">
        <v>40.4275555375634</v>
      </c>
      <c r="AI6238">
        <v>91.556787016906895</v>
      </c>
      <c r="AJ6238">
        <v>99.673253181105295</v>
      </c>
      <c r="AK6238">
        <v>41.025787274555199</v>
      </c>
      <c r="AL6238">
        <v>90.231874292837503</v>
      </c>
      <c r="AM6238">
        <v>87.042223659079397</v>
      </c>
      <c r="AN6238">
        <v>1.0000000459847</v>
      </c>
    </row>
    <row r="6239" spans="1:40" x14ac:dyDescent="0.25">
      <c r="A6239" t="str">
        <f>"20190312161439530"</f>
        <v>20190312161439530</v>
      </c>
      <c r="B6239" t="str">
        <f>"1552378479522488"</f>
        <v>1552378479522488</v>
      </c>
      <c r="C6239" t="s">
        <v>40</v>
      </c>
      <c r="D6239">
        <v>5.7476710000000004</v>
      </c>
      <c r="E6239">
        <v>0.37260300000000002</v>
      </c>
      <c r="F6239" t="s">
        <v>106</v>
      </c>
      <c r="G6239">
        <v>-243.25120000000001</v>
      </c>
      <c r="H6239" s="1">
        <v>-7.0796089999999998E-7</v>
      </c>
      <c r="I6239">
        <v>-61.609050000000003</v>
      </c>
      <c r="J6239">
        <v>-284.38670000000002</v>
      </c>
      <c r="K6239">
        <v>1.1144849999999999</v>
      </c>
      <c r="L6239">
        <v>-66.12021</v>
      </c>
      <c r="M6239">
        <v>0.99814119999999995</v>
      </c>
      <c r="N6239">
        <v>0</v>
      </c>
      <c r="O6239">
        <v>-5.926683E-2</v>
      </c>
      <c r="P6239">
        <v>0.99363650000000003</v>
      </c>
      <c r="Q6239">
        <v>-1.8391169999999998E-2</v>
      </c>
      <c r="R6239">
        <v>-0.1111235</v>
      </c>
      <c r="S6239">
        <v>3.0576780000000001</v>
      </c>
      <c r="T6239">
        <v>-8.2654829999999999E-2</v>
      </c>
      <c r="U6239">
        <v>0.33444210000000002</v>
      </c>
      <c r="V6239">
        <v>5.2072460000000001E-2</v>
      </c>
      <c r="W6239">
        <v>-3.6778380000000001E-3</v>
      </c>
      <c r="X6239">
        <v>0.99863650000000004</v>
      </c>
      <c r="Y6239">
        <v>-0.16737769999999999</v>
      </c>
      <c r="Z6239">
        <v>3.852926E-3</v>
      </c>
      <c r="AA6239">
        <v>0.98588529999999996</v>
      </c>
      <c r="AB6239">
        <v>19</v>
      </c>
      <c r="AC6239">
        <v>41.1355</v>
      </c>
      <c r="AD6239">
        <v>-1.1144857079609001</v>
      </c>
      <c r="AE6239">
        <v>4.5111599999999896</v>
      </c>
      <c r="AF6239">
        <v>-6.9364139828540603</v>
      </c>
      <c r="AG6239">
        <v>-1.1144857079609001</v>
      </c>
      <c r="AH6239">
        <v>40.766219215558301</v>
      </c>
      <c r="AI6239">
        <v>91.543811090920798</v>
      </c>
      <c r="AJ6239">
        <v>99.656455148194993</v>
      </c>
      <c r="AK6239">
        <v>41.367143320100503</v>
      </c>
      <c r="AL6239">
        <v>90.210725077917999</v>
      </c>
      <c r="AM6239">
        <v>87.015097521445597</v>
      </c>
      <c r="AN6239">
        <v>0.99999996335752706</v>
      </c>
    </row>
    <row r="6240" spans="1:40" x14ac:dyDescent="0.25">
      <c r="A6240" t="str">
        <f>"20190312161439541"</f>
        <v>20190312161439541</v>
      </c>
      <c r="B6240" t="str">
        <f>"1552378479533224"</f>
        <v>1552378479533224</v>
      </c>
      <c r="C6240" t="s">
        <v>40</v>
      </c>
      <c r="D6240">
        <v>5.618163</v>
      </c>
      <c r="E6240">
        <v>0.37130649999999998</v>
      </c>
      <c r="F6240" t="s">
        <v>59</v>
      </c>
      <c r="G6240">
        <v>-167.6447</v>
      </c>
      <c r="H6240">
        <v>0.41233439999999999</v>
      </c>
      <c r="I6240">
        <v>-40.619770000000003</v>
      </c>
      <c r="J6240">
        <v>-284.29169999999999</v>
      </c>
      <c r="K6240">
        <v>1.114392</v>
      </c>
      <c r="L6240">
        <v>-66.120940000000004</v>
      </c>
      <c r="M6240">
        <v>0.99837670000000001</v>
      </c>
      <c r="N6240">
        <v>0</v>
      </c>
      <c r="O6240">
        <v>-5.5159930000000003E-2</v>
      </c>
      <c r="P6240">
        <v>0.99402699999999999</v>
      </c>
      <c r="Q6240">
        <v>-1.8380790000000001E-2</v>
      </c>
      <c r="R6240">
        <v>-0.107576</v>
      </c>
      <c r="S6240">
        <v>3.094452</v>
      </c>
      <c r="T6240">
        <v>-1.861227E-2</v>
      </c>
      <c r="U6240">
        <v>0.67593380000000003</v>
      </c>
      <c r="V6240">
        <v>5.2615120000000001E-2</v>
      </c>
      <c r="W6240">
        <v>-3.6973750000000001E-3</v>
      </c>
      <c r="X6240">
        <v>0.99860800000000005</v>
      </c>
      <c r="Y6240">
        <v>-0.2669666</v>
      </c>
      <c r="Z6240">
        <v>1.1218039999999999E-3</v>
      </c>
      <c r="AA6240">
        <v>0.96370509999999998</v>
      </c>
      <c r="AB6240">
        <v>19</v>
      </c>
      <c r="AC6240">
        <v>116.64700000000001</v>
      </c>
      <c r="AD6240">
        <v>-0.70205759999999995</v>
      </c>
      <c r="AE6240">
        <v>25.501169999999998</v>
      </c>
      <c r="AF6240">
        <v>-31.896122965220599</v>
      </c>
      <c r="AG6240">
        <v>-0.70205759999999995</v>
      </c>
      <c r="AH6240">
        <v>115.058610723085</v>
      </c>
      <c r="AI6240">
        <v>90.336894457604899</v>
      </c>
      <c r="AJ6240">
        <v>105.494241116258</v>
      </c>
      <c r="AK6240">
        <v>119.399913930507</v>
      </c>
      <c r="AL6240">
        <v>90.211844469784296</v>
      </c>
      <c r="AM6240">
        <v>86.983962330480793</v>
      </c>
      <c r="AN6240">
        <v>0.99999997954925202</v>
      </c>
    </row>
    <row r="6241" spans="1:40" x14ac:dyDescent="0.25">
      <c r="A6241" t="str">
        <f>"20190312161439551"</f>
        <v>20190312161439551</v>
      </c>
      <c r="B6241" t="str">
        <f>"1552378479542984"</f>
        <v>1552378479542984</v>
      </c>
      <c r="C6241" t="s">
        <v>40</v>
      </c>
      <c r="D6241">
        <v>5.5777769999999904</v>
      </c>
      <c r="E6241">
        <v>0.3715193</v>
      </c>
      <c r="F6241" t="s">
        <v>59</v>
      </c>
      <c r="G6241">
        <v>-168.45060000000001</v>
      </c>
      <c r="H6241">
        <v>0.57953449999999995</v>
      </c>
      <c r="I6241">
        <v>-40.01934</v>
      </c>
      <c r="J6241">
        <v>-284.19830000000002</v>
      </c>
      <c r="K6241">
        <v>1.1143019999999999</v>
      </c>
      <c r="L6241">
        <v>-66.121489999999994</v>
      </c>
      <c r="M6241">
        <v>0.99858950000000002</v>
      </c>
      <c r="N6241">
        <v>0</v>
      </c>
      <c r="O6241">
        <v>-5.1172629999999997E-2</v>
      </c>
      <c r="P6241">
        <v>0.99438079999999995</v>
      </c>
      <c r="Q6241">
        <v>-1.872532E-2</v>
      </c>
      <c r="R6241">
        <v>-0.10419399999999999</v>
      </c>
      <c r="S6241">
        <v>3.0931700000000002</v>
      </c>
      <c r="T6241">
        <v>-1.428223E-2</v>
      </c>
      <c r="U6241">
        <v>0.69696040000000004</v>
      </c>
      <c r="V6241">
        <v>5.3208779999999997E-2</v>
      </c>
      <c r="W6241">
        <v>-4.070728E-3</v>
      </c>
      <c r="X6241">
        <v>0.99857510000000005</v>
      </c>
      <c r="Y6241">
        <v>-0.26944630000000003</v>
      </c>
      <c r="Z6241">
        <v>8.4799369999999895E-4</v>
      </c>
      <c r="AA6241">
        <v>0.96301499999999995</v>
      </c>
      <c r="AB6241">
        <v>19</v>
      </c>
      <c r="AC6241">
        <v>115.74769999999999</v>
      </c>
      <c r="AD6241">
        <v>-0.53476749999999995</v>
      </c>
      <c r="AE6241">
        <v>26.102150000000002</v>
      </c>
      <c r="AF6241">
        <v>-31.991002609679601</v>
      </c>
      <c r="AG6241">
        <v>-0.53476749999999995</v>
      </c>
      <c r="AH6241">
        <v>114.257849213119</v>
      </c>
      <c r="AI6241">
        <v>90.258231901136895</v>
      </c>
      <c r="AJ6241">
        <v>105.641690696846</v>
      </c>
      <c r="AK6241">
        <v>118.65313451847599</v>
      </c>
      <c r="AL6241">
        <v>90.233236180966102</v>
      </c>
      <c r="AM6241">
        <v>86.949895766426195</v>
      </c>
      <c r="AN6241">
        <v>0.99999998771777399</v>
      </c>
    </row>
    <row r="6242" spans="1:40" x14ac:dyDescent="0.25">
      <c r="A6242" t="str">
        <f>"20190312161439562"</f>
        <v>20190312161439562</v>
      </c>
      <c r="B6242" t="str">
        <f>"1552378479552744"</f>
        <v>1552378479552744</v>
      </c>
      <c r="C6242" t="s">
        <v>40</v>
      </c>
      <c r="D6242">
        <v>5.6211219999999997</v>
      </c>
      <c r="E6242">
        <v>0.37207780000000001</v>
      </c>
      <c r="F6242" t="s">
        <v>59</v>
      </c>
      <c r="G6242">
        <v>-168.45060000000001</v>
      </c>
      <c r="H6242">
        <v>0.42190169999999999</v>
      </c>
      <c r="I6242">
        <v>-39.681870000000004</v>
      </c>
      <c r="J6242">
        <v>-284.10930000000002</v>
      </c>
      <c r="K6242">
        <v>1.11422</v>
      </c>
      <c r="L6242">
        <v>-66.121729999999999</v>
      </c>
      <c r="M6242">
        <v>0.99877389999999999</v>
      </c>
      <c r="N6242">
        <v>0</v>
      </c>
      <c r="O6242">
        <v>-4.7444489999999999E-2</v>
      </c>
      <c r="P6242">
        <v>0.99469180000000001</v>
      </c>
      <c r="Q6242">
        <v>-1.871799E-2</v>
      </c>
      <c r="R6242">
        <v>-0.1011836</v>
      </c>
      <c r="S6242">
        <v>3.090576</v>
      </c>
      <c r="T6242">
        <v>-1.8488290000000001E-2</v>
      </c>
      <c r="U6242">
        <v>0.70596309999999995</v>
      </c>
      <c r="V6242">
        <v>5.3913160000000002E-2</v>
      </c>
      <c r="W6242">
        <v>-4.0899530000000003E-3</v>
      </c>
      <c r="X6242">
        <v>0.99853720000000001</v>
      </c>
      <c r="Y6242">
        <v>-0.26869009999999999</v>
      </c>
      <c r="Z6242">
        <v>1.0739809999999999E-3</v>
      </c>
      <c r="AA6242">
        <v>0.96322609999999997</v>
      </c>
      <c r="AB6242">
        <v>19</v>
      </c>
      <c r="AC6242">
        <v>115.6587</v>
      </c>
      <c r="AD6242">
        <v>-0.69231829999999905</v>
      </c>
      <c r="AE6242">
        <v>26.439859999999999</v>
      </c>
      <c r="AF6242">
        <v>-31.8969094412017</v>
      </c>
      <c r="AG6242">
        <v>-0.69231829999999905</v>
      </c>
      <c r="AH6242">
        <v>114.269985955686</v>
      </c>
      <c r="AI6242">
        <v>90.334347943566399</v>
      </c>
      <c r="AJ6242">
        <v>105.596351371598</v>
      </c>
      <c r="AK6242">
        <v>118.64030439459199</v>
      </c>
      <c r="AL6242">
        <v>90.234337710780395</v>
      </c>
      <c r="AM6242">
        <v>86.909479049116101</v>
      </c>
      <c r="AN6242">
        <v>0.99999994816028204</v>
      </c>
    </row>
    <row r="6243" spans="1:40" x14ac:dyDescent="0.25">
      <c r="A6243" t="str">
        <f>"20190312161439573"</f>
        <v>20190312161439573</v>
      </c>
      <c r="B6243" t="str">
        <f>"1552378479562505"</f>
        <v>1552378479562505</v>
      </c>
      <c r="C6243" t="s">
        <v>40</v>
      </c>
      <c r="D6243">
        <v>5.557366</v>
      </c>
      <c r="E6243">
        <v>0.37273410000000001</v>
      </c>
      <c r="F6243" t="s">
        <v>59</v>
      </c>
      <c r="G6243">
        <v>-168.45060000000001</v>
      </c>
      <c r="H6243">
        <v>0.32249159999999999</v>
      </c>
      <c r="I6243">
        <v>-39.488840000000003</v>
      </c>
      <c r="J6243">
        <v>-284.02080000000001</v>
      </c>
      <c r="K6243">
        <v>1.1141350000000001</v>
      </c>
      <c r="L6243">
        <v>-66.121700000000004</v>
      </c>
      <c r="M6243">
        <v>0.99894050000000001</v>
      </c>
      <c r="N6243">
        <v>0</v>
      </c>
      <c r="O6243">
        <v>-4.380291E-2</v>
      </c>
      <c r="P6243">
        <v>0.99497069999999999</v>
      </c>
      <c r="Q6243">
        <v>-1.8536480000000001E-2</v>
      </c>
      <c r="R6243">
        <v>-9.8435529999999993E-2</v>
      </c>
      <c r="S6243">
        <v>3.0879210000000001</v>
      </c>
      <c r="T6243">
        <v>-2.1138549999999999E-2</v>
      </c>
      <c r="U6243">
        <v>0.71105959999999901</v>
      </c>
      <c r="V6243">
        <v>5.4792540000000001E-2</v>
      </c>
      <c r="W6243">
        <v>-3.9333060000000001E-3</v>
      </c>
      <c r="X6243">
        <v>0.99848999999999999</v>
      </c>
      <c r="Y6243">
        <v>-0.26686659999999901</v>
      </c>
      <c r="Z6243">
        <v>1.197924E-3</v>
      </c>
      <c r="AA6243">
        <v>0.96373279999999995</v>
      </c>
      <c r="AB6243">
        <v>19</v>
      </c>
      <c r="AC6243">
        <v>115.5702</v>
      </c>
      <c r="AD6243">
        <v>-0.7916434</v>
      </c>
      <c r="AE6243">
        <v>26.632859999999901</v>
      </c>
      <c r="AF6243">
        <v>-31.668696782118499</v>
      </c>
      <c r="AG6243">
        <v>-0.7916434</v>
      </c>
      <c r="AH6243">
        <v>114.28744764478201</v>
      </c>
      <c r="AI6243">
        <v>90.382457525737706</v>
      </c>
      <c r="AJ6243">
        <v>105.487887421297</v>
      </c>
      <c r="AK6243">
        <v>118.59660089694501</v>
      </c>
      <c r="AL6243">
        <v>90.225362417422403</v>
      </c>
      <c r="AM6243">
        <v>86.859021366581004</v>
      </c>
      <c r="AN6243">
        <v>0.99999998671787005</v>
      </c>
    </row>
    <row r="6244" spans="1:40" x14ac:dyDescent="0.25">
      <c r="A6244" t="str">
        <f>"20190312161439584"</f>
        <v>20190312161439584</v>
      </c>
      <c r="B6244" t="str">
        <f>"1552378479573240"</f>
        <v>1552378479573240</v>
      </c>
      <c r="C6244" t="s">
        <v>40</v>
      </c>
      <c r="D6244">
        <v>5.5218249999999998</v>
      </c>
      <c r="E6244">
        <v>0.37367590000000001</v>
      </c>
      <c r="F6244" t="s">
        <v>59</v>
      </c>
      <c r="G6244">
        <v>-168.45060000000001</v>
      </c>
      <c r="H6244">
        <v>0.19038389999999999</v>
      </c>
      <c r="I6244">
        <v>-39.352460000000001</v>
      </c>
      <c r="J6244">
        <v>-283.9237</v>
      </c>
      <c r="K6244">
        <v>1.1140380000000001</v>
      </c>
      <c r="L6244">
        <v>-66.121430000000004</v>
      </c>
      <c r="M6244">
        <v>0.99910509999999997</v>
      </c>
      <c r="N6244">
        <v>0</v>
      </c>
      <c r="O6244">
        <v>-3.9878759999999999E-2</v>
      </c>
      <c r="P6244">
        <v>0.9952664</v>
      </c>
      <c r="Q6244">
        <v>-1.860674E-2</v>
      </c>
      <c r="R6244">
        <v>-9.5387680000000002E-2</v>
      </c>
      <c r="S6244">
        <v>3.085388</v>
      </c>
      <c r="T6244">
        <v>-2.466202E-2</v>
      </c>
      <c r="U6244">
        <v>0.71466059999999998</v>
      </c>
      <c r="V6244">
        <v>5.5656160000000003E-2</v>
      </c>
      <c r="W6244">
        <v>-4.0318359999999996E-3</v>
      </c>
      <c r="X6244">
        <v>0.99844189999999999</v>
      </c>
      <c r="Y6244">
        <v>-0.26431850000000001</v>
      </c>
      <c r="Z6244">
        <v>1.3574699999999999E-3</v>
      </c>
      <c r="AA6244">
        <v>0.96443449999999997</v>
      </c>
      <c r="AB6244">
        <v>19</v>
      </c>
      <c r="AC6244">
        <v>115.4731</v>
      </c>
      <c r="AD6244">
        <v>-0.92365409999999903</v>
      </c>
      <c r="AE6244">
        <v>26.768969999999999</v>
      </c>
      <c r="AF6244">
        <v>-31.351149709267801</v>
      </c>
      <c r="AG6244">
        <v>-0.92365409999999903</v>
      </c>
      <c r="AH6244">
        <v>114.30666591225901</v>
      </c>
      <c r="AI6244">
        <v>90.446479900388496</v>
      </c>
      <c r="AJ6244">
        <v>105.33748018795001</v>
      </c>
      <c r="AK6244">
        <v>118.531690264529</v>
      </c>
      <c r="AL6244">
        <v>90.231007801786106</v>
      </c>
      <c r="AM6244">
        <v>86.809462507990304</v>
      </c>
      <c r="AN6244">
        <v>1.0000000457615399</v>
      </c>
    </row>
    <row r="6245" spans="1:40" x14ac:dyDescent="0.25">
      <c r="A6245" t="str">
        <f>"20190312161439597"</f>
        <v>20190312161439597</v>
      </c>
      <c r="B6245" t="str">
        <f>"1552378479593366"</f>
        <v>1552378479593366</v>
      </c>
      <c r="C6245" t="s">
        <v>40</v>
      </c>
      <c r="D6245">
        <v>5.5556210000000004</v>
      </c>
      <c r="E6245">
        <v>0.37520769999999998</v>
      </c>
      <c r="F6245" t="s">
        <v>41</v>
      </c>
      <c r="G6245">
        <v>-160.26519999999999</v>
      </c>
      <c r="H6245">
        <v>-0.05</v>
      </c>
      <c r="I6245">
        <v>-37.361829999999998</v>
      </c>
      <c r="J6245">
        <v>-283.82679999999999</v>
      </c>
      <c r="K6245">
        <v>1.113944</v>
      </c>
      <c r="L6245">
        <v>-66.12079</v>
      </c>
      <c r="M6245">
        <v>0.99925039999999998</v>
      </c>
      <c r="N6245">
        <v>0</v>
      </c>
      <c r="O6245">
        <v>-3.6064310000000002E-2</v>
      </c>
      <c r="P6245">
        <v>0.9955811</v>
      </c>
      <c r="Q6245">
        <v>-1.8145540000000002E-2</v>
      </c>
      <c r="R6245">
        <v>-9.2135079999999994E-2</v>
      </c>
      <c r="S6245">
        <v>3.0824280000000002</v>
      </c>
      <c r="T6245">
        <v>-2.9015900000000001E-2</v>
      </c>
      <c r="U6245">
        <v>0.71688839999999998</v>
      </c>
      <c r="V6245">
        <v>5.6200359999999998E-2</v>
      </c>
      <c r="W6245">
        <v>-3.6013410000000001E-3</v>
      </c>
      <c r="X6245">
        <v>0.99841299999999999</v>
      </c>
      <c r="Y6245">
        <v>-0.26149729999999999</v>
      </c>
      <c r="Z6245">
        <v>1.5498790000000001E-3</v>
      </c>
      <c r="AA6245">
        <v>0.96520300000000003</v>
      </c>
      <c r="AB6245">
        <v>19</v>
      </c>
      <c r="AC6245">
        <v>123.5616</v>
      </c>
      <c r="AD6245">
        <v>-1.1639440000000001</v>
      </c>
      <c r="AE6245">
        <v>28.758959999999998</v>
      </c>
      <c r="AF6245">
        <v>-33.194058717039901</v>
      </c>
      <c r="AG6245">
        <v>-1.1639440000000001</v>
      </c>
      <c r="AH6245">
        <v>122.43362304341299</v>
      </c>
      <c r="AI6245">
        <v>90.525702098663899</v>
      </c>
      <c r="AJ6245">
        <v>105.169306014341</v>
      </c>
      <c r="AK6245">
        <v>126.858946674178</v>
      </c>
      <c r="AL6245">
        <v>90.206342089150297</v>
      </c>
      <c r="AM6245">
        <v>86.7782381118828</v>
      </c>
      <c r="AN6245">
        <v>0.99999998434506299</v>
      </c>
    </row>
    <row r="6246" spans="1:40" x14ac:dyDescent="0.25">
      <c r="A6246" t="str">
        <f>"20190312161439608"</f>
        <v>20190312161439608</v>
      </c>
      <c r="B6246" t="str">
        <f>"1552378479603126"</f>
        <v>1552378479603126</v>
      </c>
      <c r="C6246" t="s">
        <v>40</v>
      </c>
      <c r="D6246">
        <v>5.5355919999999896</v>
      </c>
      <c r="E6246">
        <v>0.37601630000000003</v>
      </c>
      <c r="F6246" t="s">
        <v>77</v>
      </c>
      <c r="G6246">
        <v>-182.06020000000001</v>
      </c>
      <c r="H6246" s="1">
        <v>-5.994815E-6</v>
      </c>
      <c r="I6246">
        <v>-42.483960000000003</v>
      </c>
      <c r="J6246">
        <v>-283.73099999999999</v>
      </c>
      <c r="K6246">
        <v>1.11385499999999</v>
      </c>
      <c r="L6246">
        <v>-66.12003</v>
      </c>
      <c r="M6246">
        <v>0.9993784</v>
      </c>
      <c r="N6246">
        <v>0</v>
      </c>
      <c r="O6246">
        <v>-3.2331650000000003E-2</v>
      </c>
      <c r="P6246">
        <v>0.99582440000000005</v>
      </c>
      <c r="Q6246">
        <v>-1.830143E-2</v>
      </c>
      <c r="R6246">
        <v>-8.943595E-2</v>
      </c>
      <c r="S6246">
        <v>3.0788880000000001</v>
      </c>
      <c r="T6246">
        <v>-3.37019E-2</v>
      </c>
      <c r="U6246">
        <v>0.71511840000000004</v>
      </c>
      <c r="V6246">
        <v>5.7223830000000003E-2</v>
      </c>
      <c r="W6246">
        <v>-3.783565E-3</v>
      </c>
      <c r="X6246">
        <v>0.99835419999999997</v>
      </c>
      <c r="Y6246">
        <v>-0.25760429999999901</v>
      </c>
      <c r="Z6246">
        <v>1.740887E-3</v>
      </c>
      <c r="AA6246">
        <v>0.96624889999999997</v>
      </c>
      <c r="AB6246">
        <v>19</v>
      </c>
      <c r="AC6246">
        <v>101.6708</v>
      </c>
      <c r="AD6246">
        <v>-1.11386099481499</v>
      </c>
      <c r="AE6246">
        <v>23.63607</v>
      </c>
      <c r="AF6246">
        <v>-26.908155820028401</v>
      </c>
      <c r="AG6246">
        <v>-1.11386099481499</v>
      </c>
      <c r="AH6246">
        <v>100.84188405214201</v>
      </c>
      <c r="AI6246">
        <v>90.611449662434694</v>
      </c>
      <c r="AJ6246">
        <v>104.940427472221</v>
      </c>
      <c r="AK6246">
        <v>104.376123299998</v>
      </c>
      <c r="AL6246">
        <v>90.2167828242399</v>
      </c>
      <c r="AM6246">
        <v>86.719500511554102</v>
      </c>
      <c r="AN6246">
        <v>0.99999999537080897</v>
      </c>
    </row>
    <row r="6247" spans="1:40" x14ac:dyDescent="0.25">
      <c r="A6247" t="str">
        <f>"20190312161439619"</f>
        <v>20190312161439619</v>
      </c>
      <c r="B6247" t="str">
        <f>"1552378479612886"</f>
        <v>1552378479612886</v>
      </c>
      <c r="C6247" t="s">
        <v>40</v>
      </c>
      <c r="D6247">
        <v>5.514799</v>
      </c>
      <c r="E6247">
        <v>0.37669279999999999</v>
      </c>
      <c r="F6247" t="s">
        <v>77</v>
      </c>
      <c r="G6247">
        <v>-191.56659999999999</v>
      </c>
      <c r="H6247" s="1">
        <v>-4.4693240000000004E-6</v>
      </c>
      <c r="I6247">
        <v>-44.631810000000002</v>
      </c>
      <c r="J6247">
        <v>-283.63600000000002</v>
      </c>
      <c r="K6247">
        <v>1.1137649999999999</v>
      </c>
      <c r="L6247">
        <v>-66.118799999999993</v>
      </c>
      <c r="M6247">
        <v>0.99948740000000003</v>
      </c>
      <c r="N6247">
        <v>0</v>
      </c>
      <c r="O6247">
        <v>-2.877532E-2</v>
      </c>
      <c r="P6247">
        <v>0.99608779999999997</v>
      </c>
      <c r="Q6247">
        <v>-1.8158469999999999E-2</v>
      </c>
      <c r="R6247">
        <v>-8.6484039999999998E-2</v>
      </c>
      <c r="S6247">
        <v>3.076355</v>
      </c>
      <c r="T6247">
        <v>-3.7179469999999999E-2</v>
      </c>
      <c r="U6247">
        <v>0.71725459999999996</v>
      </c>
      <c r="V6247">
        <v>5.7815079999999998E-2</v>
      </c>
      <c r="W6247">
        <v>-3.6709149999999999E-3</v>
      </c>
      <c r="X6247">
        <v>0.9983206</v>
      </c>
      <c r="Y6247">
        <v>-0.25497379999999997</v>
      </c>
      <c r="Z6247">
        <v>1.8637440000000001E-3</v>
      </c>
      <c r="AA6247">
        <v>0.96694619999999998</v>
      </c>
      <c r="AB6247">
        <v>19</v>
      </c>
      <c r="AC6247">
        <v>92.069399999999902</v>
      </c>
      <c r="AD6247">
        <v>-1.1137694693239999</v>
      </c>
      <c r="AE6247">
        <v>21.486989999999999</v>
      </c>
      <c r="AF6247">
        <v>-24.124329942004099</v>
      </c>
      <c r="AG6247">
        <v>-1.1137694693239999</v>
      </c>
      <c r="AH6247">
        <v>91.400226542255595</v>
      </c>
      <c r="AI6247">
        <v>90.675035538908801</v>
      </c>
      <c r="AJ6247">
        <v>104.785554143298</v>
      </c>
      <c r="AK6247">
        <v>94.536898561128694</v>
      </c>
      <c r="AL6247">
        <v>90.210328400479099</v>
      </c>
      <c r="AM6247">
        <v>86.685569499190507</v>
      </c>
      <c r="AN6247">
        <v>1.0000000397383499</v>
      </c>
    </row>
    <row r="6248" spans="1:40" x14ac:dyDescent="0.25">
      <c r="A6248" t="str">
        <f>"20190312161439631"</f>
        <v>20190312161439631</v>
      </c>
      <c r="B6248" t="str">
        <f>"1552378479622646"</f>
        <v>1552378479622646</v>
      </c>
      <c r="C6248" t="s">
        <v>40</v>
      </c>
      <c r="D6248">
        <v>5.5230550000000003</v>
      </c>
      <c r="E6248">
        <v>0.37669279999999999</v>
      </c>
      <c r="F6248" t="s">
        <v>77</v>
      </c>
      <c r="G6248">
        <v>-203.35720000000001</v>
      </c>
      <c r="H6248">
        <v>7.9987610000000001E-2</v>
      </c>
      <c r="I6248">
        <v>-47.28575</v>
      </c>
      <c r="J6248">
        <v>-283.54140000000001</v>
      </c>
      <c r="K6248">
        <v>1.113675</v>
      </c>
      <c r="L6248">
        <v>-66.117519999999999</v>
      </c>
      <c r="M6248">
        <v>0.99958239999999998</v>
      </c>
      <c r="N6248">
        <v>0</v>
      </c>
      <c r="O6248">
        <v>-2.527182E-2</v>
      </c>
      <c r="P6248">
        <v>0.99633579999999999</v>
      </c>
      <c r="Q6248">
        <v>-1.8274930000000002E-2</v>
      </c>
      <c r="R6248">
        <v>-8.3552169999999995E-2</v>
      </c>
      <c r="S6248">
        <v>3.0736690000000002</v>
      </c>
      <c r="T6248">
        <v>-3.9580700000000003E-2</v>
      </c>
      <c r="U6248">
        <v>0.72106930000000002</v>
      </c>
      <c r="V6248">
        <v>5.8376600000000001E-2</v>
      </c>
      <c r="W6248">
        <v>-3.817726E-3</v>
      </c>
      <c r="X6248">
        <v>0.99828729999999999</v>
      </c>
      <c r="Y6248">
        <v>-0.25290629999999997</v>
      </c>
      <c r="Z6248">
        <v>1.9278120000000001E-3</v>
      </c>
      <c r="AA6248">
        <v>0.96748880000000004</v>
      </c>
      <c r="AB6248">
        <v>19</v>
      </c>
      <c r="AC6248">
        <v>80.184200000000004</v>
      </c>
      <c r="AD6248">
        <v>-1.0336873900000001</v>
      </c>
      <c r="AE6248">
        <v>18.831769999999999</v>
      </c>
      <c r="AF6248">
        <v>-20.849070163166999</v>
      </c>
      <c r="AG6248">
        <v>-1.0336873900000001</v>
      </c>
      <c r="AH6248">
        <v>79.670077506125196</v>
      </c>
      <c r="AI6248">
        <v>90.719134281743607</v>
      </c>
      <c r="AJ6248">
        <v>104.665017163786</v>
      </c>
      <c r="AK6248">
        <v>82.359416499395493</v>
      </c>
      <c r="AL6248">
        <v>90.218740125518394</v>
      </c>
      <c r="AM6248">
        <v>86.653340042221998</v>
      </c>
      <c r="AN6248">
        <v>0.99999996790032997</v>
      </c>
    </row>
    <row r="6249" spans="1:40" x14ac:dyDescent="0.25">
      <c r="A6249" t="str">
        <f>"20190312161439641"</f>
        <v>20190312161439641</v>
      </c>
      <c r="B6249" t="str">
        <f>"1552378479632407"</f>
        <v>1552378479632407</v>
      </c>
      <c r="C6249" t="s">
        <v>40</v>
      </c>
      <c r="D6249">
        <v>5.5325009999999999</v>
      </c>
      <c r="E6249">
        <v>0.3865825</v>
      </c>
      <c r="F6249" t="s">
        <v>77</v>
      </c>
      <c r="G6249">
        <v>-204.22890000000001</v>
      </c>
      <c r="H6249">
        <v>7.9987699999999995E-2</v>
      </c>
      <c r="I6249">
        <v>-47.263199999999998</v>
      </c>
      <c r="J6249">
        <v>-283.44839999999999</v>
      </c>
      <c r="K6249">
        <v>1.1135809999999999</v>
      </c>
      <c r="L6249">
        <v>-66.115880000000004</v>
      </c>
      <c r="M6249">
        <v>0.99966129999999997</v>
      </c>
      <c r="N6249">
        <v>0</v>
      </c>
      <c r="O6249">
        <v>-2.194407E-2</v>
      </c>
      <c r="P6249">
        <v>0.99654739999999997</v>
      </c>
      <c r="Q6249">
        <v>-1.798754E-2</v>
      </c>
      <c r="R6249">
        <v>-8.1053410000000006E-2</v>
      </c>
      <c r="S6249">
        <v>3.0715029999999999</v>
      </c>
      <c r="T6249">
        <v>-4.0031190000000001E-2</v>
      </c>
      <c r="U6249">
        <v>0.73016359999999902</v>
      </c>
      <c r="V6249">
        <v>5.9193229999999999E-2</v>
      </c>
      <c r="W6249">
        <v>-3.5593030000000002E-3</v>
      </c>
      <c r="X6249">
        <v>0.99824020000000002</v>
      </c>
      <c r="Y6249">
        <v>-0.2525502</v>
      </c>
      <c r="Z6249">
        <v>1.905323E-3</v>
      </c>
      <c r="AA6249">
        <v>0.96758189999999999</v>
      </c>
      <c r="AB6249">
        <v>19</v>
      </c>
      <c r="AC6249">
        <v>79.219499999999897</v>
      </c>
      <c r="AD6249">
        <v>-1.0335932999999999</v>
      </c>
      <c r="AE6249">
        <v>18.852679999999999</v>
      </c>
      <c r="AF6249">
        <v>-20.5833917045832</v>
      </c>
      <c r="AG6249">
        <v>-1.0335932999999999</v>
      </c>
      <c r="AH6249">
        <v>78.773984254777105</v>
      </c>
      <c r="AI6249">
        <v>90.727318167745096</v>
      </c>
      <c r="AJ6249">
        <v>104.64379179241099</v>
      </c>
      <c r="AK6249">
        <v>81.425333432206401</v>
      </c>
      <c r="AL6249">
        <v>90.203933470093901</v>
      </c>
      <c r="AM6249">
        <v>86.606472544120095</v>
      </c>
      <c r="AN6249">
        <v>1.0000000020058499</v>
      </c>
    </row>
    <row r="6250" spans="1:40" x14ac:dyDescent="0.25">
      <c r="A6250" t="str">
        <f>"20190312161439652"</f>
        <v>20190312161439652</v>
      </c>
      <c r="B6250" t="str">
        <f>"1552378479643142"</f>
        <v>1552378479643142</v>
      </c>
      <c r="C6250" t="s">
        <v>40</v>
      </c>
      <c r="D6250">
        <v>5.4996609999999997</v>
      </c>
      <c r="E6250">
        <v>0.38721349999999999</v>
      </c>
      <c r="F6250" t="s">
        <v>107</v>
      </c>
      <c r="G6250">
        <v>-233.1662</v>
      </c>
      <c r="H6250" s="1">
        <v>-1.425917E-6</v>
      </c>
      <c r="I6250">
        <v>-55.267409999999998</v>
      </c>
      <c r="J6250">
        <v>-283.35739999999998</v>
      </c>
      <c r="K6250">
        <v>1.113491</v>
      </c>
      <c r="L6250">
        <v>-66.114170000000001</v>
      </c>
      <c r="M6250">
        <v>0.99972680000000003</v>
      </c>
      <c r="N6250">
        <v>0</v>
      </c>
      <c r="O6250">
        <v>-1.874232E-2</v>
      </c>
      <c r="P6250">
        <v>0.99675800000000003</v>
      </c>
      <c r="Q6250">
        <v>-1.7958700000000001E-2</v>
      </c>
      <c r="R6250">
        <v>-7.84305E-2</v>
      </c>
      <c r="S6250">
        <v>3.0629270000000002</v>
      </c>
      <c r="T6250">
        <v>-6.7833539999999998E-2</v>
      </c>
      <c r="U6250">
        <v>0.66082759999999996</v>
      </c>
      <c r="V6250">
        <v>5.97624E-2</v>
      </c>
      <c r="W6250">
        <v>-3.5602619999999998E-3</v>
      </c>
      <c r="X6250">
        <v>0.99820629999999999</v>
      </c>
      <c r="Y6250">
        <v>-0.2291251</v>
      </c>
      <c r="Z6250">
        <v>2.9185579999999999E-3</v>
      </c>
      <c r="AA6250">
        <v>0.97339260000000005</v>
      </c>
      <c r="AB6250">
        <v>19</v>
      </c>
      <c r="AC6250">
        <v>50.191199999999903</v>
      </c>
      <c r="AD6250">
        <v>-1.113492425917</v>
      </c>
      <c r="AE6250">
        <v>10.84676</v>
      </c>
      <c r="AF6250">
        <v>-11.780106477225701</v>
      </c>
      <c r="AG6250">
        <v>-1.113492425917</v>
      </c>
      <c r="AH6250">
        <v>49.955578952398803</v>
      </c>
      <c r="AI6250">
        <v>91.242815400232203</v>
      </c>
      <c r="AJ6250">
        <v>103.26861244350501</v>
      </c>
      <c r="AK6250">
        <v>51.337809092974503</v>
      </c>
      <c r="AL6250">
        <v>90.203988413701396</v>
      </c>
      <c r="AM6250">
        <v>86.573803506516896</v>
      </c>
      <c r="AN6250">
        <v>1.00000001863947</v>
      </c>
    </row>
    <row r="6251" spans="1:40" x14ac:dyDescent="0.25">
      <c r="A6251" t="str">
        <f>"20190312161439662"</f>
        <v>20190312161439662</v>
      </c>
      <c r="B6251" t="str">
        <f>"1552378479652903"</f>
        <v>1552378479652903</v>
      </c>
      <c r="C6251" t="s">
        <v>40</v>
      </c>
      <c r="D6251">
        <v>5.4962049999999998</v>
      </c>
      <c r="E6251">
        <v>0.38766699999999998</v>
      </c>
      <c r="F6251" t="s">
        <v>107</v>
      </c>
      <c r="G6251">
        <v>-236.3777</v>
      </c>
      <c r="H6251" s="1">
        <v>-2.5151100000000001E-6</v>
      </c>
      <c r="I6251">
        <v>-55.918939999999999</v>
      </c>
      <c r="J6251">
        <v>-283.26659999999998</v>
      </c>
      <c r="K6251">
        <v>1.1134040000000001</v>
      </c>
      <c r="L6251">
        <v>-66.112210000000005</v>
      </c>
      <c r="M6251">
        <v>0.99978060000000002</v>
      </c>
      <c r="N6251">
        <v>0</v>
      </c>
      <c r="O6251">
        <v>-1.5625710000000001E-2</v>
      </c>
      <c r="P6251">
        <v>0.99696090000000004</v>
      </c>
      <c r="Q6251">
        <v>-1.775415E-2</v>
      </c>
      <c r="R6251">
        <v>-7.5853480000000001E-2</v>
      </c>
      <c r="S6251">
        <v>3.06073</v>
      </c>
      <c r="T6251">
        <v>-7.25441E-2</v>
      </c>
      <c r="U6251">
        <v>0.66421509999999995</v>
      </c>
      <c r="V6251">
        <v>6.029147E-2</v>
      </c>
      <c r="W6251">
        <v>-3.3855980000000001E-3</v>
      </c>
      <c r="X6251">
        <v>0.99817509999999998</v>
      </c>
      <c r="Y6251">
        <v>-0.22725629999999999</v>
      </c>
      <c r="Z6251">
        <v>3.0280429999999998E-3</v>
      </c>
      <c r="AA6251">
        <v>0.97383030000000004</v>
      </c>
      <c r="AB6251">
        <v>19</v>
      </c>
      <c r="AC6251">
        <v>46.8888999999999</v>
      </c>
      <c r="AD6251">
        <v>-1.1134065151100001</v>
      </c>
      <c r="AE6251">
        <v>10.19327</v>
      </c>
      <c r="AF6251">
        <v>-10.9188900811558</v>
      </c>
      <c r="AG6251">
        <v>-1.1134065151100001</v>
      </c>
      <c r="AH6251">
        <v>46.698738619854197</v>
      </c>
      <c r="AI6251">
        <v>91.329949031598304</v>
      </c>
      <c r="AJ6251">
        <v>103.160220548108</v>
      </c>
      <c r="AK6251">
        <v>47.971179090759499</v>
      </c>
      <c r="AL6251">
        <v>90.193980841879295</v>
      </c>
      <c r="AM6251">
        <v>86.543437202252406</v>
      </c>
      <c r="AN6251">
        <v>1.0000000269442899</v>
      </c>
    </row>
    <row r="6252" spans="1:40" x14ac:dyDescent="0.25">
      <c r="A6252" t="str">
        <f>"20190312161439674"</f>
        <v>20190312161439674</v>
      </c>
      <c r="B6252" t="str">
        <f>"1552378479662663"</f>
        <v>1552378479662663</v>
      </c>
      <c r="C6252" t="s">
        <v>40</v>
      </c>
      <c r="D6252">
        <v>5.4811459999999999</v>
      </c>
      <c r="E6252">
        <v>0.3882256</v>
      </c>
      <c r="F6252" t="s">
        <v>107</v>
      </c>
      <c r="G6252">
        <v>-237.52070000000001</v>
      </c>
      <c r="H6252" s="1">
        <v>-2.9711560000000001E-6</v>
      </c>
      <c r="I6252">
        <v>-56.112389999999998</v>
      </c>
      <c r="J6252">
        <v>-283.17380000000003</v>
      </c>
      <c r="K6252">
        <v>1.1133139999999999</v>
      </c>
      <c r="L6252">
        <v>-66.109989999999996</v>
      </c>
      <c r="M6252">
        <v>0.99982479999999996</v>
      </c>
      <c r="N6252">
        <v>0</v>
      </c>
      <c r="O6252">
        <v>-1.2517459999999999E-2</v>
      </c>
      <c r="P6252">
        <v>0.99714449999999999</v>
      </c>
      <c r="Q6252">
        <v>-1.7808350000000001E-2</v>
      </c>
      <c r="R6252">
        <v>-7.3389800000000005E-2</v>
      </c>
      <c r="S6252">
        <v>3.0586850000000001</v>
      </c>
      <c r="T6252">
        <v>-7.4445250000000004E-2</v>
      </c>
      <c r="U6252">
        <v>0.66860959999999903</v>
      </c>
      <c r="V6252">
        <v>6.0927920000000003E-2</v>
      </c>
      <c r="W6252">
        <v>-3.4693110000000001E-3</v>
      </c>
      <c r="X6252">
        <v>0.99813620000000003</v>
      </c>
      <c r="Y6252">
        <v>-0.22569700000000001</v>
      </c>
      <c r="Z6252">
        <v>3.015368E-3</v>
      </c>
      <c r="AA6252">
        <v>0.97419290000000003</v>
      </c>
      <c r="AB6252">
        <v>19</v>
      </c>
      <c r="AC6252">
        <v>45.653100000000002</v>
      </c>
      <c r="AD6252">
        <v>-1.11331697115599</v>
      </c>
      <c r="AE6252">
        <v>9.9975999999999896</v>
      </c>
      <c r="AF6252">
        <v>-10.562338814390699</v>
      </c>
      <c r="AG6252">
        <v>-1.11331697115599</v>
      </c>
      <c r="AH6252">
        <v>45.498546167262298</v>
      </c>
      <c r="AI6252">
        <v>91.3654117685725</v>
      </c>
      <c r="AJ6252">
        <v>103.069528569544</v>
      </c>
      <c r="AK6252">
        <v>46.721731338240801</v>
      </c>
      <c r="AL6252">
        <v>90.198777264814396</v>
      </c>
      <c r="AM6252">
        <v>86.506903043498298</v>
      </c>
      <c r="AN6252">
        <v>1.00000006065238</v>
      </c>
    </row>
    <row r="6253" spans="1:40" x14ac:dyDescent="0.25">
      <c r="A6253" t="str">
        <f>"20190312161439685"</f>
        <v>20190312161439685</v>
      </c>
      <c r="B6253" t="str">
        <f>"1552378479683158"</f>
        <v>1552378479683158</v>
      </c>
      <c r="C6253" t="s">
        <v>40</v>
      </c>
      <c r="D6253">
        <v>5.487158</v>
      </c>
      <c r="E6253">
        <v>0.38930779999999998</v>
      </c>
      <c r="F6253" t="s">
        <v>107</v>
      </c>
      <c r="G6253">
        <v>-237.07980000000001</v>
      </c>
      <c r="H6253" s="1">
        <v>-2.8052240000000001E-6</v>
      </c>
      <c r="I6253">
        <v>-55.98151</v>
      </c>
      <c r="J6253">
        <v>-283.07830000000001</v>
      </c>
      <c r="K6253">
        <v>1.1132230000000001</v>
      </c>
      <c r="L6253">
        <v>-66.10754</v>
      </c>
      <c r="M6253">
        <v>0.99985950000000001</v>
      </c>
      <c r="N6253">
        <v>0</v>
      </c>
      <c r="O6253">
        <v>-9.3773050000000007E-3</v>
      </c>
      <c r="P6253">
        <v>0.9973263</v>
      </c>
      <c r="Q6253">
        <v>-1.7778909999999998E-2</v>
      </c>
      <c r="R6253">
        <v>-7.0881550000000001E-2</v>
      </c>
      <c r="S6253">
        <v>3.056702</v>
      </c>
      <c r="T6253">
        <v>-7.3829049999999993E-2</v>
      </c>
      <c r="U6253">
        <v>0.67166139999999996</v>
      </c>
      <c r="V6253">
        <v>6.1551219999999997E-2</v>
      </c>
      <c r="W6253">
        <v>-3.470065E-3</v>
      </c>
      <c r="X6253">
        <v>0.99809789999999998</v>
      </c>
      <c r="Y6253">
        <v>-0.22369929999999999</v>
      </c>
      <c r="Z6253">
        <v>2.89317E-3</v>
      </c>
      <c r="AA6253">
        <v>0.97465389999999996</v>
      </c>
      <c r="AB6253">
        <v>19</v>
      </c>
      <c r="AC6253">
        <v>45.9985</v>
      </c>
      <c r="AD6253">
        <v>-1.1132258052239901</v>
      </c>
      <c r="AE6253">
        <v>10.12603</v>
      </c>
      <c r="AF6253">
        <v>-10.551074115049</v>
      </c>
      <c r="AG6253">
        <v>-1.1132258052239901</v>
      </c>
      <c r="AH6253">
        <v>45.875885308001898</v>
      </c>
      <c r="AI6253">
        <v>91.3547143145055</v>
      </c>
      <c r="AJ6253">
        <v>102.952314349914</v>
      </c>
      <c r="AK6253">
        <v>47.086742183629703</v>
      </c>
      <c r="AL6253">
        <v>90.198820476953799</v>
      </c>
      <c r="AM6253">
        <v>86.471123012367698</v>
      </c>
      <c r="AN6253">
        <v>1.0000000060095</v>
      </c>
    </row>
    <row r="6254" spans="1:40" x14ac:dyDescent="0.25">
      <c r="A6254" t="str">
        <f>"20190312161439696"</f>
        <v>20190312161439696</v>
      </c>
      <c r="B6254" t="str">
        <f>"1552378479692918"</f>
        <v>1552378479692918</v>
      </c>
      <c r="C6254" t="s">
        <v>40</v>
      </c>
      <c r="D6254">
        <v>5.4927260000000002</v>
      </c>
      <c r="E6254">
        <v>0.38930779999999998</v>
      </c>
      <c r="F6254" t="s">
        <v>107</v>
      </c>
      <c r="G6254">
        <v>-237.62729999999999</v>
      </c>
      <c r="H6254" s="1">
        <v>-3.0145020000000002E-6</v>
      </c>
      <c r="I6254">
        <v>-56.125950000000003</v>
      </c>
      <c r="J6254">
        <v>-282.9846</v>
      </c>
      <c r="K6254">
        <v>1.1131359999999999</v>
      </c>
      <c r="L6254">
        <v>-66.104889999999997</v>
      </c>
      <c r="M6254">
        <v>0.99988319999999997</v>
      </c>
      <c r="N6254">
        <v>0</v>
      </c>
      <c r="O6254">
        <v>-6.4061839999999997E-3</v>
      </c>
      <c r="P6254">
        <v>0.99749690000000002</v>
      </c>
      <c r="Q6254">
        <v>-1.799309E-2</v>
      </c>
      <c r="R6254">
        <v>-6.838437E-2</v>
      </c>
      <c r="S6254">
        <v>3.0543819999999999</v>
      </c>
      <c r="T6254">
        <v>-7.4810740000000001E-2</v>
      </c>
      <c r="U6254">
        <v>0.67077640000000005</v>
      </c>
      <c r="V6254">
        <v>6.2018959999999998E-2</v>
      </c>
      <c r="W6254">
        <v>-3.7143179999999999E-3</v>
      </c>
      <c r="X6254">
        <v>0.99806799999999996</v>
      </c>
      <c r="Y6254">
        <v>-0.22068779999999999</v>
      </c>
      <c r="Z6254">
        <v>2.8255110000000002E-3</v>
      </c>
      <c r="AA6254">
        <v>0.9753404</v>
      </c>
      <c r="AB6254">
        <v>19</v>
      </c>
      <c r="AC6254">
        <v>45.357300000000002</v>
      </c>
      <c r="AD6254">
        <v>-1.1131390145019999</v>
      </c>
      <c r="AE6254">
        <v>9.9789399999999908</v>
      </c>
      <c r="AF6254">
        <v>-10.2634342288254</v>
      </c>
      <c r="AG6254">
        <v>-1.1131390145019999</v>
      </c>
      <c r="AH6254">
        <v>45.266431288113097</v>
      </c>
      <c r="AI6254">
        <v>91.3738105543122</v>
      </c>
      <c r="AJ6254">
        <v>102.774906120362</v>
      </c>
      <c r="AK6254">
        <v>46.4287299222851</v>
      </c>
      <c r="AL6254">
        <v>90.212815247259798</v>
      </c>
      <c r="AM6254">
        <v>86.444268664393505</v>
      </c>
      <c r="AN6254">
        <v>0.99999994009084103</v>
      </c>
    </row>
    <row r="6255" spans="1:40" x14ac:dyDescent="0.25">
      <c r="A6255" t="str">
        <f>"20190312161439708"</f>
        <v>20190312161439708</v>
      </c>
      <c r="B6255" t="str">
        <f>"1552378479702681"</f>
        <v>1552378479702681</v>
      </c>
      <c r="C6255" t="s">
        <v>40</v>
      </c>
      <c r="D6255">
        <v>5.4785199999999996</v>
      </c>
      <c r="E6255">
        <v>0.39503050000000001</v>
      </c>
      <c r="F6255" t="s">
        <v>107</v>
      </c>
      <c r="G6255">
        <v>-238.1037</v>
      </c>
      <c r="H6255" s="1">
        <v>-3.2179129999999999E-6</v>
      </c>
      <c r="I6255">
        <v>-56.131239999999998</v>
      </c>
      <c r="J6255">
        <v>-282.88690000000003</v>
      </c>
      <c r="K6255">
        <v>1.1130469999999999</v>
      </c>
      <c r="L6255">
        <v>-66.101959999999906</v>
      </c>
      <c r="M6255">
        <v>0.99989839999999997</v>
      </c>
      <c r="N6255">
        <v>0</v>
      </c>
      <c r="O6255">
        <v>-3.3432079999999999E-3</v>
      </c>
      <c r="P6255">
        <v>0.997664</v>
      </c>
      <c r="Q6255">
        <v>-1.7971460000000002E-2</v>
      </c>
      <c r="R6255">
        <v>-6.5907919999999995E-2</v>
      </c>
      <c r="S6255">
        <v>3.052673</v>
      </c>
      <c r="T6255">
        <v>-7.5712559999999998E-2</v>
      </c>
      <c r="U6255">
        <v>0.67837519999999996</v>
      </c>
      <c r="V6255">
        <v>6.2597739999999999E-2</v>
      </c>
      <c r="W6255">
        <v>-3.7230549999999999E-3</v>
      </c>
      <c r="X6255">
        <v>0.99803189999999997</v>
      </c>
      <c r="Y6255">
        <v>-0.22012870000000001</v>
      </c>
      <c r="Z6255">
        <v>2.7784490000000001E-3</v>
      </c>
      <c r="AA6255">
        <v>0.97546690000000003</v>
      </c>
      <c r="AB6255">
        <v>19</v>
      </c>
      <c r="AC6255">
        <v>44.783200000000001</v>
      </c>
      <c r="AD6255">
        <v>-1.113050217913</v>
      </c>
      <c r="AE6255">
        <v>9.9707199999999805</v>
      </c>
      <c r="AF6255">
        <v>-10.1144452802437</v>
      </c>
      <c r="AG6255">
        <v>-1.113050217913</v>
      </c>
      <c r="AH6255">
        <v>44.723290133804298</v>
      </c>
      <c r="AI6255">
        <v>91.390550364163602</v>
      </c>
      <c r="AJ6255">
        <v>102.743416206364</v>
      </c>
      <c r="AK6255">
        <v>45.866257363197597</v>
      </c>
      <c r="AL6255">
        <v>90.213315829958802</v>
      </c>
      <c r="AM6255">
        <v>86.411042339671894</v>
      </c>
      <c r="AN6255">
        <v>1.0000000058046199</v>
      </c>
    </row>
    <row r="6256" spans="1:40" x14ac:dyDescent="0.25">
      <c r="A6256" t="str">
        <f>"20190312161439720"</f>
        <v>20190312161439720</v>
      </c>
      <c r="B6256" t="str">
        <f>"1552378479712438"</f>
        <v>1552378479712438</v>
      </c>
      <c r="C6256" t="s">
        <v>40</v>
      </c>
      <c r="D6256">
        <v>5.485582</v>
      </c>
      <c r="E6256">
        <v>0.39598270000000002</v>
      </c>
      <c r="F6256" t="s">
        <v>106</v>
      </c>
      <c r="G6256">
        <v>-246.01560000000001</v>
      </c>
      <c r="H6256" s="1">
        <v>-1.9298900000000001E-6</v>
      </c>
      <c r="I6256">
        <v>-58.342410000000001</v>
      </c>
      <c r="J6256">
        <v>-282.79169999999999</v>
      </c>
      <c r="K6256">
        <v>1.112954</v>
      </c>
      <c r="L6256">
        <v>-66.098879999999994</v>
      </c>
      <c r="M6256">
        <v>0.99990409999999996</v>
      </c>
      <c r="N6256">
        <v>0</v>
      </c>
      <c r="O6256">
        <v>-4.9742479999999995E-4</v>
      </c>
      <c r="P6256">
        <v>0.99780310000000005</v>
      </c>
      <c r="Q6256">
        <v>-1.8259040000000001E-2</v>
      </c>
      <c r="R6256">
        <v>-6.3684279999999996E-2</v>
      </c>
      <c r="S6256">
        <v>3.0477289999999999</v>
      </c>
      <c r="T6256">
        <v>-9.2002990000000007E-2</v>
      </c>
      <c r="U6256">
        <v>0.64138790000000001</v>
      </c>
      <c r="V6256">
        <v>6.3214980000000004E-2</v>
      </c>
      <c r="W6256">
        <v>-4.0400080000000003E-3</v>
      </c>
      <c r="X6256">
        <v>0.99799170000000004</v>
      </c>
      <c r="Y6256">
        <v>-0.2063334</v>
      </c>
      <c r="Z6256">
        <v>3.0947679999999999E-3</v>
      </c>
      <c r="AA6256">
        <v>0.97847680000000004</v>
      </c>
      <c r="AB6256">
        <v>19</v>
      </c>
      <c r="AC6256">
        <v>36.7760999999999</v>
      </c>
      <c r="AD6256">
        <v>-1.11295592989</v>
      </c>
      <c r="AE6256">
        <v>7.7564700000000002</v>
      </c>
      <c r="AF6256">
        <v>-7.7679528418550401</v>
      </c>
      <c r="AG6256">
        <v>-1.11295592989</v>
      </c>
      <c r="AH6256">
        <v>36.740021495335803</v>
      </c>
      <c r="AI6256">
        <v>91.697609168529993</v>
      </c>
      <c r="AJ6256">
        <v>101.938243915805</v>
      </c>
      <c r="AK6256">
        <v>37.568722918578203</v>
      </c>
      <c r="AL6256">
        <v>90.231476050170798</v>
      </c>
      <c r="AM6256">
        <v>86.375601975425596</v>
      </c>
      <c r="AN6256">
        <v>0.99999994431496297</v>
      </c>
    </row>
    <row r="6257" spans="1:40" x14ac:dyDescent="0.25">
      <c r="A6257" t="str">
        <f>"20190312161439730"</f>
        <v>20190312161439730</v>
      </c>
      <c r="B6257" t="str">
        <f>"1552378479723173"</f>
        <v>1552378479723173</v>
      </c>
      <c r="C6257" t="s">
        <v>40</v>
      </c>
      <c r="D6257">
        <v>5.4850859999999999</v>
      </c>
      <c r="E6257">
        <v>0.39615420000000001</v>
      </c>
      <c r="F6257" t="s">
        <v>106</v>
      </c>
      <c r="G6257">
        <v>-245.82550000000001</v>
      </c>
      <c r="H6257" s="1">
        <v>-1.851325E-6</v>
      </c>
      <c r="I6257">
        <v>-58.3255699999999</v>
      </c>
      <c r="J6257">
        <v>-282.702</v>
      </c>
      <c r="K6257">
        <v>1.1128720000000001</v>
      </c>
      <c r="L6257">
        <v>-66.095830000000007</v>
      </c>
      <c r="M6257">
        <v>0.99990210000000002</v>
      </c>
      <c r="N6257">
        <v>0</v>
      </c>
      <c r="O6257">
        <v>2.1516999999999999E-3</v>
      </c>
      <c r="P6257">
        <v>0.99793529999999997</v>
      </c>
      <c r="Q6257">
        <v>-1.840441E-2</v>
      </c>
      <c r="R6257">
        <v>-6.1533579999999997E-2</v>
      </c>
      <c r="S6257">
        <v>3.0458069999999999</v>
      </c>
      <c r="T6257">
        <v>-9.1701270000000001E-2</v>
      </c>
      <c r="U6257">
        <v>0.64047240000000005</v>
      </c>
      <c r="V6257">
        <v>6.3708169999999995E-2</v>
      </c>
      <c r="W6257">
        <v>-4.2131019999999998E-3</v>
      </c>
      <c r="X6257">
        <v>0.99795970000000001</v>
      </c>
      <c r="Y6257">
        <v>-0.20358599999999999</v>
      </c>
      <c r="Z6257">
        <v>2.966836E-3</v>
      </c>
      <c r="AA6257">
        <v>0.97905260000000005</v>
      </c>
      <c r="AB6257">
        <v>19</v>
      </c>
      <c r="AC6257">
        <v>36.876499999999901</v>
      </c>
      <c r="AD6257">
        <v>-1.1128738513249901</v>
      </c>
      <c r="AE6257">
        <v>7.7702600000000102</v>
      </c>
      <c r="AF6257">
        <v>-7.6841864999430003</v>
      </c>
      <c r="AG6257">
        <v>-1.1128738513249901</v>
      </c>
      <c r="AH6257">
        <v>36.860991987841203</v>
      </c>
      <c r="AI6257">
        <v>91.692925401514103</v>
      </c>
      <c r="AJ6257">
        <v>101.77545900249</v>
      </c>
      <c r="AK6257">
        <v>37.669854535192499</v>
      </c>
      <c r="AL6257">
        <v>90.241393672085906</v>
      </c>
      <c r="AM6257">
        <v>86.347284632908</v>
      </c>
      <c r="AN6257">
        <v>1.00000002198865</v>
      </c>
    </row>
    <row r="6258" spans="1:40" x14ac:dyDescent="0.25">
      <c r="A6258" t="str">
        <f>"20190312161439741"</f>
        <v>20190312161439741</v>
      </c>
      <c r="B6258" t="str">
        <f>"1552378479732934"</f>
        <v>1552378479732934</v>
      </c>
      <c r="C6258" t="s">
        <v>40</v>
      </c>
      <c r="D6258">
        <v>5.5019679999999997</v>
      </c>
      <c r="E6258">
        <v>0.39636660000000001</v>
      </c>
      <c r="F6258" t="s">
        <v>106</v>
      </c>
      <c r="G6258">
        <v>-245.58869999999999</v>
      </c>
      <c r="H6258" s="1">
        <v>-1.7674819999999999E-6</v>
      </c>
      <c r="I6258">
        <v>-58.225700000000003</v>
      </c>
      <c r="J6258">
        <v>-282.60770000000002</v>
      </c>
      <c r="K6258">
        <v>1.1127899999999999</v>
      </c>
      <c r="L6258">
        <v>-66.092439999999996</v>
      </c>
      <c r="M6258">
        <v>0.99989300000000003</v>
      </c>
      <c r="N6258">
        <v>0</v>
      </c>
      <c r="O6258">
        <v>4.8375179999999999E-3</v>
      </c>
      <c r="P6258">
        <v>0.9980407</v>
      </c>
      <c r="Q6258">
        <v>-1.867504E-2</v>
      </c>
      <c r="R6258">
        <v>-5.9717680000000002E-2</v>
      </c>
      <c r="S6258">
        <v>3.0443419999999999</v>
      </c>
      <c r="T6258">
        <v>-9.1287259999999995E-2</v>
      </c>
      <c r="U6258">
        <v>0.64556880000000005</v>
      </c>
      <c r="V6258">
        <v>6.4573619999999998E-2</v>
      </c>
      <c r="W6258">
        <v>-4.5104999999999998E-3</v>
      </c>
      <c r="X6258">
        <v>0.99790279999999998</v>
      </c>
      <c r="Y6258">
        <v>-0.20262230000000001</v>
      </c>
      <c r="Z6258">
        <v>2.8604189999999999E-3</v>
      </c>
      <c r="AA6258">
        <v>0.97925280000000003</v>
      </c>
      <c r="AB6258">
        <v>19</v>
      </c>
      <c r="AC6258">
        <v>37.018999999999998</v>
      </c>
      <c r="AD6258">
        <v>-1.112791767482</v>
      </c>
      <c r="AE6258">
        <v>7.8667399999999903</v>
      </c>
      <c r="AF6258">
        <v>-7.6809101636416504</v>
      </c>
      <c r="AG6258">
        <v>-1.112791767482</v>
      </c>
      <c r="AH6258">
        <v>37.024615802574402</v>
      </c>
      <c r="AI6258">
        <v>91.685662961239899</v>
      </c>
      <c r="AJ6258">
        <v>101.720002321338</v>
      </c>
      <c r="AK6258">
        <v>37.829312203474601</v>
      </c>
      <c r="AL6258">
        <v>90.258433477477894</v>
      </c>
      <c r="AM6258">
        <v>86.297590525912199</v>
      </c>
      <c r="AN6258">
        <v>1.0000000476289901</v>
      </c>
    </row>
    <row r="6259" spans="1:40" x14ac:dyDescent="0.25">
      <c r="A6259" t="str">
        <f>"20190312161439752"</f>
        <v>20190312161439752</v>
      </c>
      <c r="B6259" t="str">
        <f>"1552378479742694"</f>
        <v>1552378479742694</v>
      </c>
      <c r="C6259" t="s">
        <v>40</v>
      </c>
      <c r="D6259">
        <v>5.4488209999999997</v>
      </c>
      <c r="E6259">
        <v>0.39684419999999998</v>
      </c>
      <c r="F6259" t="s">
        <v>106</v>
      </c>
      <c r="G6259">
        <v>-244.97929999999999</v>
      </c>
      <c r="H6259" s="1">
        <v>-1.5347000000000001E-6</v>
      </c>
      <c r="I6259">
        <v>-58.064039999999999</v>
      </c>
      <c r="J6259">
        <v>-282.51990000000001</v>
      </c>
      <c r="K6259">
        <v>1.112717</v>
      </c>
      <c r="L6259">
        <v>-66.08914</v>
      </c>
      <c r="M6259">
        <v>0.99987839999999995</v>
      </c>
      <c r="N6259">
        <v>0</v>
      </c>
      <c r="O6259">
        <v>7.2897989999999996E-3</v>
      </c>
      <c r="P6259">
        <v>0.99814029999999998</v>
      </c>
      <c r="Q6259">
        <v>-1.87627E-2</v>
      </c>
      <c r="R6259">
        <v>-5.8000959999999997E-2</v>
      </c>
      <c r="S6259">
        <v>3.0430600000000001</v>
      </c>
      <c r="T6259">
        <v>-8.9992879999999997E-2</v>
      </c>
      <c r="U6259">
        <v>0.64926149999999905</v>
      </c>
      <c r="V6259">
        <v>6.5304180000000003E-2</v>
      </c>
      <c r="W6259">
        <v>-4.6230589999999997E-3</v>
      </c>
      <c r="X6259">
        <v>0.99785469999999998</v>
      </c>
      <c r="Y6259">
        <v>-0.20144490000000001</v>
      </c>
      <c r="Z6259">
        <v>2.7317940000000001E-3</v>
      </c>
      <c r="AA6259">
        <v>0.97949609999999998</v>
      </c>
      <c r="AB6259">
        <v>19</v>
      </c>
      <c r="AC6259">
        <v>37.540599999999998</v>
      </c>
      <c r="AD6259">
        <v>-1.1127185346999999</v>
      </c>
      <c r="AE6259">
        <v>8.0250999999999895</v>
      </c>
      <c r="AF6259">
        <v>-7.74469051139722</v>
      </c>
      <c r="AG6259">
        <v>-1.1127185346999999</v>
      </c>
      <c r="AH6259">
        <v>37.566547344655703</v>
      </c>
      <c r="AI6259">
        <v>91.661676645750205</v>
      </c>
      <c r="AJ6259">
        <v>101.648852019993</v>
      </c>
      <c r="AK6259">
        <v>38.372696713327997</v>
      </c>
      <c r="AL6259">
        <v>90.264882711242393</v>
      </c>
      <c r="AM6259">
        <v>86.2556414691349</v>
      </c>
      <c r="AN6259">
        <v>1.0000000054560301</v>
      </c>
    </row>
    <row r="6260" spans="1:40" x14ac:dyDescent="0.25">
      <c r="A6260" t="str">
        <f>"20190312161439763"</f>
        <v>20190312161439763</v>
      </c>
      <c r="B6260" t="str">
        <f>"1552378479752454"</f>
        <v>1552378479752454</v>
      </c>
      <c r="C6260" t="s">
        <v>40</v>
      </c>
      <c r="D6260">
        <v>5.4480130000000004</v>
      </c>
      <c r="E6260">
        <v>0.39684419999999998</v>
      </c>
      <c r="F6260" t="s">
        <v>106</v>
      </c>
      <c r="G6260">
        <v>-244.6232</v>
      </c>
      <c r="H6260" s="1">
        <v>-1.3964000000000001E-6</v>
      </c>
      <c r="I6260">
        <v>-57.982460000000003</v>
      </c>
      <c r="J6260">
        <v>-282.4282</v>
      </c>
      <c r="K6260">
        <v>1.1126400000000001</v>
      </c>
      <c r="L6260">
        <v>-66.085539999999995</v>
      </c>
      <c r="M6260">
        <v>0.99985740000000001</v>
      </c>
      <c r="N6260">
        <v>0</v>
      </c>
      <c r="O6260">
        <v>9.7750760000000006E-3</v>
      </c>
      <c r="P6260">
        <v>0.99823340000000005</v>
      </c>
      <c r="Q6260">
        <v>-1.883868E-2</v>
      </c>
      <c r="R6260">
        <v>-5.6351369999999998E-2</v>
      </c>
      <c r="S6260">
        <v>3.0417179999999999</v>
      </c>
      <c r="T6260">
        <v>-8.9310529999999999E-2</v>
      </c>
      <c r="U6260">
        <v>0.6506653</v>
      </c>
      <c r="V6260">
        <v>6.6135040000000006E-2</v>
      </c>
      <c r="W6260">
        <v>-4.7241649999999998E-3</v>
      </c>
      <c r="X6260">
        <v>0.99779949999999995</v>
      </c>
      <c r="Y6260">
        <v>-0.1995334</v>
      </c>
      <c r="Z6260">
        <v>2.6122739999999999E-3</v>
      </c>
      <c r="AA6260">
        <v>0.97988750000000002</v>
      </c>
      <c r="AB6260">
        <v>19</v>
      </c>
      <c r="AC6260">
        <v>37.805</v>
      </c>
      <c r="AD6260">
        <v>-1.1126413963999999</v>
      </c>
      <c r="AE6260">
        <v>8.1030800000000092</v>
      </c>
      <c r="AF6260">
        <v>-7.7267121796243101</v>
      </c>
      <c r="AG6260">
        <v>-1.1126413963999999</v>
      </c>
      <c r="AH6260">
        <v>37.851063127464798</v>
      </c>
      <c r="AI6260">
        <v>91.649735988814399</v>
      </c>
      <c r="AJ6260">
        <v>101.53753488225399</v>
      </c>
      <c r="AK6260">
        <v>38.647678220859099</v>
      </c>
      <c r="AL6260">
        <v>90.270675722574197</v>
      </c>
      <c r="AM6260">
        <v>86.207931237578705</v>
      </c>
      <c r="AN6260">
        <v>1.00000000172549</v>
      </c>
    </row>
    <row r="6261" spans="1:40" x14ac:dyDescent="0.25">
      <c r="A6261" t="str">
        <f>"20190312161439774"</f>
        <v>20190312161439774</v>
      </c>
      <c r="B6261" t="str">
        <f>"1552378479763190"</f>
        <v>1552378479763190</v>
      </c>
      <c r="C6261" t="s">
        <v>40</v>
      </c>
      <c r="D6261">
        <v>5.4846089999999998</v>
      </c>
      <c r="E6261">
        <v>0.4030823</v>
      </c>
      <c r="F6261" t="s">
        <v>106</v>
      </c>
      <c r="G6261">
        <v>-244.75020000000001</v>
      </c>
      <c r="H6261" s="1">
        <v>-1.4547710000000001E-6</v>
      </c>
      <c r="I6261">
        <v>-57.960709999999999</v>
      </c>
      <c r="J6261">
        <v>-282.33409999999998</v>
      </c>
      <c r="K6261">
        <v>1.1125640000000001</v>
      </c>
      <c r="L6261">
        <v>-66.081699999999998</v>
      </c>
      <c r="M6261">
        <v>0.99983029999999995</v>
      </c>
      <c r="N6261">
        <v>0</v>
      </c>
      <c r="O6261">
        <v>1.225008E-2</v>
      </c>
      <c r="P6261">
        <v>0.99831349999999996</v>
      </c>
      <c r="Q6261">
        <v>-1.9214149999999999E-2</v>
      </c>
      <c r="R6261">
        <v>-5.4782989999999997E-2</v>
      </c>
      <c r="S6261">
        <v>3.040619</v>
      </c>
      <c r="T6261">
        <v>-8.9790339999999996E-2</v>
      </c>
      <c r="U6261">
        <v>0.65567019999999998</v>
      </c>
      <c r="V6261">
        <v>6.7038070000000005E-2</v>
      </c>
      <c r="W6261">
        <v>-5.1248559999999997E-3</v>
      </c>
      <c r="X6261">
        <v>0.99773719999999999</v>
      </c>
      <c r="Y6261">
        <v>-0.1987225</v>
      </c>
      <c r="Z6261">
        <v>2.542744E-3</v>
      </c>
      <c r="AA6261">
        <v>0.98005249999999999</v>
      </c>
      <c r="AB6261">
        <v>19</v>
      </c>
      <c r="AC6261">
        <v>37.5838999999999</v>
      </c>
      <c r="AD6261">
        <v>-1.112565454771</v>
      </c>
      <c r="AE6261">
        <v>8.1209899999999902</v>
      </c>
      <c r="AF6261">
        <v>-7.6535236202552603</v>
      </c>
      <c r="AG6261">
        <v>-1.112565454771</v>
      </c>
      <c r="AH6261">
        <v>37.64905172249</v>
      </c>
      <c r="AI6261">
        <v>91.658744973473603</v>
      </c>
      <c r="AJ6261">
        <v>101.490847968558</v>
      </c>
      <c r="AK6261">
        <v>38.435209395808997</v>
      </c>
      <c r="AL6261">
        <v>90.293633921317493</v>
      </c>
      <c r="AM6261">
        <v>86.1560679427118</v>
      </c>
      <c r="AN6261">
        <v>0.99999994362109101</v>
      </c>
    </row>
    <row r="6262" spans="1:40" x14ac:dyDescent="0.25">
      <c r="A6262" t="str">
        <f>"20190312161439785"</f>
        <v>20190312161439785</v>
      </c>
      <c r="B6262" t="str">
        <f>"1552378479782710"</f>
        <v>1552378479782710</v>
      </c>
      <c r="C6262" t="s">
        <v>40</v>
      </c>
      <c r="D6262">
        <v>5.4329960000000002</v>
      </c>
      <c r="E6262">
        <v>0.4038002</v>
      </c>
      <c r="F6262" t="s">
        <v>105</v>
      </c>
      <c r="G6262">
        <v>-253.55670000000001</v>
      </c>
      <c r="H6262" s="1">
        <v>-6.8502949999999997E-7</v>
      </c>
      <c r="I6262">
        <v>-60.27948</v>
      </c>
      <c r="J6262">
        <v>-282.24099999999999</v>
      </c>
      <c r="K6262">
        <v>1.1124849999999999</v>
      </c>
      <c r="L6262">
        <v>-66.077759999999998</v>
      </c>
      <c r="M6262">
        <v>0.99979850000000003</v>
      </c>
      <c r="N6262">
        <v>0</v>
      </c>
      <c r="O6262">
        <v>1.4646630000000001E-2</v>
      </c>
      <c r="P6262">
        <v>0.99840229999999996</v>
      </c>
      <c r="Q6262">
        <v>-1.9215530000000001E-2</v>
      </c>
      <c r="R6262">
        <v>-5.3141340000000002E-2</v>
      </c>
      <c r="S6262">
        <v>3.0364070000000001</v>
      </c>
      <c r="T6262">
        <v>-0.1173908</v>
      </c>
      <c r="U6262">
        <v>0.61221309999999995</v>
      </c>
      <c r="V6262">
        <v>6.7788169999999995E-2</v>
      </c>
      <c r="W6262">
        <v>-5.1514730000000002E-3</v>
      </c>
      <c r="X6262">
        <v>0.99768639999999997</v>
      </c>
      <c r="Y6262">
        <v>-0.18314559999999999</v>
      </c>
      <c r="Z6262">
        <v>2.9435220000000001E-3</v>
      </c>
      <c r="AA6262">
        <v>0.98308139999999999</v>
      </c>
      <c r="AB6262">
        <v>19</v>
      </c>
      <c r="AC6262">
        <v>28.684299999999901</v>
      </c>
      <c r="AD6262">
        <v>-1.1124856850295</v>
      </c>
      <c r="AE6262">
        <v>5.7982799999999903</v>
      </c>
      <c r="AF6262">
        <v>-5.3697300270780799</v>
      </c>
      <c r="AG6262">
        <v>-1.1124856850295</v>
      </c>
      <c r="AH6262">
        <v>28.724644877848998</v>
      </c>
      <c r="AI6262">
        <v>92.180187798749799</v>
      </c>
      <c r="AJ6262">
        <v>100.58855003095</v>
      </c>
      <c r="AK6262">
        <v>29.2434069205631</v>
      </c>
      <c r="AL6262">
        <v>90.295158977517801</v>
      </c>
      <c r="AM6262">
        <v>86.112991360075995</v>
      </c>
      <c r="AN6262">
        <v>0.99999996320548801</v>
      </c>
    </row>
    <row r="6263" spans="1:40" x14ac:dyDescent="0.25">
      <c r="A6263" t="str">
        <f>"20190312161439799"</f>
        <v>20190312161439799</v>
      </c>
      <c r="B6263" t="str">
        <f>"1552378479792470"</f>
        <v>1552378479792470</v>
      </c>
      <c r="C6263" t="s">
        <v>40</v>
      </c>
      <c r="D6263">
        <v>5.4221719999999998</v>
      </c>
      <c r="E6263">
        <v>0.40437079999999997</v>
      </c>
      <c r="F6263" t="s">
        <v>105</v>
      </c>
      <c r="G6263">
        <v>-253.1224</v>
      </c>
      <c r="H6263" s="1">
        <v>-5.1347650000000003E-7</v>
      </c>
      <c r="I6263">
        <v>-60.21264</v>
      </c>
      <c r="J6263">
        <v>-282.14069999999998</v>
      </c>
      <c r="K6263">
        <v>1.112401</v>
      </c>
      <c r="L6263">
        <v>-66.073300000000003</v>
      </c>
      <c r="M6263">
        <v>0.99975939999999996</v>
      </c>
      <c r="N6263">
        <v>0</v>
      </c>
      <c r="O6263">
        <v>1.7111230000000002E-2</v>
      </c>
      <c r="P6263">
        <v>0.99849949999999998</v>
      </c>
      <c r="Q6263">
        <v>-1.9322559999999999E-2</v>
      </c>
      <c r="R6263">
        <v>-5.1239930000000003E-2</v>
      </c>
      <c r="S6263">
        <v>3.0350649999999999</v>
      </c>
      <c r="T6263">
        <v>-0.1159555</v>
      </c>
      <c r="U6263">
        <v>0.61132810000000004</v>
      </c>
      <c r="V6263">
        <v>6.8347179999999993E-2</v>
      </c>
      <c r="W6263">
        <v>-5.2868619999999998E-3</v>
      </c>
      <c r="X6263">
        <v>0.99764759999999997</v>
      </c>
      <c r="Y6263">
        <v>-0.1805368</v>
      </c>
      <c r="Z6263">
        <v>2.7664619999999999E-3</v>
      </c>
      <c r="AA6263">
        <v>0.98356429999999995</v>
      </c>
      <c r="AB6263">
        <v>19</v>
      </c>
      <c r="AC6263">
        <v>29.018299999999901</v>
      </c>
      <c r="AD6263">
        <v>-1.1124015134765</v>
      </c>
      <c r="AE6263">
        <v>5.8606600000000002</v>
      </c>
      <c r="AF6263">
        <v>-5.3556543555409002</v>
      </c>
      <c r="AG6263">
        <v>-1.1124015134765</v>
      </c>
      <c r="AH6263">
        <v>29.0732934908701</v>
      </c>
      <c r="AI6263">
        <v>92.154957382310798</v>
      </c>
      <c r="AJ6263">
        <v>100.437566193469</v>
      </c>
      <c r="AK6263">
        <v>29.5833883304377</v>
      </c>
      <c r="AL6263">
        <v>90.302916287322105</v>
      </c>
      <c r="AM6263">
        <v>86.080884972965805</v>
      </c>
      <c r="AN6263">
        <v>1.00000001085475</v>
      </c>
    </row>
    <row r="6264" spans="1:40" x14ac:dyDescent="0.25">
      <c r="A6264" t="str">
        <f>"20190312161439810"</f>
        <v>20190312161439810</v>
      </c>
      <c r="B6264" t="str">
        <f>"1552378479803206"</f>
        <v>1552378479803206</v>
      </c>
      <c r="C6264" t="s">
        <v>40</v>
      </c>
      <c r="D6264">
        <v>5.4157000000000002</v>
      </c>
      <c r="E6264">
        <v>0.40468739999999997</v>
      </c>
      <c r="F6264" t="s">
        <v>105</v>
      </c>
      <c r="G6264">
        <v>-253.3535</v>
      </c>
      <c r="H6264" s="1">
        <v>-6.0198450000000001E-7</v>
      </c>
      <c r="I6264">
        <v>-60.2607199999999</v>
      </c>
      <c r="J6264">
        <v>-282.04719999999998</v>
      </c>
      <c r="K6264">
        <v>1.112322</v>
      </c>
      <c r="L6264">
        <v>-66.069090000000003</v>
      </c>
      <c r="M6264">
        <v>0.99971840000000001</v>
      </c>
      <c r="N6264">
        <v>0</v>
      </c>
      <c r="O6264">
        <v>1.9372070000000002E-2</v>
      </c>
      <c r="P6264">
        <v>0.99857189999999996</v>
      </c>
      <c r="Q6264">
        <v>-1.9463729999999999E-2</v>
      </c>
      <c r="R6264">
        <v>-4.9753180000000001E-2</v>
      </c>
      <c r="S6264">
        <v>3.0336910000000001</v>
      </c>
      <c r="T6264">
        <v>-0.117228399999999</v>
      </c>
      <c r="U6264">
        <v>0.6125488</v>
      </c>
      <c r="V6264">
        <v>6.9117440000000002E-2</v>
      </c>
      <c r="W6264">
        <v>-5.4534170000000003E-3</v>
      </c>
      <c r="X6264">
        <v>0.99759359999999997</v>
      </c>
      <c r="Y6264">
        <v>-0.1787791</v>
      </c>
      <c r="Z6264">
        <v>2.677951E-3</v>
      </c>
      <c r="AA6264">
        <v>0.98388560000000003</v>
      </c>
      <c r="AB6264">
        <v>19</v>
      </c>
      <c r="AC6264">
        <v>28.6936999999999</v>
      </c>
      <c r="AD6264">
        <v>-1.1123226019845001</v>
      </c>
      <c r="AE6264">
        <v>5.8083700000000098</v>
      </c>
      <c r="AF6264">
        <v>-5.2438012775589602</v>
      </c>
      <c r="AG6264">
        <v>-1.1123226019845001</v>
      </c>
      <c r="AH6264">
        <v>28.759328135601301</v>
      </c>
      <c r="AI6264">
        <v>92.179030996049505</v>
      </c>
      <c r="AJ6264">
        <v>100.333448370181</v>
      </c>
      <c r="AK6264">
        <v>29.254634986965801</v>
      </c>
      <c r="AL6264">
        <v>90.312459334432603</v>
      </c>
      <c r="AM6264">
        <v>86.036643398047303</v>
      </c>
      <c r="AN6264">
        <v>0.99999997551504405</v>
      </c>
    </row>
    <row r="6265" spans="1:40" x14ac:dyDescent="0.25">
      <c r="A6265" t="str">
        <f>"20190312161439820"</f>
        <v>20190312161439820</v>
      </c>
      <c r="B6265" t="str">
        <f>"1552378479812966"</f>
        <v>1552378479812966</v>
      </c>
      <c r="C6265" t="s">
        <v>40</v>
      </c>
      <c r="D6265">
        <v>5.3894789999999997</v>
      </c>
      <c r="E6265">
        <v>0.405088</v>
      </c>
      <c r="F6265" t="s">
        <v>105</v>
      </c>
      <c r="G6265">
        <v>-252.69560000000001</v>
      </c>
      <c r="H6265" s="1">
        <v>-3.5030810000000001E-7</v>
      </c>
      <c r="I6265">
        <v>-60.122500000000002</v>
      </c>
      <c r="J6265">
        <v>-281.95409999999998</v>
      </c>
      <c r="K6265">
        <v>1.112239</v>
      </c>
      <c r="L6265">
        <v>-66.064700000000002</v>
      </c>
      <c r="M6265">
        <v>0.99967510000000004</v>
      </c>
      <c r="N6265">
        <v>0</v>
      </c>
      <c r="O6265">
        <v>2.1502759999999999E-2</v>
      </c>
      <c r="P6265">
        <v>0.99863120000000005</v>
      </c>
      <c r="Q6265">
        <v>-1.9952419999999998E-2</v>
      </c>
      <c r="R6265">
        <v>-4.8352279999999997E-2</v>
      </c>
      <c r="S6265">
        <v>3.032654</v>
      </c>
      <c r="T6265">
        <v>-0.11492670000000001</v>
      </c>
      <c r="U6265">
        <v>0.61441040000000002</v>
      </c>
      <c r="V6265">
        <v>6.9845009999999999E-2</v>
      </c>
      <c r="W6265">
        <v>-5.9681869999999998E-3</v>
      </c>
      <c r="X6265">
        <v>0.99753999999999998</v>
      </c>
      <c r="Y6265">
        <v>-0.177334299999999</v>
      </c>
      <c r="Z6265">
        <v>2.5192220000000002E-3</v>
      </c>
      <c r="AA6265">
        <v>0.98414740000000001</v>
      </c>
      <c r="AB6265">
        <v>19</v>
      </c>
      <c r="AC6265">
        <v>29.258499999999898</v>
      </c>
      <c r="AD6265">
        <v>-1.1122393503081001</v>
      </c>
      <c r="AE6265">
        <v>5.9421999999999997</v>
      </c>
      <c r="AF6265">
        <v>-5.3042669393008497</v>
      </c>
      <c r="AG6265">
        <v>-1.1122393503081001</v>
      </c>
      <c r="AH6265">
        <v>29.338802014593998</v>
      </c>
      <c r="AI6265">
        <v>92.1364510851094</v>
      </c>
      <c r="AJ6265">
        <v>100.248009241947</v>
      </c>
      <c r="AK6265">
        <v>29.835174338141201</v>
      </c>
      <c r="AL6265">
        <v>90.341953957125895</v>
      </c>
      <c r="AM6265">
        <v>85.994843388410104</v>
      </c>
      <c r="AN6265">
        <v>0.99999999813898299</v>
      </c>
    </row>
    <row r="6266" spans="1:40" x14ac:dyDescent="0.25">
      <c r="A6266" t="str">
        <f>"20190312161439832"</f>
        <v>20190312161439832</v>
      </c>
      <c r="B6266" t="str">
        <f>"1552378479822727"</f>
        <v>1552378479822727</v>
      </c>
      <c r="C6266" t="s">
        <v>40</v>
      </c>
      <c r="D6266">
        <v>5.380808</v>
      </c>
      <c r="E6266">
        <v>0.40543940000000001</v>
      </c>
      <c r="F6266" t="s">
        <v>105</v>
      </c>
      <c r="G6266">
        <v>-252.7955</v>
      </c>
      <c r="H6266" s="1">
        <v>-3.8806510000000002E-7</v>
      </c>
      <c r="I6266">
        <v>-60.145499999999998</v>
      </c>
      <c r="J6266">
        <v>-281.8578</v>
      </c>
      <c r="K6266">
        <v>1.1121559999999999</v>
      </c>
      <c r="L6266">
        <v>-66.060059999999993</v>
      </c>
      <c r="M6266">
        <v>0.99962649999999997</v>
      </c>
      <c r="N6266">
        <v>0</v>
      </c>
      <c r="O6266">
        <v>2.3662849999999999E-2</v>
      </c>
      <c r="P6266">
        <v>0.99868820000000003</v>
      </c>
      <c r="Q6266">
        <v>-2.0241309999999998E-2</v>
      </c>
      <c r="R6266">
        <v>-4.7035929999999997E-2</v>
      </c>
      <c r="S6266">
        <v>3.0316160000000001</v>
      </c>
      <c r="T6266">
        <v>-0.1156392</v>
      </c>
      <c r="U6266">
        <v>0.61541749999999995</v>
      </c>
      <c r="V6266">
        <v>7.0685490000000004E-2</v>
      </c>
      <c r="W6266">
        <v>-6.2834290000000001E-3</v>
      </c>
      <c r="X6266">
        <v>0.9974788</v>
      </c>
      <c r="Y6266">
        <v>-0.17558840000000001</v>
      </c>
      <c r="Z6266">
        <v>2.4212109999999999E-3</v>
      </c>
      <c r="AA6266">
        <v>0.98446069999999997</v>
      </c>
      <c r="AB6266">
        <v>19</v>
      </c>
      <c r="AC6266">
        <v>29.0623</v>
      </c>
      <c r="AD6266">
        <v>-1.1121563880651</v>
      </c>
      <c r="AE6266">
        <v>5.91455999999999</v>
      </c>
      <c r="AF6266">
        <v>-5.2178051836601798</v>
      </c>
      <c r="AG6266">
        <v>-1.1121563880651</v>
      </c>
      <c r="AH6266">
        <v>29.153134220332198</v>
      </c>
      <c r="AI6266">
        <v>92.150563716992096</v>
      </c>
      <c r="AJ6266">
        <v>100.147312683754</v>
      </c>
      <c r="AK6266">
        <v>29.637267377996402</v>
      </c>
      <c r="AL6266">
        <v>90.360016353837494</v>
      </c>
      <c r="AM6266">
        <v>85.946559161773195</v>
      </c>
      <c r="AN6266">
        <v>0.99999993821298705</v>
      </c>
    </row>
    <row r="6267" spans="1:40" x14ac:dyDescent="0.25">
      <c r="A6267" t="str">
        <f>"20190312161439842"</f>
        <v>20190312161439842</v>
      </c>
      <c r="B6267" t="str">
        <f>"1552378479832488"</f>
        <v>1552378479832488</v>
      </c>
      <c r="C6267" t="s">
        <v>40</v>
      </c>
      <c r="D6267">
        <v>5.3629290000000003</v>
      </c>
      <c r="E6267">
        <v>0.4058252</v>
      </c>
      <c r="F6267" t="s">
        <v>105</v>
      </c>
      <c r="G6267">
        <v>-252.52459999999999</v>
      </c>
      <c r="H6267" s="1">
        <v>-2.8361420000000003E-7</v>
      </c>
      <c r="I6267">
        <v>-60.0922699999999</v>
      </c>
      <c r="J6267">
        <v>-281.77330000000001</v>
      </c>
      <c r="K6267">
        <v>1.112082</v>
      </c>
      <c r="L6267">
        <v>-66.055880000000002</v>
      </c>
      <c r="M6267">
        <v>0.99958199999999997</v>
      </c>
      <c r="N6267">
        <v>0</v>
      </c>
      <c r="O6267">
        <v>2.5482899999999999E-2</v>
      </c>
      <c r="P6267">
        <v>0.99873540000000005</v>
      </c>
      <c r="Q6267">
        <v>-2.0004299999999999E-2</v>
      </c>
      <c r="R6267">
        <v>-4.6133149999999998E-2</v>
      </c>
      <c r="S6267">
        <v>3.03064</v>
      </c>
      <c r="T6267">
        <v>-0.1149052</v>
      </c>
      <c r="U6267">
        <v>0.61657709999999999</v>
      </c>
      <c r="V6267">
        <v>7.159778E-2</v>
      </c>
      <c r="W6267">
        <v>-6.0686029999999997E-3</v>
      </c>
      <c r="X6267">
        <v>0.9974151</v>
      </c>
      <c r="Y6267">
        <v>-0.17422290000000001</v>
      </c>
      <c r="Z6267">
        <v>2.3127199999999999E-3</v>
      </c>
      <c r="AA6267">
        <v>0.98470349999999995</v>
      </c>
      <c r="AB6267">
        <v>19</v>
      </c>
      <c r="AC6267">
        <v>29.248699999999999</v>
      </c>
      <c r="AD6267">
        <v>-1.1120822836141999</v>
      </c>
      <c r="AE6267">
        <v>5.9636100000000098</v>
      </c>
      <c r="AF6267">
        <v>-5.2090319819643502</v>
      </c>
      <c r="AG6267">
        <v>-1.1120822836141999</v>
      </c>
      <c r="AH6267">
        <v>29.350447487625601</v>
      </c>
      <c r="AI6267">
        <v>92.136531232491905</v>
      </c>
      <c r="AJ6267">
        <v>100.06389674117599</v>
      </c>
      <c r="AK6267">
        <v>29.829842589569999</v>
      </c>
      <c r="AL6267">
        <v>90.347707482076103</v>
      </c>
      <c r="AM6267">
        <v>85.894160584329796</v>
      </c>
      <c r="AN6267">
        <v>0.99999997587565403</v>
      </c>
    </row>
    <row r="6268" spans="1:40" x14ac:dyDescent="0.25">
      <c r="A6268" t="str">
        <f>"20190312161439852"</f>
        <v>20190312161439852</v>
      </c>
      <c r="B6268" t="str">
        <f>"1552378479843222"</f>
        <v>1552378479843222</v>
      </c>
      <c r="C6268" t="s">
        <v>40</v>
      </c>
      <c r="D6268">
        <v>5.3579179999999997</v>
      </c>
      <c r="E6268">
        <v>0.4060802</v>
      </c>
      <c r="F6268" t="s">
        <v>105</v>
      </c>
      <c r="G6268">
        <v>-252.19470000000001</v>
      </c>
      <c r="H6268" s="1">
        <v>-1.535175E-7</v>
      </c>
      <c r="I6268">
        <v>-60.040719999999901</v>
      </c>
      <c r="J6268">
        <v>-281.68239999999997</v>
      </c>
      <c r="K6268">
        <v>1.1120049999999999</v>
      </c>
      <c r="L6268">
        <v>-66.051270000000002</v>
      </c>
      <c r="M6268">
        <v>0.99953170000000002</v>
      </c>
      <c r="N6268">
        <v>0</v>
      </c>
      <c r="O6268">
        <v>2.7389299999999998E-2</v>
      </c>
      <c r="P6268">
        <v>0.99878420000000001</v>
      </c>
      <c r="Q6268">
        <v>-2.016449E-2</v>
      </c>
      <c r="R6268">
        <v>-4.498452E-2</v>
      </c>
      <c r="S6268">
        <v>3.0299680000000002</v>
      </c>
      <c r="T6268">
        <v>-0.1139193</v>
      </c>
      <c r="U6268">
        <v>0.61618039999999996</v>
      </c>
      <c r="V6268">
        <v>7.2352410000000006E-2</v>
      </c>
      <c r="W6268">
        <v>-6.2531569999999996E-3</v>
      </c>
      <c r="X6268">
        <v>0.99735949999999995</v>
      </c>
      <c r="Y6268">
        <v>-0.17226759999999999</v>
      </c>
      <c r="Z6268">
        <v>2.1862259999999999E-3</v>
      </c>
      <c r="AA6268">
        <v>0.98504780000000003</v>
      </c>
      <c r="AB6268">
        <v>19</v>
      </c>
      <c r="AC6268">
        <v>29.487699999999901</v>
      </c>
      <c r="AD6268">
        <v>-1.1120051535175</v>
      </c>
      <c r="AE6268">
        <v>6.0105500000000003</v>
      </c>
      <c r="AF6268">
        <v>-5.1934809511157098</v>
      </c>
      <c r="AG6268">
        <v>-1.1120051535175</v>
      </c>
      <c r="AH6268">
        <v>29.600859162677001</v>
      </c>
      <c r="AI6268">
        <v>92.119060948074207</v>
      </c>
      <c r="AJ6268">
        <v>99.951279724494299</v>
      </c>
      <c r="AK6268">
        <v>30.073570839188601</v>
      </c>
      <c r="AL6268">
        <v>90.358281849452695</v>
      </c>
      <c r="AM6268">
        <v>85.850805496378001</v>
      </c>
      <c r="AN6268">
        <v>0.99999997272276198</v>
      </c>
    </row>
    <row r="6269" spans="1:40" x14ac:dyDescent="0.25">
      <c r="A6269" t="str">
        <f>"20190312161439863"</f>
        <v>20190312161439863</v>
      </c>
      <c r="B6269" t="str">
        <f>"1552378479852982"</f>
        <v>1552378479852982</v>
      </c>
      <c r="C6269" t="s">
        <v>40</v>
      </c>
      <c r="D6269">
        <v>5.3602410000000003</v>
      </c>
      <c r="E6269">
        <v>0.4060802</v>
      </c>
      <c r="F6269" t="s">
        <v>105</v>
      </c>
      <c r="G6269">
        <v>-252.15520000000001</v>
      </c>
      <c r="H6269" s="1">
        <v>-1.3877320000000001E-7</v>
      </c>
      <c r="I6269">
        <v>-60.030709999999999</v>
      </c>
      <c r="J6269">
        <v>-281.59210000000002</v>
      </c>
      <c r="K6269">
        <v>1.1119300000000001</v>
      </c>
      <c r="L6269">
        <v>-66.046660000000003</v>
      </c>
      <c r="M6269">
        <v>0.99948009999999998</v>
      </c>
      <c r="N6269">
        <v>0</v>
      </c>
      <c r="O6269">
        <v>2.921692E-2</v>
      </c>
      <c r="P6269">
        <v>0.99882329999999997</v>
      </c>
      <c r="Q6269">
        <v>-2.0417919999999999E-2</v>
      </c>
      <c r="R6269">
        <v>-4.3988600000000003E-2</v>
      </c>
      <c r="S6269">
        <v>3.029175</v>
      </c>
      <c r="T6269">
        <v>-0.11408</v>
      </c>
      <c r="U6269">
        <v>0.61764529999999995</v>
      </c>
      <c r="V6269">
        <v>7.3181419999999997E-2</v>
      </c>
      <c r="W6269">
        <v>-6.5300660000000002E-3</v>
      </c>
      <c r="X6269">
        <v>0.99729730000000005</v>
      </c>
      <c r="Y6269">
        <v>-0.17097589999999999</v>
      </c>
      <c r="Z6269">
        <v>2.0977050000000001E-3</v>
      </c>
      <c r="AA6269">
        <v>0.98527299999999995</v>
      </c>
      <c r="AB6269">
        <v>19</v>
      </c>
      <c r="AC6269">
        <v>29.436900000000001</v>
      </c>
      <c r="AD6269">
        <v>-1.1119301387731999</v>
      </c>
      <c r="AE6269">
        <v>6.0159500000000001</v>
      </c>
      <c r="AF6269">
        <v>-5.1461974314383703</v>
      </c>
      <c r="AG6269">
        <v>-1.1119301387731999</v>
      </c>
      <c r="AH6269">
        <v>29.559629254015501</v>
      </c>
      <c r="AI6269">
        <v>92.122358073906796</v>
      </c>
      <c r="AJ6269">
        <v>99.875951825408194</v>
      </c>
      <c r="AK6269">
        <v>30.0248466819017</v>
      </c>
      <c r="AL6269">
        <v>90.374147868372106</v>
      </c>
      <c r="AM6269">
        <v>85.803172341323901</v>
      </c>
      <c r="AN6269">
        <v>1.00000003329123</v>
      </c>
    </row>
    <row r="6270" spans="1:40" x14ac:dyDescent="0.25">
      <c r="A6270" t="str">
        <f>"20190312161439875"</f>
        <v>20190312161439875</v>
      </c>
      <c r="B6270" t="str">
        <f>"1552378479872502"</f>
        <v>1552378479872502</v>
      </c>
      <c r="C6270" t="s">
        <v>40</v>
      </c>
      <c r="D6270">
        <v>5.3229579999999999</v>
      </c>
      <c r="E6270">
        <v>0.4108115</v>
      </c>
      <c r="F6270" t="s">
        <v>105</v>
      </c>
      <c r="G6270">
        <v>-252.4014</v>
      </c>
      <c r="H6270" s="1">
        <v>-2.36888E-7</v>
      </c>
      <c r="I6270">
        <v>-60.06456</v>
      </c>
      <c r="J6270">
        <v>-281.4984</v>
      </c>
      <c r="K6270">
        <v>1.1118520000000001</v>
      </c>
      <c r="L6270">
        <v>-66.041719999999998</v>
      </c>
      <c r="M6270">
        <v>0.99942549999999997</v>
      </c>
      <c r="N6270">
        <v>0</v>
      </c>
      <c r="O6270">
        <v>3.1033539999999998E-2</v>
      </c>
      <c r="P6270">
        <v>0.99886750000000002</v>
      </c>
      <c r="Q6270">
        <v>-2.0932760000000002E-2</v>
      </c>
      <c r="R6270">
        <v>-4.2723610000000002E-2</v>
      </c>
      <c r="S6270">
        <v>3.0285030000000002</v>
      </c>
      <c r="T6270">
        <v>-0.11536150000000001</v>
      </c>
      <c r="U6270">
        <v>0.62063599999999997</v>
      </c>
      <c r="V6270">
        <v>7.3731569999999996E-2</v>
      </c>
      <c r="W6270">
        <v>-7.0697579999999998E-3</v>
      </c>
      <c r="X6270">
        <v>0.9972531</v>
      </c>
      <c r="Y6270">
        <v>-0.17016139999999999</v>
      </c>
      <c r="Z6270">
        <v>2.0378190000000002E-3</v>
      </c>
      <c r="AA6270">
        <v>0.98541409999999996</v>
      </c>
      <c r="AB6270">
        <v>19</v>
      </c>
      <c r="AC6270">
        <v>29.097000000000001</v>
      </c>
      <c r="AD6270">
        <v>-1.1118522368879999</v>
      </c>
      <c r="AE6270">
        <v>5.9771599999999898</v>
      </c>
      <c r="AF6270">
        <v>-5.06411882941131</v>
      </c>
      <c r="AG6270">
        <v>-1.1118522368879999</v>
      </c>
      <c r="AH6270">
        <v>29.227543629068201</v>
      </c>
      <c r="AI6270">
        <v>92.146599945476396</v>
      </c>
      <c r="AJ6270">
        <v>99.829779052136502</v>
      </c>
      <c r="AK6270">
        <v>29.683847821739</v>
      </c>
      <c r="AL6270">
        <v>90.405070655513398</v>
      </c>
      <c r="AM6270">
        <v>85.771549466834799</v>
      </c>
      <c r="AN6270">
        <v>1.00000003567622</v>
      </c>
    </row>
    <row r="6271" spans="1:40" x14ac:dyDescent="0.25">
      <c r="A6271" t="str">
        <f>"20190312161439886"</f>
        <v>20190312161439886</v>
      </c>
      <c r="B6271" t="str">
        <f>"1552378479883238"</f>
        <v>1552378479883238</v>
      </c>
      <c r="C6271" t="s">
        <v>40</v>
      </c>
      <c r="D6271">
        <v>5.3253329999999997</v>
      </c>
      <c r="E6271">
        <v>0.41104209999999902</v>
      </c>
      <c r="F6271" t="s">
        <v>105</v>
      </c>
      <c r="G6271">
        <v>-250.19220000000001</v>
      </c>
      <c r="H6271" s="1">
        <v>6.7296109999999998E-7</v>
      </c>
      <c r="I6271">
        <v>-59.97869</v>
      </c>
      <c r="J6271">
        <v>-281.40530000000001</v>
      </c>
      <c r="K6271">
        <v>1.111772</v>
      </c>
      <c r="L6271">
        <v>-66.036799999999999</v>
      </c>
      <c r="M6271">
        <v>0.99936970000000003</v>
      </c>
      <c r="N6271">
        <v>0</v>
      </c>
      <c r="O6271">
        <v>3.2789069999999997E-2</v>
      </c>
      <c r="P6271">
        <v>0.99888999999999994</v>
      </c>
      <c r="Q6271">
        <v>-2.1626340000000001E-2</v>
      </c>
      <c r="R6271">
        <v>-4.1849959999999999E-2</v>
      </c>
      <c r="S6271">
        <v>3.0262449999999999</v>
      </c>
      <c r="T6271">
        <v>-0.1074785</v>
      </c>
      <c r="U6271">
        <v>0.58609009999999995</v>
      </c>
      <c r="V6271">
        <v>7.4611520000000001E-2</v>
      </c>
      <c r="W6271">
        <v>-7.7868119999999997E-3</v>
      </c>
      <c r="X6271">
        <v>0.99718229999999997</v>
      </c>
      <c r="Y6271">
        <v>-0.15776409999999999</v>
      </c>
      <c r="Z6271">
        <v>1.622402E-3</v>
      </c>
      <c r="AA6271">
        <v>0.98747549999999995</v>
      </c>
      <c r="AB6271">
        <v>19</v>
      </c>
      <c r="AC6271">
        <v>31.213100000000001</v>
      </c>
      <c r="AD6271">
        <v>-1.1117713270389</v>
      </c>
      <c r="AE6271">
        <v>6.0581099999999903</v>
      </c>
      <c r="AF6271">
        <v>-5.0251647157683497</v>
      </c>
      <c r="AG6271">
        <v>-1.1117713270389</v>
      </c>
      <c r="AH6271">
        <v>31.356633800275901</v>
      </c>
      <c r="AI6271">
        <v>92.005048145019302</v>
      </c>
      <c r="AJ6271">
        <v>99.1047133571589</v>
      </c>
      <c r="AK6271">
        <v>31.7761986270988</v>
      </c>
      <c r="AL6271">
        <v>90.4461559604988</v>
      </c>
      <c r="AM6271">
        <v>85.720968641162898</v>
      </c>
      <c r="AN6271">
        <v>1.00000002639556</v>
      </c>
    </row>
    <row r="6272" spans="1:40" x14ac:dyDescent="0.25">
      <c r="A6272" t="str">
        <f>"20190312161439898"</f>
        <v>20190312161439898</v>
      </c>
      <c r="B6272" t="str">
        <f>"1552378479892998"</f>
        <v>1552378479892998</v>
      </c>
      <c r="C6272" t="s">
        <v>40</v>
      </c>
      <c r="D6272">
        <v>5.2968060000000001</v>
      </c>
      <c r="E6272">
        <v>0.41150599999999998</v>
      </c>
      <c r="F6272" t="s">
        <v>105</v>
      </c>
      <c r="G6272">
        <v>-250.28989999999999</v>
      </c>
      <c r="H6272" s="1">
        <v>6.469859E-7</v>
      </c>
      <c r="I6272">
        <v>-60.00215</v>
      </c>
      <c r="J6272">
        <v>-281.30829999999997</v>
      </c>
      <c r="K6272">
        <v>1.111693</v>
      </c>
      <c r="L6272">
        <v>-66.03152</v>
      </c>
      <c r="M6272">
        <v>0.99931199999999998</v>
      </c>
      <c r="N6272">
        <v>0</v>
      </c>
      <c r="O6272">
        <v>3.4504199999999999E-2</v>
      </c>
      <c r="P6272">
        <v>0.99891390000000002</v>
      </c>
      <c r="Q6272">
        <v>-2.206926E-2</v>
      </c>
      <c r="R6272">
        <v>-4.1035179999999997E-2</v>
      </c>
      <c r="S6272">
        <v>3.0255740000000002</v>
      </c>
      <c r="T6272">
        <v>-0.1081054</v>
      </c>
      <c r="U6272">
        <v>0.58679199999999998</v>
      </c>
      <c r="V6272">
        <v>7.5509069999999998E-2</v>
      </c>
      <c r="W6272">
        <v>-8.2539380000000006E-3</v>
      </c>
      <c r="X6272">
        <v>0.99711099999999997</v>
      </c>
      <c r="Y6272">
        <v>-0.156332</v>
      </c>
      <c r="Z6272">
        <v>1.5462589999999999E-3</v>
      </c>
      <c r="AA6272">
        <v>0.98770340000000001</v>
      </c>
      <c r="AB6272">
        <v>19</v>
      </c>
      <c r="AC6272">
        <v>31.0183999999999</v>
      </c>
      <c r="AD6272">
        <v>-1.1116923530141001</v>
      </c>
      <c r="AE6272">
        <v>6.0293700000000001</v>
      </c>
      <c r="AF6272">
        <v>-4.94928922978219</v>
      </c>
      <c r="AG6272">
        <v>-1.1116923530141001</v>
      </c>
      <c r="AH6272">
        <v>31.169405494777099</v>
      </c>
      <c r="AI6272">
        <v>92.017400401459696</v>
      </c>
      <c r="AJ6272">
        <v>99.022486291031896</v>
      </c>
      <c r="AK6272">
        <v>31.5794737553625</v>
      </c>
      <c r="AL6272">
        <v>90.472921159587202</v>
      </c>
      <c r="AM6272">
        <v>85.669379590095801</v>
      </c>
      <c r="AN6272">
        <v>1.00000004673288</v>
      </c>
    </row>
    <row r="6273" spans="1:40" x14ac:dyDescent="0.25">
      <c r="A6273" t="str">
        <f>"20190312161439909"</f>
        <v>20190312161439909</v>
      </c>
      <c r="B6273" t="str">
        <f>"1552378479902762"</f>
        <v>1552378479902762</v>
      </c>
      <c r="C6273" t="s">
        <v>40</v>
      </c>
      <c r="D6273">
        <v>5.3176560000000004</v>
      </c>
      <c r="E6273">
        <v>0.41165410000000002</v>
      </c>
      <c r="F6273" t="s">
        <v>105</v>
      </c>
      <c r="G6273">
        <v>-250.4041</v>
      </c>
      <c r="H6273" s="1">
        <v>6.1668419999999897E-7</v>
      </c>
      <c r="I6273">
        <v>-60.049900000000001</v>
      </c>
      <c r="J6273">
        <v>-281.214</v>
      </c>
      <c r="K6273">
        <v>1.111618</v>
      </c>
      <c r="L6273">
        <v>-66.026340000000005</v>
      </c>
      <c r="M6273">
        <v>0.99925430000000004</v>
      </c>
      <c r="N6273">
        <v>0</v>
      </c>
      <c r="O6273">
        <v>3.6138879999999998E-2</v>
      </c>
      <c r="P6273">
        <v>0.99892479999999995</v>
      </c>
      <c r="Q6273">
        <v>-2.2668850000000001E-2</v>
      </c>
      <c r="R6273">
        <v>-4.0439959999999997E-2</v>
      </c>
      <c r="S6273">
        <v>3.024902</v>
      </c>
      <c r="T6273">
        <v>-0.1088122</v>
      </c>
      <c r="U6273">
        <v>0.58547969999999905</v>
      </c>
      <c r="V6273">
        <v>7.6545749999999996E-2</v>
      </c>
      <c r="W6273">
        <v>-8.8767069999999993E-3</v>
      </c>
      <c r="X6273">
        <v>0.99702659999999999</v>
      </c>
      <c r="Y6273">
        <v>-0.15434510000000001</v>
      </c>
      <c r="Z6273">
        <v>1.4632429999999999E-3</v>
      </c>
      <c r="AA6273">
        <v>0.98801589999999995</v>
      </c>
      <c r="AB6273">
        <v>19</v>
      </c>
      <c r="AC6273">
        <v>30.809899999999999</v>
      </c>
      <c r="AD6273">
        <v>-1.1116173833158001</v>
      </c>
      <c r="AE6273">
        <v>5.9764400000000002</v>
      </c>
      <c r="AF6273">
        <v>-4.8529089171132096</v>
      </c>
      <c r="AG6273">
        <v>-1.1116173833158001</v>
      </c>
      <c r="AH6273">
        <v>30.9669227510357</v>
      </c>
      <c r="AI6273">
        <v>92.031091473966995</v>
      </c>
      <c r="AJ6273">
        <v>98.906534178454294</v>
      </c>
      <c r="AK6273">
        <v>31.364577517213501</v>
      </c>
      <c r="AL6273">
        <v>90.508604503948405</v>
      </c>
      <c r="AM6273">
        <v>85.609784273133201</v>
      </c>
      <c r="AN6273">
        <v>1.0000000444388899</v>
      </c>
    </row>
    <row r="6274" spans="1:40" x14ac:dyDescent="0.25">
      <c r="A6274" t="str">
        <f>"20190312161439920"</f>
        <v>20190312161439920</v>
      </c>
      <c r="B6274" t="str">
        <f>"1552378479912518"</f>
        <v>1552378479912518</v>
      </c>
      <c r="C6274" t="s">
        <v>40</v>
      </c>
      <c r="D6274">
        <v>5.2849449999999996</v>
      </c>
      <c r="E6274">
        <v>0.41200779999999998</v>
      </c>
      <c r="F6274" t="s">
        <v>105</v>
      </c>
      <c r="G6274">
        <v>-250.09450000000001</v>
      </c>
      <c r="H6274" s="1">
        <v>7.1168489999999996E-7</v>
      </c>
      <c r="I6274">
        <v>-59.996299999999998</v>
      </c>
      <c r="J6274">
        <v>-281.12150000000003</v>
      </c>
      <c r="K6274">
        <v>1.1115429999999999</v>
      </c>
      <c r="L6274">
        <v>-66.021119999999996</v>
      </c>
      <c r="M6274">
        <v>0.99919959999999997</v>
      </c>
      <c r="N6274">
        <v>0</v>
      </c>
      <c r="O6274">
        <v>3.7629160000000002E-2</v>
      </c>
      <c r="P6274">
        <v>0.99895129999999999</v>
      </c>
      <c r="Q6274">
        <v>-2.2659120000000001E-2</v>
      </c>
      <c r="R6274">
        <v>-3.9790520000000003E-2</v>
      </c>
      <c r="S6274">
        <v>3.0245060000000001</v>
      </c>
      <c r="T6274">
        <v>-0.1080381</v>
      </c>
      <c r="U6274">
        <v>0.58605959999999901</v>
      </c>
      <c r="V6274">
        <v>7.7382740000000005E-2</v>
      </c>
      <c r="W6274">
        <v>-8.8897969999999996E-3</v>
      </c>
      <c r="X6274">
        <v>0.99696180000000001</v>
      </c>
      <c r="Y6274">
        <v>-0.15308099999999999</v>
      </c>
      <c r="Z6274">
        <v>1.3780260000000001E-3</v>
      </c>
      <c r="AA6274">
        <v>0.98821270000000005</v>
      </c>
      <c r="AB6274">
        <v>19</v>
      </c>
      <c r="AC6274">
        <v>31.027000000000001</v>
      </c>
      <c r="AD6274">
        <v>-1.1115422883151</v>
      </c>
      <c r="AE6274">
        <v>6.0248199999999903</v>
      </c>
      <c r="AF6274">
        <v>-4.8469301106481204</v>
      </c>
      <c r="AG6274">
        <v>-1.1115422883151</v>
      </c>
      <c r="AH6274">
        <v>31.193171973237799</v>
      </c>
      <c r="AI6274">
        <v>92.016643437571503</v>
      </c>
      <c r="AJ6274">
        <v>98.832235560405493</v>
      </c>
      <c r="AK6274">
        <v>31.5870580381936</v>
      </c>
      <c r="AL6274">
        <v>90.509354571244003</v>
      </c>
      <c r="AM6274">
        <v>85.561682873934998</v>
      </c>
      <c r="AN6274">
        <v>0.999999973799924</v>
      </c>
    </row>
    <row r="6275" spans="1:40" x14ac:dyDescent="0.25">
      <c r="A6275" t="str">
        <f>"20190312161439932"</f>
        <v>20190312161439932</v>
      </c>
      <c r="B6275" t="str">
        <f>"1552378479923254"</f>
        <v>1552378479923254</v>
      </c>
      <c r="C6275" t="s">
        <v>40</v>
      </c>
      <c r="D6275">
        <v>5.2664390000000001</v>
      </c>
      <c r="E6275">
        <v>0.41231210000000001</v>
      </c>
      <c r="F6275" t="s">
        <v>105</v>
      </c>
      <c r="G6275">
        <v>-250.13149999999999</v>
      </c>
      <c r="H6275" s="1">
        <v>7.0764020000000004E-7</v>
      </c>
      <c r="I6275">
        <v>-60.023899999999998</v>
      </c>
      <c r="J6275">
        <v>-281.03289999999998</v>
      </c>
      <c r="K6275">
        <v>1.1114729999999999</v>
      </c>
      <c r="L6275">
        <v>-66.016139999999993</v>
      </c>
      <c r="M6275">
        <v>0.99914630000000004</v>
      </c>
      <c r="N6275">
        <v>0</v>
      </c>
      <c r="O6275">
        <v>3.902489E-2</v>
      </c>
      <c r="P6275">
        <v>0.99897919999999996</v>
      </c>
      <c r="Q6275">
        <v>-2.278666E-2</v>
      </c>
      <c r="R6275">
        <v>-3.900671E-2</v>
      </c>
      <c r="S6275">
        <v>3.023987</v>
      </c>
      <c r="T6275">
        <v>-0.1084635</v>
      </c>
      <c r="U6275">
        <v>0.58520509999999903</v>
      </c>
      <c r="V6275">
        <v>7.7992149999999996E-2</v>
      </c>
      <c r="W6275">
        <v>-9.0391800000000008E-3</v>
      </c>
      <c r="X6275">
        <v>0.99691300000000005</v>
      </c>
      <c r="Y6275">
        <v>-0.15146409999999999</v>
      </c>
      <c r="Z6275">
        <v>1.3055250000000001E-3</v>
      </c>
      <c r="AA6275">
        <v>0.9884619</v>
      </c>
      <c r="AB6275">
        <v>19</v>
      </c>
      <c r="AC6275">
        <v>30.901399999999899</v>
      </c>
      <c r="AD6275">
        <v>-1.1114722923597999</v>
      </c>
      <c r="AE6275">
        <v>5.9922400000000096</v>
      </c>
      <c r="AF6275">
        <v>-4.7756854698818296</v>
      </c>
      <c r="AG6275">
        <v>-1.1114722923597999</v>
      </c>
      <c r="AH6275">
        <v>31.0729812281559</v>
      </c>
      <c r="AI6275">
        <v>92.024826527912893</v>
      </c>
      <c r="AJ6275">
        <v>98.737564247495996</v>
      </c>
      <c r="AK6275">
        <v>31.457474545316799</v>
      </c>
      <c r="AL6275">
        <v>90.517913914210993</v>
      </c>
      <c r="AM6275">
        <v>85.526653153695804</v>
      </c>
      <c r="AN6275">
        <v>1.00000000590284</v>
      </c>
    </row>
    <row r="6276" spans="1:40" x14ac:dyDescent="0.25">
      <c r="A6276" t="str">
        <f>"20190312161439941"</f>
        <v>20190312161439941</v>
      </c>
      <c r="B6276" t="str">
        <f>"1552378479933014"</f>
        <v>1552378479933014</v>
      </c>
      <c r="C6276" t="s">
        <v>40</v>
      </c>
      <c r="D6276">
        <v>5.2842209999999996</v>
      </c>
      <c r="E6276">
        <v>0.41268169999999998</v>
      </c>
      <c r="F6276" t="s">
        <v>105</v>
      </c>
      <c r="G6276">
        <v>-250.28270000000001</v>
      </c>
      <c r="H6276" s="1">
        <v>6.6878159999999896E-7</v>
      </c>
      <c r="I6276">
        <v>-60.06456</v>
      </c>
      <c r="J6276">
        <v>-280.9425</v>
      </c>
      <c r="K6276">
        <v>1.1114090000000001</v>
      </c>
      <c r="L6276">
        <v>-66.010990000000007</v>
      </c>
      <c r="M6276">
        <v>0.9990928</v>
      </c>
      <c r="N6276">
        <v>0</v>
      </c>
      <c r="O6276">
        <v>4.0374809999999997E-2</v>
      </c>
      <c r="P6276">
        <v>0.99899210000000005</v>
      </c>
      <c r="Q6276">
        <v>-2.2975869999999999E-2</v>
      </c>
      <c r="R6276">
        <v>-3.8563859999999998E-2</v>
      </c>
      <c r="S6276">
        <v>3.0234380000000001</v>
      </c>
      <c r="T6276">
        <v>-0.1092827</v>
      </c>
      <c r="U6276">
        <v>0.58517459999999999</v>
      </c>
      <c r="V6276">
        <v>7.8895809999999997E-2</v>
      </c>
      <c r="W6276">
        <v>-9.2491789999999997E-3</v>
      </c>
      <c r="X6276">
        <v>0.9968399</v>
      </c>
      <c r="Y6276">
        <v>-0.15015300000000001</v>
      </c>
      <c r="Z6276">
        <v>1.2439300000000001E-3</v>
      </c>
      <c r="AA6276">
        <v>0.98866200000000004</v>
      </c>
      <c r="AB6276">
        <v>19</v>
      </c>
      <c r="AC6276">
        <v>30.659799999999901</v>
      </c>
      <c r="AD6276">
        <v>-1.11140833121839</v>
      </c>
      <c r="AE6276">
        <v>5.9464300000000003</v>
      </c>
      <c r="AF6276">
        <v>-4.6976341607666097</v>
      </c>
      <c r="AG6276">
        <v>-1.11140833121839</v>
      </c>
      <c r="AH6276">
        <v>30.8358529491057</v>
      </c>
      <c r="AI6276">
        <v>92.040678353100901</v>
      </c>
      <c r="AJ6276">
        <v>98.662024447580507</v>
      </c>
      <c r="AK6276">
        <v>31.2114213435718</v>
      </c>
      <c r="AL6276">
        <v>90.529946507927406</v>
      </c>
      <c r="AM6276">
        <v>85.474706071554095</v>
      </c>
      <c r="AN6276">
        <v>0.99999994118986801</v>
      </c>
    </row>
    <row r="6277" spans="1:40" x14ac:dyDescent="0.25">
      <c r="A6277" t="str">
        <f>"20190312161439953"</f>
        <v>20190312161439953</v>
      </c>
      <c r="B6277" t="str">
        <f>"1552378479942774"</f>
        <v>1552378479942774</v>
      </c>
      <c r="C6277" t="s">
        <v>40</v>
      </c>
      <c r="D6277">
        <v>5.2512319999999999</v>
      </c>
      <c r="E6277">
        <v>0.41288989999999998</v>
      </c>
      <c r="F6277" t="s">
        <v>105</v>
      </c>
      <c r="G6277">
        <v>-250.66309999999999</v>
      </c>
      <c r="H6277" s="1">
        <v>5.3107959999999999E-7</v>
      </c>
      <c r="I6277">
        <v>-60.165349999999997</v>
      </c>
      <c r="J6277">
        <v>-280.85050000000001</v>
      </c>
      <c r="K6277">
        <v>1.111351</v>
      </c>
      <c r="L6277">
        <v>-66.005650000000003</v>
      </c>
      <c r="M6277">
        <v>0.99903830000000005</v>
      </c>
      <c r="N6277">
        <v>0</v>
      </c>
      <c r="O6277">
        <v>4.1701259999999997E-2</v>
      </c>
      <c r="P6277">
        <v>0.99900990000000001</v>
      </c>
      <c r="Q6277">
        <v>-2.3464059999999998E-2</v>
      </c>
      <c r="R6277">
        <v>-3.7802219999999997E-2</v>
      </c>
      <c r="S6277">
        <v>3.0230410000000001</v>
      </c>
      <c r="T6277">
        <v>-0.1109612</v>
      </c>
      <c r="U6277">
        <v>0.58361819999999998</v>
      </c>
      <c r="V6277">
        <v>7.9458529999999999E-2</v>
      </c>
      <c r="W6277">
        <v>-9.7583919999999994E-3</v>
      </c>
      <c r="X6277">
        <v>0.99679039999999997</v>
      </c>
      <c r="Y6277">
        <v>-0.14837349999999999</v>
      </c>
      <c r="Z6277">
        <v>1.18279E-3</v>
      </c>
      <c r="AA6277">
        <v>0.98893070000000005</v>
      </c>
      <c r="AB6277">
        <v>19</v>
      </c>
      <c r="AC6277">
        <v>30.1874</v>
      </c>
      <c r="AD6277">
        <v>-1.1113504689203999</v>
      </c>
      <c r="AE6277">
        <v>5.8403</v>
      </c>
      <c r="AF6277">
        <v>-4.5702797824108101</v>
      </c>
      <c r="AG6277">
        <v>-1.1113504689203999</v>
      </c>
      <c r="AH6277">
        <v>30.365035784450299</v>
      </c>
      <c r="AI6277">
        <v>92.072745942052293</v>
      </c>
      <c r="AJ6277">
        <v>98.559411884332903</v>
      </c>
      <c r="AK6277">
        <v>30.727153388253001</v>
      </c>
      <c r="AL6277">
        <v>90.559123554531197</v>
      </c>
      <c r="AM6277">
        <v>85.442339787823002</v>
      </c>
      <c r="AN6277">
        <v>0.99999999286817298</v>
      </c>
    </row>
    <row r="6278" spans="1:40" x14ac:dyDescent="0.25">
      <c r="A6278" t="str">
        <f>"20190312161439964"</f>
        <v>20190312161439964</v>
      </c>
      <c r="B6278" t="str">
        <f>"1552378479952534"</f>
        <v>1552378479952534</v>
      </c>
      <c r="C6278" t="s">
        <v>40</v>
      </c>
      <c r="D6278">
        <v>5.2716629999999904</v>
      </c>
      <c r="E6278">
        <v>0.41322789999999998</v>
      </c>
      <c r="F6278" t="s">
        <v>105</v>
      </c>
      <c r="G6278">
        <v>-250.9487</v>
      </c>
      <c r="H6278" s="1">
        <v>4.219749E-7</v>
      </c>
      <c r="I6278">
        <v>-60.226010000000002</v>
      </c>
      <c r="J6278">
        <v>-280.75670000000002</v>
      </c>
      <c r="K6278">
        <v>1.1112899999999999</v>
      </c>
      <c r="L6278">
        <v>-66.000209999999996</v>
      </c>
      <c r="M6278">
        <v>0.99898350000000002</v>
      </c>
      <c r="N6278">
        <v>0</v>
      </c>
      <c r="O6278">
        <v>4.2998189999999999E-2</v>
      </c>
      <c r="P6278">
        <v>0.99903209999999998</v>
      </c>
      <c r="Q6278">
        <v>-2.399956E-2</v>
      </c>
      <c r="R6278">
        <v>-3.6865200000000001E-2</v>
      </c>
      <c r="S6278">
        <v>3.0224299999999999</v>
      </c>
      <c r="T6278">
        <v>-0.1123338</v>
      </c>
      <c r="U6278">
        <v>0.584198</v>
      </c>
      <c r="V6278">
        <v>7.9817089999999993E-2</v>
      </c>
      <c r="W6278">
        <v>-1.031468E-2</v>
      </c>
      <c r="X6278">
        <v>0.99675610000000003</v>
      </c>
      <c r="Y6278">
        <v>-0.14730950000000001</v>
      </c>
      <c r="Z6278">
        <v>1.1304240000000001E-3</v>
      </c>
      <c r="AA6278">
        <v>0.98908980000000002</v>
      </c>
      <c r="AB6278">
        <v>19</v>
      </c>
      <c r="AC6278">
        <v>29.808</v>
      </c>
      <c r="AD6278">
        <v>-1.1112895780251</v>
      </c>
      <c r="AE6278">
        <v>5.7742000000000004</v>
      </c>
      <c r="AF6278">
        <v>-4.4810483143750401</v>
      </c>
      <c r="AG6278">
        <v>-1.1112895780251</v>
      </c>
      <c r="AH6278">
        <v>29.9885558336907</v>
      </c>
      <c r="AI6278">
        <v>92.098963429451402</v>
      </c>
      <c r="AJ6278">
        <v>98.498558396439407</v>
      </c>
      <c r="AK6278">
        <v>30.341856230500699</v>
      </c>
      <c r="AL6278">
        <v>90.590998145450001</v>
      </c>
      <c r="AM6278">
        <v>85.421703513436398</v>
      </c>
      <c r="AN6278">
        <v>0.99999994168338802</v>
      </c>
    </row>
    <row r="6279" spans="1:40" x14ac:dyDescent="0.25">
      <c r="A6279" t="str">
        <f>"20190312161439975"</f>
        <v>20190312161439975</v>
      </c>
      <c r="B6279" t="str">
        <f>"1552378479973030"</f>
        <v>1552378479973030</v>
      </c>
      <c r="C6279" t="s">
        <v>40</v>
      </c>
      <c r="D6279">
        <v>5.3398789999999998</v>
      </c>
      <c r="E6279">
        <v>0.41387410000000002</v>
      </c>
      <c r="F6279" t="s">
        <v>105</v>
      </c>
      <c r="G6279">
        <v>-251.02070000000001</v>
      </c>
      <c r="H6279" s="1">
        <v>3.9642819999999999E-7</v>
      </c>
      <c r="I6279">
        <v>-60.250129999999999</v>
      </c>
      <c r="J6279">
        <v>-280.66419999999999</v>
      </c>
      <c r="K6279">
        <v>1.1112359999999999</v>
      </c>
      <c r="L6279">
        <v>-65.994749999999996</v>
      </c>
      <c r="M6279">
        <v>0.9989306</v>
      </c>
      <c r="N6279">
        <v>0</v>
      </c>
      <c r="O6279">
        <v>4.4211720000000003E-2</v>
      </c>
      <c r="P6279">
        <v>0.9990445</v>
      </c>
      <c r="Q6279">
        <v>-2.4423460000000001E-2</v>
      </c>
      <c r="R6279">
        <v>-3.6249429999999999E-2</v>
      </c>
      <c r="S6279">
        <v>3.0217589999999999</v>
      </c>
      <c r="T6279">
        <v>-0.1129286</v>
      </c>
      <c r="U6279">
        <v>0.58432010000000001</v>
      </c>
      <c r="V6279">
        <v>8.0412460000000005E-2</v>
      </c>
      <c r="W6279">
        <v>-1.0757289999999999E-2</v>
      </c>
      <c r="X6279">
        <v>0.99670360000000002</v>
      </c>
      <c r="Y6279">
        <v>-0.14618819999999999</v>
      </c>
      <c r="Z6279">
        <v>1.071097E-3</v>
      </c>
      <c r="AA6279">
        <v>0.98925620000000003</v>
      </c>
      <c r="AB6279">
        <v>19</v>
      </c>
      <c r="AC6279">
        <v>29.6434999999999</v>
      </c>
      <c r="AD6279">
        <v>-1.1112356035718001</v>
      </c>
      <c r="AE6279">
        <v>5.7446199999999896</v>
      </c>
      <c r="AF6279">
        <v>-4.4223022420478699</v>
      </c>
      <c r="AG6279">
        <v>-1.1112356035718001</v>
      </c>
      <c r="AH6279">
        <v>29.828112800900499</v>
      </c>
      <c r="AI6279">
        <v>92.110498910307101</v>
      </c>
      <c r="AJ6279">
        <v>98.433214057588501</v>
      </c>
      <c r="AK6279">
        <v>30.174623691935398</v>
      </c>
      <c r="AL6279">
        <v>90.616359219465707</v>
      </c>
      <c r="AM6279">
        <v>85.387458081575602</v>
      </c>
      <c r="AN6279">
        <v>0.99999997463217705</v>
      </c>
    </row>
    <row r="6280" spans="1:40" x14ac:dyDescent="0.25">
      <c r="A6280" t="str">
        <f>"20190312161439987"</f>
        <v>20190312161439987</v>
      </c>
      <c r="B6280" t="str">
        <f>"1552378479982791"</f>
        <v>1552378479982791</v>
      </c>
      <c r="C6280" t="s">
        <v>40</v>
      </c>
      <c r="D6280">
        <v>5.2782419999999997</v>
      </c>
      <c r="E6280">
        <v>0.41410360000000002</v>
      </c>
      <c r="F6280" t="s">
        <v>105</v>
      </c>
      <c r="G6280">
        <v>-251.41589999999999</v>
      </c>
      <c r="H6280" s="1">
        <v>2.5322279999999998E-7</v>
      </c>
      <c r="I6280">
        <v>-60.369149999999998</v>
      </c>
      <c r="J6280">
        <v>-280.56380000000001</v>
      </c>
      <c r="K6280">
        <v>1.111173</v>
      </c>
      <c r="L6280">
        <v>-65.988770000000002</v>
      </c>
      <c r="M6280">
        <v>0.99887320000000002</v>
      </c>
      <c r="N6280">
        <v>0</v>
      </c>
      <c r="O6280">
        <v>4.5494119999999999E-2</v>
      </c>
      <c r="P6280">
        <v>0.99904190000000004</v>
      </c>
      <c r="Q6280">
        <v>-2.5051259999999999E-2</v>
      </c>
      <c r="R6280">
        <v>-3.5885559999999997E-2</v>
      </c>
      <c r="S6280">
        <v>3.0211489999999999</v>
      </c>
      <c r="T6280">
        <v>-0.11478289999999999</v>
      </c>
      <c r="U6280">
        <v>0.58108519999999997</v>
      </c>
      <c r="V6280">
        <v>8.1328079999999997E-2</v>
      </c>
      <c r="W6280">
        <v>-1.140445E-2</v>
      </c>
      <c r="X6280">
        <v>0.99662209999999996</v>
      </c>
      <c r="Y6280">
        <v>-0.1439339</v>
      </c>
      <c r="Z6280">
        <v>9.984410999999999E-4</v>
      </c>
      <c r="AA6280">
        <v>0.98958679999999999</v>
      </c>
      <c r="AB6280">
        <v>19</v>
      </c>
      <c r="AC6280">
        <v>29.1479</v>
      </c>
      <c r="AD6280">
        <v>-1.1111727467771999</v>
      </c>
      <c r="AE6280">
        <v>5.6196200000000003</v>
      </c>
      <c r="AF6280">
        <v>-4.2816218773597301</v>
      </c>
      <c r="AG6280">
        <v>-1.1111727467771999</v>
      </c>
      <c r="AH6280">
        <v>29.332297697466601</v>
      </c>
      <c r="AI6280">
        <v>92.146726235993697</v>
      </c>
      <c r="AJ6280">
        <v>98.304786134208101</v>
      </c>
      <c r="AK6280">
        <v>29.663962631224301</v>
      </c>
      <c r="AL6280">
        <v>90.653441041206094</v>
      </c>
      <c r="AM6280">
        <v>85.334787875097604</v>
      </c>
      <c r="AN6280">
        <v>0.99999996414234804</v>
      </c>
    </row>
    <row r="6281" spans="1:40" x14ac:dyDescent="0.25">
      <c r="A6281" t="str">
        <f>"20190312161439999"</f>
        <v>20190312161439999</v>
      </c>
      <c r="B6281" t="str">
        <f>"1552378479992551"</f>
        <v>1552378479992551</v>
      </c>
      <c r="C6281" t="s">
        <v>40</v>
      </c>
      <c r="D6281">
        <v>5.2462809999999998</v>
      </c>
      <c r="E6281">
        <v>0.41432859999999999</v>
      </c>
      <c r="F6281" t="s">
        <v>105</v>
      </c>
      <c r="G6281">
        <v>-251.53909999999999</v>
      </c>
      <c r="H6281" s="1">
        <v>1.9704339999999999E-7</v>
      </c>
      <c r="I6281">
        <v>-60.4129</v>
      </c>
      <c r="J6281">
        <v>-280.47379999999998</v>
      </c>
      <c r="K6281">
        <v>1.111127</v>
      </c>
      <c r="L6281">
        <v>-65.983339999999998</v>
      </c>
      <c r="M6281">
        <v>0.99882439999999995</v>
      </c>
      <c r="N6281">
        <v>0</v>
      </c>
      <c r="O6281">
        <v>4.6556199999999902E-2</v>
      </c>
      <c r="P6281">
        <v>0.99904150000000003</v>
      </c>
      <c r="Q6281">
        <v>-2.556276E-2</v>
      </c>
      <c r="R6281">
        <v>-3.5541089999999997E-2</v>
      </c>
      <c r="S6281">
        <v>3.020813</v>
      </c>
      <c r="T6281">
        <v>-0.115648</v>
      </c>
      <c r="U6281">
        <v>0.58032229999999996</v>
      </c>
      <c r="V6281">
        <v>8.2043130000000006E-2</v>
      </c>
      <c r="W6281">
        <v>-1.193199E-2</v>
      </c>
      <c r="X6281">
        <v>0.99655740000000004</v>
      </c>
      <c r="Y6281">
        <v>-0.1426615</v>
      </c>
      <c r="Z6281">
        <v>9.4180510000000002E-4</v>
      </c>
      <c r="AA6281">
        <v>0.98977110000000001</v>
      </c>
      <c r="AB6281">
        <v>19</v>
      </c>
      <c r="AC6281">
        <v>28.9346999999999</v>
      </c>
      <c r="AD6281">
        <v>-1.1111268029565999</v>
      </c>
      <c r="AE6281">
        <v>5.5704399999999898</v>
      </c>
      <c r="AF6281">
        <v>-4.2111980948622598</v>
      </c>
      <c r="AG6281">
        <v>-1.1111268029565999</v>
      </c>
      <c r="AH6281">
        <v>29.121272767605198</v>
      </c>
      <c r="AI6281">
        <v>92.162596489463098</v>
      </c>
      <c r="AJ6281">
        <v>98.228444603552106</v>
      </c>
      <c r="AK6281">
        <v>29.445157832344499</v>
      </c>
      <c r="AL6281">
        <v>90.683668857577999</v>
      </c>
      <c r="AM6281">
        <v>85.293649825446806</v>
      </c>
      <c r="AN6281">
        <v>1.00000004953015</v>
      </c>
    </row>
    <row r="6282" spans="1:40" x14ac:dyDescent="0.25">
      <c r="A6282" t="str">
        <f>"20190312161440011"</f>
        <v>20190312161440011</v>
      </c>
      <c r="B6282" t="str">
        <f>"1552378480002310"</f>
        <v>1552378480002310</v>
      </c>
      <c r="C6282" t="s">
        <v>40</v>
      </c>
      <c r="D6282">
        <v>5.3268930000000001</v>
      </c>
      <c r="E6282">
        <v>0.41432859999999999</v>
      </c>
      <c r="F6282" t="s">
        <v>105</v>
      </c>
      <c r="G6282">
        <v>-251.66970000000001</v>
      </c>
      <c r="H6282" s="1">
        <v>1.312468E-7</v>
      </c>
      <c r="I6282">
        <v>-60.456859999999999</v>
      </c>
      <c r="J6282">
        <v>-280.37810000000002</v>
      </c>
      <c r="K6282">
        <v>1.1110770000000001</v>
      </c>
      <c r="L6282">
        <v>-65.97757</v>
      </c>
      <c r="M6282">
        <v>0.9987722</v>
      </c>
      <c r="N6282">
        <v>0</v>
      </c>
      <c r="O6282">
        <v>4.7665859999999997E-2</v>
      </c>
      <c r="P6282">
        <v>0.99905379999999999</v>
      </c>
      <c r="Q6282">
        <v>-2.5831710000000001E-2</v>
      </c>
      <c r="R6282">
        <v>-3.4993120000000003E-2</v>
      </c>
      <c r="S6282">
        <v>3.020508</v>
      </c>
      <c r="T6282">
        <v>-0.1165172</v>
      </c>
      <c r="U6282">
        <v>0.57952879999999996</v>
      </c>
      <c r="V6282">
        <v>8.2602610000000007E-2</v>
      </c>
      <c r="W6282">
        <v>-1.2217840000000001E-2</v>
      </c>
      <c r="X6282">
        <v>0.99650760000000005</v>
      </c>
      <c r="Y6282">
        <v>-0.14133029999999999</v>
      </c>
      <c r="Z6282">
        <v>8.8128030000000001E-4</v>
      </c>
      <c r="AA6282">
        <v>0.98996209999999996</v>
      </c>
      <c r="AB6282">
        <v>19</v>
      </c>
      <c r="AC6282">
        <v>28.708400000000001</v>
      </c>
      <c r="AD6282">
        <v>-1.1110768687532</v>
      </c>
      <c r="AE6282">
        <v>5.5207100000000002</v>
      </c>
      <c r="AF6282">
        <v>-4.1399186453957899</v>
      </c>
      <c r="AG6282">
        <v>-1.1110768687532</v>
      </c>
      <c r="AH6282">
        <v>28.897195341817099</v>
      </c>
      <c r="AI6282">
        <v>92.179665015387201</v>
      </c>
      <c r="AJ6282">
        <v>98.152928251507404</v>
      </c>
      <c r="AK6282">
        <v>29.213375649210999</v>
      </c>
      <c r="AL6282">
        <v>90.700048131915295</v>
      </c>
      <c r="AM6282">
        <v>85.261465546526793</v>
      </c>
      <c r="AN6282">
        <v>0.99999993182541602</v>
      </c>
    </row>
    <row r="6283" spans="1:40" x14ac:dyDescent="0.25">
      <c r="A6283" t="str">
        <f>"20190312161440021"</f>
        <v>20190312161440021</v>
      </c>
      <c r="B6283" t="str">
        <f>"1552378480013046"</f>
        <v>1552378480013046</v>
      </c>
      <c r="C6283" t="s">
        <v>40</v>
      </c>
      <c r="D6283">
        <v>5.4171500000000004</v>
      </c>
      <c r="E6283">
        <v>0.41569129999999899</v>
      </c>
      <c r="F6283" t="s">
        <v>105</v>
      </c>
      <c r="G6283">
        <v>-251.77809999999999</v>
      </c>
      <c r="H6283" s="1">
        <v>8.10799699999999E-8</v>
      </c>
      <c r="I6283">
        <v>-60.473379999999999</v>
      </c>
      <c r="J6283">
        <v>-280.28309999999999</v>
      </c>
      <c r="K6283">
        <v>1.111035</v>
      </c>
      <c r="L6283">
        <v>-65.971739999999997</v>
      </c>
      <c r="M6283">
        <v>0.99872249999999996</v>
      </c>
      <c r="N6283">
        <v>0</v>
      </c>
      <c r="O6283">
        <v>4.869946E-2</v>
      </c>
      <c r="P6283">
        <v>0.99906950000000005</v>
      </c>
      <c r="Q6283">
        <v>-2.6149169999999999E-2</v>
      </c>
      <c r="R6283">
        <v>-3.43025E-2</v>
      </c>
      <c r="S6283">
        <v>3.0201419999999999</v>
      </c>
      <c r="T6283">
        <v>-0.1173289</v>
      </c>
      <c r="U6283">
        <v>0.58123780000000003</v>
      </c>
      <c r="V6283">
        <v>8.2943680000000006E-2</v>
      </c>
      <c r="W6283">
        <v>-1.255124E-2</v>
      </c>
      <c r="X6283">
        <v>0.99647520000000001</v>
      </c>
      <c r="Y6283">
        <v>-0.1408684</v>
      </c>
      <c r="Z6283">
        <v>8.3894069999999996E-4</v>
      </c>
      <c r="AA6283">
        <v>0.99002800000000002</v>
      </c>
      <c r="AB6283">
        <v>19</v>
      </c>
      <c r="AC6283">
        <v>28.5049999999999</v>
      </c>
      <c r="AD6283">
        <v>-1.1110349189200299</v>
      </c>
      <c r="AE6283">
        <v>5.4983599999999901</v>
      </c>
      <c r="AF6283">
        <v>-4.0975289833328103</v>
      </c>
      <c r="AG6283">
        <v>-1.1110349189200299</v>
      </c>
      <c r="AH6283">
        <v>28.696931198751699</v>
      </c>
      <c r="AI6283">
        <v>92.194925100432201</v>
      </c>
      <c r="AJ6283">
        <v>98.1261251947152</v>
      </c>
      <c r="AK6283">
        <v>29.009274423642498</v>
      </c>
      <c r="AL6283">
        <v>90.7191519579914</v>
      </c>
      <c r="AM6283">
        <v>85.241835568003196</v>
      </c>
      <c r="AN6283">
        <v>1.0000000059462599</v>
      </c>
    </row>
    <row r="6284" spans="1:40" x14ac:dyDescent="0.25">
      <c r="A6284" t="str">
        <f>"20190312161440033"</f>
        <v>20190312161440033</v>
      </c>
      <c r="B6284" t="str">
        <f>"1552378480022806"</f>
        <v>1552378480022806</v>
      </c>
      <c r="C6284" t="s">
        <v>40</v>
      </c>
      <c r="D6284">
        <v>5.0916399999999999</v>
      </c>
      <c r="E6284">
        <v>0.41569129999999899</v>
      </c>
      <c r="F6284" t="s">
        <v>105</v>
      </c>
      <c r="G6284">
        <v>-251.10489999999999</v>
      </c>
      <c r="H6284" s="1">
        <v>3.7687569999999999E-7</v>
      </c>
      <c r="I6284">
        <v>-60.441969999999998</v>
      </c>
      <c r="J6284">
        <v>-280.19150000000002</v>
      </c>
      <c r="K6284">
        <v>1.110995</v>
      </c>
      <c r="L6284">
        <v>-65.966089999999994</v>
      </c>
      <c r="M6284">
        <v>0.99867479999999997</v>
      </c>
      <c r="N6284">
        <v>0</v>
      </c>
      <c r="O6284">
        <v>4.9667030000000001E-2</v>
      </c>
      <c r="P6284">
        <v>0.99909729999999997</v>
      </c>
      <c r="Q6284">
        <v>-2.6468080000000001E-2</v>
      </c>
      <c r="R6284">
        <v>-3.3229139999999997E-2</v>
      </c>
      <c r="S6284">
        <v>3.0194399999999999</v>
      </c>
      <c r="T6284">
        <v>-0.1149728</v>
      </c>
      <c r="U6284">
        <v>0.5722351</v>
      </c>
      <c r="V6284">
        <v>8.2837690000000005E-2</v>
      </c>
      <c r="W6284">
        <v>-1.288477E-2</v>
      </c>
      <c r="X6284">
        <v>0.99647969999999997</v>
      </c>
      <c r="Y6284">
        <v>-0.1371088</v>
      </c>
      <c r="Z6284">
        <v>7.151786E-4</v>
      </c>
      <c r="AA6284">
        <v>0.99055570000000004</v>
      </c>
      <c r="AB6284">
        <v>19</v>
      </c>
      <c r="AC6284">
        <v>29.086600000000001</v>
      </c>
      <c r="AD6284">
        <v>-1.1109946231243</v>
      </c>
      <c r="AE6284">
        <v>5.5241200000000097</v>
      </c>
      <c r="AF6284">
        <v>-4.0667980077184298</v>
      </c>
      <c r="AG6284">
        <v>-1.1109946231243</v>
      </c>
      <c r="AH6284">
        <v>29.2838512101786</v>
      </c>
      <c r="AI6284">
        <v>92.152058165307395</v>
      </c>
      <c r="AJ6284">
        <v>97.906388073541194</v>
      </c>
      <c r="AK6284">
        <v>29.585758343974799</v>
      </c>
      <c r="AL6284">
        <v>90.738263408984693</v>
      </c>
      <c r="AM6284">
        <v>85.247909310676306</v>
      </c>
      <c r="AN6284">
        <v>0.99999994634728795</v>
      </c>
    </row>
    <row r="6285" spans="1:40" x14ac:dyDescent="0.25">
      <c r="A6285" t="str">
        <f>"20190312161440042"</f>
        <v>20190312161440042</v>
      </c>
      <c r="B6285" t="str">
        <f>"1552378480032566"</f>
        <v>1552378480032566</v>
      </c>
      <c r="C6285" t="s">
        <v>40</v>
      </c>
      <c r="D6285">
        <v>5.1643619999999997</v>
      </c>
      <c r="E6285">
        <v>0.45448559999999999</v>
      </c>
      <c r="F6285" t="s">
        <v>105</v>
      </c>
      <c r="G6285">
        <v>-251.35640000000001</v>
      </c>
      <c r="H6285" s="1">
        <v>2.62816799999999E-7</v>
      </c>
      <c r="I6285">
        <v>-60.4696</v>
      </c>
      <c r="J6285">
        <v>-280.1078</v>
      </c>
      <c r="K6285">
        <v>1.110965</v>
      </c>
      <c r="L6285">
        <v>-65.960909999999998</v>
      </c>
      <c r="M6285">
        <v>0.99863230000000003</v>
      </c>
      <c r="N6285">
        <v>0</v>
      </c>
      <c r="O6285">
        <v>5.0517689999999997E-2</v>
      </c>
      <c r="P6285">
        <v>0.99910739999999998</v>
      </c>
      <c r="Q6285">
        <v>-2.72512E-2</v>
      </c>
      <c r="R6285">
        <v>-3.2281160000000003E-2</v>
      </c>
      <c r="S6285">
        <v>3.018799</v>
      </c>
      <c r="T6285">
        <v>-0.1163124</v>
      </c>
      <c r="U6285">
        <v>0.57543949999999999</v>
      </c>
      <c r="V6285">
        <v>8.2740419999999995E-2</v>
      </c>
      <c r="W6285">
        <v>-1.368017E-2</v>
      </c>
      <c r="X6285">
        <v>0.99647719999999995</v>
      </c>
      <c r="Y6285">
        <v>-0.13731740000000001</v>
      </c>
      <c r="Z6285">
        <v>6.9521090000000002E-4</v>
      </c>
      <c r="AA6285">
        <v>0.99052689999999999</v>
      </c>
      <c r="AB6285">
        <v>19</v>
      </c>
      <c r="AC6285">
        <v>28.751399999999901</v>
      </c>
      <c r="AD6285">
        <v>-1.1109647371832001</v>
      </c>
      <c r="AE6285">
        <v>5.4913099999999897</v>
      </c>
      <c r="AF6285">
        <v>-4.0259116548179996</v>
      </c>
      <c r="AG6285">
        <v>-1.1109647371832001</v>
      </c>
      <c r="AH6285">
        <v>28.950412107500799</v>
      </c>
      <c r="AI6285">
        <v>92.176706981535801</v>
      </c>
      <c r="AJ6285">
        <v>97.916911641085804</v>
      </c>
      <c r="AK6285">
        <v>29.250103734752599</v>
      </c>
      <c r="AL6285">
        <v>90.783840479984306</v>
      </c>
      <c r="AM6285">
        <v>85.253451965550298</v>
      </c>
      <c r="AN6285">
        <v>0.99999996713642203</v>
      </c>
    </row>
    <row r="6286" spans="1:40" x14ac:dyDescent="0.25">
      <c r="A6286" t="str">
        <f>"20190312161440054"</f>
        <v>20190312161440054</v>
      </c>
      <c r="B6286" t="str">
        <f>"1552378480042326"</f>
        <v>1552378480042326</v>
      </c>
      <c r="C6286" t="s">
        <v>40</v>
      </c>
      <c r="D6286">
        <v>5.0994599999999997</v>
      </c>
      <c r="E6286">
        <v>0.45930559999999998</v>
      </c>
      <c r="F6286" t="s">
        <v>108</v>
      </c>
      <c r="G6286">
        <v>-229.91069999999999</v>
      </c>
      <c r="H6286" s="1">
        <v>-3.534584E-6</v>
      </c>
      <c r="I6286">
        <v>-61.529879999999999</v>
      </c>
      <c r="J6286">
        <v>-280.0197</v>
      </c>
      <c r="K6286">
        <v>1.1109279999999999</v>
      </c>
      <c r="L6286">
        <v>-65.955380000000005</v>
      </c>
      <c r="M6286">
        <v>0.99858800000000003</v>
      </c>
      <c r="N6286">
        <v>0</v>
      </c>
      <c r="O6286">
        <v>5.1384760000000002E-2</v>
      </c>
      <c r="P6286">
        <v>0.999112</v>
      </c>
      <c r="Q6286">
        <v>-2.8047260000000001E-2</v>
      </c>
      <c r="R6286">
        <v>-3.1443110000000003E-2</v>
      </c>
      <c r="S6286">
        <v>3.0094910000000001</v>
      </c>
      <c r="T6286">
        <v>-6.6606520000000002E-2</v>
      </c>
      <c r="U6286">
        <v>0.26565549999999999</v>
      </c>
      <c r="V6286">
        <v>8.276907E-2</v>
      </c>
      <c r="W6286">
        <v>-1.4487999999999999E-2</v>
      </c>
      <c r="X6286">
        <v>0.9964634</v>
      </c>
      <c r="Y6286">
        <v>-3.6627680000000003E-2</v>
      </c>
      <c r="Z6286">
        <v>-7.2950779999999995E-4</v>
      </c>
      <c r="AA6286">
        <v>0.99932869999999996</v>
      </c>
      <c r="AB6286">
        <v>19</v>
      </c>
      <c r="AC6286">
        <v>50.109000000000002</v>
      </c>
      <c r="AD6286">
        <v>-1.1109315345840001</v>
      </c>
      <c r="AE6286">
        <v>4.4255000000000004</v>
      </c>
      <c r="AF6286">
        <v>-1.84368056613915</v>
      </c>
      <c r="AG6286">
        <v>-1.1109315345840001</v>
      </c>
      <c r="AH6286">
        <v>50.245708673243797</v>
      </c>
      <c r="AI6286">
        <v>91.265750544460403</v>
      </c>
      <c r="AJ6286">
        <v>92.101428107927106</v>
      </c>
      <c r="AK6286">
        <v>50.291794231076899</v>
      </c>
      <c r="AL6286">
        <v>90.830130325958706</v>
      </c>
      <c r="AM6286">
        <v>85.251750464980901</v>
      </c>
      <c r="AN6286">
        <v>0.99999996431611105</v>
      </c>
    </row>
    <row r="6287" spans="1:40" x14ac:dyDescent="0.25">
      <c r="A6287" t="str">
        <f>"20190312161440064"</f>
        <v>20190312161440064</v>
      </c>
      <c r="B6287" t="str">
        <f>"1552378480053062"</f>
        <v>1552378480053062</v>
      </c>
      <c r="C6287" t="s">
        <v>40</v>
      </c>
      <c r="D6287">
        <v>5.1178600000000003</v>
      </c>
      <c r="E6287">
        <v>0.46136500000000003</v>
      </c>
      <c r="F6287" t="s">
        <v>107</v>
      </c>
      <c r="G6287">
        <v>-236.59399999999999</v>
      </c>
      <c r="H6287" s="1">
        <v>-2.414235E-6</v>
      </c>
      <c r="I6287">
        <v>-62.632240000000003</v>
      </c>
      <c r="J6287">
        <v>-279.92619999999999</v>
      </c>
      <c r="K6287">
        <v>1.1109</v>
      </c>
      <c r="L6287">
        <v>-65.949460000000002</v>
      </c>
      <c r="M6287">
        <v>0.99854169999999998</v>
      </c>
      <c r="N6287">
        <v>0</v>
      </c>
      <c r="O6287">
        <v>5.2279699999999998E-2</v>
      </c>
      <c r="P6287">
        <v>0.99911439999999996</v>
      </c>
      <c r="Q6287">
        <v>-2.8831699999999998E-2</v>
      </c>
      <c r="R6287">
        <v>-3.0652019999999999E-2</v>
      </c>
      <c r="S6287">
        <v>3.0077509999999998</v>
      </c>
      <c r="T6287">
        <v>-7.6945299999999994E-2</v>
      </c>
      <c r="U6287">
        <v>0.2301636</v>
      </c>
      <c r="V6287">
        <v>8.2872009999999996E-2</v>
      </c>
      <c r="W6287">
        <v>-1.5283919999999999E-2</v>
      </c>
      <c r="X6287">
        <v>0.99644299999999997</v>
      </c>
      <c r="Y6287">
        <v>-2.407318E-2</v>
      </c>
      <c r="Z6287">
        <v>-1.0268409999999999E-3</v>
      </c>
      <c r="AA6287">
        <v>0.99970970000000003</v>
      </c>
      <c r="AB6287">
        <v>19</v>
      </c>
      <c r="AC6287">
        <v>43.332199999999901</v>
      </c>
      <c r="AD6287">
        <v>-1.1109024142349999</v>
      </c>
      <c r="AE6287">
        <v>3.3172199999999901</v>
      </c>
      <c r="AF6287">
        <v>-1.04639926888346</v>
      </c>
      <c r="AG6287">
        <v>-1.1109024142349999</v>
      </c>
      <c r="AH6287">
        <v>43.418000445101903</v>
      </c>
      <c r="AI6287">
        <v>91.465237227558802</v>
      </c>
      <c r="AJ6287">
        <v>91.380594622323798</v>
      </c>
      <c r="AK6287">
        <v>43.4448134793411</v>
      </c>
      <c r="AL6287">
        <v>90.875738198841404</v>
      </c>
      <c r="AM6287">
        <v>85.245775227933805</v>
      </c>
      <c r="AN6287">
        <v>1.0000000102505</v>
      </c>
    </row>
    <row r="6288" spans="1:40" x14ac:dyDescent="0.25">
      <c r="A6288" t="str">
        <f>"20190312161440076"</f>
        <v>20190312161440076</v>
      </c>
      <c r="B6288" t="str">
        <f>"1552378480072582"</f>
        <v>1552378480072582</v>
      </c>
      <c r="C6288" t="s">
        <v>40</v>
      </c>
      <c r="D6288">
        <v>5.1848650000000003</v>
      </c>
      <c r="E6288">
        <v>0.46436440000000001</v>
      </c>
      <c r="F6288" t="s">
        <v>107</v>
      </c>
      <c r="G6288">
        <v>-235.16309999999999</v>
      </c>
      <c r="H6288" s="1">
        <v>-1.8280980000000001E-6</v>
      </c>
      <c r="I6288">
        <v>-62.736339999999998</v>
      </c>
      <c r="J6288">
        <v>-279.83339999999998</v>
      </c>
      <c r="K6288">
        <v>1.1108750000000001</v>
      </c>
      <c r="L6288">
        <v>-65.943569999999994</v>
      </c>
      <c r="M6288">
        <v>0.99849679999999996</v>
      </c>
      <c r="N6288">
        <v>0</v>
      </c>
      <c r="O6288">
        <v>5.3133100000000003E-2</v>
      </c>
      <c r="P6288">
        <v>0.99913269999999998</v>
      </c>
      <c r="Q6288">
        <v>-2.928497E-2</v>
      </c>
      <c r="R6288">
        <v>-2.9604760000000001E-2</v>
      </c>
      <c r="S6288">
        <v>3.0071409999999998</v>
      </c>
      <c r="T6288">
        <v>-7.4629310000000004E-2</v>
      </c>
      <c r="U6288">
        <v>0.21585080000000001</v>
      </c>
      <c r="V6288">
        <v>8.2678559999999998E-2</v>
      </c>
      <c r="W6288">
        <v>-1.5746949999999999E-2</v>
      </c>
      <c r="X6288">
        <v>0.99645189999999995</v>
      </c>
      <c r="Y6288">
        <v>-1.8503100000000001E-2</v>
      </c>
      <c r="Z6288">
        <v>-1.086486E-3</v>
      </c>
      <c r="AA6288">
        <v>0.99982819999999994</v>
      </c>
      <c r="AB6288">
        <v>19</v>
      </c>
      <c r="AC6288">
        <v>44.670299999999997</v>
      </c>
      <c r="AD6288">
        <v>-1.1108768280979999</v>
      </c>
      <c r="AE6288">
        <v>3.20722999999998</v>
      </c>
      <c r="AF6288">
        <v>-0.82850266243246296</v>
      </c>
      <c r="AG6288">
        <v>-1.1108768280979999</v>
      </c>
      <c r="AH6288">
        <v>44.7500814633011</v>
      </c>
      <c r="AI6288">
        <v>91.421775863837894</v>
      </c>
      <c r="AJ6288">
        <v>91.060652444387998</v>
      </c>
      <c r="AK6288">
        <v>44.771533980431698</v>
      </c>
      <c r="AL6288">
        <v>90.902271021650606</v>
      </c>
      <c r="AM6288">
        <v>85.256864599813895</v>
      </c>
      <c r="AN6288">
        <v>1.0000000498657899</v>
      </c>
    </row>
    <row r="6289" spans="1:40" x14ac:dyDescent="0.25">
      <c r="A6289" t="str">
        <f>"20190312161440087"</f>
        <v>20190312161440087</v>
      </c>
      <c r="B6289" t="str">
        <f>"1552378480082342"</f>
        <v>1552378480082342</v>
      </c>
      <c r="C6289" t="s">
        <v>40</v>
      </c>
      <c r="D6289">
        <v>5.1445160000000003</v>
      </c>
      <c r="E6289">
        <v>0.46485939999999998</v>
      </c>
      <c r="F6289" t="s">
        <v>106</v>
      </c>
      <c r="G6289">
        <v>-240.04230000000001</v>
      </c>
      <c r="H6289" s="1">
        <v>2.037995E-7</v>
      </c>
      <c r="I6289">
        <v>-63.356059999999999</v>
      </c>
      <c r="J6289">
        <v>-279.74279999999999</v>
      </c>
      <c r="K6289">
        <v>1.110859</v>
      </c>
      <c r="L6289">
        <v>-65.937809999999999</v>
      </c>
      <c r="M6289">
        <v>0.99845289999999998</v>
      </c>
      <c r="N6289">
        <v>0</v>
      </c>
      <c r="O6289">
        <v>5.3954469999999997E-2</v>
      </c>
      <c r="P6289">
        <v>0.99915600000000004</v>
      </c>
      <c r="Q6289">
        <v>-2.9541629999999999E-2</v>
      </c>
      <c r="R6289">
        <v>-2.8547900000000001E-2</v>
      </c>
      <c r="S6289">
        <v>3.005951</v>
      </c>
      <c r="T6289">
        <v>-8.3919170000000001E-2</v>
      </c>
      <c r="U6289">
        <v>0.1954651</v>
      </c>
      <c r="V6289">
        <v>8.2443639999999999E-2</v>
      </c>
      <c r="W6289">
        <v>-1.6012519999999999E-2</v>
      </c>
      <c r="X6289">
        <v>0.99646710000000005</v>
      </c>
      <c r="Y6289">
        <v>-1.096549E-2</v>
      </c>
      <c r="Z6289">
        <v>-1.350457E-3</v>
      </c>
      <c r="AA6289">
        <v>0.99993900000000002</v>
      </c>
      <c r="AB6289">
        <v>19</v>
      </c>
      <c r="AC6289">
        <v>39.700499999999899</v>
      </c>
      <c r="AD6289">
        <v>-1.1108587962004901</v>
      </c>
      <c r="AE6289">
        <v>2.5817499999999902</v>
      </c>
      <c r="AF6289">
        <v>-0.43543623452816799</v>
      </c>
      <c r="AG6289">
        <v>-1.1108587962004901</v>
      </c>
      <c r="AH6289">
        <v>39.750979828270097</v>
      </c>
      <c r="AI6289">
        <v>91.600643429226693</v>
      </c>
      <c r="AJ6289">
        <v>90.627598634867994</v>
      </c>
      <c r="AK6289">
        <v>39.768882424415303</v>
      </c>
      <c r="AL6289">
        <v>90.917489009207799</v>
      </c>
      <c r="AM6289">
        <v>85.270352172147895</v>
      </c>
      <c r="AN6289">
        <v>1.0000000179777999</v>
      </c>
    </row>
    <row r="6290" spans="1:40" x14ac:dyDescent="0.25">
      <c r="A6290" t="str">
        <f>"20190312161440099"</f>
        <v>20190312161440099</v>
      </c>
      <c r="B6290" t="str">
        <f>"1552378480093078"</f>
        <v>1552378480093078</v>
      </c>
      <c r="C6290" t="s">
        <v>40</v>
      </c>
      <c r="D6290">
        <v>5.5407780000000004</v>
      </c>
      <c r="E6290">
        <v>0.4653428</v>
      </c>
      <c r="F6290" t="s">
        <v>106</v>
      </c>
      <c r="G6290">
        <v>-240.90289999999999</v>
      </c>
      <c r="H6290" s="1">
        <v>-1.824053E-7</v>
      </c>
      <c r="I6290">
        <v>-63.420079999999999</v>
      </c>
      <c r="J6290">
        <v>-279.64620000000002</v>
      </c>
      <c r="K6290">
        <v>1.1108439999999999</v>
      </c>
      <c r="L6290">
        <v>-65.931519999999907</v>
      </c>
      <c r="M6290">
        <v>0.9984073</v>
      </c>
      <c r="N6290">
        <v>0</v>
      </c>
      <c r="O6290">
        <v>5.4790140000000001E-2</v>
      </c>
      <c r="P6290">
        <v>0.99918910000000005</v>
      </c>
      <c r="Q6290">
        <v>-2.9710009999999999E-2</v>
      </c>
      <c r="R6290">
        <v>-2.7179020000000002E-2</v>
      </c>
      <c r="S6290">
        <v>3.0055540000000001</v>
      </c>
      <c r="T6290">
        <v>-8.5961700000000002E-2</v>
      </c>
      <c r="U6290">
        <v>0.1948242</v>
      </c>
      <c r="V6290">
        <v>8.1912029999999997E-2</v>
      </c>
      <c r="W6290">
        <v>-1.6188839999999999E-2</v>
      </c>
      <c r="X6290">
        <v>0.99650810000000001</v>
      </c>
      <c r="Y6290">
        <v>-9.9263549999999996E-3</v>
      </c>
      <c r="Z6290">
        <v>-1.422174E-3</v>
      </c>
      <c r="AA6290">
        <v>0.99994970000000005</v>
      </c>
      <c r="AB6290">
        <v>19</v>
      </c>
      <c r="AC6290">
        <v>38.743299999999998</v>
      </c>
      <c r="AD6290">
        <v>-1.1108441824052999</v>
      </c>
      <c r="AE6290">
        <v>2.5114399999999799</v>
      </c>
      <c r="AF6290">
        <v>-0.38440930691155201</v>
      </c>
      <c r="AG6290">
        <v>-1.1108441824052999</v>
      </c>
      <c r="AH6290">
        <v>38.790951688317698</v>
      </c>
      <c r="AI6290">
        <v>91.640232289679901</v>
      </c>
      <c r="AJ6290">
        <v>90.567769260541198</v>
      </c>
      <c r="AK6290">
        <v>38.808757751288802</v>
      </c>
      <c r="AL6290">
        <v>90.9275927028647</v>
      </c>
      <c r="AM6290">
        <v>85.300905164081101</v>
      </c>
      <c r="AN6290">
        <v>1.00000002628243</v>
      </c>
    </row>
    <row r="6291" spans="1:40" x14ac:dyDescent="0.25">
      <c r="A6291" t="str">
        <f>"20190312161440110"</f>
        <v>20190312161440110</v>
      </c>
      <c r="B6291" t="str">
        <f>"1552378480102839"</f>
        <v>1552378480102839</v>
      </c>
      <c r="C6291" t="s">
        <v>40</v>
      </c>
      <c r="D6291">
        <v>5.1839180000000002</v>
      </c>
      <c r="E6291">
        <v>0.46585530000000003</v>
      </c>
      <c r="F6291" t="s">
        <v>107</v>
      </c>
      <c r="G6291">
        <v>-237.92740000000001</v>
      </c>
      <c r="H6291" s="1">
        <v>-3.0766010000000001E-6</v>
      </c>
      <c r="I6291">
        <v>-63.229509999999998</v>
      </c>
      <c r="J6291">
        <v>-279.55110000000002</v>
      </c>
      <c r="K6291">
        <v>1.110832</v>
      </c>
      <c r="L6291">
        <v>-65.925349999999995</v>
      </c>
      <c r="M6291">
        <v>0.99836250000000004</v>
      </c>
      <c r="N6291">
        <v>0</v>
      </c>
      <c r="O6291">
        <v>5.5602230000000002E-2</v>
      </c>
      <c r="P6291">
        <v>0.99923399999999996</v>
      </c>
      <c r="Q6291">
        <v>-2.9662250000000001E-2</v>
      </c>
      <c r="R6291">
        <v>-2.5528680000000002E-2</v>
      </c>
      <c r="S6291">
        <v>3.0053100000000001</v>
      </c>
      <c r="T6291">
        <v>-8.0022339999999997E-2</v>
      </c>
      <c r="U6291">
        <v>0.19464110000000001</v>
      </c>
      <c r="V6291">
        <v>8.1076620000000002E-2</v>
      </c>
      <c r="W6291">
        <v>-1.61485E-2</v>
      </c>
      <c r="X6291">
        <v>0.99657700000000005</v>
      </c>
      <c r="Y6291">
        <v>-9.0557339999999993E-3</v>
      </c>
      <c r="Z6291">
        <v>-1.3571900000000001E-3</v>
      </c>
      <c r="AA6291">
        <v>0.99995809999999996</v>
      </c>
      <c r="AB6291">
        <v>19</v>
      </c>
      <c r="AC6291">
        <v>41.623699999999999</v>
      </c>
      <c r="AD6291">
        <v>-1.110835076601</v>
      </c>
      <c r="AE6291">
        <v>2.6958399999999898</v>
      </c>
      <c r="AF6291">
        <v>-0.37682183348980303</v>
      </c>
      <c r="AG6291">
        <v>-1.110835076601</v>
      </c>
      <c r="AH6291">
        <v>41.679643403414602</v>
      </c>
      <c r="AI6291">
        <v>91.526608533165501</v>
      </c>
      <c r="AJ6291">
        <v>90.517991774971094</v>
      </c>
      <c r="AK6291">
        <v>41.696146386655499</v>
      </c>
      <c r="AL6291">
        <v>90.925281155291799</v>
      </c>
      <c r="AM6291">
        <v>85.348939416195094</v>
      </c>
      <c r="AN6291">
        <v>0.99999995464593605</v>
      </c>
    </row>
    <row r="6292" spans="1:40" x14ac:dyDescent="0.25">
      <c r="A6292" t="str">
        <f>"20190312161440121"</f>
        <v>20190312161440121</v>
      </c>
      <c r="B6292" t="str">
        <f>"1552378480112599"</f>
        <v>1552378480112599</v>
      </c>
      <c r="C6292" t="s">
        <v>40</v>
      </c>
      <c r="D6292">
        <v>5.2357889999999996</v>
      </c>
      <c r="E6292">
        <v>0.4660764</v>
      </c>
      <c r="F6292" t="s">
        <v>107</v>
      </c>
      <c r="G6292">
        <v>-235.80699999999999</v>
      </c>
      <c r="H6292" s="1">
        <v>-2.1963250000000001E-6</v>
      </c>
      <c r="I6292">
        <v>-63.082169999999998</v>
      </c>
      <c r="J6292">
        <v>-279.46269999999998</v>
      </c>
      <c r="K6292">
        <v>1.110827</v>
      </c>
      <c r="L6292">
        <v>-65.919529999999995</v>
      </c>
      <c r="M6292">
        <v>0.99832160000000003</v>
      </c>
      <c r="N6292">
        <v>0</v>
      </c>
      <c r="O6292">
        <v>5.6332670000000001E-2</v>
      </c>
      <c r="P6292">
        <v>0.99927359999999998</v>
      </c>
      <c r="Q6292">
        <v>-2.9793070000000001E-2</v>
      </c>
      <c r="R6292">
        <v>-2.3771279999999999E-2</v>
      </c>
      <c r="S6292">
        <v>3.0050659999999998</v>
      </c>
      <c r="T6292">
        <v>-7.6310279999999994E-2</v>
      </c>
      <c r="U6292">
        <v>0.1953125</v>
      </c>
      <c r="V6292">
        <v>8.0052719999999994E-2</v>
      </c>
      <c r="W6292">
        <v>-1.6285440000000002E-2</v>
      </c>
      <c r="X6292">
        <v>0.99665760000000003</v>
      </c>
      <c r="Y6292">
        <v>-8.5507280000000005E-3</v>
      </c>
      <c r="Z6292">
        <v>-1.31924E-3</v>
      </c>
      <c r="AA6292">
        <v>0.99996260000000003</v>
      </c>
      <c r="AB6292">
        <v>18</v>
      </c>
      <c r="AC6292">
        <v>43.655699999999896</v>
      </c>
      <c r="AD6292">
        <v>-1.1108291963249901</v>
      </c>
      <c r="AE6292">
        <v>2.8373600000000101</v>
      </c>
      <c r="AF6292">
        <v>-0.373148771843059</v>
      </c>
      <c r="AG6292">
        <v>-1.1108291963249901</v>
      </c>
      <c r="AH6292">
        <v>43.718028499653997</v>
      </c>
      <c r="AI6292">
        <v>91.455459419241805</v>
      </c>
      <c r="AJ6292">
        <v>90.489027783812205</v>
      </c>
      <c r="AK6292">
        <v>43.733730659593803</v>
      </c>
      <c r="AL6292">
        <v>90.933128217554497</v>
      </c>
      <c r="AM6292">
        <v>85.407793659731198</v>
      </c>
      <c r="AN6292">
        <v>1.00000001258657</v>
      </c>
    </row>
    <row r="6293" spans="1:40" x14ac:dyDescent="0.25">
      <c r="A6293" t="str">
        <f>"20190312161440133"</f>
        <v>20190312161440133</v>
      </c>
      <c r="B6293" t="str">
        <f>"1552378480122358"</f>
        <v>1552378480122358</v>
      </c>
      <c r="C6293" t="s">
        <v>40</v>
      </c>
      <c r="D6293">
        <v>5.3082880000000001</v>
      </c>
      <c r="E6293">
        <v>0.46720270000000003</v>
      </c>
      <c r="F6293" t="s">
        <v>107</v>
      </c>
      <c r="G6293">
        <v>-235.0873</v>
      </c>
      <c r="H6293" s="1">
        <v>-1.8615939999999999E-6</v>
      </c>
      <c r="I6293">
        <v>-62.984450000000002</v>
      </c>
      <c r="J6293">
        <v>-279.37169999999998</v>
      </c>
      <c r="K6293">
        <v>1.110816</v>
      </c>
      <c r="L6293">
        <v>-65.913539999999998</v>
      </c>
      <c r="M6293">
        <v>0.99827949999999999</v>
      </c>
      <c r="N6293">
        <v>0</v>
      </c>
      <c r="O6293">
        <v>5.7074270000000003E-2</v>
      </c>
      <c r="P6293">
        <v>0.99929849999999998</v>
      </c>
      <c r="Q6293">
        <v>-3.0195369999999999E-2</v>
      </c>
      <c r="R6293">
        <v>-2.215398E-2</v>
      </c>
      <c r="S6293">
        <v>3.0046689999999998</v>
      </c>
      <c r="T6293">
        <v>-7.5214390000000006E-2</v>
      </c>
      <c r="U6293">
        <v>0.1987305</v>
      </c>
      <c r="V6293">
        <v>7.9179920000000001E-2</v>
      </c>
      <c r="W6293">
        <v>-1.6693489999999998E-2</v>
      </c>
      <c r="X6293">
        <v>0.99672059999999996</v>
      </c>
      <c r="Y6293">
        <v>-8.9487579999999994E-3</v>
      </c>
      <c r="Z6293">
        <v>-1.3139390000000001E-3</v>
      </c>
      <c r="AA6293">
        <v>0.99995909999999999</v>
      </c>
      <c r="AB6293">
        <v>18</v>
      </c>
      <c r="AC6293">
        <v>44.284399999999899</v>
      </c>
      <c r="AD6293">
        <v>-1.1108178615940001</v>
      </c>
      <c r="AE6293">
        <v>2.9290899999999902</v>
      </c>
      <c r="AF6293">
        <v>-0.39633821803511099</v>
      </c>
      <c r="AG6293">
        <v>-1.1108178615940001</v>
      </c>
      <c r="AH6293">
        <v>44.351607095992101</v>
      </c>
      <c r="AI6293">
        <v>91.434656757346602</v>
      </c>
      <c r="AJ6293">
        <v>90.511997291438405</v>
      </c>
      <c r="AK6293">
        <v>44.367285834294201</v>
      </c>
      <c r="AL6293">
        <v>90.9565109099007</v>
      </c>
      <c r="AM6293">
        <v>85.457936870936294</v>
      </c>
      <c r="AN6293">
        <v>1.00000004340197</v>
      </c>
    </row>
    <row r="6294" spans="1:40" x14ac:dyDescent="0.25">
      <c r="A6294" t="str">
        <f>"20190312161440143"</f>
        <v>20190312161440143</v>
      </c>
      <c r="B6294" t="str">
        <f>"1552378480133095"</f>
        <v>1552378480133095</v>
      </c>
      <c r="C6294" t="s">
        <v>40</v>
      </c>
      <c r="D6294">
        <v>5.206499</v>
      </c>
      <c r="E6294">
        <v>0.46722049999999998</v>
      </c>
      <c r="F6294" t="s">
        <v>107</v>
      </c>
      <c r="G6294">
        <v>-239.02770000000001</v>
      </c>
      <c r="H6294" s="1">
        <v>-3.4626199999999901E-6</v>
      </c>
      <c r="I6294">
        <v>-63.294870000000003</v>
      </c>
      <c r="J6294">
        <v>-279.28109999999998</v>
      </c>
      <c r="K6294">
        <v>1.110806</v>
      </c>
      <c r="L6294">
        <v>-65.907469999999904</v>
      </c>
      <c r="M6294">
        <v>0.99823799999999996</v>
      </c>
      <c r="N6294">
        <v>0</v>
      </c>
      <c r="O6294">
        <v>5.7798080000000002E-2</v>
      </c>
      <c r="P6294">
        <v>0.9993052</v>
      </c>
      <c r="Q6294">
        <v>-3.0923780000000001E-2</v>
      </c>
      <c r="R6294">
        <v>-2.0808090000000001E-2</v>
      </c>
      <c r="S6294">
        <v>3.0039370000000001</v>
      </c>
      <c r="T6294">
        <v>-8.2709309999999994E-2</v>
      </c>
      <c r="U6294">
        <v>0.19497680000000001</v>
      </c>
      <c r="V6294">
        <v>7.8559920000000005E-2</v>
      </c>
      <c r="W6294">
        <v>-1.7426879999999999E-2</v>
      </c>
      <c r="X6294">
        <v>0.99675709999999995</v>
      </c>
      <c r="Y6294">
        <v>-6.9997280000000002E-3</v>
      </c>
      <c r="Z6294">
        <v>-1.491909E-3</v>
      </c>
      <c r="AA6294">
        <v>0.99997440000000004</v>
      </c>
      <c r="AB6294">
        <v>18</v>
      </c>
      <c r="AC6294">
        <v>40.2533999999999</v>
      </c>
      <c r="AD6294">
        <v>-1.11080946262</v>
      </c>
      <c r="AE6294">
        <v>2.6125999999999898</v>
      </c>
      <c r="AF6294">
        <v>-0.28123946875740502</v>
      </c>
      <c r="AG6294">
        <v>-1.11080946262</v>
      </c>
      <c r="AH6294">
        <v>40.306547899347102</v>
      </c>
      <c r="AI6294">
        <v>91.578578268904906</v>
      </c>
      <c r="AJ6294">
        <v>90.399775568371396</v>
      </c>
      <c r="AK6294">
        <v>40.322832202901999</v>
      </c>
      <c r="AL6294">
        <v>90.998537183676305</v>
      </c>
      <c r="AM6294">
        <v>85.493519708099797</v>
      </c>
      <c r="AN6294">
        <v>1.0000000367886701</v>
      </c>
    </row>
    <row r="6295" spans="1:40" x14ac:dyDescent="0.25">
      <c r="A6295" t="str">
        <f>"20190312161440155"</f>
        <v>20190312161440155</v>
      </c>
      <c r="B6295" t="str">
        <f>"1552378480152615"</f>
        <v>1552378480152615</v>
      </c>
      <c r="C6295" t="s">
        <v>40</v>
      </c>
      <c r="D6295">
        <v>5.2601630000000004</v>
      </c>
      <c r="E6295">
        <v>0.46796310000000002</v>
      </c>
      <c r="F6295" t="s">
        <v>106</v>
      </c>
      <c r="G6295">
        <v>-240.6651</v>
      </c>
      <c r="H6295" s="1">
        <v>-6.1633609999999996E-8</v>
      </c>
      <c r="I6295">
        <v>-63.349649999999997</v>
      </c>
      <c r="J6295">
        <v>-279.19029999999998</v>
      </c>
      <c r="K6295">
        <v>1.1107929999999999</v>
      </c>
      <c r="L6295">
        <v>-65.901399999999995</v>
      </c>
      <c r="M6295">
        <v>0.99819619999999998</v>
      </c>
      <c r="N6295">
        <v>0</v>
      </c>
      <c r="O6295">
        <v>5.8512139999999997E-2</v>
      </c>
      <c r="P6295">
        <v>0.99930580000000002</v>
      </c>
      <c r="Q6295">
        <v>-3.1717910000000002E-2</v>
      </c>
      <c r="R6295">
        <v>-1.9542009999999999E-2</v>
      </c>
      <c r="S6295">
        <v>3.003571</v>
      </c>
      <c r="T6295">
        <v>-8.6398959999999997E-2</v>
      </c>
      <c r="U6295">
        <v>0.19894410000000001</v>
      </c>
      <c r="V6295">
        <v>7.8009679999999998E-2</v>
      </c>
      <c r="W6295">
        <v>-1.8226119999999998E-2</v>
      </c>
      <c r="X6295">
        <v>0.99678599999999995</v>
      </c>
      <c r="Y6295">
        <v>-7.6092390000000003E-3</v>
      </c>
      <c r="Z6295">
        <v>-1.570257E-3</v>
      </c>
      <c r="AA6295">
        <v>0.99996980000000002</v>
      </c>
      <c r="AB6295">
        <v>18</v>
      </c>
      <c r="AC6295">
        <v>38.525199999999899</v>
      </c>
      <c r="AD6295">
        <v>-1.1107930616336099</v>
      </c>
      <c r="AE6295">
        <v>2.55174999999999</v>
      </c>
      <c r="AF6295">
        <v>-0.292739424212069</v>
      </c>
      <c r="AG6295">
        <v>-1.1107930616336099</v>
      </c>
      <c r="AH6295">
        <v>38.576574559185502</v>
      </c>
      <c r="AI6295">
        <v>91.649299955345796</v>
      </c>
      <c r="AJ6295">
        <v>90.434782293408702</v>
      </c>
      <c r="AK6295">
        <v>38.5936738639464</v>
      </c>
      <c r="AL6295">
        <v>91.044337561936103</v>
      </c>
      <c r="AM6295">
        <v>85.5250840196681</v>
      </c>
      <c r="AN6295">
        <v>1.00000001570997</v>
      </c>
    </row>
    <row r="6296" spans="1:40" x14ac:dyDescent="0.25">
      <c r="A6296" t="str">
        <f>"20190312161440166"</f>
        <v>20190312161440166</v>
      </c>
      <c r="B6296" t="str">
        <f>"1552378480162374"</f>
        <v>1552378480162374</v>
      </c>
      <c r="C6296" t="s">
        <v>40</v>
      </c>
      <c r="D6296">
        <v>5.2521500000000003</v>
      </c>
      <c r="E6296">
        <v>0.4682499</v>
      </c>
      <c r="F6296" t="s">
        <v>106</v>
      </c>
      <c r="G6296">
        <v>-244.3168</v>
      </c>
      <c r="H6296" s="1">
        <v>-1.69787999999999E-6</v>
      </c>
      <c r="I6296">
        <v>-63.61148</v>
      </c>
      <c r="J6296">
        <v>-279.09949999999998</v>
      </c>
      <c r="K6296">
        <v>1.1107849999999999</v>
      </c>
      <c r="L6296">
        <v>-65.895229999999998</v>
      </c>
      <c r="M6296">
        <v>0.9981546</v>
      </c>
      <c r="N6296">
        <v>0</v>
      </c>
      <c r="O6296">
        <v>5.9218640000000003E-2</v>
      </c>
      <c r="P6296">
        <v>0.999309</v>
      </c>
      <c r="Q6296">
        <v>-3.222585E-2</v>
      </c>
      <c r="R6296">
        <v>-1.8517780000000001E-2</v>
      </c>
      <c r="S6296">
        <v>3.002869</v>
      </c>
      <c r="T6296">
        <v>-9.5647689999999994E-2</v>
      </c>
      <c r="U6296">
        <v>0.19717409999999999</v>
      </c>
      <c r="V6296">
        <v>7.7693250000000005E-2</v>
      </c>
      <c r="W6296">
        <v>-1.8739080000000002E-2</v>
      </c>
      <c r="X6296">
        <v>0.99680119999999905</v>
      </c>
      <c r="Y6296">
        <v>-6.3357350000000003E-3</v>
      </c>
      <c r="Z6296">
        <v>-1.7813929999999901E-3</v>
      </c>
      <c r="AA6296">
        <v>0.99997840000000005</v>
      </c>
      <c r="AB6296">
        <v>18</v>
      </c>
      <c r="AC6296">
        <v>34.782699999999899</v>
      </c>
      <c r="AD6296">
        <v>-1.1107866978799901</v>
      </c>
      <c r="AE6296">
        <v>2.2837499999999902</v>
      </c>
      <c r="AF6296">
        <v>-0.21954827423812301</v>
      </c>
      <c r="AG6296">
        <v>-1.1107866978799901</v>
      </c>
      <c r="AH6296">
        <v>34.821539188383802</v>
      </c>
      <c r="AI6296">
        <v>91.827045945029397</v>
      </c>
      <c r="AJ6296">
        <v>90.361242585071494</v>
      </c>
      <c r="AK6296">
        <v>34.839943168453303</v>
      </c>
      <c r="AL6296">
        <v>91.073733028747796</v>
      </c>
      <c r="AM6296">
        <v>85.543229991086903</v>
      </c>
      <c r="AN6296">
        <v>1.0000000132681199</v>
      </c>
    </row>
    <row r="6297" spans="1:40" x14ac:dyDescent="0.25">
      <c r="A6297" t="str">
        <f>"20190312161440177"</f>
        <v>20190312161440177</v>
      </c>
      <c r="B6297" t="str">
        <f>"1552378480173110"</f>
        <v>1552378480173110</v>
      </c>
      <c r="C6297" t="s">
        <v>40</v>
      </c>
      <c r="D6297">
        <v>5.2584339999999896</v>
      </c>
      <c r="E6297">
        <v>0.46848630000000002</v>
      </c>
      <c r="F6297" t="s">
        <v>106</v>
      </c>
      <c r="G6297">
        <v>-245.4333</v>
      </c>
      <c r="H6297" s="1">
        <v>-2.1935120000000002E-6</v>
      </c>
      <c r="I6297">
        <v>-63.674100000000003</v>
      </c>
      <c r="J6297">
        <v>-279.00279999999998</v>
      </c>
      <c r="K6297">
        <v>1.1107800000000001</v>
      </c>
      <c r="L6297">
        <v>-65.88861</v>
      </c>
      <c r="M6297">
        <v>0.99811090000000002</v>
      </c>
      <c r="N6297">
        <v>0</v>
      </c>
      <c r="O6297">
        <v>5.9955269999999998E-2</v>
      </c>
      <c r="P6297">
        <v>0.99931270000000005</v>
      </c>
      <c r="Q6297">
        <v>-3.2730589999999997E-2</v>
      </c>
      <c r="R6297">
        <v>-1.741556E-2</v>
      </c>
      <c r="S6297">
        <v>3.0025629999999999</v>
      </c>
      <c r="T6297">
        <v>-9.9066970000000004E-2</v>
      </c>
      <c r="U6297">
        <v>0.1980896</v>
      </c>
      <c r="V6297">
        <v>7.7329199999999904E-2</v>
      </c>
      <c r="W6297">
        <v>-1.9251799999999999E-2</v>
      </c>
      <c r="X6297">
        <v>0.99681969999999998</v>
      </c>
      <c r="Y6297">
        <v>-5.9105659999999999E-3</v>
      </c>
      <c r="Z6297">
        <v>-1.876427E-3</v>
      </c>
      <c r="AA6297">
        <v>0.99998069999999895</v>
      </c>
      <c r="AB6297">
        <v>18</v>
      </c>
      <c r="AC6297">
        <v>33.569499999999898</v>
      </c>
      <c r="AD6297">
        <v>-1.1107821935119999</v>
      </c>
      <c r="AE6297">
        <v>2.21450999999999</v>
      </c>
      <c r="AF6297">
        <v>-0.19746066447748001</v>
      </c>
      <c r="AG6297">
        <v>-1.1107821935119999</v>
      </c>
      <c r="AH6297">
        <v>33.605248834386401</v>
      </c>
      <c r="AI6297">
        <v>91.893123059663907</v>
      </c>
      <c r="AJ6297">
        <v>90.336659685142607</v>
      </c>
      <c r="AK6297">
        <v>33.6241814326604</v>
      </c>
      <c r="AL6297">
        <v>91.103115063645902</v>
      </c>
      <c r="AM6297">
        <v>85.564111686762203</v>
      </c>
      <c r="AN6297">
        <v>0.99999997564198395</v>
      </c>
    </row>
    <row r="6298" spans="1:40" x14ac:dyDescent="0.25">
      <c r="A6298" t="str">
        <f>"20190312161440189"</f>
        <v>20190312161440189</v>
      </c>
      <c r="B6298" t="str">
        <f>"1552378480182871"</f>
        <v>1552378480182871</v>
      </c>
      <c r="C6298" t="s">
        <v>40</v>
      </c>
      <c r="D6298">
        <v>5.3569239999999896</v>
      </c>
      <c r="E6298">
        <v>0.46898830000000002</v>
      </c>
      <c r="F6298" t="s">
        <v>106</v>
      </c>
      <c r="G6298">
        <v>-246.1138</v>
      </c>
      <c r="H6298" s="1">
        <v>-2.4929220000000001E-6</v>
      </c>
      <c r="I6298">
        <v>-63.702129999999997</v>
      </c>
      <c r="J6298">
        <v>-278.91019999999997</v>
      </c>
      <c r="K6298">
        <v>1.1107750000000001</v>
      </c>
      <c r="L6298">
        <v>-65.882260000000002</v>
      </c>
      <c r="M6298">
        <v>0.99806859999999997</v>
      </c>
      <c r="N6298">
        <v>0</v>
      </c>
      <c r="O6298">
        <v>6.0656509999999997E-2</v>
      </c>
      <c r="P6298">
        <v>0.99933300000000003</v>
      </c>
      <c r="Q6298">
        <v>-3.2753329999999997E-2</v>
      </c>
      <c r="R6298">
        <v>-1.6164120000000001E-2</v>
      </c>
      <c r="S6298">
        <v>3.0022280000000001</v>
      </c>
      <c r="T6298">
        <v>-0.10139620000000001</v>
      </c>
      <c r="U6298">
        <v>0.19958500000000001</v>
      </c>
      <c r="V6298">
        <v>7.6781230000000006E-2</v>
      </c>
      <c r="W6298">
        <v>-1.9283370000000001E-2</v>
      </c>
      <c r="X6298">
        <v>0.99686149999999996</v>
      </c>
      <c r="Y6298">
        <v>-5.7131329999999996E-3</v>
      </c>
      <c r="Z6298">
        <v>-1.947622E-3</v>
      </c>
      <c r="AA6298">
        <v>0.99998180000000003</v>
      </c>
      <c r="AB6298">
        <v>18</v>
      </c>
      <c r="AC6298">
        <v>32.796399999999899</v>
      </c>
      <c r="AD6298">
        <v>-1.110777492922</v>
      </c>
      <c r="AE6298">
        <v>2.1801299999999899</v>
      </c>
      <c r="AF6298">
        <v>-0.186408027519849</v>
      </c>
      <c r="AG6298">
        <v>-1.110777492922</v>
      </c>
      <c r="AH6298">
        <v>32.830757521133201</v>
      </c>
      <c r="AI6298">
        <v>91.937742991627402</v>
      </c>
      <c r="AJ6298">
        <v>90.325313190481907</v>
      </c>
      <c r="AK6298">
        <v>32.850071750346999</v>
      </c>
      <c r="AL6298">
        <v>91.104924169537298</v>
      </c>
      <c r="AM6298">
        <v>85.595605098900094</v>
      </c>
      <c r="AN6298">
        <v>1.0000000279105501</v>
      </c>
    </row>
    <row r="6299" spans="1:40" x14ac:dyDescent="0.25">
      <c r="A6299" t="str">
        <f>"20190312161440200"</f>
        <v>20190312161440200</v>
      </c>
      <c r="B6299" t="str">
        <f>"1552378480192631"</f>
        <v>1552378480192631</v>
      </c>
      <c r="C6299" t="s">
        <v>40</v>
      </c>
      <c r="D6299">
        <v>5.2873210000000004</v>
      </c>
      <c r="E6299">
        <v>0.46918729999999997</v>
      </c>
      <c r="F6299" t="s">
        <v>106</v>
      </c>
      <c r="G6299">
        <v>-246.25909999999999</v>
      </c>
      <c r="H6299" s="1">
        <v>-2.558324E-6</v>
      </c>
      <c r="I6299">
        <v>-63.713669999999901</v>
      </c>
      <c r="J6299">
        <v>-278.81560000000002</v>
      </c>
      <c r="K6299">
        <v>1.11077</v>
      </c>
      <c r="L6299">
        <v>-65.875640000000004</v>
      </c>
      <c r="M6299">
        <v>0.99802599999999997</v>
      </c>
      <c r="N6299">
        <v>0</v>
      </c>
      <c r="O6299">
        <v>6.1356849999999998E-2</v>
      </c>
      <c r="P6299">
        <v>0.99935059999999998</v>
      </c>
      <c r="Q6299">
        <v>-3.2709429999999998E-2</v>
      </c>
      <c r="R6299">
        <v>-1.5115399999999999E-2</v>
      </c>
      <c r="S6299">
        <v>3.0018919999999998</v>
      </c>
      <c r="T6299">
        <v>-0.10212309999999999</v>
      </c>
      <c r="U6299">
        <v>0.1993713</v>
      </c>
      <c r="V6299">
        <v>7.643469E-2</v>
      </c>
      <c r="W6299">
        <v>-1.9255600000000001E-2</v>
      </c>
      <c r="X6299">
        <v>0.99688860000000001</v>
      </c>
      <c r="Y6299">
        <v>-4.9493009999999997E-3</v>
      </c>
      <c r="Z6299">
        <v>-1.998512E-3</v>
      </c>
      <c r="AA6299">
        <v>0.99998580000000004</v>
      </c>
      <c r="AB6299">
        <v>18</v>
      </c>
      <c r="AC6299">
        <v>32.5565</v>
      </c>
      <c r="AD6299">
        <v>-1.110772558324</v>
      </c>
      <c r="AE6299">
        <v>2.1619700000000099</v>
      </c>
      <c r="AF6299">
        <v>-0.15996696036371499</v>
      </c>
      <c r="AG6299">
        <v>-1.110772558324</v>
      </c>
      <c r="AH6299">
        <v>32.590042481020603</v>
      </c>
      <c r="AI6299">
        <v>91.952043703682193</v>
      </c>
      <c r="AJ6299">
        <v>90.281231854460501</v>
      </c>
      <c r="AK6299">
        <v>32.609358687644502</v>
      </c>
      <c r="AL6299">
        <v>91.103332844812201</v>
      </c>
      <c r="AM6299">
        <v>85.615524678991704</v>
      </c>
      <c r="AN6299">
        <v>0.99999996038835703</v>
      </c>
    </row>
    <row r="6300" spans="1:40" x14ac:dyDescent="0.25">
      <c r="A6300" t="str">
        <f>"20190312161440212"</f>
        <v>20190312161440212</v>
      </c>
      <c r="B6300" t="str">
        <f>"1552378480202390"</f>
        <v>1552378480202390</v>
      </c>
      <c r="C6300" t="s">
        <v>40</v>
      </c>
      <c r="D6300">
        <v>5.2869640000000002</v>
      </c>
      <c r="E6300">
        <v>0.46925689999999998</v>
      </c>
      <c r="F6300" t="s">
        <v>106</v>
      </c>
      <c r="G6300">
        <v>-246.25450000000001</v>
      </c>
      <c r="H6300" s="1">
        <v>-2.5515500000000002E-6</v>
      </c>
      <c r="I6300">
        <v>-63.695659999999997</v>
      </c>
      <c r="J6300">
        <v>-278.72570000000002</v>
      </c>
      <c r="K6300">
        <v>1.1107640000000001</v>
      </c>
      <c r="L6300">
        <v>-65.869380000000007</v>
      </c>
      <c r="M6300">
        <v>0.99798560000000003</v>
      </c>
      <c r="N6300">
        <v>0</v>
      </c>
      <c r="O6300">
        <v>6.2015349999999997E-2</v>
      </c>
      <c r="P6300">
        <v>0.99937149999999997</v>
      </c>
      <c r="Q6300">
        <v>-3.2547060000000003E-2</v>
      </c>
      <c r="R6300">
        <v>-1.405901E-2</v>
      </c>
      <c r="S6300">
        <v>3.0016780000000001</v>
      </c>
      <c r="T6300">
        <v>-0.1023978</v>
      </c>
      <c r="U6300">
        <v>0.20095830000000001</v>
      </c>
      <c r="V6300">
        <v>7.6038839999999996E-2</v>
      </c>
      <c r="W6300">
        <v>-1.9110149999999999E-2</v>
      </c>
      <c r="X6300">
        <v>0.99692170000000002</v>
      </c>
      <c r="Y6300">
        <v>-4.8211749999999996E-3</v>
      </c>
      <c r="Z6300">
        <v>-2.0285429999999998E-3</v>
      </c>
      <c r="AA6300">
        <v>0.99998629999999999</v>
      </c>
      <c r="AB6300">
        <v>18</v>
      </c>
      <c r="AC6300">
        <v>32.471200000000003</v>
      </c>
      <c r="AD6300">
        <v>-1.11076655154999</v>
      </c>
      <c r="AE6300">
        <v>2.1737200000000101</v>
      </c>
      <c r="AF6300">
        <v>-0.15546123909885601</v>
      </c>
      <c r="AG6300">
        <v>-1.11076655154999</v>
      </c>
      <c r="AH6300">
        <v>32.505636749355801</v>
      </c>
      <c r="AI6300">
        <v>91.957099156819993</v>
      </c>
      <c r="AJ6300">
        <v>90.274020319467795</v>
      </c>
      <c r="AK6300">
        <v>32.524981030124799</v>
      </c>
      <c r="AL6300">
        <v>91.094997607742599</v>
      </c>
      <c r="AM6300">
        <v>85.638287981107396</v>
      </c>
      <c r="AN6300">
        <v>0.99999998947622903</v>
      </c>
    </row>
    <row r="6301" spans="1:40" x14ac:dyDescent="0.25">
      <c r="A6301" t="str">
        <f>"20190312161440223"</f>
        <v>20190312161440223</v>
      </c>
      <c r="B6301" t="str">
        <f>"1552378480213127"</f>
        <v>1552378480213127</v>
      </c>
      <c r="C6301" t="s">
        <v>40</v>
      </c>
      <c r="D6301">
        <v>5.303553</v>
      </c>
      <c r="E6301">
        <v>0.46949459999999998</v>
      </c>
      <c r="F6301" t="s">
        <v>106</v>
      </c>
      <c r="G6301">
        <v>-245.75360000000001</v>
      </c>
      <c r="H6301" s="1">
        <v>-2.3202339999999999E-6</v>
      </c>
      <c r="I6301">
        <v>-63.633929999999999</v>
      </c>
      <c r="J6301">
        <v>-278.6266</v>
      </c>
      <c r="K6301">
        <v>1.1107640000000001</v>
      </c>
      <c r="L6301">
        <v>-65.862369999999999</v>
      </c>
      <c r="M6301">
        <v>0.99794130000000003</v>
      </c>
      <c r="N6301">
        <v>0</v>
      </c>
      <c r="O6301">
        <v>6.2729919999999995E-2</v>
      </c>
      <c r="P6301">
        <v>0.99938910000000003</v>
      </c>
      <c r="Q6301">
        <v>-3.2438979999999999E-2</v>
      </c>
      <c r="R6301">
        <v>-1.3021639999999999E-2</v>
      </c>
      <c r="S6301">
        <v>3.0014949999999998</v>
      </c>
      <c r="T6301">
        <v>-0.10111439999999999</v>
      </c>
      <c r="U6301">
        <v>0.20349120000000001</v>
      </c>
      <c r="V6301">
        <v>7.5718049999999995E-2</v>
      </c>
      <c r="W6301">
        <v>-1.9024349999999999E-2</v>
      </c>
      <c r="X6301">
        <v>0.99694780000000005</v>
      </c>
      <c r="Y6301">
        <v>-4.9488379999999997E-3</v>
      </c>
      <c r="Z6301">
        <v>-2.0250149999999998E-3</v>
      </c>
      <c r="AA6301">
        <v>0.99998569999999998</v>
      </c>
      <c r="AB6301">
        <v>18</v>
      </c>
      <c r="AC6301">
        <v>32.872999999999898</v>
      </c>
      <c r="AD6301">
        <v>-1.1107663202339999</v>
      </c>
      <c r="AE6301">
        <v>2.2284399999999902</v>
      </c>
      <c r="AF6301">
        <v>-0.161562437777301</v>
      </c>
      <c r="AG6301">
        <v>-1.1107663202339999</v>
      </c>
      <c r="AH6301">
        <v>32.910645209669703</v>
      </c>
      <c r="AI6301">
        <v>91.9330312953647</v>
      </c>
      <c r="AJ6301">
        <v>90.281269826003196</v>
      </c>
      <c r="AK6301">
        <v>32.929780933924</v>
      </c>
      <c r="AL6301">
        <v>91.090080689078903</v>
      </c>
      <c r="AM6301">
        <v>85.656731730679098</v>
      </c>
      <c r="AN6301">
        <v>1.0000000324567799</v>
      </c>
    </row>
    <row r="6302" spans="1:40" x14ac:dyDescent="0.25">
      <c r="A6302" t="str">
        <f>"20190312161440245"</f>
        <v>20190312161440245</v>
      </c>
      <c r="B6302" t="str">
        <f>"1552378480232646"</f>
        <v>1552378480232646</v>
      </c>
      <c r="C6302" t="s">
        <v>40</v>
      </c>
      <c r="D6302">
        <v>5.2948550000000001</v>
      </c>
      <c r="E6302">
        <v>0.46955609999999998</v>
      </c>
      <c r="F6302" t="s">
        <v>106</v>
      </c>
      <c r="G6302">
        <v>-245.8252</v>
      </c>
      <c r="H6302" s="1">
        <v>-2.3485609999999998E-6</v>
      </c>
      <c r="I6302">
        <v>-63.62491</v>
      </c>
      <c r="J6302">
        <v>-278.45010000000002</v>
      </c>
      <c r="K6302">
        <v>1.1107479999999901</v>
      </c>
      <c r="L6302">
        <v>-65.849760000000003</v>
      </c>
      <c r="M6302">
        <v>0.99786249999999999</v>
      </c>
      <c r="N6302">
        <v>0</v>
      </c>
      <c r="O6302">
        <v>6.3977149999999997E-2</v>
      </c>
      <c r="P6302">
        <v>0.99941550000000001</v>
      </c>
      <c r="Q6302">
        <v>-3.2264950000000001E-2</v>
      </c>
      <c r="R6302">
        <v>-1.1305590000000001E-2</v>
      </c>
      <c r="S6302">
        <v>3.0011899999999998</v>
      </c>
      <c r="T6302">
        <v>-0.10163030000000001</v>
      </c>
      <c r="U6302">
        <v>0.2047119</v>
      </c>
      <c r="V6302">
        <v>7.5252169999999993E-2</v>
      </c>
      <c r="W6302">
        <v>-1.8896929999999999E-2</v>
      </c>
      <c r="X6302">
        <v>0.99698549999999997</v>
      </c>
      <c r="Y6302">
        <v>-4.1122659999999998E-3</v>
      </c>
      <c r="Z6302">
        <v>-2.0917269999999998E-3</v>
      </c>
      <c r="AA6302">
        <v>0.99998929999999997</v>
      </c>
      <c r="AB6302">
        <v>18</v>
      </c>
      <c r="AC6302">
        <v>32.624899999999997</v>
      </c>
      <c r="AD6302">
        <v>-1.11075034856099</v>
      </c>
      <c r="AE6302">
        <v>2.22485</v>
      </c>
      <c r="AF6302">
        <v>-0.13270493308872</v>
      </c>
      <c r="AG6302">
        <v>-1.11075034856099</v>
      </c>
      <c r="AH6302">
        <v>32.662718474585098</v>
      </c>
      <c r="AI6302">
        <v>91.9476721366308</v>
      </c>
      <c r="AJ6302">
        <v>90.232784994798607</v>
      </c>
      <c r="AK6302">
        <v>32.681868904426203</v>
      </c>
      <c r="AL6302">
        <v>91.082778745525502</v>
      </c>
      <c r="AM6302">
        <v>85.683516399553397</v>
      </c>
      <c r="AN6302">
        <v>1.00000003513169</v>
      </c>
    </row>
    <row r="6303" spans="1:40" x14ac:dyDescent="0.25">
      <c r="A6303" t="str">
        <f>"20190312161440257"</f>
        <v>20190312161440257</v>
      </c>
      <c r="B6303" t="str">
        <f>"1552378480253143"</f>
        <v>1552378480253143</v>
      </c>
      <c r="C6303" t="s">
        <v>40</v>
      </c>
      <c r="D6303">
        <v>5.3700929999999998</v>
      </c>
      <c r="E6303">
        <v>0.46992889999999998</v>
      </c>
      <c r="F6303" t="s">
        <v>106</v>
      </c>
      <c r="G6303">
        <v>-245.4033</v>
      </c>
      <c r="H6303" s="1">
        <v>-2.1460100000000001E-6</v>
      </c>
      <c r="I6303">
        <v>-63.543880000000001</v>
      </c>
      <c r="J6303">
        <v>-278.35899999999998</v>
      </c>
      <c r="K6303">
        <v>1.1107389999999999</v>
      </c>
      <c r="L6303">
        <v>-65.843170000000001</v>
      </c>
      <c r="M6303">
        <v>0.99782249999999995</v>
      </c>
      <c r="N6303">
        <v>0</v>
      </c>
      <c r="O6303">
        <v>6.4605750000000003E-2</v>
      </c>
      <c r="P6303">
        <v>0.99941340000000001</v>
      </c>
      <c r="Q6303">
        <v>-3.2525199999999997E-2</v>
      </c>
      <c r="R6303">
        <v>-1.0730440000000001E-2</v>
      </c>
      <c r="S6303">
        <v>3.0008240000000002</v>
      </c>
      <c r="T6303">
        <v>-0.1008619</v>
      </c>
      <c r="U6303">
        <v>0.20938109999999999</v>
      </c>
      <c r="V6303">
        <v>7.5306360000000003E-2</v>
      </c>
      <c r="W6303">
        <v>-1.9187639999999999E-2</v>
      </c>
      <c r="X6303">
        <v>0.99697579999999997</v>
      </c>
      <c r="Y6303">
        <v>-5.0385330000000004E-3</v>
      </c>
      <c r="Z6303">
        <v>-2.0815320000000001E-3</v>
      </c>
      <c r="AA6303">
        <v>0.99998520000000002</v>
      </c>
      <c r="AB6303">
        <v>18</v>
      </c>
      <c r="AC6303">
        <v>32.9557</v>
      </c>
      <c r="AD6303">
        <v>-1.1107411460099901</v>
      </c>
      <c r="AE6303">
        <v>2.2992899999999898</v>
      </c>
      <c r="AF6303">
        <v>-0.16498363809389599</v>
      </c>
      <c r="AG6303">
        <v>-1.1107411460099901</v>
      </c>
      <c r="AH6303">
        <v>32.998096360471997</v>
      </c>
      <c r="AI6303">
        <v>91.927867744310106</v>
      </c>
      <c r="AJ6303">
        <v>90.286464627597397</v>
      </c>
      <c r="AK6303">
        <v>33.017197472064097</v>
      </c>
      <c r="AL6303">
        <v>91.099438282847004</v>
      </c>
      <c r="AM6303">
        <v>85.680377939974804</v>
      </c>
      <c r="AN6303">
        <v>0.99999997958542897</v>
      </c>
    </row>
    <row r="6304" spans="1:40" x14ac:dyDescent="0.25">
      <c r="A6304" t="str">
        <f>"20190312161440268"</f>
        <v>20190312161440268</v>
      </c>
      <c r="B6304" t="str">
        <f>"1552378480262904"</f>
        <v>1552378480262904</v>
      </c>
      <c r="C6304" t="s">
        <v>40</v>
      </c>
      <c r="D6304">
        <v>5.3457569999999999</v>
      </c>
      <c r="E6304">
        <v>0.47016910000000001</v>
      </c>
      <c r="F6304" t="s">
        <v>106</v>
      </c>
      <c r="G6304">
        <v>-245.65289999999999</v>
      </c>
      <c r="H6304" s="1">
        <v>-2.2611470000000001E-6</v>
      </c>
      <c r="I6304">
        <v>-63.574260000000002</v>
      </c>
      <c r="J6304">
        <v>-278.26190000000003</v>
      </c>
      <c r="K6304">
        <v>1.110725</v>
      </c>
      <c r="L6304">
        <v>-65.836119999999994</v>
      </c>
      <c r="M6304">
        <v>0.99777950000000004</v>
      </c>
      <c r="N6304">
        <v>0</v>
      </c>
      <c r="O6304">
        <v>6.5271319999999994E-2</v>
      </c>
      <c r="P6304">
        <v>0.99941290000000005</v>
      </c>
      <c r="Q6304">
        <v>-3.268542E-2</v>
      </c>
      <c r="R6304">
        <v>-1.026206E-2</v>
      </c>
      <c r="S6304">
        <v>3.000702</v>
      </c>
      <c r="T6304">
        <v>-0.1019075</v>
      </c>
      <c r="U6304">
        <v>0.2081604</v>
      </c>
      <c r="V6304">
        <v>7.5503769999999998E-2</v>
      </c>
      <c r="W6304">
        <v>-1.938233E-2</v>
      </c>
      <c r="X6304">
        <v>0.99695710000000004</v>
      </c>
      <c r="Y6304">
        <v>-3.9711999999999898E-3</v>
      </c>
      <c r="Z6304">
        <v>-2.1438270000000001E-3</v>
      </c>
      <c r="AA6304">
        <v>0.99998980000000004</v>
      </c>
      <c r="AB6304">
        <v>18</v>
      </c>
      <c r="AC6304">
        <v>32.609000000000002</v>
      </c>
      <c r="AD6304">
        <v>-1.110727261147</v>
      </c>
      <c r="AE6304">
        <v>2.2618599999999902</v>
      </c>
      <c r="AF6304">
        <v>-0.12826824276189999</v>
      </c>
      <c r="AG6304">
        <v>-1.110727261147</v>
      </c>
      <c r="AH6304">
        <v>32.649399318016599</v>
      </c>
      <c r="AI6304">
        <v>91.948426643025002</v>
      </c>
      <c r="AJ6304">
        <v>90.225094222237601</v>
      </c>
      <c r="AK6304">
        <v>32.668539049336999</v>
      </c>
      <c r="AL6304">
        <v>91.110595276593898</v>
      </c>
      <c r="AM6304">
        <v>85.669016474436901</v>
      </c>
      <c r="AN6304">
        <v>0.99999997662042495</v>
      </c>
    </row>
    <row r="6305" spans="1:40" x14ac:dyDescent="0.25">
      <c r="A6305" t="str">
        <f>"20190312161440279"</f>
        <v>20190312161440279</v>
      </c>
      <c r="B6305" t="str">
        <f>"1552378480272663"</f>
        <v>1552378480272663</v>
      </c>
      <c r="C6305" t="s">
        <v>40</v>
      </c>
      <c r="D6305">
        <v>5.4313520000000004</v>
      </c>
      <c r="E6305">
        <v>0.4705473</v>
      </c>
      <c r="F6305" t="s">
        <v>106</v>
      </c>
      <c r="G6305">
        <v>-245.91309999999999</v>
      </c>
      <c r="H6305" s="1">
        <v>-2.378899E-6</v>
      </c>
      <c r="I6305">
        <v>-63.597160000000002</v>
      </c>
      <c r="J6305">
        <v>-278.17399999999998</v>
      </c>
      <c r="K6305">
        <v>1.110714</v>
      </c>
      <c r="L6305">
        <v>-65.829650000000001</v>
      </c>
      <c r="M6305">
        <v>0.99774160000000001</v>
      </c>
      <c r="N6305">
        <v>0</v>
      </c>
      <c r="O6305">
        <v>6.5859650000000006E-2</v>
      </c>
      <c r="P6305">
        <v>0.99941400000000002</v>
      </c>
      <c r="Q6305">
        <v>-3.2698730000000002E-2</v>
      </c>
      <c r="R6305">
        <v>-1.013208E-2</v>
      </c>
      <c r="S6305">
        <v>3.0005489999999999</v>
      </c>
      <c r="T6305">
        <v>-0.10302699999999999</v>
      </c>
      <c r="U6305">
        <v>0.2076721</v>
      </c>
      <c r="V6305">
        <v>7.5961550000000003E-2</v>
      </c>
      <c r="W6305">
        <v>-1.9433140000000002E-2</v>
      </c>
      <c r="X6305">
        <v>0.99692139999999996</v>
      </c>
      <c r="Y6305">
        <v>-3.2247130000000001E-3</v>
      </c>
      <c r="Z6305">
        <v>-2.2004020000000002E-3</v>
      </c>
      <c r="AA6305">
        <v>0.9999924</v>
      </c>
      <c r="AB6305">
        <v>18</v>
      </c>
      <c r="AC6305">
        <v>32.260899999999999</v>
      </c>
      <c r="AD6305">
        <v>-1.110716378899</v>
      </c>
      <c r="AE6305">
        <v>2.2324899999999999</v>
      </c>
      <c r="AF6305">
        <v>-0.10264442189487299</v>
      </c>
      <c r="AG6305">
        <v>-1.110716378899</v>
      </c>
      <c r="AH6305">
        <v>32.299785171922402</v>
      </c>
      <c r="AI6305">
        <v>91.969485938495794</v>
      </c>
      <c r="AJ6305">
        <v>90.182077754899893</v>
      </c>
      <c r="AK6305">
        <v>32.319040036858098</v>
      </c>
      <c r="AL6305">
        <v>91.113506952063304</v>
      </c>
      <c r="AM6305">
        <v>85.642703072713402</v>
      </c>
      <c r="AN6305">
        <v>1.0000000408933101</v>
      </c>
    </row>
    <row r="6306" spans="1:40" x14ac:dyDescent="0.25">
      <c r="A6306" t="str">
        <f>"20190312161440291"</f>
        <v>20190312161440291</v>
      </c>
      <c r="B6306" t="str">
        <f>"1552378480282423"</f>
        <v>1552378480282423</v>
      </c>
      <c r="C6306" t="s">
        <v>40</v>
      </c>
      <c r="D6306">
        <v>5.2674079999999996</v>
      </c>
      <c r="E6306">
        <v>0.47097359999999999</v>
      </c>
      <c r="F6306" t="s">
        <v>106</v>
      </c>
      <c r="G6306">
        <v>-246.12960000000001</v>
      </c>
      <c r="H6306" s="1">
        <v>-2.4829870000000001E-6</v>
      </c>
      <c r="I6306">
        <v>-63.6393699999999</v>
      </c>
      <c r="J6306">
        <v>-278.07929999999999</v>
      </c>
      <c r="K6306">
        <v>1.110703</v>
      </c>
      <c r="L6306">
        <v>-65.822630000000004</v>
      </c>
      <c r="M6306">
        <v>0.99770020000000004</v>
      </c>
      <c r="N6306">
        <v>0</v>
      </c>
      <c r="O6306">
        <v>6.6490450000000006E-2</v>
      </c>
      <c r="P6306">
        <v>0.9994189</v>
      </c>
      <c r="Q6306">
        <v>-3.2596809999999997E-2</v>
      </c>
      <c r="R6306">
        <v>-9.9662729999999995E-3</v>
      </c>
      <c r="S6306">
        <v>3.0004270000000002</v>
      </c>
      <c r="T6306">
        <v>-0.1040002</v>
      </c>
      <c r="U6306">
        <v>0.20507810000000001</v>
      </c>
      <c r="V6306">
        <v>7.6426229999999998E-2</v>
      </c>
      <c r="W6306">
        <v>-1.93727E-2</v>
      </c>
      <c r="X6306">
        <v>0.99688699999999997</v>
      </c>
      <c r="Y6306">
        <v>-1.7368119999999999E-3</v>
      </c>
      <c r="Z6306">
        <v>-2.2688679999999998E-3</v>
      </c>
      <c r="AA6306">
        <v>0.99999590000000005</v>
      </c>
      <c r="AB6306">
        <v>18</v>
      </c>
      <c r="AC6306">
        <v>31.949699999999901</v>
      </c>
      <c r="AD6306">
        <v>-1.110705482987</v>
      </c>
      <c r="AE6306">
        <v>2.18326000000001</v>
      </c>
      <c r="AF6306">
        <v>-5.3828926682928803E-2</v>
      </c>
      <c r="AG6306">
        <v>-1.110705482987</v>
      </c>
      <c r="AH6306">
        <v>31.985686929391999</v>
      </c>
      <c r="AI6306">
        <v>91.988798486351399</v>
      </c>
      <c r="AJ6306">
        <v>90.096423359918006</v>
      </c>
      <c r="AK6306">
        <v>32.005011054026603</v>
      </c>
      <c r="AL6306">
        <v>91.110043410350698</v>
      </c>
      <c r="AM6306">
        <v>85.616001063843996</v>
      </c>
      <c r="AN6306">
        <v>0.99999998045315097</v>
      </c>
    </row>
    <row r="6307" spans="1:40" x14ac:dyDescent="0.25">
      <c r="A6307" t="str">
        <f>"20190312161440300"</f>
        <v>20190312161440300</v>
      </c>
      <c r="B6307" t="str">
        <f>"1552378480293158"</f>
        <v>1552378480293158</v>
      </c>
      <c r="C6307" t="s">
        <v>40</v>
      </c>
      <c r="D6307">
        <v>5.367229</v>
      </c>
      <c r="E6307">
        <v>0.47117350000000002</v>
      </c>
      <c r="F6307" t="s">
        <v>106</v>
      </c>
      <c r="G6307">
        <v>-246.16550000000001</v>
      </c>
      <c r="H6307" s="1">
        <v>-2.5068899999999998E-6</v>
      </c>
      <c r="I6307">
        <v>-63.671399999999998</v>
      </c>
      <c r="J6307">
        <v>-277.99180000000001</v>
      </c>
      <c r="K6307">
        <v>1.1106929999999999</v>
      </c>
      <c r="L6307">
        <v>-65.816159999999996</v>
      </c>
      <c r="M6307">
        <v>0.99766239999999995</v>
      </c>
      <c r="N6307">
        <v>0</v>
      </c>
      <c r="O6307">
        <v>6.7062880000000005E-2</v>
      </c>
      <c r="P6307">
        <v>0.99942830000000005</v>
      </c>
      <c r="Q6307">
        <v>-3.2375760000000003E-2</v>
      </c>
      <c r="R6307">
        <v>-9.7533140000000008E-3</v>
      </c>
      <c r="S6307">
        <v>3.0003359999999999</v>
      </c>
      <c r="T6307">
        <v>-0.1044215</v>
      </c>
      <c r="U6307">
        <v>0.20224</v>
      </c>
      <c r="V6307">
        <v>7.6785709999999993E-2</v>
      </c>
      <c r="W6307">
        <v>-1.9192730000000002E-2</v>
      </c>
      <c r="X6307">
        <v>0.9968629</v>
      </c>
      <c r="Y6307">
        <v>-2.2513439999999999E-4</v>
      </c>
      <c r="Z6307">
        <v>-2.3243209999999999E-3</v>
      </c>
      <c r="AA6307">
        <v>0.99999729999999998</v>
      </c>
      <c r="AB6307">
        <v>18</v>
      </c>
      <c r="AC6307">
        <v>31.8263</v>
      </c>
      <c r="AD6307">
        <v>-1.11069550689</v>
      </c>
      <c r="AE6307">
        <v>2.14475999999999</v>
      </c>
      <c r="AF6307">
        <v>-5.3770159531420997E-3</v>
      </c>
      <c r="AG6307">
        <v>-1.11069550689</v>
      </c>
      <c r="AH6307">
        <v>31.859857642927501</v>
      </c>
      <c r="AI6307">
        <v>91.996631702481693</v>
      </c>
      <c r="AJ6307">
        <v>90.009669858573005</v>
      </c>
      <c r="AK6307">
        <v>31.879212701209099</v>
      </c>
      <c r="AL6307">
        <v>91.099729923487004</v>
      </c>
      <c r="AM6307">
        <v>85.595355285906606</v>
      </c>
      <c r="AN6307">
        <v>1.0000000237707301</v>
      </c>
    </row>
    <row r="6308" spans="1:40" x14ac:dyDescent="0.25">
      <c r="A6308" t="str">
        <f>"20190312161440312"</f>
        <v>20190312161440312</v>
      </c>
      <c r="B6308" t="str">
        <f>"1552378480302919"</f>
        <v>1552378480302919</v>
      </c>
      <c r="C6308" t="s">
        <v>40</v>
      </c>
      <c r="D6308">
        <v>5.3751150000000001</v>
      </c>
      <c r="E6308">
        <v>0.47139439999999999</v>
      </c>
      <c r="F6308" t="s">
        <v>106</v>
      </c>
      <c r="G6308">
        <v>-245.99619999999999</v>
      </c>
      <c r="H6308" s="1">
        <v>-2.433843E-6</v>
      </c>
      <c r="I6308">
        <v>-63.669780000000003</v>
      </c>
      <c r="J6308">
        <v>-277.90640000000002</v>
      </c>
      <c r="K6308">
        <v>1.1106849999999999</v>
      </c>
      <c r="L6308">
        <v>-65.809749999999994</v>
      </c>
      <c r="M6308">
        <v>0.99762550000000005</v>
      </c>
      <c r="N6308">
        <v>0</v>
      </c>
      <c r="O6308">
        <v>6.7616789999999996E-2</v>
      </c>
      <c r="P6308">
        <v>0.9994383</v>
      </c>
      <c r="Q6308">
        <v>-3.2104720000000003E-2</v>
      </c>
      <c r="R6308">
        <v>-9.6063720000000002E-3</v>
      </c>
      <c r="S6308">
        <v>3.0002749999999998</v>
      </c>
      <c r="T6308">
        <v>-0.10415149999999999</v>
      </c>
      <c r="U6308">
        <v>0.20126340000000001</v>
      </c>
      <c r="V6308">
        <v>7.7192609999999995E-2</v>
      </c>
      <c r="W6308">
        <v>-1.8963420000000002E-2</v>
      </c>
      <c r="X6308">
        <v>0.99683580000000005</v>
      </c>
      <c r="Y6308">
        <v>6.5206140000000003E-4</v>
      </c>
      <c r="Z6308">
        <v>-2.3527439999999999E-3</v>
      </c>
      <c r="AA6308">
        <v>0.99999700000000002</v>
      </c>
      <c r="AB6308">
        <v>18</v>
      </c>
      <c r="AC6308">
        <v>31.9102</v>
      </c>
      <c r="AD6308">
        <v>-1.1106874338429999</v>
      </c>
      <c r="AE6308">
        <v>2.1399699999999902</v>
      </c>
      <c r="AF6308">
        <v>2.2751162745330001E-2</v>
      </c>
      <c r="AG6308">
        <v>-1.1106874338429999</v>
      </c>
      <c r="AH6308">
        <v>31.943340796816202</v>
      </c>
      <c r="AI6308">
        <v>91.991402821198605</v>
      </c>
      <c r="AJ6308">
        <v>89.959191952019196</v>
      </c>
      <c r="AK6308">
        <v>31.9626526660827</v>
      </c>
      <c r="AL6308">
        <v>91.086589104832598</v>
      </c>
      <c r="AM6308">
        <v>85.571987037395601</v>
      </c>
      <c r="AN6308">
        <v>0.99999996124917301</v>
      </c>
    </row>
    <row r="6309" spans="1:40" x14ac:dyDescent="0.25">
      <c r="A6309" t="str">
        <f>"20190312161440322"</f>
        <v>20190312161440322</v>
      </c>
      <c r="B6309" t="str">
        <f>"1552378480312679"</f>
        <v>1552378480312679</v>
      </c>
      <c r="C6309" t="s">
        <v>40</v>
      </c>
      <c r="D6309">
        <v>5.3660750000000004</v>
      </c>
      <c r="E6309">
        <v>0.47162179999999998</v>
      </c>
      <c r="F6309" t="s">
        <v>106</v>
      </c>
      <c r="G6309">
        <v>-246.0393</v>
      </c>
      <c r="H6309" s="1">
        <v>-2.4564579999999998E-6</v>
      </c>
      <c r="I6309">
        <v>-63.685250000000003</v>
      </c>
      <c r="J6309">
        <v>-277.8186</v>
      </c>
      <c r="K6309">
        <v>1.1106769999999999</v>
      </c>
      <c r="L6309">
        <v>-65.803159999999906</v>
      </c>
      <c r="M6309">
        <v>0.99758789999999997</v>
      </c>
      <c r="N6309">
        <v>0</v>
      </c>
      <c r="O6309">
        <v>6.8178820000000001E-2</v>
      </c>
      <c r="P6309">
        <v>0.99946710000000005</v>
      </c>
      <c r="Q6309">
        <v>-3.1359690000000003E-2</v>
      </c>
      <c r="R6309">
        <v>-9.0601210000000008E-3</v>
      </c>
      <c r="S6309">
        <v>3.0002140000000002</v>
      </c>
      <c r="T6309">
        <v>-0.1045687</v>
      </c>
      <c r="U6309">
        <v>0.2000122</v>
      </c>
      <c r="V6309">
        <v>7.7209819999999998E-2</v>
      </c>
      <c r="W6309">
        <v>-1.8263669999999999E-2</v>
      </c>
      <c r="X6309">
        <v>0.99684759999999994</v>
      </c>
      <c r="Y6309">
        <v>1.6279580000000001E-3</v>
      </c>
      <c r="Z6309">
        <v>-2.3987399999999999E-3</v>
      </c>
      <c r="AA6309">
        <v>0.99999579999999999</v>
      </c>
      <c r="AB6309">
        <v>18</v>
      </c>
      <c r="AC6309">
        <v>31.779299999999999</v>
      </c>
      <c r="AD6309">
        <v>-1.110679456458</v>
      </c>
      <c r="AE6309">
        <v>2.1179099999999802</v>
      </c>
      <c r="AF6309">
        <v>5.3812924678836298E-2</v>
      </c>
      <c r="AG6309">
        <v>-1.110679456458</v>
      </c>
      <c r="AH6309">
        <v>31.811064599496198</v>
      </c>
      <c r="AI6309">
        <v>91.999660025046296</v>
      </c>
      <c r="AJ6309">
        <v>89.903076160288506</v>
      </c>
      <c r="AK6309">
        <v>31.830493801372</v>
      </c>
      <c r="AL6309">
        <v>91.046489363958003</v>
      </c>
      <c r="AM6309">
        <v>85.571055963581401</v>
      </c>
      <c r="AN6309">
        <v>1.0000000277860299</v>
      </c>
    </row>
    <row r="6310" spans="1:40" x14ac:dyDescent="0.25">
      <c r="A6310" t="str">
        <f>"20190312161440335"</f>
        <v>20190312161440335</v>
      </c>
      <c r="B6310" t="str">
        <f>"1552378480322439"</f>
        <v>1552378480322439</v>
      </c>
      <c r="C6310" t="s">
        <v>40</v>
      </c>
      <c r="D6310">
        <v>5.2971409999999999</v>
      </c>
      <c r="E6310">
        <v>0.47189999999999999</v>
      </c>
      <c r="F6310" t="s">
        <v>106</v>
      </c>
      <c r="G6310">
        <v>-245.75729999999999</v>
      </c>
      <c r="H6310" s="1">
        <v>-2.3304479999999998E-6</v>
      </c>
      <c r="I6310">
        <v>-63.666310000000003</v>
      </c>
      <c r="J6310">
        <v>-277.72390000000001</v>
      </c>
      <c r="K6310">
        <v>1.110665</v>
      </c>
      <c r="L6310">
        <v>-65.795959999999994</v>
      </c>
      <c r="M6310">
        <v>0.99754759999999998</v>
      </c>
      <c r="N6310">
        <v>0</v>
      </c>
      <c r="O6310">
        <v>6.8776050000000005E-2</v>
      </c>
      <c r="P6310">
        <v>0.9994847</v>
      </c>
      <c r="Q6310">
        <v>-3.0959589999999999E-2</v>
      </c>
      <c r="R6310">
        <v>-8.4940209999999992E-3</v>
      </c>
      <c r="S6310">
        <v>3.0001530000000001</v>
      </c>
      <c r="T6310">
        <v>-0.103932399999999</v>
      </c>
      <c r="U6310">
        <v>0.1999512</v>
      </c>
      <c r="V6310">
        <v>7.7241959999999998E-2</v>
      </c>
      <c r="W6310">
        <v>-1.7916660000000001E-2</v>
      </c>
      <c r="X6310">
        <v>0.99685140000000005</v>
      </c>
      <c r="Y6310">
        <v>2.2452850000000001E-3</v>
      </c>
      <c r="Z6310">
        <v>-2.4154810000000001E-3</v>
      </c>
      <c r="AA6310">
        <v>0.99999459999999996</v>
      </c>
      <c r="AB6310">
        <v>18</v>
      </c>
      <c r="AC6310">
        <v>31.9666</v>
      </c>
      <c r="AD6310">
        <v>-1.1106673304479999</v>
      </c>
      <c r="AE6310">
        <v>2.1296499999999901</v>
      </c>
      <c r="AF6310">
        <v>7.4026514214899905E-2</v>
      </c>
      <c r="AG6310">
        <v>-1.1106673304479999</v>
      </c>
      <c r="AH6310">
        <v>31.998917506068501</v>
      </c>
      <c r="AI6310">
        <v>91.987906104472202</v>
      </c>
      <c r="AJ6310">
        <v>89.8674517889757</v>
      </c>
      <c r="AK6310">
        <v>32.018272648659703</v>
      </c>
      <c r="AL6310">
        <v>91.026603909494099</v>
      </c>
      <c r="AM6310">
        <v>85.569236497362198</v>
      </c>
      <c r="AN6310">
        <v>1.0000000203860699</v>
      </c>
    </row>
    <row r="6311" spans="1:40" x14ac:dyDescent="0.25">
      <c r="A6311" t="str">
        <f>"20190312161440345"</f>
        <v>20190312161440345</v>
      </c>
      <c r="B6311" t="str">
        <f>"1552378480342935"</f>
        <v>1552378480342935</v>
      </c>
      <c r="C6311" t="s">
        <v>40</v>
      </c>
      <c r="D6311">
        <v>5.4668039999999998</v>
      </c>
      <c r="E6311">
        <v>0.47239150000000002</v>
      </c>
      <c r="F6311" t="s">
        <v>106</v>
      </c>
      <c r="G6311">
        <v>-245.9896</v>
      </c>
      <c r="H6311" s="1">
        <v>-2.4351569999999999E-6</v>
      </c>
      <c r="I6311">
        <v>-63.685310000000001</v>
      </c>
      <c r="J6311">
        <v>-277.6318</v>
      </c>
      <c r="K6311">
        <v>1.110649</v>
      </c>
      <c r="L6311">
        <v>-65.788939999999997</v>
      </c>
      <c r="M6311">
        <v>0.99750850000000002</v>
      </c>
      <c r="N6311">
        <v>0</v>
      </c>
      <c r="O6311">
        <v>6.9351399999999994E-2</v>
      </c>
      <c r="P6311">
        <v>0.99950399999999995</v>
      </c>
      <c r="Q6311">
        <v>-3.0501179999999999E-2</v>
      </c>
      <c r="R6311">
        <v>-7.8550759999999904E-3</v>
      </c>
      <c r="S6311">
        <v>3</v>
      </c>
      <c r="T6311">
        <v>-0.104996699999999</v>
      </c>
      <c r="U6311">
        <v>0.1995239</v>
      </c>
      <c r="V6311">
        <v>7.7180109999999996E-2</v>
      </c>
      <c r="W6311">
        <v>-1.751291E-2</v>
      </c>
      <c r="X6311">
        <v>0.99686339999999996</v>
      </c>
      <c r="Y6311">
        <v>2.958764E-3</v>
      </c>
      <c r="Z6311">
        <v>-2.4728549999999999E-3</v>
      </c>
      <c r="AA6311">
        <v>0.99999249999999995</v>
      </c>
      <c r="AB6311">
        <v>18</v>
      </c>
      <c r="AC6311">
        <v>31.642199999999999</v>
      </c>
      <c r="AD6311">
        <v>-1.110651435157</v>
      </c>
      <c r="AE6311">
        <v>2.1036299999999901</v>
      </c>
      <c r="AF6311">
        <v>9.5932420397163196E-2</v>
      </c>
      <c r="AG6311">
        <v>-1.110651435157</v>
      </c>
      <c r="AH6311">
        <v>31.673053461905901</v>
      </c>
      <c r="AI6311">
        <v>92.008309198163104</v>
      </c>
      <c r="AJ6311">
        <v>89.826461127094305</v>
      </c>
      <c r="AK6311">
        <v>31.6926657957397</v>
      </c>
      <c r="AL6311">
        <v>91.003467073658896</v>
      </c>
      <c r="AM6311">
        <v>85.572823316624095</v>
      </c>
      <c r="AN6311">
        <v>1.00000005482791</v>
      </c>
    </row>
    <row r="6312" spans="1:40" x14ac:dyDescent="0.25">
      <c r="A6312" t="str">
        <f>"20190312161440357"</f>
        <v>20190312161440357</v>
      </c>
      <c r="B6312" t="str">
        <f>"1552378480352699"</f>
        <v>1552378480352699</v>
      </c>
      <c r="C6312" t="s">
        <v>40</v>
      </c>
      <c r="D6312">
        <v>5.3357299999999999</v>
      </c>
      <c r="E6312">
        <v>0.47264669999999998</v>
      </c>
      <c r="F6312" t="s">
        <v>106</v>
      </c>
      <c r="G6312">
        <v>-246.20400000000001</v>
      </c>
      <c r="H6312" s="1">
        <v>-2.53611E-6</v>
      </c>
      <c r="I6312">
        <v>-63.719009999999997</v>
      </c>
      <c r="J6312">
        <v>-277.54109999999997</v>
      </c>
      <c r="K6312">
        <v>1.110633</v>
      </c>
      <c r="L6312">
        <v>-65.781980000000004</v>
      </c>
      <c r="M6312">
        <v>0.99747050000000004</v>
      </c>
      <c r="N6312">
        <v>0</v>
      </c>
      <c r="O6312">
        <v>6.9905030000000007E-2</v>
      </c>
      <c r="P6312">
        <v>0.99950139999999998</v>
      </c>
      <c r="Q6312">
        <v>-3.0743920000000001E-2</v>
      </c>
      <c r="R6312">
        <v>-7.1983319999999896E-3</v>
      </c>
      <c r="S6312">
        <v>2.9998170000000002</v>
      </c>
      <c r="T6312">
        <v>-0.1060128</v>
      </c>
      <c r="U6312">
        <v>0.19757079999999999</v>
      </c>
      <c r="V6312">
        <v>7.7077740000000006E-2</v>
      </c>
      <c r="W6312">
        <v>-1.7816519999999999E-2</v>
      </c>
      <c r="X6312">
        <v>0.99686589999999997</v>
      </c>
      <c r="Y6312">
        <v>4.1559919999999998E-3</v>
      </c>
      <c r="Z6312">
        <v>-2.5375969999999999E-3</v>
      </c>
      <c r="AA6312">
        <v>0.99998810000000005</v>
      </c>
      <c r="AB6312">
        <v>18</v>
      </c>
      <c r="AC6312">
        <v>31.3370999999999</v>
      </c>
      <c r="AD6312">
        <v>-1.11063553611</v>
      </c>
      <c r="AE6312">
        <v>2.06297</v>
      </c>
      <c r="AF6312">
        <v>0.13271423681286701</v>
      </c>
      <c r="AG6312">
        <v>-1.11063553611</v>
      </c>
      <c r="AH6312">
        <v>31.365421509446101</v>
      </c>
      <c r="AI6312">
        <v>92.027952470096196</v>
      </c>
      <c r="AJ6312">
        <v>89.7575699637827</v>
      </c>
      <c r="AK6312">
        <v>31.385359498147299</v>
      </c>
      <c r="AL6312">
        <v>91.020865400289196</v>
      </c>
      <c r="AM6312">
        <v>85.578683171753994</v>
      </c>
      <c r="AN6312">
        <v>1.00000001448561</v>
      </c>
    </row>
    <row r="6313" spans="1:40" x14ac:dyDescent="0.25">
      <c r="A6313" t="str">
        <f>"20190312161440369"</f>
        <v>20190312161440369</v>
      </c>
      <c r="B6313" t="str">
        <f>"1552378480362460"</f>
        <v>1552378480362460</v>
      </c>
      <c r="C6313" t="s">
        <v>40</v>
      </c>
      <c r="D6313">
        <v>5.367826</v>
      </c>
      <c r="E6313">
        <v>0.47284910000000002</v>
      </c>
      <c r="F6313" t="s">
        <v>106</v>
      </c>
      <c r="G6313">
        <v>-246.4178</v>
      </c>
      <c r="H6313" s="1">
        <v>-2.6312829999999999E-6</v>
      </c>
      <c r="I6313">
        <v>-63.731969999999997</v>
      </c>
      <c r="J6313">
        <v>-277.44600000000003</v>
      </c>
      <c r="K6313">
        <v>1.1106149999999999</v>
      </c>
      <c r="L6313">
        <v>-65.774630000000002</v>
      </c>
      <c r="M6313">
        <v>0.99743090000000001</v>
      </c>
      <c r="N6313">
        <v>0</v>
      </c>
      <c r="O6313">
        <v>7.0481550000000004E-2</v>
      </c>
      <c r="P6313">
        <v>0.99950119999999998</v>
      </c>
      <c r="Q6313">
        <v>-3.089863E-2</v>
      </c>
      <c r="R6313">
        <v>-6.5417380000000001E-3</v>
      </c>
      <c r="S6313">
        <v>2.999603</v>
      </c>
      <c r="T6313">
        <v>-0.107041</v>
      </c>
      <c r="U6313">
        <v>0.19757079999999999</v>
      </c>
      <c r="V6313">
        <v>7.6998629999999998E-2</v>
      </c>
      <c r="W6313">
        <v>-1.8036989999999999E-2</v>
      </c>
      <c r="X6313">
        <v>0.99686799999999998</v>
      </c>
      <c r="Y6313">
        <v>4.7276159999999996E-3</v>
      </c>
      <c r="Z6313">
        <v>-2.5930419999999998E-3</v>
      </c>
      <c r="AA6313">
        <v>0.99998549999999997</v>
      </c>
      <c r="AB6313">
        <v>18</v>
      </c>
      <c r="AC6313">
        <v>31.028199999999899</v>
      </c>
      <c r="AD6313">
        <v>-1.1106176312829901</v>
      </c>
      <c r="AE6313">
        <v>2.0426600000000001</v>
      </c>
      <c r="AF6313">
        <v>0.149325195177374</v>
      </c>
      <c r="AG6313">
        <v>-1.1106176312829901</v>
      </c>
      <c r="AH6313">
        <v>31.055388043654698</v>
      </c>
      <c r="AI6313">
        <v>92.048142524028293</v>
      </c>
      <c r="AJ6313">
        <v>89.724503924700898</v>
      </c>
      <c r="AK6313">
        <v>31.075599689769501</v>
      </c>
      <c r="AL6313">
        <v>91.0334994812915</v>
      </c>
      <c r="AM6313">
        <v>85.583212364803899</v>
      </c>
      <c r="AN6313">
        <v>0.99999996572706695</v>
      </c>
    </row>
    <row r="6314" spans="1:40" x14ac:dyDescent="0.25">
      <c r="A6314" t="str">
        <f>"20190312161440380"</f>
        <v>20190312161440380</v>
      </c>
      <c r="B6314" t="str">
        <f>"1552378480373190"</f>
        <v>1552378480373190</v>
      </c>
      <c r="C6314" t="s">
        <v>40</v>
      </c>
      <c r="D6314">
        <v>5.5412089999999896</v>
      </c>
      <c r="E6314">
        <v>0.473028</v>
      </c>
      <c r="F6314" t="s">
        <v>106</v>
      </c>
      <c r="G6314">
        <v>-246.76859999999999</v>
      </c>
      <c r="H6314" s="1">
        <v>-2.774575E-6</v>
      </c>
      <c r="I6314">
        <v>-63.749850000000002</v>
      </c>
      <c r="J6314">
        <v>-277.35610000000003</v>
      </c>
      <c r="K6314">
        <v>1.1105969999999901</v>
      </c>
      <c r="L6314">
        <v>-65.767669999999995</v>
      </c>
      <c r="M6314">
        <v>0.99739409999999895</v>
      </c>
      <c r="N6314">
        <v>0</v>
      </c>
      <c r="O6314">
        <v>7.1011469999999993E-2</v>
      </c>
      <c r="P6314">
        <v>0.99949379999999999</v>
      </c>
      <c r="Q6314">
        <v>-3.1227649999999999E-2</v>
      </c>
      <c r="R6314">
        <v>-6.0894419999999996E-3</v>
      </c>
      <c r="S6314">
        <v>2.9994809999999998</v>
      </c>
      <c r="T6314">
        <v>-0.1085908</v>
      </c>
      <c r="U6314">
        <v>0.19796749999999999</v>
      </c>
      <c r="V6314">
        <v>7.7076399999999906E-2</v>
      </c>
      <c r="W6314">
        <v>-1.8432190000000001E-2</v>
      </c>
      <c r="X6314">
        <v>0.99685480000000004</v>
      </c>
      <c r="Y6314">
        <v>5.1224850000000004E-3</v>
      </c>
      <c r="Z6314">
        <v>-2.6568899999999999E-3</v>
      </c>
      <c r="AA6314">
        <v>0.99998339999999997</v>
      </c>
      <c r="AB6314">
        <v>18</v>
      </c>
      <c r="AC6314">
        <v>30.587499999999999</v>
      </c>
      <c r="AD6314">
        <v>-1.11059977457499</v>
      </c>
      <c r="AE6314">
        <v>2.0178199999999902</v>
      </c>
      <c r="AF6314">
        <v>0.15930541872811901</v>
      </c>
      <c r="AG6314">
        <v>-1.11059977457499</v>
      </c>
      <c r="AH6314">
        <v>30.613385315709099</v>
      </c>
      <c r="AI6314">
        <v>92.077650834020204</v>
      </c>
      <c r="AJ6314">
        <v>89.701847879132202</v>
      </c>
      <c r="AK6314">
        <v>30.633938215054801</v>
      </c>
      <c r="AL6314">
        <v>91.056146498530097</v>
      </c>
      <c r="AM6314">
        <v>85.578710696373406</v>
      </c>
      <c r="AN6314">
        <v>1.00000000467409</v>
      </c>
    </row>
    <row r="6315" spans="1:40" x14ac:dyDescent="0.25">
      <c r="A6315" t="str">
        <f>"20190312161440391"</f>
        <v>20190312161440391</v>
      </c>
      <c r="B6315" t="str">
        <f>"1552378480382951"</f>
        <v>1552378480382951</v>
      </c>
      <c r="C6315" t="s">
        <v>40</v>
      </c>
      <c r="D6315">
        <v>5.3379659999999998</v>
      </c>
      <c r="E6315">
        <v>0.47319660000000002</v>
      </c>
      <c r="F6315" t="s">
        <v>106</v>
      </c>
      <c r="G6315">
        <v>-246.77950000000001</v>
      </c>
      <c r="H6315" s="1">
        <v>-2.7784150000000001E-6</v>
      </c>
      <c r="I6315">
        <v>-63.750680000000003</v>
      </c>
      <c r="J6315">
        <v>-277.26299999999998</v>
      </c>
      <c r="K6315">
        <v>1.110568</v>
      </c>
      <c r="L6315">
        <v>-65.760379999999998</v>
      </c>
      <c r="M6315">
        <v>0.99735600000000002</v>
      </c>
      <c r="N6315">
        <v>0</v>
      </c>
      <c r="O6315">
        <v>7.1556819999999993E-2</v>
      </c>
      <c r="P6315">
        <v>0.99948979999999998</v>
      </c>
      <c r="Q6315">
        <v>-3.1425679999999998E-2</v>
      </c>
      <c r="R6315">
        <v>-5.7296569999999896E-3</v>
      </c>
      <c r="S6315">
        <v>2.9993289999999999</v>
      </c>
      <c r="T6315">
        <v>-0.1089411</v>
      </c>
      <c r="U6315">
        <v>0.19784550000000001</v>
      </c>
      <c r="V6315">
        <v>7.7261880000000005E-2</v>
      </c>
      <c r="W6315">
        <v>-1.8698820000000001E-2</v>
      </c>
      <c r="X6315">
        <v>0.99683549999999999</v>
      </c>
      <c r="Y6315">
        <v>5.7053269999999996E-3</v>
      </c>
      <c r="Z6315">
        <v>-2.6958820000000001E-3</v>
      </c>
      <c r="AA6315">
        <v>0.99998010000000004</v>
      </c>
      <c r="AB6315">
        <v>18</v>
      </c>
      <c r="AC6315">
        <v>30.4834999999999</v>
      </c>
      <c r="AD6315">
        <v>-1.1105707784150001</v>
      </c>
      <c r="AE6315">
        <v>2.0096999999999898</v>
      </c>
      <c r="AF6315">
        <v>0.17669666889392999</v>
      </c>
      <c r="AG6315">
        <v>-1.1105707784150001</v>
      </c>
      <c r="AH6315">
        <v>30.508844470731098</v>
      </c>
      <c r="AI6315">
        <v>92.084702675599701</v>
      </c>
      <c r="AJ6315">
        <v>89.668166383796404</v>
      </c>
      <c r="AK6315">
        <v>30.529562396240198</v>
      </c>
      <c r="AL6315">
        <v>91.071425879577106</v>
      </c>
      <c r="AM6315">
        <v>85.568027986196796</v>
      </c>
      <c r="AN6315">
        <v>1.0000000290153801</v>
      </c>
    </row>
    <row r="6316" spans="1:40" x14ac:dyDescent="0.25">
      <c r="A6316" t="str">
        <f>"20190312161440402"</f>
        <v>20190312161440402</v>
      </c>
      <c r="B6316" t="str">
        <f>"1552378480392711"</f>
        <v>1552378480392711</v>
      </c>
      <c r="C6316" t="s">
        <v>40</v>
      </c>
      <c r="D6316">
        <v>5.3688390000000004</v>
      </c>
      <c r="E6316">
        <v>0.47331050000000002</v>
      </c>
      <c r="F6316" t="s">
        <v>106</v>
      </c>
      <c r="G6316">
        <v>-246.51230000000001</v>
      </c>
      <c r="H6316" s="1">
        <v>-2.6726929999999999E-6</v>
      </c>
      <c r="I6316">
        <v>-63.735300000000002</v>
      </c>
      <c r="J6316">
        <v>-277.17439999999999</v>
      </c>
      <c r="K6316">
        <v>1.1105510000000001</v>
      </c>
      <c r="L6316">
        <v>-65.753450000000001</v>
      </c>
      <c r="M6316">
        <v>0.99732019999999999</v>
      </c>
      <c r="N6316">
        <v>0</v>
      </c>
      <c r="O6316">
        <v>7.2066400000000003E-2</v>
      </c>
      <c r="P6316">
        <v>0.99949589999999999</v>
      </c>
      <c r="Q6316">
        <v>-3.1332180000000001E-2</v>
      </c>
      <c r="R6316">
        <v>-5.1846820000000004E-3</v>
      </c>
      <c r="S6316">
        <v>2.9992679999999998</v>
      </c>
      <c r="T6316">
        <v>-0.1083194</v>
      </c>
      <c r="U6316">
        <v>0.19750980000000001</v>
      </c>
      <c r="V6316">
        <v>7.7227370000000004E-2</v>
      </c>
      <c r="W6316">
        <v>-1.8670570000000001E-2</v>
      </c>
      <c r="X6316">
        <v>0.99683869999999997</v>
      </c>
      <c r="Y6316">
        <v>6.3261469999999998E-3</v>
      </c>
      <c r="Z6316">
        <v>-2.7100890000000002E-3</v>
      </c>
      <c r="AA6316">
        <v>0.99997630000000004</v>
      </c>
      <c r="AB6316">
        <v>18</v>
      </c>
      <c r="AC6316">
        <v>30.662099999999899</v>
      </c>
      <c r="AD6316">
        <v>-1.1105536726930001</v>
      </c>
      <c r="AE6316">
        <v>2.0181499999999901</v>
      </c>
      <c r="AF6316">
        <v>0.19672409384166101</v>
      </c>
      <c r="AG6316">
        <v>-1.1105536726930001</v>
      </c>
      <c r="AH6316">
        <v>30.687729973639101</v>
      </c>
      <c r="AI6316">
        <v>92.072521402554898</v>
      </c>
      <c r="AJ6316">
        <v>89.632709688199697</v>
      </c>
      <c r="AK6316">
        <v>30.708448361387699</v>
      </c>
      <c r="AL6316">
        <v>91.069806995169699</v>
      </c>
      <c r="AM6316">
        <v>85.570013865347207</v>
      </c>
      <c r="AN6316">
        <v>1.0000000253394601</v>
      </c>
    </row>
    <row r="6317" spans="1:40" x14ac:dyDescent="0.25">
      <c r="A6317" t="str">
        <f>"20190312161440414"</f>
        <v>20190312161440414</v>
      </c>
      <c r="B6317" t="str">
        <f>"1552378480402472"</f>
        <v>1552378480402472</v>
      </c>
      <c r="C6317" t="s">
        <v>40</v>
      </c>
      <c r="D6317">
        <v>5.4303800000000004</v>
      </c>
      <c r="E6317">
        <v>0.47363110000000003</v>
      </c>
      <c r="F6317" t="s">
        <v>106</v>
      </c>
      <c r="G6317">
        <v>-246.25120000000001</v>
      </c>
      <c r="H6317" s="1">
        <v>-2.5538649999999999E-6</v>
      </c>
      <c r="I6317">
        <v>-63.709710000000001</v>
      </c>
      <c r="J6317">
        <v>-277.08179999999999</v>
      </c>
      <c r="K6317">
        <v>1.110533</v>
      </c>
      <c r="L6317">
        <v>-65.746119999999905</v>
      </c>
      <c r="M6317">
        <v>0.99728289999999997</v>
      </c>
      <c r="N6317">
        <v>0</v>
      </c>
      <c r="O6317">
        <v>7.2591799999999998E-2</v>
      </c>
      <c r="P6317">
        <v>0.99949840000000001</v>
      </c>
      <c r="Q6317">
        <v>-3.1350709999999997E-2</v>
      </c>
      <c r="R6317">
        <v>-4.541392E-3</v>
      </c>
      <c r="S6317">
        <v>2.9991759999999998</v>
      </c>
      <c r="T6317">
        <v>-0.1077101</v>
      </c>
      <c r="U6317">
        <v>0.19821169999999999</v>
      </c>
      <c r="V6317">
        <v>7.7110620000000005E-2</v>
      </c>
      <c r="W6317">
        <v>-1.8757949999999999E-2</v>
      </c>
      <c r="X6317">
        <v>0.99684609999999996</v>
      </c>
      <c r="Y6317">
        <v>6.6179280000000004E-3</v>
      </c>
      <c r="Z6317">
        <v>-2.7189250000000001E-3</v>
      </c>
      <c r="AA6317">
        <v>0.99997440000000004</v>
      </c>
      <c r="AB6317">
        <v>18</v>
      </c>
      <c r="AC6317">
        <v>30.830599999999901</v>
      </c>
      <c r="AD6317">
        <v>-1.1105355538649999</v>
      </c>
      <c r="AE6317">
        <v>2.0364099999999801</v>
      </c>
      <c r="AF6317">
        <v>0.20692085964184601</v>
      </c>
      <c r="AG6317">
        <v>-1.1105355538649999</v>
      </c>
      <c r="AH6317">
        <v>30.857223446198301</v>
      </c>
      <c r="AI6317">
        <v>92.061109655494803</v>
      </c>
      <c r="AJ6317">
        <v>89.615794523094095</v>
      </c>
      <c r="AK6317">
        <v>30.877894103503198</v>
      </c>
      <c r="AL6317">
        <v>91.074814374600606</v>
      </c>
      <c r="AM6317">
        <v>85.576717091614597</v>
      </c>
      <c r="AN6317">
        <v>1.00000002774509</v>
      </c>
    </row>
    <row r="6318" spans="1:40" x14ac:dyDescent="0.25">
      <c r="A6318" t="str">
        <f>"20190312161440424"</f>
        <v>20190312161440424</v>
      </c>
      <c r="B6318" t="str">
        <f>"1552378480413207"</f>
        <v>1552378480413207</v>
      </c>
      <c r="C6318" t="s">
        <v>40</v>
      </c>
      <c r="D6318">
        <v>5.5527550000000003</v>
      </c>
      <c r="E6318">
        <v>0.47363110000000003</v>
      </c>
      <c r="F6318" t="s">
        <v>106</v>
      </c>
      <c r="G6318">
        <v>-246.2492</v>
      </c>
      <c r="H6318" s="1">
        <v>-2.554313E-6</v>
      </c>
      <c r="I6318">
        <v>-63.714550000000003</v>
      </c>
      <c r="J6318">
        <v>-276.99200000000002</v>
      </c>
      <c r="K6318">
        <v>1.1105229999999999</v>
      </c>
      <c r="L6318">
        <v>-65.739009999999993</v>
      </c>
      <c r="M6318">
        <v>0.99724699999999999</v>
      </c>
      <c r="N6318">
        <v>0</v>
      </c>
      <c r="O6318">
        <v>7.3094199999999998E-2</v>
      </c>
      <c r="P6318">
        <v>0.99949750000000004</v>
      </c>
      <c r="Q6318">
        <v>-3.1473880000000003E-2</v>
      </c>
      <c r="R6318">
        <v>-3.796064E-3</v>
      </c>
      <c r="S6318">
        <v>2.9990230000000002</v>
      </c>
      <c r="T6318">
        <v>-0.10801959999999999</v>
      </c>
      <c r="U6318">
        <v>0.19760130000000001</v>
      </c>
      <c r="V6318">
        <v>7.6869149999999997E-2</v>
      </c>
      <c r="W6318">
        <v>-1.8948570000000001E-2</v>
      </c>
      <c r="X6318">
        <v>0.99686110000000006</v>
      </c>
      <c r="Y6318">
        <v>7.3198319999999897E-3</v>
      </c>
      <c r="Z6318">
        <v>-2.7575270000000001E-3</v>
      </c>
      <c r="AA6318">
        <v>0.99996940000000001</v>
      </c>
      <c r="AB6318">
        <v>18</v>
      </c>
      <c r="AC6318">
        <v>30.742799999999999</v>
      </c>
      <c r="AD6318">
        <v>-1.1105255543129999</v>
      </c>
      <c r="AE6318">
        <v>2.0244599999999902</v>
      </c>
      <c r="AF6318">
        <v>0.22795530572432299</v>
      </c>
      <c r="AG6318">
        <v>-1.1105255543129999</v>
      </c>
      <c r="AH6318">
        <v>30.768563358255399</v>
      </c>
      <c r="AI6318">
        <v>92.067014789078698</v>
      </c>
      <c r="AJ6318">
        <v>89.575520058397004</v>
      </c>
      <c r="AK6318">
        <v>30.7894417253572</v>
      </c>
      <c r="AL6318">
        <v>91.0857380852852</v>
      </c>
      <c r="AM6318">
        <v>85.5905798678792</v>
      </c>
      <c r="AN6318">
        <v>0.99999998360998799</v>
      </c>
    </row>
    <row r="6319" spans="1:40" x14ac:dyDescent="0.25">
      <c r="A6319" t="str">
        <f>"20190312161440456"</f>
        <v>20190312161440456</v>
      </c>
      <c r="B6319" t="str">
        <f>"1552378480453223"</f>
        <v>1552378480453223</v>
      </c>
      <c r="C6319" t="s">
        <v>40</v>
      </c>
      <c r="D6319">
        <v>5.5572999999999997</v>
      </c>
      <c r="E6319">
        <v>0.49729430000000002</v>
      </c>
      <c r="F6319" t="s">
        <v>106</v>
      </c>
      <c r="G6319">
        <v>-246.2741</v>
      </c>
      <c r="H6319" s="1">
        <v>-2.5588960000000001E-6</v>
      </c>
      <c r="I6319">
        <v>-63.69173</v>
      </c>
      <c r="J6319">
        <v>-276.7346</v>
      </c>
      <c r="K6319">
        <v>1.110476</v>
      </c>
      <c r="L6319">
        <v>-65.718379999999996</v>
      </c>
      <c r="M6319">
        <v>0.9971468</v>
      </c>
      <c r="N6319">
        <v>0</v>
      </c>
      <c r="O6319">
        <v>7.4481439999999996E-2</v>
      </c>
      <c r="P6319">
        <v>0.99950779999999995</v>
      </c>
      <c r="Q6319">
        <v>-3.1311499999999999E-2</v>
      </c>
      <c r="R6319">
        <v>-1.9770500000000002E-3</v>
      </c>
      <c r="S6319">
        <v>2.99884</v>
      </c>
      <c r="T6319">
        <v>-0.108415</v>
      </c>
      <c r="U6319">
        <v>0.1998596</v>
      </c>
      <c r="V6319">
        <v>7.6441490000000001E-2</v>
      </c>
      <c r="W6319">
        <v>-1.8986590000000001E-2</v>
      </c>
      <c r="X6319">
        <v>0.99689329999999998</v>
      </c>
      <c r="Y6319">
        <v>7.9553119999999904E-3</v>
      </c>
      <c r="Z6319">
        <v>-2.8290809999999998E-3</v>
      </c>
      <c r="AA6319">
        <v>0.99996439999999998</v>
      </c>
      <c r="AB6319">
        <v>18</v>
      </c>
      <c r="AC6319">
        <v>30.4605</v>
      </c>
      <c r="AD6319">
        <v>-1.110478558896</v>
      </c>
      <c r="AE6319">
        <v>2.0266500000000001</v>
      </c>
      <c r="AF6319">
        <v>0.24756544903824099</v>
      </c>
      <c r="AG6319">
        <v>-1.110478558896</v>
      </c>
      <c r="AH6319">
        <v>30.486499358408501</v>
      </c>
      <c r="AI6319">
        <v>92.086022466384605</v>
      </c>
      <c r="AJ6319">
        <v>89.534740166690995</v>
      </c>
      <c r="AK6319">
        <v>30.507721881706701</v>
      </c>
      <c r="AL6319">
        <v>91.087916821281198</v>
      </c>
      <c r="AM6319">
        <v>85.615156728495904</v>
      </c>
      <c r="AN6319">
        <v>1.0000000217890599</v>
      </c>
    </row>
    <row r="6320" spans="1:40" x14ac:dyDescent="0.25">
      <c r="A6320" t="str">
        <f>"20190312161440467"</f>
        <v>20190312161440467</v>
      </c>
      <c r="B6320" t="str">
        <f>"1552378480462982"</f>
        <v>1552378480462982</v>
      </c>
      <c r="C6320" t="s">
        <v>40</v>
      </c>
      <c r="D6320">
        <v>5.5331299999999999</v>
      </c>
      <c r="E6320">
        <v>0.4978532</v>
      </c>
      <c r="F6320" t="s">
        <v>107</v>
      </c>
      <c r="G6320">
        <v>-233.41980000000001</v>
      </c>
      <c r="H6320" s="1">
        <v>-1.8164099999999999E-6</v>
      </c>
      <c r="I6320">
        <v>-65.503230000000002</v>
      </c>
      <c r="J6320">
        <v>-276.63889999999998</v>
      </c>
      <c r="K6320">
        <v>1.110457</v>
      </c>
      <c r="L6320">
        <v>-65.710660000000004</v>
      </c>
      <c r="M6320">
        <v>0.99711019999999995</v>
      </c>
      <c r="N6320">
        <v>0</v>
      </c>
      <c r="O6320">
        <v>7.498204E-2</v>
      </c>
      <c r="P6320">
        <v>0.99950620000000001</v>
      </c>
      <c r="Q6320">
        <v>-3.1401209999999999E-2</v>
      </c>
      <c r="R6320">
        <v>-1.2896050000000001E-3</v>
      </c>
      <c r="S6320">
        <v>2.9990540000000001</v>
      </c>
      <c r="T6320">
        <v>-7.6887730000000001E-2</v>
      </c>
      <c r="U6320">
        <v>1.4892580000000001E-2</v>
      </c>
      <c r="V6320">
        <v>7.6255829999999997E-2</v>
      </c>
      <c r="W6320">
        <v>-1.9152269999999999E-2</v>
      </c>
      <c r="X6320">
        <v>0.99690429999999997</v>
      </c>
      <c r="Y6320">
        <v>6.9987380000000002E-2</v>
      </c>
      <c r="Z6320">
        <v>-2.8177020000000001E-3</v>
      </c>
      <c r="AA6320">
        <v>0.99754390000000004</v>
      </c>
      <c r="AB6320">
        <v>18</v>
      </c>
      <c r="AC6320">
        <v>43.219099999999898</v>
      </c>
      <c r="AD6320">
        <v>-1.11045881641</v>
      </c>
      <c r="AE6320">
        <v>0.207430000000002</v>
      </c>
      <c r="AF6320">
        <v>3.0320500628290499</v>
      </c>
      <c r="AG6320">
        <v>-1.11045881641</v>
      </c>
      <c r="AH6320">
        <v>43.084527464654201</v>
      </c>
      <c r="AI6320">
        <v>91.472771285132893</v>
      </c>
      <c r="AJ6320">
        <v>85.974477642551193</v>
      </c>
      <c r="AK6320">
        <v>43.205357922588597</v>
      </c>
      <c r="AL6320">
        <v>91.097411366713899</v>
      </c>
      <c r="AM6320">
        <v>85.625813268190797</v>
      </c>
      <c r="AN6320">
        <v>0.99999997220681502</v>
      </c>
    </row>
    <row r="6321" spans="1:40" x14ac:dyDescent="0.25">
      <c r="A6321" t="str">
        <f>"20190312161440479"</f>
        <v>20190312161440479</v>
      </c>
      <c r="B6321" t="str">
        <f>"1552378480472748"</f>
        <v>1552378480472748</v>
      </c>
      <c r="C6321" t="s">
        <v>40</v>
      </c>
      <c r="D6321">
        <v>5.4885210000000004</v>
      </c>
      <c r="E6321">
        <v>0.49820160000000002</v>
      </c>
      <c r="F6321" t="s">
        <v>107</v>
      </c>
      <c r="G6321">
        <v>-233.27180000000001</v>
      </c>
      <c r="H6321" s="1">
        <v>-1.7601830000000001E-6</v>
      </c>
      <c r="I6321">
        <v>-65.530559999999994</v>
      </c>
      <c r="J6321">
        <v>-276.54559999999998</v>
      </c>
      <c r="K6321">
        <v>1.110439</v>
      </c>
      <c r="L6321">
        <v>-65.703059999999994</v>
      </c>
      <c r="M6321">
        <v>0.99707539999999995</v>
      </c>
      <c r="N6321">
        <v>0</v>
      </c>
      <c r="O6321">
        <v>7.5453179999999995E-2</v>
      </c>
      <c r="P6321">
        <v>0.99950039999999996</v>
      </c>
      <c r="Q6321">
        <v>-3.1593629999999998E-2</v>
      </c>
      <c r="R6321">
        <v>-9.6977290000000002E-4</v>
      </c>
      <c r="S6321">
        <v>2.9990540000000001</v>
      </c>
      <c r="T6321">
        <v>-7.6793669999999994E-2</v>
      </c>
      <c r="U6321">
        <v>1.2451169999999999E-2</v>
      </c>
      <c r="V6321">
        <v>7.6407039999999996E-2</v>
      </c>
      <c r="W6321">
        <v>-1.941824E-2</v>
      </c>
      <c r="X6321">
        <v>0.99688759999999998</v>
      </c>
      <c r="Y6321">
        <v>7.1270210000000001E-2</v>
      </c>
      <c r="Z6321">
        <v>-2.8427320000000002E-3</v>
      </c>
      <c r="AA6321">
        <v>0.99745300000000003</v>
      </c>
      <c r="AB6321">
        <v>18</v>
      </c>
      <c r="AC6321">
        <v>43.273799999999902</v>
      </c>
      <c r="AD6321">
        <v>-1.110440760183</v>
      </c>
      <c r="AE6321">
        <v>0.17249999999999899</v>
      </c>
      <c r="AF6321">
        <v>3.0913428577473101</v>
      </c>
      <c r="AG6321">
        <v>-1.110440760183</v>
      </c>
      <c r="AH6321">
        <v>43.1350367839079</v>
      </c>
      <c r="AI6321">
        <v>91.470889325903997</v>
      </c>
      <c r="AJ6321">
        <v>85.900812755346706</v>
      </c>
      <c r="AK6321">
        <v>43.259922303387299</v>
      </c>
      <c r="AL6321">
        <v>91.112653134463898</v>
      </c>
      <c r="AM6321">
        <v>85.6171001879312</v>
      </c>
      <c r="AN6321">
        <v>0.99999999542000895</v>
      </c>
    </row>
    <row r="6322" spans="1:40" x14ac:dyDescent="0.25">
      <c r="A6322" t="str">
        <f>"20190312161440490"</f>
        <v>20190312161440490</v>
      </c>
      <c r="B6322" t="str">
        <f>"1552378480482503"</f>
        <v>1552378480482503</v>
      </c>
      <c r="C6322" t="s">
        <v>40</v>
      </c>
      <c r="D6322">
        <v>5.478421</v>
      </c>
      <c r="E6322">
        <v>0.49846950000000001</v>
      </c>
      <c r="F6322" t="s">
        <v>107</v>
      </c>
      <c r="G6322">
        <v>-232.20160000000001</v>
      </c>
      <c r="H6322" s="1">
        <v>-1.3059230000000001E-6</v>
      </c>
      <c r="I6322">
        <v>-65.548689999999993</v>
      </c>
      <c r="J6322">
        <v>-276.45490000000001</v>
      </c>
      <c r="K6322">
        <v>1.110425</v>
      </c>
      <c r="L6322">
        <v>-65.695679999999996</v>
      </c>
      <c r="M6322">
        <v>0.99704190000000004</v>
      </c>
      <c r="N6322">
        <v>0</v>
      </c>
      <c r="O6322">
        <v>7.5907130000000003E-2</v>
      </c>
      <c r="P6322">
        <v>0.99948780000000004</v>
      </c>
      <c r="Q6322">
        <v>-3.2000130000000002E-2</v>
      </c>
      <c r="R6322">
        <v>-7.2309390000000005E-4</v>
      </c>
      <c r="S6322">
        <v>2.9991460000000001</v>
      </c>
      <c r="T6322">
        <v>-7.5103039999999996E-2</v>
      </c>
      <c r="U6322">
        <v>1.043701E-2</v>
      </c>
      <c r="V6322">
        <v>7.6613860000000006E-2</v>
      </c>
      <c r="W6322">
        <v>-1.9895980000000001E-2</v>
      </c>
      <c r="X6322">
        <v>0.99686229999999998</v>
      </c>
      <c r="Y6322">
        <v>7.2395829999999994E-2</v>
      </c>
      <c r="Z6322">
        <v>-2.805531E-3</v>
      </c>
      <c r="AA6322">
        <v>0.99737200000000004</v>
      </c>
      <c r="AB6322">
        <v>18</v>
      </c>
      <c r="AC6322">
        <v>44.253300000000003</v>
      </c>
      <c r="AD6322">
        <v>-1.110426305923</v>
      </c>
      <c r="AE6322">
        <v>0.14699000000000201</v>
      </c>
      <c r="AF6322">
        <v>3.21079803501928</v>
      </c>
      <c r="AG6322">
        <v>-1.110426305923</v>
      </c>
      <c r="AH6322">
        <v>44.108992018536298</v>
      </c>
      <c r="AI6322">
        <v>91.438289918041207</v>
      </c>
      <c r="AJ6322">
        <v>85.836647590608294</v>
      </c>
      <c r="AK6322">
        <v>44.2396366112321</v>
      </c>
      <c r="AL6322">
        <v>91.140030917385303</v>
      </c>
      <c r="AM6322">
        <v>85.605171788012598</v>
      </c>
      <c r="AN6322">
        <v>0.99999998936277401</v>
      </c>
    </row>
    <row r="6323" spans="1:40" x14ac:dyDescent="0.25">
      <c r="A6323" t="str">
        <f>"20190312161440503"</f>
        <v>20190312161440503</v>
      </c>
      <c r="B6323" t="str">
        <f>"1552378480492506"</f>
        <v>1552378480492506</v>
      </c>
      <c r="C6323" t="s">
        <v>40</v>
      </c>
      <c r="D6323">
        <v>5.8032459999999997</v>
      </c>
      <c r="E6323">
        <v>0.49826330000000002</v>
      </c>
      <c r="F6323" t="s">
        <v>107</v>
      </c>
      <c r="G6323">
        <v>-232.93369999999999</v>
      </c>
      <c r="H6323" s="1">
        <v>-1.623845E-6</v>
      </c>
      <c r="I6323">
        <v>-65.563199999999995</v>
      </c>
      <c r="J6323">
        <v>-276.35219999999998</v>
      </c>
      <c r="K6323">
        <v>1.110403</v>
      </c>
      <c r="L6323">
        <v>-65.687290000000004</v>
      </c>
      <c r="M6323">
        <v>0.99700469999999997</v>
      </c>
      <c r="N6323">
        <v>0</v>
      </c>
      <c r="O6323">
        <v>7.640653E-2</v>
      </c>
      <c r="P6323">
        <v>0.99948210000000004</v>
      </c>
      <c r="Q6323">
        <v>-3.2180060000000003E-2</v>
      </c>
      <c r="R6323">
        <v>-2.1770049999999999E-4</v>
      </c>
      <c r="S6323">
        <v>2.9990540000000001</v>
      </c>
      <c r="T6323">
        <v>-7.6519610000000002E-2</v>
      </c>
      <c r="U6323">
        <v>9.1247559999999995E-3</v>
      </c>
      <c r="V6323">
        <v>7.660865E-2</v>
      </c>
      <c r="W6323">
        <v>-2.0155449999999998E-2</v>
      </c>
      <c r="X6323">
        <v>0.99685749999999995</v>
      </c>
      <c r="Y6323">
        <v>7.3329329999999998E-2</v>
      </c>
      <c r="Z6323">
        <v>-2.8831439999999998E-3</v>
      </c>
      <c r="AA6323">
        <v>0.99730359999999996</v>
      </c>
      <c r="AB6323">
        <v>18</v>
      </c>
      <c r="AC6323">
        <v>43.418500000000002</v>
      </c>
      <c r="AD6323">
        <v>-1.110404623845</v>
      </c>
      <c r="AE6323">
        <v>0.124090000000009</v>
      </c>
      <c r="AF6323">
        <v>3.19188041541141</v>
      </c>
      <c r="AG6323">
        <v>-1.110404623845</v>
      </c>
      <c r="AH6323">
        <v>43.272738073125701</v>
      </c>
      <c r="AI6323">
        <v>91.4659409645121</v>
      </c>
      <c r="AJ6323">
        <v>85.781392895092495</v>
      </c>
      <c r="AK6323">
        <v>43.404503906395298</v>
      </c>
      <c r="AL6323">
        <v>91.1549004214896</v>
      </c>
      <c r="AM6323">
        <v>85.605448402999798</v>
      </c>
      <c r="AN6323">
        <v>1.00000000136288</v>
      </c>
    </row>
    <row r="6324" spans="1:40" x14ac:dyDescent="0.25">
      <c r="A6324" t="str">
        <f>"20190312161440523"</f>
        <v>20190312161440523</v>
      </c>
      <c r="B6324" t="str">
        <f>"1552378480513004"</f>
        <v>1552378480513004</v>
      </c>
      <c r="C6324" t="s">
        <v>40</v>
      </c>
      <c r="D6324">
        <v>5.4565729999999997</v>
      </c>
      <c r="E6324">
        <v>0.49824269999999998</v>
      </c>
      <c r="F6324" t="s">
        <v>107</v>
      </c>
      <c r="G6324">
        <v>-232.358</v>
      </c>
      <c r="H6324" s="1">
        <v>-1.3621230000000001E-6</v>
      </c>
      <c r="I6324">
        <v>-65.507719999999907</v>
      </c>
      <c r="J6324">
        <v>-276.18490000000003</v>
      </c>
      <c r="K6324">
        <v>1.1103719999999999</v>
      </c>
      <c r="L6324">
        <v>-65.673490000000001</v>
      </c>
      <c r="M6324">
        <v>0.99694499999999997</v>
      </c>
      <c r="N6324">
        <v>0</v>
      </c>
      <c r="O6324">
        <v>7.7199649999999995E-2</v>
      </c>
      <c r="P6324">
        <v>0.99947410000000003</v>
      </c>
      <c r="Q6324">
        <v>-3.242196E-2</v>
      </c>
      <c r="R6324">
        <v>4.9734460000000003E-4</v>
      </c>
      <c r="S6324">
        <v>2.9991150000000002</v>
      </c>
      <c r="T6324">
        <v>-7.5697059999999997E-2</v>
      </c>
      <c r="U6324">
        <v>1.223755E-2</v>
      </c>
      <c r="V6324">
        <v>7.6687320000000003E-2</v>
      </c>
      <c r="W6324">
        <v>-2.0522269999999999E-2</v>
      </c>
      <c r="X6324">
        <v>0.99684399999999995</v>
      </c>
      <c r="Y6324">
        <v>7.3088440000000005E-2</v>
      </c>
      <c r="Z6324">
        <v>-2.8690080000000001E-3</v>
      </c>
      <c r="AA6324">
        <v>0.99732129999999997</v>
      </c>
      <c r="AB6324">
        <v>18</v>
      </c>
      <c r="AC6324">
        <v>43.826900000000002</v>
      </c>
      <c r="AD6324">
        <v>-1.1103733621230001</v>
      </c>
      <c r="AE6324">
        <v>0.16577000000000899</v>
      </c>
      <c r="AF6324">
        <v>3.2163200056792398</v>
      </c>
      <c r="AG6324">
        <v>-1.1103733621230001</v>
      </c>
      <c r="AH6324">
        <v>43.680847554109903</v>
      </c>
      <c r="AI6324">
        <v>91.452223520571394</v>
      </c>
      <c r="AJ6324">
        <v>85.788781332712105</v>
      </c>
      <c r="AK6324">
        <v>43.813172521829998</v>
      </c>
      <c r="AL6324">
        <v>91.175921968918203</v>
      </c>
      <c r="AM6324">
        <v>85.600893968434704</v>
      </c>
      <c r="AN6324">
        <v>1.0000000344753599</v>
      </c>
    </row>
    <row r="6325" spans="1:40" x14ac:dyDescent="0.25">
      <c r="A6325" t="str">
        <f>"20190312161440534"</f>
        <v>20190312161440534</v>
      </c>
      <c r="B6325" t="str">
        <f>"1552378480522763"</f>
        <v>1552378480522763</v>
      </c>
      <c r="C6325" t="s">
        <v>40</v>
      </c>
      <c r="D6325">
        <v>5.5183119999999999</v>
      </c>
      <c r="E6325">
        <v>0.49815710000000002</v>
      </c>
      <c r="F6325" t="s">
        <v>107</v>
      </c>
      <c r="G6325">
        <v>-231.83959999999999</v>
      </c>
      <c r="H6325" s="1">
        <v>-1.126787E-6</v>
      </c>
      <c r="I6325">
        <v>-65.459109999999995</v>
      </c>
      <c r="J6325">
        <v>-276.0958</v>
      </c>
      <c r="K6325">
        <v>1.110358</v>
      </c>
      <c r="L6325">
        <v>-65.666110000000003</v>
      </c>
      <c r="M6325">
        <v>0.99691410000000003</v>
      </c>
      <c r="N6325">
        <v>0</v>
      </c>
      <c r="O6325">
        <v>7.7609570000000003E-2</v>
      </c>
      <c r="P6325">
        <v>0.99947370000000002</v>
      </c>
      <c r="Q6325">
        <v>-3.2425919999999997E-2</v>
      </c>
      <c r="R6325">
        <v>1.0664349999999999E-3</v>
      </c>
      <c r="S6325">
        <v>2.9991150000000002</v>
      </c>
      <c r="T6325">
        <v>-7.5095529999999994E-2</v>
      </c>
      <c r="U6325">
        <v>1.4495849999999999E-2</v>
      </c>
      <c r="V6325">
        <v>7.6529199999999895E-2</v>
      </c>
      <c r="W6325">
        <v>-2.0590310000000001E-2</v>
      </c>
      <c r="X6325">
        <v>0.99685469999999998</v>
      </c>
      <c r="Y6325">
        <v>7.2748240000000006E-2</v>
      </c>
      <c r="Z6325">
        <v>-2.852177E-3</v>
      </c>
      <c r="AA6325">
        <v>0.99734630000000002</v>
      </c>
      <c r="AB6325">
        <v>18</v>
      </c>
      <c r="AC6325">
        <v>44.2562</v>
      </c>
      <c r="AD6325">
        <v>-1.1103591267870001</v>
      </c>
      <c r="AE6325">
        <v>0.20700000000000701</v>
      </c>
      <c r="AF6325">
        <v>3.2265368970048298</v>
      </c>
      <c r="AG6325">
        <v>-1.1103591267870001</v>
      </c>
      <c r="AH6325">
        <v>44.110997251743697</v>
      </c>
      <c r="AI6325">
        <v>91.438100705754394</v>
      </c>
      <c r="AJ6325">
        <v>85.816501245017193</v>
      </c>
      <c r="AK6325">
        <v>44.242779255845903</v>
      </c>
      <c r="AL6325">
        <v>91.179821254605002</v>
      </c>
      <c r="AM6325">
        <v>85.609975836771497</v>
      </c>
      <c r="AN6325">
        <v>0.99999998611531304</v>
      </c>
    </row>
    <row r="6326" spans="1:40" x14ac:dyDescent="0.25">
      <c r="A6326" t="str">
        <f>"20190312161440545"</f>
        <v>20190312161440545</v>
      </c>
      <c r="B6326" t="str">
        <f>"1552378480532523"</f>
        <v>1552378480532523</v>
      </c>
      <c r="C6326" t="s">
        <v>40</v>
      </c>
      <c r="D6326">
        <v>5.4644009999999996</v>
      </c>
      <c r="E6326">
        <v>0.49813950000000001</v>
      </c>
      <c r="F6326" t="s">
        <v>107</v>
      </c>
      <c r="G6326">
        <v>-231.04079999999999</v>
      </c>
      <c r="H6326" s="1">
        <v>-7.7196009999999998E-7</v>
      </c>
      <c r="I6326">
        <v>-65.413449999999997</v>
      </c>
      <c r="J6326">
        <v>-276.00670000000002</v>
      </c>
      <c r="K6326">
        <v>1.110344</v>
      </c>
      <c r="L6326">
        <v>-65.658690000000007</v>
      </c>
      <c r="M6326">
        <v>0.99688330000000003</v>
      </c>
      <c r="N6326">
        <v>0</v>
      </c>
      <c r="O6326">
        <v>7.8012910000000005E-2</v>
      </c>
      <c r="P6326">
        <v>0.99947359999999996</v>
      </c>
      <c r="Q6326">
        <v>-3.2408060000000002E-2</v>
      </c>
      <c r="R6326">
        <v>1.657686E-3</v>
      </c>
      <c r="S6326">
        <v>2.9992070000000002</v>
      </c>
      <c r="T6326">
        <v>-7.3914049999999995E-2</v>
      </c>
      <c r="U6326">
        <v>1.6815190000000001E-2</v>
      </c>
      <c r="V6326">
        <v>7.6342309999999997E-2</v>
      </c>
      <c r="W6326">
        <v>-2.0635299999999999E-2</v>
      </c>
      <c r="X6326">
        <v>0.99686810000000003</v>
      </c>
      <c r="Y6326">
        <v>7.2382080000000001E-2</v>
      </c>
      <c r="Z6326">
        <v>-2.8126140000000002E-3</v>
      </c>
      <c r="AA6326">
        <v>0.99737299999999995</v>
      </c>
      <c r="AB6326">
        <v>18</v>
      </c>
      <c r="AC6326">
        <v>44.965899999999998</v>
      </c>
      <c r="AD6326">
        <v>-1.1103447719601001</v>
      </c>
      <c r="AE6326">
        <v>0.24524000000000901</v>
      </c>
      <c r="AF6326">
        <v>3.2616809765451098</v>
      </c>
      <c r="AG6326">
        <v>-1.1103447719601001</v>
      </c>
      <c r="AH6326">
        <v>44.820645521409602</v>
      </c>
      <c r="AI6326">
        <v>91.415360608890893</v>
      </c>
      <c r="AJ6326">
        <v>85.837817465182795</v>
      </c>
      <c r="AK6326">
        <v>44.952883036143803</v>
      </c>
      <c r="AL6326">
        <v>91.182399539282898</v>
      </c>
      <c r="AM6326">
        <v>85.620713484087105</v>
      </c>
      <c r="AN6326">
        <v>0.99999998634991805</v>
      </c>
    </row>
    <row r="6327" spans="1:40" x14ac:dyDescent="0.25">
      <c r="A6327" t="str">
        <f>"20190312161440556"</f>
        <v>20190312161440556</v>
      </c>
      <c r="B6327" t="str">
        <f>"1552378480553018"</f>
        <v>1552378480553018</v>
      </c>
      <c r="C6327" t="s">
        <v>40</v>
      </c>
      <c r="D6327">
        <v>5.4738199999999999</v>
      </c>
      <c r="E6327">
        <v>0.49819570000000002</v>
      </c>
      <c r="F6327" t="s">
        <v>107</v>
      </c>
      <c r="G6327">
        <v>-230.32810000000001</v>
      </c>
      <c r="H6327" s="1">
        <v>-4.555253E-7</v>
      </c>
      <c r="I6327">
        <v>-65.373249999999999</v>
      </c>
      <c r="J6327">
        <v>-275.91230000000002</v>
      </c>
      <c r="K6327">
        <v>1.1103289999999999</v>
      </c>
      <c r="L6327">
        <v>-65.650819999999996</v>
      </c>
      <c r="M6327">
        <v>0.9968515</v>
      </c>
      <c r="N6327">
        <v>0</v>
      </c>
      <c r="O6327">
        <v>7.8426880000000004E-2</v>
      </c>
      <c r="P6327">
        <v>0.99947299999999994</v>
      </c>
      <c r="Q6327">
        <v>-3.2391900000000001E-2</v>
      </c>
      <c r="R6327">
        <v>2.1318539999999999E-3</v>
      </c>
      <c r="S6327">
        <v>2.9991460000000001</v>
      </c>
      <c r="T6327">
        <v>-7.2902560000000005E-2</v>
      </c>
      <c r="U6327">
        <v>1.8737790000000001E-2</v>
      </c>
      <c r="V6327">
        <v>7.6283069999999994E-2</v>
      </c>
      <c r="W6327">
        <v>-2.0685019999999998E-2</v>
      </c>
      <c r="X6327">
        <v>0.99687159999999997</v>
      </c>
      <c r="Y6327">
        <v>7.215792E-2</v>
      </c>
      <c r="Z6327">
        <v>-2.781487E-3</v>
      </c>
      <c r="AA6327">
        <v>0.99738930000000003</v>
      </c>
      <c r="AB6327">
        <v>18</v>
      </c>
      <c r="AC6327">
        <v>45.584200000000003</v>
      </c>
      <c r="AD6327">
        <v>-1.1103294555253</v>
      </c>
      <c r="AE6327">
        <v>0.27756999999999699</v>
      </c>
      <c r="AF6327">
        <v>3.2965995323837198</v>
      </c>
      <c r="AG6327">
        <v>-1.1103294555253</v>
      </c>
      <c r="AH6327">
        <v>45.438588179793697</v>
      </c>
      <c r="AI6327">
        <v>91.396123124898097</v>
      </c>
      <c r="AJ6327">
        <v>85.850423794473798</v>
      </c>
      <c r="AK6327">
        <v>45.571544803195003</v>
      </c>
      <c r="AL6327">
        <v>91.1852488989866</v>
      </c>
      <c r="AM6327">
        <v>85.624113816604506</v>
      </c>
      <c r="AN6327">
        <v>0.99999998185379202</v>
      </c>
    </row>
    <row r="6328" spans="1:40" x14ac:dyDescent="0.25">
      <c r="A6328" t="str">
        <f>"20190312161440569"</f>
        <v>20190312161440569</v>
      </c>
      <c r="B6328" t="str">
        <f>"1552378480562779"</f>
        <v>1552378480562779</v>
      </c>
      <c r="C6328" t="s">
        <v>40</v>
      </c>
      <c r="D6328">
        <v>5.6274959999999998</v>
      </c>
      <c r="E6328">
        <v>0.49828739999999999</v>
      </c>
      <c r="F6328" t="s">
        <v>108</v>
      </c>
      <c r="G6328">
        <v>-229.51570000000001</v>
      </c>
      <c r="H6328" s="1">
        <v>-3.9103609999999998E-6</v>
      </c>
      <c r="I6328">
        <v>-65.346789999999999</v>
      </c>
      <c r="J6328">
        <v>-275.81349999999998</v>
      </c>
      <c r="K6328">
        <v>1.110312</v>
      </c>
      <c r="L6328">
        <v>-65.642519999999905</v>
      </c>
      <c r="M6328">
        <v>0.99681850000000005</v>
      </c>
      <c r="N6328">
        <v>0</v>
      </c>
      <c r="O6328">
        <v>7.8854309999999997E-2</v>
      </c>
      <c r="P6328">
        <v>0.99948130000000002</v>
      </c>
      <c r="Q6328">
        <v>-3.2081480000000002E-2</v>
      </c>
      <c r="R6328">
        <v>2.8303500000000001E-3</v>
      </c>
      <c r="S6328">
        <v>2.9991759999999998</v>
      </c>
      <c r="T6328">
        <v>-7.1774240000000003E-2</v>
      </c>
      <c r="U6328">
        <v>1.9653319999999998E-2</v>
      </c>
      <c r="V6328">
        <v>7.6013990000000003E-2</v>
      </c>
      <c r="W6328">
        <v>-2.0443050000000001E-2</v>
      </c>
      <c r="X6328">
        <v>0.99689720000000004</v>
      </c>
      <c r="Y6328">
        <v>7.228234E-2</v>
      </c>
      <c r="Z6328">
        <v>-2.7501040000000002E-3</v>
      </c>
      <c r="AA6328">
        <v>0.99738039999999994</v>
      </c>
      <c r="AB6328">
        <v>18</v>
      </c>
      <c r="AC6328">
        <v>46.297799999999903</v>
      </c>
      <c r="AD6328">
        <v>-1.1103159103610001</v>
      </c>
      <c r="AE6328">
        <v>0.295729999999991</v>
      </c>
      <c r="AF6328">
        <v>3.35428918051015</v>
      </c>
      <c r="AG6328">
        <v>-1.1103159103610001</v>
      </c>
      <c r="AH6328">
        <v>46.150395531378997</v>
      </c>
      <c r="AI6328">
        <v>91.374568373940505</v>
      </c>
      <c r="AJ6328">
        <v>85.842955129181306</v>
      </c>
      <c r="AK6328">
        <v>46.285451980401099</v>
      </c>
      <c r="AL6328">
        <v>91.1713820429988</v>
      </c>
      <c r="AM6328">
        <v>85.639601173239299</v>
      </c>
      <c r="AN6328">
        <v>1.00000003616843</v>
      </c>
    </row>
    <row r="6329" spans="1:40" x14ac:dyDescent="0.25">
      <c r="A6329" t="str">
        <f>"20190312161440579"</f>
        <v>20190312161440579</v>
      </c>
      <c r="B6329" t="str">
        <f>"1552378480572538"</f>
        <v>1552378480572538</v>
      </c>
      <c r="C6329" t="s">
        <v>40</v>
      </c>
      <c r="D6329">
        <v>5.6762360000000003</v>
      </c>
      <c r="E6329">
        <v>0.49848310000000001</v>
      </c>
      <c r="F6329" t="s">
        <v>108</v>
      </c>
      <c r="G6329">
        <v>-228.50659999999999</v>
      </c>
      <c r="H6329" s="1">
        <v>-3.5621780000000002E-6</v>
      </c>
      <c r="I6329">
        <v>-65.310859999999906</v>
      </c>
      <c r="J6329">
        <v>-275.72719999999998</v>
      </c>
      <c r="K6329">
        <v>1.1102989999999999</v>
      </c>
      <c r="L6329">
        <v>-65.635249999999999</v>
      </c>
      <c r="M6329">
        <v>0.99679079999999998</v>
      </c>
      <c r="N6329">
        <v>0</v>
      </c>
      <c r="O6329">
        <v>7.9211429999999999E-2</v>
      </c>
      <c r="P6329">
        <v>0.99947980000000003</v>
      </c>
      <c r="Q6329">
        <v>-3.2068270000000003E-2</v>
      </c>
      <c r="R6329">
        <v>3.433307E-3</v>
      </c>
      <c r="S6329">
        <v>2.9992070000000002</v>
      </c>
      <c r="T6329">
        <v>-7.0392850000000007E-2</v>
      </c>
      <c r="U6329">
        <v>2.1026610000000001E-2</v>
      </c>
      <c r="V6329">
        <v>7.5769320000000001E-2</v>
      </c>
      <c r="W6329">
        <v>-2.0487729999999999E-2</v>
      </c>
      <c r="X6329">
        <v>0.99691490000000005</v>
      </c>
      <c r="Y6329">
        <v>7.2184590000000007E-2</v>
      </c>
      <c r="Z6329">
        <v>-2.7043610000000002E-3</v>
      </c>
      <c r="AA6329">
        <v>0.99738760000000004</v>
      </c>
      <c r="AB6329">
        <v>18</v>
      </c>
      <c r="AC6329">
        <v>47.220599999999898</v>
      </c>
      <c r="AD6329">
        <v>-1.1103025621779901</v>
      </c>
      <c r="AE6329">
        <v>0.32439000000000801</v>
      </c>
      <c r="AF6329">
        <v>3.4154024826665599</v>
      </c>
      <c r="AG6329">
        <v>-1.1103025621779901</v>
      </c>
      <c r="AH6329">
        <v>47.071879276524001</v>
      </c>
      <c r="AI6329">
        <v>91.347665633690497</v>
      </c>
      <c r="AJ6329">
        <v>85.8500525506972</v>
      </c>
      <c r="AK6329">
        <v>47.208681029253903</v>
      </c>
      <c r="AL6329">
        <v>91.173942564912807</v>
      </c>
      <c r="AM6329">
        <v>85.653659210513197</v>
      </c>
      <c r="AN6329">
        <v>1.0000000273879099</v>
      </c>
    </row>
    <row r="6330" spans="1:40" x14ac:dyDescent="0.25">
      <c r="A6330" t="str">
        <f>"20190312161440591"</f>
        <v>20190312161440591</v>
      </c>
      <c r="B6330" t="str">
        <f>"1552378480582299"</f>
        <v>1552378480582299</v>
      </c>
      <c r="C6330" t="s">
        <v>40</v>
      </c>
      <c r="D6330">
        <v>5.7155899999999997</v>
      </c>
      <c r="E6330">
        <v>0.49871409999999999</v>
      </c>
      <c r="F6330" t="s">
        <v>108</v>
      </c>
      <c r="G6330">
        <v>-227.91370000000001</v>
      </c>
      <c r="H6330" s="1">
        <v>-3.3585199999999998E-6</v>
      </c>
      <c r="I6330">
        <v>-65.296639999999996</v>
      </c>
      <c r="J6330">
        <v>-275.63389999999998</v>
      </c>
      <c r="K6330">
        <v>1.1102799999999999</v>
      </c>
      <c r="L6330">
        <v>-65.627380000000002</v>
      </c>
      <c r="M6330">
        <v>0.99676109999999896</v>
      </c>
      <c r="N6330">
        <v>0</v>
      </c>
      <c r="O6330">
        <v>7.9593349999999993E-2</v>
      </c>
      <c r="P6330">
        <v>0.99948440000000005</v>
      </c>
      <c r="Q6330">
        <v>-3.1827979999999999E-2</v>
      </c>
      <c r="R6330">
        <v>4.2009630000000003E-3</v>
      </c>
      <c r="S6330">
        <v>2.9992679999999998</v>
      </c>
      <c r="T6330">
        <v>-6.9647669999999995E-2</v>
      </c>
      <c r="U6330">
        <v>2.1240229999999999E-2</v>
      </c>
      <c r="V6330">
        <v>7.5385820000000006E-2</v>
      </c>
      <c r="W6330">
        <v>-2.030933E-2</v>
      </c>
      <c r="X6330">
        <v>0.99694760000000004</v>
      </c>
      <c r="Y6330">
        <v>7.2496500000000005E-2</v>
      </c>
      <c r="Z6330">
        <v>-2.6881499999999998E-3</v>
      </c>
      <c r="AA6330">
        <v>0.9973651</v>
      </c>
      <c r="AB6330">
        <v>18</v>
      </c>
      <c r="AC6330">
        <v>47.720199999999899</v>
      </c>
      <c r="AD6330">
        <v>-1.11028335852</v>
      </c>
      <c r="AE6330">
        <v>0.33074000000000497</v>
      </c>
      <c r="AF6330">
        <v>3.4668944735680198</v>
      </c>
      <c r="AG6330">
        <v>-1.11028335852</v>
      </c>
      <c r="AH6330">
        <v>47.569360536262998</v>
      </c>
      <c r="AI6330">
        <v>91.333522570987</v>
      </c>
      <c r="AJ6330">
        <v>85.831605916792697</v>
      </c>
      <c r="AK6330">
        <v>47.7084494430079</v>
      </c>
      <c r="AL6330">
        <v>91.163718898139095</v>
      </c>
      <c r="AM6330">
        <v>85.675715490189006</v>
      </c>
      <c r="AN6330">
        <v>1.0000000039439401</v>
      </c>
    </row>
    <row r="6331" spans="1:40" x14ac:dyDescent="0.25">
      <c r="A6331" t="str">
        <f>"20190312161440601"</f>
        <v>20190312161440601</v>
      </c>
      <c r="B6331" t="str">
        <f>"1552378480593033"</f>
        <v>1552378480593033</v>
      </c>
      <c r="C6331" t="s">
        <v>40</v>
      </c>
      <c r="D6331">
        <v>5.7150650000000001</v>
      </c>
      <c r="E6331">
        <v>0.49891750000000001</v>
      </c>
      <c r="F6331" t="s">
        <v>108</v>
      </c>
      <c r="G6331">
        <v>-227.1765</v>
      </c>
      <c r="H6331" s="1">
        <v>-3.1049640000000002E-6</v>
      </c>
      <c r="I6331">
        <v>-65.276820000000001</v>
      </c>
      <c r="J6331">
        <v>-275.53980000000001</v>
      </c>
      <c r="K6331">
        <v>1.110266</v>
      </c>
      <c r="L6331">
        <v>-65.619450000000001</v>
      </c>
      <c r="M6331">
        <v>0.99673219999999996</v>
      </c>
      <c r="N6331">
        <v>0</v>
      </c>
      <c r="O6331">
        <v>7.9964889999999997E-2</v>
      </c>
      <c r="P6331">
        <v>0.99949129999999997</v>
      </c>
      <c r="Q6331">
        <v>-3.1524950000000003E-2</v>
      </c>
      <c r="R6331">
        <v>4.8700210000000004E-3</v>
      </c>
      <c r="S6331">
        <v>2.999298</v>
      </c>
      <c r="T6331">
        <v>-6.8721530000000003E-2</v>
      </c>
      <c r="U6331">
        <v>2.1697999999999999E-2</v>
      </c>
      <c r="V6331">
        <v>7.5090130000000005E-2</v>
      </c>
      <c r="W6331">
        <v>-2.0066690000000002E-2</v>
      </c>
      <c r="X6331">
        <v>0.99697480000000005</v>
      </c>
      <c r="Y6331">
        <v>7.2716980000000001E-2</v>
      </c>
      <c r="Z6331">
        <v>-2.6633970000000001E-3</v>
      </c>
      <c r="AA6331">
        <v>0.99734909999999999</v>
      </c>
      <c r="AB6331">
        <v>18</v>
      </c>
      <c r="AC6331">
        <v>48.363300000000002</v>
      </c>
      <c r="AD6331">
        <v>-1.1102691049640001</v>
      </c>
      <c r="AE6331">
        <v>0.34262999999999899</v>
      </c>
      <c r="AF6331">
        <v>3.5242285269214801</v>
      </c>
      <c r="AG6331">
        <v>-1.1102691049640001</v>
      </c>
      <c r="AH6331">
        <v>48.210398753977401</v>
      </c>
      <c r="AI6331">
        <v>91.315759512609006</v>
      </c>
      <c r="AJ6331">
        <v>85.819057752518702</v>
      </c>
      <c r="AK6331">
        <v>48.351788304186996</v>
      </c>
      <c r="AL6331">
        <v>91.149813848800605</v>
      </c>
      <c r="AM6331">
        <v>85.692729985987498</v>
      </c>
      <c r="AN6331">
        <v>0.99999997575300603</v>
      </c>
    </row>
    <row r="6332" spans="1:40" x14ac:dyDescent="0.25">
      <c r="A6332" t="str">
        <f>"20190312161440613"</f>
        <v>20190312161440613</v>
      </c>
      <c r="B6332" t="str">
        <f>"1552378480602794"</f>
        <v>1552378480602794</v>
      </c>
      <c r="C6332" t="s">
        <v>40</v>
      </c>
      <c r="D6332">
        <v>5.7650499999999996</v>
      </c>
      <c r="E6332">
        <v>0.4992066</v>
      </c>
      <c r="F6332" t="s">
        <v>108</v>
      </c>
      <c r="G6332">
        <v>-226.25810000000001</v>
      </c>
      <c r="H6332" s="1">
        <v>-2.7897799999999998E-6</v>
      </c>
      <c r="I6332">
        <v>-65.256909999999905</v>
      </c>
      <c r="J6332">
        <v>-275.44959999999998</v>
      </c>
      <c r="K6332">
        <v>1.1102529999999999</v>
      </c>
      <c r="L6332">
        <v>-65.611789999999999</v>
      </c>
      <c r="M6332">
        <v>0.99670479999999995</v>
      </c>
      <c r="N6332">
        <v>0</v>
      </c>
      <c r="O6332">
        <v>8.0313049999999997E-2</v>
      </c>
      <c r="P6332">
        <v>0.99948610000000004</v>
      </c>
      <c r="Q6332">
        <v>-3.1543059999999998E-2</v>
      </c>
      <c r="R6332">
        <v>5.6978949999999997E-3</v>
      </c>
      <c r="S6332">
        <v>2.9993289999999999</v>
      </c>
      <c r="T6332">
        <v>-6.7571999999999993E-2</v>
      </c>
      <c r="U6332">
        <v>2.2064210000000001E-2</v>
      </c>
      <c r="V6332">
        <v>7.4612220000000007E-2</v>
      </c>
      <c r="W6332">
        <v>-2.0141099999999999E-2</v>
      </c>
      <c r="X6332">
        <v>0.99700920000000004</v>
      </c>
      <c r="Y6332">
        <v>7.2944809999999999E-2</v>
      </c>
      <c r="Z6332">
        <v>-2.6292149999999999E-3</v>
      </c>
      <c r="AA6332">
        <v>0.99733249999999996</v>
      </c>
      <c r="AB6332">
        <v>18</v>
      </c>
      <c r="AC6332">
        <v>49.191499999999898</v>
      </c>
      <c r="AD6332">
        <v>-1.1102557897799901</v>
      </c>
      <c r="AE6332">
        <v>0.35488000000000802</v>
      </c>
      <c r="AF6332">
        <v>3.5954100327792302</v>
      </c>
      <c r="AG6332">
        <v>-1.1102557897799901</v>
      </c>
      <c r="AH6332">
        <v>49.036100837445098</v>
      </c>
      <c r="AI6332">
        <v>91.293575191607204</v>
      </c>
      <c r="AJ6332">
        <v>85.806480468981306</v>
      </c>
      <c r="AK6332">
        <v>49.180268671110703</v>
      </c>
      <c r="AL6332">
        <v>91.154078066211298</v>
      </c>
      <c r="AM6332">
        <v>85.720188475685902</v>
      </c>
      <c r="AN6332">
        <v>0.99999999608358903</v>
      </c>
    </row>
    <row r="6333" spans="1:40" x14ac:dyDescent="0.25">
      <c r="A6333" t="str">
        <f>"20190312161440624"</f>
        <v>20190312161440624</v>
      </c>
      <c r="B6333" t="str">
        <f>"1552378480612556"</f>
        <v>1552378480612556</v>
      </c>
      <c r="C6333" t="s">
        <v>40</v>
      </c>
      <c r="D6333">
        <v>5.8176059999999996</v>
      </c>
      <c r="E6333">
        <v>0.49949339999999998</v>
      </c>
      <c r="F6333" t="s">
        <v>108</v>
      </c>
      <c r="G6333">
        <v>-226.15219999999999</v>
      </c>
      <c r="H6333" s="1">
        <v>-2.752304E-6</v>
      </c>
      <c r="I6333">
        <v>-65.246119999999905</v>
      </c>
      <c r="J6333">
        <v>-275.35750000000002</v>
      </c>
      <c r="K6333">
        <v>1.1102379999999901</v>
      </c>
      <c r="L6333">
        <v>-65.603939999999994</v>
      </c>
      <c r="M6333">
        <v>0.99667749999999999</v>
      </c>
      <c r="N6333">
        <v>0</v>
      </c>
      <c r="O6333">
        <v>8.0658030000000006E-2</v>
      </c>
      <c r="P6333">
        <v>0.99948689999999996</v>
      </c>
      <c r="Q6333">
        <v>-3.1404380000000003E-2</v>
      </c>
      <c r="R6333">
        <v>6.3154119999999899E-3</v>
      </c>
      <c r="S6333">
        <v>2.999298</v>
      </c>
      <c r="T6333">
        <v>-6.7548990000000003E-2</v>
      </c>
      <c r="U6333">
        <v>2.2247309999999999E-2</v>
      </c>
      <c r="V6333">
        <v>7.4341110000000002E-2</v>
      </c>
      <c r="W6333">
        <v>-2.0057740000000001E-2</v>
      </c>
      <c r="X6333">
        <v>0.99703120000000001</v>
      </c>
      <c r="Y6333">
        <v>7.3228890000000005E-2</v>
      </c>
      <c r="Z6333">
        <v>-2.6392910000000002E-3</v>
      </c>
      <c r="AA6333">
        <v>0.99731170000000002</v>
      </c>
      <c r="AB6333">
        <v>18</v>
      </c>
      <c r="AC6333">
        <v>49.205300000000001</v>
      </c>
      <c r="AD6333">
        <v>-1.1102407523040001</v>
      </c>
      <c r="AE6333">
        <v>0.35782000000001701</v>
      </c>
      <c r="AF6333">
        <v>3.61056498795678</v>
      </c>
      <c r="AG6333">
        <v>-1.1102407523040001</v>
      </c>
      <c r="AH6333">
        <v>49.048853359813599</v>
      </c>
      <c r="AI6333">
        <v>91.293194084327695</v>
      </c>
      <c r="AJ6333">
        <v>85.789958829332207</v>
      </c>
      <c r="AK6333">
        <v>49.194093445990397</v>
      </c>
      <c r="AL6333">
        <v>91.149300847273295</v>
      </c>
      <c r="AM6333">
        <v>85.735775822606399</v>
      </c>
      <c r="AN6333">
        <v>1.0000000636716799</v>
      </c>
    </row>
    <row r="6334" spans="1:40" x14ac:dyDescent="0.25">
      <c r="A6334" t="str">
        <f>"20190312161440647"</f>
        <v>20190312161440647</v>
      </c>
      <c r="B6334" t="str">
        <f>"1552378480642811"</f>
        <v>1552378480642811</v>
      </c>
      <c r="C6334" t="s">
        <v>40</v>
      </c>
      <c r="D6334">
        <v>5.5808720000000003</v>
      </c>
      <c r="E6334">
        <v>0.49985869999999999</v>
      </c>
      <c r="F6334" t="s">
        <v>108</v>
      </c>
      <c r="G6334">
        <v>-225.66</v>
      </c>
      <c r="H6334" s="1">
        <v>-2.5843680000000002E-6</v>
      </c>
      <c r="I6334">
        <v>-65.242900000000006</v>
      </c>
      <c r="J6334">
        <v>-275.16660000000002</v>
      </c>
      <c r="K6334">
        <v>1.1102050000000001</v>
      </c>
      <c r="L6334">
        <v>-65.587649999999996</v>
      </c>
      <c r="M6334">
        <v>0.99662340000000005</v>
      </c>
      <c r="N6334">
        <v>0</v>
      </c>
      <c r="O6334">
        <v>8.133804E-2</v>
      </c>
      <c r="P6334">
        <v>0.9994999</v>
      </c>
      <c r="Q6334">
        <v>-3.0685939999999998E-2</v>
      </c>
      <c r="R6334">
        <v>7.6520260000000001E-3</v>
      </c>
      <c r="S6334">
        <v>2.999298</v>
      </c>
      <c r="T6334">
        <v>-6.7004199999999903E-2</v>
      </c>
      <c r="U6334">
        <v>2.1789550000000001E-2</v>
      </c>
      <c r="V6334">
        <v>7.3688399999999904E-2</v>
      </c>
      <c r="W6334">
        <v>-1.944622E-2</v>
      </c>
      <c r="X6334">
        <v>0.99709170000000003</v>
      </c>
      <c r="Y6334">
        <v>7.4061650000000007E-2</v>
      </c>
      <c r="Z6334">
        <v>-2.6424640000000002E-3</v>
      </c>
      <c r="AA6334">
        <v>0.99725010000000003</v>
      </c>
      <c r="AB6334">
        <v>19</v>
      </c>
      <c r="AC6334">
        <v>49.506599999999999</v>
      </c>
      <c r="AD6334">
        <v>-1.1102075843679999</v>
      </c>
      <c r="AE6334">
        <v>0.34474999999999001</v>
      </c>
      <c r="AF6334">
        <v>3.6815644411397499</v>
      </c>
      <c r="AG6334">
        <v>-1.1102075843679999</v>
      </c>
      <c r="AH6334">
        <v>49.345771002774001</v>
      </c>
      <c r="AI6334">
        <v>91.285282743626993</v>
      </c>
      <c r="AJ6334">
        <v>85.733210322463904</v>
      </c>
      <c r="AK6334">
        <v>49.495369414449897</v>
      </c>
      <c r="AL6334">
        <v>91.114256571401896</v>
      </c>
      <c r="AM6334">
        <v>85.773334677860504</v>
      </c>
      <c r="AN6334">
        <v>0.99999999698786901</v>
      </c>
    </row>
    <row r="6335" spans="1:40" x14ac:dyDescent="0.25">
      <c r="A6335" t="str">
        <f>"20190312161440660"</f>
        <v>20190312161440660</v>
      </c>
      <c r="B6335" t="str">
        <f>"1552378480652570"</f>
        <v>1552378480652570</v>
      </c>
      <c r="C6335" t="s">
        <v>40</v>
      </c>
      <c r="D6335">
        <v>5.586983</v>
      </c>
      <c r="E6335">
        <v>0.49985869999999999</v>
      </c>
      <c r="F6335" t="s">
        <v>108</v>
      </c>
      <c r="G6335">
        <v>-222.554</v>
      </c>
      <c r="H6335" s="1">
        <v>-1.281616E-6</v>
      </c>
      <c r="I6335">
        <v>-65.186160000000001</v>
      </c>
      <c r="J6335">
        <v>-275.06400000000002</v>
      </c>
      <c r="K6335">
        <v>1.1101890000000001</v>
      </c>
      <c r="L6335">
        <v>-65.578890000000001</v>
      </c>
      <c r="M6335">
        <v>0.9965965</v>
      </c>
      <c r="N6335">
        <v>0</v>
      </c>
      <c r="O6335">
        <v>8.1674469999999999E-2</v>
      </c>
      <c r="P6335">
        <v>0.99949529999999998</v>
      </c>
      <c r="Q6335">
        <v>-3.0651640000000001E-2</v>
      </c>
      <c r="R6335">
        <v>8.3547719999999999E-3</v>
      </c>
      <c r="S6335">
        <v>2.99939</v>
      </c>
      <c r="T6335">
        <v>-6.3291790000000001E-2</v>
      </c>
      <c r="U6335">
        <v>2.2888180000000001E-2</v>
      </c>
      <c r="V6335">
        <v>7.3323620000000006E-2</v>
      </c>
      <c r="W6335">
        <v>-1.9463580000000001E-2</v>
      </c>
      <c r="X6335">
        <v>0.99711819999999896</v>
      </c>
      <c r="Y6335">
        <v>7.4037329999999998E-2</v>
      </c>
      <c r="Z6335">
        <v>-2.5028260000000001E-3</v>
      </c>
      <c r="AA6335">
        <v>0.99725229999999998</v>
      </c>
      <c r="AB6335">
        <v>19</v>
      </c>
      <c r="AC6335">
        <v>52.51</v>
      </c>
      <c r="AD6335">
        <v>-1.1101902816160001</v>
      </c>
      <c r="AE6335">
        <v>0.39273000000000002</v>
      </c>
      <c r="AF6335">
        <v>3.8958347382384502</v>
      </c>
      <c r="AG6335">
        <v>-1.1101902816160001</v>
      </c>
      <c r="AH6335">
        <v>52.343227024808797</v>
      </c>
      <c r="AI6335">
        <v>91.211700295666304</v>
      </c>
      <c r="AJ6335">
        <v>85.743401961993499</v>
      </c>
      <c r="AK6335">
        <v>52.499747295960702</v>
      </c>
      <c r="AL6335">
        <v>91.115251472988405</v>
      </c>
      <c r="AM6335">
        <v>85.794294066400099</v>
      </c>
      <c r="AN6335">
        <v>0.99999994448377805</v>
      </c>
    </row>
    <row r="6336" spans="1:40" x14ac:dyDescent="0.25">
      <c r="A6336" t="str">
        <f>"20190312161440669"</f>
        <v>20190312161440669</v>
      </c>
      <c r="B6336" t="str">
        <f>"1552378480662331"</f>
        <v>1552378480662331</v>
      </c>
      <c r="C6336" t="s">
        <v>40</v>
      </c>
      <c r="D6336">
        <v>5.5686749999999998</v>
      </c>
      <c r="E6336">
        <v>0.50384739999999995</v>
      </c>
      <c r="F6336" t="s">
        <v>108</v>
      </c>
      <c r="G6336">
        <v>-222.36789999999999</v>
      </c>
      <c r="H6336" s="1">
        <v>-1.191465E-6</v>
      </c>
      <c r="I6336">
        <v>-65.139769999999999</v>
      </c>
      <c r="J6336">
        <v>-274.98820000000001</v>
      </c>
      <c r="K6336">
        <v>1.110174</v>
      </c>
      <c r="L6336">
        <v>-65.572389999999999</v>
      </c>
      <c r="M6336">
        <v>0.99657680000000004</v>
      </c>
      <c r="N6336">
        <v>0</v>
      </c>
      <c r="O6336">
        <v>8.1919800000000001E-2</v>
      </c>
      <c r="P6336">
        <v>0.99949140000000003</v>
      </c>
      <c r="Q6336">
        <v>-3.0630149999999998E-2</v>
      </c>
      <c r="R6336">
        <v>8.9042329999999992E-3</v>
      </c>
      <c r="S6336">
        <v>2.9993289999999999</v>
      </c>
      <c r="T6336">
        <v>-6.3189270000000006E-2</v>
      </c>
      <c r="U6336">
        <v>2.4993899999999999E-2</v>
      </c>
      <c r="V6336">
        <v>7.3020260000000003E-2</v>
      </c>
      <c r="W6336">
        <v>-1.9479670000000001E-2</v>
      </c>
      <c r="X6336">
        <v>0.99714020000000003</v>
      </c>
      <c r="Y6336">
        <v>7.3582690000000006E-2</v>
      </c>
      <c r="Z6336">
        <v>-2.4991689999999999E-3</v>
      </c>
      <c r="AA6336">
        <v>0.99728600000000001</v>
      </c>
      <c r="AB6336">
        <v>19</v>
      </c>
      <c r="AC6336">
        <v>52.6203</v>
      </c>
      <c r="AD6336">
        <v>-1.110175191465</v>
      </c>
      <c r="AE6336">
        <v>0.43262</v>
      </c>
      <c r="AF6336">
        <v>3.8780195503030899</v>
      </c>
      <c r="AG6336">
        <v>-1.110175191465</v>
      </c>
      <c r="AH6336">
        <v>52.4555122302394</v>
      </c>
      <c r="AI6336">
        <v>91.209135388382194</v>
      </c>
      <c r="AJ6336">
        <v>85.771832968289303</v>
      </c>
      <c r="AK6336">
        <v>52.610381940497902</v>
      </c>
      <c r="AL6336">
        <v>91.116173478115002</v>
      </c>
      <c r="AM6336">
        <v>85.811724259583798</v>
      </c>
      <c r="AN6336">
        <v>0.99999999718490795</v>
      </c>
    </row>
    <row r="6337" spans="1:40" x14ac:dyDescent="0.25">
      <c r="A6337" t="str">
        <f>"20190312161440679"</f>
        <v>20190312161440679</v>
      </c>
      <c r="B6337" t="str">
        <f>"1552378480673066"</f>
        <v>1552378480673066</v>
      </c>
      <c r="C6337" t="s">
        <v>40</v>
      </c>
      <c r="D6337">
        <v>5.7150639999999999</v>
      </c>
      <c r="E6337">
        <v>0.50310639999999995</v>
      </c>
      <c r="F6337" t="s">
        <v>77</v>
      </c>
      <c r="G6337">
        <v>-198.827</v>
      </c>
      <c r="H6337" s="1">
        <v>-6.494683E-6</v>
      </c>
      <c r="I6337">
        <v>-65.722679999999997</v>
      </c>
      <c r="J6337">
        <v>-274.89780000000002</v>
      </c>
      <c r="K6337">
        <v>1.1101529999999999</v>
      </c>
      <c r="L6337">
        <v>-65.564610000000002</v>
      </c>
      <c r="M6337">
        <v>0.99655510000000003</v>
      </c>
      <c r="N6337">
        <v>0</v>
      </c>
      <c r="O6337">
        <v>8.218839E-2</v>
      </c>
      <c r="P6337">
        <v>0.99947900000000001</v>
      </c>
      <c r="Q6337">
        <v>-3.08481E-2</v>
      </c>
      <c r="R6337">
        <v>9.5104490000000007E-3</v>
      </c>
      <c r="S6337">
        <v>3.0002140000000002</v>
      </c>
      <c r="T6337">
        <v>-4.373324E-2</v>
      </c>
      <c r="U6337">
        <v>-5.9204100000000001E-3</v>
      </c>
      <c r="V6337">
        <v>7.2683200000000003E-2</v>
      </c>
      <c r="W6337">
        <v>-1.973898E-2</v>
      </c>
      <c r="X6337">
        <v>0.99715969999999998</v>
      </c>
      <c r="Y6337">
        <v>8.4142289999999995E-2</v>
      </c>
      <c r="Z6337">
        <v>-1.81028E-3</v>
      </c>
      <c r="AA6337">
        <v>0.99645209999999995</v>
      </c>
      <c r="AB6337">
        <v>19</v>
      </c>
      <c r="AC6337">
        <v>76.070800000000006</v>
      </c>
      <c r="AD6337">
        <v>-1.110159494683</v>
      </c>
      <c r="AE6337">
        <v>-0.15807000000000901</v>
      </c>
      <c r="AF6337">
        <v>6.40869137262648</v>
      </c>
      <c r="AG6337">
        <v>-1.110159494683</v>
      </c>
      <c r="AH6337">
        <v>75.784273782084995</v>
      </c>
      <c r="AI6337">
        <v>90.836278115513196</v>
      </c>
      <c r="AJ6337">
        <v>85.166287178812993</v>
      </c>
      <c r="AK6337">
        <v>76.0628682859858</v>
      </c>
      <c r="AL6337">
        <v>91.131033733635704</v>
      </c>
      <c r="AM6337">
        <v>85.8310701697214</v>
      </c>
      <c r="AN6337">
        <v>0.99999997109888406</v>
      </c>
    </row>
    <row r="6338" spans="1:40" x14ac:dyDescent="0.25">
      <c r="A6338" t="str">
        <f>"20190312161440691"</f>
        <v>20190312161440691</v>
      </c>
      <c r="B6338" t="str">
        <f>"1552378480682828"</f>
        <v>1552378480682828</v>
      </c>
      <c r="C6338" t="s">
        <v>40</v>
      </c>
      <c r="D6338">
        <v>5.7008049999999999</v>
      </c>
      <c r="E6338">
        <v>0.50310639999999995</v>
      </c>
      <c r="F6338" t="s">
        <v>77</v>
      </c>
      <c r="G6338">
        <v>-202.88929999999999</v>
      </c>
      <c r="H6338" s="1">
        <v>-4.6096730000000004E-6</v>
      </c>
      <c r="I6338">
        <v>-65.519199999999998</v>
      </c>
      <c r="J6338">
        <v>-274.80119999999999</v>
      </c>
      <c r="K6338">
        <v>1.110134</v>
      </c>
      <c r="L6338">
        <v>-65.556269999999998</v>
      </c>
      <c r="M6338">
        <v>0.99653239999999998</v>
      </c>
      <c r="N6338">
        <v>0</v>
      </c>
      <c r="O6338">
        <v>8.2466990000000004E-2</v>
      </c>
      <c r="P6338">
        <v>0.99947180000000002</v>
      </c>
      <c r="Q6338">
        <v>-3.1026169999999999E-2</v>
      </c>
      <c r="R6338">
        <v>9.6748100000000007E-3</v>
      </c>
      <c r="S6338">
        <v>3.000092</v>
      </c>
      <c r="T6338">
        <v>-4.625249E-2</v>
      </c>
      <c r="U6338">
        <v>1.8920899999999999E-3</v>
      </c>
      <c r="V6338">
        <v>7.2796739999999999E-2</v>
      </c>
      <c r="W6338">
        <v>-1.996096E-2</v>
      </c>
      <c r="X6338">
        <v>0.99714700000000001</v>
      </c>
      <c r="Y6338">
        <v>8.1823969999999996E-2</v>
      </c>
      <c r="Z6338">
        <v>-1.901008E-3</v>
      </c>
      <c r="AA6338">
        <v>0.996645</v>
      </c>
      <c r="AB6338">
        <v>19</v>
      </c>
      <c r="AC6338">
        <v>71.911900000000003</v>
      </c>
      <c r="AD6338">
        <v>-1.1101386096729999</v>
      </c>
      <c r="AE6338">
        <v>3.7069999999999902E-2</v>
      </c>
      <c r="AF6338">
        <v>5.8923728624153098</v>
      </c>
      <c r="AG6338">
        <v>-1.1101386096729999</v>
      </c>
      <c r="AH6338">
        <v>71.652904639005897</v>
      </c>
      <c r="AI6338">
        <v>90.884642892883505</v>
      </c>
      <c r="AJ6338">
        <v>85.298862810014199</v>
      </c>
      <c r="AK6338">
        <v>71.903346298269696</v>
      </c>
      <c r="AL6338">
        <v>91.143754756051493</v>
      </c>
      <c r="AM6338">
        <v>85.824527817411393</v>
      </c>
      <c r="AN6338">
        <v>0.99999997244387395</v>
      </c>
    </row>
    <row r="6339" spans="1:40" x14ac:dyDescent="0.25">
      <c r="A6339" t="str">
        <f>"20190312161440702"</f>
        <v>20190312161440702</v>
      </c>
      <c r="B6339" t="str">
        <f>"1552378480692587"</f>
        <v>1552378480692587</v>
      </c>
      <c r="C6339" t="s">
        <v>40</v>
      </c>
      <c r="D6339">
        <v>5.6544129999999999</v>
      </c>
      <c r="E6339">
        <v>0.47237580000000001</v>
      </c>
      <c r="F6339" t="s">
        <v>77</v>
      </c>
      <c r="G6339">
        <v>-203.63</v>
      </c>
      <c r="H6339" s="1">
        <v>-4.3498339999999999E-6</v>
      </c>
      <c r="I6339">
        <v>-65.49982</v>
      </c>
      <c r="J6339">
        <v>-274.7124</v>
      </c>
      <c r="K6339">
        <v>1.1101129999999999</v>
      </c>
      <c r="L6339">
        <v>-65.548649999999995</v>
      </c>
      <c r="M6339">
        <v>0.99651310000000004</v>
      </c>
      <c r="N6339">
        <v>0</v>
      </c>
      <c r="O6339">
        <v>8.2704979999999997E-2</v>
      </c>
      <c r="P6339">
        <v>0.99946210000000002</v>
      </c>
      <c r="Q6339">
        <v>-3.1294570000000001E-2</v>
      </c>
      <c r="R6339">
        <v>9.8215009999999998E-3</v>
      </c>
      <c r="S6339">
        <v>3.0001220000000002</v>
      </c>
      <c r="T6339">
        <v>-4.6796320000000002E-2</v>
      </c>
      <c r="U6339">
        <v>2.380371E-3</v>
      </c>
      <c r="V6339">
        <v>7.2887090000000002E-2</v>
      </c>
      <c r="W6339">
        <v>-2.0268950000000001E-2</v>
      </c>
      <c r="X6339">
        <v>0.99713419999999997</v>
      </c>
      <c r="Y6339">
        <v>8.1899260000000002E-2</v>
      </c>
      <c r="Z6339">
        <v>-1.9276250000000001E-3</v>
      </c>
      <c r="AA6339">
        <v>0.99663880000000005</v>
      </c>
      <c r="AB6339">
        <v>19</v>
      </c>
      <c r="AC6339">
        <v>71.082400000000007</v>
      </c>
      <c r="AD6339">
        <v>-1.110117349834</v>
      </c>
      <c r="AE6339">
        <v>4.8829999999995197E-2</v>
      </c>
      <c r="AF6339">
        <v>5.8291413013935296</v>
      </c>
      <c r="AG6339">
        <v>-1.110117349834</v>
      </c>
      <c r="AH6339">
        <v>70.825611654152794</v>
      </c>
      <c r="AI6339">
        <v>90.894952380480504</v>
      </c>
      <c r="AJ6339">
        <v>85.295005189161401</v>
      </c>
      <c r="AK6339">
        <v>71.073754051878296</v>
      </c>
      <c r="AL6339">
        <v>91.161404839632695</v>
      </c>
      <c r="AM6339">
        <v>85.819310413302404</v>
      </c>
      <c r="AN6339">
        <v>0.99999998551620495</v>
      </c>
    </row>
    <row r="6340" spans="1:40" x14ac:dyDescent="0.25">
      <c r="A6340" t="str">
        <f>"20190312161440713"</f>
        <v>20190312161440713</v>
      </c>
      <c r="B6340" t="str">
        <f>"1552378480702346"</f>
        <v>1552378480702346</v>
      </c>
      <c r="C6340" t="s">
        <v>40</v>
      </c>
      <c r="D6340">
        <v>5.6712249999999997</v>
      </c>
      <c r="E6340">
        <v>0.46041320000000002</v>
      </c>
      <c r="F6340" t="s">
        <v>106</v>
      </c>
      <c r="G6340">
        <v>-242.7431</v>
      </c>
      <c r="H6340" s="1">
        <v>-8.2732529999999998E-7</v>
      </c>
      <c r="I6340">
        <v>-62.876930000000002</v>
      </c>
      <c r="J6340">
        <v>-274.62639999999999</v>
      </c>
      <c r="K6340">
        <v>1.1100920000000001</v>
      </c>
      <c r="L6340">
        <v>-65.541229999999999</v>
      </c>
      <c r="M6340">
        <v>0.99649520000000003</v>
      </c>
      <c r="N6340">
        <v>0</v>
      </c>
      <c r="O6340">
        <v>8.2924369999999997E-2</v>
      </c>
      <c r="P6340">
        <v>0.9994518</v>
      </c>
      <c r="Q6340">
        <v>-3.1641330000000002E-2</v>
      </c>
      <c r="R6340">
        <v>9.7689669999999999E-3</v>
      </c>
      <c r="S6340">
        <v>2.995911</v>
      </c>
      <c r="T6340">
        <v>-0.104031</v>
      </c>
      <c r="U6340">
        <v>0.25036619999999998</v>
      </c>
      <c r="V6340">
        <v>7.3157109999999997E-2</v>
      </c>
      <c r="W6340">
        <v>-2.065372E-2</v>
      </c>
      <c r="X6340">
        <v>0.99710659999999895</v>
      </c>
      <c r="Y6340">
        <v>-4.0007429999999999E-4</v>
      </c>
      <c r="Z6340">
        <v>-2.8619029999999998E-3</v>
      </c>
      <c r="AA6340">
        <v>0.99999579999999999</v>
      </c>
      <c r="AB6340">
        <v>19</v>
      </c>
      <c r="AC6340">
        <v>31.883299999999899</v>
      </c>
      <c r="AD6340">
        <v>-1.1100928273252999</v>
      </c>
      <c r="AE6340">
        <v>2.6642999999999901</v>
      </c>
      <c r="AF6340">
        <v>-1.10469649457991E-2</v>
      </c>
      <c r="AG6340">
        <v>-1.1100928273252999</v>
      </c>
      <c r="AH6340">
        <v>31.955954414649799</v>
      </c>
      <c r="AI6340">
        <v>91.989552974534703</v>
      </c>
      <c r="AJ6340">
        <v>90.019806776364604</v>
      </c>
      <c r="AK6340">
        <v>31.9752318314018</v>
      </c>
      <c r="AL6340">
        <v>91.183455070884307</v>
      </c>
      <c r="AM6340">
        <v>85.803761973005095</v>
      </c>
      <c r="AN6340">
        <v>1.00000005532847</v>
      </c>
    </row>
    <row r="6341" spans="1:40" x14ac:dyDescent="0.25">
      <c r="A6341" t="str">
        <f>"20190312161440723"</f>
        <v>20190312161440723</v>
      </c>
      <c r="B6341" t="str">
        <f>"1552378480713083"</f>
        <v>1552378480713083</v>
      </c>
      <c r="C6341" t="s">
        <v>40</v>
      </c>
      <c r="D6341">
        <v>5.7002980000000001</v>
      </c>
      <c r="E6341">
        <v>0.45113219999999998</v>
      </c>
      <c r="F6341" t="s">
        <v>107</v>
      </c>
      <c r="G6341">
        <v>-239.3126</v>
      </c>
      <c r="H6341" s="1">
        <v>-3.2360270000000001E-6</v>
      </c>
      <c r="I6341">
        <v>-61.47081</v>
      </c>
      <c r="J6341">
        <v>-274.53199999999998</v>
      </c>
      <c r="K6341">
        <v>1.1100639999999999</v>
      </c>
      <c r="L6341">
        <v>-65.533109999999994</v>
      </c>
      <c r="M6341">
        <v>0.9964769</v>
      </c>
      <c r="N6341">
        <v>0</v>
      </c>
      <c r="O6341">
        <v>8.3149420000000002E-2</v>
      </c>
      <c r="P6341">
        <v>0.99944670000000002</v>
      </c>
      <c r="Q6341">
        <v>-3.1766969999999999E-2</v>
      </c>
      <c r="R6341">
        <v>9.8665249999999993E-3</v>
      </c>
      <c r="S6341">
        <v>2.9952999999999999</v>
      </c>
      <c r="T6341">
        <v>-9.4157699999999997E-2</v>
      </c>
      <c r="U6341">
        <v>0.34524539999999998</v>
      </c>
      <c r="V6341">
        <v>7.3283929999999997E-2</v>
      </c>
      <c r="W6341">
        <v>-2.0820370000000001E-2</v>
      </c>
      <c r="X6341">
        <v>0.99709369999999997</v>
      </c>
      <c r="Y6341">
        <v>-3.1525259999999999E-2</v>
      </c>
      <c r="Z6341">
        <v>-2.1056030000000002E-3</v>
      </c>
      <c r="AA6341">
        <v>0.99950079999999997</v>
      </c>
      <c r="AB6341">
        <v>19</v>
      </c>
      <c r="AC6341">
        <v>35.219399999999901</v>
      </c>
      <c r="AD6341">
        <v>-1.1100672360270001</v>
      </c>
      <c r="AE6341">
        <v>4.0622999999999898</v>
      </c>
      <c r="AF6341">
        <v>-1.11848604107688</v>
      </c>
      <c r="AG6341">
        <v>-1.1100672360270001</v>
      </c>
      <c r="AH6341">
        <v>35.400515922496503</v>
      </c>
      <c r="AI6341">
        <v>91.795161487112907</v>
      </c>
      <c r="AJ6341">
        <v>91.809669052416893</v>
      </c>
      <c r="AK6341">
        <v>35.435572351403003</v>
      </c>
      <c r="AL6341">
        <v>91.1930056099974</v>
      </c>
      <c r="AM6341">
        <v>85.796459534482196</v>
      </c>
      <c r="AN6341">
        <v>0.99999993439143298</v>
      </c>
    </row>
    <row r="6342" spans="1:40" x14ac:dyDescent="0.25">
      <c r="A6342" t="str">
        <f>"20190312161440735"</f>
        <v>20190312161440735</v>
      </c>
      <c r="B6342" t="str">
        <f>"1552378480732603"</f>
        <v>1552378480732603</v>
      </c>
      <c r="C6342" t="s">
        <v>40</v>
      </c>
      <c r="D6342">
        <v>5.6776970000000002</v>
      </c>
      <c r="E6342">
        <v>0.44249050000000001</v>
      </c>
      <c r="F6342" t="s">
        <v>107</v>
      </c>
      <c r="G6342">
        <v>-234.61320000000001</v>
      </c>
      <c r="H6342" s="1">
        <v>-1.0437339999999999E-6</v>
      </c>
      <c r="I6342">
        <v>-59.946460000000002</v>
      </c>
      <c r="J6342">
        <v>-274.43939999999998</v>
      </c>
      <c r="K6342">
        <v>1.1100399999999999</v>
      </c>
      <c r="L6342">
        <v>-65.525149999999996</v>
      </c>
      <c r="M6342">
        <v>0.99646060000000003</v>
      </c>
      <c r="N6342">
        <v>0</v>
      </c>
      <c r="O6342">
        <v>8.3351159999999994E-2</v>
      </c>
      <c r="P6342">
        <v>0.99944120000000003</v>
      </c>
      <c r="Q6342">
        <v>-3.1880360000000003E-2</v>
      </c>
      <c r="R6342">
        <v>1.0057099999999999E-2</v>
      </c>
      <c r="S6342">
        <v>2.9948730000000001</v>
      </c>
      <c r="T6342">
        <v>-8.3281519999999998E-2</v>
      </c>
      <c r="U6342">
        <v>0.41912840000000001</v>
      </c>
      <c r="V6342">
        <v>7.3294479999999995E-2</v>
      </c>
      <c r="W6342">
        <v>-2.0973539999999999E-2</v>
      </c>
      <c r="X6342">
        <v>0.99708980000000003</v>
      </c>
      <c r="Y6342">
        <v>-5.5574430000000001E-2</v>
      </c>
      <c r="Z6342">
        <v>-1.5321289999999999E-3</v>
      </c>
      <c r="AA6342">
        <v>0.99845340000000005</v>
      </c>
      <c r="AB6342">
        <v>19</v>
      </c>
      <c r="AC6342">
        <v>39.826199999999901</v>
      </c>
      <c r="AD6342">
        <v>-1.11004104373399</v>
      </c>
      <c r="AE6342">
        <v>5.5786899999999999</v>
      </c>
      <c r="AF6342">
        <v>-2.2378129077939302</v>
      </c>
      <c r="AG6342">
        <v>-1.11004104373399</v>
      </c>
      <c r="AH6342">
        <v>40.1220464743717</v>
      </c>
      <c r="AI6342">
        <v>91.582317737533103</v>
      </c>
      <c r="AJ6342">
        <v>93.192372729013798</v>
      </c>
      <c r="AK6342">
        <v>40.199733967038902</v>
      </c>
      <c r="AL6342">
        <v>91.201783419357398</v>
      </c>
      <c r="AM6342">
        <v>85.795840174731495</v>
      </c>
      <c r="AN6342">
        <v>1.0000000197213199</v>
      </c>
    </row>
    <row r="6343" spans="1:40" x14ac:dyDescent="0.25">
      <c r="A6343" t="str">
        <f>"20190312161440746"</f>
        <v>20190312161440746</v>
      </c>
      <c r="B6343" t="str">
        <f>"1552378480743338"</f>
        <v>1552378480743338</v>
      </c>
      <c r="C6343" t="s">
        <v>40</v>
      </c>
      <c r="D6343">
        <v>5.5344129999999998</v>
      </c>
      <c r="E6343">
        <v>0.4402238</v>
      </c>
      <c r="F6343" t="s">
        <v>108</v>
      </c>
      <c r="G6343">
        <v>-228.47919999999999</v>
      </c>
      <c r="H6343" s="1">
        <v>-3.2755650000000001E-6</v>
      </c>
      <c r="I6343">
        <v>-58.031770000000002</v>
      </c>
      <c r="J6343">
        <v>-274.34589999999997</v>
      </c>
      <c r="K6343">
        <v>1.1100159999999999</v>
      </c>
      <c r="L6343">
        <v>-65.517060000000001</v>
      </c>
      <c r="M6343">
        <v>0.99644480000000002</v>
      </c>
      <c r="N6343">
        <v>0</v>
      </c>
      <c r="O6343">
        <v>8.3544779999999999E-2</v>
      </c>
      <c r="P6343">
        <v>0.99943919999999997</v>
      </c>
      <c r="Q6343">
        <v>-3.191041E-2</v>
      </c>
      <c r="R6343">
        <v>1.017115E-2</v>
      </c>
      <c r="S6343">
        <v>2.9944760000000001</v>
      </c>
      <c r="T6343">
        <v>-7.2323319999999996E-2</v>
      </c>
      <c r="U6343">
        <v>0.48822019999999999</v>
      </c>
      <c r="V6343">
        <v>7.3373540000000001E-2</v>
      </c>
      <c r="W6343">
        <v>-2.1043590000000001E-2</v>
      </c>
      <c r="X6343">
        <v>0.99708249999999998</v>
      </c>
      <c r="Y6343">
        <v>-7.7893589999999999E-2</v>
      </c>
      <c r="Z6343">
        <v>-1.064908E-3</v>
      </c>
      <c r="AA6343">
        <v>0.99696110000000004</v>
      </c>
      <c r="AB6343">
        <v>19</v>
      </c>
      <c r="AC6343">
        <v>45.866699999999902</v>
      </c>
      <c r="AD6343">
        <v>-1.11001927556499</v>
      </c>
      <c r="AE6343">
        <v>7.48529</v>
      </c>
      <c r="AF6343">
        <v>-3.6249010057650199</v>
      </c>
      <c r="AG6343">
        <v>-1.11001927556499</v>
      </c>
      <c r="AH6343">
        <v>46.305309086259697</v>
      </c>
      <c r="AI6343">
        <v>91.3690302678134</v>
      </c>
      <c r="AJ6343">
        <v>94.476135237399603</v>
      </c>
      <c r="AK6343">
        <v>46.460237834817001</v>
      </c>
      <c r="AL6343">
        <v>91.205797885847403</v>
      </c>
      <c r="AM6343">
        <v>85.791290889204902</v>
      </c>
      <c r="AN6343">
        <v>1.0000000104292299</v>
      </c>
    </row>
    <row r="6344" spans="1:40" x14ac:dyDescent="0.25">
      <c r="A6344" t="str">
        <f>"20190312161440757"</f>
        <v>20190312161440757</v>
      </c>
      <c r="B6344" t="str">
        <f>"1552378480753100"</f>
        <v>1552378480753100</v>
      </c>
      <c r="C6344" t="s">
        <v>40</v>
      </c>
      <c r="D6344">
        <v>5.6645050000000001</v>
      </c>
      <c r="E6344">
        <v>0.43845420000000002</v>
      </c>
      <c r="F6344" t="s">
        <v>108</v>
      </c>
      <c r="G6344">
        <v>-226.93100000000001</v>
      </c>
      <c r="H6344" s="1">
        <v>-2.7298300000000001E-6</v>
      </c>
      <c r="I6344">
        <v>-57.4961699999999</v>
      </c>
      <c r="J6344">
        <v>-274.25020000000001</v>
      </c>
      <c r="K6344">
        <v>1.1099909999999999</v>
      </c>
      <c r="L6344">
        <v>-65.508849999999995</v>
      </c>
      <c r="M6344">
        <v>0.9964307</v>
      </c>
      <c r="N6344">
        <v>0</v>
      </c>
      <c r="O6344">
        <v>8.3715170000000005E-2</v>
      </c>
      <c r="P6344">
        <v>0.99943769999999998</v>
      </c>
      <c r="Q6344">
        <v>-3.1921770000000002E-2</v>
      </c>
      <c r="R6344">
        <v>1.0253140000000001E-2</v>
      </c>
      <c r="S6344">
        <v>2.9943240000000002</v>
      </c>
      <c r="T6344">
        <v>-7.0099350000000005E-2</v>
      </c>
      <c r="U6344">
        <v>0.50653079999999995</v>
      </c>
      <c r="V6344">
        <v>7.3461139999999994E-2</v>
      </c>
      <c r="W6344">
        <v>-2.1096400000000001E-2</v>
      </c>
      <c r="X6344">
        <v>0.99707489999999999</v>
      </c>
      <c r="Y6344">
        <v>-8.3661050000000001E-2</v>
      </c>
      <c r="Z6344">
        <v>-9.6849930000000005E-4</v>
      </c>
      <c r="AA6344">
        <v>0.99649379999999999</v>
      </c>
      <c r="AB6344">
        <v>19</v>
      </c>
      <c r="AC6344">
        <v>47.319200000000002</v>
      </c>
      <c r="AD6344">
        <v>-1.10999372983</v>
      </c>
      <c r="AE6344">
        <v>8.0126799999999996</v>
      </c>
      <c r="AF6344">
        <v>-4.0208312660535697</v>
      </c>
      <c r="AG6344">
        <v>-1.10999372983</v>
      </c>
      <c r="AH6344">
        <v>47.798331027185696</v>
      </c>
      <c r="AI6344">
        <v>91.325628202521798</v>
      </c>
      <c r="AJ6344">
        <v>94.808443046762207</v>
      </c>
      <c r="AK6344">
        <v>47.979991862595803</v>
      </c>
      <c r="AL6344">
        <v>91.208824388580595</v>
      </c>
      <c r="AM6344">
        <v>85.786252234859404</v>
      </c>
      <c r="AN6344">
        <v>0.99999997669653395</v>
      </c>
    </row>
    <row r="6345" spans="1:40" x14ac:dyDescent="0.25">
      <c r="A6345" t="str">
        <f>"20190312161440769"</f>
        <v>20190312161440769</v>
      </c>
      <c r="B6345" t="str">
        <f>"1552378480762862"</f>
        <v>1552378480762862</v>
      </c>
      <c r="C6345" t="s">
        <v>40</v>
      </c>
      <c r="D6345">
        <v>5.6622170000000001</v>
      </c>
      <c r="E6345">
        <v>0.43740210000000002</v>
      </c>
      <c r="F6345" t="s">
        <v>108</v>
      </c>
      <c r="G6345">
        <v>-225.73140000000001</v>
      </c>
      <c r="H6345" s="1">
        <v>-2.3097819999999998E-6</v>
      </c>
      <c r="I6345">
        <v>-57.068379999999998</v>
      </c>
      <c r="J6345">
        <v>-274.15649999999999</v>
      </c>
      <c r="K6345">
        <v>1.1099680000000001</v>
      </c>
      <c r="L6345">
        <v>-65.50076</v>
      </c>
      <c r="M6345">
        <v>0.99641780000000002</v>
      </c>
      <c r="N6345">
        <v>0</v>
      </c>
      <c r="O6345">
        <v>8.3874589999999999E-2</v>
      </c>
      <c r="P6345">
        <v>0.99942929999999996</v>
      </c>
      <c r="Q6345">
        <v>-3.2167189999999998E-2</v>
      </c>
      <c r="R6345">
        <v>1.030855E-2</v>
      </c>
      <c r="S6345">
        <v>2.9941710000000001</v>
      </c>
      <c r="T6345">
        <v>-6.8499329999999997E-2</v>
      </c>
      <c r="U6345">
        <v>0.52087399999999995</v>
      </c>
      <c r="V6345">
        <v>7.3563840000000005E-2</v>
      </c>
      <c r="W6345">
        <v>-2.1382539999999998E-2</v>
      </c>
      <c r="X6345">
        <v>0.99706130000000004</v>
      </c>
      <c r="Y6345">
        <v>-8.8145189999999998E-2</v>
      </c>
      <c r="Z6345">
        <v>-8.9866519999999995E-4</v>
      </c>
      <c r="AA6345">
        <v>0.99610719999999997</v>
      </c>
      <c r="AB6345">
        <v>19</v>
      </c>
      <c r="AC6345">
        <v>48.425099999999901</v>
      </c>
      <c r="AD6345">
        <v>-1.109970309782</v>
      </c>
      <c r="AE6345">
        <v>8.4323799999999896</v>
      </c>
      <c r="AF6345">
        <v>-4.3385788794185496</v>
      </c>
      <c r="AG6345">
        <v>-1.109970309782</v>
      </c>
      <c r="AH6345">
        <v>48.936794858968703</v>
      </c>
      <c r="AI6345">
        <v>91.294268806564702</v>
      </c>
      <c r="AJ6345">
        <v>95.066413243973301</v>
      </c>
      <c r="AK6345">
        <v>49.141277881739299</v>
      </c>
      <c r="AL6345">
        <v>91.225222620362999</v>
      </c>
      <c r="AM6345">
        <v>85.780325254058994</v>
      </c>
      <c r="AN6345">
        <v>1.00000004376504</v>
      </c>
    </row>
    <row r="6346" spans="1:40" x14ac:dyDescent="0.25">
      <c r="A6346" t="str">
        <f>"20190312161440780"</f>
        <v>20190312161440780</v>
      </c>
      <c r="B6346" t="str">
        <f>"1552378480772618"</f>
        <v>1552378480772618</v>
      </c>
      <c r="C6346" t="s">
        <v>40</v>
      </c>
      <c r="D6346">
        <v>5.671144</v>
      </c>
      <c r="E6346">
        <v>0.43651410000000002</v>
      </c>
      <c r="F6346" t="s">
        <v>108</v>
      </c>
      <c r="G6346">
        <v>-225.48400000000001</v>
      </c>
      <c r="H6346" s="1">
        <v>-2.2422610000000001E-6</v>
      </c>
      <c r="I6346">
        <v>-56.893819999999998</v>
      </c>
      <c r="J6346">
        <v>-274.06169999999997</v>
      </c>
      <c r="K6346">
        <v>1.109944</v>
      </c>
      <c r="L6346">
        <v>-65.492580000000004</v>
      </c>
      <c r="M6346">
        <v>0.99640700000000004</v>
      </c>
      <c r="N6346">
        <v>0</v>
      </c>
      <c r="O6346">
        <v>8.4006890000000001E-2</v>
      </c>
      <c r="P6346">
        <v>0.99942750000000002</v>
      </c>
      <c r="Q6346">
        <v>-3.2256279999999998E-2</v>
      </c>
      <c r="R6346">
        <v>1.022407E-2</v>
      </c>
      <c r="S6346">
        <v>2.994049</v>
      </c>
      <c r="T6346">
        <v>-6.8279030000000004E-2</v>
      </c>
      <c r="U6346">
        <v>0.52944950000000002</v>
      </c>
      <c r="V6346">
        <v>7.3779129999999998E-2</v>
      </c>
      <c r="W6346">
        <v>-2.1512070000000001E-2</v>
      </c>
      <c r="X6346">
        <v>0.99704250000000005</v>
      </c>
      <c r="Y6346">
        <v>-9.0786749999999999E-2</v>
      </c>
      <c r="Z6346">
        <v>-8.6862609999999998E-4</v>
      </c>
      <c r="AA6346">
        <v>0.99587000000000003</v>
      </c>
      <c r="AB6346">
        <v>19</v>
      </c>
      <c r="AC6346">
        <v>48.577699999999901</v>
      </c>
      <c r="AD6346">
        <v>-1.109946242261</v>
      </c>
      <c r="AE6346">
        <v>8.5987600000000004</v>
      </c>
      <c r="AF6346">
        <v>-4.4849929221531797</v>
      </c>
      <c r="AG6346">
        <v>-1.109946242261</v>
      </c>
      <c r="AH6346">
        <v>49.103506571907097</v>
      </c>
      <c r="AI6346">
        <v>91.289539606195802</v>
      </c>
      <c r="AJ6346">
        <v>95.218774410987706</v>
      </c>
      <c r="AK6346">
        <v>49.320396387598102</v>
      </c>
      <c r="AL6346">
        <v>91.232645980254006</v>
      </c>
      <c r="AM6346">
        <v>85.767941358286393</v>
      </c>
      <c r="AN6346">
        <v>0.999999937992744</v>
      </c>
    </row>
    <row r="6347" spans="1:40" x14ac:dyDescent="0.25">
      <c r="A6347" t="str">
        <f>"20190312161440791"</f>
        <v>20190312161440791</v>
      </c>
      <c r="B6347" t="str">
        <f>"1552378480782379"</f>
        <v>1552378480782379</v>
      </c>
      <c r="C6347" t="s">
        <v>40</v>
      </c>
      <c r="D6347">
        <v>5.6578749999999998</v>
      </c>
      <c r="E6347">
        <v>0.43602099999999999</v>
      </c>
      <c r="F6347" t="s">
        <v>108</v>
      </c>
      <c r="G6347">
        <v>-224.88390000000001</v>
      </c>
      <c r="H6347" s="1">
        <v>-2.0309980000000001E-6</v>
      </c>
      <c r="I6347">
        <v>-56.684910000000002</v>
      </c>
      <c r="J6347">
        <v>-273.97190000000001</v>
      </c>
      <c r="K6347">
        <v>1.1099289999999999</v>
      </c>
      <c r="L6347">
        <v>-65.484830000000002</v>
      </c>
      <c r="M6347">
        <v>0.99639770000000005</v>
      </c>
      <c r="N6347">
        <v>0</v>
      </c>
      <c r="O6347">
        <v>8.4123340000000005E-2</v>
      </c>
      <c r="P6347">
        <v>0.99941860000000005</v>
      </c>
      <c r="Q6347">
        <v>-3.2545449999999997E-2</v>
      </c>
      <c r="R6347">
        <v>1.0164619999999999E-2</v>
      </c>
      <c r="S6347">
        <v>2.9940190000000002</v>
      </c>
      <c r="T6347">
        <v>-6.7575220000000005E-2</v>
      </c>
      <c r="U6347">
        <v>0.53622440000000005</v>
      </c>
      <c r="V6347">
        <v>7.3953370000000004E-2</v>
      </c>
      <c r="W6347">
        <v>-2.183939E-2</v>
      </c>
      <c r="X6347">
        <v>0.99702250000000003</v>
      </c>
      <c r="Y6347">
        <v>-9.2855759999999996E-2</v>
      </c>
      <c r="Z6347">
        <v>-8.3889909999999997E-4</v>
      </c>
      <c r="AA6347">
        <v>0.99567919999999999</v>
      </c>
      <c r="AB6347">
        <v>19</v>
      </c>
      <c r="AC6347">
        <v>49.088000000000001</v>
      </c>
      <c r="AD6347">
        <v>-1.1099310309979999</v>
      </c>
      <c r="AE6347">
        <v>8.7999200000000002</v>
      </c>
      <c r="AF6347">
        <v>-4.6367432576983898</v>
      </c>
      <c r="AG6347">
        <v>-1.1099310309979999</v>
      </c>
      <c r="AH6347">
        <v>49.6297177472632</v>
      </c>
      <c r="AI6347">
        <v>91.275609952163194</v>
      </c>
      <c r="AJ6347">
        <v>95.337465022771497</v>
      </c>
      <c r="AK6347">
        <v>49.858201116811202</v>
      </c>
      <c r="AL6347">
        <v>91.2514044123605</v>
      </c>
      <c r="AM6347">
        <v>85.757898402498896</v>
      </c>
      <c r="AN6347">
        <v>0.999999962698088</v>
      </c>
    </row>
    <row r="6348" spans="1:40" x14ac:dyDescent="0.25">
      <c r="A6348" t="str">
        <f>"20190312161440801"</f>
        <v>20190312161440801</v>
      </c>
      <c r="B6348" t="str">
        <f>"1552378480793115"</f>
        <v>1552378480793115</v>
      </c>
      <c r="C6348" t="s">
        <v>40</v>
      </c>
      <c r="D6348">
        <v>5.6603640000000004</v>
      </c>
      <c r="E6348">
        <v>0.43564399999999998</v>
      </c>
      <c r="F6348" t="s">
        <v>108</v>
      </c>
      <c r="G6348">
        <v>-227.76859999999999</v>
      </c>
      <c r="H6348" s="1">
        <v>-3.1658560000000001E-6</v>
      </c>
      <c r="I6348">
        <v>-57.149180000000001</v>
      </c>
      <c r="J6348">
        <v>-273.8818</v>
      </c>
      <c r="K6348">
        <v>1.1099060000000001</v>
      </c>
      <c r="L6348">
        <v>-65.477109999999996</v>
      </c>
      <c r="M6348">
        <v>0.99638970000000004</v>
      </c>
      <c r="N6348">
        <v>0</v>
      </c>
      <c r="O6348">
        <v>8.4221240000000003E-2</v>
      </c>
      <c r="P6348">
        <v>0.99941579999999997</v>
      </c>
      <c r="Q6348">
        <v>-3.2688700000000001E-2</v>
      </c>
      <c r="R6348">
        <v>9.9848799999999998E-3</v>
      </c>
      <c r="S6348">
        <v>2.9938660000000001</v>
      </c>
      <c r="T6348">
        <v>-7.1920990000000004E-2</v>
      </c>
      <c r="U6348">
        <v>0.54013059999999902</v>
      </c>
      <c r="V6348">
        <v>7.4229370000000003E-2</v>
      </c>
      <c r="W6348">
        <v>-2.2020390000000001E-2</v>
      </c>
      <c r="X6348">
        <v>0.9969981</v>
      </c>
      <c r="Y6348">
        <v>-9.4024579999999996E-2</v>
      </c>
      <c r="Z6348">
        <v>-8.8114210000000005E-4</v>
      </c>
      <c r="AA6348">
        <v>0.9955695</v>
      </c>
      <c r="AB6348">
        <v>19</v>
      </c>
      <c r="AC6348">
        <v>46.113199999999999</v>
      </c>
      <c r="AD6348">
        <v>-1.1099091658560001</v>
      </c>
      <c r="AE6348">
        <v>8.3279299999999896</v>
      </c>
      <c r="AF6348">
        <v>-4.4119299643679097</v>
      </c>
      <c r="AG6348">
        <v>-1.1099091658560001</v>
      </c>
      <c r="AH6348">
        <v>46.6246156171363</v>
      </c>
      <c r="AI6348">
        <v>91.357618637423997</v>
      </c>
      <c r="AJ6348">
        <v>95.405610220743796</v>
      </c>
      <c r="AK6348">
        <v>46.846043651653801</v>
      </c>
      <c r="AL6348">
        <v>91.261777328010893</v>
      </c>
      <c r="AM6348">
        <v>85.742020828472505</v>
      </c>
      <c r="AN6348">
        <v>1.0000000541749701</v>
      </c>
    </row>
    <row r="6349" spans="1:40" x14ac:dyDescent="0.25">
      <c r="A6349" t="str">
        <f>"20190312161440813"</f>
        <v>20190312161440813</v>
      </c>
      <c r="B6349" t="str">
        <f>"1552378480802875"</f>
        <v>1552378480802875</v>
      </c>
      <c r="C6349" t="s">
        <v>40</v>
      </c>
      <c r="D6349">
        <v>5.6317729999999999</v>
      </c>
      <c r="E6349">
        <v>0.43524410000000002</v>
      </c>
      <c r="F6349" t="s">
        <v>108</v>
      </c>
      <c r="G6349">
        <v>-228.78020000000001</v>
      </c>
      <c r="H6349" s="1">
        <v>-3.565884E-6</v>
      </c>
      <c r="I6349">
        <v>-57.302689999999998</v>
      </c>
      <c r="J6349">
        <v>-273.7876</v>
      </c>
      <c r="K6349">
        <v>1.109883</v>
      </c>
      <c r="L6349">
        <v>-65.46902</v>
      </c>
      <c r="M6349">
        <v>0.99638260000000001</v>
      </c>
      <c r="N6349">
        <v>0</v>
      </c>
      <c r="O6349">
        <v>8.4309809999999999E-2</v>
      </c>
      <c r="P6349">
        <v>0.99941749999999996</v>
      </c>
      <c r="Q6349">
        <v>-3.2622060000000001E-2</v>
      </c>
      <c r="R6349">
        <v>1.0018920000000001E-2</v>
      </c>
      <c r="S6349">
        <v>2.9939269999999998</v>
      </c>
      <c r="T6349">
        <v>-7.3677779999999998E-2</v>
      </c>
      <c r="U6349">
        <v>0.54263309999999998</v>
      </c>
      <c r="V6349">
        <v>7.4283130000000003E-2</v>
      </c>
      <c r="W6349">
        <v>-2.199336E-2</v>
      </c>
      <c r="X6349">
        <v>0.99699459999999995</v>
      </c>
      <c r="Y6349">
        <v>-9.4738000000000003E-2</v>
      </c>
      <c r="Z6349">
        <v>-8.9599820000000002E-4</v>
      </c>
      <c r="AA6349">
        <v>0.99550179999999999</v>
      </c>
      <c r="AB6349">
        <v>19</v>
      </c>
      <c r="AC6349">
        <v>45.007399999999897</v>
      </c>
      <c r="AD6349">
        <v>-1.109886565884</v>
      </c>
      <c r="AE6349">
        <v>8.1663299999999897</v>
      </c>
      <c r="AF6349">
        <v>-4.3399152986341702</v>
      </c>
      <c r="AG6349">
        <v>-1.109886565884</v>
      </c>
      <c r="AH6349">
        <v>45.508884992394002</v>
      </c>
      <c r="AI6349">
        <v>91.390765294577406</v>
      </c>
      <c r="AJ6349">
        <v>95.447488387975895</v>
      </c>
      <c r="AK6349">
        <v>45.728823801180297</v>
      </c>
      <c r="AL6349">
        <v>91.260228364376701</v>
      </c>
      <c r="AM6349">
        <v>85.738933473111402</v>
      </c>
      <c r="AN6349">
        <v>0.99999996185792195</v>
      </c>
    </row>
    <row r="6350" spans="1:40" x14ac:dyDescent="0.25">
      <c r="A6350" t="str">
        <f>"20190312161440825"</f>
        <v>20190312161440825</v>
      </c>
      <c r="B6350" t="str">
        <f>"1552378480812634"</f>
        <v>1552378480812634</v>
      </c>
      <c r="C6350" t="s">
        <v>40</v>
      </c>
      <c r="D6350">
        <v>5.6886580000000002</v>
      </c>
      <c r="E6350">
        <v>0.43497150000000001</v>
      </c>
      <c r="F6350" t="s">
        <v>108</v>
      </c>
      <c r="G6350">
        <v>-228.6935</v>
      </c>
      <c r="H6350" s="1">
        <v>-3.541044E-6</v>
      </c>
      <c r="I6350">
        <v>-57.246989999999997</v>
      </c>
      <c r="J6350">
        <v>-273.69220000000001</v>
      </c>
      <c r="K6350">
        <v>1.109866</v>
      </c>
      <c r="L6350">
        <v>-65.460849999999994</v>
      </c>
      <c r="M6350">
        <v>0.9963767</v>
      </c>
      <c r="N6350">
        <v>0</v>
      </c>
      <c r="O6350">
        <v>8.4384970000000004E-2</v>
      </c>
      <c r="P6350">
        <v>0.99942149999999996</v>
      </c>
      <c r="Q6350">
        <v>-3.2490129999999999E-2</v>
      </c>
      <c r="R6350">
        <v>1.006925E-2</v>
      </c>
      <c r="S6350">
        <v>2.9938349999999998</v>
      </c>
      <c r="T6350">
        <v>-7.3686360000000006E-2</v>
      </c>
      <c r="U6350">
        <v>0.54586789999999996</v>
      </c>
      <c r="V6350">
        <v>7.4307399999999996E-2</v>
      </c>
      <c r="W6350">
        <v>-2.190195E-2</v>
      </c>
      <c r="X6350">
        <v>0.99699490000000002</v>
      </c>
      <c r="Y6350">
        <v>-9.5709230000000006E-2</v>
      </c>
      <c r="Z6350">
        <v>-8.8599000000000002E-4</v>
      </c>
      <c r="AA6350">
        <v>0.99540899999999999</v>
      </c>
      <c r="AB6350">
        <v>19</v>
      </c>
      <c r="AC6350">
        <v>44.998699999999999</v>
      </c>
      <c r="AD6350">
        <v>-1.109869541044</v>
      </c>
      <c r="AE6350">
        <v>8.2138599999999897</v>
      </c>
      <c r="AF6350">
        <v>-4.3845506040414</v>
      </c>
      <c r="AG6350">
        <v>-1.109869541044</v>
      </c>
      <c r="AH6350">
        <v>45.504557649370597</v>
      </c>
      <c r="AI6350">
        <v>91.390745442128704</v>
      </c>
      <c r="AJ6350">
        <v>95.503692813812506</v>
      </c>
      <c r="AK6350">
        <v>45.728774980994501</v>
      </c>
      <c r="AL6350">
        <v>91.254989574575404</v>
      </c>
      <c r="AM6350">
        <v>85.737547693085006</v>
      </c>
      <c r="AN6350">
        <v>1.0000000578672801</v>
      </c>
    </row>
    <row r="6351" spans="1:40" x14ac:dyDescent="0.25">
      <c r="A6351" t="str">
        <f>"20190312161440837"</f>
        <v>20190312161440837</v>
      </c>
      <c r="B6351" t="str">
        <f>"1552378480833131"</f>
        <v>1552378480833131</v>
      </c>
      <c r="C6351" t="s">
        <v>40</v>
      </c>
      <c r="D6351">
        <v>5.684526</v>
      </c>
      <c r="E6351">
        <v>0.43447859999999999</v>
      </c>
      <c r="F6351" t="s">
        <v>108</v>
      </c>
      <c r="G6351">
        <v>-229.46729999999999</v>
      </c>
      <c r="H6351" s="1">
        <v>-3.8478470000000001E-6</v>
      </c>
      <c r="I6351">
        <v>-57.360599999999998</v>
      </c>
      <c r="J6351">
        <v>-273.59609999999998</v>
      </c>
      <c r="K6351">
        <v>1.1098429999999999</v>
      </c>
      <c r="L6351">
        <v>-65.452609999999893</v>
      </c>
      <c r="M6351">
        <v>0.99637240000000005</v>
      </c>
      <c r="N6351">
        <v>0</v>
      </c>
      <c r="O6351">
        <v>8.4440180000000004E-2</v>
      </c>
      <c r="P6351">
        <v>0.99943570000000004</v>
      </c>
      <c r="Q6351">
        <v>-3.2000460000000001E-2</v>
      </c>
      <c r="R6351">
        <v>1.022735E-2</v>
      </c>
      <c r="S6351">
        <v>2.9937740000000002</v>
      </c>
      <c r="T6351">
        <v>-7.5131890000000007E-2</v>
      </c>
      <c r="U6351">
        <v>0.54833980000000004</v>
      </c>
      <c r="V6351">
        <v>7.4205489999999999E-2</v>
      </c>
      <c r="W6351">
        <v>-2.145474E-2</v>
      </c>
      <c r="X6351">
        <v>0.99701209999999996</v>
      </c>
      <c r="Y6351">
        <v>-9.6452640000000006E-2</v>
      </c>
      <c r="Z6351">
        <v>-8.9541350000000002E-4</v>
      </c>
      <c r="AA6351">
        <v>0.99533720000000003</v>
      </c>
      <c r="AB6351">
        <v>19</v>
      </c>
      <c r="AC6351">
        <v>44.128799999999899</v>
      </c>
      <c r="AD6351">
        <v>-1.1098468478470001</v>
      </c>
      <c r="AE6351">
        <v>8.0920099999999895</v>
      </c>
      <c r="AF6351">
        <v>-4.3340020352212001</v>
      </c>
      <c r="AG6351">
        <v>-1.1098468478470001</v>
      </c>
      <c r="AH6351">
        <v>44.627197773157903</v>
      </c>
      <c r="AI6351">
        <v>91.417943660576498</v>
      </c>
      <c r="AJ6351">
        <v>95.546925462366502</v>
      </c>
      <c r="AK6351">
        <v>44.850887558124498</v>
      </c>
      <c r="AL6351">
        <v>91.2293604472423</v>
      </c>
      <c r="AM6351">
        <v>85.743445159976901</v>
      </c>
      <c r="AN6351">
        <v>0.99999994408050696</v>
      </c>
    </row>
    <row r="6352" spans="1:40" x14ac:dyDescent="0.25">
      <c r="A6352" t="str">
        <f>"20190312161440847"</f>
        <v>20190312161440847</v>
      </c>
      <c r="B6352" t="str">
        <f>"1552378480842891"</f>
        <v>1552378480842891</v>
      </c>
      <c r="C6352" t="s">
        <v>40</v>
      </c>
      <c r="D6352">
        <v>5.7028049999999997</v>
      </c>
      <c r="E6352">
        <v>0.4342551</v>
      </c>
      <c r="F6352" t="s">
        <v>107</v>
      </c>
      <c r="G6352">
        <v>-230.8297</v>
      </c>
      <c r="H6352" s="1">
        <v>-2.2460989999999999E-8</v>
      </c>
      <c r="I6352">
        <v>-57.55386</v>
      </c>
      <c r="J6352">
        <v>-273.50040000000001</v>
      </c>
      <c r="K6352">
        <v>1.1098220000000001</v>
      </c>
      <c r="L6352">
        <v>-65.444429999999997</v>
      </c>
      <c r="M6352">
        <v>0.99636880000000005</v>
      </c>
      <c r="N6352">
        <v>0</v>
      </c>
      <c r="O6352">
        <v>8.4487950000000006E-2</v>
      </c>
      <c r="P6352">
        <v>0.99943910000000002</v>
      </c>
      <c r="Q6352">
        <v>-3.183018E-2</v>
      </c>
      <c r="R6352">
        <v>1.0409E-2</v>
      </c>
      <c r="S6352">
        <v>2.9935299999999998</v>
      </c>
      <c r="T6352">
        <v>-7.7686069999999996E-2</v>
      </c>
      <c r="U6352">
        <v>0.55288700000000002</v>
      </c>
      <c r="V6352">
        <v>7.4071890000000001E-2</v>
      </c>
      <c r="W6352">
        <v>-2.1327450000000001E-2</v>
      </c>
      <c r="X6352">
        <v>0.99702480000000004</v>
      </c>
      <c r="Y6352">
        <v>-9.7880949999999994E-2</v>
      </c>
      <c r="Z6352">
        <v>-9.0860349999999997E-4</v>
      </c>
      <c r="AA6352">
        <v>0.99519769999999996</v>
      </c>
      <c r="AB6352">
        <v>19</v>
      </c>
      <c r="AC6352">
        <v>42.670699999999997</v>
      </c>
      <c r="AD6352">
        <v>-1.1098220224609801</v>
      </c>
      <c r="AE6352">
        <v>7.8905700000000101</v>
      </c>
      <c r="AF6352">
        <v>-4.2542113809618298</v>
      </c>
      <c r="AG6352">
        <v>-1.1098220224609801</v>
      </c>
      <c r="AH6352">
        <v>43.156580309037203</v>
      </c>
      <c r="AI6352">
        <v>91.466001002824001</v>
      </c>
      <c r="AJ6352">
        <v>95.629811363896593</v>
      </c>
      <c r="AK6352">
        <v>43.379954395617098</v>
      </c>
      <c r="AL6352">
        <v>91.222065555916103</v>
      </c>
      <c r="AM6352">
        <v>85.751134519832604</v>
      </c>
      <c r="AN6352">
        <v>0.99999997841335697</v>
      </c>
    </row>
    <row r="6353" spans="1:40" x14ac:dyDescent="0.25">
      <c r="A6353" t="str">
        <f>"20190312161440859"</f>
        <v>20190312161440859</v>
      </c>
      <c r="B6353" t="str">
        <f>"1552378480852650"</f>
        <v>1552378480852650</v>
      </c>
      <c r="C6353" t="s">
        <v>40</v>
      </c>
      <c r="D6353">
        <v>5.6990679999999996</v>
      </c>
      <c r="E6353">
        <v>0.43412800000000001</v>
      </c>
      <c r="F6353" t="s">
        <v>107</v>
      </c>
      <c r="G6353">
        <v>-232.11359999999999</v>
      </c>
      <c r="H6353" s="1">
        <v>-4.028376E-7</v>
      </c>
      <c r="I6353">
        <v>-57.766319999999901</v>
      </c>
      <c r="J6353">
        <v>-273.40550000000002</v>
      </c>
      <c r="K6353">
        <v>1.109804</v>
      </c>
      <c r="L6353">
        <v>-65.436340000000001</v>
      </c>
      <c r="M6353">
        <v>0.99636749999999996</v>
      </c>
      <c r="N6353">
        <v>0</v>
      </c>
      <c r="O6353">
        <v>8.4508490000000006E-2</v>
      </c>
      <c r="P6353">
        <v>0.99944650000000002</v>
      </c>
      <c r="Q6353">
        <v>-3.1535830000000001E-2</v>
      </c>
      <c r="R6353">
        <v>1.060822E-2</v>
      </c>
      <c r="S6353">
        <v>2.9933779999999999</v>
      </c>
      <c r="T6353">
        <v>-8.0269930000000003E-2</v>
      </c>
      <c r="U6353">
        <v>0.55532840000000006</v>
      </c>
      <c r="V6353">
        <v>7.3893539999999994E-2</v>
      </c>
      <c r="W6353">
        <v>-2.1075259999999998E-2</v>
      </c>
      <c r="X6353">
        <v>0.99704340000000002</v>
      </c>
      <c r="Y6353">
        <v>-9.8653759999999993E-2</v>
      </c>
      <c r="Z6353">
        <v>-9.2904149999999998E-4</v>
      </c>
      <c r="AA6353">
        <v>0.99512140000000004</v>
      </c>
      <c r="AB6353">
        <v>19</v>
      </c>
      <c r="AC6353">
        <v>41.291899999999998</v>
      </c>
      <c r="AD6353">
        <v>-1.1098044028376</v>
      </c>
      <c r="AE6353">
        <v>7.6700200000000001</v>
      </c>
      <c r="AF6353">
        <v>-4.1499733436888704</v>
      </c>
      <c r="AG6353">
        <v>-1.1098044028376</v>
      </c>
      <c r="AH6353">
        <v>41.763227602569501</v>
      </c>
      <c r="AI6353">
        <v>91.514747282665297</v>
      </c>
      <c r="AJ6353">
        <v>95.674799545715203</v>
      </c>
      <c r="AK6353">
        <v>41.983581604597703</v>
      </c>
      <c r="AL6353">
        <v>91.207612880423497</v>
      </c>
      <c r="AM6353">
        <v>85.761406375751605</v>
      </c>
      <c r="AN6353">
        <v>0.99999998166067905</v>
      </c>
    </row>
    <row r="6354" spans="1:40" x14ac:dyDescent="0.25">
      <c r="A6354" t="str">
        <f>"20190312161440870"</f>
        <v>20190312161440870</v>
      </c>
      <c r="B6354" t="str">
        <f>"1552378480863386"</f>
        <v>1552378480863386</v>
      </c>
      <c r="C6354" t="s">
        <v>40</v>
      </c>
      <c r="D6354">
        <v>5.7363189999999999</v>
      </c>
      <c r="E6354">
        <v>0.43403180000000002</v>
      </c>
      <c r="F6354" t="s">
        <v>107</v>
      </c>
      <c r="G6354">
        <v>-233.0189</v>
      </c>
      <c r="H6354" s="1">
        <v>-7.1913549999999995E-7</v>
      </c>
      <c r="I6354">
        <v>-57.9206199999999</v>
      </c>
      <c r="J6354">
        <v>-273.31270000000001</v>
      </c>
      <c r="K6354">
        <v>1.109785</v>
      </c>
      <c r="L6354">
        <v>-65.428439999999995</v>
      </c>
      <c r="M6354">
        <v>0.99636670000000005</v>
      </c>
      <c r="N6354">
        <v>0</v>
      </c>
      <c r="O6354">
        <v>8.4523840000000003E-2</v>
      </c>
      <c r="P6354">
        <v>0.99944200000000005</v>
      </c>
      <c r="Q6354">
        <v>-3.157824E-2</v>
      </c>
      <c r="R6354">
        <v>1.090663E-2</v>
      </c>
      <c r="S6354">
        <v>2.9931640000000002</v>
      </c>
      <c r="T6354">
        <v>-8.2250710000000005E-2</v>
      </c>
      <c r="U6354">
        <v>0.55700680000000002</v>
      </c>
      <c r="V6354">
        <v>7.3610430000000004E-2</v>
      </c>
      <c r="W6354">
        <v>-2.1158509999999998E-2</v>
      </c>
      <c r="X6354">
        <v>0.99706260000000002</v>
      </c>
      <c r="Y6354">
        <v>-9.9190150000000005E-2</v>
      </c>
      <c r="Z6354">
        <v>-9.4507239999999995E-4</v>
      </c>
      <c r="AA6354">
        <v>0.99506810000000001</v>
      </c>
      <c r="AB6354">
        <v>19</v>
      </c>
      <c r="AC6354">
        <v>40.293799999999997</v>
      </c>
      <c r="AD6354">
        <v>-1.1097857191355001</v>
      </c>
      <c r="AE6354">
        <v>7.5078200000000104</v>
      </c>
      <c r="AF6354">
        <v>-4.0719921771513397</v>
      </c>
      <c r="AG6354">
        <v>-1.1097857191355001</v>
      </c>
      <c r="AH6354">
        <v>40.754337398453202</v>
      </c>
      <c r="AI6354">
        <v>91.552117578333906</v>
      </c>
      <c r="AJ6354">
        <v>95.705802572495301</v>
      </c>
      <c r="AK6354">
        <v>40.972292606347303</v>
      </c>
      <c r="AL6354">
        <v>91.212383791972101</v>
      </c>
      <c r="AM6354">
        <v>85.777667965493904</v>
      </c>
      <c r="AN6354">
        <v>1.00000000313448</v>
      </c>
    </row>
    <row r="6355" spans="1:40" x14ac:dyDescent="0.25">
      <c r="A6355" t="str">
        <f>"20190312161440880"</f>
        <v>20190312161440880</v>
      </c>
      <c r="B6355" t="str">
        <f>"1552378480873147"</f>
        <v>1552378480873147</v>
      </c>
      <c r="C6355" t="s">
        <v>40</v>
      </c>
      <c r="D6355">
        <v>5.7007919999999999</v>
      </c>
      <c r="E6355">
        <v>0.433861</v>
      </c>
      <c r="F6355" t="s">
        <v>107</v>
      </c>
      <c r="G6355">
        <v>-234.137</v>
      </c>
      <c r="H6355" s="1">
        <v>-1.1645710000000001E-6</v>
      </c>
      <c r="I6355">
        <v>-58.11374</v>
      </c>
      <c r="J6355">
        <v>-273.22019999999998</v>
      </c>
      <c r="K6355">
        <v>1.1097669999999999</v>
      </c>
      <c r="L6355">
        <v>-65.420559999999995</v>
      </c>
      <c r="M6355">
        <v>0.99636709999999995</v>
      </c>
      <c r="N6355">
        <v>0</v>
      </c>
      <c r="O6355">
        <v>8.4522780000000006E-2</v>
      </c>
      <c r="P6355">
        <v>0.99943700000000002</v>
      </c>
      <c r="Q6355">
        <v>-3.1650039999999997E-2</v>
      </c>
      <c r="R6355">
        <v>1.114008E-2</v>
      </c>
      <c r="S6355">
        <v>2.9928590000000002</v>
      </c>
      <c r="T6355">
        <v>-8.4782960000000004E-2</v>
      </c>
      <c r="U6355">
        <v>0.55880739999999995</v>
      </c>
      <c r="V6355">
        <v>7.3375770000000007E-2</v>
      </c>
      <c r="W6355">
        <v>-2.1270029999999999E-2</v>
      </c>
      <c r="X6355">
        <v>0.99707749999999995</v>
      </c>
      <c r="Y6355">
        <v>-9.9787459999999994E-2</v>
      </c>
      <c r="Z6355">
        <v>-9.6576989999999998E-4</v>
      </c>
      <c r="AA6355">
        <v>0.99500829999999996</v>
      </c>
      <c r="AB6355">
        <v>19</v>
      </c>
      <c r="AC6355">
        <v>39.083199999999898</v>
      </c>
      <c r="AD6355">
        <v>-1.109768164571</v>
      </c>
      <c r="AE6355">
        <v>7.3068199999999903</v>
      </c>
      <c r="AF6355">
        <v>-3.97397418899468</v>
      </c>
      <c r="AG6355">
        <v>-1.109768164571</v>
      </c>
      <c r="AH6355">
        <v>39.530157785454598</v>
      </c>
      <c r="AI6355">
        <v>91.600036487919297</v>
      </c>
      <c r="AJ6355">
        <v>95.740668316097597</v>
      </c>
      <c r="AK6355">
        <v>39.744904463048201</v>
      </c>
      <c r="AL6355">
        <v>91.218774884510395</v>
      </c>
      <c r="AM6355">
        <v>85.791142405947397</v>
      </c>
      <c r="AN6355">
        <v>0.99999997940277097</v>
      </c>
    </row>
    <row r="6356" spans="1:40" x14ac:dyDescent="0.25">
      <c r="A6356" t="str">
        <f>"20190312161440892"</f>
        <v>20190312161440892</v>
      </c>
      <c r="B6356" t="str">
        <f>"1552378480882907"</f>
        <v>1552378480882907</v>
      </c>
      <c r="C6356" t="s">
        <v>40</v>
      </c>
      <c r="D6356">
        <v>5.7210769999999904</v>
      </c>
      <c r="E6356">
        <v>0.43371910000000002</v>
      </c>
      <c r="F6356" t="s">
        <v>107</v>
      </c>
      <c r="G6356">
        <v>-234.9442</v>
      </c>
      <c r="H6356" s="1">
        <v>-1.487364E-6</v>
      </c>
      <c r="I6356">
        <v>-58.246090000000002</v>
      </c>
      <c r="J6356">
        <v>-273.12759999999997</v>
      </c>
      <c r="K6356">
        <v>1.1097509999999999</v>
      </c>
      <c r="L6356">
        <v>-65.412719999999993</v>
      </c>
      <c r="M6356">
        <v>0.99636800000000003</v>
      </c>
      <c r="N6356">
        <v>0</v>
      </c>
      <c r="O6356">
        <v>8.4516709999999995E-2</v>
      </c>
      <c r="P6356">
        <v>0.9994246</v>
      </c>
      <c r="Q6356">
        <v>-3.1936640000000002E-2</v>
      </c>
      <c r="R6356">
        <v>1.1432029999999999E-2</v>
      </c>
      <c r="S6356">
        <v>2.9926759999999999</v>
      </c>
      <c r="T6356">
        <v>-8.6769100000000002E-2</v>
      </c>
      <c r="U6356">
        <v>0.56094359999999999</v>
      </c>
      <c r="V6356">
        <v>7.3077020000000006E-2</v>
      </c>
      <c r="W6356">
        <v>-2.1595360000000001E-2</v>
      </c>
      <c r="X6356">
        <v>0.99709250000000005</v>
      </c>
      <c r="Y6356">
        <v>-0.1004902</v>
      </c>
      <c r="Z6356">
        <v>-9.7809049999999999E-4</v>
      </c>
      <c r="AA6356">
        <v>0.99493759999999998</v>
      </c>
      <c r="AB6356">
        <v>19</v>
      </c>
      <c r="AC6356">
        <v>38.183399999999899</v>
      </c>
      <c r="AD6356">
        <v>-1.1097524873639999</v>
      </c>
      <c r="AE6356">
        <v>7.1666299999999898</v>
      </c>
      <c r="AF6356">
        <v>-3.9104854913246299</v>
      </c>
      <c r="AG6356">
        <v>-1.1097524873639999</v>
      </c>
      <c r="AH6356">
        <v>38.620986970470803</v>
      </c>
      <c r="AI6356">
        <v>91.637541173806795</v>
      </c>
      <c r="AJ6356">
        <v>95.781657301102499</v>
      </c>
      <c r="AK6356">
        <v>38.834315777857498</v>
      </c>
      <c r="AL6356">
        <v>91.237419138565102</v>
      </c>
      <c r="AM6356">
        <v>85.808280430183999</v>
      </c>
      <c r="AN6356">
        <v>1.0000000319909199</v>
      </c>
    </row>
    <row r="6357" spans="1:40" x14ac:dyDescent="0.25">
      <c r="A6357" t="str">
        <f>"20190312161440902"</f>
        <v>20190312161440902</v>
      </c>
      <c r="B6357" t="str">
        <f>"1552378480892667"</f>
        <v>1552378480892667</v>
      </c>
      <c r="C6357" t="s">
        <v>40</v>
      </c>
      <c r="D6357">
        <v>5.7354960000000004</v>
      </c>
      <c r="E6357">
        <v>0.43365880000000001</v>
      </c>
      <c r="F6357" t="s">
        <v>107</v>
      </c>
      <c r="G6357">
        <v>-235.7244</v>
      </c>
      <c r="H6357" s="1">
        <v>-1.798989E-6</v>
      </c>
      <c r="I6357">
        <v>-58.376170000000002</v>
      </c>
      <c r="J6357">
        <v>-273.03910000000002</v>
      </c>
      <c r="K6357">
        <v>1.1097379999999999</v>
      </c>
      <c r="L6357">
        <v>-65.405209999999997</v>
      </c>
      <c r="M6357">
        <v>0.99636939999999996</v>
      </c>
      <c r="N6357">
        <v>0</v>
      </c>
      <c r="O6357">
        <v>8.4503110000000006E-2</v>
      </c>
      <c r="P6357">
        <v>0.99942730000000002</v>
      </c>
      <c r="Q6357">
        <v>-3.1880159999999998E-2</v>
      </c>
      <c r="R6357">
        <v>1.134578E-2</v>
      </c>
      <c r="S6357">
        <v>2.9924620000000002</v>
      </c>
      <c r="T6357">
        <v>-8.8786240000000002E-2</v>
      </c>
      <c r="U6357">
        <v>0.56295779999999995</v>
      </c>
      <c r="V6357">
        <v>7.314938E-2</v>
      </c>
      <c r="W6357">
        <v>-2.1574599999999999E-2</v>
      </c>
      <c r="X6357">
        <v>0.99708759999999996</v>
      </c>
      <c r="Y6357">
        <v>-0.1011629</v>
      </c>
      <c r="Z6357">
        <v>-9.9052139999999999E-4</v>
      </c>
      <c r="AA6357">
        <v>0.99486940000000001</v>
      </c>
      <c r="AB6357">
        <v>19</v>
      </c>
      <c r="AC6357">
        <v>37.314700000000002</v>
      </c>
      <c r="AD6357">
        <v>-1.1097397989890001</v>
      </c>
      <c r="AE6357">
        <v>7.0290400000000002</v>
      </c>
      <c r="AF6357">
        <v>-3.8472324944073502</v>
      </c>
      <c r="AG6357">
        <v>-1.1097397989890001</v>
      </c>
      <c r="AH6357">
        <v>37.7429880754379</v>
      </c>
      <c r="AI6357">
        <v>91.675479551219794</v>
      </c>
      <c r="AJ6357">
        <v>95.820192880036899</v>
      </c>
      <c r="AK6357">
        <v>37.954787170396898</v>
      </c>
      <c r="AL6357">
        <v>91.236229454661</v>
      </c>
      <c r="AM6357">
        <v>85.804124109129106</v>
      </c>
      <c r="AN6357">
        <v>0.99999998861665196</v>
      </c>
    </row>
    <row r="6358" spans="1:40" x14ac:dyDescent="0.25">
      <c r="A6358" t="str">
        <f>"20190312161440914"</f>
        <v>20190312161440914</v>
      </c>
      <c r="B6358" t="str">
        <f>"1552378480903402"</f>
        <v>1552378480903402</v>
      </c>
      <c r="C6358" t="s">
        <v>40</v>
      </c>
      <c r="D6358">
        <v>5.69468</v>
      </c>
      <c r="E6358">
        <v>0.43361329999999998</v>
      </c>
      <c r="F6358" t="s">
        <v>107</v>
      </c>
      <c r="G6358">
        <v>-236.05799999999999</v>
      </c>
      <c r="H6358" s="1">
        <v>-1.9299719999999998E-6</v>
      </c>
      <c r="I6358">
        <v>-58.444619999999901</v>
      </c>
      <c r="J6358">
        <v>-272.94580000000002</v>
      </c>
      <c r="K6358">
        <v>1.109728</v>
      </c>
      <c r="L6358">
        <v>-65.397310000000004</v>
      </c>
      <c r="M6358">
        <v>0.99637149999999997</v>
      </c>
      <c r="N6358">
        <v>0</v>
      </c>
      <c r="O6358">
        <v>8.448377E-2</v>
      </c>
      <c r="P6358">
        <v>0.9994246</v>
      </c>
      <c r="Q6358">
        <v>-3.1825119999999998E-2</v>
      </c>
      <c r="R6358">
        <v>1.173518E-2</v>
      </c>
      <c r="S6358">
        <v>2.992432</v>
      </c>
      <c r="T6358">
        <v>-8.9797849999999999E-2</v>
      </c>
      <c r="U6358">
        <v>0.56323239999999997</v>
      </c>
      <c r="V6358">
        <v>7.2741420000000001E-2</v>
      </c>
      <c r="W6358">
        <v>-2.1556249999999999E-2</v>
      </c>
      <c r="X6358">
        <v>0.9971179</v>
      </c>
      <c r="Y6358">
        <v>-0.101272</v>
      </c>
      <c r="Z6358">
        <v>-9.9960559999999997E-4</v>
      </c>
      <c r="AA6358">
        <v>0.99485829999999997</v>
      </c>
      <c r="AB6358">
        <v>19</v>
      </c>
      <c r="AC6358">
        <v>36.887799999999999</v>
      </c>
      <c r="AD6358">
        <v>-1.109729929972</v>
      </c>
      <c r="AE6358">
        <v>6.9526900000000103</v>
      </c>
      <c r="AF6358">
        <v>-3.8079162822782999</v>
      </c>
      <c r="AG6358">
        <v>-1.109729929972</v>
      </c>
      <c r="AH6358">
        <v>37.310718096019201</v>
      </c>
      <c r="AI6358">
        <v>91.694843046643001</v>
      </c>
      <c r="AJ6358">
        <v>95.827406125230198</v>
      </c>
      <c r="AK6358">
        <v>37.520946306975397</v>
      </c>
      <c r="AL6358">
        <v>91.235177761269796</v>
      </c>
      <c r="AM6358">
        <v>85.827568314621203</v>
      </c>
      <c r="AN6358">
        <v>1.0000000462990399</v>
      </c>
    </row>
    <row r="6359" spans="1:40" x14ac:dyDescent="0.25">
      <c r="A6359" t="str">
        <f>"20190312161440924"</f>
        <v>20190312161440924</v>
      </c>
      <c r="B6359" t="str">
        <f>"1552378480913163"</f>
        <v>1552378480913163</v>
      </c>
      <c r="C6359" t="s">
        <v>40</v>
      </c>
      <c r="D6359">
        <v>5.7369940000000001</v>
      </c>
      <c r="E6359">
        <v>0.4335445</v>
      </c>
      <c r="F6359" t="s">
        <v>107</v>
      </c>
      <c r="G6359">
        <v>-236.65520000000001</v>
      </c>
      <c r="H6359" s="1">
        <v>-2.1679679999999998E-6</v>
      </c>
      <c r="I6359">
        <v>-58.547229999999999</v>
      </c>
      <c r="J6359">
        <v>-272.85219999999998</v>
      </c>
      <c r="K6359">
        <v>1.1097170000000001</v>
      </c>
      <c r="L6359">
        <v>-65.38937</v>
      </c>
      <c r="M6359">
        <v>0.99637390000000003</v>
      </c>
      <c r="N6359">
        <v>0</v>
      </c>
      <c r="O6359">
        <v>8.4459859999999998E-2</v>
      </c>
      <c r="P6359">
        <v>0.99942180000000003</v>
      </c>
      <c r="Q6359">
        <v>-3.1849669999999997E-2</v>
      </c>
      <c r="R6359">
        <v>1.190422E-2</v>
      </c>
      <c r="S6359">
        <v>2.9921880000000001</v>
      </c>
      <c r="T6359">
        <v>-9.1498019999999999E-2</v>
      </c>
      <c r="U6359">
        <v>0.56478879999999998</v>
      </c>
      <c r="V6359">
        <v>7.2548630000000003E-2</v>
      </c>
      <c r="W6359">
        <v>-2.161745E-2</v>
      </c>
      <c r="X6359">
        <v>0.99713059999999998</v>
      </c>
      <c r="Y6359">
        <v>-0.10180989999999999</v>
      </c>
      <c r="Z6359">
        <v>-1.0096720000000001E-3</v>
      </c>
      <c r="AA6359">
        <v>0.9948034</v>
      </c>
      <c r="AB6359">
        <v>19</v>
      </c>
      <c r="AC6359">
        <v>36.196999999999903</v>
      </c>
      <c r="AD6359">
        <v>-1.1097191679680001</v>
      </c>
      <c r="AE6359">
        <v>6.8421399999999899</v>
      </c>
      <c r="AF6359">
        <v>-3.7569253708348298</v>
      </c>
      <c r="AG6359">
        <v>-1.1097191679680001</v>
      </c>
      <c r="AH6359">
        <v>36.612342124231603</v>
      </c>
      <c r="AI6359">
        <v>91.727038982560899</v>
      </c>
      <c r="AJ6359">
        <v>95.858821810151397</v>
      </c>
      <c r="AK6359">
        <v>36.821319377441597</v>
      </c>
      <c r="AL6359">
        <v>91.238685105672602</v>
      </c>
      <c r="AM6359">
        <v>85.838640621773095</v>
      </c>
      <c r="AN6359">
        <v>1.0000000256578601</v>
      </c>
    </row>
    <row r="6360" spans="1:40" x14ac:dyDescent="0.25">
      <c r="A6360" t="str">
        <f>"20190312161440936"</f>
        <v>20190312161440936</v>
      </c>
      <c r="B6360" t="str">
        <f>"1552378480932683"</f>
        <v>1552378480932683</v>
      </c>
      <c r="C6360" t="s">
        <v>40</v>
      </c>
      <c r="D6360">
        <v>5.7164590000000004</v>
      </c>
      <c r="E6360">
        <v>0.43355060000000001</v>
      </c>
      <c r="F6360" t="s">
        <v>107</v>
      </c>
      <c r="G6360">
        <v>-237.0668</v>
      </c>
      <c r="H6360" s="1">
        <v>-2.3315259999999999E-6</v>
      </c>
      <c r="I6360">
        <v>-58.6205</v>
      </c>
      <c r="J6360">
        <v>-272.75400000000002</v>
      </c>
      <c r="K6360">
        <v>1.109712</v>
      </c>
      <c r="L6360">
        <v>-65.381069999999994</v>
      </c>
      <c r="M6360">
        <v>0.99637699999999996</v>
      </c>
      <c r="N6360">
        <v>0</v>
      </c>
      <c r="O6360">
        <v>8.4428760000000005E-2</v>
      </c>
      <c r="P6360">
        <v>0.99942430000000004</v>
      </c>
      <c r="Q6360">
        <v>-3.1739320000000001E-2</v>
      </c>
      <c r="R6360">
        <v>1.1992640000000001E-2</v>
      </c>
      <c r="S6360">
        <v>2.9920650000000002</v>
      </c>
      <c r="T6360">
        <v>-9.2785000000000006E-2</v>
      </c>
      <c r="U6360">
        <v>0.56594849999999997</v>
      </c>
      <c r="V6360">
        <v>7.2429549999999995E-2</v>
      </c>
      <c r="W6360">
        <v>-2.154464E-2</v>
      </c>
      <c r="X6360">
        <v>0.99714080000000005</v>
      </c>
      <c r="Y6360">
        <v>-0.1022202</v>
      </c>
      <c r="Z6360">
        <v>-1.016606E-3</v>
      </c>
      <c r="AA6360">
        <v>0.99476129999999996</v>
      </c>
      <c r="AB6360">
        <v>19</v>
      </c>
      <c r="AC6360">
        <v>35.687199999999997</v>
      </c>
      <c r="AD6360">
        <v>-1.1097143315260001</v>
      </c>
      <c r="AE6360">
        <v>6.7605699999999898</v>
      </c>
      <c r="AF6360">
        <v>-3.7197730775455198</v>
      </c>
      <c r="AG6360">
        <v>-1.1097143315260001</v>
      </c>
      <c r="AH6360">
        <v>36.096888386964501</v>
      </c>
      <c r="AI6360">
        <v>91.751600069103802</v>
      </c>
      <c r="AJ6360">
        <v>95.883544585253802</v>
      </c>
      <c r="AK6360">
        <v>36.305006939360297</v>
      </c>
      <c r="AL6360">
        <v>91.234512468432897</v>
      </c>
      <c r="AM6360">
        <v>85.845489414221305</v>
      </c>
      <c r="AN6360">
        <v>0.99999999312528598</v>
      </c>
    </row>
    <row r="6361" spans="1:40" x14ac:dyDescent="0.25">
      <c r="A6361" t="str">
        <f>"20190312161440947"</f>
        <v>20190312161440947</v>
      </c>
      <c r="B6361" t="str">
        <f>"1552378480943418"</f>
        <v>1552378480943418</v>
      </c>
      <c r="C6361" t="s">
        <v>40</v>
      </c>
      <c r="D6361">
        <v>5.7319789999999999</v>
      </c>
      <c r="E6361">
        <v>0.4335349</v>
      </c>
      <c r="F6361" t="s">
        <v>107</v>
      </c>
      <c r="G6361">
        <v>-238.0574</v>
      </c>
      <c r="H6361" s="1">
        <v>-2.722133E-6</v>
      </c>
      <c r="I6361">
        <v>-58.814279999999997</v>
      </c>
      <c r="J6361">
        <v>-272.65820000000002</v>
      </c>
      <c r="K6361">
        <v>1.109707</v>
      </c>
      <c r="L6361">
        <v>-65.372990000000001</v>
      </c>
      <c r="M6361">
        <v>0.99638009999999999</v>
      </c>
      <c r="N6361">
        <v>0</v>
      </c>
      <c r="O6361">
        <v>8.4396260000000001E-2</v>
      </c>
      <c r="P6361">
        <v>0.99942660000000005</v>
      </c>
      <c r="Q6361">
        <v>-3.1574730000000002E-2</v>
      </c>
      <c r="R6361">
        <v>1.22262E-2</v>
      </c>
      <c r="S6361">
        <v>2.9919129999999998</v>
      </c>
      <c r="T6361">
        <v>-9.5691440000000003E-2</v>
      </c>
      <c r="U6361">
        <v>0.56625369999999997</v>
      </c>
      <c r="V6361">
        <v>7.2164439999999996E-2</v>
      </c>
      <c r="W6361">
        <v>-2.1416190000000002E-2</v>
      </c>
      <c r="X6361">
        <v>0.99716280000000002</v>
      </c>
      <c r="Y6361">
        <v>-0.1023593</v>
      </c>
      <c r="Z6361">
        <v>-1.0452459999999999E-3</v>
      </c>
      <c r="AA6361">
        <v>0.99474689999999999</v>
      </c>
      <c r="AB6361">
        <v>19</v>
      </c>
      <c r="AC6361">
        <v>34.6008</v>
      </c>
      <c r="AD6361">
        <v>-1.1097097221329999</v>
      </c>
      <c r="AE6361">
        <v>6.5587099999999898</v>
      </c>
      <c r="AF6361">
        <v>-3.6113921014082599</v>
      </c>
      <c r="AG6361">
        <v>-1.1097097221329999</v>
      </c>
      <c r="AH6361">
        <v>34.996151740342299</v>
      </c>
      <c r="AI6361">
        <v>91.806623244817303</v>
      </c>
      <c r="AJ6361">
        <v>95.891724798836805</v>
      </c>
      <c r="AK6361">
        <v>35.199492115804397</v>
      </c>
      <c r="AL6361">
        <v>91.227151112867205</v>
      </c>
      <c r="AM6361">
        <v>85.860734000202797</v>
      </c>
      <c r="AN6361">
        <v>1.0000000046492299</v>
      </c>
    </row>
    <row r="6362" spans="1:40" x14ac:dyDescent="0.25">
      <c r="A6362" t="str">
        <f>"20190312161440960"</f>
        <v>20190312161440960</v>
      </c>
      <c r="B6362" t="str">
        <f>"1552378480953180"</f>
        <v>1552378480953180</v>
      </c>
      <c r="C6362" t="s">
        <v>40</v>
      </c>
      <c r="D6362">
        <v>5.7166399999999999</v>
      </c>
      <c r="E6362">
        <v>0.43354480000000001</v>
      </c>
      <c r="F6362" t="s">
        <v>107</v>
      </c>
      <c r="G6362">
        <v>-238.05770000000001</v>
      </c>
      <c r="H6362" s="1">
        <v>-2.722349E-6</v>
      </c>
      <c r="I6362">
        <v>-58.813809999999997</v>
      </c>
      <c r="J6362">
        <v>-272.5598</v>
      </c>
      <c r="K6362">
        <v>1.1096999999999999</v>
      </c>
      <c r="L6362">
        <v>-65.364719999999906</v>
      </c>
      <c r="M6362">
        <v>0.99638389999999999</v>
      </c>
      <c r="N6362">
        <v>0</v>
      </c>
      <c r="O6362">
        <v>8.4355349999999996E-2</v>
      </c>
      <c r="P6362">
        <v>0.99942299999999995</v>
      </c>
      <c r="Q6362">
        <v>-3.1649280000000002E-2</v>
      </c>
      <c r="R6362">
        <v>1.232988E-2</v>
      </c>
      <c r="S6362">
        <v>2.9917600000000002</v>
      </c>
      <c r="T6362">
        <v>-9.5951910000000001E-2</v>
      </c>
      <c r="U6362">
        <v>0.5671387</v>
      </c>
      <c r="V6362">
        <v>7.2019849999999996E-2</v>
      </c>
      <c r="W6362">
        <v>-2.1527810000000001E-2</v>
      </c>
      <c r="X6362">
        <v>0.99717089999999997</v>
      </c>
      <c r="Y6362">
        <v>-0.1026933</v>
      </c>
      <c r="Z6362">
        <v>-1.041506E-3</v>
      </c>
      <c r="AA6362">
        <v>0.9947125</v>
      </c>
      <c r="AB6362">
        <v>19</v>
      </c>
      <c r="AC6362">
        <v>34.502099999999899</v>
      </c>
      <c r="AD6362">
        <v>-1.1097027223489999</v>
      </c>
      <c r="AE6362">
        <v>6.5509099999999902</v>
      </c>
      <c r="AF6362">
        <v>-3.61336346516434</v>
      </c>
      <c r="AG6362">
        <v>-1.1097027223489999</v>
      </c>
      <c r="AH6362">
        <v>34.8969014994072</v>
      </c>
      <c r="AI6362">
        <v>91.811681812695298</v>
      </c>
      <c r="AJ6362">
        <v>95.911565459798993</v>
      </c>
      <c r="AK6362">
        <v>35.101019499762401</v>
      </c>
      <c r="AL6362">
        <v>91.233547880910095</v>
      </c>
      <c r="AM6362">
        <v>85.869032209112405</v>
      </c>
      <c r="AN6362">
        <v>1.0000000546021099</v>
      </c>
    </row>
    <row r="6363" spans="1:40" x14ac:dyDescent="0.25">
      <c r="A6363" t="str">
        <f>"20190312161440970"</f>
        <v>20190312161440970</v>
      </c>
      <c r="B6363" t="str">
        <f>"1552378480962938"</f>
        <v>1552378480962938</v>
      </c>
      <c r="C6363" t="s">
        <v>40</v>
      </c>
      <c r="D6363">
        <v>5.6952230000000004</v>
      </c>
      <c r="E6363">
        <v>0.43355440000000001</v>
      </c>
      <c r="F6363" t="s">
        <v>107</v>
      </c>
      <c r="G6363">
        <v>-238.45249999999999</v>
      </c>
      <c r="H6363" s="1">
        <v>-2.8770749999999999E-6</v>
      </c>
      <c r="I6363">
        <v>-58.896340000000002</v>
      </c>
      <c r="J6363">
        <v>-272.46030000000002</v>
      </c>
      <c r="K6363">
        <v>1.109696</v>
      </c>
      <c r="L6363">
        <v>-65.356290000000001</v>
      </c>
      <c r="M6363">
        <v>0.99638800000000005</v>
      </c>
      <c r="N6363">
        <v>0</v>
      </c>
      <c r="O6363">
        <v>8.4312189999999995E-2</v>
      </c>
      <c r="P6363">
        <v>0.99942500000000001</v>
      </c>
      <c r="Q6363">
        <v>-3.158975E-2</v>
      </c>
      <c r="R6363">
        <v>1.23397E-2</v>
      </c>
      <c r="S6363">
        <v>2.991638</v>
      </c>
      <c r="T6363">
        <v>-9.7334859999999995E-2</v>
      </c>
      <c r="U6363">
        <v>0.56735230000000003</v>
      </c>
      <c r="V6363">
        <v>7.1966929999999998E-2</v>
      </c>
      <c r="W6363">
        <v>-2.15055E-2</v>
      </c>
      <c r="X6363">
        <v>0.99717520000000004</v>
      </c>
      <c r="Y6363">
        <v>-0.102812</v>
      </c>
      <c r="Z6363">
        <v>-1.0532439999999901E-3</v>
      </c>
      <c r="AA6363">
        <v>0.99470029999999998</v>
      </c>
      <c r="AB6363">
        <v>19</v>
      </c>
      <c r="AC6363">
        <v>34.007800000000003</v>
      </c>
      <c r="AD6363">
        <v>-1.109698877075</v>
      </c>
      <c r="AE6363">
        <v>6.4599499999999903</v>
      </c>
      <c r="AF6363">
        <v>-3.56586277168832</v>
      </c>
      <c r="AG6363">
        <v>-1.109698877075</v>
      </c>
      <c r="AH6363">
        <v>34.396031249329802</v>
      </c>
      <c r="AI6363">
        <v>91.838015067619494</v>
      </c>
      <c r="AJ6363">
        <v>95.918753373137804</v>
      </c>
      <c r="AK6363">
        <v>34.598175885574797</v>
      </c>
      <c r="AL6363">
        <v>91.232269318705306</v>
      </c>
      <c r="AM6363">
        <v>85.872074875663102</v>
      </c>
      <c r="AN6363">
        <v>1.0000000525194499</v>
      </c>
    </row>
    <row r="6364" spans="1:40" x14ac:dyDescent="0.25">
      <c r="A6364" t="str">
        <f>"20190312161440981"</f>
        <v>20190312161440981</v>
      </c>
      <c r="B6364" t="str">
        <f>"1552378480972699"</f>
        <v>1552378480972699</v>
      </c>
      <c r="C6364" t="s">
        <v>40</v>
      </c>
      <c r="D6364">
        <v>5.7074299999999996</v>
      </c>
      <c r="E6364">
        <v>0.43358560000000002</v>
      </c>
      <c r="F6364" t="s">
        <v>107</v>
      </c>
      <c r="G6364">
        <v>-238.86779999999999</v>
      </c>
      <c r="H6364" s="1">
        <v>-3.0394990000000001E-6</v>
      </c>
      <c r="I6364">
        <v>-58.984909999999999</v>
      </c>
      <c r="J6364">
        <v>-272.37169999999998</v>
      </c>
      <c r="K6364">
        <v>1.109691</v>
      </c>
      <c r="L6364">
        <v>-65.348849999999999</v>
      </c>
      <c r="M6364">
        <v>0.9963919</v>
      </c>
      <c r="N6364">
        <v>0</v>
      </c>
      <c r="O6364">
        <v>8.4270239999999996E-2</v>
      </c>
      <c r="P6364">
        <v>0.99942390000000003</v>
      </c>
      <c r="Q6364">
        <v>-3.1610689999999997E-2</v>
      </c>
      <c r="R6364">
        <v>1.2374039999999999E-2</v>
      </c>
      <c r="S6364">
        <v>2.9916689999999999</v>
      </c>
      <c r="T6364">
        <v>-9.8826999999999998E-2</v>
      </c>
      <c r="U6364">
        <v>0.56741330000000001</v>
      </c>
      <c r="V6364">
        <v>7.1890720000000005E-2</v>
      </c>
      <c r="W6364">
        <v>-2.1558799999999999E-2</v>
      </c>
      <c r="X6364">
        <v>0.9971795</v>
      </c>
      <c r="Y6364">
        <v>-0.1028713</v>
      </c>
      <c r="Z6364">
        <v>-1.0670339999999999E-3</v>
      </c>
      <c r="AA6364">
        <v>0.99469410000000003</v>
      </c>
      <c r="AB6364">
        <v>19</v>
      </c>
      <c r="AC6364">
        <v>33.503899999999902</v>
      </c>
      <c r="AD6364">
        <v>-1.109694039499</v>
      </c>
      <c r="AE6364">
        <v>6.3639400000000004</v>
      </c>
      <c r="AF6364">
        <v>-3.51405471615969</v>
      </c>
      <c r="AG6364">
        <v>-1.109694039499</v>
      </c>
      <c r="AH6364">
        <v>33.885152077448602</v>
      </c>
      <c r="AI6364">
        <v>91.865692339616302</v>
      </c>
      <c r="AJ6364">
        <v>95.920685865037598</v>
      </c>
      <c r="AK6364">
        <v>34.0849458371476</v>
      </c>
      <c r="AL6364">
        <v>91.235323948819698</v>
      </c>
      <c r="AM6364">
        <v>85.876448810777006</v>
      </c>
      <c r="AN6364">
        <v>1.0000000063498999</v>
      </c>
    </row>
    <row r="6365" spans="1:40" x14ac:dyDescent="0.25">
      <c r="A6365" t="str">
        <f>"20190312161440992"</f>
        <v>20190312161440992</v>
      </c>
      <c r="B6365" t="str">
        <f>"1552378480983436"</f>
        <v>1552378480983436</v>
      </c>
      <c r="C6365" t="s">
        <v>40</v>
      </c>
      <c r="D6365">
        <v>5.7101329999999999</v>
      </c>
      <c r="E6365">
        <v>0.43362149999999999</v>
      </c>
      <c r="F6365" t="s">
        <v>107</v>
      </c>
      <c r="G6365">
        <v>-239.2021</v>
      </c>
      <c r="H6365" s="1">
        <v>-3.1698280000000001E-6</v>
      </c>
      <c r="I6365">
        <v>-59.058779999999999</v>
      </c>
      <c r="J6365">
        <v>-272.27609999999999</v>
      </c>
      <c r="K6365">
        <v>1.109685</v>
      </c>
      <c r="L6365">
        <v>-65.340819999999994</v>
      </c>
      <c r="M6365">
        <v>0.99639610000000001</v>
      </c>
      <c r="N6365">
        <v>0</v>
      </c>
      <c r="O6365">
        <v>8.4224300000000002E-2</v>
      </c>
      <c r="P6365">
        <v>0.99942180000000003</v>
      </c>
      <c r="Q6365">
        <v>-3.1625819999999999E-2</v>
      </c>
      <c r="R6365">
        <v>1.2497309999999999E-2</v>
      </c>
      <c r="S6365">
        <v>2.9915470000000002</v>
      </c>
      <c r="T6365">
        <v>-0.10008259999999999</v>
      </c>
      <c r="U6365">
        <v>0.56729130000000005</v>
      </c>
      <c r="V6365">
        <v>7.1721779999999999E-2</v>
      </c>
      <c r="W6365">
        <v>-2.1607669999999999E-2</v>
      </c>
      <c r="X6365">
        <v>0.99719060000000004</v>
      </c>
      <c r="Y6365">
        <v>-0.102885199999999</v>
      </c>
      <c r="Z6365">
        <v>-1.0788880000000001E-3</v>
      </c>
      <c r="AA6365">
        <v>0.99469260000000004</v>
      </c>
      <c r="AB6365">
        <v>19</v>
      </c>
      <c r="AC6365">
        <v>33.073999999999899</v>
      </c>
      <c r="AD6365">
        <v>-1.1096881698279999</v>
      </c>
      <c r="AE6365">
        <v>6.2820399999999799</v>
      </c>
      <c r="AF6365">
        <v>-3.4701708343076501</v>
      </c>
      <c r="AG6365">
        <v>-1.1096881698279999</v>
      </c>
      <c r="AH6365">
        <v>33.449254241365097</v>
      </c>
      <c r="AI6365">
        <v>91.889970163181104</v>
      </c>
      <c r="AJ6365">
        <v>95.922924269725598</v>
      </c>
      <c r="AK6365">
        <v>33.6470816380413</v>
      </c>
      <c r="AL6365">
        <v>91.238124655145498</v>
      </c>
      <c r="AM6365">
        <v>85.886151299656603</v>
      </c>
      <c r="AN6365">
        <v>0.999999998928778</v>
      </c>
    </row>
    <row r="6366" spans="1:40" x14ac:dyDescent="0.25">
      <c r="A6366" t="str">
        <f>"20190312161441002"</f>
        <v>20190312161441002</v>
      </c>
      <c r="B6366" t="str">
        <f>"1552378480992787"</f>
        <v>1552378480992787</v>
      </c>
      <c r="C6366" t="s">
        <v>40</v>
      </c>
      <c r="D6366">
        <v>5.6775869999999999</v>
      </c>
      <c r="E6366">
        <v>0.4336603</v>
      </c>
      <c r="F6366" t="s">
        <v>107</v>
      </c>
      <c r="G6366">
        <v>-239.33609999999999</v>
      </c>
      <c r="H6366" s="1">
        <v>-3.2212690000000002E-6</v>
      </c>
      <c r="I6366">
        <v>-59.092750000000002</v>
      </c>
      <c r="J6366">
        <v>-272.18799999999999</v>
      </c>
      <c r="K6366">
        <v>1.10968</v>
      </c>
      <c r="L6366">
        <v>-65.333439999999996</v>
      </c>
      <c r="M6366">
        <v>0.99639999999999995</v>
      </c>
      <c r="N6366">
        <v>0</v>
      </c>
      <c r="O6366">
        <v>8.418059E-2</v>
      </c>
      <c r="P6366">
        <v>0.99942560000000003</v>
      </c>
      <c r="Q6366">
        <v>-3.1466569999999999E-2</v>
      </c>
      <c r="R6366">
        <v>1.259234E-2</v>
      </c>
      <c r="S6366">
        <v>2.9914550000000002</v>
      </c>
      <c r="T6366">
        <v>-0.1007764</v>
      </c>
      <c r="U6366">
        <v>0.56741330000000001</v>
      </c>
      <c r="V6366">
        <v>7.1583659999999993E-2</v>
      </c>
      <c r="W6366">
        <v>-2.1478150000000001E-2</v>
      </c>
      <c r="X6366">
        <v>0.99720339999999996</v>
      </c>
      <c r="Y6366">
        <v>-0.10297340000000001</v>
      </c>
      <c r="Z6366">
        <v>-1.0834690000000001E-3</v>
      </c>
      <c r="AA6366">
        <v>0.99468350000000005</v>
      </c>
      <c r="AB6366">
        <v>19</v>
      </c>
      <c r="AC6366">
        <v>32.851900000000001</v>
      </c>
      <c r="AD6366">
        <v>-1.109683221269</v>
      </c>
      <c r="AE6366">
        <v>6.2406899999999901</v>
      </c>
      <c r="AF6366">
        <v>-3.4491067085081699</v>
      </c>
      <c r="AG6366">
        <v>-1.109683221269</v>
      </c>
      <c r="AH6366">
        <v>33.224064722922002</v>
      </c>
      <c r="AI6366">
        <v>91.902748832794799</v>
      </c>
      <c r="AJ6366">
        <v>95.926845026106307</v>
      </c>
      <c r="AK6366">
        <v>33.421044427892298</v>
      </c>
      <c r="AL6366">
        <v>91.230701888112705</v>
      </c>
      <c r="AM6366">
        <v>85.894099047729398</v>
      </c>
      <c r="AN6366">
        <v>1.00000007613898</v>
      </c>
    </row>
    <row r="6367" spans="1:40" x14ac:dyDescent="0.25">
      <c r="A6367" t="str">
        <f>"20190312161441014"</f>
        <v>20190312161441014</v>
      </c>
      <c r="B6367" t="str">
        <f>"1552378481003514"</f>
        <v>1552378481003514</v>
      </c>
      <c r="C6367" t="s">
        <v>40</v>
      </c>
      <c r="D6367">
        <v>5.7159430000000002</v>
      </c>
      <c r="E6367">
        <v>0.4336874</v>
      </c>
      <c r="F6367" t="s">
        <v>107</v>
      </c>
      <c r="G6367">
        <v>-239.3004</v>
      </c>
      <c r="H6367" s="1">
        <v>-3.2055009999999999E-6</v>
      </c>
      <c r="I6367">
        <v>-59.095529999999997</v>
      </c>
      <c r="J6367">
        <v>-272.09199999999998</v>
      </c>
      <c r="K6367">
        <v>1.109674</v>
      </c>
      <c r="L6367">
        <v>-65.32535</v>
      </c>
      <c r="M6367">
        <v>0.99640450000000003</v>
      </c>
      <c r="N6367">
        <v>0</v>
      </c>
      <c r="O6367">
        <v>8.4132369999999998E-2</v>
      </c>
      <c r="P6367">
        <v>0.99943090000000001</v>
      </c>
      <c r="Q6367">
        <v>-3.1289169999999998E-2</v>
      </c>
      <c r="R6367">
        <v>1.261788E-2</v>
      </c>
      <c r="S6367">
        <v>2.9913940000000001</v>
      </c>
      <c r="T6367">
        <v>-0.10093489999999999</v>
      </c>
      <c r="U6367">
        <v>0.56738279999999996</v>
      </c>
      <c r="V6367">
        <v>7.1510260000000006E-2</v>
      </c>
      <c r="W6367">
        <v>-2.133266E-2</v>
      </c>
      <c r="X6367">
        <v>0.99721170000000003</v>
      </c>
      <c r="Y6367">
        <v>-0.10301539999999999</v>
      </c>
      <c r="Z6367">
        <v>-1.0828879999999999E-3</v>
      </c>
      <c r="AA6367">
        <v>0.99467919999999999</v>
      </c>
      <c r="AB6367">
        <v>19</v>
      </c>
      <c r="AC6367">
        <v>32.791599999999903</v>
      </c>
      <c r="AD6367">
        <v>-1.109677205501</v>
      </c>
      <c r="AE6367">
        <v>6.2298199999999904</v>
      </c>
      <c r="AF6367">
        <v>-3.4449501762697001</v>
      </c>
      <c r="AG6367">
        <v>-1.109677205501</v>
      </c>
      <c r="AH6367">
        <v>33.162830339219802</v>
      </c>
      <c r="AI6367">
        <v>91.906236312222106</v>
      </c>
      <c r="AJ6367">
        <v>95.930606161685503</v>
      </c>
      <c r="AK6367">
        <v>33.359741925339698</v>
      </c>
      <c r="AL6367">
        <v>91.222364124192197</v>
      </c>
      <c r="AM6367">
        <v>85.898328776564895</v>
      </c>
      <c r="AN6367">
        <v>0.999999987142416</v>
      </c>
    </row>
    <row r="6368" spans="1:40" x14ac:dyDescent="0.25">
      <c r="A6368" t="str">
        <f>"20190312161441026"</f>
        <v>20190312161441026</v>
      </c>
      <c r="B6368" t="str">
        <f>"1552378481023034"</f>
        <v>1552378481023034</v>
      </c>
      <c r="C6368" t="s">
        <v>40</v>
      </c>
      <c r="D6368">
        <v>5.6628509999999999</v>
      </c>
      <c r="E6368">
        <v>0.43379050000000002</v>
      </c>
      <c r="F6368" t="s">
        <v>107</v>
      </c>
      <c r="G6368">
        <v>-238.97970000000001</v>
      </c>
      <c r="H6368" s="1">
        <v>-3.0765000000000001E-6</v>
      </c>
      <c r="I6368">
        <v>-59.046970000000002</v>
      </c>
      <c r="J6368">
        <v>-271.98869999999999</v>
      </c>
      <c r="K6368">
        <v>1.109677</v>
      </c>
      <c r="L6368">
        <v>-65.316649999999996</v>
      </c>
      <c r="M6368">
        <v>0.99640919999999999</v>
      </c>
      <c r="N6368">
        <v>0</v>
      </c>
      <c r="O6368">
        <v>8.4079970000000004E-2</v>
      </c>
      <c r="P6368">
        <v>0.99942819999999999</v>
      </c>
      <c r="Q6368">
        <v>-3.1308429999999998E-2</v>
      </c>
      <c r="R6368">
        <v>1.278726E-2</v>
      </c>
      <c r="S6368">
        <v>2.9914550000000002</v>
      </c>
      <c r="T6368">
        <v>-0.1002512</v>
      </c>
      <c r="U6368">
        <v>0.56719969999999997</v>
      </c>
      <c r="V6368">
        <v>7.1288790000000005E-2</v>
      </c>
      <c r="W6368">
        <v>-2.138572E-2</v>
      </c>
      <c r="X6368">
        <v>0.99722639999999996</v>
      </c>
      <c r="Y6368">
        <v>-0.103005399999999</v>
      </c>
      <c r="Z6368">
        <v>-1.0739809999999999E-3</v>
      </c>
      <c r="AA6368">
        <v>0.99468020000000001</v>
      </c>
      <c r="AB6368">
        <v>19</v>
      </c>
      <c r="AC6368">
        <v>33.008999999999901</v>
      </c>
      <c r="AD6368">
        <v>-1.1096800764999999</v>
      </c>
      <c r="AE6368">
        <v>6.2696800000000001</v>
      </c>
      <c r="AF6368">
        <v>-3.4681604128280799</v>
      </c>
      <c r="AG6368">
        <v>-1.1096800764999999</v>
      </c>
      <c r="AH6368">
        <v>33.382870990965102</v>
      </c>
      <c r="AI6368">
        <v>91.893683521859003</v>
      </c>
      <c r="AJ6368">
        <v>95.931204611533701</v>
      </c>
      <c r="AK6368">
        <v>33.580881497076703</v>
      </c>
      <c r="AL6368">
        <v>91.225404957022207</v>
      </c>
      <c r="AM6368">
        <v>85.911048724390497</v>
      </c>
      <c r="AN6368">
        <v>0.99999996672826996</v>
      </c>
    </row>
    <row r="6369" spans="1:40" x14ac:dyDescent="0.25">
      <c r="A6369" t="str">
        <f>"20190312161441037"</f>
        <v>20190312161441037</v>
      </c>
      <c r="B6369" t="str">
        <f>"1552378481032793"</f>
        <v>1552378481032793</v>
      </c>
      <c r="C6369" t="s">
        <v>40</v>
      </c>
      <c r="D6369">
        <v>5.6400489999999897</v>
      </c>
      <c r="E6369">
        <v>0.4338709</v>
      </c>
      <c r="F6369" t="s">
        <v>107</v>
      </c>
      <c r="G6369">
        <v>-239.1634</v>
      </c>
      <c r="H6369" s="1">
        <v>-3.1467919999999999E-6</v>
      </c>
      <c r="I6369">
        <v>-59.0950699999999</v>
      </c>
      <c r="J6369">
        <v>-271.89600000000002</v>
      </c>
      <c r="K6369">
        <v>1.1096729999999999</v>
      </c>
      <c r="L6369">
        <v>-65.308899999999994</v>
      </c>
      <c r="M6369">
        <v>0.99641349999999995</v>
      </c>
      <c r="N6369">
        <v>0</v>
      </c>
      <c r="O6369">
        <v>8.4031369999999994E-2</v>
      </c>
      <c r="P6369">
        <v>0.99943079999999995</v>
      </c>
      <c r="Q6369">
        <v>-3.1233670000000002E-2</v>
      </c>
      <c r="R6369">
        <v>1.275314E-2</v>
      </c>
      <c r="S6369">
        <v>2.9913020000000001</v>
      </c>
      <c r="T6369">
        <v>-0.101123</v>
      </c>
      <c r="U6369">
        <v>0.5669556</v>
      </c>
      <c r="V6369">
        <v>7.1274560000000001E-2</v>
      </c>
      <c r="W6369">
        <v>-2.1341100000000002E-2</v>
      </c>
      <c r="X6369">
        <v>0.99722840000000001</v>
      </c>
      <c r="Y6369">
        <v>-0.1029846</v>
      </c>
      <c r="Z6369">
        <v>-1.0821089999999999E-3</v>
      </c>
      <c r="AA6369">
        <v>0.99468239999999997</v>
      </c>
      <c r="AB6369">
        <v>19</v>
      </c>
      <c r="AC6369">
        <v>32.732599999999898</v>
      </c>
      <c r="AD6369">
        <v>-1.109676146792</v>
      </c>
      <c r="AE6369">
        <v>6.2138299999999997</v>
      </c>
      <c r="AF6369">
        <v>-3.43733589006768</v>
      </c>
      <c r="AG6369">
        <v>-1.109676146792</v>
      </c>
      <c r="AH6369">
        <v>33.102278435657198</v>
      </c>
      <c r="AI6369">
        <v>91.909726713103296</v>
      </c>
      <c r="AJ6369">
        <v>95.928338665428001</v>
      </c>
      <c r="AK6369">
        <v>33.298761190225797</v>
      </c>
      <c r="AL6369">
        <v>91.222847802782795</v>
      </c>
      <c r="AM6369">
        <v>85.911870326066094</v>
      </c>
      <c r="AN6369">
        <v>0.999999993609481</v>
      </c>
    </row>
    <row r="6370" spans="1:40" x14ac:dyDescent="0.25">
      <c r="A6370" t="str">
        <f>"20190312161441049"</f>
        <v>20190312161441049</v>
      </c>
      <c r="B6370" t="str">
        <f>"1552378481042553"</f>
        <v>1552378481042553</v>
      </c>
      <c r="C6370" t="s">
        <v>40</v>
      </c>
      <c r="D6370">
        <v>5.6287390000000004</v>
      </c>
      <c r="E6370">
        <v>0.43393999999999999</v>
      </c>
      <c r="F6370" t="s">
        <v>107</v>
      </c>
      <c r="G6370">
        <v>-239.1147</v>
      </c>
      <c r="H6370" s="1">
        <v>-3.124373E-6</v>
      </c>
      <c r="I6370">
        <v>-59.103679999999997</v>
      </c>
      <c r="J6370">
        <v>-271.79579999999999</v>
      </c>
      <c r="K6370">
        <v>1.109669</v>
      </c>
      <c r="L6370">
        <v>-65.300510000000003</v>
      </c>
      <c r="M6370">
        <v>0.99641840000000004</v>
      </c>
      <c r="N6370">
        <v>0</v>
      </c>
      <c r="O6370">
        <v>8.3978319999999995E-2</v>
      </c>
      <c r="P6370">
        <v>0.99944270000000002</v>
      </c>
      <c r="Q6370">
        <v>-3.0874760000000001E-2</v>
      </c>
      <c r="R6370">
        <v>1.2690180000000001E-2</v>
      </c>
      <c r="S6370">
        <v>2.9913020000000001</v>
      </c>
      <c r="T6370">
        <v>-0.1012584</v>
      </c>
      <c r="U6370">
        <v>0.56622309999999998</v>
      </c>
      <c r="V6370">
        <v>7.1285180000000004E-2</v>
      </c>
      <c r="W6370">
        <v>-2.1014680000000001E-2</v>
      </c>
      <c r="X6370">
        <v>0.99723459999999997</v>
      </c>
      <c r="Y6370">
        <v>-0.1028025</v>
      </c>
      <c r="Z6370">
        <v>-1.084874E-3</v>
      </c>
      <c r="AA6370">
        <v>0.99470119999999895</v>
      </c>
      <c r="AB6370">
        <v>19</v>
      </c>
      <c r="AC6370">
        <v>32.681099999999901</v>
      </c>
      <c r="AD6370">
        <v>-1.1096721243729999</v>
      </c>
      <c r="AE6370">
        <v>6.1968299999999896</v>
      </c>
      <c r="AF6370">
        <v>-3.4264863407197601</v>
      </c>
      <c r="AG6370">
        <v>-1.1096721243729999</v>
      </c>
      <c r="AH6370">
        <v>33.0492897238937</v>
      </c>
      <c r="AI6370">
        <v>91.912811167957599</v>
      </c>
      <c r="AJ6370">
        <v>95.919167235063895</v>
      </c>
      <c r="AK6370">
        <v>33.244965515407202</v>
      </c>
      <c r="AL6370">
        <v>91.204141086313598</v>
      </c>
      <c r="AM6370">
        <v>85.911288589571399</v>
      </c>
      <c r="AN6370">
        <v>1.00000002055014</v>
      </c>
    </row>
    <row r="6371" spans="1:40" x14ac:dyDescent="0.25">
      <c r="A6371" t="str">
        <f>"20190312161441061"</f>
        <v>20190312161441061</v>
      </c>
      <c r="B6371" t="str">
        <f>"1552378481053289"</f>
        <v>1552378481053289</v>
      </c>
      <c r="C6371" t="s">
        <v>40</v>
      </c>
      <c r="D6371">
        <v>5.6230960000000003</v>
      </c>
      <c r="E6371">
        <v>0.43401640000000002</v>
      </c>
      <c r="F6371" t="s">
        <v>107</v>
      </c>
      <c r="G6371">
        <v>-239.06870000000001</v>
      </c>
      <c r="H6371" s="1">
        <v>-3.1030039999999999E-6</v>
      </c>
      <c r="I6371">
        <v>-59.112960000000001</v>
      </c>
      <c r="J6371">
        <v>-271.69189999999998</v>
      </c>
      <c r="K6371">
        <v>1.109667</v>
      </c>
      <c r="L6371">
        <v>-65.291809999999998</v>
      </c>
      <c r="M6371">
        <v>0.99642379999999997</v>
      </c>
      <c r="N6371">
        <v>0</v>
      </c>
      <c r="O6371">
        <v>8.3918770000000004E-2</v>
      </c>
      <c r="P6371">
        <v>0.99944080000000002</v>
      </c>
      <c r="Q6371">
        <v>-3.087848E-2</v>
      </c>
      <c r="R6371">
        <v>1.284602E-2</v>
      </c>
      <c r="S6371">
        <v>2.991333</v>
      </c>
      <c r="T6371">
        <v>-0.10142669999999999</v>
      </c>
      <c r="U6371">
        <v>0.56555180000000005</v>
      </c>
      <c r="V6371">
        <v>7.1069809999999997E-2</v>
      </c>
      <c r="W6371">
        <v>-2.105245E-2</v>
      </c>
      <c r="X6371">
        <v>0.9972491</v>
      </c>
      <c r="Y6371">
        <v>-0.1026446</v>
      </c>
      <c r="Z6371">
        <v>-1.087359E-3</v>
      </c>
      <c r="AA6371">
        <v>0.99471750000000003</v>
      </c>
      <c r="AB6371">
        <v>19</v>
      </c>
      <c r="AC6371">
        <v>32.623199999999898</v>
      </c>
      <c r="AD6371">
        <v>-1.1096701030039999</v>
      </c>
      <c r="AE6371">
        <v>6.17884999999999</v>
      </c>
      <c r="AF6371">
        <v>-3.4154058541183101</v>
      </c>
      <c r="AG6371">
        <v>-1.1096701030039999</v>
      </c>
      <c r="AH6371">
        <v>32.989812865189599</v>
      </c>
      <c r="AI6371">
        <v>91.916282927649107</v>
      </c>
      <c r="AJ6371">
        <v>95.910723301323799</v>
      </c>
      <c r="AK6371">
        <v>33.184697041950997</v>
      </c>
      <c r="AL6371">
        <v>91.206305717272102</v>
      </c>
      <c r="AM6371">
        <v>85.923658953377299</v>
      </c>
      <c r="AN6371">
        <v>0.99999994549762194</v>
      </c>
    </row>
    <row r="6372" spans="1:40" x14ac:dyDescent="0.25">
      <c r="A6372" t="str">
        <f>"20190312161441071"</f>
        <v>20190312161441071</v>
      </c>
      <c r="B6372" t="str">
        <f>"1552378481063049"</f>
        <v>1552378481063049</v>
      </c>
      <c r="C6372" t="s">
        <v>40</v>
      </c>
      <c r="D6372">
        <v>5.6157810000000001</v>
      </c>
      <c r="E6372">
        <v>0.43408089999999999</v>
      </c>
      <c r="F6372" t="s">
        <v>107</v>
      </c>
      <c r="G6372">
        <v>-239.40780000000001</v>
      </c>
      <c r="H6372" s="1">
        <v>-3.2349530000000001E-6</v>
      </c>
      <c r="I6372">
        <v>-59.189129999999999</v>
      </c>
      <c r="J6372">
        <v>-271.6044</v>
      </c>
      <c r="K6372">
        <v>1.109661</v>
      </c>
      <c r="L6372">
        <v>-65.284549999999996</v>
      </c>
      <c r="M6372">
        <v>0.99642839999999999</v>
      </c>
      <c r="N6372">
        <v>0</v>
      </c>
      <c r="O6372">
        <v>8.3867120000000003E-2</v>
      </c>
      <c r="P6372">
        <v>0.99944880000000003</v>
      </c>
      <c r="Q6372">
        <v>-3.058514E-2</v>
      </c>
      <c r="R6372">
        <v>1.291134E-2</v>
      </c>
      <c r="S6372">
        <v>2.991241</v>
      </c>
      <c r="T6372">
        <v>-0.1028149</v>
      </c>
      <c r="U6372">
        <v>0.56542969999999904</v>
      </c>
      <c r="V6372">
        <v>7.09539E-2</v>
      </c>
      <c r="W6372">
        <v>-2.0787590000000002E-2</v>
      </c>
      <c r="X6372">
        <v>0.99726300000000001</v>
      </c>
      <c r="Y6372">
        <v>-0.1026623</v>
      </c>
      <c r="Z6372">
        <v>-1.100221E-3</v>
      </c>
      <c r="AA6372">
        <v>0.99471569999999998</v>
      </c>
      <c r="AB6372">
        <v>19</v>
      </c>
      <c r="AC6372">
        <v>32.196599999999897</v>
      </c>
      <c r="AD6372">
        <v>-1.1096642349529999</v>
      </c>
      <c r="AE6372">
        <v>6.0954199999999901</v>
      </c>
      <c r="AF6372">
        <v>-3.3697124554161899</v>
      </c>
      <c r="AG6372">
        <v>-1.1096642349529999</v>
      </c>
      <c r="AH6372">
        <v>32.557053840697598</v>
      </c>
      <c r="AI6372">
        <v>91.941730590598794</v>
      </c>
      <c r="AJ6372">
        <v>95.909173209423898</v>
      </c>
      <c r="AK6372">
        <v>32.749779717314198</v>
      </c>
      <c r="AL6372">
        <v>91.191126927205502</v>
      </c>
      <c r="AM6372">
        <v>85.930341363630802</v>
      </c>
      <c r="AN6372">
        <v>1.0000000354961001</v>
      </c>
    </row>
    <row r="6373" spans="1:40" x14ac:dyDescent="0.25">
      <c r="A6373" t="str">
        <f>"20190312161441082"</f>
        <v>20190312161441082</v>
      </c>
      <c r="B6373" t="str">
        <f>"1552378481072809"</f>
        <v>1552378481072809</v>
      </c>
      <c r="C6373" t="s">
        <v>40</v>
      </c>
      <c r="D6373">
        <v>5.5877100000000004</v>
      </c>
      <c r="E6373">
        <v>0.43408089999999999</v>
      </c>
      <c r="F6373" t="s">
        <v>107</v>
      </c>
      <c r="G6373">
        <v>-239.10910000000001</v>
      </c>
      <c r="H6373" s="1">
        <v>-3.1144959999999999E-6</v>
      </c>
      <c r="I6373">
        <v>-59.145859999999999</v>
      </c>
      <c r="J6373">
        <v>-271.51029999999997</v>
      </c>
      <c r="K6373">
        <v>1.1096549999999901</v>
      </c>
      <c r="L6373">
        <v>-65.276669999999996</v>
      </c>
      <c r="M6373">
        <v>0.99643369999999998</v>
      </c>
      <c r="N6373">
        <v>0</v>
      </c>
      <c r="O6373">
        <v>8.3808209999999994E-2</v>
      </c>
      <c r="P6373">
        <v>0.99945329999999999</v>
      </c>
      <c r="Q6373">
        <v>-3.0364660000000002E-2</v>
      </c>
      <c r="R6373">
        <v>1.309336E-2</v>
      </c>
      <c r="S6373">
        <v>2.9912109999999998</v>
      </c>
      <c r="T6373">
        <v>-0.10214520000000001</v>
      </c>
      <c r="U6373">
        <v>0.56506350000000005</v>
      </c>
      <c r="V6373">
        <v>7.0713960000000006E-2</v>
      </c>
      <c r="W6373">
        <v>-2.0597239999999999E-2</v>
      </c>
      <c r="X6373">
        <v>0.9972839</v>
      </c>
      <c r="Y6373">
        <v>-0.1026055</v>
      </c>
      <c r="Z6373">
        <v>-1.0920649999999999E-3</v>
      </c>
      <c r="AA6373">
        <v>0.99472150000000004</v>
      </c>
      <c r="AB6373">
        <v>19</v>
      </c>
      <c r="AC6373">
        <v>32.401199999999903</v>
      </c>
      <c r="AD6373">
        <v>-1.1096581144959901</v>
      </c>
      <c r="AE6373">
        <v>6.1308099999999897</v>
      </c>
      <c r="AF6373">
        <v>-3.3897837184702602</v>
      </c>
      <c r="AG6373">
        <v>-1.1096581144959901</v>
      </c>
      <c r="AH6373">
        <v>32.763935254834401</v>
      </c>
      <c r="AI6373">
        <v>91.929476659374501</v>
      </c>
      <c r="AJ6373">
        <v>95.906852420301902</v>
      </c>
      <c r="AK6373">
        <v>32.957509435211499</v>
      </c>
      <c r="AL6373">
        <v>91.180218448515106</v>
      </c>
      <c r="AM6373">
        <v>85.944142161642901</v>
      </c>
      <c r="AN6373">
        <v>0.99999994381685298</v>
      </c>
    </row>
    <row r="6374" spans="1:40" x14ac:dyDescent="0.25">
      <c r="A6374" t="str">
        <f>"20190312161441094"</f>
        <v>20190312161441094</v>
      </c>
      <c r="B6374" t="str">
        <f>"1552378481082569"</f>
        <v>1552378481082569</v>
      </c>
      <c r="C6374" t="s">
        <v>40</v>
      </c>
      <c r="D6374">
        <v>5.7038330000000004</v>
      </c>
      <c r="E6374">
        <v>0.45562920000000001</v>
      </c>
      <c r="F6374" t="s">
        <v>107</v>
      </c>
      <c r="G6374">
        <v>-238.81059999999999</v>
      </c>
      <c r="H6374" s="1">
        <v>-2.995746E-6</v>
      </c>
      <c r="I6374">
        <v>-59.093240000000002</v>
      </c>
      <c r="J6374">
        <v>-271.40949999999998</v>
      </c>
      <c r="K6374">
        <v>1.109642</v>
      </c>
      <c r="L6374">
        <v>-65.268249999999995</v>
      </c>
      <c r="M6374">
        <v>0.99643950000000003</v>
      </c>
      <c r="N6374">
        <v>0</v>
      </c>
      <c r="O6374">
        <v>8.3741720000000006E-2</v>
      </c>
      <c r="P6374">
        <v>0.99945119999999998</v>
      </c>
      <c r="Q6374">
        <v>-3.0286009999999999E-2</v>
      </c>
      <c r="R6374">
        <v>1.342111E-2</v>
      </c>
      <c r="S6374">
        <v>2.9911500000000002</v>
      </c>
      <c r="T6374">
        <v>-0.10150380000000001</v>
      </c>
      <c r="U6374">
        <v>0.56561280000000003</v>
      </c>
      <c r="V6374">
        <v>7.0320549999999996E-2</v>
      </c>
      <c r="W6374">
        <v>-2.0549370000000001E-2</v>
      </c>
      <c r="X6374">
        <v>0.9973128</v>
      </c>
      <c r="Y6374">
        <v>-0.1028519</v>
      </c>
      <c r="Z6374">
        <v>-1.0788449999999999E-3</v>
      </c>
      <c r="AA6374">
        <v>0.99469609999999997</v>
      </c>
      <c r="AB6374">
        <v>19</v>
      </c>
      <c r="AC6374">
        <v>32.598899999999901</v>
      </c>
      <c r="AD6374">
        <v>-1.109644995746</v>
      </c>
      <c r="AE6374">
        <v>6.1750099999999897</v>
      </c>
      <c r="AF6374">
        <v>-3.4194748139077</v>
      </c>
      <c r="AG6374">
        <v>-1.109644995746</v>
      </c>
      <c r="AH6374">
        <v>32.964643534278203</v>
      </c>
      <c r="AI6374">
        <v>91.917661825481403</v>
      </c>
      <c r="AJ6374">
        <v>95.922201349606794</v>
      </c>
      <c r="AK6374">
        <v>33.160094139817602</v>
      </c>
      <c r="AL6374">
        <v>91.177475007021499</v>
      </c>
      <c r="AM6374">
        <v>85.966748332250603</v>
      </c>
      <c r="AN6374">
        <v>1.00000003870176</v>
      </c>
    </row>
    <row r="6375" spans="1:40" x14ac:dyDescent="0.25">
      <c r="A6375" t="str">
        <f>"20190312161441117"</f>
        <v>20190312161441117</v>
      </c>
      <c r="B6375" t="str">
        <f>"1552378481112827"</f>
        <v>1552378481112827</v>
      </c>
      <c r="C6375" t="s">
        <v>40</v>
      </c>
      <c r="D6375">
        <v>5.6075140000000001</v>
      </c>
      <c r="E6375">
        <v>0.4713022</v>
      </c>
      <c r="F6375" t="s">
        <v>107</v>
      </c>
      <c r="G6375">
        <v>-238.21520000000001</v>
      </c>
      <c r="H6375" s="1">
        <v>-2.6464289999999999E-6</v>
      </c>
      <c r="I6375">
        <v>-60.891010000000001</v>
      </c>
      <c r="J6375">
        <v>-271.21550000000002</v>
      </c>
      <c r="K6375">
        <v>1.1096330000000001</v>
      </c>
      <c r="L6375">
        <v>-65.252110000000002</v>
      </c>
      <c r="M6375">
        <v>0.99645189999999995</v>
      </c>
      <c r="N6375">
        <v>0</v>
      </c>
      <c r="O6375">
        <v>8.3601250000000002E-2</v>
      </c>
      <c r="P6375">
        <v>0.99943009999999999</v>
      </c>
      <c r="Q6375">
        <v>-3.0808769999999999E-2</v>
      </c>
      <c r="R6375">
        <v>1.380031E-2</v>
      </c>
      <c r="S6375">
        <v>2.9933169999999998</v>
      </c>
      <c r="T6375">
        <v>-0.1000627</v>
      </c>
      <c r="U6375">
        <v>0.39471440000000002</v>
      </c>
      <c r="V6375">
        <v>6.9800020000000004E-2</v>
      </c>
      <c r="W6375">
        <v>-2.1127010000000002E-2</v>
      </c>
      <c r="X6375">
        <v>0.99733729999999998</v>
      </c>
      <c r="Y6375">
        <v>-4.7407869999999998E-2</v>
      </c>
      <c r="Z6375">
        <v>-1.9869979999999998E-3</v>
      </c>
      <c r="AA6375">
        <v>0.99887369999999998</v>
      </c>
      <c r="AB6375">
        <v>19</v>
      </c>
      <c r="AC6375">
        <v>33.000300000000003</v>
      </c>
      <c r="AD6375">
        <v>-1.109635646429</v>
      </c>
      <c r="AE6375">
        <v>4.3611000000000004</v>
      </c>
      <c r="AF6375">
        <v>-1.5850735957833899</v>
      </c>
      <c r="AG6375">
        <v>-1.109635646429</v>
      </c>
      <c r="AH6375">
        <v>33.212468308563103</v>
      </c>
      <c r="AI6375">
        <v>91.911378504567494</v>
      </c>
      <c r="AJ6375">
        <v>92.7323825622355</v>
      </c>
      <c r="AK6375">
        <v>33.268781172732901</v>
      </c>
      <c r="AL6375">
        <v>91.210578524754496</v>
      </c>
      <c r="AM6375">
        <v>85.9966040387703</v>
      </c>
      <c r="AN6375">
        <v>1.00000004165741</v>
      </c>
    </row>
    <row r="6376" spans="1:40" x14ac:dyDescent="0.25">
      <c r="A6376" t="str">
        <f>"20190312161441126"</f>
        <v>20190312161441126</v>
      </c>
      <c r="B6376" t="str">
        <f>"1552378481122585"</f>
        <v>1552378481122585</v>
      </c>
      <c r="C6376" t="s">
        <v>40</v>
      </c>
      <c r="D6376">
        <v>5.6069360000000001</v>
      </c>
      <c r="E6376">
        <v>0.47632400000000003</v>
      </c>
      <c r="F6376" t="s">
        <v>106</v>
      </c>
      <c r="G6376">
        <v>-244.2039</v>
      </c>
      <c r="H6376" s="1">
        <v>-1.434394E-6</v>
      </c>
      <c r="I6376">
        <v>-62.803179999999998</v>
      </c>
      <c r="J6376">
        <v>-271.13200000000001</v>
      </c>
      <c r="K6376">
        <v>1.109631</v>
      </c>
      <c r="L6376">
        <v>-65.245149999999995</v>
      </c>
      <c r="M6376">
        <v>0.9964575</v>
      </c>
      <c r="N6376">
        <v>0</v>
      </c>
      <c r="O6376">
        <v>8.3536669999999993E-2</v>
      </c>
      <c r="P6376">
        <v>0.99942929999999996</v>
      </c>
      <c r="Q6376">
        <v>-3.0765210000000001E-2</v>
      </c>
      <c r="R6376">
        <v>1.396326E-2</v>
      </c>
      <c r="S6376">
        <v>2.994202</v>
      </c>
      <c r="T6376">
        <v>-0.1230016</v>
      </c>
      <c r="U6376">
        <v>0.27145390000000003</v>
      </c>
      <c r="V6376">
        <v>6.9572670000000003E-2</v>
      </c>
      <c r="W6376">
        <v>-2.110542E-2</v>
      </c>
      <c r="X6376">
        <v>0.99735359999999995</v>
      </c>
      <c r="Y6376">
        <v>-6.8384730000000003E-3</v>
      </c>
      <c r="Z6376">
        <v>-3.277042E-3</v>
      </c>
      <c r="AA6376">
        <v>0.99997130000000001</v>
      </c>
      <c r="AB6376">
        <v>19</v>
      </c>
      <c r="AC6376">
        <v>26.928100000000001</v>
      </c>
      <c r="AD6376">
        <v>-1.1096324343940001</v>
      </c>
      <c r="AE6376">
        <v>2.4419699999999902</v>
      </c>
      <c r="AF6376">
        <v>-0.18353505856468899</v>
      </c>
      <c r="AG6376">
        <v>-1.1096324343940001</v>
      </c>
      <c r="AH6376">
        <v>26.992512681973899</v>
      </c>
      <c r="AI6376">
        <v>92.353986500742707</v>
      </c>
      <c r="AJ6376">
        <v>90.389575521120193</v>
      </c>
      <c r="AK6376">
        <v>27.015934374803798</v>
      </c>
      <c r="AL6376">
        <v>91.209341284278594</v>
      </c>
      <c r="AM6376">
        <v>86.009666561197804</v>
      </c>
      <c r="AN6376">
        <v>0.99999999929863204</v>
      </c>
    </row>
    <row r="6377" spans="1:40" x14ac:dyDescent="0.25">
      <c r="A6377" t="str">
        <f>"20190312161441138"</f>
        <v>20190312161441138</v>
      </c>
      <c r="B6377" t="str">
        <f>"1552378481133321"</f>
        <v>1552378481133321</v>
      </c>
      <c r="C6377" t="s">
        <v>40</v>
      </c>
      <c r="D6377">
        <v>5.5915400000000002</v>
      </c>
      <c r="E6377">
        <v>0.47805330000000001</v>
      </c>
      <c r="F6377" t="s">
        <v>106</v>
      </c>
      <c r="G6377">
        <v>-248.0008</v>
      </c>
      <c r="H6377" s="1">
        <v>-3.1403370000000002E-6</v>
      </c>
      <c r="I6377">
        <v>-63.448059999999998</v>
      </c>
      <c r="J6377">
        <v>-271.03070000000002</v>
      </c>
      <c r="K6377">
        <v>1.109623</v>
      </c>
      <c r="L6377">
        <v>-65.236760000000004</v>
      </c>
      <c r="M6377">
        <v>0.99646500000000005</v>
      </c>
      <c r="N6377">
        <v>0</v>
      </c>
      <c r="O6377">
        <v>8.3450389999999999E-2</v>
      </c>
      <c r="P6377">
        <v>0.99943459999999995</v>
      </c>
      <c r="Q6377">
        <v>-3.0623299999999999E-2</v>
      </c>
      <c r="R6377">
        <v>1.3889479999999999E-2</v>
      </c>
      <c r="S6377">
        <v>2.9940799999999999</v>
      </c>
      <c r="T6377">
        <v>-0.143629799999999</v>
      </c>
      <c r="U6377">
        <v>0.23260500000000001</v>
      </c>
      <c r="V6377">
        <v>6.9560209999999997E-2</v>
      </c>
      <c r="W6377">
        <v>-2.0990450000000001E-2</v>
      </c>
      <c r="X6377">
        <v>0.99735689999999999</v>
      </c>
      <c r="Y6377">
        <v>5.9170330000000004E-3</v>
      </c>
      <c r="Z6377">
        <v>-4.1300109999999899E-3</v>
      </c>
      <c r="AA6377">
        <v>0.99997400000000003</v>
      </c>
      <c r="AB6377">
        <v>19</v>
      </c>
      <c r="AC6377">
        <v>23.029900000000001</v>
      </c>
      <c r="AD6377">
        <v>-1.109626140337</v>
      </c>
      <c r="AE6377">
        <v>1.7887</v>
      </c>
      <c r="AF6377">
        <v>0.13916258552052199</v>
      </c>
      <c r="AG6377">
        <v>-1.109626140337</v>
      </c>
      <c r="AH6377">
        <v>23.045657568297401</v>
      </c>
      <c r="AI6377">
        <v>92.7565573063616</v>
      </c>
      <c r="AJ6377">
        <v>89.654020204022103</v>
      </c>
      <c r="AK6377">
        <v>23.0727754973638</v>
      </c>
      <c r="AL6377">
        <v>91.202752523351904</v>
      </c>
      <c r="AM6377">
        <v>86.010392053262805</v>
      </c>
      <c r="AN6377">
        <v>1.00000000389202</v>
      </c>
    </row>
    <row r="6378" spans="1:40" x14ac:dyDescent="0.25">
      <c r="A6378" t="str">
        <f>"20190312161441149"</f>
        <v>20190312161441149</v>
      </c>
      <c r="B6378" t="str">
        <f>"1552378481143082"</f>
        <v>1552378481143082</v>
      </c>
      <c r="C6378" t="s">
        <v>40</v>
      </c>
      <c r="D6378">
        <v>5.641273</v>
      </c>
      <c r="E6378">
        <v>0.47949520000000001</v>
      </c>
      <c r="F6378" t="s">
        <v>106</v>
      </c>
      <c r="G6378">
        <v>-246.73869999999999</v>
      </c>
      <c r="H6378" s="1">
        <v>-2.6980650000000001E-6</v>
      </c>
      <c r="I6378">
        <v>-63.465560000000004</v>
      </c>
      <c r="J6378">
        <v>-270.93349999999998</v>
      </c>
      <c r="K6378">
        <v>1.109615</v>
      </c>
      <c r="L6378">
        <v>-65.228729999999999</v>
      </c>
      <c r="M6378">
        <v>0.99647240000000004</v>
      </c>
      <c r="N6378">
        <v>0</v>
      </c>
      <c r="O6378">
        <v>8.3364759999999996E-2</v>
      </c>
      <c r="P6378">
        <v>0.99943789999999999</v>
      </c>
      <c r="Q6378">
        <v>-3.058547E-2</v>
      </c>
      <c r="R6378">
        <v>1.373596E-2</v>
      </c>
      <c r="S6378">
        <v>2.994415</v>
      </c>
      <c r="T6378">
        <v>-0.13678089999999901</v>
      </c>
      <c r="U6378">
        <v>0.21832280000000001</v>
      </c>
      <c r="V6378">
        <v>6.9627560000000005E-2</v>
      </c>
      <c r="W6378">
        <v>-2.097868E-2</v>
      </c>
      <c r="X6378">
        <v>0.99735240000000003</v>
      </c>
      <c r="Y6378">
        <v>1.0586959999999999E-2</v>
      </c>
      <c r="Z6378">
        <v>-4.0363049999999996E-3</v>
      </c>
      <c r="AA6378">
        <v>0.99993580000000004</v>
      </c>
      <c r="AB6378">
        <v>19</v>
      </c>
      <c r="AC6378">
        <v>24.194799999999901</v>
      </c>
      <c r="AD6378">
        <v>-1.1096176980650001</v>
      </c>
      <c r="AE6378">
        <v>1.7631699999999999</v>
      </c>
      <c r="AF6378">
        <v>0.25951260478594601</v>
      </c>
      <c r="AG6378">
        <v>-1.1096176980650001</v>
      </c>
      <c r="AH6378">
        <v>24.206919927615601</v>
      </c>
      <c r="AI6378">
        <v>92.624385621428104</v>
      </c>
      <c r="AJ6378">
        <v>89.385778635527004</v>
      </c>
      <c r="AK6378">
        <v>24.233727955267099</v>
      </c>
      <c r="AL6378">
        <v>91.202078061131601</v>
      </c>
      <c r="AM6378">
        <v>86.006523743538693</v>
      </c>
      <c r="AN6378">
        <v>0.99999995595592694</v>
      </c>
    </row>
    <row r="6379" spans="1:40" x14ac:dyDescent="0.25">
      <c r="A6379" t="str">
        <f>"20190312161441161"</f>
        <v>20190312161441161</v>
      </c>
      <c r="B6379" t="str">
        <f>"1552378481152842"</f>
        <v>1552378481152842</v>
      </c>
      <c r="C6379" t="s">
        <v>40</v>
      </c>
      <c r="D6379">
        <v>5.6358790000000001</v>
      </c>
      <c r="E6379">
        <v>0.48052610000000001</v>
      </c>
      <c r="F6379" t="s">
        <v>106</v>
      </c>
      <c r="G6379">
        <v>-246.172</v>
      </c>
      <c r="H6379" s="1">
        <v>-2.47018E-6</v>
      </c>
      <c r="I6379">
        <v>-63.522930000000002</v>
      </c>
      <c r="J6379">
        <v>-270.83179999999999</v>
      </c>
      <c r="K6379">
        <v>1.1096079999999999</v>
      </c>
      <c r="L6379">
        <v>-65.220339999999993</v>
      </c>
      <c r="M6379">
        <v>0.9964809</v>
      </c>
      <c r="N6379">
        <v>0</v>
      </c>
      <c r="O6379">
        <v>8.3265889999999995E-2</v>
      </c>
      <c r="P6379">
        <v>0.99943119999999996</v>
      </c>
      <c r="Q6379">
        <v>-3.0828629999999999E-2</v>
      </c>
      <c r="R6379">
        <v>1.367664E-2</v>
      </c>
      <c r="S6379">
        <v>2.9947509999999999</v>
      </c>
      <c r="T6379">
        <v>-0.13420099999999999</v>
      </c>
      <c r="U6379">
        <v>0.2062988</v>
      </c>
      <c r="V6379">
        <v>6.9586579999999995E-2</v>
      </c>
      <c r="W6379">
        <v>-2.12497E-2</v>
      </c>
      <c r="X6379">
        <v>0.99734959999999995</v>
      </c>
      <c r="Y6379">
        <v>1.449026E-2</v>
      </c>
      <c r="Z6379">
        <v>-4.0434319999999996E-3</v>
      </c>
      <c r="AA6379">
        <v>0.99988679999999996</v>
      </c>
      <c r="AB6379">
        <v>19</v>
      </c>
      <c r="AC6379">
        <v>24.659799999999901</v>
      </c>
      <c r="AD6379">
        <v>-1.10961047017999</v>
      </c>
      <c r="AE6379">
        <v>1.6974100000000001</v>
      </c>
      <c r="AF6379">
        <v>0.361172487746245</v>
      </c>
      <c r="AG6379">
        <v>-1.10961047017999</v>
      </c>
      <c r="AH6379">
        <v>24.665795017484101</v>
      </c>
      <c r="AI6379">
        <v>92.575484040552993</v>
      </c>
      <c r="AJ6379">
        <v>89.161098174856804</v>
      </c>
      <c r="AK6379">
        <v>24.693382206696199</v>
      </c>
      <c r="AL6379">
        <v>91.217609732393697</v>
      </c>
      <c r="AM6379">
        <v>86.008855377377699</v>
      </c>
      <c r="AN6379">
        <v>1.00000003324317</v>
      </c>
    </row>
    <row r="6380" spans="1:40" x14ac:dyDescent="0.25">
      <c r="A6380" t="str">
        <f>"20190312161441172"</f>
        <v>20190312161441172</v>
      </c>
      <c r="B6380" t="str">
        <f>"1552378481162602"</f>
        <v>1552378481162602</v>
      </c>
      <c r="C6380" t="s">
        <v>40</v>
      </c>
      <c r="D6380">
        <v>5.6865540000000001</v>
      </c>
      <c r="E6380">
        <v>0.48141929999999999</v>
      </c>
      <c r="F6380" t="s">
        <v>106</v>
      </c>
      <c r="G6380">
        <v>-245.6944</v>
      </c>
      <c r="H6380" s="1">
        <v>-2.2751629999999999E-6</v>
      </c>
      <c r="I6380">
        <v>-63.559959999999997</v>
      </c>
      <c r="J6380">
        <v>-270.73910000000001</v>
      </c>
      <c r="K6380">
        <v>1.1095980000000001</v>
      </c>
      <c r="L6380">
        <v>-65.212649999999996</v>
      </c>
      <c r="M6380">
        <v>0.99648899999999996</v>
      </c>
      <c r="N6380">
        <v>0</v>
      </c>
      <c r="O6380">
        <v>8.3172490000000002E-2</v>
      </c>
      <c r="P6380">
        <v>0.99943919999999997</v>
      </c>
      <c r="Q6380">
        <v>-3.0722200000000002E-2</v>
      </c>
      <c r="R6380">
        <v>1.33387E-2</v>
      </c>
      <c r="S6380">
        <v>2.9949340000000002</v>
      </c>
      <c r="T6380">
        <v>-0.13220190000000001</v>
      </c>
      <c r="U6380">
        <v>0.19781489999999999</v>
      </c>
      <c r="V6380">
        <v>6.983019E-2</v>
      </c>
      <c r="W6380">
        <v>-2.116844E-2</v>
      </c>
      <c r="X6380">
        <v>0.99733419999999895</v>
      </c>
      <c r="Y6380">
        <v>1.7220550000000001E-2</v>
      </c>
      <c r="Z6380">
        <v>-4.0395650000000002E-3</v>
      </c>
      <c r="AA6380">
        <v>0.9998435</v>
      </c>
      <c r="AB6380">
        <v>19</v>
      </c>
      <c r="AC6380">
        <v>25.044699999999999</v>
      </c>
      <c r="AD6380">
        <v>-1.1096002751630001</v>
      </c>
      <c r="AE6380">
        <v>1.65268999999999</v>
      </c>
      <c r="AF6380">
        <v>0.43531194553568398</v>
      </c>
      <c r="AG6380">
        <v>-1.1096002751630001</v>
      </c>
      <c r="AH6380">
        <v>25.046430092750899</v>
      </c>
      <c r="AI6380">
        <v>92.536261185745005</v>
      </c>
      <c r="AJ6380">
        <v>89.004288186414897</v>
      </c>
      <c r="AK6380">
        <v>25.074775565329102</v>
      </c>
      <c r="AL6380">
        <v>91.212952952341595</v>
      </c>
      <c r="AM6380">
        <v>85.994866853256596</v>
      </c>
      <c r="AN6380">
        <v>0.999999932388552</v>
      </c>
    </row>
    <row r="6381" spans="1:40" x14ac:dyDescent="0.25">
      <c r="A6381" t="str">
        <f>"20190312161441183"</f>
        <v>20190312161441183</v>
      </c>
      <c r="B6381" t="str">
        <f>"1552378481173336"</f>
        <v>1552378481173336</v>
      </c>
      <c r="C6381" t="s">
        <v>40</v>
      </c>
      <c r="D6381">
        <v>5.5891060000000001</v>
      </c>
      <c r="E6381">
        <v>0.48201500000000003</v>
      </c>
      <c r="F6381" t="s">
        <v>106</v>
      </c>
      <c r="G6381">
        <v>-245.11189999999999</v>
      </c>
      <c r="H6381" s="1">
        <v>-2.033535E-6</v>
      </c>
      <c r="I6381">
        <v>-63.591070000000002</v>
      </c>
      <c r="J6381">
        <v>-270.64</v>
      </c>
      <c r="K6381">
        <v>1.109586</v>
      </c>
      <c r="L6381">
        <v>-65.204499999999996</v>
      </c>
      <c r="M6381">
        <v>0.99649799999999999</v>
      </c>
      <c r="N6381">
        <v>0</v>
      </c>
      <c r="O6381">
        <v>8.3066020000000004E-2</v>
      </c>
      <c r="P6381">
        <v>0.99944540000000004</v>
      </c>
      <c r="Q6381">
        <v>-3.0500309999999999E-2</v>
      </c>
      <c r="R6381">
        <v>1.33676E-2</v>
      </c>
      <c r="S6381">
        <v>2.9951780000000001</v>
      </c>
      <c r="T6381">
        <v>-0.1296842</v>
      </c>
      <c r="U6381">
        <v>0.18951419999999999</v>
      </c>
      <c r="V6381">
        <v>6.9695229999999997E-2</v>
      </c>
      <c r="W6381">
        <v>-2.097222E-2</v>
      </c>
      <c r="X6381">
        <v>0.99734780000000001</v>
      </c>
      <c r="Y6381">
        <v>1.987968E-2</v>
      </c>
      <c r="Z6381">
        <v>-4.0157379999999996E-3</v>
      </c>
      <c r="AA6381">
        <v>0.99979430000000002</v>
      </c>
      <c r="AB6381">
        <v>19</v>
      </c>
      <c r="AC6381">
        <v>25.528099999999899</v>
      </c>
      <c r="AD6381">
        <v>-1.1095880335349999</v>
      </c>
      <c r="AE6381">
        <v>1.6134299999999999</v>
      </c>
      <c r="AF6381">
        <v>0.51179836453866401</v>
      </c>
      <c r="AG6381">
        <v>-1.1095880335349999</v>
      </c>
      <c r="AH6381">
        <v>25.5258627679199</v>
      </c>
      <c r="AI6381">
        <v>92.488533430247102</v>
      </c>
      <c r="AJ6381">
        <v>88.851362715347193</v>
      </c>
      <c r="AK6381">
        <v>25.555093293055901</v>
      </c>
      <c r="AL6381">
        <v>91.201707860137503</v>
      </c>
      <c r="AM6381">
        <v>86.002636741803599</v>
      </c>
      <c r="AN6381">
        <v>0.99999994663065905</v>
      </c>
    </row>
    <row r="6382" spans="1:40" x14ac:dyDescent="0.25">
      <c r="A6382" t="str">
        <f>"20190312161441193"</f>
        <v>20190312161441193</v>
      </c>
      <c r="B6382" t="str">
        <f>"1552378481183097"</f>
        <v>1552378481183097</v>
      </c>
      <c r="C6382" t="s">
        <v>40</v>
      </c>
      <c r="D6382">
        <v>5.6438410000000001</v>
      </c>
      <c r="E6382">
        <v>0.48264400000000002</v>
      </c>
      <c r="F6382" t="s">
        <v>106</v>
      </c>
      <c r="G6382">
        <v>-244.6808</v>
      </c>
      <c r="H6382" s="1">
        <v>-1.851633E-6</v>
      </c>
      <c r="I6382">
        <v>-63.602460000000001</v>
      </c>
      <c r="J6382">
        <v>-270.54939999999999</v>
      </c>
      <c r="K6382">
        <v>1.1095740000000001</v>
      </c>
      <c r="L6382">
        <v>-65.19708</v>
      </c>
      <c r="M6382">
        <v>0.99650680000000003</v>
      </c>
      <c r="N6382">
        <v>0</v>
      </c>
      <c r="O6382">
        <v>8.296336E-2</v>
      </c>
      <c r="P6382">
        <v>0.9994442</v>
      </c>
      <c r="Q6382">
        <v>-3.051587E-2</v>
      </c>
      <c r="R6382">
        <v>1.341701E-2</v>
      </c>
      <c r="S6382">
        <v>2.9952999999999999</v>
      </c>
      <c r="T6382">
        <v>-0.1280298</v>
      </c>
      <c r="U6382">
        <v>0.18484500000000001</v>
      </c>
      <c r="V6382">
        <v>6.9542809999999997E-2</v>
      </c>
      <c r="W6382">
        <v>-2.101107E-2</v>
      </c>
      <c r="X6382">
        <v>0.99735770000000001</v>
      </c>
      <c r="Y6382">
        <v>2.1332859999999999E-2</v>
      </c>
      <c r="Z6382">
        <v>-3.9912919999999996E-3</v>
      </c>
      <c r="AA6382">
        <v>0.9997644</v>
      </c>
      <c r="AB6382">
        <v>19</v>
      </c>
      <c r="AC6382">
        <v>25.868599999999901</v>
      </c>
      <c r="AD6382">
        <v>-1.1095758516329901</v>
      </c>
      <c r="AE6382">
        <v>1.5946199999999899</v>
      </c>
      <c r="AF6382">
        <v>0.55610248970179699</v>
      </c>
      <c r="AG6382">
        <v>-1.1095758516329901</v>
      </c>
      <c r="AH6382">
        <v>25.864308704733901</v>
      </c>
      <c r="AI6382">
        <v>92.455909184414594</v>
      </c>
      <c r="AJ6382">
        <v>88.768286538882407</v>
      </c>
      <c r="AK6382">
        <v>25.894070234773</v>
      </c>
      <c r="AL6382">
        <v>91.203934197977702</v>
      </c>
      <c r="AM6382">
        <v>86.0113899932972</v>
      </c>
      <c r="AN6382">
        <v>1.00000002461726</v>
      </c>
    </row>
    <row r="6383" spans="1:40" x14ac:dyDescent="0.25">
      <c r="A6383" t="str">
        <f>"20190312161441204"</f>
        <v>20190312161441204</v>
      </c>
      <c r="B6383" t="str">
        <f>"1552378481192858"</f>
        <v>1552378481192858</v>
      </c>
      <c r="C6383" t="s">
        <v>40</v>
      </c>
      <c r="D6383">
        <v>5.6049980000000001</v>
      </c>
      <c r="E6383">
        <v>0.4834386</v>
      </c>
      <c r="F6383" t="s">
        <v>106</v>
      </c>
      <c r="G6383">
        <v>-244.61600000000001</v>
      </c>
      <c r="H6383" s="1">
        <v>-1.83361E-6</v>
      </c>
      <c r="I6383">
        <v>-63.639200000000002</v>
      </c>
      <c r="J6383">
        <v>-270.45260000000002</v>
      </c>
      <c r="K6383">
        <v>1.1095649999999999</v>
      </c>
      <c r="L6383">
        <v>-65.189119999999903</v>
      </c>
      <c r="M6383">
        <v>0.99651659999999997</v>
      </c>
      <c r="N6383">
        <v>0</v>
      </c>
      <c r="O6383">
        <v>8.2848309999999994E-2</v>
      </c>
      <c r="P6383">
        <v>0.99944189999999999</v>
      </c>
      <c r="Q6383">
        <v>-3.0609870000000001E-2</v>
      </c>
      <c r="R6383">
        <v>1.3384790000000001E-2</v>
      </c>
      <c r="S6383">
        <v>2.9953609999999999</v>
      </c>
      <c r="T6383">
        <v>-0.12815799999999999</v>
      </c>
      <c r="U6383">
        <v>0.1799316</v>
      </c>
      <c r="V6383">
        <v>6.9458950000000005E-2</v>
      </c>
      <c r="W6383">
        <v>-2.1129909999999998E-2</v>
      </c>
      <c r="X6383">
        <v>0.99736100000000005</v>
      </c>
      <c r="Y6383">
        <v>2.2851030000000001E-2</v>
      </c>
      <c r="Z6383">
        <v>-4.022996E-3</v>
      </c>
      <c r="AA6383">
        <v>0.99973080000000003</v>
      </c>
      <c r="AB6383">
        <v>19</v>
      </c>
      <c r="AC6383">
        <v>25.836600000000001</v>
      </c>
      <c r="AD6383">
        <v>-1.10956683361</v>
      </c>
      <c r="AE6383">
        <v>1.54991999999998</v>
      </c>
      <c r="AF6383">
        <v>0.59493139540635598</v>
      </c>
      <c r="AG6383">
        <v>-1.10956683361</v>
      </c>
      <c r="AH6383">
        <v>25.828718549419602</v>
      </c>
      <c r="AI6383">
        <v>92.4591853390815</v>
      </c>
      <c r="AJ6383">
        <v>88.680498547020406</v>
      </c>
      <c r="AK6383">
        <v>25.859384830823402</v>
      </c>
      <c r="AL6383">
        <v>91.210744780252298</v>
      </c>
      <c r="AM6383">
        <v>86.016197404731699</v>
      </c>
      <c r="AN6383">
        <v>0.999999991576355</v>
      </c>
    </row>
    <row r="6384" spans="1:40" x14ac:dyDescent="0.25">
      <c r="A6384" t="str">
        <f>"20190312161441216"</f>
        <v>20190312161441216</v>
      </c>
      <c r="B6384" t="str">
        <f>"1552378481203432"</f>
        <v>1552378481203432</v>
      </c>
      <c r="C6384" t="s">
        <v>40</v>
      </c>
      <c r="D6384">
        <v>5.6478400000000004</v>
      </c>
      <c r="E6384">
        <v>0.48383009999999899</v>
      </c>
      <c r="F6384" t="s">
        <v>106</v>
      </c>
      <c r="G6384">
        <v>-245.33019999999999</v>
      </c>
      <c r="H6384" s="1">
        <v>-2.1649330000000001E-6</v>
      </c>
      <c r="I6384">
        <v>-63.732919999999901</v>
      </c>
      <c r="J6384">
        <v>-270.35860000000002</v>
      </c>
      <c r="K6384">
        <v>1.1095539999999999</v>
      </c>
      <c r="L6384">
        <v>-65.181430000000006</v>
      </c>
      <c r="M6384">
        <v>0.99652680000000005</v>
      </c>
      <c r="N6384">
        <v>0</v>
      </c>
      <c r="O6384">
        <v>8.2728709999999997E-2</v>
      </c>
      <c r="P6384">
        <v>0.99944750000000004</v>
      </c>
      <c r="Q6384">
        <v>-3.041516E-2</v>
      </c>
      <c r="R6384">
        <v>1.341526E-2</v>
      </c>
      <c r="S6384">
        <v>2.9953310000000002</v>
      </c>
      <c r="T6384">
        <v>-0.13229299999999999</v>
      </c>
      <c r="U6384">
        <v>0.1736145</v>
      </c>
      <c r="V6384">
        <v>6.9309250000000003E-2</v>
      </c>
      <c r="W6384">
        <v>-2.095899E-2</v>
      </c>
      <c r="X6384">
        <v>0.99737500000000001</v>
      </c>
      <c r="Y6384">
        <v>2.4823370000000001E-2</v>
      </c>
      <c r="Z6384">
        <v>-4.1912939999999999E-3</v>
      </c>
      <c r="AA6384">
        <v>0.99968310000000005</v>
      </c>
      <c r="AB6384">
        <v>19</v>
      </c>
      <c r="AC6384">
        <v>25.028400000000001</v>
      </c>
      <c r="AD6384">
        <v>-1.1095561649329999</v>
      </c>
      <c r="AE6384">
        <v>1.44851000000001</v>
      </c>
      <c r="AF6384">
        <v>0.62589055800591697</v>
      </c>
      <c r="AG6384">
        <v>-1.1095561649329999</v>
      </c>
      <c r="AH6384">
        <v>25.013441077426801</v>
      </c>
      <c r="AI6384">
        <v>92.539090251364399</v>
      </c>
      <c r="AJ6384">
        <v>88.566634401244798</v>
      </c>
      <c r="AK6384">
        <v>25.045859705900401</v>
      </c>
      <c r="AL6384">
        <v>91.200949640998004</v>
      </c>
      <c r="AM6384">
        <v>86.024811478940194</v>
      </c>
      <c r="AN6384">
        <v>0.99999997101119098</v>
      </c>
    </row>
    <row r="6385" spans="1:40" x14ac:dyDescent="0.25">
      <c r="A6385" t="str">
        <f>"20190312161441227"</f>
        <v>20190312161441227</v>
      </c>
      <c r="B6385" t="str">
        <f>"1552378481222951"</f>
        <v>1552378481222951</v>
      </c>
      <c r="C6385" t="s">
        <v>40</v>
      </c>
      <c r="D6385">
        <v>5.6143619999999999</v>
      </c>
      <c r="E6385">
        <v>0.48464099999999999</v>
      </c>
      <c r="F6385" t="s">
        <v>106</v>
      </c>
      <c r="G6385">
        <v>-245.01750000000001</v>
      </c>
      <c r="H6385" s="1">
        <v>-2.0323239999999998E-6</v>
      </c>
      <c r="I6385">
        <v>-63.738660000000003</v>
      </c>
      <c r="J6385">
        <v>-270.25110000000001</v>
      </c>
      <c r="K6385">
        <v>1.1095379999999999</v>
      </c>
      <c r="L6385">
        <v>-65.172669999999997</v>
      </c>
      <c r="M6385">
        <v>0.99653879999999995</v>
      </c>
      <c r="N6385">
        <v>0</v>
      </c>
      <c r="O6385">
        <v>8.2587789999999994E-2</v>
      </c>
      <c r="P6385">
        <v>0.99945839999999997</v>
      </c>
      <c r="Q6385">
        <v>-3.0099170000000001E-2</v>
      </c>
      <c r="R6385">
        <v>1.331266E-2</v>
      </c>
      <c r="S6385">
        <v>2.9953919999999998</v>
      </c>
      <c r="T6385">
        <v>-0.13115250000000001</v>
      </c>
      <c r="U6385">
        <v>0.17053219999999999</v>
      </c>
      <c r="V6385">
        <v>6.9271009999999994E-2</v>
      </c>
      <c r="W6385">
        <v>-2.0670250000000001E-2</v>
      </c>
      <c r="X6385">
        <v>0.99738369999999998</v>
      </c>
      <c r="Y6385">
        <v>2.57095E-2</v>
      </c>
      <c r="Z6385">
        <v>-4.1685059999999998E-3</v>
      </c>
      <c r="AA6385">
        <v>0.99966080000000002</v>
      </c>
      <c r="AB6385">
        <v>20</v>
      </c>
      <c r="AC6385">
        <v>25.233599999999999</v>
      </c>
      <c r="AD6385">
        <v>-1.1095400323239999</v>
      </c>
      <c r="AE6385">
        <v>1.43401</v>
      </c>
      <c r="AF6385">
        <v>0.65371019023689303</v>
      </c>
      <c r="AG6385">
        <v>-1.1095400323239999</v>
      </c>
      <c r="AH6385">
        <v>25.217227401692298</v>
      </c>
      <c r="AI6385">
        <v>92.518503535172201</v>
      </c>
      <c r="AJ6385">
        <v>88.515044984916003</v>
      </c>
      <c r="AK6385">
        <v>25.2500885924151</v>
      </c>
      <c r="AL6385">
        <v>91.184402451410094</v>
      </c>
      <c r="AM6385">
        <v>86.027032229281005</v>
      </c>
      <c r="AN6385">
        <v>0.99999998854358596</v>
      </c>
    </row>
    <row r="6386" spans="1:40" x14ac:dyDescent="0.25">
      <c r="A6386" t="str">
        <f>"20190312161441239"</f>
        <v>20190312161441239</v>
      </c>
      <c r="B6386" t="str">
        <f>"1552378481232711"</f>
        <v>1552378481232711</v>
      </c>
      <c r="C6386" t="s">
        <v>40</v>
      </c>
      <c r="D6386">
        <v>5.6969190000000003</v>
      </c>
      <c r="E6386">
        <v>0.4847033</v>
      </c>
      <c r="F6386" t="s">
        <v>106</v>
      </c>
      <c r="G6386">
        <v>-244.8691</v>
      </c>
      <c r="H6386" s="1">
        <v>-1.9810120000000001E-6</v>
      </c>
      <c r="I6386">
        <v>-63.785040000000002</v>
      </c>
      <c r="J6386">
        <v>-270.15530000000001</v>
      </c>
      <c r="K6386">
        <v>1.109529</v>
      </c>
      <c r="L6386">
        <v>-65.16489</v>
      </c>
      <c r="M6386">
        <v>0.9965503</v>
      </c>
      <c r="N6386">
        <v>0</v>
      </c>
      <c r="O6386">
        <v>8.2451339999999998E-2</v>
      </c>
      <c r="P6386">
        <v>0.99945139999999999</v>
      </c>
      <c r="Q6386">
        <v>-3.0229869999999999E-2</v>
      </c>
      <c r="R6386">
        <v>1.3533389999999999E-2</v>
      </c>
      <c r="S6386">
        <v>2.995514</v>
      </c>
      <c r="T6386">
        <v>-0.13094500000000001</v>
      </c>
      <c r="U6386">
        <v>0.16375729999999999</v>
      </c>
      <c r="V6386">
        <v>6.8913530000000001E-2</v>
      </c>
      <c r="W6386">
        <v>-2.0826000000000001E-2</v>
      </c>
      <c r="X6386">
        <v>0.99740519999999999</v>
      </c>
      <c r="Y6386">
        <v>2.7827210000000002E-2</v>
      </c>
      <c r="Z6386">
        <v>-4.2023870000000001E-3</v>
      </c>
      <c r="AA6386">
        <v>0.99960389999999999</v>
      </c>
      <c r="AB6386">
        <v>20</v>
      </c>
      <c r="AC6386">
        <v>25.286200000000001</v>
      </c>
      <c r="AD6386">
        <v>-1.109530981012</v>
      </c>
      <c r="AE6386">
        <v>1.37984999999999</v>
      </c>
      <c r="AF6386">
        <v>0.708462832350643</v>
      </c>
      <c r="AG6386">
        <v>-1.109530981012</v>
      </c>
      <c r="AH6386">
        <v>25.265370180542401</v>
      </c>
      <c r="AI6386">
        <v>92.513546907301105</v>
      </c>
      <c r="AJ6386">
        <v>88.3937976783658</v>
      </c>
      <c r="AK6386">
        <v>25.299642466692902</v>
      </c>
      <c r="AL6386">
        <v>91.193328218755298</v>
      </c>
      <c r="AM6386">
        <v>86.047554905586395</v>
      </c>
      <c r="AN6386">
        <v>0.99999996494004895</v>
      </c>
    </row>
    <row r="6387" spans="1:40" x14ac:dyDescent="0.25">
      <c r="A6387" t="str">
        <f>"20190312161441261"</f>
        <v>20190312161441261</v>
      </c>
      <c r="B6387" t="str">
        <f>"1552378481253208"</f>
        <v>1552378481253208</v>
      </c>
      <c r="C6387" t="s">
        <v>40</v>
      </c>
      <c r="D6387">
        <v>5.6955629999999999</v>
      </c>
      <c r="E6387">
        <v>0.48497099999999999</v>
      </c>
      <c r="F6387" t="s">
        <v>106</v>
      </c>
      <c r="G6387">
        <v>-244.8117</v>
      </c>
      <c r="H6387" s="1">
        <v>-1.9544439999999998E-6</v>
      </c>
      <c r="I6387">
        <v>-63.777760000000001</v>
      </c>
      <c r="J6387">
        <v>-269.95940000000002</v>
      </c>
      <c r="K6387">
        <v>1.1095010000000001</v>
      </c>
      <c r="L6387">
        <v>-65.148989999999998</v>
      </c>
      <c r="M6387">
        <v>0.99657479999999998</v>
      </c>
      <c r="N6387">
        <v>0</v>
      </c>
      <c r="O6387">
        <v>8.2159330000000003E-2</v>
      </c>
      <c r="P6387">
        <v>0.99945720000000005</v>
      </c>
      <c r="Q6387">
        <v>-2.9969289999999999E-2</v>
      </c>
      <c r="R6387">
        <v>1.368891E-2</v>
      </c>
      <c r="S6387">
        <v>2.995422</v>
      </c>
      <c r="T6387">
        <v>-0.13113810000000001</v>
      </c>
      <c r="U6387">
        <v>0.16394039999999999</v>
      </c>
      <c r="V6387">
        <v>6.8465929999999994E-2</v>
      </c>
      <c r="W6387">
        <v>-2.0616780000000001E-2</v>
      </c>
      <c r="X6387">
        <v>0.9974404</v>
      </c>
      <c r="Y6387">
        <v>2.7471969999999998E-2</v>
      </c>
      <c r="Z6387">
        <v>-4.1882070000000002E-3</v>
      </c>
      <c r="AA6387">
        <v>0.9996138</v>
      </c>
      <c r="AB6387">
        <v>20</v>
      </c>
      <c r="AC6387">
        <v>25.1477</v>
      </c>
      <c r="AD6387">
        <v>-1.109502954444</v>
      </c>
      <c r="AE6387">
        <v>1.37122999999999</v>
      </c>
      <c r="AF6387">
        <v>0.69826072902779901</v>
      </c>
      <c r="AG6387">
        <v>-1.109502954444</v>
      </c>
      <c r="AH6387">
        <v>25.126573065962202</v>
      </c>
      <c r="AI6387">
        <v>92.527367499596906</v>
      </c>
      <c r="AJ6387">
        <v>88.408175336455699</v>
      </c>
      <c r="AK6387">
        <v>25.1607479795566</v>
      </c>
      <c r="AL6387">
        <v>91.181338187347706</v>
      </c>
      <c r="AM6387">
        <v>86.073283986581501</v>
      </c>
      <c r="AN6387">
        <v>0.99999999337024603</v>
      </c>
    </row>
    <row r="6388" spans="1:40" x14ac:dyDescent="0.25">
      <c r="A6388" t="str">
        <f>"20190312161441272"</f>
        <v>20190312161441272</v>
      </c>
      <c r="B6388" t="str">
        <f>"1552378481262968"</f>
        <v>1552378481262968</v>
      </c>
      <c r="C6388" t="s">
        <v>40</v>
      </c>
      <c r="D6388">
        <v>5.566389</v>
      </c>
      <c r="E6388">
        <v>0.4850737</v>
      </c>
      <c r="F6388" t="s">
        <v>106</v>
      </c>
      <c r="G6388">
        <v>-244.3426</v>
      </c>
      <c r="H6388" s="1">
        <v>-1.7489399999999999E-6</v>
      </c>
      <c r="I6388">
        <v>-63.761830000000003</v>
      </c>
      <c r="J6388">
        <v>-269.85640000000001</v>
      </c>
      <c r="K6388">
        <v>1.109491</v>
      </c>
      <c r="L6388">
        <v>-65.140659999999997</v>
      </c>
      <c r="M6388">
        <v>0.99658829999999998</v>
      </c>
      <c r="N6388">
        <v>0</v>
      </c>
      <c r="O6388">
        <v>8.1997860000000006E-2</v>
      </c>
      <c r="P6388">
        <v>0.99945320000000004</v>
      </c>
      <c r="Q6388">
        <v>-3.0032050000000001E-2</v>
      </c>
      <c r="R6388">
        <v>1.383179E-2</v>
      </c>
      <c r="S6388">
        <v>2.995514</v>
      </c>
      <c r="T6388">
        <v>-0.1297401</v>
      </c>
      <c r="U6388">
        <v>0.16220090000000001</v>
      </c>
      <c r="V6388">
        <v>6.8161479999999997E-2</v>
      </c>
      <c r="W6388">
        <v>-2.0705629999999999E-2</v>
      </c>
      <c r="X6388">
        <v>0.9974594</v>
      </c>
      <c r="Y6388">
        <v>2.789239E-2</v>
      </c>
      <c r="Z6388">
        <v>-4.1456940000000001E-3</v>
      </c>
      <c r="AA6388">
        <v>0.99960230000000005</v>
      </c>
      <c r="AB6388">
        <v>20</v>
      </c>
      <c r="AC6388">
        <v>25.5138</v>
      </c>
      <c r="AD6388">
        <v>-1.1094927489399999</v>
      </c>
      <c r="AE6388">
        <v>1.37882999999999</v>
      </c>
      <c r="AF6388">
        <v>0.71663156056230304</v>
      </c>
      <c r="AG6388">
        <v>-1.1094927489399999</v>
      </c>
      <c r="AH6388">
        <v>25.4928734968335</v>
      </c>
      <c r="AI6388">
        <v>92.491053285667206</v>
      </c>
      <c r="AJ6388">
        <v>88.389779269401203</v>
      </c>
      <c r="AK6388">
        <v>25.527066695550801</v>
      </c>
      <c r="AL6388">
        <v>91.186430017148695</v>
      </c>
      <c r="AM6388">
        <v>86.090765034257601</v>
      </c>
      <c r="AN6388">
        <v>0.99999998255892297</v>
      </c>
    </row>
    <row r="6389" spans="1:40" x14ac:dyDescent="0.25">
      <c r="A6389" t="str">
        <f>"20190312161441283"</f>
        <v>20190312161441283</v>
      </c>
      <c r="B6389" t="str">
        <f>"1552378481272728"</f>
        <v>1552378481272728</v>
      </c>
      <c r="C6389" t="s">
        <v>40</v>
      </c>
      <c r="D6389">
        <v>5.6206550000000002</v>
      </c>
      <c r="E6389">
        <v>0.4851972</v>
      </c>
      <c r="F6389" t="s">
        <v>106</v>
      </c>
      <c r="G6389">
        <v>-244.23509999999999</v>
      </c>
      <c r="H6389" s="1">
        <v>-1.701465E-6</v>
      </c>
      <c r="I6389">
        <v>-63.75665</v>
      </c>
      <c r="J6389">
        <v>-269.76350000000002</v>
      </c>
      <c r="K6389">
        <v>1.109483</v>
      </c>
      <c r="L6389">
        <v>-65.133150000000001</v>
      </c>
      <c r="M6389">
        <v>0.99660099999999996</v>
      </c>
      <c r="N6389">
        <v>0</v>
      </c>
      <c r="O6389">
        <v>8.1847349999999999E-2</v>
      </c>
      <c r="P6389">
        <v>0.99945470000000003</v>
      </c>
      <c r="Q6389">
        <v>-3.0023919999999999E-2</v>
      </c>
      <c r="R6389">
        <v>1.374158E-2</v>
      </c>
      <c r="S6389">
        <v>2.995514</v>
      </c>
      <c r="T6389">
        <v>-0.12971630000000001</v>
      </c>
      <c r="U6389">
        <v>0.16180420000000001</v>
      </c>
      <c r="V6389">
        <v>6.8100720000000003E-2</v>
      </c>
      <c r="W6389">
        <v>-2.0720209999999999E-2</v>
      </c>
      <c r="X6389">
        <v>0.99746330000000005</v>
      </c>
      <c r="Y6389">
        <v>2.787361E-2</v>
      </c>
      <c r="Z6389">
        <v>-4.1380599999999998E-3</v>
      </c>
      <c r="AA6389">
        <v>0.99960289999999996</v>
      </c>
      <c r="AB6389">
        <v>20</v>
      </c>
      <c r="AC6389">
        <v>25.528400000000001</v>
      </c>
      <c r="AD6389">
        <v>-1.109484701465</v>
      </c>
      <c r="AE6389">
        <v>1.3765000000000001</v>
      </c>
      <c r="AF6389">
        <v>0.71629295430101503</v>
      </c>
      <c r="AG6389">
        <v>-1.109484701465</v>
      </c>
      <c r="AH6389">
        <v>25.507369684187001</v>
      </c>
      <c r="AI6389">
        <v>92.489623374345697</v>
      </c>
      <c r="AJ6389">
        <v>88.391453891248801</v>
      </c>
      <c r="AK6389">
        <v>25.541533628679201</v>
      </c>
      <c r="AL6389">
        <v>91.187265506605499</v>
      </c>
      <c r="AM6389">
        <v>86.094254209059997</v>
      </c>
      <c r="AN6389">
        <v>1.00000003500692</v>
      </c>
    </row>
    <row r="6390" spans="1:40" x14ac:dyDescent="0.25">
      <c r="A6390" t="str">
        <f>"20190312161441294"</f>
        <v>20190312161441294</v>
      </c>
      <c r="B6390" t="str">
        <f>"1552378481282488"</f>
        <v>1552378481282488</v>
      </c>
      <c r="C6390" t="s">
        <v>40</v>
      </c>
      <c r="D6390">
        <v>5.6078279999999996</v>
      </c>
      <c r="E6390">
        <v>0.48536639999999998</v>
      </c>
      <c r="F6390" t="s">
        <v>106</v>
      </c>
      <c r="G6390">
        <v>-244.13560000000001</v>
      </c>
      <c r="H6390" s="1">
        <v>-1.659556E-6</v>
      </c>
      <c r="I6390">
        <v>-63.759520000000002</v>
      </c>
      <c r="J6390">
        <v>-269.66980000000001</v>
      </c>
      <c r="K6390">
        <v>1.1094790000000001</v>
      </c>
      <c r="L6390">
        <v>-65.125640000000004</v>
      </c>
      <c r="M6390">
        <v>0.99661390000000005</v>
      </c>
      <c r="N6390">
        <v>0</v>
      </c>
      <c r="O6390">
        <v>8.1692509999999996E-2</v>
      </c>
      <c r="P6390">
        <v>0.99946380000000001</v>
      </c>
      <c r="Q6390">
        <v>-2.971182E-2</v>
      </c>
      <c r="R6390">
        <v>1.3762129999999999E-2</v>
      </c>
      <c r="S6390">
        <v>2.9955750000000001</v>
      </c>
      <c r="T6390">
        <v>-0.12968479999999999</v>
      </c>
      <c r="U6390">
        <v>0.160553</v>
      </c>
      <c r="V6390">
        <v>6.7925769999999996E-2</v>
      </c>
      <c r="W6390">
        <v>-2.0430589999999998E-2</v>
      </c>
      <c r="X6390">
        <v>0.99748119999999996</v>
      </c>
      <c r="Y6390">
        <v>2.813564E-2</v>
      </c>
      <c r="Z6390">
        <v>-4.1360260000000001E-3</v>
      </c>
      <c r="AA6390">
        <v>0.99959560000000003</v>
      </c>
      <c r="AB6390">
        <v>20</v>
      </c>
      <c r="AC6390">
        <v>25.534199999999998</v>
      </c>
      <c r="AD6390">
        <v>-1.1094806595559901</v>
      </c>
      <c r="AE6390">
        <v>1.36612</v>
      </c>
      <c r="AF6390">
        <v>0.72312889995280505</v>
      </c>
      <c r="AG6390">
        <v>-1.1094806595559901</v>
      </c>
      <c r="AH6390">
        <v>25.512423994677999</v>
      </c>
      <c r="AI6390">
        <v>92.489103326460807</v>
      </c>
      <c r="AJ6390">
        <v>88.376432442836304</v>
      </c>
      <c r="AK6390">
        <v>25.546773589322299</v>
      </c>
      <c r="AL6390">
        <v>91.170667993598798</v>
      </c>
      <c r="AM6390">
        <v>86.104326785574202</v>
      </c>
      <c r="AN6390">
        <v>1.0000000317956399</v>
      </c>
    </row>
    <row r="6391" spans="1:40" x14ac:dyDescent="0.25">
      <c r="A6391" t="str">
        <f>"20190312161441304"</f>
        <v>20190312161441304</v>
      </c>
      <c r="B6391" t="str">
        <f>"1552378481293224"</f>
        <v>1552378481293224</v>
      </c>
      <c r="C6391" t="s">
        <v>40</v>
      </c>
      <c r="D6391">
        <v>5.6177960000000002</v>
      </c>
      <c r="E6391">
        <v>0.48545549999999998</v>
      </c>
      <c r="F6391" t="s">
        <v>106</v>
      </c>
      <c r="G6391">
        <v>-243.73750000000001</v>
      </c>
      <c r="H6391" s="1">
        <v>-1.4855870000000001E-6</v>
      </c>
      <c r="I6391">
        <v>-63.747599999999998</v>
      </c>
      <c r="J6391">
        <v>-269.57299999999998</v>
      </c>
      <c r="K6391">
        <v>1.109472</v>
      </c>
      <c r="L6391">
        <v>-65.117890000000003</v>
      </c>
      <c r="M6391">
        <v>0.99662740000000005</v>
      </c>
      <c r="N6391">
        <v>0</v>
      </c>
      <c r="O6391">
        <v>8.1529749999999998E-2</v>
      </c>
      <c r="P6391">
        <v>0.99946760000000001</v>
      </c>
      <c r="Q6391">
        <v>-2.9524930000000001E-2</v>
      </c>
      <c r="R6391">
        <v>1.389023E-2</v>
      </c>
      <c r="S6391">
        <v>2.9956049999999999</v>
      </c>
      <c r="T6391">
        <v>-0.128163</v>
      </c>
      <c r="U6391">
        <v>0.15917970000000001</v>
      </c>
      <c r="V6391">
        <v>6.7635570000000006E-2</v>
      </c>
      <c r="W6391">
        <v>-2.0266650000000001E-2</v>
      </c>
      <c r="X6391">
        <v>0.99750419999999995</v>
      </c>
      <c r="Y6391">
        <v>2.8432140000000002E-2</v>
      </c>
      <c r="Z6391">
        <v>-4.0869640000000002E-3</v>
      </c>
      <c r="AA6391">
        <v>0.99958740000000001</v>
      </c>
      <c r="AB6391">
        <v>20</v>
      </c>
      <c r="AC6391">
        <v>25.8354999999999</v>
      </c>
      <c r="AD6391">
        <v>-1.1094734855869901</v>
      </c>
      <c r="AE6391">
        <v>1.37029</v>
      </c>
      <c r="AF6391">
        <v>0.73936572827450098</v>
      </c>
      <c r="AG6391">
        <v>-1.1094734855869901</v>
      </c>
      <c r="AH6391">
        <v>25.813736746803801</v>
      </c>
      <c r="AI6391">
        <v>92.460048245803407</v>
      </c>
      <c r="AJ6391">
        <v>88.359363568566806</v>
      </c>
      <c r="AK6391">
        <v>25.848144961073199</v>
      </c>
      <c r="AL6391">
        <v>91.161273052346104</v>
      </c>
      <c r="AM6391">
        <v>86.121008560596394</v>
      </c>
      <c r="AN6391">
        <v>0.99999996822454296</v>
      </c>
    </row>
    <row r="6392" spans="1:40" x14ac:dyDescent="0.25">
      <c r="A6392" t="str">
        <f>"20190312161441316"</f>
        <v>20190312161441316</v>
      </c>
      <c r="B6392" t="str">
        <f>"1552378481312744"</f>
        <v>1552378481312744</v>
      </c>
      <c r="C6392" t="s">
        <v>40</v>
      </c>
      <c r="D6392">
        <v>5.6548980000000002</v>
      </c>
      <c r="E6392">
        <v>0.4857301</v>
      </c>
      <c r="F6392" t="s">
        <v>106</v>
      </c>
      <c r="G6392">
        <v>-243.54349999999999</v>
      </c>
      <c r="H6392" s="1">
        <v>-1.399581E-6</v>
      </c>
      <c r="I6392">
        <v>-63.737079999999999</v>
      </c>
      <c r="J6392">
        <v>-269.47629999999998</v>
      </c>
      <c r="K6392">
        <v>1.1094660000000001</v>
      </c>
      <c r="L6392">
        <v>-65.110140000000001</v>
      </c>
      <c r="M6392">
        <v>0.99664109999999995</v>
      </c>
      <c r="N6392">
        <v>0</v>
      </c>
      <c r="O6392">
        <v>8.1364389999999995E-2</v>
      </c>
      <c r="P6392">
        <v>0.99947200000000003</v>
      </c>
      <c r="Q6392">
        <v>-2.935857E-2</v>
      </c>
      <c r="R6392">
        <v>1.3919229999999999E-2</v>
      </c>
      <c r="S6392">
        <v>2.9956360000000002</v>
      </c>
      <c r="T6392">
        <v>-0.1276851</v>
      </c>
      <c r="U6392">
        <v>0.15890499999999999</v>
      </c>
      <c r="V6392">
        <v>6.7441470000000003E-2</v>
      </c>
      <c r="W6392">
        <v>-2.0125090000000002E-2</v>
      </c>
      <c r="X6392">
        <v>0.99752030000000003</v>
      </c>
      <c r="Y6392">
        <v>2.835915E-2</v>
      </c>
      <c r="Z6392">
        <v>-4.0631410000000001E-3</v>
      </c>
      <c r="AA6392">
        <v>0.99958959999999997</v>
      </c>
      <c r="AB6392">
        <v>20</v>
      </c>
      <c r="AC6392">
        <v>25.932799999999901</v>
      </c>
      <c r="AD6392">
        <v>-1.109467399581</v>
      </c>
      <c r="AE6392">
        <v>1.37305999999999</v>
      </c>
      <c r="AF6392">
        <v>0.74023934712572304</v>
      </c>
      <c r="AG6392">
        <v>-1.109467399581</v>
      </c>
      <c r="AH6392">
        <v>25.911239707938002</v>
      </c>
      <c r="AI6392">
        <v>92.450794245383705</v>
      </c>
      <c r="AJ6392">
        <v>88.363603661827398</v>
      </c>
      <c r="AK6392">
        <v>25.9455432666959</v>
      </c>
      <c r="AL6392">
        <v>91.153160501073899</v>
      </c>
      <c r="AM6392">
        <v>86.132168858375394</v>
      </c>
      <c r="AN6392">
        <v>1.0000000600176699</v>
      </c>
    </row>
    <row r="6393" spans="1:40" x14ac:dyDescent="0.25">
      <c r="A6393" t="str">
        <f>"20190312161441327"</f>
        <v>20190312161441327</v>
      </c>
      <c r="B6393" t="str">
        <f>"1552378481323479"</f>
        <v>1552378481323479</v>
      </c>
      <c r="C6393" t="s">
        <v>40</v>
      </c>
      <c r="D6393">
        <v>5.6460109999999997</v>
      </c>
      <c r="E6393">
        <v>0.48606329999999998</v>
      </c>
      <c r="F6393" t="s">
        <v>106</v>
      </c>
      <c r="G6393">
        <v>-243.2997</v>
      </c>
      <c r="H6393" s="1">
        <v>-1.2958040000000001E-6</v>
      </c>
      <c r="I6393">
        <v>-63.740209999999998</v>
      </c>
      <c r="J6393">
        <v>-269.37470000000002</v>
      </c>
      <c r="K6393">
        <v>1.109464</v>
      </c>
      <c r="L6393">
        <v>-65.102019999999996</v>
      </c>
      <c r="M6393">
        <v>0.99665579999999998</v>
      </c>
      <c r="N6393">
        <v>0</v>
      </c>
      <c r="O6393">
        <v>8.1188850000000007E-2</v>
      </c>
      <c r="P6393">
        <v>0.99948250000000005</v>
      </c>
      <c r="Q6393">
        <v>-2.8891960000000001E-2</v>
      </c>
      <c r="R6393">
        <v>1.416006E-2</v>
      </c>
      <c r="S6393">
        <v>2.9956670000000001</v>
      </c>
      <c r="T6393">
        <v>-0.12696789999999999</v>
      </c>
      <c r="U6393">
        <v>0.15676880000000001</v>
      </c>
      <c r="V6393">
        <v>6.7026539999999996E-2</v>
      </c>
      <c r="W6393">
        <v>-1.968497E-2</v>
      </c>
      <c r="X6393">
        <v>0.99755700000000003</v>
      </c>
      <c r="Y6393">
        <v>2.8895219999999999E-2</v>
      </c>
      <c r="Z6393">
        <v>-4.0443399999999996E-3</v>
      </c>
      <c r="AA6393">
        <v>0.99957419999999997</v>
      </c>
      <c r="AB6393">
        <v>20</v>
      </c>
      <c r="AC6393">
        <v>26.074999999999999</v>
      </c>
      <c r="AD6393">
        <v>-1.1094652958040001</v>
      </c>
      <c r="AE6393">
        <v>1.36180999999999</v>
      </c>
      <c r="AF6393">
        <v>0.75840664494816801</v>
      </c>
      <c r="AG6393">
        <v>-1.1094652958040001</v>
      </c>
      <c r="AH6393">
        <v>26.052443178210101</v>
      </c>
      <c r="AI6393">
        <v>92.437484404069394</v>
      </c>
      <c r="AJ6393">
        <v>88.332546734619697</v>
      </c>
      <c r="AK6393">
        <v>26.087082808078801</v>
      </c>
      <c r="AL6393">
        <v>91.127938541330394</v>
      </c>
      <c r="AM6393">
        <v>86.156034913436997</v>
      </c>
      <c r="AN6393">
        <v>1.0000000116786301</v>
      </c>
    </row>
    <row r="6394" spans="1:40" x14ac:dyDescent="0.25">
      <c r="A6394" t="str">
        <f>"20190312161441340"</f>
        <v>20190312161441340</v>
      </c>
      <c r="B6394" t="str">
        <f>"1552378481333239"</f>
        <v>1552378481333239</v>
      </c>
      <c r="C6394" t="s">
        <v>40</v>
      </c>
      <c r="D6394">
        <v>5.5933909999999996</v>
      </c>
      <c r="E6394">
        <v>0.48640359999999999</v>
      </c>
      <c r="F6394" t="s">
        <v>106</v>
      </c>
      <c r="G6394">
        <v>-242.65620000000001</v>
      </c>
      <c r="H6394" s="1">
        <v>-1.0147480000000001E-6</v>
      </c>
      <c r="I6394">
        <v>-63.721449999999997</v>
      </c>
      <c r="J6394">
        <v>-269.27120000000002</v>
      </c>
      <c r="K6394">
        <v>1.1094580000000001</v>
      </c>
      <c r="L6394">
        <v>-65.093779999999995</v>
      </c>
      <c r="M6394">
        <v>0.99667079999999997</v>
      </c>
      <c r="N6394">
        <v>0</v>
      </c>
      <c r="O6394">
        <v>8.1008339999999998E-2</v>
      </c>
      <c r="P6394">
        <v>0.99948369999999997</v>
      </c>
      <c r="Q6394">
        <v>-2.8844760000000001E-2</v>
      </c>
      <c r="R6394">
        <v>1.417031E-2</v>
      </c>
      <c r="S6394">
        <v>2.9957280000000002</v>
      </c>
      <c r="T6394">
        <v>-0.12439509999999999</v>
      </c>
      <c r="U6394">
        <v>0.15478520000000001</v>
      </c>
      <c r="V6394">
        <v>6.683567E-2</v>
      </c>
      <c r="W6394">
        <v>-1.9668629999999999E-2</v>
      </c>
      <c r="X6394">
        <v>0.99757010000000002</v>
      </c>
      <c r="Y6394">
        <v>2.9378990000000001E-2</v>
      </c>
      <c r="Z6394">
        <v>-3.9650400000000004E-3</v>
      </c>
      <c r="AA6394">
        <v>0.99956049999999996</v>
      </c>
      <c r="AB6394">
        <v>20</v>
      </c>
      <c r="AC6394">
        <v>26.614999999999998</v>
      </c>
      <c r="AD6394">
        <v>-1.1094590147479999</v>
      </c>
      <c r="AE6394">
        <v>1.37233000000001</v>
      </c>
      <c r="AF6394">
        <v>0.78694538770390099</v>
      </c>
      <c r="AG6394">
        <v>-1.1094590147479999</v>
      </c>
      <c r="AH6394">
        <v>26.592608332542799</v>
      </c>
      <c r="AI6394">
        <v>92.387983447283602</v>
      </c>
      <c r="AJ6394">
        <v>88.304961512951493</v>
      </c>
      <c r="AK6394">
        <v>26.627373138870801</v>
      </c>
      <c r="AL6394">
        <v>91.127002179221506</v>
      </c>
      <c r="AM6394">
        <v>86.166998795621495</v>
      </c>
      <c r="AN6394">
        <v>0.99999998310221705</v>
      </c>
    </row>
    <row r="6395" spans="1:40" x14ac:dyDescent="0.25">
      <c r="A6395" t="str">
        <f>"20190312161441351"</f>
        <v>20190312161441351</v>
      </c>
      <c r="B6395" t="str">
        <f>"1552378481342999"</f>
        <v>1552378481342999</v>
      </c>
      <c r="C6395" t="s">
        <v>40</v>
      </c>
      <c r="D6395">
        <v>5.5662539999999998</v>
      </c>
      <c r="E6395">
        <v>0.48671140000000002</v>
      </c>
      <c r="F6395" t="s">
        <v>106</v>
      </c>
      <c r="G6395">
        <v>-242.09229999999999</v>
      </c>
      <c r="H6395" s="1">
        <v>-7.7099169999999997E-7</v>
      </c>
      <c r="I6395">
        <v>-63.71443</v>
      </c>
      <c r="J6395">
        <v>-269.1671</v>
      </c>
      <c r="K6395">
        <v>1.1094520000000001</v>
      </c>
      <c r="L6395">
        <v>-65.085539999999995</v>
      </c>
      <c r="M6395">
        <v>0.99668559999999995</v>
      </c>
      <c r="N6395">
        <v>0</v>
      </c>
      <c r="O6395">
        <v>8.0826830000000002E-2</v>
      </c>
      <c r="P6395">
        <v>0.99949370000000004</v>
      </c>
      <c r="Q6395">
        <v>-2.8346369999999999E-2</v>
      </c>
      <c r="R6395">
        <v>1.444432E-2</v>
      </c>
      <c r="S6395">
        <v>2.995911</v>
      </c>
      <c r="T6395">
        <v>-0.122294899999999</v>
      </c>
      <c r="U6395">
        <v>0.1520386</v>
      </c>
      <c r="V6395">
        <v>6.6382259999999998E-2</v>
      </c>
      <c r="W6395">
        <v>-1.9201220000000001E-2</v>
      </c>
      <c r="X6395">
        <v>0.99760950000000004</v>
      </c>
      <c r="Y6395">
        <v>3.0116770000000001E-2</v>
      </c>
      <c r="Z6395">
        <v>-3.905702E-3</v>
      </c>
      <c r="AA6395">
        <v>0.99953879999999995</v>
      </c>
      <c r="AB6395">
        <v>20</v>
      </c>
      <c r="AC6395">
        <v>27.0748</v>
      </c>
      <c r="AD6395">
        <v>-1.1094527709916999</v>
      </c>
      <c r="AE6395">
        <v>1.3711100000000001</v>
      </c>
      <c r="AF6395">
        <v>0.820465373536302</v>
      </c>
      <c r="AG6395">
        <v>-1.1094527709916999</v>
      </c>
      <c r="AH6395">
        <v>27.051727748662898</v>
      </c>
      <c r="AI6395">
        <v>92.347435627855702</v>
      </c>
      <c r="AJ6395">
        <v>88.2627802085496</v>
      </c>
      <c r="AK6395">
        <v>27.086897627229501</v>
      </c>
      <c r="AL6395">
        <v>91.100216477275595</v>
      </c>
      <c r="AM6395">
        <v>86.193074880387798</v>
      </c>
      <c r="AN6395">
        <v>1.0000000028912199</v>
      </c>
    </row>
    <row r="6396" spans="1:40" x14ac:dyDescent="0.25">
      <c r="A6396" t="str">
        <f>"20190312161441361"</f>
        <v>20190312161441361</v>
      </c>
      <c r="B6396" t="str">
        <f>"1552378481352759"</f>
        <v>1552378481352759</v>
      </c>
      <c r="C6396" t="s">
        <v>40</v>
      </c>
      <c r="D6396">
        <v>5.9691859999999997</v>
      </c>
      <c r="E6396">
        <v>0.48707620000000001</v>
      </c>
      <c r="F6396" t="s">
        <v>106</v>
      </c>
      <c r="G6396">
        <v>-241.24610000000001</v>
      </c>
      <c r="H6396" s="1">
        <v>-3.9982440000000002E-7</v>
      </c>
      <c r="I6396">
        <v>-63.683919999999901</v>
      </c>
      <c r="J6396">
        <v>-269.07100000000003</v>
      </c>
      <c r="K6396">
        <v>1.109448</v>
      </c>
      <c r="L6396">
        <v>-65.077910000000003</v>
      </c>
      <c r="M6396">
        <v>0.99669960000000002</v>
      </c>
      <c r="N6396">
        <v>0</v>
      </c>
      <c r="O6396">
        <v>8.0658439999999998E-2</v>
      </c>
      <c r="P6396">
        <v>0.99950019999999995</v>
      </c>
      <c r="Q6396">
        <v>-2.818416E-2</v>
      </c>
      <c r="R6396">
        <v>1.4322339999999999E-2</v>
      </c>
      <c r="S6396">
        <v>2.9960019999999998</v>
      </c>
      <c r="T6396">
        <v>-0.1190469</v>
      </c>
      <c r="U6396">
        <v>0.15039060000000001</v>
      </c>
      <c r="V6396">
        <v>6.6335850000000002E-2</v>
      </c>
      <c r="W6396">
        <v>-1.9068499999999999E-2</v>
      </c>
      <c r="X6396">
        <v>0.99761520000000004</v>
      </c>
      <c r="Y6396">
        <v>3.0502459999999999E-2</v>
      </c>
      <c r="Z6396">
        <v>-3.8030020000000002E-3</v>
      </c>
      <c r="AA6396">
        <v>0.99952750000000001</v>
      </c>
      <c r="AB6396">
        <v>20</v>
      </c>
      <c r="AC6396">
        <v>27.8248999999999</v>
      </c>
      <c r="AD6396">
        <v>-1.1094483998244</v>
      </c>
      <c r="AE6396">
        <v>1.3939900000000001</v>
      </c>
      <c r="AF6396">
        <v>0.85360603420833203</v>
      </c>
      <c r="AG6396">
        <v>-1.1094483998244</v>
      </c>
      <c r="AH6396">
        <v>27.802584716339901</v>
      </c>
      <c r="AI6396">
        <v>92.284072209281504</v>
      </c>
      <c r="AJ6396">
        <v>88.241434571528899</v>
      </c>
      <c r="AK6396">
        <v>27.837802282557501</v>
      </c>
      <c r="AL6396">
        <v>91.092610715613304</v>
      </c>
      <c r="AM6396">
        <v>86.195750279852504</v>
      </c>
      <c r="AN6396">
        <v>1.00000006997925</v>
      </c>
    </row>
    <row r="6397" spans="1:40" x14ac:dyDescent="0.25">
      <c r="A6397" t="str">
        <f>"20190312161441372"</f>
        <v>20190312161441372</v>
      </c>
      <c r="B6397" t="str">
        <f>"1552378481362520"</f>
        <v>1552378481362520</v>
      </c>
      <c r="C6397" t="s">
        <v>40</v>
      </c>
      <c r="D6397">
        <v>5.6208179999999999</v>
      </c>
      <c r="E6397">
        <v>0.48746279999999997</v>
      </c>
      <c r="F6397" t="s">
        <v>106</v>
      </c>
      <c r="G6397">
        <v>-240.6919</v>
      </c>
      <c r="H6397" s="1">
        <v>-1.6251569999999999E-7</v>
      </c>
      <c r="I6397">
        <v>-63.68544</v>
      </c>
      <c r="J6397">
        <v>-268.97460000000001</v>
      </c>
      <c r="K6397">
        <v>1.1094469999999901</v>
      </c>
      <c r="L6397">
        <v>-65.070279999999997</v>
      </c>
      <c r="M6397">
        <v>0.99671350000000003</v>
      </c>
      <c r="N6397">
        <v>0</v>
      </c>
      <c r="O6397">
        <v>8.0490160000000005E-2</v>
      </c>
      <c r="P6397">
        <v>0.99950499999999998</v>
      </c>
      <c r="Q6397">
        <v>-2.8130410000000002E-2</v>
      </c>
      <c r="R6397">
        <v>1.40924E-2</v>
      </c>
      <c r="S6397">
        <v>2.9960939999999998</v>
      </c>
      <c r="T6397">
        <v>-0.1171292</v>
      </c>
      <c r="U6397">
        <v>0.1470032</v>
      </c>
      <c r="V6397">
        <v>6.6396999999999998E-2</v>
      </c>
      <c r="W6397">
        <v>-1.9044249999999999E-2</v>
      </c>
      <c r="X6397">
        <v>0.99761149999999998</v>
      </c>
      <c r="Y6397">
        <v>3.1464689999999997E-2</v>
      </c>
      <c r="Z6397">
        <v>-3.7540529999999998E-3</v>
      </c>
      <c r="AA6397">
        <v>0.99949779999999999</v>
      </c>
      <c r="AB6397">
        <v>20</v>
      </c>
      <c r="AC6397">
        <v>28.282699999999998</v>
      </c>
      <c r="AD6397">
        <v>-1.1094471625157001</v>
      </c>
      <c r="AE6397">
        <v>1.3848400000000101</v>
      </c>
      <c r="AF6397">
        <v>0.89485408372029596</v>
      </c>
      <c r="AG6397">
        <v>-1.1094471625157001</v>
      </c>
      <c r="AH6397">
        <v>28.259017112494298</v>
      </c>
      <c r="AI6397">
        <v>92.247148688277505</v>
      </c>
      <c r="AJ6397">
        <v>88.186269712940899</v>
      </c>
      <c r="AK6397">
        <v>28.294940978942002</v>
      </c>
      <c r="AL6397">
        <v>91.091221144363701</v>
      </c>
      <c r="AM6397">
        <v>86.192239660870897</v>
      </c>
      <c r="AN6397">
        <v>0.99999997499965598</v>
      </c>
    </row>
    <row r="6398" spans="1:40" x14ac:dyDescent="0.25">
      <c r="A6398" t="str">
        <f>"20190312161441383"</f>
        <v>20190312161441383</v>
      </c>
      <c r="B6398" t="str">
        <f>"1552378481373256"</f>
        <v>1552378481373256</v>
      </c>
      <c r="C6398" t="s">
        <v>40</v>
      </c>
      <c r="D6398">
        <v>5.6280270000000003</v>
      </c>
      <c r="E6398">
        <v>0.48771779999999998</v>
      </c>
      <c r="F6398" t="s">
        <v>106</v>
      </c>
      <c r="G6398">
        <v>-240.32130000000001</v>
      </c>
      <c r="H6398" s="1">
        <v>-7.4568329999999999E-9</v>
      </c>
      <c r="I6398">
        <v>-63.700310000000002</v>
      </c>
      <c r="J6398">
        <v>-268.88170000000002</v>
      </c>
      <c r="K6398">
        <v>1.109443</v>
      </c>
      <c r="L6398">
        <v>-65.062989999999999</v>
      </c>
      <c r="M6398">
        <v>0.99672680000000002</v>
      </c>
      <c r="N6398">
        <v>0</v>
      </c>
      <c r="O6398">
        <v>8.032802E-2</v>
      </c>
      <c r="P6398">
        <v>0.99951020000000002</v>
      </c>
      <c r="Q6398">
        <v>-2.7816319999999999E-2</v>
      </c>
      <c r="R6398">
        <v>1.433834E-2</v>
      </c>
      <c r="S6398">
        <v>2.996216</v>
      </c>
      <c r="T6398">
        <v>-0.1160125</v>
      </c>
      <c r="U6398">
        <v>0.1432495</v>
      </c>
      <c r="V6398">
        <v>6.5990270000000004E-2</v>
      </c>
      <c r="W6398">
        <v>-1.875781E-2</v>
      </c>
      <c r="X6398">
        <v>0.99764390000000003</v>
      </c>
      <c r="Y6398">
        <v>3.2554220000000002E-2</v>
      </c>
      <c r="Z6398">
        <v>-3.7331090000000001E-3</v>
      </c>
      <c r="AA6398">
        <v>0.99946299999999999</v>
      </c>
      <c r="AB6398">
        <v>20</v>
      </c>
      <c r="AC6398">
        <v>28.560400000000001</v>
      </c>
      <c r="AD6398">
        <v>-1.10944300745683</v>
      </c>
      <c r="AE6398">
        <v>1.3626799999999999</v>
      </c>
      <c r="AF6398">
        <v>0.93461249516920497</v>
      </c>
      <c r="AG6398">
        <v>-1.10944300745683</v>
      </c>
      <c r="AH6398">
        <v>28.534604694620199</v>
      </c>
      <c r="AI6398">
        <v>92.225381504901804</v>
      </c>
      <c r="AJ6398">
        <v>88.124024668826294</v>
      </c>
      <c r="AK6398">
        <v>28.571454799872601</v>
      </c>
      <c r="AL6398">
        <v>91.074806423323494</v>
      </c>
      <c r="AM6398">
        <v>86.215619525208595</v>
      </c>
      <c r="AN6398">
        <v>0.99999996118893797</v>
      </c>
    </row>
    <row r="6399" spans="1:40" x14ac:dyDescent="0.25">
      <c r="A6399" t="str">
        <f>"20190312161441393"</f>
        <v>20190312161441393</v>
      </c>
      <c r="B6399" t="str">
        <f>"1552378481383016"</f>
        <v>1552378481383016</v>
      </c>
      <c r="C6399" t="s">
        <v>40</v>
      </c>
      <c r="D6399">
        <v>5.7020269999999904</v>
      </c>
      <c r="E6399">
        <v>0.48796450000000002</v>
      </c>
      <c r="F6399" t="s">
        <v>107</v>
      </c>
      <c r="G6399">
        <v>-239.71279999999999</v>
      </c>
      <c r="H6399" s="1">
        <v>-3.764342E-6</v>
      </c>
      <c r="I6399">
        <v>-63.681440000000002</v>
      </c>
      <c r="J6399">
        <v>-268.78280000000001</v>
      </c>
      <c r="K6399">
        <v>1.109437</v>
      </c>
      <c r="L6399">
        <v>-65.055210000000002</v>
      </c>
      <c r="M6399">
        <v>0.99674090000000004</v>
      </c>
      <c r="N6399">
        <v>0</v>
      </c>
      <c r="O6399">
        <v>8.0156649999999996E-2</v>
      </c>
      <c r="P6399">
        <v>0.9995136</v>
      </c>
      <c r="Q6399">
        <v>-2.7824160000000001E-2</v>
      </c>
      <c r="R6399">
        <v>1.4085449999999999E-2</v>
      </c>
      <c r="S6399">
        <v>2.9962460000000002</v>
      </c>
      <c r="T6399">
        <v>-0.11396290000000001</v>
      </c>
      <c r="U6399">
        <v>0.1419067</v>
      </c>
      <c r="V6399">
        <v>6.6071089999999999E-2</v>
      </c>
      <c r="W6399">
        <v>-1.879523E-2</v>
      </c>
      <c r="X6399">
        <v>0.99763789999999997</v>
      </c>
      <c r="Y6399">
        <v>3.283262E-2</v>
      </c>
      <c r="Z6399">
        <v>-3.6660199999999999E-3</v>
      </c>
      <c r="AA6399">
        <v>0.99945410000000001</v>
      </c>
      <c r="AB6399">
        <v>20</v>
      </c>
      <c r="AC6399">
        <v>29.07</v>
      </c>
      <c r="AD6399">
        <v>-1.1094407643419999</v>
      </c>
      <c r="AE6399">
        <v>1.3737699999999999</v>
      </c>
      <c r="AF6399">
        <v>0.95950627084581197</v>
      </c>
      <c r="AG6399">
        <v>-1.1094407643419999</v>
      </c>
      <c r="AH6399">
        <v>29.0443648592755</v>
      </c>
      <c r="AI6399">
        <v>92.186337211125107</v>
      </c>
      <c r="AJ6399">
        <v>88.107871406401003</v>
      </c>
      <c r="AK6399">
        <v>29.081379629792199</v>
      </c>
      <c r="AL6399">
        <v>91.076950752034193</v>
      </c>
      <c r="AM6399">
        <v>86.210975467369295</v>
      </c>
      <c r="AN6399">
        <v>1.0000000145604699</v>
      </c>
    </row>
    <row r="6400" spans="1:40" x14ac:dyDescent="0.25">
      <c r="A6400" t="str">
        <f>"20190312161441404"</f>
        <v>20190312161441404</v>
      </c>
      <c r="B6400" t="str">
        <f>"1552378481392776"</f>
        <v>1552378481392776</v>
      </c>
      <c r="C6400" t="s">
        <v>40</v>
      </c>
      <c r="D6400">
        <v>5.6324389999999998</v>
      </c>
      <c r="E6400">
        <v>0.48821560000000003</v>
      </c>
      <c r="F6400" t="s">
        <v>107</v>
      </c>
      <c r="G6400">
        <v>-239.31</v>
      </c>
      <c r="H6400" s="1">
        <v>-3.6282039999999999E-6</v>
      </c>
      <c r="I6400">
        <v>-63.686639999999997</v>
      </c>
      <c r="J6400">
        <v>-268.6823</v>
      </c>
      <c r="K6400">
        <v>1.1094329999999999</v>
      </c>
      <c r="L6400">
        <v>-65.047300000000007</v>
      </c>
      <c r="M6400">
        <v>0.99675499999999995</v>
      </c>
      <c r="N6400">
        <v>0</v>
      </c>
      <c r="O6400">
        <v>7.9983139999999994E-2</v>
      </c>
      <c r="P6400">
        <v>0.9995134</v>
      </c>
      <c r="Q6400">
        <v>-2.7804760000000001E-2</v>
      </c>
      <c r="R6400">
        <v>1.4133690000000001E-2</v>
      </c>
      <c r="S6400">
        <v>2.9963679999999999</v>
      </c>
      <c r="T6400">
        <v>-0.1127919</v>
      </c>
      <c r="U6400">
        <v>0.13912959999999999</v>
      </c>
      <c r="V6400">
        <v>6.584943E-2</v>
      </c>
      <c r="W6400">
        <v>-1.8805160000000001E-2</v>
      </c>
      <c r="X6400">
        <v>0.99765239999999999</v>
      </c>
      <c r="Y6400">
        <v>3.3586070000000003E-2</v>
      </c>
      <c r="Z6400">
        <v>-3.635999E-3</v>
      </c>
      <c r="AA6400">
        <v>0.99942920000000002</v>
      </c>
      <c r="AB6400">
        <v>20</v>
      </c>
      <c r="AC6400">
        <v>29.372299999999999</v>
      </c>
      <c r="AD6400">
        <v>-1.10943662820399</v>
      </c>
      <c r="AE6400">
        <v>1.36066</v>
      </c>
      <c r="AF6400">
        <v>0.99167314629963799</v>
      </c>
      <c r="AG6400">
        <v>-1.10943662820399</v>
      </c>
      <c r="AH6400">
        <v>29.345247228588899</v>
      </c>
      <c r="AI6400">
        <v>92.163878990158395</v>
      </c>
      <c r="AJ6400">
        <v>88.064522286989998</v>
      </c>
      <c r="AK6400">
        <v>29.382950841739799</v>
      </c>
      <c r="AL6400">
        <v>91.077519765431902</v>
      </c>
      <c r="AM6400">
        <v>86.223705040440194</v>
      </c>
      <c r="AN6400">
        <v>1.00000004634985</v>
      </c>
    </row>
    <row r="6401" spans="1:40" x14ac:dyDescent="0.25">
      <c r="A6401" t="str">
        <f>"20190312161441417"</f>
        <v>20190312161441417</v>
      </c>
      <c r="B6401" t="str">
        <f>"1552378481413271"</f>
        <v>1552378481413271</v>
      </c>
      <c r="C6401" t="s">
        <v>40</v>
      </c>
      <c r="D6401">
        <v>5.6452799999999996</v>
      </c>
      <c r="E6401">
        <v>0.48866850000000001</v>
      </c>
      <c r="F6401" t="s">
        <v>107</v>
      </c>
      <c r="G6401">
        <v>-238.99420000000001</v>
      </c>
      <c r="H6401" s="1">
        <v>-3.5208140000000002E-6</v>
      </c>
      <c r="I6401">
        <v>-63.68721</v>
      </c>
      <c r="J6401">
        <v>-268.57420000000002</v>
      </c>
      <c r="K6401">
        <v>1.109434</v>
      </c>
      <c r="L6401">
        <v>-65.038849999999996</v>
      </c>
      <c r="M6401">
        <v>0.99677039999999995</v>
      </c>
      <c r="N6401">
        <v>0</v>
      </c>
      <c r="O6401">
        <v>7.9797839999999995E-2</v>
      </c>
      <c r="P6401">
        <v>0.99951409999999996</v>
      </c>
      <c r="Q6401">
        <v>-2.7908189999999999E-2</v>
      </c>
      <c r="R6401">
        <v>1.3904690000000001E-2</v>
      </c>
      <c r="S6401">
        <v>2.996429</v>
      </c>
      <c r="T6401">
        <v>-0.11197559999999999</v>
      </c>
      <c r="U6401">
        <v>0.1372681</v>
      </c>
      <c r="V6401">
        <v>6.5892140000000002E-2</v>
      </c>
      <c r="W6401">
        <v>-1.8941050000000001E-2</v>
      </c>
      <c r="X6401">
        <v>0.99764699999999995</v>
      </c>
      <c r="Y6401">
        <v>3.4021750000000003E-2</v>
      </c>
      <c r="Z6401">
        <v>-3.610935E-3</v>
      </c>
      <c r="AA6401">
        <v>0.99941460000000004</v>
      </c>
      <c r="AB6401">
        <v>20</v>
      </c>
      <c r="AC6401">
        <v>29.58</v>
      </c>
      <c r="AD6401">
        <v>-1.1094375208139999</v>
      </c>
      <c r="AE6401">
        <v>1.35163999999999</v>
      </c>
      <c r="AF6401">
        <v>1.01176612469728</v>
      </c>
      <c r="AG6401">
        <v>-1.1094375208139999</v>
      </c>
      <c r="AH6401">
        <v>29.552041057698599</v>
      </c>
      <c r="AI6401">
        <v>92.148720623853904</v>
      </c>
      <c r="AJ6401">
        <v>88.039144075533301</v>
      </c>
      <c r="AK6401">
        <v>29.590161421992601</v>
      </c>
      <c r="AL6401">
        <v>91.085307085670905</v>
      </c>
      <c r="AM6401">
        <v>86.221242431912302</v>
      </c>
      <c r="AN6401">
        <v>1.0000000370489399</v>
      </c>
    </row>
    <row r="6402" spans="1:40" x14ac:dyDescent="0.25">
      <c r="A6402" t="str">
        <f>"20190312161441428"</f>
        <v>20190312161441428</v>
      </c>
      <c r="B6402" t="str">
        <f>"1552378481423031"</f>
        <v>1552378481423031</v>
      </c>
      <c r="C6402" t="s">
        <v>40</v>
      </c>
      <c r="D6402">
        <v>5.6179309999999996</v>
      </c>
      <c r="E6402">
        <v>0.48888979999999999</v>
      </c>
      <c r="F6402" t="s">
        <v>107</v>
      </c>
      <c r="G6402">
        <v>-238.5668</v>
      </c>
      <c r="H6402" s="1">
        <v>-3.3791080000000002E-6</v>
      </c>
      <c r="I6402">
        <v>-63.708199999999998</v>
      </c>
      <c r="J6402">
        <v>-268.476</v>
      </c>
      <c r="K6402">
        <v>1.1094299999999999</v>
      </c>
      <c r="L6402">
        <v>-65.03116</v>
      </c>
      <c r="M6402">
        <v>0.996784</v>
      </c>
      <c r="N6402">
        <v>0</v>
      </c>
      <c r="O6402">
        <v>7.9630350000000003E-2</v>
      </c>
      <c r="P6402">
        <v>0.99952019999999997</v>
      </c>
      <c r="Q6402">
        <v>-2.77209E-2</v>
      </c>
      <c r="R6402">
        <v>1.3831359999999999E-2</v>
      </c>
      <c r="S6402">
        <v>2.9965519999999999</v>
      </c>
      <c r="T6402">
        <v>-0.1107891</v>
      </c>
      <c r="U6402">
        <v>0.13287349999999901</v>
      </c>
      <c r="V6402">
        <v>6.5798330000000002E-2</v>
      </c>
      <c r="W6402">
        <v>-1.8783210000000002E-2</v>
      </c>
      <c r="X6402">
        <v>0.99765619999999999</v>
      </c>
      <c r="Y6402">
        <v>3.5319219999999998E-2</v>
      </c>
      <c r="Z6402">
        <v>-3.5905120000000001E-3</v>
      </c>
      <c r="AA6402">
        <v>0.99936959999999997</v>
      </c>
      <c r="AB6402">
        <v>20</v>
      </c>
      <c r="AC6402">
        <v>29.909199999999998</v>
      </c>
      <c r="AD6402">
        <v>-1.109433379108</v>
      </c>
      <c r="AE6402">
        <v>1.3229599999999999</v>
      </c>
      <c r="AF6402">
        <v>1.06155981029737</v>
      </c>
      <c r="AG6402">
        <v>-1.109433379108</v>
      </c>
      <c r="AH6402">
        <v>29.878536362319299</v>
      </c>
      <c r="AI6402">
        <v>92.125158767935304</v>
      </c>
      <c r="AJ6402">
        <v>87.965184011775307</v>
      </c>
      <c r="AK6402">
        <v>29.917965953720099</v>
      </c>
      <c r="AL6402">
        <v>91.076261884861907</v>
      </c>
      <c r="AM6402">
        <v>86.2266413552899</v>
      </c>
      <c r="AN6402">
        <v>1.00000006130356</v>
      </c>
    </row>
    <row r="6403" spans="1:40" x14ac:dyDescent="0.25">
      <c r="A6403" t="str">
        <f>"20190312161441451"</f>
        <v>20190312161441451</v>
      </c>
      <c r="B6403" t="str">
        <f>"1552378481442552"</f>
        <v>1552378481442552</v>
      </c>
      <c r="C6403" t="s">
        <v>40</v>
      </c>
      <c r="D6403">
        <v>5.6760109999999999</v>
      </c>
      <c r="E6403">
        <v>0.48902980000000001</v>
      </c>
      <c r="F6403" t="s">
        <v>107</v>
      </c>
      <c r="G6403">
        <v>-238.08789999999999</v>
      </c>
      <c r="H6403" s="1">
        <v>-3.2153489999999998E-6</v>
      </c>
      <c r="I6403">
        <v>-63.703749999999999</v>
      </c>
      <c r="J6403">
        <v>-268.27260000000001</v>
      </c>
      <c r="K6403">
        <v>1.109415</v>
      </c>
      <c r="L6403">
        <v>-65.015319999999903</v>
      </c>
      <c r="M6403">
        <v>0.99681180000000003</v>
      </c>
      <c r="N6403">
        <v>0</v>
      </c>
      <c r="O6403">
        <v>7.9287430000000006E-2</v>
      </c>
      <c r="P6403">
        <v>0.99951849999999998</v>
      </c>
      <c r="Q6403">
        <v>-2.7916659999999999E-2</v>
      </c>
      <c r="R6403">
        <v>1.3546020000000001E-2</v>
      </c>
      <c r="S6403">
        <v>2.9965820000000001</v>
      </c>
      <c r="T6403">
        <v>-0.1094016</v>
      </c>
      <c r="U6403">
        <v>0.130889899999999</v>
      </c>
      <c r="V6403">
        <v>6.5739480000000003E-2</v>
      </c>
      <c r="W6403">
        <v>-1.9040049999999999E-2</v>
      </c>
      <c r="X6403">
        <v>0.99765519999999996</v>
      </c>
      <c r="Y6403">
        <v>3.5638059999999999E-2</v>
      </c>
      <c r="Z6403">
        <v>-3.5389559999999998E-3</v>
      </c>
      <c r="AA6403">
        <v>0.99935850000000004</v>
      </c>
      <c r="AB6403">
        <v>20</v>
      </c>
      <c r="AC6403">
        <v>30.184699999999999</v>
      </c>
      <c r="AD6403">
        <v>-1.109418215349</v>
      </c>
      <c r="AE6403">
        <v>1.3115699999999799</v>
      </c>
      <c r="AF6403">
        <v>1.08445991694421</v>
      </c>
      <c r="AG6403">
        <v>-1.109418215349</v>
      </c>
      <c r="AH6403">
        <v>30.153003644429599</v>
      </c>
      <c r="AI6403">
        <v>92.105770526477698</v>
      </c>
      <c r="AJ6403">
        <v>87.940231517140901</v>
      </c>
      <c r="AK6403">
        <v>30.1928880842657</v>
      </c>
      <c r="AL6403">
        <v>91.0909803761609</v>
      </c>
      <c r="AM6403">
        <v>86.230002740870702</v>
      </c>
      <c r="AN6403">
        <v>1.0000000504108499</v>
      </c>
    </row>
    <row r="6404" spans="1:40" x14ac:dyDescent="0.25">
      <c r="A6404" t="str">
        <f>"20190312161441462"</f>
        <v>20190312161441462</v>
      </c>
      <c r="B6404" t="str">
        <f>"1552378481453288"</f>
        <v>1552378481453288</v>
      </c>
      <c r="C6404" t="s">
        <v>40</v>
      </c>
      <c r="D6404">
        <v>5.6081909999999997</v>
      </c>
      <c r="E6404">
        <v>0.48923369999999999</v>
      </c>
      <c r="F6404" t="s">
        <v>107</v>
      </c>
      <c r="G6404">
        <v>-237.9023</v>
      </c>
      <c r="H6404" s="1">
        <v>-3.153086E-6</v>
      </c>
      <c r="I6404">
        <v>-63.708820000000003</v>
      </c>
      <c r="J6404">
        <v>-268.17250000000001</v>
      </c>
      <c r="K6404">
        <v>1.10941</v>
      </c>
      <c r="L6404">
        <v>-65.007540000000006</v>
      </c>
      <c r="M6404">
        <v>0.99682550000000003</v>
      </c>
      <c r="N6404">
        <v>0</v>
      </c>
      <c r="O6404">
        <v>7.9120170000000004E-2</v>
      </c>
      <c r="P6404">
        <v>0.9995252</v>
      </c>
      <c r="Q6404">
        <v>-2.766339E-2</v>
      </c>
      <c r="R6404">
        <v>1.357646E-2</v>
      </c>
      <c r="S6404">
        <v>2.9966430000000002</v>
      </c>
      <c r="T6404">
        <v>-0.1094666</v>
      </c>
      <c r="U6404">
        <v>0.1289063</v>
      </c>
      <c r="V6404">
        <v>6.5542499999999906E-2</v>
      </c>
      <c r="W6404">
        <v>-1.881497E-2</v>
      </c>
      <c r="X6404">
        <v>0.99767240000000001</v>
      </c>
      <c r="Y6404">
        <v>3.6131209999999997E-2</v>
      </c>
      <c r="Z6404">
        <v>-3.5439669999999999E-3</v>
      </c>
      <c r="AA6404">
        <v>0.99934080000000003</v>
      </c>
      <c r="AB6404">
        <v>20</v>
      </c>
      <c r="AC6404">
        <v>30.270199999999999</v>
      </c>
      <c r="AD6404">
        <v>-1.1094131530859901</v>
      </c>
      <c r="AE6404">
        <v>1.2987200000000101</v>
      </c>
      <c r="AF6404">
        <v>1.09895612330926</v>
      </c>
      <c r="AG6404">
        <v>-1.1094131530859901</v>
      </c>
      <c r="AH6404">
        <v>30.237515173662601</v>
      </c>
      <c r="AI6404">
        <v>92.099852060753093</v>
      </c>
      <c r="AJ6404">
        <v>87.9185509891838</v>
      </c>
      <c r="AK6404">
        <v>30.2778107858325</v>
      </c>
      <c r="AL6404">
        <v>91.078081964808703</v>
      </c>
      <c r="AM6404">
        <v>86.241331243110693</v>
      </c>
      <c r="AN6404">
        <v>1.00000002006205</v>
      </c>
    </row>
    <row r="6405" spans="1:40" x14ac:dyDescent="0.25">
      <c r="A6405" t="str">
        <f>"20190312161441472"</f>
        <v>20190312161441472</v>
      </c>
      <c r="B6405" t="str">
        <f>"1552378481463047"</f>
        <v>1552378481463047</v>
      </c>
      <c r="C6405" t="s">
        <v>40</v>
      </c>
      <c r="D6405">
        <v>5.6976579999999997</v>
      </c>
      <c r="E6405">
        <v>0.48923369999999999</v>
      </c>
      <c r="F6405" t="s">
        <v>107</v>
      </c>
      <c r="G6405">
        <v>-238.10589999999999</v>
      </c>
      <c r="H6405" s="1">
        <v>-3.2259599999999999E-6</v>
      </c>
      <c r="I6405">
        <v>-63.729089999999999</v>
      </c>
      <c r="J6405">
        <v>-268.07569999999998</v>
      </c>
      <c r="K6405">
        <v>1.1094040000000001</v>
      </c>
      <c r="L6405">
        <v>-65.000029999999995</v>
      </c>
      <c r="M6405">
        <v>0.99683849999999996</v>
      </c>
      <c r="N6405">
        <v>0</v>
      </c>
      <c r="O6405">
        <v>7.895866E-2</v>
      </c>
      <c r="P6405">
        <v>0.99952289999999999</v>
      </c>
      <c r="Q6405">
        <v>-2.7862890000000001E-2</v>
      </c>
      <c r="R6405">
        <v>1.33461E-2</v>
      </c>
      <c r="S6405">
        <v>2.996613</v>
      </c>
      <c r="T6405">
        <v>-0.1105703</v>
      </c>
      <c r="U6405">
        <v>0.12741089999999999</v>
      </c>
      <c r="V6405">
        <v>6.5610089999999996E-2</v>
      </c>
      <c r="W6405">
        <v>-1.9040890000000001E-2</v>
      </c>
      <c r="X6405">
        <v>0.99766370000000004</v>
      </c>
      <c r="Y6405">
        <v>3.6464940000000001E-2</v>
      </c>
      <c r="Z6405">
        <v>-3.5799820000000002E-3</v>
      </c>
      <c r="AA6405">
        <v>0.99932849999999995</v>
      </c>
      <c r="AB6405">
        <v>20</v>
      </c>
      <c r="AC6405">
        <v>29.9697999999999</v>
      </c>
      <c r="AD6405">
        <v>-1.1094072259600001</v>
      </c>
      <c r="AE6405">
        <v>1.27094000000001</v>
      </c>
      <c r="AF6405">
        <v>1.0979946242168099</v>
      </c>
      <c r="AG6405">
        <v>-1.1094072259600001</v>
      </c>
      <c r="AH6405">
        <v>29.935632294646201</v>
      </c>
      <c r="AI6405">
        <v>92.120971405633298</v>
      </c>
      <c r="AJ6405">
        <v>87.899417370117504</v>
      </c>
      <c r="AK6405">
        <v>29.9762982615947</v>
      </c>
      <c r="AL6405">
        <v>91.091028515043305</v>
      </c>
      <c r="AM6405">
        <v>86.237433567911907</v>
      </c>
      <c r="AN6405">
        <v>1.00000004884974</v>
      </c>
    </row>
    <row r="6406" spans="1:40" x14ac:dyDescent="0.25">
      <c r="A6406" t="str">
        <f>"20190312161441483"</f>
        <v>20190312161441483</v>
      </c>
      <c r="B6406" t="str">
        <f>"1552378481472808"</f>
        <v>1552378481472808</v>
      </c>
      <c r="C6406" t="s">
        <v>40</v>
      </c>
      <c r="D6406">
        <v>5.6756630000000001</v>
      </c>
      <c r="E6406">
        <v>0.44752579999999997</v>
      </c>
      <c r="F6406" t="s">
        <v>107</v>
      </c>
      <c r="G6406">
        <v>-238.1728</v>
      </c>
      <c r="H6406" s="1">
        <v>-3.2498289999999902E-6</v>
      </c>
      <c r="I6406">
        <v>-63.735259999999997</v>
      </c>
      <c r="J6406">
        <v>-267.97840000000002</v>
      </c>
      <c r="K6406">
        <v>1.109399</v>
      </c>
      <c r="L6406">
        <v>-64.992519999999999</v>
      </c>
      <c r="M6406">
        <v>0.9968515</v>
      </c>
      <c r="N6406">
        <v>0</v>
      </c>
      <c r="O6406">
        <v>7.8797329999999999E-2</v>
      </c>
      <c r="P6406">
        <v>0.99952110000000005</v>
      </c>
      <c r="Q6406">
        <v>-2.7975920000000001E-2</v>
      </c>
      <c r="R6406">
        <v>1.324383E-2</v>
      </c>
      <c r="S6406">
        <v>2.9966430000000002</v>
      </c>
      <c r="T6406">
        <v>-0.1111765</v>
      </c>
      <c r="U6406">
        <v>0.1267395</v>
      </c>
      <c r="V6406">
        <v>6.5550380000000005E-2</v>
      </c>
      <c r="W6406">
        <v>-1.91787E-2</v>
      </c>
      <c r="X6406">
        <v>0.99766489999999997</v>
      </c>
      <c r="Y6406">
        <v>3.6526320000000001E-2</v>
      </c>
      <c r="Z6406">
        <v>-3.5947570000000001E-3</v>
      </c>
      <c r="AA6406">
        <v>0.99932619999999905</v>
      </c>
      <c r="AB6406">
        <v>20</v>
      </c>
      <c r="AC6406">
        <v>29.805599999999998</v>
      </c>
      <c r="AD6406">
        <v>-1.1094022498289999</v>
      </c>
      <c r="AE6406">
        <v>1.25726</v>
      </c>
      <c r="AF6406">
        <v>1.0938302127147399</v>
      </c>
      <c r="AG6406">
        <v>-1.1094022498289999</v>
      </c>
      <c r="AH6406">
        <v>29.770817586500399</v>
      </c>
      <c r="AI6406">
        <v>92.132688044971104</v>
      </c>
      <c r="AJ6406">
        <v>87.895802626173804</v>
      </c>
      <c r="AK6406">
        <v>29.811555102927102</v>
      </c>
      <c r="AL6406">
        <v>91.098925981674</v>
      </c>
      <c r="AM6406">
        <v>86.240852465638596</v>
      </c>
      <c r="AN6406">
        <v>0.99999996377192102</v>
      </c>
    </row>
    <row r="6407" spans="1:40" x14ac:dyDescent="0.25">
      <c r="A6407" t="str">
        <f>"20190312161441494"</f>
        <v>20190312161441494</v>
      </c>
      <c r="B6407" t="str">
        <f>"1552378481482568"</f>
        <v>1552378481482568</v>
      </c>
      <c r="C6407" t="s">
        <v>40</v>
      </c>
      <c r="D6407">
        <v>5.648765</v>
      </c>
      <c r="E6407">
        <v>0.43768240000000003</v>
      </c>
      <c r="F6407" t="s">
        <v>107</v>
      </c>
      <c r="G6407">
        <v>-233.95179999999999</v>
      </c>
      <c r="H6407" s="1">
        <v>-7.9017669999999899E-7</v>
      </c>
      <c r="I6407">
        <v>-59.776499999999999</v>
      </c>
      <c r="J6407">
        <v>-267.87849999999997</v>
      </c>
      <c r="K6407">
        <v>1.109402</v>
      </c>
      <c r="L6407">
        <v>-64.984800000000007</v>
      </c>
      <c r="M6407">
        <v>0.9968648</v>
      </c>
      <c r="N6407">
        <v>0</v>
      </c>
      <c r="O6407">
        <v>7.8631939999999997E-2</v>
      </c>
      <c r="P6407">
        <v>0.99951199999999996</v>
      </c>
      <c r="Q6407">
        <v>-2.831798E-2</v>
      </c>
      <c r="R6407">
        <v>1.320936E-2</v>
      </c>
      <c r="S6407">
        <v>2.9926149999999998</v>
      </c>
      <c r="T6407">
        <v>-9.7571019999999994E-2</v>
      </c>
      <c r="U6407">
        <v>0.45874019999999999</v>
      </c>
      <c r="V6407">
        <v>6.5418229999999994E-2</v>
      </c>
      <c r="W6407">
        <v>-1.95461E-2</v>
      </c>
      <c r="X6407">
        <v>0.99766650000000001</v>
      </c>
      <c r="Y6407">
        <v>-7.3327320000000001E-2</v>
      </c>
      <c r="Z6407">
        <v>-1.3543489999999999E-3</v>
      </c>
      <c r="AA6407">
        <v>0.99730700000000005</v>
      </c>
      <c r="AB6407">
        <v>20</v>
      </c>
      <c r="AC6407">
        <v>33.926699999999897</v>
      </c>
      <c r="AD6407">
        <v>-1.1094027901766901</v>
      </c>
      <c r="AE6407">
        <v>5.2083000000000004</v>
      </c>
      <c r="AF6407">
        <v>-2.5217122753535599</v>
      </c>
      <c r="AG6407">
        <v>-1.1094027901766901</v>
      </c>
      <c r="AH6407">
        <v>34.195476773552798</v>
      </c>
      <c r="AI6407">
        <v>91.853164863250399</v>
      </c>
      <c r="AJ6407">
        <v>94.217587420196395</v>
      </c>
      <c r="AK6407">
        <v>34.306274048942001</v>
      </c>
      <c r="AL6407">
        <v>91.119980335977601</v>
      </c>
      <c r="AM6407">
        <v>86.248415267300601</v>
      </c>
      <c r="AN6407">
        <v>1.0000000200318899</v>
      </c>
    </row>
    <row r="6408" spans="1:40" x14ac:dyDescent="0.25">
      <c r="A6408" t="str">
        <f>"20190312161441505"</f>
        <v>20190312161441505</v>
      </c>
      <c r="B6408" t="str">
        <f>"1552378481503064"</f>
        <v>1552378481503064</v>
      </c>
      <c r="C6408" t="s">
        <v>40</v>
      </c>
      <c r="D6408">
        <v>5.6680929999999998</v>
      </c>
      <c r="E6408">
        <v>0.42911820000000001</v>
      </c>
      <c r="F6408" t="s">
        <v>108</v>
      </c>
      <c r="G6408">
        <v>-229.35810000000001</v>
      </c>
      <c r="H6408" s="1">
        <v>-3.6433820000000001E-6</v>
      </c>
      <c r="I6408">
        <v>-58.073529999999998</v>
      </c>
      <c r="J6408">
        <v>-267.77670000000001</v>
      </c>
      <c r="K6408">
        <v>1.109399</v>
      </c>
      <c r="L6408">
        <v>-64.976990000000001</v>
      </c>
      <c r="M6408">
        <v>0.99687809999999999</v>
      </c>
      <c r="N6408">
        <v>0</v>
      </c>
      <c r="O6408">
        <v>7.8463939999999996E-2</v>
      </c>
      <c r="P6408">
        <v>0.99950220000000001</v>
      </c>
      <c r="Q6408">
        <v>-2.8686840000000002E-2</v>
      </c>
      <c r="R6408">
        <v>1.3142879999999999E-2</v>
      </c>
      <c r="S6408">
        <v>2.9919129999999998</v>
      </c>
      <c r="T6408">
        <v>-8.6168529999999993E-2</v>
      </c>
      <c r="U6408">
        <v>0.53680419999999995</v>
      </c>
      <c r="V6408">
        <v>6.531563E-2</v>
      </c>
      <c r="W6408">
        <v>-1.9940759999999998E-2</v>
      </c>
      <c r="X6408">
        <v>0.99766540000000004</v>
      </c>
      <c r="Y6408">
        <v>-9.8812079999999997E-2</v>
      </c>
      <c r="Z6408">
        <v>-8.2454169999999995E-4</v>
      </c>
      <c r="AA6408">
        <v>0.99510569999999998</v>
      </c>
      <c r="AB6408">
        <v>20</v>
      </c>
      <c r="AC6408">
        <v>38.418599999999998</v>
      </c>
      <c r="AD6408">
        <v>-1.1094026433819999</v>
      </c>
      <c r="AE6408">
        <v>6.9034599999999902</v>
      </c>
      <c r="AF6408">
        <v>-3.8644615225016401</v>
      </c>
      <c r="AG6408">
        <v>-1.1094026433819999</v>
      </c>
      <c r="AH6408">
        <v>38.8104876805861</v>
      </c>
      <c r="AI6408">
        <v>91.629308392605196</v>
      </c>
      <c r="AJ6408">
        <v>95.686346876006695</v>
      </c>
      <c r="AK6408">
        <v>39.018185389494498</v>
      </c>
      <c r="AL6408">
        <v>91.1425971103547</v>
      </c>
      <c r="AM6408">
        <v>86.254278259168899</v>
      </c>
      <c r="AN6408">
        <v>1.00000000789441</v>
      </c>
    </row>
    <row r="6409" spans="1:40" x14ac:dyDescent="0.25">
      <c r="A6409" t="str">
        <f>"20190312161441517"</f>
        <v>20190312161441517</v>
      </c>
      <c r="B6409" t="str">
        <f>"1552378481512823"</f>
        <v>1552378481512823</v>
      </c>
      <c r="C6409" t="s">
        <v>40</v>
      </c>
      <c r="D6409">
        <v>5.669295</v>
      </c>
      <c r="E6409">
        <v>0.42725350000000001</v>
      </c>
      <c r="F6409" t="s">
        <v>108</v>
      </c>
      <c r="G6409">
        <v>-227.42</v>
      </c>
      <c r="H6409" s="1">
        <v>-3.0897240000000001E-6</v>
      </c>
      <c r="I6409">
        <v>-56.817120000000003</v>
      </c>
      <c r="J6409">
        <v>-267.67070000000001</v>
      </c>
      <c r="K6409">
        <v>1.1093949999999999</v>
      </c>
      <c r="L6409">
        <v>-64.968809999999905</v>
      </c>
      <c r="M6409">
        <v>0.99689220000000001</v>
      </c>
      <c r="N6409">
        <v>0</v>
      </c>
      <c r="O6409">
        <v>7.8288839999999998E-2</v>
      </c>
      <c r="P6409">
        <v>0.99949659999999996</v>
      </c>
      <c r="Q6409">
        <v>-2.8928789999999999E-2</v>
      </c>
      <c r="R6409">
        <v>1.3037780000000001E-2</v>
      </c>
      <c r="S6409">
        <v>2.9911799999999999</v>
      </c>
      <c r="T6409">
        <v>-8.2227229999999998E-2</v>
      </c>
      <c r="U6409">
        <v>0.60479740000000004</v>
      </c>
      <c r="V6409">
        <v>6.5244590000000005E-2</v>
      </c>
      <c r="W6409">
        <v>-2.020982E-2</v>
      </c>
      <c r="X6409">
        <v>0.99766460000000001</v>
      </c>
      <c r="Y6409">
        <v>-0.12082039999999999</v>
      </c>
      <c r="Z6409">
        <v>-4.8075849999999997E-4</v>
      </c>
      <c r="AA6409">
        <v>0.99267430000000001</v>
      </c>
      <c r="AB6409">
        <v>20</v>
      </c>
      <c r="AC6409">
        <v>40.250700000000002</v>
      </c>
      <c r="AD6409">
        <v>-1.1093980897239999</v>
      </c>
      <c r="AE6409">
        <v>8.1516899999999897</v>
      </c>
      <c r="AF6409">
        <v>-4.97173852308019</v>
      </c>
      <c r="AG6409">
        <v>-1.1093980897239999</v>
      </c>
      <c r="AH6409">
        <v>40.735634031784301</v>
      </c>
      <c r="AI6409">
        <v>91.548527949983793</v>
      </c>
      <c r="AJ6409">
        <v>96.958470957960003</v>
      </c>
      <c r="AK6409">
        <v>41.052902796694198</v>
      </c>
      <c r="AL6409">
        <v>91.158016259690996</v>
      </c>
      <c r="AM6409">
        <v>86.258337691166204</v>
      </c>
      <c r="AN6409">
        <v>0.99999997372092997</v>
      </c>
    </row>
    <row r="6410" spans="1:40" x14ac:dyDescent="0.25">
      <c r="A6410" t="str">
        <f>"20190312161441528"</f>
        <v>20190312161441528</v>
      </c>
      <c r="B6410" t="str">
        <f>"1552378481522587"</f>
        <v>1552378481522587</v>
      </c>
      <c r="C6410" t="s">
        <v>40</v>
      </c>
      <c r="D6410">
        <v>5.6968439999999996</v>
      </c>
      <c r="E6410">
        <v>0.4263729</v>
      </c>
      <c r="F6410" t="s">
        <v>108</v>
      </c>
      <c r="G6410">
        <v>-228.90899999999999</v>
      </c>
      <c r="H6410" s="1">
        <v>-3.7011E-6</v>
      </c>
      <c r="I6410">
        <v>-56.941040000000001</v>
      </c>
      <c r="J6410">
        <v>-267.56990000000002</v>
      </c>
      <c r="K6410">
        <v>1.1093900000000001</v>
      </c>
      <c r="L6410">
        <v>-64.961089999999999</v>
      </c>
      <c r="M6410">
        <v>0.99690540000000005</v>
      </c>
      <c r="N6410">
        <v>0</v>
      </c>
      <c r="O6410">
        <v>7.8122739999999996E-2</v>
      </c>
      <c r="P6410">
        <v>0.99949969999999999</v>
      </c>
      <c r="Q6410">
        <v>-2.888539E-2</v>
      </c>
      <c r="R6410">
        <v>1.2895240000000001E-2</v>
      </c>
      <c r="S6410">
        <v>2.9909669999999999</v>
      </c>
      <c r="T6410">
        <v>-8.5604429999999995E-2</v>
      </c>
      <c r="U6410">
        <v>0.61944580000000005</v>
      </c>
      <c r="V6410">
        <v>6.5220749999999994E-2</v>
      </c>
      <c r="W6410">
        <v>-2.0192129999999999E-2</v>
      </c>
      <c r="X6410">
        <v>0.99766650000000001</v>
      </c>
      <c r="Y6410">
        <v>-0.1256611</v>
      </c>
      <c r="Z6410">
        <v>-4.2697949999999997E-4</v>
      </c>
      <c r="AA6410">
        <v>0.99207310000000004</v>
      </c>
      <c r="AB6410">
        <v>20</v>
      </c>
      <c r="AC6410">
        <v>38.660899999999998</v>
      </c>
      <c r="AD6410">
        <v>-1.1093937010999999</v>
      </c>
      <c r="AE6410">
        <v>8.0200499999999906</v>
      </c>
      <c r="AF6410">
        <v>-4.9712013644318302</v>
      </c>
      <c r="AG6410">
        <v>-1.1093937010999999</v>
      </c>
      <c r="AH6410">
        <v>39.138407617842702</v>
      </c>
      <c r="AI6410">
        <v>91.610702975816196</v>
      </c>
      <c r="AJ6410">
        <v>97.238715457081994</v>
      </c>
      <c r="AK6410">
        <v>39.468450036075303</v>
      </c>
      <c r="AL6410">
        <v>91.157002510053999</v>
      </c>
      <c r="AM6410">
        <v>86.2597080945378</v>
      </c>
      <c r="AN6410">
        <v>0.99999995678337295</v>
      </c>
    </row>
    <row r="6411" spans="1:40" x14ac:dyDescent="0.25">
      <c r="A6411" t="str">
        <f>"20190312161441540"</f>
        <v>20190312161441540</v>
      </c>
      <c r="B6411" t="str">
        <f>"1552378481533320"</f>
        <v>1552378481533320</v>
      </c>
      <c r="C6411" t="s">
        <v>40</v>
      </c>
      <c r="D6411">
        <v>5.6598220000000001</v>
      </c>
      <c r="E6411">
        <v>0.42559750000000002</v>
      </c>
      <c r="F6411" t="s">
        <v>108</v>
      </c>
      <c r="G6411">
        <v>-229.48230000000001</v>
      </c>
      <c r="H6411" s="1">
        <v>-3.9367409999999996E-6</v>
      </c>
      <c r="I6411">
        <v>-56.987650000000002</v>
      </c>
      <c r="J6411">
        <v>-267.4658</v>
      </c>
      <c r="K6411">
        <v>1.10938799999999</v>
      </c>
      <c r="L6411">
        <v>-64.953130000000002</v>
      </c>
      <c r="M6411">
        <v>0.99691920000000001</v>
      </c>
      <c r="N6411">
        <v>0</v>
      </c>
      <c r="O6411">
        <v>7.7950779999999997E-2</v>
      </c>
      <c r="P6411">
        <v>0.9994982</v>
      </c>
      <c r="Q6411">
        <v>-2.9025949999999998E-2</v>
      </c>
      <c r="R6411">
        <v>1.2688140000000001E-2</v>
      </c>
      <c r="S6411">
        <v>2.9909059999999998</v>
      </c>
      <c r="T6411">
        <v>-8.7117200000000006E-2</v>
      </c>
      <c r="U6411">
        <v>0.62612919999999905</v>
      </c>
      <c r="V6411">
        <v>6.5254980000000004E-2</v>
      </c>
      <c r="W6411">
        <v>-2.0358009999999999E-2</v>
      </c>
      <c r="X6411">
        <v>0.99766089999999996</v>
      </c>
      <c r="Y6411">
        <v>-0.12795899999999999</v>
      </c>
      <c r="Z6411">
        <v>-3.9636169999999999E-4</v>
      </c>
      <c r="AA6411">
        <v>0.99177939999999998</v>
      </c>
      <c r="AB6411">
        <v>20</v>
      </c>
      <c r="AC6411">
        <v>37.9834999999999</v>
      </c>
      <c r="AD6411">
        <v>-1.1093919367409999</v>
      </c>
      <c r="AE6411">
        <v>7.9654799999999897</v>
      </c>
      <c r="AF6411">
        <v>-4.9762190195600997</v>
      </c>
      <c r="AG6411">
        <v>-1.1093919367409999</v>
      </c>
      <c r="AH6411">
        <v>38.45742972379</v>
      </c>
      <c r="AI6411">
        <v>91.638714519343495</v>
      </c>
      <c r="AJ6411">
        <v>97.372850794555205</v>
      </c>
      <c r="AK6411">
        <v>38.7939094080525</v>
      </c>
      <c r="AL6411">
        <v>91.166508677503501</v>
      </c>
      <c r="AM6411">
        <v>86.2577296966099</v>
      </c>
      <c r="AN6411">
        <v>0.99999996618738396</v>
      </c>
    </row>
    <row r="6412" spans="1:40" x14ac:dyDescent="0.25">
      <c r="A6412" t="str">
        <f>"20190312161441550"</f>
        <v>20190312161441550</v>
      </c>
      <c r="B6412" t="str">
        <f>"1552378481543079"</f>
        <v>1552378481543079</v>
      </c>
      <c r="C6412" t="s">
        <v>40</v>
      </c>
      <c r="D6412">
        <v>5.6708509999999999</v>
      </c>
      <c r="E6412">
        <v>0.42491279999999998</v>
      </c>
      <c r="F6412" t="s">
        <v>108</v>
      </c>
      <c r="G6412">
        <v>-229.6087</v>
      </c>
      <c r="H6412" s="1">
        <v>-3.9974780000000001E-6</v>
      </c>
      <c r="I6412">
        <v>-56.958199999999998</v>
      </c>
      <c r="J6412">
        <v>-267.36149999999998</v>
      </c>
      <c r="K6412">
        <v>1.109383</v>
      </c>
      <c r="L6412">
        <v>-64.945189999999997</v>
      </c>
      <c r="M6412">
        <v>0.99693279999999995</v>
      </c>
      <c r="N6412">
        <v>0</v>
      </c>
      <c r="O6412">
        <v>7.7778650000000005E-2</v>
      </c>
      <c r="P6412">
        <v>0.99949969999999999</v>
      </c>
      <c r="Q6412">
        <v>-2.9002509999999999E-2</v>
      </c>
      <c r="R6412">
        <v>1.2630199999999999E-2</v>
      </c>
      <c r="S6412">
        <v>2.9909669999999999</v>
      </c>
      <c r="T6412">
        <v>-8.7649459999999998E-2</v>
      </c>
      <c r="U6412">
        <v>0.63165280000000001</v>
      </c>
      <c r="V6412">
        <v>6.514056E-2</v>
      </c>
      <c r="W6412">
        <v>-2.0358850000000001E-2</v>
      </c>
      <c r="X6412">
        <v>0.99766840000000001</v>
      </c>
      <c r="Y6412">
        <v>-0.12987889999999999</v>
      </c>
      <c r="Z6412">
        <v>-3.6588460000000001E-4</v>
      </c>
      <c r="AA6412">
        <v>0.99152980000000002</v>
      </c>
      <c r="AB6412">
        <v>20</v>
      </c>
      <c r="AC6412">
        <v>37.752799999999901</v>
      </c>
      <c r="AD6412">
        <v>-1.109386997478</v>
      </c>
      <c r="AE6412">
        <v>7.9869899999999898</v>
      </c>
      <c r="AF6412">
        <v>-5.0221692557281399</v>
      </c>
      <c r="AG6412">
        <v>-1.109386997478</v>
      </c>
      <c r="AH6412">
        <v>38.2280695611406</v>
      </c>
      <c r="AI6412">
        <v>91.648115866888205</v>
      </c>
      <c r="AJ6412">
        <v>97.484306960157099</v>
      </c>
      <c r="AK6412">
        <v>38.572506088077297</v>
      </c>
      <c r="AL6412">
        <v>91.166556769668105</v>
      </c>
      <c r="AM6412">
        <v>86.264300910072194</v>
      </c>
      <c r="AN6412">
        <v>1.00000000584449</v>
      </c>
    </row>
    <row r="6413" spans="1:40" x14ac:dyDescent="0.25">
      <c r="A6413" t="str">
        <f>"20190312161441561"</f>
        <v>20190312161441561</v>
      </c>
      <c r="B6413" t="str">
        <f>"1552378481552841"</f>
        <v>1552378481552841</v>
      </c>
      <c r="C6413" t="s">
        <v>40</v>
      </c>
      <c r="D6413">
        <v>5.6920919999999997</v>
      </c>
      <c r="E6413">
        <v>0.42447109999999899</v>
      </c>
      <c r="F6413" t="s">
        <v>108</v>
      </c>
      <c r="G6413">
        <v>-229.71700000000001</v>
      </c>
      <c r="H6413" s="1">
        <v>-4.0506050000000002E-6</v>
      </c>
      <c r="I6413">
        <v>-56.928170000000001</v>
      </c>
      <c r="J6413">
        <v>-267.26560000000001</v>
      </c>
      <c r="K6413">
        <v>1.1093839999999999</v>
      </c>
      <c r="L6413">
        <v>-64.937869999999904</v>
      </c>
      <c r="M6413">
        <v>0.99694539999999998</v>
      </c>
      <c r="N6413">
        <v>0</v>
      </c>
      <c r="O6413">
        <v>7.761991E-2</v>
      </c>
      <c r="P6413">
        <v>0.99949969999999999</v>
      </c>
      <c r="Q6413">
        <v>-2.9084240000000001E-2</v>
      </c>
      <c r="R6413">
        <v>1.2432749999999999E-2</v>
      </c>
      <c r="S6413">
        <v>2.9909059999999998</v>
      </c>
      <c r="T6413">
        <v>-8.8142280000000003E-2</v>
      </c>
      <c r="U6413">
        <v>0.6369629</v>
      </c>
      <c r="V6413">
        <v>6.5178659999999999E-2</v>
      </c>
      <c r="W6413">
        <v>-2.0461210000000001E-2</v>
      </c>
      <c r="X6413">
        <v>0.99766379999999999</v>
      </c>
      <c r="Y6413">
        <v>-0.13172420000000001</v>
      </c>
      <c r="Z6413">
        <v>-3.363633E-4</v>
      </c>
      <c r="AA6413">
        <v>0.99128629999999995</v>
      </c>
      <c r="AB6413">
        <v>20</v>
      </c>
      <c r="AC6413">
        <v>37.548599999999901</v>
      </c>
      <c r="AD6413">
        <v>-1.109388050605</v>
      </c>
      <c r="AE6413">
        <v>8.0096999999999898</v>
      </c>
      <c r="AF6413">
        <v>-5.0666744718598196</v>
      </c>
      <c r="AG6413">
        <v>-1.109388050605</v>
      </c>
      <c r="AH6413">
        <v>38.0252950218904</v>
      </c>
      <c r="AI6413">
        <v>91.656498500575495</v>
      </c>
      <c r="AJ6413">
        <v>97.589661759149706</v>
      </c>
      <c r="AK6413">
        <v>38.377402120941298</v>
      </c>
      <c r="AL6413">
        <v>91.172422808090801</v>
      </c>
      <c r="AM6413">
        <v>86.262104947409796</v>
      </c>
      <c r="AN6413">
        <v>0.99999998833224901</v>
      </c>
    </row>
    <row r="6414" spans="1:40" x14ac:dyDescent="0.25">
      <c r="A6414" t="str">
        <f>"20190312161441573"</f>
        <v>20190312161441573</v>
      </c>
      <c r="B6414" t="str">
        <f>"1552378481562599"</f>
        <v>1552378481562599</v>
      </c>
      <c r="C6414" t="s">
        <v>40</v>
      </c>
      <c r="D6414">
        <v>5.6833850000000004</v>
      </c>
      <c r="E6414">
        <v>0.4240797</v>
      </c>
      <c r="F6414" t="s">
        <v>108</v>
      </c>
      <c r="G6414">
        <v>-229.346</v>
      </c>
      <c r="H6414" s="1">
        <v>-3.9141899999999999E-6</v>
      </c>
      <c r="I6414">
        <v>-56.825189999999999</v>
      </c>
      <c r="J6414">
        <v>-267.16550000000001</v>
      </c>
      <c r="K6414">
        <v>1.109378</v>
      </c>
      <c r="L6414">
        <v>-64.930269999999993</v>
      </c>
      <c r="M6414">
        <v>0.99695829999999996</v>
      </c>
      <c r="N6414">
        <v>0</v>
      </c>
      <c r="O6414">
        <v>7.7454369999999995E-2</v>
      </c>
      <c r="P6414">
        <v>0.99950139999999998</v>
      </c>
      <c r="Q6414">
        <v>-2.9211640000000001E-2</v>
      </c>
      <c r="R6414">
        <v>1.1996919999999999E-2</v>
      </c>
      <c r="S6414">
        <v>2.990936</v>
      </c>
      <c r="T6414">
        <v>-8.7503670000000006E-2</v>
      </c>
      <c r="U6414">
        <v>0.63989259999999903</v>
      </c>
      <c r="V6414">
        <v>6.5447500000000006E-2</v>
      </c>
      <c r="W6414">
        <v>-2.0609289999999999E-2</v>
      </c>
      <c r="X6414">
        <v>0.99764319999999895</v>
      </c>
      <c r="Y6414">
        <v>-0.13281509999999999</v>
      </c>
      <c r="Z6414">
        <v>-3.1333540000000001E-4</v>
      </c>
      <c r="AA6414">
        <v>0.99114080000000004</v>
      </c>
      <c r="AB6414">
        <v>20</v>
      </c>
      <c r="AC6414">
        <v>37.819499999999998</v>
      </c>
      <c r="AD6414">
        <v>-1.1093819141900001</v>
      </c>
      <c r="AE6414">
        <v>8.1050799999999903</v>
      </c>
      <c r="AF6414">
        <v>-5.1470999367717303</v>
      </c>
      <c r="AG6414">
        <v>-1.1093819141900001</v>
      </c>
      <c r="AH6414">
        <v>38.302164977658101</v>
      </c>
      <c r="AI6414">
        <v>91.644276325783494</v>
      </c>
      <c r="AJ6414">
        <v>97.653638173510899</v>
      </c>
      <c r="AK6414">
        <v>38.662374577441398</v>
      </c>
      <c r="AL6414">
        <v>91.180908900054504</v>
      </c>
      <c r="AM6414">
        <v>86.246654090078806</v>
      </c>
      <c r="AN6414">
        <v>1.0000000362983901</v>
      </c>
    </row>
    <row r="6415" spans="1:40" x14ac:dyDescent="0.25">
      <c r="A6415" t="str">
        <f>"20190312161441583"</f>
        <v>20190312161441583</v>
      </c>
      <c r="B6415" t="str">
        <f>"1552378481573336"</f>
        <v>1552378481573336</v>
      </c>
      <c r="C6415" t="s">
        <v>40</v>
      </c>
      <c r="D6415">
        <v>5.6848070000000002</v>
      </c>
      <c r="E6415">
        <v>0.42377379999999998</v>
      </c>
      <c r="F6415" t="s">
        <v>108</v>
      </c>
      <c r="G6415">
        <v>-229.90559999999999</v>
      </c>
      <c r="H6415" s="1">
        <v>-4.1296490000000001E-6</v>
      </c>
      <c r="I6415">
        <v>-56.936579999999999</v>
      </c>
      <c r="J6415">
        <v>-267.06279999999998</v>
      </c>
      <c r="K6415">
        <v>1.109375</v>
      </c>
      <c r="L6415">
        <v>-64.922489999999996</v>
      </c>
      <c r="M6415">
        <v>0.99697170000000002</v>
      </c>
      <c r="N6415">
        <v>0</v>
      </c>
      <c r="O6415">
        <v>7.7284290000000005E-2</v>
      </c>
      <c r="P6415">
        <v>0.99949350000000003</v>
      </c>
      <c r="Q6415">
        <v>-2.9525740000000002E-2</v>
      </c>
      <c r="R6415">
        <v>1.187157E-2</v>
      </c>
      <c r="S6415">
        <v>2.9911799999999999</v>
      </c>
      <c r="T6415">
        <v>-8.9059949999999999E-2</v>
      </c>
      <c r="U6415">
        <v>0.64172359999999995</v>
      </c>
      <c r="V6415">
        <v>6.5401580000000001E-2</v>
      </c>
      <c r="W6415">
        <v>-2.0942769999999999E-2</v>
      </c>
      <c r="X6415">
        <v>0.99763919999999995</v>
      </c>
      <c r="Y6415">
        <v>-0.13354659999999999</v>
      </c>
      <c r="Z6415">
        <v>-3.031086E-4</v>
      </c>
      <c r="AA6415">
        <v>0.99104250000000005</v>
      </c>
      <c r="AB6415">
        <v>21</v>
      </c>
      <c r="AC6415">
        <v>37.157199999999897</v>
      </c>
      <c r="AD6415">
        <v>-1.1093791296490001</v>
      </c>
      <c r="AE6415">
        <v>7.9859099999999899</v>
      </c>
      <c r="AF6415">
        <v>-5.0859148055496997</v>
      </c>
      <c r="AG6415">
        <v>-1.1093791296490001</v>
      </c>
      <c r="AH6415">
        <v>37.631202999315903</v>
      </c>
      <c r="AI6415">
        <v>91.673402458967402</v>
      </c>
      <c r="AJ6415">
        <v>97.696974446139393</v>
      </c>
      <c r="AK6415">
        <v>37.989533961847002</v>
      </c>
      <c r="AL6415">
        <v>91.200020100817397</v>
      </c>
      <c r="AM6415">
        <v>86.249265039075297</v>
      </c>
      <c r="AN6415">
        <v>0.99999996982920403</v>
      </c>
    </row>
    <row r="6416" spans="1:40" x14ac:dyDescent="0.25">
      <c r="A6416" t="str">
        <f>"20190312161441595"</f>
        <v>20190312161441595</v>
      </c>
      <c r="B6416" t="str">
        <f>"1552378481592856"</f>
        <v>1552378481592856</v>
      </c>
      <c r="C6416" t="s">
        <v>40</v>
      </c>
      <c r="D6416">
        <v>5.7071440000000004</v>
      </c>
      <c r="E6416">
        <v>0.42323270000000002</v>
      </c>
      <c r="F6416" t="s">
        <v>107</v>
      </c>
      <c r="G6416">
        <v>-230.67160000000001</v>
      </c>
      <c r="H6416" s="1">
        <v>-9.2325880000000004E-8</v>
      </c>
      <c r="I6416">
        <v>-57.089039999999997</v>
      </c>
      <c r="J6416">
        <v>-266.959</v>
      </c>
      <c r="K6416">
        <v>1.109364</v>
      </c>
      <c r="L6416">
        <v>-64.914609999999996</v>
      </c>
      <c r="M6416">
        <v>0.99698529999999996</v>
      </c>
      <c r="N6416">
        <v>0</v>
      </c>
      <c r="O6416">
        <v>7.7111879999999994E-2</v>
      </c>
      <c r="P6416">
        <v>0.99949710000000003</v>
      </c>
      <c r="Q6416">
        <v>-2.9553920000000001E-2</v>
      </c>
      <c r="R6416">
        <v>1.1502500000000001E-2</v>
      </c>
      <c r="S6416">
        <v>2.9911500000000002</v>
      </c>
      <c r="T6416">
        <v>-9.1184260000000003E-2</v>
      </c>
      <c r="U6416">
        <v>0.64385990000000004</v>
      </c>
      <c r="V6416">
        <v>6.5597329999999995E-2</v>
      </c>
      <c r="W6416">
        <v>-2.0989529999999999E-2</v>
      </c>
      <c r="X6416">
        <v>0.9976254</v>
      </c>
      <c r="Y6416">
        <v>-0.13439499999999999</v>
      </c>
      <c r="Z6416">
        <v>-2.9235520000000002E-4</v>
      </c>
      <c r="AA6416">
        <v>0.99092780000000003</v>
      </c>
      <c r="AB6416">
        <v>21</v>
      </c>
      <c r="AC6416">
        <v>36.287399999999899</v>
      </c>
      <c r="AD6416">
        <v>-1.1093640923258701</v>
      </c>
      <c r="AE6416">
        <v>7.8255699999999901</v>
      </c>
      <c r="AF6416">
        <v>-4.9995089425545096</v>
      </c>
      <c r="AG6416">
        <v>-1.1093640923258701</v>
      </c>
      <c r="AH6416">
        <v>36.749990081054399</v>
      </c>
      <c r="AI6416">
        <v>91.713278617776893</v>
      </c>
      <c r="AJ6416">
        <v>97.747022422133497</v>
      </c>
      <c r="AK6416">
        <v>37.105087916802198</v>
      </c>
      <c r="AL6416">
        <v>91.202699799009395</v>
      </c>
      <c r="AM6416">
        <v>86.238019212500902</v>
      </c>
      <c r="AN6416">
        <v>1.0000000043989501</v>
      </c>
    </row>
    <row r="6417" spans="1:40" x14ac:dyDescent="0.25">
      <c r="A6417" t="str">
        <f>"20190312161441605"</f>
        <v>20190312161441605</v>
      </c>
      <c r="B6417" t="str">
        <f>"1552378481602619"</f>
        <v>1552378481602619</v>
      </c>
      <c r="C6417" t="s">
        <v>40</v>
      </c>
      <c r="D6417">
        <v>5.6796360000000004</v>
      </c>
      <c r="E6417">
        <v>0.4229715</v>
      </c>
      <c r="F6417" t="s">
        <v>107</v>
      </c>
      <c r="G6417">
        <v>-231.56280000000001</v>
      </c>
      <c r="H6417" s="1">
        <v>-3.5080700000000003E-7</v>
      </c>
      <c r="I6417">
        <v>-57.257390000000001</v>
      </c>
      <c r="J6417">
        <v>-266.86009999999999</v>
      </c>
      <c r="K6417">
        <v>1.109362</v>
      </c>
      <c r="L6417">
        <v>-64.907169999999994</v>
      </c>
      <c r="M6417">
        <v>0.9969981</v>
      </c>
      <c r="N6417">
        <v>0</v>
      </c>
      <c r="O6417">
        <v>7.6948050000000004E-2</v>
      </c>
      <c r="P6417">
        <v>0.99949589999999999</v>
      </c>
      <c r="Q6417">
        <v>-2.9688639999999999E-2</v>
      </c>
      <c r="R6417">
        <v>1.1252399999999999E-2</v>
      </c>
      <c r="S6417">
        <v>2.9912719999999999</v>
      </c>
      <c r="T6417">
        <v>-9.3750479999999997E-2</v>
      </c>
      <c r="U6417">
        <v>0.64709469999999902</v>
      </c>
      <c r="V6417">
        <v>6.5682649999999995E-2</v>
      </c>
      <c r="W6417">
        <v>-2.1141199999999999E-2</v>
      </c>
      <c r="X6417">
        <v>0.99761659999999996</v>
      </c>
      <c r="Y6417">
        <v>-0.13557130000000001</v>
      </c>
      <c r="Z6417">
        <v>-2.7724800000000001E-4</v>
      </c>
      <c r="AA6417">
        <v>0.99076750000000002</v>
      </c>
      <c r="AB6417">
        <v>21</v>
      </c>
      <c r="AC6417">
        <v>35.2972999999999</v>
      </c>
      <c r="AD6417">
        <v>-1.1093623508069901</v>
      </c>
      <c r="AE6417">
        <v>7.64977999999999</v>
      </c>
      <c r="AF6417">
        <v>-4.9063099279027904</v>
      </c>
      <c r="AG6417">
        <v>-1.1093623508069901</v>
      </c>
      <c r="AH6417">
        <v>35.747569897256298</v>
      </c>
      <c r="AI6417">
        <v>91.761004012741097</v>
      </c>
      <c r="AJ6417">
        <v>97.814948595730797</v>
      </c>
      <c r="AK6417">
        <v>36.099741210890301</v>
      </c>
      <c r="AL6417">
        <v>91.211391758826906</v>
      </c>
      <c r="AM6417">
        <v>86.233107090743303</v>
      </c>
      <c r="AN6417">
        <v>1.0000000207220101</v>
      </c>
    </row>
    <row r="6418" spans="1:40" x14ac:dyDescent="0.25">
      <c r="A6418" t="str">
        <f>"20190312161441629"</f>
        <v>20190312161441629</v>
      </c>
      <c r="B6418" t="str">
        <f>"1552378481623113"</f>
        <v>1552378481623113</v>
      </c>
      <c r="C6418" t="s">
        <v>40</v>
      </c>
      <c r="D6418">
        <v>5.6650640000000001</v>
      </c>
      <c r="E6418">
        <v>0.42259209999999903</v>
      </c>
      <c r="F6418" t="s">
        <v>107</v>
      </c>
      <c r="G6418">
        <v>-231.5933</v>
      </c>
      <c r="H6418" s="1">
        <v>-3.5984589999999999E-7</v>
      </c>
      <c r="I6418">
        <v>-57.2624</v>
      </c>
      <c r="J6418">
        <v>-266.6465</v>
      </c>
      <c r="K6418">
        <v>1.109354</v>
      </c>
      <c r="L6418">
        <v>-64.891080000000002</v>
      </c>
      <c r="M6418">
        <v>0.99702579999999996</v>
      </c>
      <c r="N6418">
        <v>0</v>
      </c>
      <c r="O6418">
        <v>7.6592859999999999E-2</v>
      </c>
      <c r="P6418">
        <v>0.99949619999999995</v>
      </c>
      <c r="Q6418">
        <v>-2.968521E-2</v>
      </c>
      <c r="R6418">
        <v>1.123915E-2</v>
      </c>
      <c r="S6418">
        <v>2.9913940000000001</v>
      </c>
      <c r="T6418">
        <v>-9.4097970000000003E-2</v>
      </c>
      <c r="U6418">
        <v>0.6484375</v>
      </c>
      <c r="V6418">
        <v>6.5340399999999896E-2</v>
      </c>
      <c r="W6418">
        <v>-2.1175220000000002E-2</v>
      </c>
      <c r="X6418">
        <v>0.99763829999999998</v>
      </c>
      <c r="Y6418">
        <v>-0.13633999999999999</v>
      </c>
      <c r="Z6418">
        <v>-2.5531929999999999E-4</v>
      </c>
      <c r="AA6418">
        <v>0.99066209999999999</v>
      </c>
      <c r="AB6418">
        <v>21</v>
      </c>
      <c r="AC6418">
        <v>35.053199999999997</v>
      </c>
      <c r="AD6418">
        <v>-1.1093543598458999</v>
      </c>
      <c r="AE6418">
        <v>7.6286800000000001</v>
      </c>
      <c r="AF6418">
        <v>-4.9166440703548897</v>
      </c>
      <c r="AG6418">
        <v>-1.1093543598458999</v>
      </c>
      <c r="AH6418">
        <v>35.500597062436697</v>
      </c>
      <c r="AI6418">
        <v>91.772935816409102</v>
      </c>
      <c r="AJ6418">
        <v>97.885002839708207</v>
      </c>
      <c r="AK6418">
        <v>35.856609541334898</v>
      </c>
      <c r="AL6418">
        <v>91.213341461970202</v>
      </c>
      <c r="AM6418">
        <v>86.252760297260195</v>
      </c>
      <c r="AN6418">
        <v>0.999999967720548</v>
      </c>
    </row>
    <row r="6419" spans="1:40" x14ac:dyDescent="0.25">
      <c r="A6419" t="str">
        <f>"20190312161441640"</f>
        <v>20190312161441640</v>
      </c>
      <c r="B6419" t="str">
        <f>"1552378481632872"</f>
        <v>1552378481632872</v>
      </c>
      <c r="C6419" t="s">
        <v>40</v>
      </c>
      <c r="D6419">
        <v>5.6497679999999999</v>
      </c>
      <c r="E6419">
        <v>0.4224078</v>
      </c>
      <c r="F6419" t="s">
        <v>107</v>
      </c>
      <c r="G6419">
        <v>-232.30719999999999</v>
      </c>
      <c r="H6419" s="1">
        <v>-5.6289180000000005E-7</v>
      </c>
      <c r="I6419">
        <v>-57.412379999999999</v>
      </c>
      <c r="J6419">
        <v>-266.53969999999998</v>
      </c>
      <c r="K6419">
        <v>1.109348</v>
      </c>
      <c r="L6419">
        <v>-64.88306</v>
      </c>
      <c r="M6419">
        <v>0.99703960000000003</v>
      </c>
      <c r="N6419">
        <v>0</v>
      </c>
      <c r="O6419">
        <v>7.6415220000000006E-2</v>
      </c>
      <c r="P6419">
        <v>0.999502</v>
      </c>
      <c r="Q6419">
        <v>-2.9546320000000001E-2</v>
      </c>
      <c r="R6419">
        <v>1.1099349999999999E-2</v>
      </c>
      <c r="S6419">
        <v>2.9912719999999999</v>
      </c>
      <c r="T6419">
        <v>-9.6634979999999995E-2</v>
      </c>
      <c r="U6419">
        <v>0.65145869999999995</v>
      </c>
      <c r="V6419">
        <v>6.5302390000000002E-2</v>
      </c>
      <c r="W6419">
        <v>-2.1056100000000001E-2</v>
      </c>
      <c r="X6419">
        <v>0.99764339999999996</v>
      </c>
      <c r="Y6419">
        <v>-0.13747809999999999</v>
      </c>
      <c r="Z6419">
        <v>-2.3835760000000001E-4</v>
      </c>
      <c r="AA6419">
        <v>0.99050479999999996</v>
      </c>
      <c r="AB6419">
        <v>21</v>
      </c>
      <c r="AC6419">
        <v>34.232499999999902</v>
      </c>
      <c r="AD6419">
        <v>-1.1093485628918001</v>
      </c>
      <c r="AE6419">
        <v>7.47067999999999</v>
      </c>
      <c r="AF6419">
        <v>-4.8280158473677899</v>
      </c>
      <c r="AG6419">
        <v>-1.1093485628918001</v>
      </c>
      <c r="AH6419">
        <v>34.668541451918301</v>
      </c>
      <c r="AI6419">
        <v>91.815259495954095</v>
      </c>
      <c r="AJ6419">
        <v>97.928143553262004</v>
      </c>
      <c r="AK6419">
        <v>35.020681856009098</v>
      </c>
      <c r="AL6419">
        <v>91.206514758062994</v>
      </c>
      <c r="AM6419">
        <v>86.2549530371505</v>
      </c>
      <c r="AN6419">
        <v>1.0000000575252299</v>
      </c>
    </row>
    <row r="6420" spans="1:40" x14ac:dyDescent="0.25">
      <c r="A6420" t="str">
        <f>"20190312161441652"</f>
        <v>20190312161441652</v>
      </c>
      <c r="B6420" t="str">
        <f>"1552378481642632"</f>
        <v>1552378481642632</v>
      </c>
      <c r="C6420" t="s">
        <v>40</v>
      </c>
      <c r="D6420">
        <v>5.729158</v>
      </c>
      <c r="E6420">
        <v>0.42223450000000001</v>
      </c>
      <c r="F6420" t="s">
        <v>107</v>
      </c>
      <c r="G6420">
        <v>-232.191</v>
      </c>
      <c r="H6420" s="1">
        <v>-5.2941289999999996E-7</v>
      </c>
      <c r="I6420">
        <v>-57.389589999999998</v>
      </c>
      <c r="J6420">
        <v>-266.43450000000001</v>
      </c>
      <c r="K6420">
        <v>1.1093500000000001</v>
      </c>
      <c r="L6420">
        <v>-64.875209999999996</v>
      </c>
      <c r="M6420">
        <v>0.99705330000000003</v>
      </c>
      <c r="N6420">
        <v>0</v>
      </c>
      <c r="O6420">
        <v>7.6240009999999997E-2</v>
      </c>
      <c r="P6420">
        <v>0.99950289999999997</v>
      </c>
      <c r="Q6420">
        <v>-2.953677E-2</v>
      </c>
      <c r="R6420">
        <v>1.1052040000000001E-2</v>
      </c>
      <c r="S6420">
        <v>2.9913639999999999</v>
      </c>
      <c r="T6420">
        <v>-9.6611139999999998E-2</v>
      </c>
      <c r="U6420">
        <v>0.6525879</v>
      </c>
      <c r="V6420">
        <v>6.5174280000000001E-2</v>
      </c>
      <c r="W6420">
        <v>-2.1065500000000001E-2</v>
      </c>
      <c r="X6420">
        <v>0.99765150000000002</v>
      </c>
      <c r="Y6420">
        <v>-0.1380024</v>
      </c>
      <c r="Z6420">
        <v>-2.243503E-4</v>
      </c>
      <c r="AA6420">
        <v>0.99043179999999997</v>
      </c>
      <c r="AB6420">
        <v>21</v>
      </c>
      <c r="AC6420">
        <v>34.243499999999997</v>
      </c>
      <c r="AD6420">
        <v>-1.1093505294129</v>
      </c>
      <c r="AE6420">
        <v>7.4856199999999902</v>
      </c>
      <c r="AF6420">
        <v>-4.84815640917172</v>
      </c>
      <c r="AG6420">
        <v>-1.1093505294129</v>
      </c>
      <c r="AH6420">
        <v>34.679814796879398</v>
      </c>
      <c r="AI6420">
        <v>91.814540116978407</v>
      </c>
      <c r="AJ6420">
        <v>97.958238820665898</v>
      </c>
      <c r="AK6420">
        <v>35.034623353345097</v>
      </c>
      <c r="AL6420">
        <v>91.207053552935093</v>
      </c>
      <c r="AM6420">
        <v>86.262309470956595</v>
      </c>
      <c r="AN6420">
        <v>0.99999997875800894</v>
      </c>
    </row>
    <row r="6421" spans="1:40" x14ac:dyDescent="0.25">
      <c r="A6421" t="str">
        <f>"20190312161441663"</f>
        <v>20190312161441663</v>
      </c>
      <c r="B6421" t="str">
        <f>"1552378481653368"</f>
        <v>1552378481653368</v>
      </c>
      <c r="C6421" t="s">
        <v>40</v>
      </c>
      <c r="D6421">
        <v>5.7067769999999998</v>
      </c>
      <c r="E6421">
        <v>0.42200260000000001</v>
      </c>
      <c r="F6421" t="s">
        <v>107</v>
      </c>
      <c r="G6421">
        <v>-231.99039999999999</v>
      </c>
      <c r="H6421" s="1">
        <v>-4.7236690000000002E-7</v>
      </c>
      <c r="I6421">
        <v>-57.347439999999999</v>
      </c>
      <c r="J6421">
        <v>-266.3329</v>
      </c>
      <c r="K6421">
        <v>1.1093459999999999</v>
      </c>
      <c r="L6421">
        <v>-64.867609999999999</v>
      </c>
      <c r="M6421">
        <v>0.99706629999999996</v>
      </c>
      <c r="N6421">
        <v>0</v>
      </c>
      <c r="O6421">
        <v>7.6070760000000001E-2</v>
      </c>
      <c r="P6421">
        <v>0.99950899999999998</v>
      </c>
      <c r="Q6421">
        <v>-2.9351229999999999E-2</v>
      </c>
      <c r="R6421">
        <v>1.099646E-2</v>
      </c>
      <c r="S6421">
        <v>2.9914550000000002</v>
      </c>
      <c r="T6421">
        <v>-9.6346500000000002E-2</v>
      </c>
      <c r="U6421">
        <v>0.65377810000000003</v>
      </c>
      <c r="V6421">
        <v>6.5060900000000005E-2</v>
      </c>
      <c r="W6421">
        <v>-2.0897450000000001E-2</v>
      </c>
      <c r="X6421">
        <v>0.99766250000000001</v>
      </c>
      <c r="Y6421">
        <v>-0.1385401</v>
      </c>
      <c r="Z6421">
        <v>-2.0980160000000001E-4</v>
      </c>
      <c r="AA6421">
        <v>0.99035680000000004</v>
      </c>
      <c r="AB6421">
        <v>21</v>
      </c>
      <c r="AC6421">
        <v>34.342500000000001</v>
      </c>
      <c r="AD6421">
        <v>-1.10934647236689</v>
      </c>
      <c r="AE6421">
        <v>7.5201699999999896</v>
      </c>
      <c r="AF6421">
        <v>-4.88096398363537</v>
      </c>
      <c r="AG6421">
        <v>-1.10934647236689</v>
      </c>
      <c r="AH6421">
        <v>34.7804373993308</v>
      </c>
      <c r="AI6421">
        <v>91.8091535583237</v>
      </c>
      <c r="AJ6421">
        <v>97.988517520796506</v>
      </c>
      <c r="AK6421">
        <v>35.138771815390299</v>
      </c>
      <c r="AL6421">
        <v>91.197422798766894</v>
      </c>
      <c r="AM6421">
        <v>86.268834358758298</v>
      </c>
      <c r="AN6421">
        <v>1.0000000440157799</v>
      </c>
    </row>
    <row r="6422" spans="1:40" x14ac:dyDescent="0.25">
      <c r="A6422" t="str">
        <f>"20190312161441673"</f>
        <v>20190312161441673</v>
      </c>
      <c r="B6422" t="str">
        <f>"1552378481663128"</f>
        <v>1552378481663128</v>
      </c>
      <c r="C6422" t="s">
        <v>40</v>
      </c>
      <c r="D6422">
        <v>5.677556</v>
      </c>
      <c r="E6422">
        <v>0.42180719999999999</v>
      </c>
      <c r="F6422" t="s">
        <v>107</v>
      </c>
      <c r="G6422">
        <v>-231.8733</v>
      </c>
      <c r="H6422" s="1">
        <v>-4.4068289999999998E-7</v>
      </c>
      <c r="I6422">
        <v>-57.31671</v>
      </c>
      <c r="J6422">
        <v>-266.22949999999997</v>
      </c>
      <c r="K6422">
        <v>1.109343</v>
      </c>
      <c r="L6422">
        <v>-64.859919999999903</v>
      </c>
      <c r="M6422">
        <v>0.99707939999999995</v>
      </c>
      <c r="N6422">
        <v>0</v>
      </c>
      <c r="O6422">
        <v>7.5898869999999993E-2</v>
      </c>
      <c r="P6422">
        <v>0.99950570000000005</v>
      </c>
      <c r="Q6422">
        <v>-2.9416390000000001E-2</v>
      </c>
      <c r="R6422">
        <v>1.1092309999999999E-2</v>
      </c>
      <c r="S6422">
        <v>2.991425</v>
      </c>
      <c r="T6422">
        <v>-9.6302029999999997E-2</v>
      </c>
      <c r="U6422">
        <v>0.65548709999999999</v>
      </c>
      <c r="V6422">
        <v>6.4793149999999994E-2</v>
      </c>
      <c r="W6422">
        <v>-2.0979089999999999E-2</v>
      </c>
      <c r="X6422">
        <v>0.99767819999999996</v>
      </c>
      <c r="Y6422">
        <v>-0.1392525</v>
      </c>
      <c r="Z6422">
        <v>-1.929197E-4</v>
      </c>
      <c r="AA6422">
        <v>0.9902569</v>
      </c>
      <c r="AB6422">
        <v>21</v>
      </c>
      <c r="AC6422">
        <v>34.356199999999902</v>
      </c>
      <c r="AD6422">
        <v>-1.1093434406828999</v>
      </c>
      <c r="AE6422">
        <v>7.5432099999999798</v>
      </c>
      <c r="AF6422">
        <v>-4.9088768510863998</v>
      </c>
      <c r="AG6422">
        <v>-1.1093434406828999</v>
      </c>
      <c r="AH6422">
        <v>34.795025581534198</v>
      </c>
      <c r="AI6422">
        <v>91.808205266809594</v>
      </c>
      <c r="AJ6422">
        <v>98.030282641917097</v>
      </c>
      <c r="AK6422">
        <v>35.157097719068602</v>
      </c>
      <c r="AL6422">
        <v>91.2021014653902</v>
      </c>
      <c r="AM6422">
        <v>86.284204706953204</v>
      </c>
      <c r="AN6422">
        <v>1.0000000326296901</v>
      </c>
    </row>
    <row r="6423" spans="1:40" x14ac:dyDescent="0.25">
      <c r="A6423" t="str">
        <f>"20190312161441683"</f>
        <v>20190312161441683</v>
      </c>
      <c r="B6423" t="str">
        <f>"1552378481672888"</f>
        <v>1552378481672888</v>
      </c>
      <c r="C6423" t="s">
        <v>40</v>
      </c>
      <c r="D6423">
        <v>5.6803679999999996</v>
      </c>
      <c r="E6423">
        <v>0.4218171</v>
      </c>
      <c r="F6423" t="s">
        <v>107</v>
      </c>
      <c r="G6423">
        <v>-231.57380000000001</v>
      </c>
      <c r="H6423" s="1">
        <v>-3.5796229999999999E-7</v>
      </c>
      <c r="I6423">
        <v>-57.244599999999998</v>
      </c>
      <c r="J6423">
        <v>-266.13400000000001</v>
      </c>
      <c r="K6423">
        <v>1.1093459999999999</v>
      </c>
      <c r="L6423">
        <v>-64.85284</v>
      </c>
      <c r="M6423">
        <v>0.99709150000000002</v>
      </c>
      <c r="N6423">
        <v>0</v>
      </c>
      <c r="O6423">
        <v>7.5740150000000006E-2</v>
      </c>
      <c r="P6423">
        <v>0.99950649999999996</v>
      </c>
      <c r="Q6423">
        <v>-2.9440580000000001E-2</v>
      </c>
      <c r="R6423">
        <v>1.095148E-2</v>
      </c>
      <c r="S6423">
        <v>2.991333</v>
      </c>
      <c r="T6423">
        <v>-9.5753909999999998E-2</v>
      </c>
      <c r="U6423">
        <v>0.65731809999999902</v>
      </c>
      <c r="V6423">
        <v>6.4774769999999995E-2</v>
      </c>
      <c r="W6423">
        <v>-2.1017850000000001E-2</v>
      </c>
      <c r="X6423">
        <v>0.99767850000000002</v>
      </c>
      <c r="Y6423">
        <v>-0.1399947</v>
      </c>
      <c r="Z6423">
        <v>-1.7507819999999999E-4</v>
      </c>
      <c r="AA6423">
        <v>0.99015220000000004</v>
      </c>
      <c r="AB6423">
        <v>21</v>
      </c>
      <c r="AC6423">
        <v>34.560200000000002</v>
      </c>
      <c r="AD6423">
        <v>-1.1093463579623</v>
      </c>
      <c r="AE6423">
        <v>7.6082400000000003</v>
      </c>
      <c r="AF6423">
        <v>-4.9638174766847296</v>
      </c>
      <c r="AG6423">
        <v>-1.1093463579623</v>
      </c>
      <c r="AH6423">
        <v>35.002793898542599</v>
      </c>
      <c r="AI6423">
        <v>91.797301596504397</v>
      </c>
      <c r="AJ6423">
        <v>98.0714111926995</v>
      </c>
      <c r="AK6423">
        <v>35.370407320069297</v>
      </c>
      <c r="AL6423">
        <v>91.204322832884202</v>
      </c>
      <c r="AM6423">
        <v>86.285256935992294</v>
      </c>
      <c r="AN6423">
        <v>0.99999995510471096</v>
      </c>
    </row>
    <row r="6424" spans="1:40" x14ac:dyDescent="0.25">
      <c r="A6424" t="str">
        <f>"20190312161441696"</f>
        <v>20190312161441696</v>
      </c>
      <c r="B6424" t="str">
        <f>"1552378481693384"</f>
        <v>1552378481693384</v>
      </c>
      <c r="C6424" t="s">
        <v>40</v>
      </c>
      <c r="D6424">
        <v>5.7225229999999998</v>
      </c>
      <c r="E6424">
        <v>0.42156389999999999</v>
      </c>
      <c r="F6424" t="s">
        <v>107</v>
      </c>
      <c r="G6424">
        <v>-232.2818</v>
      </c>
      <c r="H6424" s="1">
        <v>-5.5258789999999995E-7</v>
      </c>
      <c r="I6424">
        <v>-57.41863</v>
      </c>
      <c r="J6424">
        <v>-266.02870000000001</v>
      </c>
      <c r="K6424">
        <v>1.1093440000000001</v>
      </c>
      <c r="L6424">
        <v>-64.845029999999994</v>
      </c>
      <c r="M6424">
        <v>0.99710489999999996</v>
      </c>
      <c r="N6424">
        <v>0</v>
      </c>
      <c r="O6424">
        <v>7.5564790000000007E-2</v>
      </c>
      <c r="P6424">
        <v>0.99950830000000002</v>
      </c>
      <c r="Q6424">
        <v>-2.9423410000000001E-2</v>
      </c>
      <c r="R6424">
        <v>1.0830279999999999E-2</v>
      </c>
      <c r="S6424">
        <v>2.9913639999999999</v>
      </c>
      <c r="T6424">
        <v>-9.8027829999999996E-2</v>
      </c>
      <c r="U6424">
        <v>0.65692139999999999</v>
      </c>
      <c r="V6424">
        <v>6.4720470000000002E-2</v>
      </c>
      <c r="W6424">
        <v>-2.1015269999999999E-2</v>
      </c>
      <c r="X6424">
        <v>0.99768210000000002</v>
      </c>
      <c r="Y6424">
        <v>-0.14003979999999999</v>
      </c>
      <c r="Z6424">
        <v>-1.72864399999999E-4</v>
      </c>
      <c r="AA6424">
        <v>0.99014590000000002</v>
      </c>
      <c r="AB6424">
        <v>21</v>
      </c>
      <c r="AC6424">
        <v>33.746899999999997</v>
      </c>
      <c r="AD6424">
        <v>-1.1093445525879</v>
      </c>
      <c r="AE6424">
        <v>7.4264000000000001</v>
      </c>
      <c r="AF6424">
        <v>-4.8499978381815296</v>
      </c>
      <c r="AG6424">
        <v>-1.1093445525879</v>
      </c>
      <c r="AH6424">
        <v>34.176376444490103</v>
      </c>
      <c r="AI6424">
        <v>91.840704257197999</v>
      </c>
      <c r="AJ6424">
        <v>98.076959810868402</v>
      </c>
      <c r="AK6424">
        <v>34.536615804711097</v>
      </c>
      <c r="AL6424">
        <v>91.204174951058306</v>
      </c>
      <c r="AM6424">
        <v>86.288375612735905</v>
      </c>
      <c r="AN6424">
        <v>0.99999997673530105</v>
      </c>
    </row>
    <row r="6425" spans="1:40" x14ac:dyDescent="0.25">
      <c r="A6425" t="str">
        <f>"20190312161441707"</f>
        <v>20190312161441707</v>
      </c>
      <c r="B6425" t="str">
        <f>"1552378481703144"</f>
        <v>1552378481703144</v>
      </c>
      <c r="C6425" t="s">
        <v>40</v>
      </c>
      <c r="D6425">
        <v>5.7105480000000002</v>
      </c>
      <c r="E6425">
        <v>0.42142429999999997</v>
      </c>
      <c r="F6425" t="s">
        <v>107</v>
      </c>
      <c r="G6425">
        <v>-232.1585</v>
      </c>
      <c r="H6425" s="1">
        <v>-5.1856149999999999E-7</v>
      </c>
      <c r="I6425">
        <v>-57.38879</v>
      </c>
      <c r="J6425">
        <v>-265.92140000000001</v>
      </c>
      <c r="K6425">
        <v>1.1093409999999999</v>
      </c>
      <c r="L6425">
        <v>-64.837069999999997</v>
      </c>
      <c r="M6425">
        <v>0.99711859999999997</v>
      </c>
      <c r="N6425">
        <v>0</v>
      </c>
      <c r="O6425">
        <v>7.5386229999999999E-2</v>
      </c>
      <c r="P6425">
        <v>0.99951140000000005</v>
      </c>
      <c r="Q6425">
        <v>-2.9339400000000002E-2</v>
      </c>
      <c r="R6425">
        <v>1.0788010000000001E-2</v>
      </c>
      <c r="S6425">
        <v>2.9914550000000002</v>
      </c>
      <c r="T6425">
        <v>-9.7978590000000004E-2</v>
      </c>
      <c r="U6425">
        <v>0.65853879999999998</v>
      </c>
      <c r="V6425">
        <v>6.4583989999999994E-2</v>
      </c>
      <c r="W6425">
        <v>-2.0945310000000002E-2</v>
      </c>
      <c r="X6425">
        <v>0.99769249999999998</v>
      </c>
      <c r="Y6425">
        <v>-0.14072100000000001</v>
      </c>
      <c r="Z6425">
        <v>-1.559872E-4</v>
      </c>
      <c r="AA6425">
        <v>0.99004930000000002</v>
      </c>
      <c r="AB6425">
        <v>21</v>
      </c>
      <c r="AC6425">
        <v>33.762900000000002</v>
      </c>
      <c r="AD6425">
        <v>-1.1093415185615001</v>
      </c>
      <c r="AE6425">
        <v>7.4482799999999898</v>
      </c>
      <c r="AF6425">
        <v>-4.8767146663254604</v>
      </c>
      <c r="AG6425">
        <v>-1.1093415185615001</v>
      </c>
      <c r="AH6425">
        <v>34.1931347455455</v>
      </c>
      <c r="AI6425">
        <v>91.839615229474603</v>
      </c>
      <c r="AJ6425">
        <v>98.116933828712902</v>
      </c>
      <c r="AK6425">
        <v>34.5569594766176</v>
      </c>
      <c r="AL6425">
        <v>91.200165554395994</v>
      </c>
      <c r="AM6425">
        <v>86.296219233041398</v>
      </c>
      <c r="AN6425">
        <v>1.00000006116578</v>
      </c>
    </row>
    <row r="6426" spans="1:40" x14ac:dyDescent="0.25">
      <c r="A6426" t="str">
        <f>"20190312161441719"</f>
        <v>20190312161441719</v>
      </c>
      <c r="B6426" t="str">
        <f>"1552378481712906"</f>
        <v>1552378481712906</v>
      </c>
      <c r="C6426" t="s">
        <v>40</v>
      </c>
      <c r="D6426">
        <v>5.73637</v>
      </c>
      <c r="E6426">
        <v>0.4213015</v>
      </c>
      <c r="F6426" t="s">
        <v>107</v>
      </c>
      <c r="G6426">
        <v>-231.77979999999999</v>
      </c>
      <c r="H6426" s="1">
        <v>-4.1085569999999998E-7</v>
      </c>
      <c r="I6426">
        <v>-57.309229999999999</v>
      </c>
      <c r="J6426">
        <v>-265.81119999999999</v>
      </c>
      <c r="K6426">
        <v>1.10934</v>
      </c>
      <c r="L6426">
        <v>-64.828950000000006</v>
      </c>
      <c r="M6426">
        <v>0.99713260000000004</v>
      </c>
      <c r="N6426">
        <v>0</v>
      </c>
      <c r="O6426">
        <v>7.5202939999999996E-2</v>
      </c>
      <c r="P6426">
        <v>0.99951259999999997</v>
      </c>
      <c r="Q6426">
        <v>-2.927445E-2</v>
      </c>
      <c r="R6426">
        <v>1.0850520000000001E-2</v>
      </c>
      <c r="S6426">
        <v>2.9914550000000002</v>
      </c>
      <c r="T6426">
        <v>-9.7199439999999998E-2</v>
      </c>
      <c r="U6426">
        <v>0.65957639999999995</v>
      </c>
      <c r="V6426">
        <v>6.433854E-2</v>
      </c>
      <c r="W6426">
        <v>-2.0893350000000002E-2</v>
      </c>
      <c r="X6426">
        <v>0.99770939999999997</v>
      </c>
      <c r="Y6426">
        <v>-0.14123069999999999</v>
      </c>
      <c r="Z6426">
        <v>-1.4070719999999999E-4</v>
      </c>
      <c r="AA6426">
        <v>0.98997670000000004</v>
      </c>
      <c r="AB6426">
        <v>21</v>
      </c>
      <c r="AC6426">
        <v>34.031399999999898</v>
      </c>
      <c r="AD6426">
        <v>-1.1093404108556999</v>
      </c>
      <c r="AE6426">
        <v>7.5197199999999897</v>
      </c>
      <c r="AF6426">
        <v>-4.9340733214171202</v>
      </c>
      <c r="AG6426">
        <v>-1.1093404108556999</v>
      </c>
      <c r="AH6426">
        <v>34.465631553114299</v>
      </c>
      <c r="AI6426">
        <v>91.824941629033603</v>
      </c>
      <c r="AJ6426">
        <v>98.147063864541906</v>
      </c>
      <c r="AK6426">
        <v>34.834687798849302</v>
      </c>
      <c r="AL6426">
        <v>91.197187871527802</v>
      </c>
      <c r="AM6426">
        <v>86.310318737070901</v>
      </c>
      <c r="AN6426">
        <v>1.0000000133259499</v>
      </c>
    </row>
    <row r="6427" spans="1:40" x14ac:dyDescent="0.25">
      <c r="A6427" t="str">
        <f>"20190312161441730"</f>
        <v>20190312161441730</v>
      </c>
      <c r="B6427" t="str">
        <f>"1552378481722664"</f>
        <v>1552378481722664</v>
      </c>
      <c r="C6427" t="s">
        <v>40</v>
      </c>
      <c r="D6427">
        <v>5.7576809999999998</v>
      </c>
      <c r="E6427">
        <v>0.42119719999999999</v>
      </c>
      <c r="F6427" t="s">
        <v>107</v>
      </c>
      <c r="G6427">
        <v>-231.52959999999999</v>
      </c>
      <c r="H6427" s="1">
        <v>-3.3954139999999998E-7</v>
      </c>
      <c r="I6427">
        <v>-57.257330000000003</v>
      </c>
      <c r="J6427">
        <v>-265.70819999999998</v>
      </c>
      <c r="K6427">
        <v>1.1093379999999999</v>
      </c>
      <c r="L6427">
        <v>-64.821380000000005</v>
      </c>
      <c r="M6427">
        <v>0.99714570000000002</v>
      </c>
      <c r="N6427">
        <v>0</v>
      </c>
      <c r="O6427">
        <v>7.5031810000000004E-2</v>
      </c>
      <c r="P6427">
        <v>0.99951000000000001</v>
      </c>
      <c r="Q6427">
        <v>-2.940483E-2</v>
      </c>
      <c r="R6427">
        <v>1.0743549999999999E-2</v>
      </c>
      <c r="S6427">
        <v>2.9914550000000002</v>
      </c>
      <c r="T6427">
        <v>-9.680271E-2</v>
      </c>
      <c r="U6427">
        <v>0.6607056</v>
      </c>
      <c r="V6427">
        <v>6.4273629999999998E-2</v>
      </c>
      <c r="W6427">
        <v>-2.103578E-2</v>
      </c>
      <c r="X6427">
        <v>0.9977106</v>
      </c>
      <c r="Y6427">
        <v>-0.14175679999999999</v>
      </c>
      <c r="Z6427">
        <v>-1.262724E-4</v>
      </c>
      <c r="AA6427">
        <v>0.98990149999999999</v>
      </c>
      <c r="AB6427">
        <v>21</v>
      </c>
      <c r="AC6427">
        <v>34.178599999999904</v>
      </c>
      <c r="AD6427">
        <v>-1.1093383395413901</v>
      </c>
      <c r="AE6427">
        <v>7.5640499999999999</v>
      </c>
      <c r="AF6427">
        <v>-4.9731592176541</v>
      </c>
      <c r="AG6427">
        <v>-1.1093383395413901</v>
      </c>
      <c r="AH6427">
        <v>34.615049868208999</v>
      </c>
      <c r="AI6427">
        <v>91.816935601675993</v>
      </c>
      <c r="AJ6427">
        <v>98.175763300315097</v>
      </c>
      <c r="AK6427">
        <v>34.988063986655597</v>
      </c>
      <c r="AL6427">
        <v>91.205350292243594</v>
      </c>
      <c r="AM6427">
        <v>86.314035344197194</v>
      </c>
      <c r="AN6427">
        <v>1.0000000224529699</v>
      </c>
    </row>
    <row r="6428" spans="1:40" x14ac:dyDescent="0.25">
      <c r="A6428" t="str">
        <f>"20190312161441740"</f>
        <v>20190312161441740</v>
      </c>
      <c r="B6428" t="str">
        <f>"1552378481733400"</f>
        <v>1552378481733400</v>
      </c>
      <c r="C6428" t="s">
        <v>40</v>
      </c>
      <c r="D6428">
        <v>5.7212489999999896</v>
      </c>
      <c r="E6428">
        <v>0.42111579999999899</v>
      </c>
      <c r="F6428" t="s">
        <v>107</v>
      </c>
      <c r="G6428">
        <v>-231.2011</v>
      </c>
      <c r="H6428" s="1">
        <v>-2.443796E-7</v>
      </c>
      <c r="I6428">
        <v>-57.194819999999901</v>
      </c>
      <c r="J6428">
        <v>-265.60629999999998</v>
      </c>
      <c r="K6428">
        <v>1.109334</v>
      </c>
      <c r="L6428">
        <v>-64.813869999999994</v>
      </c>
      <c r="M6428">
        <v>0.99715849999999995</v>
      </c>
      <c r="N6428">
        <v>0</v>
      </c>
      <c r="O6428">
        <v>7.4862219999999993E-2</v>
      </c>
      <c r="P6428">
        <v>0.99951780000000001</v>
      </c>
      <c r="Q6428">
        <v>-2.9254120000000002E-2</v>
      </c>
      <c r="R6428">
        <v>1.0420830000000001E-2</v>
      </c>
      <c r="S6428">
        <v>2.9915159999999998</v>
      </c>
      <c r="T6428">
        <v>-9.6171740000000006E-2</v>
      </c>
      <c r="U6428">
        <v>0.66116330000000001</v>
      </c>
      <c r="V6428">
        <v>6.4426360000000002E-2</v>
      </c>
      <c r="W6428">
        <v>-2.0896250000000002E-2</v>
      </c>
      <c r="X6428">
        <v>0.99770369999999997</v>
      </c>
      <c r="Y6428">
        <v>-0.14206549999999901</v>
      </c>
      <c r="Z6428">
        <v>-1.1518739999999999E-4</v>
      </c>
      <c r="AA6428">
        <v>0.98985730000000005</v>
      </c>
      <c r="AB6428">
        <v>21</v>
      </c>
      <c r="AC6428">
        <v>34.405199999999901</v>
      </c>
      <c r="AD6428">
        <v>-1.1093342443795999</v>
      </c>
      <c r="AE6428">
        <v>7.6190499999999997</v>
      </c>
      <c r="AF6428">
        <v>-5.0169561021270397</v>
      </c>
      <c r="AG6428">
        <v>-1.1093342443795999</v>
      </c>
      <c r="AH6428">
        <v>34.844515642831603</v>
      </c>
      <c r="AI6428">
        <v>91.804892606540605</v>
      </c>
      <c r="AJ6428">
        <v>98.193209545882496</v>
      </c>
      <c r="AK6428">
        <v>35.221310898090699</v>
      </c>
      <c r="AL6428">
        <v>91.197354032356998</v>
      </c>
      <c r="AM6428">
        <v>86.305275333653199</v>
      </c>
      <c r="AN6428">
        <v>1.0000000410603</v>
      </c>
    </row>
    <row r="6429" spans="1:40" x14ac:dyDescent="0.25">
      <c r="A6429" t="str">
        <f>"20190312161441751"</f>
        <v>20190312161441751</v>
      </c>
      <c r="B6429" t="str">
        <f>"1552378481743160"</f>
        <v>1552378481743160</v>
      </c>
      <c r="C6429" t="s">
        <v>40</v>
      </c>
      <c r="D6429">
        <v>5.6549849999999999</v>
      </c>
      <c r="E6429">
        <v>0.42104160000000002</v>
      </c>
      <c r="F6429" t="s">
        <v>107</v>
      </c>
      <c r="G6429">
        <v>-230.87459999999999</v>
      </c>
      <c r="H6429" s="1">
        <v>-1.472662E-7</v>
      </c>
      <c r="I6429">
        <v>-57.142200000000003</v>
      </c>
      <c r="J6429">
        <v>-265.50080000000003</v>
      </c>
      <c r="K6429">
        <v>1.109332</v>
      </c>
      <c r="L6429">
        <v>-64.806150000000002</v>
      </c>
      <c r="M6429">
        <v>0.99717180000000005</v>
      </c>
      <c r="N6429">
        <v>0</v>
      </c>
      <c r="O6429">
        <v>7.4686859999999994E-2</v>
      </c>
      <c r="P6429">
        <v>0.99951449999999997</v>
      </c>
      <c r="Q6429">
        <v>-2.9443790000000001E-2</v>
      </c>
      <c r="R6429">
        <v>1.0216640000000001E-2</v>
      </c>
      <c r="S6429">
        <v>2.9917600000000002</v>
      </c>
      <c r="T6429">
        <v>-9.5557210000000004E-2</v>
      </c>
      <c r="U6429">
        <v>0.66082759999999996</v>
      </c>
      <c r="V6429">
        <v>6.4453940000000001E-2</v>
      </c>
      <c r="W6429">
        <v>-2.1097040000000001E-2</v>
      </c>
      <c r="X6429">
        <v>0.99769770000000002</v>
      </c>
      <c r="Y6429">
        <v>-0.14211699999999999</v>
      </c>
      <c r="Z6429">
        <v>-1.0813539999999999E-4</v>
      </c>
      <c r="AA6429">
        <v>0.98984989999999995</v>
      </c>
      <c r="AB6429">
        <v>21</v>
      </c>
      <c r="AC6429">
        <v>34.626199999999997</v>
      </c>
      <c r="AD6429">
        <v>-1.1093321472662001</v>
      </c>
      <c r="AE6429">
        <v>7.6639499999999998</v>
      </c>
      <c r="AF6429">
        <v>-5.0513877558983999</v>
      </c>
      <c r="AG6429">
        <v>-1.1093321472662001</v>
      </c>
      <c r="AH6429">
        <v>35.067587738213099</v>
      </c>
      <c r="AI6429">
        <v>91.793398767547998</v>
      </c>
      <c r="AJ6429">
        <v>98.196912629639698</v>
      </c>
      <c r="AK6429">
        <v>35.446901780701097</v>
      </c>
      <c r="AL6429">
        <v>91.2088609797961</v>
      </c>
      <c r="AM6429">
        <v>86.303675891554406</v>
      </c>
      <c r="AN6429">
        <v>1.0000000480317801</v>
      </c>
    </row>
    <row r="6430" spans="1:40" x14ac:dyDescent="0.25">
      <c r="A6430" t="str">
        <f>"20190312161441761"</f>
        <v>20190312161441761</v>
      </c>
      <c r="B6430" t="str">
        <f>"1552378481752920"</f>
        <v>1552378481752920</v>
      </c>
      <c r="C6430" t="s">
        <v>40</v>
      </c>
      <c r="D6430">
        <v>5.7141070000000003</v>
      </c>
      <c r="E6430">
        <v>0.42093839999999999</v>
      </c>
      <c r="F6430" t="s">
        <v>107</v>
      </c>
      <c r="G6430">
        <v>-231.185</v>
      </c>
      <c r="H6430" s="1">
        <v>-2.3032429999999999E-7</v>
      </c>
      <c r="I6430">
        <v>-57.226999999999997</v>
      </c>
      <c r="J6430">
        <v>-265.40159999999997</v>
      </c>
      <c r="K6430">
        <v>1.109327</v>
      </c>
      <c r="L6430">
        <v>-64.798919999999995</v>
      </c>
      <c r="M6430">
        <v>0.99718410000000002</v>
      </c>
      <c r="N6430">
        <v>0</v>
      </c>
      <c r="O6430">
        <v>7.4522270000000002E-2</v>
      </c>
      <c r="P6430">
        <v>0.99951990000000002</v>
      </c>
      <c r="Q6430">
        <v>-2.939197E-2</v>
      </c>
      <c r="R6430">
        <v>9.8197219999999995E-3</v>
      </c>
      <c r="S6430">
        <v>2.9918819999999999</v>
      </c>
      <c r="T6430">
        <v>-9.6719029999999998E-2</v>
      </c>
      <c r="U6430">
        <v>0.66079709999999903</v>
      </c>
      <c r="V6430">
        <v>6.4685709999999993E-2</v>
      </c>
      <c r="W6430">
        <v>-2.1055210000000001E-2</v>
      </c>
      <c r="X6430">
        <v>0.99768349999999995</v>
      </c>
      <c r="Y6430">
        <v>-0.14226129999999901</v>
      </c>
      <c r="Z6430">
        <v>-1.019179E-4</v>
      </c>
      <c r="AA6430">
        <v>0.98982910000000002</v>
      </c>
      <c r="AB6430">
        <v>21</v>
      </c>
      <c r="AC6430">
        <v>34.2165999999999</v>
      </c>
      <c r="AD6430">
        <v>-1.1093272303243</v>
      </c>
      <c r="AE6430">
        <v>7.5719199999999898</v>
      </c>
      <c r="AF6430">
        <v>-4.9958692878034201</v>
      </c>
      <c r="AG6430">
        <v>-1.1093272303243</v>
      </c>
      <c r="AH6430">
        <v>34.6510239197777</v>
      </c>
      <c r="AI6430">
        <v>91.814902923394897</v>
      </c>
      <c r="AJ6430">
        <v>98.204179973827294</v>
      </c>
      <c r="AK6430">
        <v>35.026886466452702</v>
      </c>
      <c r="AL6430">
        <v>91.206463865691305</v>
      </c>
      <c r="AM6430">
        <v>86.290368671202103</v>
      </c>
      <c r="AN6430">
        <v>0.99999996455929796</v>
      </c>
    </row>
    <row r="6431" spans="1:40" x14ac:dyDescent="0.25">
      <c r="A6431" t="str">
        <f>"20190312161441773"</f>
        <v>20190312161441773</v>
      </c>
      <c r="B6431" t="str">
        <f>"1552378481762680"</f>
        <v>1552378481762680</v>
      </c>
      <c r="C6431" t="s">
        <v>40</v>
      </c>
      <c r="D6431">
        <v>5.722156</v>
      </c>
      <c r="E6431">
        <v>0.42084070000000001</v>
      </c>
      <c r="F6431" t="s">
        <v>107</v>
      </c>
      <c r="G6431">
        <v>-230.59309999999999</v>
      </c>
      <c r="H6431" s="1">
        <v>-5.8365460000000001E-8</v>
      </c>
      <c r="I6431">
        <v>-57.116250000000001</v>
      </c>
      <c r="J6431">
        <v>-265.29640000000001</v>
      </c>
      <c r="K6431">
        <v>1.109324</v>
      </c>
      <c r="L6431">
        <v>-64.791229999999999</v>
      </c>
      <c r="M6431">
        <v>0.99719729999999995</v>
      </c>
      <c r="N6431">
        <v>0</v>
      </c>
      <c r="O6431">
        <v>7.434731E-2</v>
      </c>
      <c r="P6431">
        <v>0.99952960000000002</v>
      </c>
      <c r="Q6431">
        <v>-2.9214150000000001E-2</v>
      </c>
      <c r="R6431">
        <v>9.3505099999999994E-3</v>
      </c>
      <c r="S6431">
        <v>2.9921570000000002</v>
      </c>
      <c r="T6431">
        <v>-9.5358129999999999E-2</v>
      </c>
      <c r="U6431">
        <v>0.6604004</v>
      </c>
      <c r="V6431">
        <v>6.4979399999999896E-2</v>
      </c>
      <c r="W6431">
        <v>-2.0887309999999999E-2</v>
      </c>
      <c r="X6431">
        <v>0.997668</v>
      </c>
      <c r="Y6431">
        <v>-0.14229159999999999</v>
      </c>
      <c r="Z6431" s="1">
        <v>-9.4528780000000001E-5</v>
      </c>
      <c r="AA6431">
        <v>0.98982479999999995</v>
      </c>
      <c r="AB6431">
        <v>21</v>
      </c>
      <c r="AC6431">
        <v>34.703299999999999</v>
      </c>
      <c r="AD6431">
        <v>-1.10932405836546</v>
      </c>
      <c r="AE6431">
        <v>7.6749799999999899</v>
      </c>
      <c r="AF6431">
        <v>-5.0686122560643998</v>
      </c>
      <c r="AG6431">
        <v>-1.10932405836546</v>
      </c>
      <c r="AH6431">
        <v>35.143646804838802</v>
      </c>
      <c r="AI6431">
        <v>91.789461879599997</v>
      </c>
      <c r="AJ6431">
        <v>98.206924211078302</v>
      </c>
      <c r="AK6431">
        <v>35.524601909269201</v>
      </c>
      <c r="AL6431">
        <v>91.196841721277806</v>
      </c>
      <c r="AM6431">
        <v>86.2735155950418</v>
      </c>
      <c r="AN6431">
        <v>1.0000000201836901</v>
      </c>
    </row>
    <row r="6432" spans="1:40" x14ac:dyDescent="0.25">
      <c r="A6432" t="str">
        <f>"20190312161441785"</f>
        <v>20190312161441785</v>
      </c>
      <c r="B6432" t="str">
        <f>"1552378481773415"</f>
        <v>1552378481773415</v>
      </c>
      <c r="C6432" t="s">
        <v>40</v>
      </c>
      <c r="D6432">
        <v>5.6880870000000003</v>
      </c>
      <c r="E6432">
        <v>0.42075699999999999</v>
      </c>
      <c r="F6432" t="s">
        <v>108</v>
      </c>
      <c r="G6432">
        <v>-229.97329999999999</v>
      </c>
      <c r="H6432" s="1">
        <v>-4.1440389999999996E-6</v>
      </c>
      <c r="I6432">
        <v>-57.002769999999998</v>
      </c>
      <c r="J6432">
        <v>-265.19080000000002</v>
      </c>
      <c r="K6432">
        <v>1.109324</v>
      </c>
      <c r="L6432">
        <v>-64.783569999999997</v>
      </c>
      <c r="M6432">
        <v>0.99721040000000005</v>
      </c>
      <c r="N6432">
        <v>0</v>
      </c>
      <c r="O6432">
        <v>7.4171989999999993E-2</v>
      </c>
      <c r="P6432">
        <v>0.9995193</v>
      </c>
      <c r="Q6432">
        <v>-2.9664079999999999E-2</v>
      </c>
      <c r="R6432">
        <v>9.0262090000000003E-3</v>
      </c>
      <c r="S6432">
        <v>2.9924930000000001</v>
      </c>
      <c r="T6432">
        <v>-9.3979720000000003E-2</v>
      </c>
      <c r="U6432">
        <v>0.65982059999999998</v>
      </c>
      <c r="V6432">
        <v>6.5126359999999994E-2</v>
      </c>
      <c r="W6432">
        <v>-2.1346489999999999E-2</v>
      </c>
      <c r="X6432">
        <v>0.99764870000000005</v>
      </c>
      <c r="Y6432">
        <v>-0.1422602</v>
      </c>
      <c r="Z6432" s="1">
        <v>-8.8239550000000005E-5</v>
      </c>
      <c r="AA6432">
        <v>0.98982930000000002</v>
      </c>
      <c r="AB6432">
        <v>21</v>
      </c>
      <c r="AC6432">
        <v>35.217500000000001</v>
      </c>
      <c r="AD6432">
        <v>-1.1093281440389999</v>
      </c>
      <c r="AE6432">
        <v>7.7807999999999904</v>
      </c>
      <c r="AF6432">
        <v>-5.1422578723255601</v>
      </c>
      <c r="AG6432">
        <v>-1.1093281440389999</v>
      </c>
      <c r="AH6432">
        <v>35.663883820788897</v>
      </c>
      <c r="AI6432">
        <v>91.763391367342606</v>
      </c>
      <c r="AJ6432">
        <v>98.204743115115903</v>
      </c>
      <c r="AK6432">
        <v>36.049771623955898</v>
      </c>
      <c r="AL6432">
        <v>91.223156662664195</v>
      </c>
      <c r="AM6432">
        <v>86.265039408535699</v>
      </c>
      <c r="AN6432">
        <v>1.0000000220069201</v>
      </c>
    </row>
    <row r="6433" spans="1:40" x14ac:dyDescent="0.25">
      <c r="A6433" t="str">
        <f>"20190312161441796"</f>
        <v>20190312161441796</v>
      </c>
      <c r="B6433" t="str">
        <f>"1552378481792936"</f>
        <v>1552378481792936</v>
      </c>
      <c r="C6433" t="s">
        <v>40</v>
      </c>
      <c r="D6433">
        <v>5.696142</v>
      </c>
      <c r="E6433">
        <v>0.4207246</v>
      </c>
      <c r="F6433" t="s">
        <v>107</v>
      </c>
      <c r="G6433">
        <v>-230.166</v>
      </c>
      <c r="H6433" s="1">
        <v>7.3484559999999899E-8</v>
      </c>
      <c r="I6433">
        <v>-57.06559</v>
      </c>
      <c r="J6433">
        <v>-265.08229999999998</v>
      </c>
      <c r="K6433">
        <v>1.109321</v>
      </c>
      <c r="L6433">
        <v>-64.775700000000001</v>
      </c>
      <c r="M6433">
        <v>0.99722390000000005</v>
      </c>
      <c r="N6433">
        <v>0</v>
      </c>
      <c r="O6433">
        <v>7.3991840000000003E-2</v>
      </c>
      <c r="P6433">
        <v>0.99952850000000004</v>
      </c>
      <c r="Q6433">
        <v>-2.9491509999999999E-2</v>
      </c>
      <c r="R6433">
        <v>8.5641780000000004E-3</v>
      </c>
      <c r="S6433">
        <v>2.9926759999999999</v>
      </c>
      <c r="T6433">
        <v>-9.4785690000000006E-2</v>
      </c>
      <c r="U6433">
        <v>0.65945430000000005</v>
      </c>
      <c r="V6433">
        <v>6.5407660000000006E-2</v>
      </c>
      <c r="W6433">
        <v>-2.118256E-2</v>
      </c>
      <c r="X6433">
        <v>0.99763380000000002</v>
      </c>
      <c r="Y6433">
        <v>-0.1423102</v>
      </c>
      <c r="Z6433" s="1">
        <v>-8.2609709999999895E-5</v>
      </c>
      <c r="AA6433">
        <v>0.98982210000000004</v>
      </c>
      <c r="AB6433">
        <v>21</v>
      </c>
      <c r="AC6433">
        <v>34.9162999999999</v>
      </c>
      <c r="AD6433">
        <v>-1.10932092651543</v>
      </c>
      <c r="AE6433">
        <v>7.7101100000000002</v>
      </c>
      <c r="AF6433">
        <v>-5.1004536351340404</v>
      </c>
      <c r="AG6433">
        <v>-1.10932092651543</v>
      </c>
      <c r="AH6433">
        <v>35.357057816084399</v>
      </c>
      <c r="AI6433">
        <v>91.778655295958202</v>
      </c>
      <c r="AJ6433">
        <v>98.208610185175502</v>
      </c>
      <c r="AK6433">
        <v>35.740268012594598</v>
      </c>
      <c r="AL6433">
        <v>91.213762030697097</v>
      </c>
      <c r="AM6433">
        <v>86.248897104840097</v>
      </c>
      <c r="AN6433">
        <v>1.0000000308686301</v>
      </c>
    </row>
    <row r="6434" spans="1:40" x14ac:dyDescent="0.25">
      <c r="A6434" t="str">
        <f>"20190312161441807"</f>
        <v>20190312161441807</v>
      </c>
      <c r="B6434" t="str">
        <f>"1552378481802699"</f>
        <v>1552378481802699</v>
      </c>
      <c r="C6434" t="s">
        <v>40</v>
      </c>
      <c r="D6434">
        <v>5.639424</v>
      </c>
      <c r="E6434">
        <v>0.4206551</v>
      </c>
      <c r="F6434" t="s">
        <v>108</v>
      </c>
      <c r="G6434">
        <v>-229.52260000000001</v>
      </c>
      <c r="H6434" s="1">
        <v>-3.9614459999999999E-6</v>
      </c>
      <c r="I6434">
        <v>-56.954189999999997</v>
      </c>
      <c r="J6434">
        <v>-264.97559999999999</v>
      </c>
      <c r="K6434">
        <v>1.109318</v>
      </c>
      <c r="L6434">
        <v>-64.767969999999906</v>
      </c>
      <c r="M6434">
        <v>0.99723700000000004</v>
      </c>
      <c r="N6434">
        <v>0</v>
      </c>
      <c r="O6434">
        <v>7.3814679999999994E-2</v>
      </c>
      <c r="P6434">
        <v>0.99953769999999997</v>
      </c>
      <c r="Q6434">
        <v>-2.918927E-2</v>
      </c>
      <c r="R6434">
        <v>8.5157010000000005E-3</v>
      </c>
      <c r="S6434">
        <v>2.9930110000000001</v>
      </c>
      <c r="T6434">
        <v>-9.3370320000000007E-2</v>
      </c>
      <c r="U6434">
        <v>0.65832519999999894</v>
      </c>
      <c r="V6434">
        <v>6.5279710000000005E-2</v>
      </c>
      <c r="W6434">
        <v>-2.088804E-2</v>
      </c>
      <c r="X6434">
        <v>0.99764839999999999</v>
      </c>
      <c r="Y6434">
        <v>-0.1421075</v>
      </c>
      <c r="Z6434" s="1">
        <v>-7.9075339999999994E-5</v>
      </c>
      <c r="AA6434">
        <v>0.98985120000000004</v>
      </c>
      <c r="AB6434">
        <v>21</v>
      </c>
      <c r="AC6434">
        <v>35.452999999999903</v>
      </c>
      <c r="AD6434">
        <v>-1.1093219614459999</v>
      </c>
      <c r="AE6434">
        <v>7.81377999999998</v>
      </c>
      <c r="AF6434">
        <v>-5.1705913887802</v>
      </c>
      <c r="AG6434">
        <v>-1.1093219614459999</v>
      </c>
      <c r="AH6434">
        <v>35.899548798026302</v>
      </c>
      <c r="AI6434">
        <v>91.751851820391394</v>
      </c>
      <c r="AJ6434">
        <v>98.195915034450806</v>
      </c>
      <c r="AK6434">
        <v>36.286956532971303</v>
      </c>
      <c r="AL6434">
        <v>91.196883532138003</v>
      </c>
      <c r="AM6434">
        <v>86.256268729418096</v>
      </c>
      <c r="AN6434">
        <v>1.0000000403876399</v>
      </c>
    </row>
    <row r="6435" spans="1:40" x14ac:dyDescent="0.25">
      <c r="A6435" t="str">
        <f>"20190312161441820"</f>
        <v>20190312161441820</v>
      </c>
      <c r="B6435" t="str">
        <f>"1552378481813432"</f>
        <v>1552378481813432</v>
      </c>
      <c r="C6435" t="s">
        <v>40</v>
      </c>
      <c r="D6435">
        <v>5.6262740000000004</v>
      </c>
      <c r="E6435">
        <v>0.42054180000000002</v>
      </c>
      <c r="F6435" t="s">
        <v>108</v>
      </c>
      <c r="G6435">
        <v>-228.75569999999999</v>
      </c>
      <c r="H6435" s="1">
        <v>-3.66719E-6</v>
      </c>
      <c r="I6435">
        <v>-56.797080000000001</v>
      </c>
      <c r="J6435">
        <v>-264.86579999999998</v>
      </c>
      <c r="K6435">
        <v>1.109313</v>
      </c>
      <c r="L6435">
        <v>-64.760069999999999</v>
      </c>
      <c r="M6435">
        <v>0.99725050000000004</v>
      </c>
      <c r="N6435">
        <v>0</v>
      </c>
      <c r="O6435">
        <v>7.3632489999999995E-2</v>
      </c>
      <c r="P6435">
        <v>0.99953449999999999</v>
      </c>
      <c r="Q6435">
        <v>-2.9377150000000001E-2</v>
      </c>
      <c r="R6435">
        <v>8.2322130000000004E-3</v>
      </c>
      <c r="S6435">
        <v>2.9931030000000001</v>
      </c>
      <c r="T6435">
        <v>-9.167111E-2</v>
      </c>
      <c r="U6435">
        <v>0.65869140000000004</v>
      </c>
      <c r="V6435">
        <v>6.5379779999999998E-2</v>
      </c>
      <c r="W6435">
        <v>-2.1083190000000002E-2</v>
      </c>
      <c r="X6435">
        <v>0.99763769999999996</v>
      </c>
      <c r="Y6435">
        <v>-0.14239839999999901</v>
      </c>
      <c r="Z6435" s="1">
        <v>-6.7750459999999998E-5</v>
      </c>
      <c r="AA6435">
        <v>0.98980950000000001</v>
      </c>
      <c r="AB6435">
        <v>21</v>
      </c>
      <c r="AC6435">
        <v>36.110099999999903</v>
      </c>
      <c r="AD6435">
        <v>-1.1093166671900001</v>
      </c>
      <c r="AE6435">
        <v>7.9629899999999898</v>
      </c>
      <c r="AF6435">
        <v>-5.2776534964608297</v>
      </c>
      <c r="AG6435">
        <v>-1.1093166671900001</v>
      </c>
      <c r="AH6435">
        <v>36.565517320237099</v>
      </c>
      <c r="AI6435">
        <v>91.719882458972293</v>
      </c>
      <c r="AJ6435">
        <v>98.213019875068298</v>
      </c>
      <c r="AK6435">
        <v>36.961077727704001</v>
      </c>
      <c r="AL6435">
        <v>91.208067316596896</v>
      </c>
      <c r="AM6435">
        <v>86.250506065479399</v>
      </c>
      <c r="AN6435">
        <v>0.99999999849735699</v>
      </c>
    </row>
    <row r="6436" spans="1:40" x14ac:dyDescent="0.25">
      <c r="A6436" t="str">
        <f>"20190312161441831"</f>
        <v>20190312161441831</v>
      </c>
      <c r="B6436" t="str">
        <f>"1552378481823192"</f>
        <v>1552378481823192</v>
      </c>
      <c r="C6436" t="s">
        <v>40</v>
      </c>
      <c r="D6436">
        <v>5.1310010000000004</v>
      </c>
      <c r="E6436">
        <v>0.4204483</v>
      </c>
      <c r="F6436" t="s">
        <v>108</v>
      </c>
      <c r="G6436">
        <v>-228.6651</v>
      </c>
      <c r="H6436" s="1">
        <v>-3.6291699999999999E-6</v>
      </c>
      <c r="I6436">
        <v>-56.793140000000001</v>
      </c>
      <c r="J6436">
        <v>-264.75979999999998</v>
      </c>
      <c r="K6436">
        <v>1.1093109999999999</v>
      </c>
      <c r="L6436">
        <v>-64.752409999999998</v>
      </c>
      <c r="M6436">
        <v>0.99726360000000003</v>
      </c>
      <c r="N6436">
        <v>0</v>
      </c>
      <c r="O6436">
        <v>7.3456439999999998E-2</v>
      </c>
      <c r="P6436">
        <v>0.99953479999999995</v>
      </c>
      <c r="Q6436">
        <v>-2.9359219999999998E-2</v>
      </c>
      <c r="R6436">
        <v>8.2648169999999903E-3</v>
      </c>
      <c r="S6436">
        <v>2.9932859999999999</v>
      </c>
      <c r="T6436">
        <v>-9.1724749999999994E-2</v>
      </c>
      <c r="U6436">
        <v>0.65875240000000002</v>
      </c>
      <c r="V6436">
        <v>6.5171279999999998E-2</v>
      </c>
      <c r="W6436">
        <v>-2.1071690000000001E-2</v>
      </c>
      <c r="X6436">
        <v>0.99765159999999997</v>
      </c>
      <c r="Y6436">
        <v>-0.1425795</v>
      </c>
      <c r="Z6436" s="1">
        <v>-5.9745969999999998E-5</v>
      </c>
      <c r="AA6436">
        <v>0.98978330000000003</v>
      </c>
      <c r="AB6436">
        <v>21</v>
      </c>
      <c r="AC6436">
        <v>36.094699999999897</v>
      </c>
      <c r="AD6436">
        <v>-1.10931462917</v>
      </c>
      <c r="AE6436">
        <v>7.9592699999999903</v>
      </c>
      <c r="AF6436">
        <v>-5.2815283777435802</v>
      </c>
      <c r="AG6436">
        <v>-1.10931462917</v>
      </c>
      <c r="AH6436">
        <v>36.548939361538899</v>
      </c>
      <c r="AI6436">
        <v>91.720617221716196</v>
      </c>
      <c r="AJ6436">
        <v>98.222644580215999</v>
      </c>
      <c r="AK6436">
        <v>36.945230942637899</v>
      </c>
      <c r="AL6436">
        <v>91.207408250701803</v>
      </c>
      <c r="AM6436">
        <v>86.262481404358894</v>
      </c>
      <c r="AN6436">
        <v>1.00000001341942</v>
      </c>
    </row>
    <row r="6437" spans="1:40" x14ac:dyDescent="0.25">
      <c r="A6437" t="str">
        <f>"20190312161441841"</f>
        <v>20190312161441841</v>
      </c>
      <c r="B6437" t="str">
        <f>"1552378481832952"</f>
        <v>1552378481832952</v>
      </c>
      <c r="C6437" t="s">
        <v>40</v>
      </c>
      <c r="D6437">
        <v>5.6127849999999997</v>
      </c>
      <c r="E6437">
        <v>0.42033340000000002</v>
      </c>
      <c r="F6437" t="s">
        <v>108</v>
      </c>
      <c r="G6437">
        <v>-228.1413</v>
      </c>
      <c r="H6437" s="1">
        <v>-3.428727E-6</v>
      </c>
      <c r="I6437">
        <v>-56.68336</v>
      </c>
      <c r="J6437">
        <v>-264.65129999999999</v>
      </c>
      <c r="K6437">
        <v>1.109308</v>
      </c>
      <c r="L6437">
        <v>-64.744630000000001</v>
      </c>
      <c r="M6437">
        <v>0.99727699999999997</v>
      </c>
      <c r="N6437">
        <v>0</v>
      </c>
      <c r="O6437">
        <v>7.3276350000000004E-2</v>
      </c>
      <c r="P6437">
        <v>0.99953349999999996</v>
      </c>
      <c r="Q6437">
        <v>-2.944105E-2</v>
      </c>
      <c r="R6437">
        <v>8.1640619999999997E-3</v>
      </c>
      <c r="S6437">
        <v>2.9932560000000001</v>
      </c>
      <c r="T6437">
        <v>-9.0677019999999997E-2</v>
      </c>
      <c r="U6437">
        <v>0.65957639999999995</v>
      </c>
      <c r="V6437">
        <v>6.5091319999999994E-2</v>
      </c>
      <c r="W6437">
        <v>-2.1159480000000001E-2</v>
      </c>
      <c r="X6437">
        <v>0.99765499999999996</v>
      </c>
      <c r="Y6437">
        <v>-0.1430206</v>
      </c>
      <c r="Z6437" s="1">
        <v>-4.7098380000000002E-5</v>
      </c>
      <c r="AA6437">
        <v>0.98971969999999998</v>
      </c>
      <c r="AB6437">
        <v>21</v>
      </c>
      <c r="AC6437">
        <v>36.509999999999899</v>
      </c>
      <c r="AD6437">
        <v>-1.1093114287270001</v>
      </c>
      <c r="AE6437">
        <v>8.0612700000000004</v>
      </c>
      <c r="AF6437">
        <v>-5.3594674004527896</v>
      </c>
      <c r="AG6437">
        <v>-1.1093114287270001</v>
      </c>
      <c r="AH6437">
        <v>36.970020088768599</v>
      </c>
      <c r="AI6437">
        <v>91.700915020608406</v>
      </c>
      <c r="AJ6437">
        <v>98.248587758721001</v>
      </c>
      <c r="AK6437">
        <v>37.372942726341101</v>
      </c>
      <c r="AL6437">
        <v>91.212439322942103</v>
      </c>
      <c r="AM6437">
        <v>86.267066755910093</v>
      </c>
      <c r="AN6437">
        <v>1.0000000512791001</v>
      </c>
    </row>
    <row r="6438" spans="1:40" x14ac:dyDescent="0.25">
      <c r="A6438" t="str">
        <f>"20190312161441863"</f>
        <v>20190312161441863</v>
      </c>
      <c r="B6438" t="str">
        <f>"1552378481853448"</f>
        <v>1552378481853448</v>
      </c>
      <c r="C6438" t="s">
        <v>40</v>
      </c>
      <c r="D6438">
        <v>5.6519259999999996</v>
      </c>
      <c r="E6438">
        <v>0.4201645</v>
      </c>
      <c r="F6438" t="s">
        <v>108</v>
      </c>
      <c r="G6438">
        <v>-227.46850000000001</v>
      </c>
      <c r="H6438" s="1">
        <v>-3.1706880000000001E-6</v>
      </c>
      <c r="I6438">
        <v>-56.545119999999997</v>
      </c>
      <c r="J6438">
        <v>-264.44209999999998</v>
      </c>
      <c r="K6438">
        <v>1.1093</v>
      </c>
      <c r="L6438">
        <v>-64.729640000000003</v>
      </c>
      <c r="M6438">
        <v>0.99730249999999998</v>
      </c>
      <c r="N6438">
        <v>0</v>
      </c>
      <c r="O6438">
        <v>7.2929259999999996E-2</v>
      </c>
      <c r="P6438">
        <v>0.99952220000000003</v>
      </c>
      <c r="Q6438">
        <v>-2.9852429999999999E-2</v>
      </c>
      <c r="R6438">
        <v>8.026821E-3</v>
      </c>
      <c r="S6438">
        <v>2.9933779999999999</v>
      </c>
      <c r="T6438">
        <v>-8.9304330000000001E-2</v>
      </c>
      <c r="U6438">
        <v>0.66009519999999899</v>
      </c>
      <c r="V6438">
        <v>6.4879909999999999E-2</v>
      </c>
      <c r="W6438">
        <v>-2.1581369999999999E-2</v>
      </c>
      <c r="X6438">
        <v>0.99765970000000004</v>
      </c>
      <c r="Y6438">
        <v>-0.1435207</v>
      </c>
      <c r="Z6438" s="1">
        <v>-2.884003E-5</v>
      </c>
      <c r="AA6438">
        <v>0.98964730000000001</v>
      </c>
      <c r="AB6438">
        <v>21</v>
      </c>
      <c r="AC6438">
        <v>36.973599999999898</v>
      </c>
      <c r="AD6438">
        <v>-1.1093031706880001</v>
      </c>
      <c r="AE6438">
        <v>8.1845199999999991</v>
      </c>
      <c r="AF6438">
        <v>-5.4614871452315397</v>
      </c>
      <c r="AG6438">
        <v>-1.1093031706880001</v>
      </c>
      <c r="AH6438">
        <v>37.439920939038501</v>
      </c>
      <c r="AI6438">
        <v>91.679350562951598</v>
      </c>
      <c r="AJ6438">
        <v>98.2993906775162</v>
      </c>
      <c r="AK6438">
        <v>37.852424959089198</v>
      </c>
      <c r="AL6438">
        <v>91.236617401545402</v>
      </c>
      <c r="AM6438">
        <v>86.279174309612003</v>
      </c>
      <c r="AN6438">
        <v>1.0000000176283801</v>
      </c>
    </row>
    <row r="6439" spans="1:40" x14ac:dyDescent="0.25">
      <c r="A6439" t="str">
        <f>"20190312161441874"</f>
        <v>20190312161441874</v>
      </c>
      <c r="B6439" t="str">
        <f>"1552378481863208"</f>
        <v>1552378481863208</v>
      </c>
      <c r="C6439" t="s">
        <v>40</v>
      </c>
      <c r="D6439">
        <v>5.5868200000000003</v>
      </c>
      <c r="E6439">
        <v>0.4201645</v>
      </c>
      <c r="F6439" t="s">
        <v>108</v>
      </c>
      <c r="G6439">
        <v>-227.7296</v>
      </c>
      <c r="H6439" s="1">
        <v>-3.265619E-6</v>
      </c>
      <c r="I6439">
        <v>-56.622340000000001</v>
      </c>
      <c r="J6439">
        <v>-264.33449999999999</v>
      </c>
      <c r="K6439">
        <v>1.1093029999999999</v>
      </c>
      <c r="L6439">
        <v>-64.721980000000002</v>
      </c>
      <c r="M6439">
        <v>0.99731539999999996</v>
      </c>
      <c r="N6439">
        <v>0</v>
      </c>
      <c r="O6439">
        <v>7.2750990000000001E-2</v>
      </c>
      <c r="P6439">
        <v>0.99951109999999999</v>
      </c>
      <c r="Q6439">
        <v>-3.0228439999999999E-2</v>
      </c>
      <c r="R6439">
        <v>7.9824760000000005E-3</v>
      </c>
      <c r="S6439">
        <v>2.9934080000000001</v>
      </c>
      <c r="T6439">
        <v>-9.044874E-2</v>
      </c>
      <c r="U6439">
        <v>0.66104130000000005</v>
      </c>
      <c r="V6439">
        <v>6.4744850000000007E-2</v>
      </c>
      <c r="W6439">
        <v>-2.1962220000000001E-2</v>
      </c>
      <c r="X6439">
        <v>0.9976602</v>
      </c>
      <c r="Y6439">
        <v>-0.1439927</v>
      </c>
      <c r="Z6439" s="1">
        <v>-1.6868810000000001E-5</v>
      </c>
      <c r="AA6439">
        <v>0.98957870000000003</v>
      </c>
      <c r="AB6439">
        <v>21</v>
      </c>
      <c r="AC6439">
        <v>36.604900000000001</v>
      </c>
      <c r="AD6439">
        <v>-1.109306265619</v>
      </c>
      <c r="AE6439">
        <v>8.0996399999999902</v>
      </c>
      <c r="AF6439">
        <v>-5.41030377249231</v>
      </c>
      <c r="AG6439">
        <v>-1.109306265619</v>
      </c>
      <c r="AH6439">
        <v>37.064721674538099</v>
      </c>
      <c r="AI6439">
        <v>91.696321974201297</v>
      </c>
      <c r="AJ6439">
        <v>98.304761246375406</v>
      </c>
      <c r="AK6439">
        <v>37.473931473926797</v>
      </c>
      <c r="AL6439">
        <v>91.258443625837302</v>
      </c>
      <c r="AM6439">
        <v>86.286900088012501</v>
      </c>
      <c r="AN6439">
        <v>1.00000005468644</v>
      </c>
    </row>
    <row r="6440" spans="1:40" x14ac:dyDescent="0.25">
      <c r="A6440" t="str">
        <f>"20190312161441885"</f>
        <v>20190312161441885</v>
      </c>
      <c r="B6440" t="str">
        <f>"1552378481882729"</f>
        <v>1552378481882729</v>
      </c>
      <c r="C6440" t="s">
        <v>40</v>
      </c>
      <c r="D6440">
        <v>5.5441409999999998</v>
      </c>
      <c r="E6440">
        <v>0.38626870000000002</v>
      </c>
      <c r="F6440" t="s">
        <v>108</v>
      </c>
      <c r="G6440">
        <v>-227.98249999999999</v>
      </c>
      <c r="H6440" s="1">
        <v>-3.3579500000000002E-6</v>
      </c>
      <c r="I6440">
        <v>-56.695480000000003</v>
      </c>
      <c r="J6440">
        <v>-264.23360000000002</v>
      </c>
      <c r="K6440">
        <v>1.1092979999999999</v>
      </c>
      <c r="L6440">
        <v>-64.714780000000005</v>
      </c>
      <c r="M6440">
        <v>0.99732779999999999</v>
      </c>
      <c r="N6440">
        <v>0</v>
      </c>
      <c r="O6440">
        <v>7.2583529999999993E-2</v>
      </c>
      <c r="P6440">
        <v>0.99952039999999998</v>
      </c>
      <c r="Q6440">
        <v>-2.994842E-2</v>
      </c>
      <c r="R6440">
        <v>7.9095729999999996E-3</v>
      </c>
      <c r="S6440">
        <v>2.993439</v>
      </c>
      <c r="T6440">
        <v>-9.1346860000000002E-2</v>
      </c>
      <c r="U6440">
        <v>0.66094969999999997</v>
      </c>
      <c r="V6440">
        <v>6.465071E-2</v>
      </c>
      <c r="W6440">
        <v>-2.1686380000000002E-2</v>
      </c>
      <c r="X6440">
        <v>0.99767229999999996</v>
      </c>
      <c r="Y6440">
        <v>-0.14412710000000001</v>
      </c>
      <c r="Z6440" s="1">
        <v>-9.9919270000000005E-6</v>
      </c>
      <c r="AA6440">
        <v>0.98955919999999997</v>
      </c>
      <c r="AB6440">
        <v>21</v>
      </c>
      <c r="AC6440">
        <v>36.251100000000001</v>
      </c>
      <c r="AD6440">
        <v>-1.10930135795</v>
      </c>
      <c r="AE6440">
        <v>8.0192999999999994</v>
      </c>
      <c r="AF6440">
        <v>-5.3620361742418003</v>
      </c>
      <c r="AG6440">
        <v>-1.10930135795</v>
      </c>
      <c r="AH6440">
        <v>36.704797838877397</v>
      </c>
      <c r="AI6440">
        <v>91.712910038792302</v>
      </c>
      <c r="AJ6440">
        <v>98.311287743415306</v>
      </c>
      <c r="AK6440">
        <v>37.110970963173301</v>
      </c>
      <c r="AL6440">
        <v>91.242635442000505</v>
      </c>
      <c r="AM6440">
        <v>86.292328763872902</v>
      </c>
      <c r="AN6440">
        <v>1.00000001578414</v>
      </c>
    </row>
    <row r="6441" spans="1:40" x14ac:dyDescent="0.25">
      <c r="A6441" t="str">
        <f>"20190312161441897"</f>
        <v>20190312161441897</v>
      </c>
      <c r="B6441" t="str">
        <f>"1552378481892492"</f>
        <v>1552378481892492</v>
      </c>
      <c r="C6441" t="s">
        <v>40</v>
      </c>
      <c r="D6441">
        <v>5.5236739999999998</v>
      </c>
      <c r="E6441">
        <v>0.38659840000000001</v>
      </c>
      <c r="F6441" t="s">
        <v>77</v>
      </c>
      <c r="G6441">
        <v>-209.03649999999999</v>
      </c>
      <c r="H6441">
        <v>7.9989560000000001E-2</v>
      </c>
      <c r="I6441">
        <v>-47.55847</v>
      </c>
      <c r="J6441">
        <v>-264.1216</v>
      </c>
      <c r="K6441">
        <v>1.1092959999999901</v>
      </c>
      <c r="L6441">
        <v>-64.706850000000003</v>
      </c>
      <c r="M6441">
        <v>0.99734120000000004</v>
      </c>
      <c r="N6441">
        <v>0</v>
      </c>
      <c r="O6441">
        <v>7.2397929999999999E-2</v>
      </c>
      <c r="P6441">
        <v>0.99952790000000002</v>
      </c>
      <c r="Q6441">
        <v>-2.9710009999999999E-2</v>
      </c>
      <c r="R6441">
        <v>7.8204729999999997E-3</v>
      </c>
      <c r="S6441">
        <v>2.9924620000000002</v>
      </c>
      <c r="T6441">
        <v>-5.5803060000000002E-2</v>
      </c>
      <c r="U6441">
        <v>0.93011469999999896</v>
      </c>
      <c r="V6441">
        <v>6.4554860000000006E-2</v>
      </c>
      <c r="W6441">
        <v>-2.1452039999999999E-2</v>
      </c>
      <c r="X6441">
        <v>0.9976836</v>
      </c>
      <c r="Y6441">
        <v>-0.2268713</v>
      </c>
      <c r="Z6441">
        <v>7.5199039999999896E-4</v>
      </c>
      <c r="AA6441">
        <v>0.97392449999999997</v>
      </c>
      <c r="AB6441">
        <v>21</v>
      </c>
      <c r="AC6441">
        <v>55.085099999999997</v>
      </c>
      <c r="AD6441">
        <v>-1.0293064399999901</v>
      </c>
      <c r="AE6441">
        <v>17.14838</v>
      </c>
      <c r="AF6441">
        <v>-13.1110182591949</v>
      </c>
      <c r="AG6441">
        <v>-1.0293064399999901</v>
      </c>
      <c r="AH6441">
        <v>56.164209659145001</v>
      </c>
      <c r="AI6441">
        <v>91.022443658564001</v>
      </c>
      <c r="AJ6441">
        <v>103.139861845448</v>
      </c>
      <c r="AK6441">
        <v>57.683418052129703</v>
      </c>
      <c r="AL6441">
        <v>91.229205591603204</v>
      </c>
      <c r="AM6441">
        <v>86.297852208117305</v>
      </c>
      <c r="AN6441">
        <v>1.0000000428393601</v>
      </c>
    </row>
    <row r="6442" spans="1:40" x14ac:dyDescent="0.25">
      <c r="A6442" t="str">
        <f>"20190312161441910"</f>
        <v>20190312161441910</v>
      </c>
      <c r="B6442" t="str">
        <f>"1552378481903224"</f>
        <v>1552378481903224</v>
      </c>
      <c r="C6442" t="s">
        <v>40</v>
      </c>
      <c r="D6442">
        <v>5.5003679999999999</v>
      </c>
      <c r="E6442">
        <v>0.38682040000000001</v>
      </c>
      <c r="F6442" t="s">
        <v>109</v>
      </c>
      <c r="G6442">
        <v>-211.66720000000001</v>
      </c>
      <c r="H6442">
        <v>7.9986940000000006E-2</v>
      </c>
      <c r="I6442">
        <v>-48.452359999999999</v>
      </c>
      <c r="J6442">
        <v>-264.00839999999999</v>
      </c>
      <c r="K6442">
        <v>1.109294</v>
      </c>
      <c r="L6442">
        <v>-64.698819999999998</v>
      </c>
      <c r="M6442">
        <v>0.99735490000000004</v>
      </c>
      <c r="N6442">
        <v>0</v>
      </c>
      <c r="O6442">
        <v>7.2209889999999999E-2</v>
      </c>
      <c r="P6442">
        <v>0.99952790000000002</v>
      </c>
      <c r="Q6442">
        <v>-2.9727170000000001E-2</v>
      </c>
      <c r="R6442">
        <v>7.7742690000000003E-3</v>
      </c>
      <c r="S6442">
        <v>2.9924010000000001</v>
      </c>
      <c r="T6442">
        <v>-5.8719639999999997E-2</v>
      </c>
      <c r="U6442">
        <v>0.92727660000000001</v>
      </c>
      <c r="V6442">
        <v>6.4412639999999993E-2</v>
      </c>
      <c r="W6442">
        <v>-2.147311E-2</v>
      </c>
      <c r="X6442">
        <v>0.99769229999999998</v>
      </c>
      <c r="Y6442">
        <v>-0.22621540000000001</v>
      </c>
      <c r="Z6442">
        <v>7.8869080000000004E-4</v>
      </c>
      <c r="AA6442">
        <v>0.97407699999999997</v>
      </c>
      <c r="AB6442">
        <v>21</v>
      </c>
      <c r="AC6442">
        <v>52.341199999999901</v>
      </c>
      <c r="AD6442">
        <v>-1.0293070600000001</v>
      </c>
      <c r="AE6442">
        <v>16.246459999999999</v>
      </c>
      <c r="AF6442">
        <v>-12.4199814102583</v>
      </c>
      <c r="AG6442">
        <v>-1.0293070600000001</v>
      </c>
      <c r="AH6442">
        <v>53.358925367015303</v>
      </c>
      <c r="AI6442">
        <v>91.076347037993401</v>
      </c>
      <c r="AJ6442">
        <v>103.103025787235</v>
      </c>
      <c r="AK6442">
        <v>54.794984511154297</v>
      </c>
      <c r="AL6442">
        <v>91.230413139490096</v>
      </c>
      <c r="AM6442">
        <v>86.306017878419496</v>
      </c>
      <c r="AN6442">
        <v>1.00000000406206</v>
      </c>
    </row>
    <row r="6443" spans="1:40" x14ac:dyDescent="0.25">
      <c r="A6443" t="str">
        <f>"20190312161441919"</f>
        <v>20190312161441919</v>
      </c>
      <c r="B6443" t="str">
        <f>"1552378481912984"</f>
        <v>1552378481912984</v>
      </c>
      <c r="C6443" t="s">
        <v>40</v>
      </c>
      <c r="D6443">
        <v>5.5808780000000002</v>
      </c>
      <c r="E6443">
        <v>0.38747310000000001</v>
      </c>
      <c r="F6443" t="s">
        <v>77</v>
      </c>
      <c r="G6443">
        <v>-209.19470000000001</v>
      </c>
      <c r="H6443">
        <v>7.9989619999999997E-2</v>
      </c>
      <c r="I6443">
        <v>-47.749589999999998</v>
      </c>
      <c r="J6443">
        <v>-263.89960000000002</v>
      </c>
      <c r="K6443">
        <v>1.1092930000000001</v>
      </c>
      <c r="L6443">
        <v>-64.691159999999996</v>
      </c>
      <c r="M6443">
        <v>0.99736800000000003</v>
      </c>
      <c r="N6443">
        <v>0</v>
      </c>
      <c r="O6443">
        <v>7.2029659999999995E-2</v>
      </c>
      <c r="P6443">
        <v>0.9995233</v>
      </c>
      <c r="Q6443">
        <v>-2.992355E-2</v>
      </c>
      <c r="R6443">
        <v>7.6114379999999999E-3</v>
      </c>
      <c r="S6443">
        <v>2.9925839999999999</v>
      </c>
      <c r="T6443">
        <v>-5.6195500000000002E-2</v>
      </c>
      <c r="U6443">
        <v>0.92535400000000001</v>
      </c>
      <c r="V6443">
        <v>6.4394590000000002E-2</v>
      </c>
      <c r="W6443">
        <v>-2.1672779999999999E-2</v>
      </c>
      <c r="X6443">
        <v>0.9976891</v>
      </c>
      <c r="Y6443">
        <v>-0.2258058</v>
      </c>
      <c r="Z6443">
        <v>7.5433740000000003E-4</v>
      </c>
      <c r="AA6443">
        <v>0.97417209999999999</v>
      </c>
      <c r="AB6443">
        <v>22</v>
      </c>
      <c r="AC6443">
        <v>54.704900000000002</v>
      </c>
      <c r="AD6443">
        <v>-1.02930338</v>
      </c>
      <c r="AE6443">
        <v>16.941569999999899</v>
      </c>
      <c r="AF6443">
        <v>-12.9528658431233</v>
      </c>
      <c r="AG6443">
        <v>-1.02930338</v>
      </c>
      <c r="AH6443">
        <v>55.7651166944461</v>
      </c>
      <c r="AI6443">
        <v>91.030021375828994</v>
      </c>
      <c r="AJ6443">
        <v>103.076524538516</v>
      </c>
      <c r="AK6443">
        <v>57.258924535335197</v>
      </c>
      <c r="AL6443">
        <v>91.241856109940599</v>
      </c>
      <c r="AM6443">
        <v>86.307038345778295</v>
      </c>
      <c r="AN6443">
        <v>0.99999995643650197</v>
      </c>
    </row>
    <row r="6444" spans="1:40" x14ac:dyDescent="0.25">
      <c r="A6444" t="str">
        <f>"20190312161441930"</f>
        <v>20190312161441930</v>
      </c>
      <c r="B6444" t="str">
        <f>"1552378481922744"</f>
        <v>1552378481922744</v>
      </c>
      <c r="C6444" t="s">
        <v>40</v>
      </c>
      <c r="D6444">
        <v>5.5021149999999999</v>
      </c>
      <c r="E6444">
        <v>0.38770159999999998</v>
      </c>
      <c r="F6444" t="s">
        <v>77</v>
      </c>
      <c r="G6444">
        <v>-207.5154</v>
      </c>
      <c r="H6444">
        <v>7.998893E-2</v>
      </c>
      <c r="I6444">
        <v>-47.36768</v>
      </c>
      <c r="J6444">
        <v>-263.79700000000003</v>
      </c>
      <c r="K6444">
        <v>1.1092919999999999</v>
      </c>
      <c r="L6444">
        <v>-64.683930000000004</v>
      </c>
      <c r="M6444">
        <v>0.9973803</v>
      </c>
      <c r="N6444">
        <v>0</v>
      </c>
      <c r="O6444">
        <v>7.1859619999999999E-2</v>
      </c>
      <c r="P6444">
        <v>0.99951749999999995</v>
      </c>
      <c r="Q6444">
        <v>-3.01914E-2</v>
      </c>
      <c r="R6444">
        <v>7.3030059999999999E-3</v>
      </c>
      <c r="S6444">
        <v>2.9928590000000002</v>
      </c>
      <c r="T6444">
        <v>-5.4635169999999997E-2</v>
      </c>
      <c r="U6444">
        <v>0.91952509999999998</v>
      </c>
      <c r="V6444">
        <v>6.4531469999999994E-2</v>
      </c>
      <c r="W6444">
        <v>-2.1943830000000001E-2</v>
      </c>
      <c r="X6444">
        <v>0.99767430000000001</v>
      </c>
      <c r="Y6444">
        <v>-0.2242152</v>
      </c>
      <c r="Z6444">
        <v>7.2233819999999995E-4</v>
      </c>
      <c r="AA6444">
        <v>0.97453939999999994</v>
      </c>
      <c r="AB6444">
        <v>22</v>
      </c>
      <c r="AC6444">
        <v>56.281599999999997</v>
      </c>
      <c r="AD6444">
        <v>-1.0293030700000001</v>
      </c>
      <c r="AE6444">
        <v>17.31625</v>
      </c>
      <c r="AF6444">
        <v>-13.222926612556</v>
      </c>
      <c r="AG6444">
        <v>-1.0293030700000001</v>
      </c>
      <c r="AH6444">
        <v>57.362943313129897</v>
      </c>
      <c r="AI6444">
        <v>91.001723595224604</v>
      </c>
      <c r="AJ6444">
        <v>102.98069866515701</v>
      </c>
      <c r="AK6444">
        <v>58.876247490446502</v>
      </c>
      <c r="AL6444">
        <v>91.257389864870902</v>
      </c>
      <c r="AM6444">
        <v>86.299155467670403</v>
      </c>
      <c r="AN6444">
        <v>0.99999992558795703</v>
      </c>
    </row>
    <row r="6445" spans="1:40" x14ac:dyDescent="0.25">
      <c r="A6445" t="str">
        <f>"20190312161441941"</f>
        <v>20190312161441941</v>
      </c>
      <c r="B6445" t="str">
        <f>"1552378481933480"</f>
        <v>1552378481933480</v>
      </c>
      <c r="C6445" t="s">
        <v>40</v>
      </c>
      <c r="D6445">
        <v>5.4785370000000002</v>
      </c>
      <c r="E6445">
        <v>0.3878103</v>
      </c>
      <c r="F6445" t="s">
        <v>77</v>
      </c>
      <c r="G6445">
        <v>-207.8416</v>
      </c>
      <c r="H6445">
        <v>7.9989080000000004E-2</v>
      </c>
      <c r="I6445">
        <v>-47.544220000000003</v>
      </c>
      <c r="J6445">
        <v>-263.69260000000003</v>
      </c>
      <c r="K6445">
        <v>1.1092869999999999</v>
      </c>
      <c r="L6445">
        <v>-64.676569999999998</v>
      </c>
      <c r="M6445">
        <v>0.99739279999999997</v>
      </c>
      <c r="N6445">
        <v>0</v>
      </c>
      <c r="O6445">
        <v>7.1686659999999999E-2</v>
      </c>
      <c r="P6445">
        <v>0.99951860000000003</v>
      </c>
      <c r="Q6445">
        <v>-3.0159100000000001E-2</v>
      </c>
      <c r="R6445">
        <v>7.2868489999999998E-3</v>
      </c>
      <c r="S6445">
        <v>2.9930729999999999</v>
      </c>
      <c r="T6445">
        <v>-5.5057759999999997E-2</v>
      </c>
      <c r="U6445">
        <v>0.91680910000000004</v>
      </c>
      <c r="V6445">
        <v>6.437466E-2</v>
      </c>
      <c r="W6445">
        <v>-2.191419E-2</v>
      </c>
      <c r="X6445">
        <v>0.99768509999999999</v>
      </c>
      <c r="Y6445">
        <v>-0.22355610000000001</v>
      </c>
      <c r="Z6445">
        <v>7.2512149999999997E-4</v>
      </c>
      <c r="AA6445">
        <v>0.97469079999999997</v>
      </c>
      <c r="AB6445">
        <v>22</v>
      </c>
      <c r="AC6445">
        <v>55.850999999999999</v>
      </c>
      <c r="AD6445">
        <v>-1.0292979200000001</v>
      </c>
      <c r="AE6445">
        <v>17.132349999999899</v>
      </c>
      <c r="AF6445">
        <v>-13.0802993284987</v>
      </c>
      <c r="AG6445">
        <v>-1.0292979200000001</v>
      </c>
      <c r="AH6445">
        <v>56.917830816331303</v>
      </c>
      <c r="AI6445">
        <v>91.009705821936294</v>
      </c>
      <c r="AJ6445">
        <v>102.94243690740601</v>
      </c>
      <c r="AK6445">
        <v>58.410556833228</v>
      </c>
      <c r="AL6445">
        <v>91.255691186658296</v>
      </c>
      <c r="AM6445">
        <v>86.308163388157595</v>
      </c>
      <c r="AN6445">
        <v>0.99999994366773903</v>
      </c>
    </row>
    <row r="6446" spans="1:40" x14ac:dyDescent="0.25">
      <c r="A6446" t="str">
        <f>"20190312161441952"</f>
        <v>20190312161441952</v>
      </c>
      <c r="B6446" t="str">
        <f>"1552378481943240"</f>
        <v>1552378481943240</v>
      </c>
      <c r="C6446" t="s">
        <v>40</v>
      </c>
      <c r="D6446">
        <v>5.4553289999999999</v>
      </c>
      <c r="E6446">
        <v>0.38779130000000001</v>
      </c>
      <c r="F6446" t="s">
        <v>77</v>
      </c>
      <c r="G6446">
        <v>-207.0488</v>
      </c>
      <c r="H6446">
        <v>7.9988729999999994E-2</v>
      </c>
      <c r="I6446">
        <v>-47.343670000000003</v>
      </c>
      <c r="J6446">
        <v>-263.58839999999998</v>
      </c>
      <c r="K6446">
        <v>1.1092900000000001</v>
      </c>
      <c r="L6446">
        <v>-64.669280000000001</v>
      </c>
      <c r="M6446">
        <v>0.99740510000000004</v>
      </c>
      <c r="N6446">
        <v>0</v>
      </c>
      <c r="O6446">
        <v>7.1514170000000002E-2</v>
      </c>
      <c r="P6446">
        <v>0.99952010000000002</v>
      </c>
      <c r="Q6446">
        <v>-3.016984E-2</v>
      </c>
      <c r="R6446">
        <v>7.0097960000000004E-3</v>
      </c>
      <c r="S6446">
        <v>2.993134</v>
      </c>
      <c r="T6446">
        <v>-5.4389479999999997E-2</v>
      </c>
      <c r="U6446">
        <v>0.91589359999999997</v>
      </c>
      <c r="V6446">
        <v>6.4478699999999903E-2</v>
      </c>
      <c r="W6446">
        <v>-2.192765E-2</v>
      </c>
      <c r="X6446">
        <v>0.99767819999999996</v>
      </c>
      <c r="Y6446">
        <v>-0.22344710000000001</v>
      </c>
      <c r="Z6446">
        <v>7.1840869999999896E-4</v>
      </c>
      <c r="AA6446">
        <v>0.97471580000000002</v>
      </c>
      <c r="AB6446">
        <v>22</v>
      </c>
      <c r="AC6446">
        <v>56.539599999999901</v>
      </c>
      <c r="AD6446">
        <v>-1.0293012699999999</v>
      </c>
      <c r="AE6446">
        <v>17.325609999999902</v>
      </c>
      <c r="AF6446">
        <v>-13.233715092560001</v>
      </c>
      <c r="AG6446">
        <v>-1.0293012699999999</v>
      </c>
      <c r="AH6446">
        <v>57.616438238076697</v>
      </c>
      <c r="AI6446">
        <v>90.9974956686345</v>
      </c>
      <c r="AJ6446">
        <v>102.935700794764</v>
      </c>
      <c r="AK6446">
        <v>59.125668127282701</v>
      </c>
      <c r="AL6446">
        <v>91.256462429987494</v>
      </c>
      <c r="AM6446">
        <v>86.302187813137095</v>
      </c>
      <c r="AN6446">
        <v>1.0000000576717201</v>
      </c>
    </row>
    <row r="6447" spans="1:40" x14ac:dyDescent="0.25">
      <c r="A6447" t="str">
        <f>"20190312161441963"</f>
        <v>20190312161441963</v>
      </c>
      <c r="B6447" t="str">
        <f>"1552378481953000"</f>
        <v>1552378481953000</v>
      </c>
      <c r="C6447" t="s">
        <v>40</v>
      </c>
      <c r="D6447">
        <v>5.4904349999999997</v>
      </c>
      <c r="E6447">
        <v>0.38801809999999998</v>
      </c>
      <c r="F6447" t="s">
        <v>77</v>
      </c>
      <c r="G6447">
        <v>-205.61519999999999</v>
      </c>
      <c r="H6447">
        <v>7.998806E-2</v>
      </c>
      <c r="I6447">
        <v>-46.94558</v>
      </c>
      <c r="J6447">
        <v>-263.47809999999998</v>
      </c>
      <c r="K6447">
        <v>1.1092879999999901</v>
      </c>
      <c r="L6447">
        <v>-64.661590000000004</v>
      </c>
      <c r="M6447">
        <v>0.99741820000000003</v>
      </c>
      <c r="N6447">
        <v>0</v>
      </c>
      <c r="O6447">
        <v>7.1331610000000004E-2</v>
      </c>
      <c r="P6447">
        <v>0.99951820000000002</v>
      </c>
      <c r="Q6447">
        <v>-3.03042E-2</v>
      </c>
      <c r="R6447">
        <v>6.6920340000000004E-3</v>
      </c>
      <c r="S6447">
        <v>2.993439</v>
      </c>
      <c r="T6447">
        <v>-5.314791E-2</v>
      </c>
      <c r="U6447">
        <v>0.91516109999999995</v>
      </c>
      <c r="V6447">
        <v>6.4612740000000002E-2</v>
      </c>
      <c r="W6447">
        <v>-2.2064609999999998E-2</v>
      </c>
      <c r="X6447">
        <v>0.99766650000000001</v>
      </c>
      <c r="Y6447">
        <v>-0.22338060000000001</v>
      </c>
      <c r="Z6447">
        <v>7.0453409999999997E-4</v>
      </c>
      <c r="AA6447">
        <v>0.97473100000000001</v>
      </c>
      <c r="AB6447">
        <v>22</v>
      </c>
      <c r="AC6447">
        <v>57.862900000000003</v>
      </c>
      <c r="AD6447">
        <v>-1.02929993999999</v>
      </c>
      <c r="AE6447">
        <v>17.716010000000001</v>
      </c>
      <c r="AF6447">
        <v>-13.539365328230399</v>
      </c>
      <c r="AG6447">
        <v>-1.02929993999999</v>
      </c>
      <c r="AH6447">
        <v>58.962189542946902</v>
      </c>
      <c r="AI6447">
        <v>90.974744482755497</v>
      </c>
      <c r="AJ6447">
        <v>102.93251570378</v>
      </c>
      <c r="AK6447">
        <v>60.505484607233498</v>
      </c>
      <c r="AL6447">
        <v>91.264311569261807</v>
      </c>
      <c r="AM6447">
        <v>86.294478765020401</v>
      </c>
      <c r="AN6447">
        <v>1.0000000492034999</v>
      </c>
    </row>
    <row r="6448" spans="1:40" x14ac:dyDescent="0.25">
      <c r="A6448" t="str">
        <f>"20190312161441974"</f>
        <v>20190312161441974</v>
      </c>
      <c r="B6448" t="str">
        <f>"1552378481973497"</f>
        <v>1552378481973497</v>
      </c>
      <c r="C6448" t="s">
        <v>40</v>
      </c>
      <c r="D6448">
        <v>5.4570249999999998</v>
      </c>
      <c r="E6448">
        <v>0.38805699999999999</v>
      </c>
      <c r="F6448" t="s">
        <v>77</v>
      </c>
      <c r="G6448">
        <v>-207.85910000000001</v>
      </c>
      <c r="H6448">
        <v>7.9989080000000004E-2</v>
      </c>
      <c r="I6448">
        <v>-47.70776</v>
      </c>
      <c r="J6448">
        <v>-263.37150000000003</v>
      </c>
      <c r="K6448">
        <v>1.109286</v>
      </c>
      <c r="L6448">
        <v>-64.654139999999998</v>
      </c>
      <c r="M6448">
        <v>0.99743090000000001</v>
      </c>
      <c r="N6448">
        <v>0</v>
      </c>
      <c r="O6448">
        <v>7.1154830000000002E-2</v>
      </c>
      <c r="P6448">
        <v>0.9995193</v>
      </c>
      <c r="Q6448">
        <v>-3.029138E-2</v>
      </c>
      <c r="R6448">
        <v>6.6420849999999998E-3</v>
      </c>
      <c r="S6448">
        <v>2.9936829999999999</v>
      </c>
      <c r="T6448">
        <v>-5.5401800000000001E-2</v>
      </c>
      <c r="U6448">
        <v>0.91253660000000003</v>
      </c>
      <c r="V6448">
        <v>6.4485619999999994E-2</v>
      </c>
      <c r="W6448">
        <v>-2.2053739999999999E-2</v>
      </c>
      <c r="X6448">
        <v>0.99767490000000003</v>
      </c>
      <c r="Y6448">
        <v>-0.22274749999999999</v>
      </c>
      <c r="Z6448">
        <v>7.3188099999999998E-4</v>
      </c>
      <c r="AA6448">
        <v>0.97487590000000002</v>
      </c>
      <c r="AB6448">
        <v>22</v>
      </c>
      <c r="AC6448">
        <v>55.5124</v>
      </c>
      <c r="AD6448">
        <v>-1.0292969199999999</v>
      </c>
      <c r="AE6448">
        <v>16.946379999999898</v>
      </c>
      <c r="AF6448">
        <v>-12.949239519119001</v>
      </c>
      <c r="AG6448">
        <v>-1.0292969199999999</v>
      </c>
      <c r="AH6448">
        <v>56.559752824607003</v>
      </c>
      <c r="AI6448">
        <v>91.016286817194697</v>
      </c>
      <c r="AJ6448">
        <v>102.895501902958</v>
      </c>
      <c r="AK6448">
        <v>58.0323004528829</v>
      </c>
      <c r="AL6448">
        <v>91.263688694535404</v>
      </c>
      <c r="AM6448">
        <v>86.301779858258897</v>
      </c>
      <c r="AN6448">
        <v>0.99999998436239002</v>
      </c>
    </row>
    <row r="6449" spans="1:40" x14ac:dyDescent="0.25">
      <c r="A6449" t="str">
        <f>"20190312161441987"</f>
        <v>20190312161441987</v>
      </c>
      <c r="B6449" t="str">
        <f>"1552378481983256"</f>
        <v>1552378481983256</v>
      </c>
      <c r="C6449" t="s">
        <v>40</v>
      </c>
      <c r="D6449">
        <v>5.4426480000000002</v>
      </c>
      <c r="E6449">
        <v>0.38784629999999998</v>
      </c>
      <c r="F6449" t="s">
        <v>77</v>
      </c>
      <c r="G6449">
        <v>-208.4727</v>
      </c>
      <c r="H6449">
        <v>7.9989340000000006E-2</v>
      </c>
      <c r="I6449">
        <v>-47.929540000000003</v>
      </c>
      <c r="J6449">
        <v>-263.25310000000002</v>
      </c>
      <c r="K6449">
        <v>1.109286</v>
      </c>
      <c r="L6449">
        <v>-64.645899999999997</v>
      </c>
      <c r="M6449">
        <v>0.99744489999999997</v>
      </c>
      <c r="N6449">
        <v>0</v>
      </c>
      <c r="O6449">
        <v>7.0958729999999998E-2</v>
      </c>
      <c r="P6449">
        <v>0.99951489999999998</v>
      </c>
      <c r="Q6449">
        <v>-3.0472679999999999E-2</v>
      </c>
      <c r="R6449">
        <v>6.4642969999999999E-3</v>
      </c>
      <c r="S6449">
        <v>2.9937130000000001</v>
      </c>
      <c r="T6449">
        <v>-5.6129100000000001E-2</v>
      </c>
      <c r="U6449">
        <v>0.91201779999999999</v>
      </c>
      <c r="V6449">
        <v>6.4466480000000007E-2</v>
      </c>
      <c r="W6449">
        <v>-2.2237219999999999E-2</v>
      </c>
      <c r="X6449">
        <v>0.99767209999999995</v>
      </c>
      <c r="Y6449">
        <v>-0.22278120000000001</v>
      </c>
      <c r="Z6449">
        <v>7.4537379999999997E-4</v>
      </c>
      <c r="AA6449">
        <v>0.97486819999999996</v>
      </c>
      <c r="AB6449">
        <v>22</v>
      </c>
      <c r="AC6449">
        <v>54.7804</v>
      </c>
      <c r="AD6449">
        <v>-1.02929666</v>
      </c>
      <c r="AE6449">
        <v>16.716359999999899</v>
      </c>
      <c r="AF6449">
        <v>-12.782810089351701</v>
      </c>
      <c r="AG6449">
        <v>-1.02929666</v>
      </c>
      <c r="AH6449">
        <v>55.810490097074499</v>
      </c>
      <c r="AI6449">
        <v>91.029906889253496</v>
      </c>
      <c r="AJ6449">
        <v>102.900489181517</v>
      </c>
      <c r="AK6449">
        <v>57.264915002734199</v>
      </c>
      <c r="AL6449">
        <v>91.274203857611596</v>
      </c>
      <c r="AM6449">
        <v>86.302864136125905</v>
      </c>
      <c r="AN6449">
        <v>1.00000002005766</v>
      </c>
    </row>
    <row r="6450" spans="1:40" x14ac:dyDescent="0.25">
      <c r="A6450" t="str">
        <f>"20190312161441997"</f>
        <v>20190312161441997</v>
      </c>
      <c r="B6450" t="str">
        <f>"1552378481993016"</f>
        <v>1552378481993016</v>
      </c>
      <c r="C6450" t="s">
        <v>40</v>
      </c>
      <c r="D6450">
        <v>5.4964430000000002</v>
      </c>
      <c r="E6450">
        <v>0.38800950000000001</v>
      </c>
      <c r="F6450" t="s">
        <v>77</v>
      </c>
      <c r="G6450">
        <v>-208.01519999999999</v>
      </c>
      <c r="H6450">
        <v>7.998914E-2</v>
      </c>
      <c r="I6450">
        <v>-47.798189999999998</v>
      </c>
      <c r="J6450">
        <v>-263.15039999999999</v>
      </c>
      <c r="K6450">
        <v>1.1092839999999999</v>
      </c>
      <c r="L6450">
        <v>-64.63879</v>
      </c>
      <c r="M6450">
        <v>0.99745689999999998</v>
      </c>
      <c r="N6450">
        <v>0</v>
      </c>
      <c r="O6450">
        <v>7.0788920000000005E-2</v>
      </c>
      <c r="P6450">
        <v>0.99951330000000005</v>
      </c>
      <c r="Q6450">
        <v>-3.0480699999999999E-2</v>
      </c>
      <c r="R6450">
        <v>6.6519919999999998E-3</v>
      </c>
      <c r="S6450">
        <v>2.9938959999999999</v>
      </c>
      <c r="T6450">
        <v>-5.5787919999999998E-2</v>
      </c>
      <c r="U6450">
        <v>0.91314700000000004</v>
      </c>
      <c r="V6450">
        <v>6.4109269999999996E-2</v>
      </c>
      <c r="W6450">
        <v>-2.22464E-2</v>
      </c>
      <c r="X6450">
        <v>0.99769490000000005</v>
      </c>
      <c r="Y6450">
        <v>-0.2232671</v>
      </c>
      <c r="Z6450">
        <v>7.4826289999999995E-4</v>
      </c>
      <c r="AA6450">
        <v>0.97475699999999998</v>
      </c>
      <c r="AB6450">
        <v>22</v>
      </c>
      <c r="AC6450">
        <v>55.135199999999998</v>
      </c>
      <c r="AD6450">
        <v>-1.02929486</v>
      </c>
      <c r="AE6450">
        <v>16.840599999999899</v>
      </c>
      <c r="AF6450">
        <v>-12.8911447427772</v>
      </c>
      <c r="AG6450">
        <v>-1.02929486</v>
      </c>
      <c r="AH6450">
        <v>56.1711366410686</v>
      </c>
      <c r="AI6450">
        <v>91.023191916130699</v>
      </c>
      <c r="AJ6450">
        <v>102.925425936389</v>
      </c>
      <c r="AK6450">
        <v>57.640590318261502</v>
      </c>
      <c r="AL6450">
        <v>91.274729979461995</v>
      </c>
      <c r="AM6450">
        <v>86.323377480446197</v>
      </c>
      <c r="AN6450">
        <v>1.0000000071494499</v>
      </c>
    </row>
    <row r="6451" spans="1:40" x14ac:dyDescent="0.25">
      <c r="A6451" t="str">
        <f>"20190312161442009"</f>
        <v>20190312161442009</v>
      </c>
      <c r="B6451" t="str">
        <f>"1552378482002779"</f>
        <v>1552378482002779</v>
      </c>
      <c r="C6451" t="s">
        <v>40</v>
      </c>
      <c r="D6451">
        <v>5.4199570000000001</v>
      </c>
      <c r="E6451">
        <v>0.38786369999999998</v>
      </c>
      <c r="F6451" t="s">
        <v>77</v>
      </c>
      <c r="G6451">
        <v>-208.85839999999999</v>
      </c>
      <c r="H6451">
        <v>7.9989489999999996E-2</v>
      </c>
      <c r="I6451">
        <v>-48.09207</v>
      </c>
      <c r="J6451">
        <v>-263.03919999999999</v>
      </c>
      <c r="K6451">
        <v>1.1092820000000001</v>
      </c>
      <c r="L6451">
        <v>-64.631100000000004</v>
      </c>
      <c r="M6451">
        <v>0.99746999999999997</v>
      </c>
      <c r="N6451">
        <v>0</v>
      </c>
      <c r="O6451">
        <v>7.0604749999999994E-2</v>
      </c>
      <c r="P6451">
        <v>0.99951330000000005</v>
      </c>
      <c r="Q6451">
        <v>-3.049282E-2</v>
      </c>
      <c r="R6451">
        <v>6.5871910000000001E-3</v>
      </c>
      <c r="S6451">
        <v>2.993652</v>
      </c>
      <c r="T6451">
        <v>-5.6755189999999997E-2</v>
      </c>
      <c r="U6451">
        <v>0.91238399999999997</v>
      </c>
      <c r="V6451">
        <v>6.3989889999999994E-2</v>
      </c>
      <c r="W6451">
        <v>-2.2260209999999999E-2</v>
      </c>
      <c r="X6451">
        <v>0.99770219999999998</v>
      </c>
      <c r="Y6451">
        <v>-0.2232411</v>
      </c>
      <c r="Z6451">
        <v>7.6446710000000005E-4</v>
      </c>
      <c r="AA6451">
        <v>0.97476300000000005</v>
      </c>
      <c r="AB6451">
        <v>22</v>
      </c>
      <c r="AC6451">
        <v>54.180799999999998</v>
      </c>
      <c r="AD6451">
        <v>-1.0292925100000001</v>
      </c>
      <c r="AE6451">
        <v>16.53903</v>
      </c>
      <c r="AF6451">
        <v>-12.6680166942807</v>
      </c>
      <c r="AG6451">
        <v>-1.0292925100000001</v>
      </c>
      <c r="AH6451">
        <v>55.195127662641603</v>
      </c>
      <c r="AI6451">
        <v>91.041275021255998</v>
      </c>
      <c r="AJ6451">
        <v>102.926277679104</v>
      </c>
      <c r="AK6451">
        <v>56.639563979015698</v>
      </c>
      <c r="AL6451">
        <v>91.275521501248093</v>
      </c>
      <c r="AM6451">
        <v>86.330231892751897</v>
      </c>
      <c r="AN6451">
        <v>0.99999995142814602</v>
      </c>
    </row>
    <row r="6452" spans="1:40" x14ac:dyDescent="0.25">
      <c r="A6452" t="str">
        <f>"20190312161442019"</f>
        <v>20190312161442019</v>
      </c>
      <c r="B6452" t="str">
        <f>"1552378482012536"</f>
        <v>1552378482012536</v>
      </c>
      <c r="C6452" t="s">
        <v>40</v>
      </c>
      <c r="D6452">
        <v>5.0657300000000003</v>
      </c>
      <c r="E6452">
        <v>0.38786369999999998</v>
      </c>
      <c r="F6452" t="s">
        <v>77</v>
      </c>
      <c r="G6452">
        <v>-209.2697</v>
      </c>
      <c r="H6452">
        <v>7.9989660000000004E-2</v>
      </c>
      <c r="I6452">
        <v>-48.224600000000002</v>
      </c>
      <c r="J6452">
        <v>-262.93079999999998</v>
      </c>
      <c r="K6452">
        <v>1.109278</v>
      </c>
      <c r="L6452">
        <v>-64.623630000000006</v>
      </c>
      <c r="M6452">
        <v>0.9974828</v>
      </c>
      <c r="N6452">
        <v>0</v>
      </c>
      <c r="O6452">
        <v>7.0425169999999995E-2</v>
      </c>
      <c r="P6452">
        <v>0.99950760000000005</v>
      </c>
      <c r="Q6452">
        <v>-3.0648060000000001E-2</v>
      </c>
      <c r="R6452">
        <v>6.7510869999999898E-3</v>
      </c>
      <c r="S6452">
        <v>2.9936829999999999</v>
      </c>
      <c r="T6452">
        <v>-5.7307120000000003E-2</v>
      </c>
      <c r="U6452">
        <v>0.91345209999999999</v>
      </c>
      <c r="V6452">
        <v>6.3646110000000006E-2</v>
      </c>
      <c r="W6452">
        <v>-2.241887E-2</v>
      </c>
      <c r="X6452">
        <v>0.99772070000000002</v>
      </c>
      <c r="Y6452">
        <v>-0.2237314</v>
      </c>
      <c r="Z6452">
        <v>7.7978240000000005E-4</v>
      </c>
      <c r="AA6452">
        <v>0.97465049999999998</v>
      </c>
      <c r="AB6452">
        <v>22</v>
      </c>
      <c r="AC6452">
        <v>53.661099999999898</v>
      </c>
      <c r="AD6452">
        <v>-1.0292883399999999</v>
      </c>
      <c r="AE6452">
        <v>16.39903</v>
      </c>
      <c r="AF6452">
        <v>-12.574856852276399</v>
      </c>
      <c r="AG6452">
        <v>-1.0292883399999999</v>
      </c>
      <c r="AH6452">
        <v>54.664403530314601</v>
      </c>
      <c r="AI6452">
        <v>91.051257780195698</v>
      </c>
      <c r="AJ6452">
        <v>102.95479929028301</v>
      </c>
      <c r="AK6452">
        <v>56.101546080898402</v>
      </c>
      <c r="AL6452">
        <v>91.284614238708102</v>
      </c>
      <c r="AM6452">
        <v>86.349961450553096</v>
      </c>
      <c r="AN6452">
        <v>1.0000000141293399</v>
      </c>
    </row>
    <row r="6453" spans="1:40" x14ac:dyDescent="0.25">
      <c r="A6453" t="str">
        <f>"20190312161442758"</f>
        <v>20190312161442758</v>
      </c>
      <c r="B6453" t="str">
        <f>"1552378482752913"</f>
        <v>1552378482752913</v>
      </c>
      <c r="C6453" t="s">
        <v>40</v>
      </c>
      <c r="D6453">
        <v>5.723503</v>
      </c>
      <c r="E6453">
        <v>0.38866820000000002</v>
      </c>
      <c r="F6453" t="s">
        <v>77</v>
      </c>
      <c r="G6453">
        <v>-209.7013</v>
      </c>
      <c r="H6453">
        <v>7.9989840000000006E-2</v>
      </c>
      <c r="I6453">
        <v>-48.372210000000003</v>
      </c>
      <c r="J6453">
        <v>-255.33029999999999</v>
      </c>
      <c r="K6453">
        <v>1.1091249999999999</v>
      </c>
      <c r="L6453">
        <v>-64.147580000000005</v>
      </c>
      <c r="M6453">
        <v>0.99828859999999997</v>
      </c>
      <c r="N6453">
        <v>0</v>
      </c>
      <c r="O6453">
        <v>5.7906779999999998E-2</v>
      </c>
      <c r="P6453">
        <v>0.99912670000000003</v>
      </c>
      <c r="Q6453">
        <v>-4.064736E-2</v>
      </c>
      <c r="R6453">
        <v>-9.6879779999999999E-3</v>
      </c>
      <c r="S6453">
        <v>2.9935</v>
      </c>
      <c r="T6453">
        <v>-5.7884690000000003E-2</v>
      </c>
      <c r="U6453">
        <v>0.91394039999999999</v>
      </c>
      <c r="V6453">
        <v>6.7508250000000006E-2</v>
      </c>
      <c r="W6453">
        <v>-3.2542040000000001E-2</v>
      </c>
      <c r="X6453">
        <v>0.99718790000000002</v>
      </c>
      <c r="Y6453">
        <v>-0.236097</v>
      </c>
      <c r="Z6453">
        <v>1.1397200000000001E-3</v>
      </c>
      <c r="AA6453">
        <v>0.97172879999999995</v>
      </c>
      <c r="AB6453">
        <v>24</v>
      </c>
      <c r="AC6453">
        <v>45.628999999999898</v>
      </c>
      <c r="AD6453">
        <v>-1.0291351599999901</v>
      </c>
      <c r="AE6453">
        <v>15.775370000000001</v>
      </c>
      <c r="AF6453">
        <v>-13.1006277489426</v>
      </c>
      <c r="AG6453">
        <v>-1.0291351599999901</v>
      </c>
      <c r="AH6453">
        <v>46.444856515500099</v>
      </c>
      <c r="AI6453">
        <v>91.221708741862201</v>
      </c>
      <c r="AJ6453">
        <v>105.752083751672</v>
      </c>
      <c r="AK6453">
        <v>48.268108139218697</v>
      </c>
      <c r="AL6453">
        <v>91.864850736542607</v>
      </c>
      <c r="AM6453">
        <v>86.127063966763302</v>
      </c>
      <c r="AN6453">
        <v>1.00000002804591</v>
      </c>
    </row>
    <row r="6454" spans="1:40" x14ac:dyDescent="0.25">
      <c r="A6454" t="str">
        <f>"20190312161442770"</f>
        <v>20190312161442770</v>
      </c>
      <c r="B6454" t="str">
        <f>"1552378482762684"</f>
        <v>1552378482762684</v>
      </c>
      <c r="C6454" t="s">
        <v>40</v>
      </c>
      <c r="D6454">
        <v>5.5541530000000003</v>
      </c>
      <c r="E6454">
        <v>0.38866820000000002</v>
      </c>
      <c r="F6454" t="s">
        <v>109</v>
      </c>
      <c r="G6454">
        <v>-213.4426</v>
      </c>
      <c r="H6454" s="1">
        <v>-2.3224310000000002E-6</v>
      </c>
      <c r="I6454">
        <v>-52.197569999999999</v>
      </c>
      <c r="J6454">
        <v>-255.20830000000001</v>
      </c>
      <c r="K6454">
        <v>1.1091219999999999</v>
      </c>
      <c r="L6454">
        <v>-64.140720000000002</v>
      </c>
      <c r="M6454">
        <v>0.99830030000000003</v>
      </c>
      <c r="N6454">
        <v>0</v>
      </c>
      <c r="O6454">
        <v>5.7706809999999997E-2</v>
      </c>
      <c r="P6454">
        <v>0.99911479999999997</v>
      </c>
      <c r="Q6454">
        <v>-4.0910889999999998E-2</v>
      </c>
      <c r="R6454">
        <v>-9.8154160000000004E-3</v>
      </c>
      <c r="S6454">
        <v>3.007736</v>
      </c>
      <c r="T6454">
        <v>-7.9640509999999998E-2</v>
      </c>
      <c r="U6454">
        <v>0.85806269999999996</v>
      </c>
      <c r="V6454">
        <v>6.7434960000000002E-2</v>
      </c>
      <c r="W6454">
        <v>-3.2805420000000002E-2</v>
      </c>
      <c r="X6454">
        <v>0.99718419999999997</v>
      </c>
      <c r="Y6454">
        <v>-0.218336</v>
      </c>
      <c r="Z6454">
        <v>1.3393299999999999E-3</v>
      </c>
      <c r="AA6454">
        <v>0.97587279999999998</v>
      </c>
      <c r="AB6454">
        <v>24</v>
      </c>
      <c r="AC6454">
        <v>41.765700000000002</v>
      </c>
      <c r="AD6454">
        <v>-1.1091243224309999</v>
      </c>
      <c r="AE6454">
        <v>11.943149999999999</v>
      </c>
      <c r="AF6454">
        <v>-9.5068033652619697</v>
      </c>
      <c r="AG6454">
        <v>-1.1091243224309999</v>
      </c>
      <c r="AH6454">
        <v>42.357706600046598</v>
      </c>
      <c r="AI6454">
        <v>91.463538082563403</v>
      </c>
      <c r="AJ6454">
        <v>102.64989138115401</v>
      </c>
      <c r="AK6454">
        <v>43.425623488949398</v>
      </c>
      <c r="AL6454">
        <v>91.879949414653396</v>
      </c>
      <c r="AM6454">
        <v>86.131241514280404</v>
      </c>
      <c r="AN6454">
        <v>0.99999999907060899</v>
      </c>
    </row>
    <row r="6455" spans="1:40" x14ac:dyDescent="0.25">
      <c r="A6455" t="str">
        <f>"20190312161442781"</f>
        <v>20190312161442781</v>
      </c>
      <c r="B6455" t="str">
        <f>"1552378482772433"</f>
        <v>1552378482772433</v>
      </c>
      <c r="C6455" t="s">
        <v>40</v>
      </c>
      <c r="D6455">
        <v>5.5745120000000004</v>
      </c>
      <c r="E6455">
        <v>0.45755410000000002</v>
      </c>
      <c r="F6455" t="s">
        <v>109</v>
      </c>
      <c r="G6455">
        <v>-213.75319999999999</v>
      </c>
      <c r="H6455" s="1">
        <v>-2.3956110000000001E-6</v>
      </c>
      <c r="I6455">
        <v>-52.319749999999999</v>
      </c>
      <c r="J6455">
        <v>-255.08779999999999</v>
      </c>
      <c r="K6455">
        <v>1.109119</v>
      </c>
      <c r="L6455">
        <v>-64.133969999999906</v>
      </c>
      <c r="M6455">
        <v>0.99831159999999997</v>
      </c>
      <c r="N6455">
        <v>0</v>
      </c>
      <c r="O6455">
        <v>5.7509449999999997E-2</v>
      </c>
      <c r="P6455">
        <v>0.99911329999999998</v>
      </c>
      <c r="Q6455">
        <v>-4.1013750000000002E-2</v>
      </c>
      <c r="R6455">
        <v>-9.5424529999999994E-3</v>
      </c>
      <c r="S6455">
        <v>3.0077820000000002</v>
      </c>
      <c r="T6455">
        <v>-8.0472589999999997E-2</v>
      </c>
      <c r="U6455">
        <v>0.85766600000000004</v>
      </c>
      <c r="V6455">
        <v>6.6965010000000005E-2</v>
      </c>
      <c r="W6455">
        <v>-3.2907390000000002E-2</v>
      </c>
      <c r="X6455">
        <v>0.99721249999999995</v>
      </c>
      <c r="Y6455">
        <v>-0.21840480000000001</v>
      </c>
      <c r="Z6455">
        <v>1.3593730000000001E-3</v>
      </c>
      <c r="AA6455">
        <v>0.97585730000000004</v>
      </c>
      <c r="AB6455">
        <v>24</v>
      </c>
      <c r="AC6455">
        <v>41.334600000000002</v>
      </c>
      <c r="AD6455">
        <v>-1.109121395611</v>
      </c>
      <c r="AE6455">
        <v>11.814219999999899</v>
      </c>
      <c r="AF6455">
        <v>-9.4111921396681097</v>
      </c>
      <c r="AG6455">
        <v>-1.109121395611</v>
      </c>
      <c r="AH6455">
        <v>41.917735716526003</v>
      </c>
      <c r="AI6455">
        <v>91.478865136098804</v>
      </c>
      <c r="AJ6455">
        <v>102.65397255361501</v>
      </c>
      <c r="AK6455">
        <v>42.975542525493204</v>
      </c>
      <c r="AL6455">
        <v>91.885795039463005</v>
      </c>
      <c r="AM6455">
        <v>86.158230327976895</v>
      </c>
      <c r="AN6455">
        <v>0.99999998951858105</v>
      </c>
    </row>
    <row r="6456" spans="1:40" x14ac:dyDescent="0.25">
      <c r="A6456" t="str">
        <f>"20190312161442792"</f>
        <v>20190312161442792</v>
      </c>
      <c r="B6456" t="str">
        <f>"1552378482783169"</f>
        <v>1552378482783169</v>
      </c>
      <c r="C6456" t="s">
        <v>40</v>
      </c>
      <c r="D6456">
        <v>5.4656250000000002</v>
      </c>
      <c r="E6456">
        <v>0.45410129999999999</v>
      </c>
      <c r="F6456" t="s">
        <v>107</v>
      </c>
      <c r="G6456">
        <v>-230.58529999999999</v>
      </c>
      <c r="H6456" s="1">
        <v>4.3795049999999999E-7</v>
      </c>
      <c r="I6456">
        <v>-61.600540000000002</v>
      </c>
      <c r="J6456">
        <v>-254.9693</v>
      </c>
      <c r="K6456">
        <v>1.1091169999999999</v>
      </c>
      <c r="L6456">
        <v>-64.127350000000007</v>
      </c>
      <c r="M6456">
        <v>0.99832270000000001</v>
      </c>
      <c r="N6456">
        <v>0</v>
      </c>
      <c r="O6456">
        <v>5.7315310000000001E-2</v>
      </c>
      <c r="P6456">
        <v>0.99911669999999997</v>
      </c>
      <c r="Q6456">
        <v>-4.0890719999999998E-2</v>
      </c>
      <c r="R6456">
        <v>-9.6935560000000007E-3</v>
      </c>
      <c r="S6456">
        <v>3.0000460000000002</v>
      </c>
      <c r="T6456">
        <v>-0.13579869999999999</v>
      </c>
      <c r="U6456">
        <v>0.31018069999999998</v>
      </c>
      <c r="V6456">
        <v>6.6922229999999999E-2</v>
      </c>
      <c r="W6456">
        <v>-3.2783859999999998E-2</v>
      </c>
      <c r="X6456">
        <v>0.99721939999999998</v>
      </c>
      <c r="Y6456">
        <v>-4.5673110000000003E-2</v>
      </c>
      <c r="Z6456">
        <v>-1.5528759999999999E-3</v>
      </c>
      <c r="AA6456">
        <v>0.99895520000000004</v>
      </c>
      <c r="AB6456">
        <v>24</v>
      </c>
      <c r="AC6456">
        <v>24.384</v>
      </c>
      <c r="AD6456">
        <v>-1.1091165620494901</v>
      </c>
      <c r="AE6456">
        <v>2.5268099999999998</v>
      </c>
      <c r="AF6456">
        <v>-1.1227346327265999</v>
      </c>
      <c r="AG6456">
        <v>-1.1091165620494901</v>
      </c>
      <c r="AH6456">
        <v>24.438718177035799</v>
      </c>
      <c r="AI6456">
        <v>92.595770578530704</v>
      </c>
      <c r="AJ6456">
        <v>92.630365338905406</v>
      </c>
      <c r="AK6456">
        <v>24.489622674519001</v>
      </c>
      <c r="AL6456">
        <v>91.878713546861704</v>
      </c>
      <c r="AM6456">
        <v>86.160703751529994</v>
      </c>
      <c r="AN6456">
        <v>0.99999994904051503</v>
      </c>
    </row>
    <row r="6457" spans="1:40" x14ac:dyDescent="0.25">
      <c r="A6457" t="str">
        <f>"20190312161442802"</f>
        <v>20190312161442802</v>
      </c>
      <c r="B6457" t="str">
        <f>"1552378482792930"</f>
        <v>1552378482792930</v>
      </c>
      <c r="C6457" t="s">
        <v>40</v>
      </c>
      <c r="D6457">
        <v>5.5438669999999997</v>
      </c>
      <c r="E6457">
        <v>0.4540748</v>
      </c>
      <c r="F6457" t="s">
        <v>108</v>
      </c>
      <c r="G6457">
        <v>-228.25049999999999</v>
      </c>
      <c r="H6457" s="1">
        <v>-2.8225660000000002E-6</v>
      </c>
      <c r="I6457">
        <v>-61.126159999999999</v>
      </c>
      <c r="J6457">
        <v>-254.85210000000001</v>
      </c>
      <c r="K6457">
        <v>1.1091169999999999</v>
      </c>
      <c r="L6457">
        <v>-64.120819999999995</v>
      </c>
      <c r="M6457">
        <v>0.99833369999999999</v>
      </c>
      <c r="N6457">
        <v>0</v>
      </c>
      <c r="O6457">
        <v>5.7123439999999998E-2</v>
      </c>
      <c r="P6457">
        <v>0.99911510000000003</v>
      </c>
      <c r="Q6457">
        <v>-4.0930710000000002E-2</v>
      </c>
      <c r="R6457">
        <v>-9.6802820000000001E-3</v>
      </c>
      <c r="S6457">
        <v>3.0008240000000002</v>
      </c>
      <c r="T6457">
        <v>-0.1245663</v>
      </c>
      <c r="U6457">
        <v>0.3370667</v>
      </c>
      <c r="V6457">
        <v>6.6717360000000003E-2</v>
      </c>
      <c r="W6457">
        <v>-3.2823020000000001E-2</v>
      </c>
      <c r="X6457">
        <v>0.99723189999999995</v>
      </c>
      <c r="Y6457">
        <v>-5.4674149999999998E-2</v>
      </c>
      <c r="Z6457">
        <v>-1.229279E-3</v>
      </c>
      <c r="AA6457">
        <v>0.99850349999999999</v>
      </c>
      <c r="AB6457">
        <v>24</v>
      </c>
      <c r="AC6457">
        <v>26.601600000000001</v>
      </c>
      <c r="AD6457">
        <v>-1.1091198225659999</v>
      </c>
      <c r="AE6457">
        <v>2.9946599999999899</v>
      </c>
      <c r="AF6457">
        <v>-1.46762481056424</v>
      </c>
      <c r="AG6457">
        <v>-1.1091198225659999</v>
      </c>
      <c r="AH6457">
        <v>26.6834258579261</v>
      </c>
      <c r="AI6457">
        <v>92.376590888542395</v>
      </c>
      <c r="AJ6457">
        <v>93.1481739985758</v>
      </c>
      <c r="AK6457">
        <v>26.7467621382632</v>
      </c>
      <c r="AL6457">
        <v>91.880958343963997</v>
      </c>
      <c r="AM6457">
        <v>86.172469889906296</v>
      </c>
      <c r="AN6457">
        <v>1.0000000095724499</v>
      </c>
    </row>
    <row r="6458" spans="1:40" x14ac:dyDescent="0.25">
      <c r="A6458" t="str">
        <f>"20190312161442814"</f>
        <v>20190312161442814</v>
      </c>
      <c r="B6458" t="str">
        <f>"1552378482802689"</f>
        <v>1552378482802689</v>
      </c>
      <c r="C6458" t="s">
        <v>40</v>
      </c>
      <c r="D6458">
        <v>5.4174410000000002</v>
      </c>
      <c r="E6458">
        <v>0.45197359999999998</v>
      </c>
      <c r="F6458" t="s">
        <v>108</v>
      </c>
      <c r="G6458">
        <v>-225.5299</v>
      </c>
      <c r="H6458" s="1">
        <v>-1.5890039999999899E-6</v>
      </c>
      <c r="I6458">
        <v>-60.827370000000002</v>
      </c>
      <c r="J6458">
        <v>-254.73089999999999</v>
      </c>
      <c r="K6458">
        <v>1.109116</v>
      </c>
      <c r="L6458">
        <v>-64.114069999999998</v>
      </c>
      <c r="M6458">
        <v>0.99834500000000004</v>
      </c>
      <c r="N6458">
        <v>0</v>
      </c>
      <c r="O6458">
        <v>5.6925000000000003E-2</v>
      </c>
      <c r="P6458">
        <v>0.99912049999999997</v>
      </c>
      <c r="Q6458">
        <v>-4.0801980000000002E-2</v>
      </c>
      <c r="R6458">
        <v>-9.6771440000000004E-3</v>
      </c>
      <c r="S6458">
        <v>3.0012509999999999</v>
      </c>
      <c r="T6458">
        <v>-0.1135226</v>
      </c>
      <c r="U6458">
        <v>0.33709719999999999</v>
      </c>
      <c r="V6458">
        <v>6.6516320000000004E-2</v>
      </c>
      <c r="W6458">
        <v>-3.269329E-2</v>
      </c>
      <c r="X6458">
        <v>0.99724959999999996</v>
      </c>
      <c r="Y6458">
        <v>-5.4866270000000002E-2</v>
      </c>
      <c r="Z6458">
        <v>-1.109138E-3</v>
      </c>
      <c r="AA6458">
        <v>0.99849310000000002</v>
      </c>
      <c r="AB6458">
        <v>24</v>
      </c>
      <c r="AC6458">
        <v>29.201000000000001</v>
      </c>
      <c r="AD6458">
        <v>-1.1091175890039999</v>
      </c>
      <c r="AE6458">
        <v>3.2867000000000002</v>
      </c>
      <c r="AF6458">
        <v>-1.6167444564144799</v>
      </c>
      <c r="AG6458">
        <v>-1.1091175890039999</v>
      </c>
      <c r="AH6458">
        <v>29.299008498681999</v>
      </c>
      <c r="AI6458">
        <v>92.164613768522699</v>
      </c>
      <c r="AJ6458">
        <v>93.158427201722603</v>
      </c>
      <c r="AK6458">
        <v>29.364534790618201</v>
      </c>
      <c r="AL6458">
        <v>91.873521354701197</v>
      </c>
      <c r="AM6458">
        <v>86.184036821055301</v>
      </c>
      <c r="AN6458">
        <v>1.0000000183687601</v>
      </c>
    </row>
    <row r="6459" spans="1:40" x14ac:dyDescent="0.25">
      <c r="A6459" t="str">
        <f>"20190312161442825"</f>
        <v>20190312161442825</v>
      </c>
      <c r="B6459" t="str">
        <f>"1552378482823137"</f>
        <v>1552378482823137</v>
      </c>
      <c r="C6459" t="s">
        <v>40</v>
      </c>
      <c r="D6459">
        <v>5.537083</v>
      </c>
      <c r="E6459">
        <v>0.45240150000000001</v>
      </c>
      <c r="F6459" t="s">
        <v>108</v>
      </c>
      <c r="G6459">
        <v>-223.78139999999999</v>
      </c>
      <c r="H6459" s="1">
        <v>-7.5868470000000002E-7</v>
      </c>
      <c r="I6459">
        <v>-60.46658</v>
      </c>
      <c r="J6459">
        <v>-254.60720000000001</v>
      </c>
      <c r="K6459">
        <v>1.109113</v>
      </c>
      <c r="L6459">
        <v>-64.107240000000004</v>
      </c>
      <c r="M6459">
        <v>0.99835649999999998</v>
      </c>
      <c r="N6459">
        <v>0</v>
      </c>
      <c r="O6459">
        <v>5.6722340000000003E-2</v>
      </c>
      <c r="P6459">
        <v>0.99912109999999998</v>
      </c>
      <c r="Q6459">
        <v>-4.0809619999999998E-2</v>
      </c>
      <c r="R6459">
        <v>-9.5735109999999998E-3</v>
      </c>
      <c r="S6459">
        <v>3.001709</v>
      </c>
      <c r="T6459">
        <v>-0.1075702</v>
      </c>
      <c r="U6459">
        <v>0.35375980000000001</v>
      </c>
      <c r="V6459">
        <v>6.6210690000000003E-2</v>
      </c>
      <c r="W6459">
        <v>-3.2699730000000003E-2</v>
      </c>
      <c r="X6459">
        <v>0.99726970000000004</v>
      </c>
      <c r="Y6459">
        <v>-6.051753E-2</v>
      </c>
      <c r="Z6459">
        <v>-9.4235490000000005E-4</v>
      </c>
      <c r="AA6459">
        <v>0.99816669999999996</v>
      </c>
      <c r="AB6459">
        <v>24</v>
      </c>
      <c r="AC6459">
        <v>30.825800000000001</v>
      </c>
      <c r="AD6459">
        <v>-1.1091137586847</v>
      </c>
      <c r="AE6459">
        <v>3.6406599999999898</v>
      </c>
      <c r="AF6459">
        <v>-1.8838229586534401</v>
      </c>
      <c r="AG6459">
        <v>-1.1091137586847</v>
      </c>
      <c r="AH6459">
        <v>30.943173706079001</v>
      </c>
      <c r="AI6459">
        <v>92.049015896862102</v>
      </c>
      <c r="AJ6459">
        <v>93.483871822768805</v>
      </c>
      <c r="AK6459">
        <v>31.020298536181599</v>
      </c>
      <c r="AL6459">
        <v>91.873890587882499</v>
      </c>
      <c r="AM6459">
        <v>86.201595341491895</v>
      </c>
      <c r="AN6459">
        <v>0.99999999117521898</v>
      </c>
    </row>
    <row r="6460" spans="1:40" x14ac:dyDescent="0.25">
      <c r="A6460" t="str">
        <f>"20190312161442837"</f>
        <v>20190312161442837</v>
      </c>
      <c r="B6460" t="str">
        <f>"1552378482832898"</f>
        <v>1552378482832898</v>
      </c>
      <c r="C6460" t="s">
        <v>40</v>
      </c>
      <c r="D6460">
        <v>5.5868190000000002</v>
      </c>
      <c r="E6460">
        <v>0.45281349999999998</v>
      </c>
      <c r="F6460" t="s">
        <v>108</v>
      </c>
      <c r="G6460">
        <v>-225.4503</v>
      </c>
      <c r="H6460" s="1">
        <v>-1.526473E-6</v>
      </c>
      <c r="I6460">
        <v>-60.699669999999998</v>
      </c>
      <c r="J6460">
        <v>-254.48269999999999</v>
      </c>
      <c r="K6460">
        <v>1.1091139999999999</v>
      </c>
      <c r="L6460">
        <v>-64.100399999999993</v>
      </c>
      <c r="M6460">
        <v>0.99836800000000003</v>
      </c>
      <c r="N6460">
        <v>0</v>
      </c>
      <c r="O6460">
        <v>5.6518600000000002E-2</v>
      </c>
      <c r="P6460">
        <v>0.99911719999999904</v>
      </c>
      <c r="Q6460">
        <v>-4.0919560000000001E-2</v>
      </c>
      <c r="R6460">
        <v>-9.5195739999999994E-3</v>
      </c>
      <c r="S6460">
        <v>3.0013580000000002</v>
      </c>
      <c r="T6460">
        <v>-0.1141702</v>
      </c>
      <c r="U6460">
        <v>0.350769</v>
      </c>
      <c r="V6460">
        <v>6.5952869999999997E-2</v>
      </c>
      <c r="W6460">
        <v>-3.2808370000000003E-2</v>
      </c>
      <c r="X6460">
        <v>0.99728320000000004</v>
      </c>
      <c r="Y6460">
        <v>-5.9753750000000001E-2</v>
      </c>
      <c r="Z6460">
        <v>-1.007095E-3</v>
      </c>
      <c r="AA6460">
        <v>0.99821260000000001</v>
      </c>
      <c r="AB6460">
        <v>24</v>
      </c>
      <c r="AC6460">
        <v>29.032399999999999</v>
      </c>
      <c r="AD6460">
        <v>-1.1091155264729999</v>
      </c>
      <c r="AE6460">
        <v>3.40072999999999</v>
      </c>
      <c r="AF6460">
        <v>-1.7518460473316</v>
      </c>
      <c r="AG6460">
        <v>-1.1091155264729999</v>
      </c>
      <c r="AH6460">
        <v>29.1362536728724</v>
      </c>
      <c r="AI6460">
        <v>92.176071797179404</v>
      </c>
      <c r="AJ6460">
        <v>93.440823012145202</v>
      </c>
      <c r="AK6460">
        <v>29.2099363216455</v>
      </c>
      <c r="AL6460">
        <v>91.880118572373604</v>
      </c>
      <c r="AM6460">
        <v>86.216394098104104</v>
      </c>
      <c r="AN6460">
        <v>0.99999997560276599</v>
      </c>
    </row>
    <row r="6461" spans="1:40" x14ac:dyDescent="0.25">
      <c r="A6461" t="str">
        <f>"20190312161442849"</f>
        <v>20190312161442849</v>
      </c>
      <c r="B6461" t="str">
        <f>"1552378482842662"</f>
        <v>1552378482842662</v>
      </c>
      <c r="C6461" t="s">
        <v>40</v>
      </c>
      <c r="D6461">
        <v>5.5318630000000004</v>
      </c>
      <c r="E6461">
        <v>0.4531464</v>
      </c>
      <c r="F6461" t="s">
        <v>108</v>
      </c>
      <c r="G6461">
        <v>-224.66390000000001</v>
      </c>
      <c r="H6461" s="1">
        <v>-1.177395E-6</v>
      </c>
      <c r="I6461">
        <v>-60.647019999999998</v>
      </c>
      <c r="J6461">
        <v>-254.3546</v>
      </c>
      <c r="K6461">
        <v>1.109113</v>
      </c>
      <c r="L6461">
        <v>-64.093350000000001</v>
      </c>
      <c r="M6461">
        <v>0.99837989999999999</v>
      </c>
      <c r="N6461">
        <v>0</v>
      </c>
      <c r="O6461">
        <v>5.6308839999999999E-2</v>
      </c>
      <c r="P6461">
        <v>0.99911260000000002</v>
      </c>
      <c r="Q6461">
        <v>-4.0982289999999998E-2</v>
      </c>
      <c r="R6461">
        <v>-9.7284889999999999E-3</v>
      </c>
      <c r="S6461">
        <v>3.0013730000000001</v>
      </c>
      <c r="T6461">
        <v>-0.1116364</v>
      </c>
      <c r="U6461">
        <v>0.34759519999999999</v>
      </c>
      <c r="V6461">
        <v>6.5951590000000004E-2</v>
      </c>
      <c r="W6461">
        <v>-3.287002E-2</v>
      </c>
      <c r="X6461">
        <v>0.99728130000000004</v>
      </c>
      <c r="Y6461">
        <v>-5.8921929999999997E-2</v>
      </c>
      <c r="Z6461">
        <v>-9.9249210000000002E-4</v>
      </c>
      <c r="AA6461">
        <v>0.99826210000000004</v>
      </c>
      <c r="AB6461">
        <v>24</v>
      </c>
      <c r="AC6461">
        <v>29.6907</v>
      </c>
      <c r="AD6461">
        <v>-1.109114177395</v>
      </c>
      <c r="AE6461">
        <v>3.4463300000000001</v>
      </c>
      <c r="AF6461">
        <v>-1.7665245779947401</v>
      </c>
      <c r="AG6461">
        <v>-1.109114177395</v>
      </c>
      <c r="AH6461">
        <v>29.796628187172502</v>
      </c>
      <c r="AI6461">
        <v>92.127992600665493</v>
      </c>
      <c r="AJ6461">
        <v>93.392869405261393</v>
      </c>
      <c r="AK6461">
        <v>29.869546274889402</v>
      </c>
      <c r="AL6461">
        <v>91.883652678114899</v>
      </c>
      <c r="AM6461">
        <v>86.216460128904203</v>
      </c>
      <c r="AN6461">
        <v>1.0000000208840001</v>
      </c>
    </row>
    <row r="6462" spans="1:40" x14ac:dyDescent="0.25">
      <c r="A6462" t="str">
        <f>"20190312161442859"</f>
        <v>20190312161442859</v>
      </c>
      <c r="B6462" t="str">
        <f>"1552378482853394"</f>
        <v>1552378482853394</v>
      </c>
      <c r="C6462" t="s">
        <v>40</v>
      </c>
      <c r="D6462">
        <v>5.5023249999999999</v>
      </c>
      <c r="E6462">
        <v>0.45297219999999999</v>
      </c>
      <c r="F6462" t="s">
        <v>108</v>
      </c>
      <c r="G6462">
        <v>-223.1155</v>
      </c>
      <c r="H6462" s="1">
        <v>-4.8292710000000001E-7</v>
      </c>
      <c r="I6462">
        <v>-60.511049999999997</v>
      </c>
      <c r="J6462">
        <v>-254.23609999999999</v>
      </c>
      <c r="K6462">
        <v>1.109113</v>
      </c>
      <c r="L6462">
        <v>-64.086879999999994</v>
      </c>
      <c r="M6462">
        <v>0.99839080000000002</v>
      </c>
      <c r="N6462">
        <v>0</v>
      </c>
      <c r="O6462">
        <v>5.611476E-2</v>
      </c>
      <c r="P6462">
        <v>0.99912230000000002</v>
      </c>
      <c r="Q6462">
        <v>-4.0799820000000001E-2</v>
      </c>
      <c r="R6462">
        <v>-9.4861919999999992E-3</v>
      </c>
      <c r="S6462">
        <v>3.001633</v>
      </c>
      <c r="T6462">
        <v>-0.10657</v>
      </c>
      <c r="U6462">
        <v>0.34420780000000001</v>
      </c>
      <c r="V6462">
        <v>6.5516630000000006E-2</v>
      </c>
      <c r="W6462">
        <v>-3.2685779999999998E-2</v>
      </c>
      <c r="X6462">
        <v>0.99731599999999998</v>
      </c>
      <c r="Y6462">
        <v>-5.7994900000000002E-2</v>
      </c>
      <c r="Z6462">
        <v>-9.5702449999999996E-4</v>
      </c>
      <c r="AA6462">
        <v>0.99831639999999999</v>
      </c>
      <c r="AB6462">
        <v>24</v>
      </c>
      <c r="AC6462">
        <v>31.1206</v>
      </c>
      <c r="AD6462">
        <v>-1.1091134829271001</v>
      </c>
      <c r="AE6462">
        <v>3.5758300000000101</v>
      </c>
      <c r="AF6462">
        <v>-1.821528350039</v>
      </c>
      <c r="AG6462">
        <v>-1.1091134829271001</v>
      </c>
      <c r="AH6462">
        <v>31.2330704887273</v>
      </c>
      <c r="AI6462">
        <v>92.0303213267525</v>
      </c>
      <c r="AJ6462">
        <v>93.337737855393797</v>
      </c>
      <c r="AK6462">
        <v>31.3057948374069</v>
      </c>
      <c r="AL6462">
        <v>91.873090874406898</v>
      </c>
      <c r="AM6462">
        <v>86.241471742792797</v>
      </c>
      <c r="AN6462">
        <v>0.999999996438382</v>
      </c>
    </row>
    <row r="6463" spans="1:40" x14ac:dyDescent="0.25">
      <c r="A6463" t="str">
        <f>"20190312161442870"</f>
        <v>20190312161442870</v>
      </c>
      <c r="B6463" t="str">
        <f>"1552378482863154"</f>
        <v>1552378482863154</v>
      </c>
      <c r="C6463" t="s">
        <v>40</v>
      </c>
      <c r="D6463">
        <v>5.6027149999999999</v>
      </c>
      <c r="E6463">
        <v>0.45342199999999999</v>
      </c>
      <c r="F6463" t="s">
        <v>108</v>
      </c>
      <c r="G6463">
        <v>-221.2045</v>
      </c>
      <c r="H6463" s="1">
        <v>3.416492E-7</v>
      </c>
      <c r="I6463">
        <v>-60.277079999999998</v>
      </c>
      <c r="J6463">
        <v>-254.11250000000001</v>
      </c>
      <c r="K6463">
        <v>1.1091120000000001</v>
      </c>
      <c r="L6463">
        <v>-64.080109999999905</v>
      </c>
      <c r="M6463">
        <v>0.99840209999999996</v>
      </c>
      <c r="N6463">
        <v>0</v>
      </c>
      <c r="O6463">
        <v>5.5912450000000002E-2</v>
      </c>
      <c r="P6463">
        <v>0.99912690000000004</v>
      </c>
      <c r="Q6463">
        <v>-4.0693E-2</v>
      </c>
      <c r="R6463">
        <v>-9.4549660000000004E-3</v>
      </c>
      <c r="S6463">
        <v>3.0018009999999999</v>
      </c>
      <c r="T6463">
        <v>-0.1007926</v>
      </c>
      <c r="U6463">
        <v>0.34622190000000003</v>
      </c>
      <c r="V6463">
        <v>6.5283610000000006E-2</v>
      </c>
      <c r="W6463">
        <v>-3.2577380000000003E-2</v>
      </c>
      <c r="X6463">
        <v>0.99733479999999997</v>
      </c>
      <c r="Y6463">
        <v>-5.8851500000000001E-2</v>
      </c>
      <c r="Z6463">
        <v>-8.8399899999999903E-4</v>
      </c>
      <c r="AA6463">
        <v>0.99826630000000005</v>
      </c>
      <c r="AB6463">
        <v>24</v>
      </c>
      <c r="AC6463">
        <v>32.908000000000001</v>
      </c>
      <c r="AD6463">
        <v>-1.1091116583508001</v>
      </c>
      <c r="AE6463">
        <v>3.8030299999999801</v>
      </c>
      <c r="AF6463">
        <v>-1.9548605411834299</v>
      </c>
      <c r="AG6463">
        <v>-1.1091116583508001</v>
      </c>
      <c r="AH6463">
        <v>33.0321342735187</v>
      </c>
      <c r="AI6463">
        <v>91.919727180717004</v>
      </c>
      <c r="AJ6463">
        <v>93.386846624952597</v>
      </c>
      <c r="AK6463">
        <v>33.108511036739998</v>
      </c>
      <c r="AL6463">
        <v>91.866876753090096</v>
      </c>
      <c r="AM6463">
        <v>86.254871812301204</v>
      </c>
      <c r="AN6463">
        <v>0.99999996935666702</v>
      </c>
    </row>
    <row r="6464" spans="1:40" x14ac:dyDescent="0.25">
      <c r="A6464" t="str">
        <f>"20190312161442882"</f>
        <v>20190312161442882</v>
      </c>
      <c r="B6464" t="str">
        <f>"1552378482872914"</f>
        <v>1552378482872914</v>
      </c>
      <c r="C6464" t="s">
        <v>40</v>
      </c>
      <c r="D6464">
        <v>5.0234529999999999</v>
      </c>
      <c r="E6464">
        <v>0.45342199999999999</v>
      </c>
      <c r="F6464" t="s">
        <v>108</v>
      </c>
      <c r="G6464">
        <v>-222.54339999999999</v>
      </c>
      <c r="H6464" s="1">
        <v>-2.2930579999999999E-7</v>
      </c>
      <c r="I6464">
        <v>-60.474339999999998</v>
      </c>
      <c r="J6464">
        <v>-253.9836</v>
      </c>
      <c r="K6464">
        <v>1.109111</v>
      </c>
      <c r="L6464">
        <v>-64.073149999999998</v>
      </c>
      <c r="M6464">
        <v>0.99841389999999997</v>
      </c>
      <c r="N6464">
        <v>0</v>
      </c>
      <c r="O6464">
        <v>5.5701439999999998E-2</v>
      </c>
      <c r="P6464">
        <v>0.99912880000000004</v>
      </c>
      <c r="Q6464">
        <v>-4.0705390000000001E-2</v>
      </c>
      <c r="R6464">
        <v>-9.2093939999999992E-3</v>
      </c>
      <c r="S6464">
        <v>3.0015869999999998</v>
      </c>
      <c r="T6464">
        <v>-0.10545400000000001</v>
      </c>
      <c r="U6464">
        <v>0.34283449999999999</v>
      </c>
      <c r="V6464">
        <v>6.4827750000000003E-2</v>
      </c>
      <c r="W6464">
        <v>-3.2587789999999998E-2</v>
      </c>
      <c r="X6464">
        <v>0.99736420000000003</v>
      </c>
      <c r="Y6464">
        <v>-5.7958860000000001E-2</v>
      </c>
      <c r="Z6464">
        <v>-9.332543E-4</v>
      </c>
      <c r="AA6464">
        <v>0.99831859999999994</v>
      </c>
      <c r="AB6464">
        <v>25</v>
      </c>
      <c r="AC6464">
        <v>31.440200000000001</v>
      </c>
      <c r="AD6464">
        <v>-1.1091112293058001</v>
      </c>
      <c r="AE6464">
        <v>3.5988099999999901</v>
      </c>
      <c r="AF6464">
        <v>-1.8396395064997699</v>
      </c>
      <c r="AG6464">
        <v>-1.1091112293058001</v>
      </c>
      <c r="AH6464">
        <v>31.5530918646174</v>
      </c>
      <c r="AI6464">
        <v>92.0097441062955</v>
      </c>
      <c r="AJ6464">
        <v>93.336737723376402</v>
      </c>
      <c r="AK6464">
        <v>31.6261285561454</v>
      </c>
      <c r="AL6464">
        <v>91.867473509728995</v>
      </c>
      <c r="AM6464">
        <v>86.281058827526707</v>
      </c>
      <c r="AN6464">
        <v>0.99999997433439303</v>
      </c>
    </row>
    <row r="6465" spans="1:40" x14ac:dyDescent="0.25">
      <c r="A6465" t="str">
        <f>"20190312161443316"</f>
        <v>20190312161443316</v>
      </c>
      <c r="B6465" t="str">
        <f>"1552378483313090"</f>
        <v>1552378483313090</v>
      </c>
      <c r="C6465" t="s">
        <v>40</v>
      </c>
      <c r="D6465">
        <v>4.5690999999999997</v>
      </c>
      <c r="E6465">
        <v>0.36975960000000002</v>
      </c>
      <c r="F6465" t="s">
        <v>108</v>
      </c>
      <c r="G6465">
        <v>-222.37690000000001</v>
      </c>
      <c r="H6465" s="1">
        <v>-1.5385139999999999E-7</v>
      </c>
      <c r="I6465">
        <v>-60.456229999999998</v>
      </c>
      <c r="J6465">
        <v>-249.0925</v>
      </c>
      <c r="K6465">
        <v>1.1090549999999999</v>
      </c>
      <c r="L6465">
        <v>-63.82761</v>
      </c>
      <c r="M6465">
        <v>0.99882720000000003</v>
      </c>
      <c r="N6465">
        <v>0</v>
      </c>
      <c r="O6465">
        <v>4.7721689999999997E-2</v>
      </c>
      <c r="P6465">
        <v>0.99908010000000003</v>
      </c>
      <c r="Q6465">
        <v>-4.0302249999999998E-2</v>
      </c>
      <c r="R6465">
        <v>-1.4655720000000001E-2</v>
      </c>
      <c r="S6465">
        <v>3.0014949999999998</v>
      </c>
      <c r="T6465">
        <v>-0.10532519999999999</v>
      </c>
      <c r="U6465">
        <v>0.34347529999999998</v>
      </c>
      <c r="V6465">
        <v>6.2294509999999997E-2</v>
      </c>
      <c r="W6465">
        <v>-3.2183570000000002E-2</v>
      </c>
      <c r="X6465">
        <v>0.99753879999999995</v>
      </c>
      <c r="Y6465">
        <v>-6.6138180000000005E-2</v>
      </c>
      <c r="Z6465">
        <v>-5.1079169999999896E-4</v>
      </c>
      <c r="AA6465">
        <v>0.99781039999999999</v>
      </c>
      <c r="AB6465">
        <v>26</v>
      </c>
      <c r="AC6465">
        <v>26.715599999999899</v>
      </c>
      <c r="AD6465">
        <v>-1.1090551538514</v>
      </c>
      <c r="AE6465">
        <v>3.3713799999999901</v>
      </c>
      <c r="AF6465">
        <v>-2.0890386910410501</v>
      </c>
      <c r="AG6465">
        <v>-1.1090551538514</v>
      </c>
      <c r="AH6465">
        <v>26.800590339627199</v>
      </c>
      <c r="AI6465">
        <v>92.362489239158194</v>
      </c>
      <c r="AJ6465">
        <v>94.457049928047596</v>
      </c>
      <c r="AK6465">
        <v>26.904752898688098</v>
      </c>
      <c r="AL6465">
        <v>91.844301164417004</v>
      </c>
      <c r="AM6465">
        <v>86.4266215779124</v>
      </c>
      <c r="AN6465">
        <v>1.0000000228297601</v>
      </c>
    </row>
    <row r="6466" spans="1:40" x14ac:dyDescent="0.25">
      <c r="A6466" t="str">
        <f>"20190312161443326"</f>
        <v>20190312161443326</v>
      </c>
      <c r="B6466" t="str">
        <f>"1552378483322850"</f>
        <v>1552378483322850</v>
      </c>
      <c r="C6466" t="s">
        <v>40</v>
      </c>
      <c r="D6466">
        <v>4.592333</v>
      </c>
      <c r="E6466">
        <v>0.36906529999999999</v>
      </c>
      <c r="F6466" t="s">
        <v>59</v>
      </c>
      <c r="G6466">
        <v>-169.244</v>
      </c>
      <c r="H6466">
        <v>7.9539929999999996</v>
      </c>
      <c r="I6466">
        <v>-37.79316</v>
      </c>
      <c r="J6466">
        <v>-248.9639</v>
      </c>
      <c r="K6466">
        <v>1.1090519999999999</v>
      </c>
      <c r="L6466">
        <v>-63.821660000000001</v>
      </c>
      <c r="M6466">
        <v>0.99883719999999998</v>
      </c>
      <c r="N6466">
        <v>0</v>
      </c>
      <c r="O6466">
        <v>4.751259E-2</v>
      </c>
      <c r="P6466">
        <v>0.99907400000000002</v>
      </c>
      <c r="Q6466">
        <v>-4.035826E-2</v>
      </c>
      <c r="R6466">
        <v>-1.492768E-2</v>
      </c>
      <c r="S6466">
        <v>3.0277250000000002</v>
      </c>
      <c r="T6466">
        <v>0.2595478</v>
      </c>
      <c r="U6466">
        <v>0.98718260000000002</v>
      </c>
      <c r="V6466">
        <v>6.2356710000000003E-2</v>
      </c>
      <c r="W6466">
        <v>-3.2238349999999999E-2</v>
      </c>
      <c r="X6466">
        <v>0.99753309999999995</v>
      </c>
      <c r="Y6466">
        <v>-0.2637487</v>
      </c>
      <c r="Z6466">
        <v>-7.0456599999999996E-3</v>
      </c>
      <c r="AA6466">
        <v>0.96456569999999997</v>
      </c>
      <c r="AB6466">
        <v>26</v>
      </c>
      <c r="AC6466">
        <v>79.719899999999896</v>
      </c>
      <c r="AD6466">
        <v>6.8449410000000004</v>
      </c>
      <c r="AE6466">
        <v>26.028499999999902</v>
      </c>
      <c r="AF6466">
        <v>-22.0642814298612</v>
      </c>
      <c r="AG6466">
        <v>6.8449410000000004</v>
      </c>
      <c r="AH6466">
        <v>80.331404188824607</v>
      </c>
      <c r="AI6466">
        <v>85.302798972702206</v>
      </c>
      <c r="AJ6466">
        <v>105.358442469419</v>
      </c>
      <c r="AK6466">
        <v>83.587201360363196</v>
      </c>
      <c r="AL6466">
        <v>91.847441539436403</v>
      </c>
      <c r="AM6466">
        <v>86.423042493667594</v>
      </c>
      <c r="AN6466">
        <v>0.99999997804417795</v>
      </c>
    </row>
    <row r="6467" spans="1:40" x14ac:dyDescent="0.25">
      <c r="A6467" t="str">
        <f>"20190312161443338"</f>
        <v>20190312161443338</v>
      </c>
      <c r="B6467" t="str">
        <f>"1552378483332610"</f>
        <v>1552378483332610</v>
      </c>
      <c r="C6467" t="s">
        <v>40</v>
      </c>
      <c r="D6467">
        <v>5.258502</v>
      </c>
      <c r="E6467">
        <v>0.37638700000000003</v>
      </c>
      <c r="F6467" t="s">
        <v>58</v>
      </c>
      <c r="G6467">
        <v>-125.0095</v>
      </c>
      <c r="H6467">
        <v>12.64978</v>
      </c>
      <c r="I6467">
        <v>-23.250969999999999</v>
      </c>
      <c r="J6467">
        <v>-248.83539999999999</v>
      </c>
      <c r="K6467">
        <v>1.109051</v>
      </c>
      <c r="L6467">
        <v>-63.815800000000003</v>
      </c>
      <c r="M6467">
        <v>0.99884709999999999</v>
      </c>
      <c r="N6467">
        <v>0</v>
      </c>
      <c r="O6467">
        <v>4.7303419999999999E-2</v>
      </c>
      <c r="P6467">
        <v>0.99907650000000003</v>
      </c>
      <c r="Q6467">
        <v>-4.0253799999999999E-2</v>
      </c>
      <c r="R6467">
        <v>-1.5030200000000001E-2</v>
      </c>
      <c r="S6467">
        <v>3.0289760000000001</v>
      </c>
      <c r="T6467">
        <v>0.28201150000000003</v>
      </c>
      <c r="U6467">
        <v>0.991394</v>
      </c>
      <c r="V6467">
        <v>6.2250710000000001E-2</v>
      </c>
      <c r="W6467">
        <v>-3.2132359999999999E-2</v>
      </c>
      <c r="X6467">
        <v>0.99754319999999996</v>
      </c>
      <c r="Y6467">
        <v>-0.26491199999999998</v>
      </c>
      <c r="Z6467">
        <v>-7.720073E-3</v>
      </c>
      <c r="AA6467">
        <v>0.96424169999999998</v>
      </c>
      <c r="AB6467">
        <v>26</v>
      </c>
      <c r="AC6467">
        <v>123.8259</v>
      </c>
      <c r="AD6467">
        <v>11.540729000000001</v>
      </c>
      <c r="AE6467">
        <v>40.564830000000001</v>
      </c>
      <c r="AF6467">
        <v>-34.392041181589697</v>
      </c>
      <c r="AG6467">
        <v>11.540729000000001</v>
      </c>
      <c r="AH6467">
        <v>124.628534288857</v>
      </c>
      <c r="AI6467">
        <v>84.899038477441593</v>
      </c>
      <c r="AJ6467">
        <v>105.427183547417</v>
      </c>
      <c r="AK6467">
        <v>129.800895534185</v>
      </c>
      <c r="AL6467">
        <v>91.841365501983006</v>
      </c>
      <c r="AM6467">
        <v>86.429143268690893</v>
      </c>
      <c r="AN6467">
        <v>1.0000000376604501</v>
      </c>
    </row>
    <row r="6468" spans="1:40" x14ac:dyDescent="0.25">
      <c r="A6468" t="str">
        <f>"20190312161443350"</f>
        <v>20190312161443350</v>
      </c>
      <c r="B6468" t="str">
        <f>"1552378483343346"</f>
        <v>1552378483343346</v>
      </c>
      <c r="C6468" t="s">
        <v>40</v>
      </c>
      <c r="D6468">
        <v>5.2413720000000001</v>
      </c>
      <c r="E6468">
        <v>0.38147249999999999</v>
      </c>
      <c r="F6468" t="s">
        <v>59</v>
      </c>
      <c r="G6468">
        <v>-169.244</v>
      </c>
      <c r="H6468">
        <v>7.5186080000000004</v>
      </c>
      <c r="I6468">
        <v>-39.2714</v>
      </c>
      <c r="J6468">
        <v>-248.70429999999999</v>
      </c>
      <c r="K6468">
        <v>1.1090500000000001</v>
      </c>
      <c r="L6468">
        <v>-63.809780000000003</v>
      </c>
      <c r="M6468">
        <v>0.9988572</v>
      </c>
      <c r="N6468">
        <v>0</v>
      </c>
      <c r="O6468">
        <v>4.7090140000000003E-2</v>
      </c>
      <c r="P6468">
        <v>0.99908330000000001</v>
      </c>
      <c r="Q6468">
        <v>-4.0039659999999998E-2</v>
      </c>
      <c r="R6468">
        <v>-1.5149930000000001E-2</v>
      </c>
      <c r="S6468">
        <v>3.026627</v>
      </c>
      <c r="T6468">
        <v>0.2437356</v>
      </c>
      <c r="U6468">
        <v>0.9333496</v>
      </c>
      <c r="V6468">
        <v>6.2157820000000003E-2</v>
      </c>
      <c r="W6468">
        <v>-3.1916609999999998E-2</v>
      </c>
      <c r="X6468">
        <v>0.99755590000000005</v>
      </c>
      <c r="Y6468">
        <v>-0.24876390000000001</v>
      </c>
      <c r="Z6468">
        <v>-6.0812610000000001E-3</v>
      </c>
      <c r="AA6468">
        <v>0.96854510000000005</v>
      </c>
      <c r="AB6468">
        <v>26</v>
      </c>
      <c r="AC6468">
        <v>79.460299999999904</v>
      </c>
      <c r="AD6468">
        <v>6.4095579999999996</v>
      </c>
      <c r="AE6468">
        <v>24.53838</v>
      </c>
      <c r="AF6468">
        <v>-20.6465910778257</v>
      </c>
      <c r="AG6468">
        <v>6.4095579999999996</v>
      </c>
      <c r="AH6468">
        <v>80.052177540976103</v>
      </c>
      <c r="AI6468">
        <v>85.566719529315606</v>
      </c>
      <c r="AJ6468">
        <v>104.46221757092199</v>
      </c>
      <c r="AK6468">
        <v>82.919932983223504</v>
      </c>
      <c r="AL6468">
        <v>91.828997628258406</v>
      </c>
      <c r="AM6468">
        <v>86.434503191914203</v>
      </c>
      <c r="AN6468">
        <v>1.0000000191029199</v>
      </c>
    </row>
    <row r="6469" spans="1:40" x14ac:dyDescent="0.25">
      <c r="A6469" t="str">
        <f>"20190312161443674"</f>
        <v>20190312161443674</v>
      </c>
      <c r="B6469" t="str">
        <f>"1552378483663474"</f>
        <v>1552378483663474</v>
      </c>
      <c r="C6469" t="s">
        <v>40</v>
      </c>
      <c r="D6469">
        <v>3.9761299999999999</v>
      </c>
      <c r="E6469">
        <v>0.38147249999999999</v>
      </c>
      <c r="F6469" t="s">
        <v>59</v>
      </c>
      <c r="G6469">
        <v>-169.244</v>
      </c>
      <c r="H6469">
        <v>8.0175710000000002</v>
      </c>
      <c r="I6469">
        <v>-40.388869999999997</v>
      </c>
      <c r="J6469">
        <v>-244.85400000000001</v>
      </c>
      <c r="K6469">
        <v>1.1090199999999999</v>
      </c>
      <c r="L6469">
        <v>-63.646210000000004</v>
      </c>
      <c r="M6469">
        <v>0.99913149999999995</v>
      </c>
      <c r="N6469">
        <v>0</v>
      </c>
      <c r="O6469">
        <v>4.0846790000000001E-2</v>
      </c>
      <c r="P6469">
        <v>0.99903240000000004</v>
      </c>
      <c r="Q6469">
        <v>-3.9568449999999998E-2</v>
      </c>
      <c r="R6469">
        <v>-1.9199890000000001E-2</v>
      </c>
      <c r="S6469">
        <v>3.0268099999999998</v>
      </c>
      <c r="T6469">
        <v>0.26315899999999998</v>
      </c>
      <c r="U6469">
        <v>0.89215089999999997</v>
      </c>
      <c r="V6469">
        <v>5.996721E-2</v>
      </c>
      <c r="W6469">
        <v>-3.1408470000000001E-2</v>
      </c>
      <c r="X6469">
        <v>0.99770610000000004</v>
      </c>
      <c r="Y6469">
        <v>-0.2426082</v>
      </c>
      <c r="Z6469">
        <v>-6.8430959999999999E-3</v>
      </c>
      <c r="AA6469">
        <v>0.97010019999999997</v>
      </c>
      <c r="AB6469">
        <v>27</v>
      </c>
      <c r="AC6469">
        <v>75.6099999999999</v>
      </c>
      <c r="AD6469">
        <v>6.9085509999999903</v>
      </c>
      <c r="AE6469">
        <v>23.2573399999999</v>
      </c>
      <c r="AF6469">
        <v>-19.996881857242801</v>
      </c>
      <c r="AG6469">
        <v>6.9085509999999903</v>
      </c>
      <c r="AH6469">
        <v>75.917887167157104</v>
      </c>
      <c r="AI6469">
        <v>84.970994527522606</v>
      </c>
      <c r="AJ6469">
        <v>104.75661315080499</v>
      </c>
      <c r="AK6469">
        <v>78.810715977317003</v>
      </c>
      <c r="AL6469">
        <v>91.799868762519395</v>
      </c>
      <c r="AM6469">
        <v>86.5603703427401</v>
      </c>
      <c r="AN6469">
        <v>1.0000000101200599</v>
      </c>
    </row>
    <row r="6470" spans="1:40" x14ac:dyDescent="0.25">
      <c r="A6470" t="str">
        <f>"20190312161443684"</f>
        <v>20190312161443684</v>
      </c>
      <c r="B6470" t="str">
        <f>"1552378483673234"</f>
        <v>1552378483673234</v>
      </c>
      <c r="C6470" t="s">
        <v>40</v>
      </c>
      <c r="D6470">
        <v>5.3286569999999998</v>
      </c>
      <c r="E6470">
        <v>0.4010533</v>
      </c>
      <c r="F6470" t="s">
        <v>59</v>
      </c>
      <c r="G6470">
        <v>-169.244</v>
      </c>
      <c r="H6470">
        <v>7.6487669999999897</v>
      </c>
      <c r="I6470">
        <v>-41.666159999999998</v>
      </c>
      <c r="J6470">
        <v>-244.7175</v>
      </c>
      <c r="K6470">
        <v>1.1090199999999999</v>
      </c>
      <c r="L6470">
        <v>-63.6408699999999</v>
      </c>
      <c r="M6470">
        <v>0.99914060000000005</v>
      </c>
      <c r="N6470">
        <v>0</v>
      </c>
      <c r="O6470">
        <v>4.0625719999999997E-2</v>
      </c>
      <c r="P6470">
        <v>0.99903450000000005</v>
      </c>
      <c r="Q6470">
        <v>-3.9301040000000002E-2</v>
      </c>
      <c r="R6470">
        <v>-1.9636689999999998E-2</v>
      </c>
      <c r="S6470">
        <v>3.0302120000000001</v>
      </c>
      <c r="T6470">
        <v>0.26209139999999997</v>
      </c>
      <c r="U6470">
        <v>0.880889899999999</v>
      </c>
      <c r="V6470">
        <v>6.0183210000000001E-2</v>
      </c>
      <c r="W6470">
        <v>-3.114285E-2</v>
      </c>
      <c r="X6470">
        <v>0.99770139999999996</v>
      </c>
      <c r="Y6470">
        <v>-0.2392222</v>
      </c>
      <c r="Z6470">
        <v>-6.6869299999999998E-3</v>
      </c>
      <c r="AA6470">
        <v>0.97094179999999997</v>
      </c>
      <c r="AB6470">
        <v>27</v>
      </c>
      <c r="AC6470">
        <v>75.473499999999902</v>
      </c>
      <c r="AD6470">
        <v>6.5397469999999904</v>
      </c>
      <c r="AE6470">
        <v>21.974709999999899</v>
      </c>
      <c r="AF6470">
        <v>-18.7604496639219</v>
      </c>
      <c r="AG6470">
        <v>6.5397469999999904</v>
      </c>
      <c r="AH6470">
        <v>75.779456009515499</v>
      </c>
      <c r="AI6470">
        <v>85.211467725964894</v>
      </c>
      <c r="AJ6470">
        <v>103.90493737316</v>
      </c>
      <c r="AK6470">
        <v>78.340594301515594</v>
      </c>
      <c r="AL6470">
        <v>91.784642445318696</v>
      </c>
      <c r="AM6470">
        <v>86.547994588966105</v>
      </c>
      <c r="AN6470">
        <v>0.999999989716993</v>
      </c>
    </row>
    <row r="6471" spans="1:40" x14ac:dyDescent="0.25">
      <c r="A6471" t="str">
        <f>"20190312161443696"</f>
        <v>20190312161443696</v>
      </c>
      <c r="B6471" t="str">
        <f>"1552378483692755"</f>
        <v>1552378483692755</v>
      </c>
      <c r="C6471" t="s">
        <v>40</v>
      </c>
      <c r="D6471">
        <v>5.301507</v>
      </c>
      <c r="E6471">
        <v>0.44418190000000002</v>
      </c>
      <c r="F6471" t="s">
        <v>107</v>
      </c>
      <c r="G6471">
        <v>-237.94030000000001</v>
      </c>
      <c r="H6471" s="1">
        <v>-2.8170450000000001E-6</v>
      </c>
      <c r="I6471">
        <v>-61.97551</v>
      </c>
      <c r="J6471">
        <v>-244.58410000000001</v>
      </c>
      <c r="K6471">
        <v>1.1090180000000001</v>
      </c>
      <c r="L6471">
        <v>-63.635680000000001</v>
      </c>
      <c r="M6471">
        <v>0.99914939999999997</v>
      </c>
      <c r="N6471">
        <v>0</v>
      </c>
      <c r="O6471">
        <v>4.04102E-2</v>
      </c>
      <c r="P6471">
        <v>0.99904040000000005</v>
      </c>
      <c r="Q6471">
        <v>-3.8901869999999998E-2</v>
      </c>
      <c r="R6471">
        <v>-2.0134160000000002E-2</v>
      </c>
      <c r="S6471">
        <v>2.9980929999999999</v>
      </c>
      <c r="T6471">
        <v>-0.49060959999999998</v>
      </c>
      <c r="U6471">
        <v>0.73669430000000002</v>
      </c>
      <c r="V6471">
        <v>6.0465570000000003E-2</v>
      </c>
      <c r="W6471">
        <v>-3.0747090000000001E-2</v>
      </c>
      <c r="X6471">
        <v>0.99769660000000004</v>
      </c>
      <c r="Y6471">
        <v>-0.1972207</v>
      </c>
      <c r="Z6471">
        <v>9.3339270000000005E-3</v>
      </c>
      <c r="AA6471">
        <v>0.98031469999999998</v>
      </c>
      <c r="AB6471">
        <v>27</v>
      </c>
      <c r="AC6471">
        <v>6.6437999999999899</v>
      </c>
      <c r="AD6471">
        <v>-1.109020817045</v>
      </c>
      <c r="AE6471">
        <v>1.6601699999999999</v>
      </c>
      <c r="AF6471">
        <v>-1.35479585547217</v>
      </c>
      <c r="AG6471">
        <v>-1.109020817045</v>
      </c>
      <c r="AH6471">
        <v>6.5340960053095598</v>
      </c>
      <c r="AI6471">
        <v>99.435940099985999</v>
      </c>
      <c r="AJ6471">
        <v>101.713869576557</v>
      </c>
      <c r="AK6471">
        <v>6.7645997360705703</v>
      </c>
      <c r="AL6471">
        <v>91.761956207042104</v>
      </c>
      <c r="AM6471">
        <v>86.531821699687498</v>
      </c>
      <c r="AN6471">
        <v>0.99999998717522598</v>
      </c>
    </row>
    <row r="6472" spans="1:40" x14ac:dyDescent="0.25">
      <c r="A6472" t="str">
        <f>"20190312161443708"</f>
        <v>20190312161443708</v>
      </c>
      <c r="B6472" t="str">
        <f>"1552378483703490"</f>
        <v>1552378483703490</v>
      </c>
      <c r="C6472" t="s">
        <v>40</v>
      </c>
      <c r="D6472">
        <v>5.3852120000000001</v>
      </c>
      <c r="E6472">
        <v>0.44862049999999998</v>
      </c>
      <c r="F6472" t="s">
        <v>108</v>
      </c>
      <c r="G6472">
        <v>-228.48660000000001</v>
      </c>
      <c r="H6472" s="1">
        <v>-3.021363E-6</v>
      </c>
      <c r="I6472">
        <v>-61.564689999999999</v>
      </c>
      <c r="J6472">
        <v>-244.44</v>
      </c>
      <c r="K6472">
        <v>1.1090169999999999</v>
      </c>
      <c r="L6472">
        <v>-63.630040000000001</v>
      </c>
      <c r="M6472">
        <v>0.99915889999999996</v>
      </c>
      <c r="N6472">
        <v>0</v>
      </c>
      <c r="O6472">
        <v>4.0177039999999997E-2</v>
      </c>
      <c r="P6472">
        <v>0.99903399999999998</v>
      </c>
      <c r="Q6472">
        <v>-3.8896149999999997E-2</v>
      </c>
      <c r="R6472">
        <v>-2.0456599999999998E-2</v>
      </c>
      <c r="S6472">
        <v>3.0025940000000002</v>
      </c>
      <c r="T6472">
        <v>-0.20686009999999999</v>
      </c>
      <c r="U6472">
        <v>0.38629150000000001</v>
      </c>
      <c r="V6472">
        <v>6.055468E-2</v>
      </c>
      <c r="W6472">
        <v>-3.074555E-2</v>
      </c>
      <c r="X6472">
        <v>0.99769129999999995</v>
      </c>
      <c r="Y6472">
        <v>-8.7537619999999997E-2</v>
      </c>
      <c r="Z6472">
        <v>2.483791E-4</v>
      </c>
      <c r="AA6472">
        <v>0.99616119999999997</v>
      </c>
      <c r="AB6472">
        <v>27</v>
      </c>
      <c r="AC6472">
        <v>15.953399999999901</v>
      </c>
      <c r="AD6472">
        <v>-1.1090200213629999</v>
      </c>
      <c r="AE6472">
        <v>2.06535</v>
      </c>
      <c r="AF6472">
        <v>-1.41597042870624</v>
      </c>
      <c r="AG6472">
        <v>-1.1090200213629999</v>
      </c>
      <c r="AH6472">
        <v>15.947703457586201</v>
      </c>
      <c r="AI6472">
        <v>93.962466161242105</v>
      </c>
      <c r="AJ6472">
        <v>95.073893056554994</v>
      </c>
      <c r="AK6472">
        <v>16.048805040683298</v>
      </c>
      <c r="AL6472">
        <v>91.761867829470106</v>
      </c>
      <c r="AM6472">
        <v>86.526704634445906</v>
      </c>
      <c r="AN6472">
        <v>1.0000000441051899</v>
      </c>
    </row>
    <row r="6473" spans="1:40" x14ac:dyDescent="0.25">
      <c r="A6473" t="str">
        <f>"20190312161443720"</f>
        <v>20190312161443720</v>
      </c>
      <c r="B6473" t="str">
        <f>"1552378483713250"</f>
        <v>1552378483713250</v>
      </c>
      <c r="C6473" t="s">
        <v>40</v>
      </c>
      <c r="D6473">
        <v>5.2865589999999996</v>
      </c>
      <c r="E6473">
        <v>0.45021719999999998</v>
      </c>
      <c r="F6473" t="s">
        <v>108</v>
      </c>
      <c r="G6473">
        <v>-228.14510000000001</v>
      </c>
      <c r="H6473" s="1">
        <v>-2.9118600000000002E-6</v>
      </c>
      <c r="I6473">
        <v>-61.731079999999999</v>
      </c>
      <c r="J6473">
        <v>-244.3</v>
      </c>
      <c r="K6473">
        <v>1.109019</v>
      </c>
      <c r="L6473">
        <v>-63.624659999999999</v>
      </c>
      <c r="M6473">
        <v>0.99916799999999995</v>
      </c>
      <c r="N6473">
        <v>0</v>
      </c>
      <c r="O6473">
        <v>3.9950619999999999E-2</v>
      </c>
      <c r="P6473">
        <v>0.99902740000000001</v>
      </c>
      <c r="Q6473">
        <v>-3.8873499999999998E-2</v>
      </c>
      <c r="R6473">
        <v>-2.0816970000000001E-2</v>
      </c>
      <c r="S6473">
        <v>3.0020899999999999</v>
      </c>
      <c r="T6473">
        <v>-0.2043201</v>
      </c>
      <c r="U6473">
        <v>0.34985349999999998</v>
      </c>
      <c r="V6473">
        <v>6.0688449999999998E-2</v>
      </c>
      <c r="W6473">
        <v>-3.0728979999999999E-2</v>
      </c>
      <c r="X6473">
        <v>0.9976836</v>
      </c>
      <c r="Y6473">
        <v>-7.5895480000000001E-2</v>
      </c>
      <c r="Z6473">
        <v>-1.3368270000000001E-4</v>
      </c>
      <c r="AA6473">
        <v>0.9971158</v>
      </c>
      <c r="AB6473">
        <v>27</v>
      </c>
      <c r="AC6473">
        <v>16.154899999999898</v>
      </c>
      <c r="AD6473">
        <v>-1.10902191186</v>
      </c>
      <c r="AE6473">
        <v>1.89357999999999</v>
      </c>
      <c r="AF6473">
        <v>-1.2408795308439899</v>
      </c>
      <c r="AG6473">
        <v>-1.10902191186</v>
      </c>
      <c r="AH6473">
        <v>16.142609627263599</v>
      </c>
      <c r="AI6473">
        <v>93.918607722233205</v>
      </c>
      <c r="AJ6473">
        <v>94.395672016728994</v>
      </c>
      <c r="AK6473">
        <v>16.228171714314399</v>
      </c>
      <c r="AL6473">
        <v>91.760918134372901</v>
      </c>
      <c r="AM6473">
        <v>86.519023901012304</v>
      </c>
      <c r="AN6473">
        <v>0.99999996194209995</v>
      </c>
    </row>
    <row r="6474" spans="1:40" x14ac:dyDescent="0.25">
      <c r="A6474" t="str">
        <f>"20190312161443729"</f>
        <v>20190312161443729</v>
      </c>
      <c r="B6474" t="str">
        <f>"1552378483723010"</f>
        <v>1552378483723010</v>
      </c>
      <c r="C6474" t="s">
        <v>40</v>
      </c>
      <c r="D6474">
        <v>5.2573699999999999</v>
      </c>
      <c r="E6474">
        <v>0.45218740000000002</v>
      </c>
      <c r="F6474" t="s">
        <v>108</v>
      </c>
      <c r="G6474">
        <v>-228.24189999999999</v>
      </c>
      <c r="H6474" s="1">
        <v>-2.9746919999999999E-6</v>
      </c>
      <c r="I6474">
        <v>-61.826810000000002</v>
      </c>
      <c r="J6474">
        <v>-244.17920000000001</v>
      </c>
      <c r="K6474">
        <v>1.1090169999999999</v>
      </c>
      <c r="L6474">
        <v>-63.62003</v>
      </c>
      <c r="M6474">
        <v>0.99917579999999995</v>
      </c>
      <c r="N6474">
        <v>0</v>
      </c>
      <c r="O6474">
        <v>3.9755369999999998E-2</v>
      </c>
      <c r="P6474">
        <v>0.99902259999999998</v>
      </c>
      <c r="Q6474">
        <v>-3.8834479999999998E-2</v>
      </c>
      <c r="R6474">
        <v>-2.111886E-2</v>
      </c>
      <c r="S6474">
        <v>3.0018769999999999</v>
      </c>
      <c r="T6474">
        <v>-0.20731939999999999</v>
      </c>
      <c r="U6474">
        <v>0.3360901</v>
      </c>
      <c r="V6474">
        <v>6.0795059999999998E-2</v>
      </c>
      <c r="W6474">
        <v>-3.0695190000000001E-2</v>
      </c>
      <c r="X6474">
        <v>0.99767819999999996</v>
      </c>
      <c r="Y6474">
        <v>-7.1592139999999999E-2</v>
      </c>
      <c r="Z6474">
        <v>-2.7030730000000001E-4</v>
      </c>
      <c r="AA6474">
        <v>0.99743400000000004</v>
      </c>
      <c r="AB6474">
        <v>27</v>
      </c>
      <c r="AC6474">
        <v>15.9373</v>
      </c>
      <c r="AD6474">
        <v>-1.109019974692</v>
      </c>
      <c r="AE6474">
        <v>1.79322000000001</v>
      </c>
      <c r="AF6474">
        <v>-1.1526759124739601</v>
      </c>
      <c r="AG6474">
        <v>-1.109019974692</v>
      </c>
      <c r="AH6474">
        <v>15.9198677319312</v>
      </c>
      <c r="AI6474">
        <v>93.974566128136104</v>
      </c>
      <c r="AJ6474">
        <v>94.141266593862099</v>
      </c>
      <c r="AK6474">
        <v>16.0000242395332</v>
      </c>
      <c r="AL6474">
        <v>91.758981107451206</v>
      </c>
      <c r="AM6474">
        <v>86.512905198867401</v>
      </c>
      <c r="AN6474">
        <v>1.00000001238238</v>
      </c>
    </row>
    <row r="6475" spans="1:40" x14ac:dyDescent="0.25">
      <c r="A6475" t="str">
        <f>"20190312161443740"</f>
        <v>20190312161443740</v>
      </c>
      <c r="B6475" t="str">
        <f>"1552378483732770"</f>
        <v>1552378483732770</v>
      </c>
      <c r="C6475" t="s">
        <v>40</v>
      </c>
      <c r="D6475">
        <v>5.2639899999999997</v>
      </c>
      <c r="E6475">
        <v>0.45391409999999999</v>
      </c>
      <c r="F6475" t="s">
        <v>108</v>
      </c>
      <c r="G6475">
        <v>-229.33250000000001</v>
      </c>
      <c r="H6475" s="1">
        <v>-3.4057179999999999E-6</v>
      </c>
      <c r="I6475">
        <v>-62.037909999999997</v>
      </c>
      <c r="J6475">
        <v>-244.04310000000001</v>
      </c>
      <c r="K6475">
        <v>1.109013</v>
      </c>
      <c r="L6475">
        <v>-63.614840000000001</v>
      </c>
      <c r="M6475">
        <v>0.99918459999999998</v>
      </c>
      <c r="N6475">
        <v>0</v>
      </c>
      <c r="O6475">
        <v>3.9535340000000002E-2</v>
      </c>
      <c r="P6475">
        <v>0.99902139999999995</v>
      </c>
      <c r="Q6475">
        <v>-3.8777899999999997E-2</v>
      </c>
      <c r="R6475">
        <v>-2.1276639999999999E-2</v>
      </c>
      <c r="S6475">
        <v>3.0009920000000001</v>
      </c>
      <c r="T6475">
        <v>-0.22416730000000001</v>
      </c>
      <c r="U6475">
        <v>0.31979370000000001</v>
      </c>
      <c r="V6475">
        <v>6.0733000000000002E-2</v>
      </c>
      <c r="W6475">
        <v>-3.0644290000000001E-2</v>
      </c>
      <c r="X6475">
        <v>0.99768349999999995</v>
      </c>
      <c r="Y6475">
        <v>-6.6491590000000003E-2</v>
      </c>
      <c r="Z6475">
        <v>-4.6582470000000001E-4</v>
      </c>
      <c r="AA6475">
        <v>0.99778690000000003</v>
      </c>
      <c r="AB6475">
        <v>27</v>
      </c>
      <c r="AC6475">
        <v>14.710599999999999</v>
      </c>
      <c r="AD6475">
        <v>-1.1090164057179901</v>
      </c>
      <c r="AE6475">
        <v>1.5769299999999999</v>
      </c>
      <c r="AF6475">
        <v>-0.98853444808035595</v>
      </c>
      <c r="AG6475">
        <v>-1.1090164057179901</v>
      </c>
      <c r="AH6475">
        <v>14.678964665293901</v>
      </c>
      <c r="AI6475">
        <v>94.310841308984905</v>
      </c>
      <c r="AJ6475">
        <v>93.852687378622804</v>
      </c>
      <c r="AK6475">
        <v>14.7539527377628</v>
      </c>
      <c r="AL6475">
        <v>91.756063457719904</v>
      </c>
      <c r="AM6475">
        <v>86.516474538147804</v>
      </c>
      <c r="AN6475">
        <v>0.99999996798542601</v>
      </c>
    </row>
    <row r="6476" spans="1:40" x14ac:dyDescent="0.25">
      <c r="A6476" t="str">
        <f>"20190312161443751"</f>
        <v>20190312161443751</v>
      </c>
      <c r="B6476" t="str">
        <f>"1552378483743506"</f>
        <v>1552378483743506</v>
      </c>
      <c r="C6476" t="s">
        <v>40</v>
      </c>
      <c r="D6476">
        <v>5.1399379999999999</v>
      </c>
      <c r="E6476">
        <v>0.45183509999999999</v>
      </c>
      <c r="F6476" t="s">
        <v>107</v>
      </c>
      <c r="G6476">
        <v>-230.0907</v>
      </c>
      <c r="H6476" s="1">
        <v>4.9264660000000001E-7</v>
      </c>
      <c r="I6476">
        <v>-62.192570000000003</v>
      </c>
      <c r="J6476">
        <v>-243.91229999999999</v>
      </c>
      <c r="K6476">
        <v>1.109008</v>
      </c>
      <c r="L6476">
        <v>-63.60989</v>
      </c>
      <c r="M6476">
        <v>0.99919279999999999</v>
      </c>
      <c r="N6476">
        <v>0</v>
      </c>
      <c r="O6476">
        <v>3.9323999999999998E-2</v>
      </c>
      <c r="P6476">
        <v>0.99902210000000002</v>
      </c>
      <c r="Q6476">
        <v>-3.8539219999999999E-2</v>
      </c>
      <c r="R6476">
        <v>-2.1662629999999999E-2</v>
      </c>
      <c r="S6476">
        <v>3.0001980000000001</v>
      </c>
      <c r="T6476">
        <v>-0.2384715</v>
      </c>
      <c r="U6476">
        <v>0.3058167</v>
      </c>
      <c r="V6476">
        <v>6.0907999999999997E-2</v>
      </c>
      <c r="W6476">
        <v>-3.041114E-2</v>
      </c>
      <c r="X6476">
        <v>0.99768000000000001</v>
      </c>
      <c r="Y6476">
        <v>-6.2134469999999997E-2</v>
      </c>
      <c r="Z6476">
        <v>-6.5152229999999997E-4</v>
      </c>
      <c r="AA6476">
        <v>0.99806760000000005</v>
      </c>
      <c r="AB6476">
        <v>27</v>
      </c>
      <c r="AC6476">
        <v>13.821599999999901</v>
      </c>
      <c r="AD6476">
        <v>-1.10900750735339</v>
      </c>
      <c r="AE6476">
        <v>1.4173199999999999</v>
      </c>
      <c r="AF6476">
        <v>-0.86716003815963405</v>
      </c>
      <c r="AG6476">
        <v>-1.10900750735339</v>
      </c>
      <c r="AH6476">
        <v>13.7788595222673</v>
      </c>
      <c r="AI6476">
        <v>94.592551139872796</v>
      </c>
      <c r="AJ6476">
        <v>93.601108671552595</v>
      </c>
      <c r="AK6476">
        <v>13.8505896595605</v>
      </c>
      <c r="AL6476">
        <v>91.742698657681998</v>
      </c>
      <c r="AM6476">
        <v>86.506449481367497</v>
      </c>
      <c r="AN6476">
        <v>1.0000000021500399</v>
      </c>
    </row>
    <row r="6477" spans="1:40" x14ac:dyDescent="0.25">
      <c r="A6477" t="str">
        <f>"20190312161443762"</f>
        <v>20190312161443762</v>
      </c>
      <c r="B6477" t="str">
        <f>"1552378483753267"</f>
        <v>1552378483753267</v>
      </c>
      <c r="C6477" t="s">
        <v>40</v>
      </c>
      <c r="D6477">
        <v>5.266419</v>
      </c>
      <c r="E6477">
        <v>0.45191940000000003</v>
      </c>
      <c r="F6477" t="s">
        <v>108</v>
      </c>
      <c r="G6477">
        <v>-229.7123</v>
      </c>
      <c r="H6477" s="1">
        <v>-3.5419279999999998E-6</v>
      </c>
      <c r="I6477">
        <v>-62.089979999999997</v>
      </c>
      <c r="J6477">
        <v>-243.78139999999999</v>
      </c>
      <c r="K6477">
        <v>1.1090070000000001</v>
      </c>
      <c r="L6477">
        <v>-63.6049199999999</v>
      </c>
      <c r="M6477">
        <v>0.99920140000000002</v>
      </c>
      <c r="N6477">
        <v>0</v>
      </c>
      <c r="O6477">
        <v>3.9112359999999999E-2</v>
      </c>
      <c r="P6477">
        <v>0.9990175</v>
      </c>
      <c r="Q6477">
        <v>-3.8578040000000001E-2</v>
      </c>
      <c r="R6477">
        <v>-2.18286E-2</v>
      </c>
      <c r="S6477">
        <v>3.000839</v>
      </c>
      <c r="T6477">
        <v>-0.2343633</v>
      </c>
      <c r="U6477">
        <v>0.32119750000000002</v>
      </c>
      <c r="V6477">
        <v>6.0862079999999999E-2</v>
      </c>
      <c r="W6477">
        <v>-3.0454769999999999E-2</v>
      </c>
      <c r="X6477">
        <v>0.9976815</v>
      </c>
      <c r="Y6477">
        <v>-6.7369990000000005E-2</v>
      </c>
      <c r="Z6477">
        <v>-4.1996429999999999E-4</v>
      </c>
      <c r="AA6477">
        <v>0.99772799999999995</v>
      </c>
      <c r="AB6477">
        <v>27</v>
      </c>
      <c r="AC6477">
        <v>14.069099999999899</v>
      </c>
      <c r="AD6477">
        <v>-1.1090105419280001</v>
      </c>
      <c r="AE6477">
        <v>1.51493999999998</v>
      </c>
      <c r="AF6477">
        <v>-0.95760472761920601</v>
      </c>
      <c r="AG6477">
        <v>-1.1090105419280001</v>
      </c>
      <c r="AH6477">
        <v>14.031403409058401</v>
      </c>
      <c r="AI6477">
        <v>94.508690332181601</v>
      </c>
      <c r="AJ6477">
        <v>93.904225472688196</v>
      </c>
      <c r="AK6477">
        <v>14.107699770841499</v>
      </c>
      <c r="AL6477">
        <v>91.745199581260906</v>
      </c>
      <c r="AM6477">
        <v>86.509082072377197</v>
      </c>
      <c r="AN6477">
        <v>1.0000000306199599</v>
      </c>
    </row>
    <row r="6478" spans="1:40" x14ac:dyDescent="0.25">
      <c r="A6478" t="str">
        <f>"20190312161443772"</f>
        <v>20190312161443772</v>
      </c>
      <c r="B6478" t="str">
        <f>"1552378483763027"</f>
        <v>1552378483763027</v>
      </c>
      <c r="C6478" t="s">
        <v>40</v>
      </c>
      <c r="D6478">
        <v>5.2638280000000002</v>
      </c>
      <c r="E6478">
        <v>0.45218229999999998</v>
      </c>
      <c r="F6478" t="s">
        <v>108</v>
      </c>
      <c r="G6478">
        <v>-229.90620000000001</v>
      </c>
      <c r="H6478" s="1">
        <v>-3.6125480000000002E-6</v>
      </c>
      <c r="I6478">
        <v>-62.124639999999999</v>
      </c>
      <c r="J6478">
        <v>-243.64699999999999</v>
      </c>
      <c r="K6478">
        <v>1.109002</v>
      </c>
      <c r="L6478">
        <v>-63.599879999999999</v>
      </c>
      <c r="M6478">
        <v>0.99920980000000004</v>
      </c>
      <c r="N6478">
        <v>0</v>
      </c>
      <c r="O6478">
        <v>3.8895350000000002E-2</v>
      </c>
      <c r="P6478">
        <v>0.99902650000000004</v>
      </c>
      <c r="Q6478">
        <v>-3.8211750000000003E-2</v>
      </c>
      <c r="R6478">
        <v>-2.204882E-2</v>
      </c>
      <c r="S6478">
        <v>3.0006870000000001</v>
      </c>
      <c r="T6478">
        <v>-0.2398371</v>
      </c>
      <c r="U6478">
        <v>0.32012940000000001</v>
      </c>
      <c r="V6478">
        <v>6.086623E-2</v>
      </c>
      <c r="W6478">
        <v>-3.0093060000000001E-2</v>
      </c>
      <c r="X6478">
        <v>0.99769220000000003</v>
      </c>
      <c r="Y6478">
        <v>-6.7236619999999997E-2</v>
      </c>
      <c r="Z6478">
        <v>-4.1784299999999999E-4</v>
      </c>
      <c r="AA6478">
        <v>0.99773699999999999</v>
      </c>
      <c r="AB6478">
        <v>27</v>
      </c>
      <c r="AC6478">
        <v>13.7408</v>
      </c>
      <c r="AD6478">
        <v>-1.1090056125479999</v>
      </c>
      <c r="AE6478">
        <v>1.4752400000000001</v>
      </c>
      <c r="AF6478">
        <v>-0.93364011555067095</v>
      </c>
      <c r="AG6478">
        <v>-1.1090056125479999</v>
      </c>
      <c r="AH6478">
        <v>13.699562219753</v>
      </c>
      <c r="AI6478">
        <v>94.617446119070706</v>
      </c>
      <c r="AJ6478">
        <v>93.898741364209997</v>
      </c>
      <c r="AK6478">
        <v>13.776051042548801</v>
      </c>
      <c r="AL6478">
        <v>91.724465660642096</v>
      </c>
      <c r="AM6478">
        <v>86.508881975190803</v>
      </c>
      <c r="AN6478">
        <v>1.0000000080777001</v>
      </c>
    </row>
    <row r="6479" spans="1:40" x14ac:dyDescent="0.25">
      <c r="A6479" t="str">
        <f>"20190312161443784"</f>
        <v>20190312161443784</v>
      </c>
      <c r="B6479" t="str">
        <f>"1552378483772787"</f>
        <v>1552378483772787</v>
      </c>
      <c r="C6479" t="s">
        <v>40</v>
      </c>
      <c r="D6479">
        <v>5.3100849999999999</v>
      </c>
      <c r="E6479">
        <v>0.4523489</v>
      </c>
      <c r="F6479" t="s">
        <v>108</v>
      </c>
      <c r="G6479">
        <v>-229.9691</v>
      </c>
      <c r="H6479" s="1">
        <v>-3.6377590000000001E-6</v>
      </c>
      <c r="I6479">
        <v>-62.153129999999997</v>
      </c>
      <c r="J6479">
        <v>-243.505</v>
      </c>
      <c r="K6479">
        <v>1.1089990000000001</v>
      </c>
      <c r="L6479">
        <v>-63.5946</v>
      </c>
      <c r="M6479">
        <v>0.99921870000000002</v>
      </c>
      <c r="N6479">
        <v>0</v>
      </c>
      <c r="O6479">
        <v>3.8665949999999998E-2</v>
      </c>
      <c r="P6479">
        <v>0.99901220000000002</v>
      </c>
      <c r="Q6479">
        <v>-3.8403729999999997E-2</v>
      </c>
      <c r="R6479">
        <v>-2.235243E-2</v>
      </c>
      <c r="S6479">
        <v>3.000626</v>
      </c>
      <c r="T6479">
        <v>-0.24329010000000001</v>
      </c>
      <c r="U6479">
        <v>0.31738280000000002</v>
      </c>
      <c r="V6479">
        <v>6.0939920000000002E-2</v>
      </c>
      <c r="W6479">
        <v>-3.0289739999999999E-2</v>
      </c>
      <c r="X6479">
        <v>0.9976817</v>
      </c>
      <c r="Y6479">
        <v>-6.6563570000000002E-2</v>
      </c>
      <c r="Z6479">
        <v>-4.3255859999999998E-4</v>
      </c>
      <c r="AA6479">
        <v>0.99778210000000001</v>
      </c>
      <c r="AB6479">
        <v>27</v>
      </c>
      <c r="AC6479">
        <v>13.5358999999999</v>
      </c>
      <c r="AD6479">
        <v>-1.1090026377590001</v>
      </c>
      <c r="AE6479">
        <v>1.44146999999999</v>
      </c>
      <c r="AF6479">
        <v>-0.91094976197950095</v>
      </c>
      <c r="AG6479">
        <v>-1.1090026377590001</v>
      </c>
      <c r="AH6479">
        <v>13.4919641251436</v>
      </c>
      <c r="AI6479">
        <v>94.688366527378605</v>
      </c>
      <c r="AJ6479">
        <v>93.8626312147547</v>
      </c>
      <c r="AK6479">
        <v>13.568080640738</v>
      </c>
      <c r="AL6479">
        <v>91.735739820259397</v>
      </c>
      <c r="AM6479">
        <v>86.504629098778395</v>
      </c>
      <c r="AN6479">
        <v>0.99999995835688105</v>
      </c>
    </row>
    <row r="6480" spans="1:40" x14ac:dyDescent="0.25">
      <c r="A6480" t="str">
        <f>"20190312161443796"</f>
        <v>20190312161443796</v>
      </c>
      <c r="B6480" t="str">
        <f>"1552378483793283"</f>
        <v>1552378483793283</v>
      </c>
      <c r="C6480" t="s">
        <v>40</v>
      </c>
      <c r="D6480">
        <v>5.3479380000000001</v>
      </c>
      <c r="E6480">
        <v>0.45332820000000001</v>
      </c>
      <c r="F6480" t="s">
        <v>108</v>
      </c>
      <c r="G6480">
        <v>-229.73990000000001</v>
      </c>
      <c r="H6480" s="1">
        <v>-3.5591930000000002E-6</v>
      </c>
      <c r="I6480">
        <v>-62.148780000000002</v>
      </c>
      <c r="J6480">
        <v>-243.3691</v>
      </c>
      <c r="K6480">
        <v>1.1089960000000001</v>
      </c>
      <c r="L6480">
        <v>-63.58954</v>
      </c>
      <c r="M6480">
        <v>0.99922719999999998</v>
      </c>
      <c r="N6480">
        <v>0</v>
      </c>
      <c r="O6480">
        <v>3.8446620000000001E-2</v>
      </c>
      <c r="P6480">
        <v>0.99901740000000006</v>
      </c>
      <c r="Q6480">
        <v>-3.8317150000000001E-2</v>
      </c>
      <c r="R6480">
        <v>-2.227208E-2</v>
      </c>
      <c r="S6480">
        <v>3.0007320000000002</v>
      </c>
      <c r="T6480">
        <v>-0.24175849999999999</v>
      </c>
      <c r="U6480">
        <v>0.31518550000000001</v>
      </c>
      <c r="V6480">
        <v>6.0640850000000003E-2</v>
      </c>
      <c r="W6480">
        <v>-3.0206759999999999E-2</v>
      </c>
      <c r="X6480">
        <v>0.99770250000000005</v>
      </c>
      <c r="Y6480">
        <v>-6.6058309999999995E-2</v>
      </c>
      <c r="Z6480">
        <v>-4.325539E-4</v>
      </c>
      <c r="AA6480">
        <v>0.99781569999999997</v>
      </c>
      <c r="AB6480">
        <v>27</v>
      </c>
      <c r="AC6480">
        <v>13.6291999999999</v>
      </c>
      <c r="AD6480">
        <v>-1.108999559193</v>
      </c>
      <c r="AE6480">
        <v>1.44075999999999</v>
      </c>
      <c r="AF6480">
        <v>-0.90972382479416003</v>
      </c>
      <c r="AG6480">
        <v>-1.108999559193</v>
      </c>
      <c r="AH6480">
        <v>13.585561246210199</v>
      </c>
      <c r="AI6480">
        <v>94.656368224740703</v>
      </c>
      <c r="AJ6480">
        <v>93.830952358282104</v>
      </c>
      <c r="AK6480">
        <v>13.6610743294302</v>
      </c>
      <c r="AL6480">
        <v>91.730983133403896</v>
      </c>
      <c r="AM6480">
        <v>86.521813171074797</v>
      </c>
      <c r="AN6480">
        <v>1.00000001977233</v>
      </c>
    </row>
    <row r="6481" spans="1:40" x14ac:dyDescent="0.25">
      <c r="A6481" t="str">
        <f>"20190312161443806"</f>
        <v>20190312161443806</v>
      </c>
      <c r="B6481" t="str">
        <f>"1552378483803046"</f>
        <v>1552378483803046</v>
      </c>
      <c r="C6481" t="s">
        <v>40</v>
      </c>
      <c r="D6481">
        <v>5.2765190000000004</v>
      </c>
      <c r="E6481">
        <v>0.4533991</v>
      </c>
      <c r="F6481" t="s">
        <v>108</v>
      </c>
      <c r="G6481">
        <v>-229.4281</v>
      </c>
      <c r="H6481" s="1">
        <v>-3.4546649999999998E-6</v>
      </c>
      <c r="I6481">
        <v>-62.160499999999999</v>
      </c>
      <c r="J6481">
        <v>-243.23570000000001</v>
      </c>
      <c r="K6481">
        <v>1.1089960000000001</v>
      </c>
      <c r="L6481">
        <v>-63.584629999999997</v>
      </c>
      <c r="M6481">
        <v>0.9992356</v>
      </c>
      <c r="N6481">
        <v>0</v>
      </c>
      <c r="O6481">
        <v>3.8231050000000003E-2</v>
      </c>
      <c r="P6481">
        <v>0.99900929999999999</v>
      </c>
      <c r="Q6481">
        <v>-3.8458949999999999E-2</v>
      </c>
      <c r="R6481">
        <v>-2.2390779999999999E-2</v>
      </c>
      <c r="S6481">
        <v>3.0006560000000002</v>
      </c>
      <c r="T6481">
        <v>-0.23870179999999999</v>
      </c>
      <c r="U6481">
        <v>0.30758669999999999</v>
      </c>
      <c r="V6481">
        <v>6.0543890000000003E-2</v>
      </c>
      <c r="W6481">
        <v>-3.0352279999999999E-2</v>
      </c>
      <c r="X6481">
        <v>0.99770400000000004</v>
      </c>
      <c r="Y6481">
        <v>-6.37847E-2</v>
      </c>
      <c r="Z6481">
        <v>-5.0020749999999997E-4</v>
      </c>
      <c r="AA6481">
        <v>0.9979635</v>
      </c>
      <c r="AB6481">
        <v>27</v>
      </c>
      <c r="AC6481">
        <v>13.807600000000001</v>
      </c>
      <c r="AD6481">
        <v>-1.1089994546649999</v>
      </c>
      <c r="AE6481">
        <v>1.4241299999999999</v>
      </c>
      <c r="AF6481">
        <v>-0.88951431522875002</v>
      </c>
      <c r="AG6481">
        <v>-1.1089994546649999</v>
      </c>
      <c r="AH6481">
        <v>13.7640953624815</v>
      </c>
      <c r="AI6481">
        <v>94.596931162773799</v>
      </c>
      <c r="AJ6481">
        <v>93.6976379466157</v>
      </c>
      <c r="AK6481">
        <v>13.837320429003899</v>
      </c>
      <c r="AL6481">
        <v>91.739324591551906</v>
      </c>
      <c r="AM6481">
        <v>86.527366108896402</v>
      </c>
      <c r="AN6481">
        <v>1.0000000475667601</v>
      </c>
    </row>
    <row r="6482" spans="1:40" x14ac:dyDescent="0.25">
      <c r="A6482" t="str">
        <f>"20190312161443818"</f>
        <v>20190312161443818</v>
      </c>
      <c r="B6482" t="str">
        <f>"1552378483812808"</f>
        <v>1552378483812808</v>
      </c>
      <c r="C6482" t="s">
        <v>40</v>
      </c>
      <c r="D6482">
        <v>5.4343139999999996</v>
      </c>
      <c r="E6482">
        <v>0.45331890000000002</v>
      </c>
      <c r="F6482" t="s">
        <v>108</v>
      </c>
      <c r="G6482">
        <v>-229.01759999999999</v>
      </c>
      <c r="H6482" s="1">
        <v>-3.3111509999999999E-6</v>
      </c>
      <c r="I6482">
        <v>-62.13203</v>
      </c>
      <c r="J6482">
        <v>-243.08860000000001</v>
      </c>
      <c r="K6482">
        <v>1.1089910000000001</v>
      </c>
      <c r="L6482">
        <v>-63.579250000000002</v>
      </c>
      <c r="M6482">
        <v>0.99924460000000004</v>
      </c>
      <c r="N6482">
        <v>0</v>
      </c>
      <c r="O6482">
        <v>3.7993829999999999E-2</v>
      </c>
      <c r="P6482">
        <v>0.99900460000000002</v>
      </c>
      <c r="Q6482">
        <v>-3.8543929999999997E-2</v>
      </c>
      <c r="R6482">
        <v>-2.245581E-2</v>
      </c>
      <c r="S6482">
        <v>3.0008240000000002</v>
      </c>
      <c r="T6482">
        <v>-0.23406199999999999</v>
      </c>
      <c r="U6482">
        <v>0.30657960000000001</v>
      </c>
      <c r="V6482">
        <v>6.0371670000000002E-2</v>
      </c>
      <c r="W6482">
        <v>-3.0440700000000001E-2</v>
      </c>
      <c r="X6482">
        <v>0.99771169999999998</v>
      </c>
      <c r="Y6482">
        <v>-6.3687160000000007E-2</v>
      </c>
      <c r="Z6482">
        <v>-4.758893E-4</v>
      </c>
      <c r="AA6482">
        <v>0.99796980000000002</v>
      </c>
      <c r="AB6482">
        <v>27</v>
      </c>
      <c r="AC6482">
        <v>14.071</v>
      </c>
      <c r="AD6482">
        <v>-1.1089943111509999</v>
      </c>
      <c r="AE6482">
        <v>1.44721999999999</v>
      </c>
      <c r="AF6482">
        <v>-0.90597725986587396</v>
      </c>
      <c r="AG6482">
        <v>-1.1089943111509999</v>
      </c>
      <c r="AH6482">
        <v>14.029591920119</v>
      </c>
      <c r="AI6482">
        <v>94.510294510661893</v>
      </c>
      <c r="AJ6482">
        <v>93.694811592281695</v>
      </c>
      <c r="AK6482">
        <v>14.102486044050099</v>
      </c>
      <c r="AL6482">
        <v>91.7443930995004</v>
      </c>
      <c r="AM6482">
        <v>86.537246771662495</v>
      </c>
      <c r="AN6482">
        <v>1.0000000055359799</v>
      </c>
    </row>
    <row r="6483" spans="1:40" x14ac:dyDescent="0.25">
      <c r="A6483" t="str">
        <f>"20190312161443830"</f>
        <v>20190312161443830</v>
      </c>
      <c r="B6483" t="str">
        <f>"1552378483823538"</f>
        <v>1552378483823538</v>
      </c>
      <c r="C6483" t="s">
        <v>40</v>
      </c>
      <c r="D6483">
        <v>5.382485</v>
      </c>
      <c r="E6483">
        <v>0.45328350000000001</v>
      </c>
      <c r="F6483" t="s">
        <v>108</v>
      </c>
      <c r="G6483">
        <v>-228.4753</v>
      </c>
      <c r="H6483" s="1">
        <v>-3.1202670000000002E-6</v>
      </c>
      <c r="I6483">
        <v>-62.08464</v>
      </c>
      <c r="J6483">
        <v>-242.9511</v>
      </c>
      <c r="K6483">
        <v>1.1089899999999999</v>
      </c>
      <c r="L6483">
        <v>-63.574249999999999</v>
      </c>
      <c r="M6483">
        <v>0.99925299999999995</v>
      </c>
      <c r="N6483">
        <v>0</v>
      </c>
      <c r="O6483">
        <v>3.7772050000000001E-2</v>
      </c>
      <c r="P6483">
        <v>0.99899950000000004</v>
      </c>
      <c r="Q6483">
        <v>-3.8685079999999997E-2</v>
      </c>
      <c r="R6483">
        <v>-2.244471E-2</v>
      </c>
      <c r="S6483">
        <v>3.0011139999999998</v>
      </c>
      <c r="T6483">
        <v>-0.22775229999999999</v>
      </c>
      <c r="U6483">
        <v>0.30694579999999999</v>
      </c>
      <c r="V6483">
        <v>6.0138599999999903E-2</v>
      </c>
      <c r="W6483">
        <v>-3.0584819999999999E-2</v>
      </c>
      <c r="X6483">
        <v>0.99772139999999998</v>
      </c>
      <c r="Y6483">
        <v>-6.4021949999999994E-2</v>
      </c>
      <c r="Z6483">
        <v>-4.3365729999999999E-4</v>
      </c>
      <c r="AA6483">
        <v>0.99794839999999996</v>
      </c>
      <c r="AB6483">
        <v>27</v>
      </c>
      <c r="AC6483">
        <v>14.4757999999999</v>
      </c>
      <c r="AD6483">
        <v>-1.10899312026699</v>
      </c>
      <c r="AE6483">
        <v>1.4896099999999901</v>
      </c>
      <c r="AF6483">
        <v>-0.936310303228441</v>
      </c>
      <c r="AG6483">
        <v>-1.10899312026699</v>
      </c>
      <c r="AH6483">
        <v>14.4378869008964</v>
      </c>
      <c r="AI6483">
        <v>94.383168291001397</v>
      </c>
      <c r="AJ6483">
        <v>93.710488389748093</v>
      </c>
      <c r="AK6483">
        <v>14.510655425852001</v>
      </c>
      <c r="AL6483">
        <v>91.752654358309897</v>
      </c>
      <c r="AM6483">
        <v>86.550616140791206</v>
      </c>
      <c r="AN6483">
        <v>1.0000000372211699</v>
      </c>
    </row>
    <row r="6484" spans="1:40" x14ac:dyDescent="0.25">
      <c r="A6484" t="str">
        <f>"20190312161443840"</f>
        <v>20190312161443840</v>
      </c>
      <c r="B6484" t="str">
        <f>"1552378483833299"</f>
        <v>1552378483833299</v>
      </c>
      <c r="C6484" t="s">
        <v>40</v>
      </c>
      <c r="D6484">
        <v>5.2961819999999999</v>
      </c>
      <c r="E6484">
        <v>0.45341110000000001</v>
      </c>
      <c r="F6484" t="s">
        <v>108</v>
      </c>
      <c r="G6484">
        <v>-228.18</v>
      </c>
      <c r="H6484" s="1">
        <v>-3.000458E-6</v>
      </c>
      <c r="I6484">
        <v>-62.062179999999998</v>
      </c>
      <c r="J6484">
        <v>-242.81649999999999</v>
      </c>
      <c r="K6484">
        <v>1.108989</v>
      </c>
      <c r="L6484">
        <v>-63.5693699999999</v>
      </c>
      <c r="M6484">
        <v>0.99926130000000002</v>
      </c>
      <c r="N6484">
        <v>0</v>
      </c>
      <c r="O6484">
        <v>3.7554740000000003E-2</v>
      </c>
      <c r="P6484">
        <v>0.99899340000000003</v>
      </c>
      <c r="Q6484">
        <v>-3.8706949999999997E-2</v>
      </c>
      <c r="R6484">
        <v>-2.2674199999999999E-2</v>
      </c>
      <c r="S6484">
        <v>3.0011899999999998</v>
      </c>
      <c r="T6484">
        <v>-0.2253242</v>
      </c>
      <c r="U6484">
        <v>0.30722050000000001</v>
      </c>
      <c r="V6484">
        <v>6.0150990000000001E-2</v>
      </c>
      <c r="W6484">
        <v>-3.060939E-2</v>
      </c>
      <c r="X6484">
        <v>0.99771989999999999</v>
      </c>
      <c r="Y6484">
        <v>-6.4326930000000004E-2</v>
      </c>
      <c r="Z6484">
        <v>-4.0140400000000001E-4</v>
      </c>
      <c r="AA6484">
        <v>0.99792879999999995</v>
      </c>
      <c r="AB6484">
        <v>28</v>
      </c>
      <c r="AC6484">
        <v>14.6364999999999</v>
      </c>
      <c r="AD6484">
        <v>-1.1089920004580001</v>
      </c>
      <c r="AE6484">
        <v>1.50718999999998</v>
      </c>
      <c r="AF6484">
        <v>-0.95103594230659305</v>
      </c>
      <c r="AG6484">
        <v>-1.1089920004580001</v>
      </c>
      <c r="AH6484">
        <v>14.5998410904972</v>
      </c>
      <c r="AI6484">
        <v>94.334647517684502</v>
      </c>
      <c r="AJ6484">
        <v>93.726990525265194</v>
      </c>
      <c r="AK6484">
        <v>14.672753405152299</v>
      </c>
      <c r="AL6484">
        <v>91.754062774308593</v>
      </c>
      <c r="AM6484">
        <v>86.549902026629098</v>
      </c>
      <c r="AN6484">
        <v>1.0000000376050799</v>
      </c>
    </row>
    <row r="6485" spans="1:40" x14ac:dyDescent="0.25">
      <c r="A6485" t="str">
        <f>"20190312161443851"</f>
        <v>20190312161443851</v>
      </c>
      <c r="B6485" t="str">
        <f>"1552378483843059"</f>
        <v>1552378483843059</v>
      </c>
      <c r="C6485" t="s">
        <v>40</v>
      </c>
      <c r="D6485">
        <v>5.2667169999999999</v>
      </c>
      <c r="E6485">
        <v>0.45392120000000002</v>
      </c>
      <c r="F6485" t="s">
        <v>108</v>
      </c>
      <c r="G6485">
        <v>-227.8758</v>
      </c>
      <c r="H6485" s="1">
        <v>-2.8670319999999999E-6</v>
      </c>
      <c r="I6485">
        <v>-62.048960000000001</v>
      </c>
      <c r="J6485">
        <v>-242.67949999999999</v>
      </c>
      <c r="K6485">
        <v>1.108986</v>
      </c>
      <c r="L6485">
        <v>-63.564419999999998</v>
      </c>
      <c r="M6485">
        <v>0.99926959999999998</v>
      </c>
      <c r="N6485">
        <v>0</v>
      </c>
      <c r="O6485">
        <v>3.7333970000000001E-2</v>
      </c>
      <c r="P6485">
        <v>0.9989865</v>
      </c>
      <c r="Q6485">
        <v>-3.8732950000000002E-2</v>
      </c>
      <c r="R6485">
        <v>-2.2942509999999999E-2</v>
      </c>
      <c r="S6485">
        <v>3.0012970000000001</v>
      </c>
      <c r="T6485">
        <v>-0.22277469999999999</v>
      </c>
      <c r="U6485">
        <v>0.30541990000000002</v>
      </c>
      <c r="V6485">
        <v>6.0198229999999998E-2</v>
      </c>
      <c r="W6485">
        <v>-3.0637979999999999E-2</v>
      </c>
      <c r="X6485">
        <v>0.99771609999999999</v>
      </c>
      <c r="Y6485">
        <v>-6.3953380000000004E-2</v>
      </c>
      <c r="Z6485">
        <v>-3.9439109999999999E-4</v>
      </c>
      <c r="AA6485">
        <v>0.99795279999999997</v>
      </c>
      <c r="AB6485">
        <v>28</v>
      </c>
      <c r="AC6485">
        <v>14.8036999999999</v>
      </c>
      <c r="AD6485">
        <v>-1.1089888670320001</v>
      </c>
      <c r="AE6485">
        <v>1.51545999999999</v>
      </c>
      <c r="AF6485">
        <v>-0.95639260097678203</v>
      </c>
      <c r="AG6485">
        <v>-1.1089888670320001</v>
      </c>
      <c r="AH6485">
        <v>14.767941411382701</v>
      </c>
      <c r="AI6485">
        <v>94.285584546717303</v>
      </c>
      <c r="AJ6485">
        <v>93.705380660954404</v>
      </c>
      <c r="AK6485">
        <v>14.840371849938199</v>
      </c>
      <c r="AL6485">
        <v>91.755701757698304</v>
      </c>
      <c r="AM6485">
        <v>86.547185901926497</v>
      </c>
      <c r="AN6485">
        <v>0.99999996445641104</v>
      </c>
    </row>
    <row r="6486" spans="1:40" x14ac:dyDescent="0.25">
      <c r="A6486" t="str">
        <f>"20190312161443862"</f>
        <v>20190312161443862</v>
      </c>
      <c r="B6486" t="str">
        <f>"1552378483852819"</f>
        <v>1552378483852819</v>
      </c>
      <c r="C6486" t="s">
        <v>40</v>
      </c>
      <c r="D6486">
        <v>5.3427009999999999</v>
      </c>
      <c r="E6486">
        <v>0.4540884</v>
      </c>
      <c r="F6486" t="s">
        <v>108</v>
      </c>
      <c r="G6486">
        <v>-227.88470000000001</v>
      </c>
      <c r="H6486" s="1">
        <v>-2.878298E-6</v>
      </c>
      <c r="I6486">
        <v>-62.082439999999998</v>
      </c>
      <c r="J6486">
        <v>-242.54660000000001</v>
      </c>
      <c r="K6486">
        <v>1.108984</v>
      </c>
      <c r="L6486">
        <v>-63.559690000000003</v>
      </c>
      <c r="M6486">
        <v>0.99927750000000004</v>
      </c>
      <c r="N6486">
        <v>0</v>
      </c>
      <c r="O6486">
        <v>3.7119279999999998E-2</v>
      </c>
      <c r="P6486">
        <v>0.99898730000000002</v>
      </c>
      <c r="Q6486">
        <v>-3.8614450000000002E-2</v>
      </c>
      <c r="R6486">
        <v>-2.310506E-2</v>
      </c>
      <c r="S6486">
        <v>3.0012050000000001</v>
      </c>
      <c r="T6486">
        <v>-0.22496379999999999</v>
      </c>
      <c r="U6486">
        <v>0.30062870000000003</v>
      </c>
      <c r="V6486">
        <v>6.014634E-2</v>
      </c>
      <c r="W6486">
        <v>-3.052146E-2</v>
      </c>
      <c r="X6486">
        <v>0.99772289999999997</v>
      </c>
      <c r="Y6486">
        <v>-6.2595429999999994E-2</v>
      </c>
      <c r="Z6486">
        <v>-4.3300940000000002E-4</v>
      </c>
      <c r="AA6486">
        <v>0.99803889999999995</v>
      </c>
      <c r="AB6486">
        <v>28</v>
      </c>
      <c r="AC6486">
        <v>14.661899999999999</v>
      </c>
      <c r="AD6486">
        <v>-1.1089868782979999</v>
      </c>
      <c r="AE6486">
        <v>1.47724999999999</v>
      </c>
      <c r="AF6486">
        <v>-0.92672604392831304</v>
      </c>
      <c r="AG6486">
        <v>-1.1089868782979999</v>
      </c>
      <c r="AH6486">
        <v>14.623809126902501</v>
      </c>
      <c r="AI6486">
        <v>94.328038323046897</v>
      </c>
      <c r="AJ6486">
        <v>93.626044590511498</v>
      </c>
      <c r="AK6486">
        <v>14.695049045063101</v>
      </c>
      <c r="AL6486">
        <v>91.7490223563467</v>
      </c>
      <c r="AM6486">
        <v>86.550178441933198</v>
      </c>
      <c r="AN6486">
        <v>1.00000006346016</v>
      </c>
    </row>
    <row r="6487" spans="1:40" x14ac:dyDescent="0.25">
      <c r="A6487" t="str">
        <f>"20190312161443873"</f>
        <v>20190312161443873</v>
      </c>
      <c r="B6487" t="str">
        <f>"1552378483863555"</f>
        <v>1552378483863555</v>
      </c>
      <c r="C6487" t="s">
        <v>40</v>
      </c>
      <c r="D6487">
        <v>5.3434470000000003</v>
      </c>
      <c r="E6487">
        <v>0.45413490000000001</v>
      </c>
      <c r="F6487" t="s">
        <v>108</v>
      </c>
      <c r="G6487">
        <v>-227.64179999999999</v>
      </c>
      <c r="H6487" s="1">
        <v>-2.7727079999999999E-6</v>
      </c>
      <c r="I6487">
        <v>-62.076149999999998</v>
      </c>
      <c r="J6487">
        <v>-242.4085</v>
      </c>
      <c r="K6487">
        <v>1.108984</v>
      </c>
      <c r="L6487">
        <v>-63.554749999999999</v>
      </c>
      <c r="M6487">
        <v>0.9992858</v>
      </c>
      <c r="N6487">
        <v>0</v>
      </c>
      <c r="O6487">
        <v>3.6896600000000002E-2</v>
      </c>
      <c r="P6487">
        <v>0.99899070000000001</v>
      </c>
      <c r="Q6487">
        <v>-3.831441E-2</v>
      </c>
      <c r="R6487">
        <v>-2.345185E-2</v>
      </c>
      <c r="S6487">
        <v>3.001312</v>
      </c>
      <c r="T6487">
        <v>-0.2233126</v>
      </c>
      <c r="U6487">
        <v>0.29873660000000002</v>
      </c>
      <c r="V6487">
        <v>6.0271140000000001E-2</v>
      </c>
      <c r="W6487">
        <v>-3.022335E-2</v>
      </c>
      <c r="X6487">
        <v>0.99772439999999996</v>
      </c>
      <c r="Y6487">
        <v>-6.2192839999999999E-2</v>
      </c>
      <c r="Z6487">
        <v>-4.2828339999999998E-4</v>
      </c>
      <c r="AA6487">
        <v>0.99806399999999995</v>
      </c>
      <c r="AB6487">
        <v>28</v>
      </c>
      <c r="AC6487">
        <v>14.7667</v>
      </c>
      <c r="AD6487">
        <v>-1.1089867727079901</v>
      </c>
      <c r="AE6487">
        <v>1.4785999999999999</v>
      </c>
      <c r="AF6487">
        <v>-0.92755443200766896</v>
      </c>
      <c r="AG6487">
        <v>-1.1089867727079901</v>
      </c>
      <c r="AH6487">
        <v>14.7289536903462</v>
      </c>
      <c r="AI6487">
        <v>94.297364508808798</v>
      </c>
      <c r="AJ6487">
        <v>93.6034376419842</v>
      </c>
      <c r="AK6487">
        <v>14.799739379419499</v>
      </c>
      <c r="AL6487">
        <v>91.731934104549694</v>
      </c>
      <c r="AM6487">
        <v>86.543042798187599</v>
      </c>
      <c r="AN6487">
        <v>1.00000001977874</v>
      </c>
    </row>
    <row r="6488" spans="1:40" x14ac:dyDescent="0.25">
      <c r="A6488" t="str">
        <f>"20190312161443885"</f>
        <v>20190312161443885</v>
      </c>
      <c r="B6488" t="str">
        <f>"1552378483873314"</f>
        <v>1552378483873314</v>
      </c>
      <c r="C6488" t="s">
        <v>40</v>
      </c>
      <c r="D6488">
        <v>5.3196199999999996</v>
      </c>
      <c r="E6488">
        <v>0.45416250000000002</v>
      </c>
      <c r="F6488" t="s">
        <v>108</v>
      </c>
      <c r="G6488">
        <v>-227.5025</v>
      </c>
      <c r="H6488" s="1">
        <v>-2.7132870000000002E-6</v>
      </c>
      <c r="I6488">
        <v>-62.077800000000003</v>
      </c>
      <c r="J6488">
        <v>-242.2688</v>
      </c>
      <c r="K6488">
        <v>1.1089819999999999</v>
      </c>
      <c r="L6488">
        <v>-63.549840000000003</v>
      </c>
      <c r="M6488">
        <v>0.99929420000000002</v>
      </c>
      <c r="N6488">
        <v>0</v>
      </c>
      <c r="O6488">
        <v>3.6671240000000001E-2</v>
      </c>
      <c r="P6488">
        <v>0.99899110000000002</v>
      </c>
      <c r="Q6488">
        <v>-3.812376E-2</v>
      </c>
      <c r="R6488">
        <v>-2.3740710000000002E-2</v>
      </c>
      <c r="S6488">
        <v>3.0014340000000002</v>
      </c>
      <c r="T6488">
        <v>-0.2233019</v>
      </c>
      <c r="U6488">
        <v>0.29739379999999999</v>
      </c>
      <c r="V6488">
        <v>6.0335109999999997E-2</v>
      </c>
      <c r="W6488">
        <v>-3.003432E-2</v>
      </c>
      <c r="X6488">
        <v>0.99772620000000001</v>
      </c>
      <c r="Y6488">
        <v>-6.1971779999999997E-2</v>
      </c>
      <c r="Z6488">
        <v>-4.1977319999999998E-4</v>
      </c>
      <c r="AA6488">
        <v>0.99807780000000001</v>
      </c>
      <c r="AB6488">
        <v>28</v>
      </c>
      <c r="AC6488">
        <v>14.766299999999999</v>
      </c>
      <c r="AD6488">
        <v>-1.1089847132870001</v>
      </c>
      <c r="AE6488">
        <v>1.47203999999999</v>
      </c>
      <c r="AF6488">
        <v>-0.92437083684450705</v>
      </c>
      <c r="AG6488">
        <v>-1.1089847132870001</v>
      </c>
      <c r="AH6488">
        <v>14.7280961108903</v>
      </c>
      <c r="AI6488">
        <v>94.297662816981202</v>
      </c>
      <c r="AJ6488">
        <v>93.5913107306813</v>
      </c>
      <c r="AK6488">
        <v>14.7986865494859</v>
      </c>
      <c r="AL6488">
        <v>91.721098636356999</v>
      </c>
      <c r="AM6488">
        <v>86.539388826710095</v>
      </c>
      <c r="AN6488">
        <v>0.99999997802150697</v>
      </c>
    </row>
    <row r="6489" spans="1:40" x14ac:dyDescent="0.25">
      <c r="A6489" t="str">
        <f>"20190312161443896"</f>
        <v>20190312161443896</v>
      </c>
      <c r="B6489" t="str">
        <f>"1552378483892835"</f>
        <v>1552378483892835</v>
      </c>
      <c r="C6489" t="s">
        <v>40</v>
      </c>
      <c r="D6489">
        <v>5.3497079999999997</v>
      </c>
      <c r="E6489">
        <v>0.45427149999999999</v>
      </c>
      <c r="F6489" t="s">
        <v>108</v>
      </c>
      <c r="G6489">
        <v>-227.33340000000001</v>
      </c>
      <c r="H6489" s="1">
        <v>-2.6403209999999999E-6</v>
      </c>
      <c r="I6489">
        <v>-62.075809999999997</v>
      </c>
      <c r="J6489">
        <v>-242.1301</v>
      </c>
      <c r="K6489">
        <v>1.108981</v>
      </c>
      <c r="L6489">
        <v>-63.544980000000002</v>
      </c>
      <c r="M6489">
        <v>0.99930229999999998</v>
      </c>
      <c r="N6489">
        <v>0</v>
      </c>
      <c r="O6489">
        <v>3.6447489999999999E-2</v>
      </c>
      <c r="P6489">
        <v>0.99899059999999995</v>
      </c>
      <c r="Q6489">
        <v>-3.8027529999999997E-2</v>
      </c>
      <c r="R6489">
        <v>-2.3911470000000001E-2</v>
      </c>
      <c r="S6489">
        <v>3.0015719999999999</v>
      </c>
      <c r="T6489">
        <v>-0.22287299999999999</v>
      </c>
      <c r="U6489">
        <v>0.2962341</v>
      </c>
      <c r="V6489">
        <v>6.0282280000000001E-2</v>
      </c>
      <c r="W6489">
        <v>-2.9940970000000001E-2</v>
      </c>
      <c r="X6489">
        <v>0.99773219999999996</v>
      </c>
      <c r="Y6489">
        <v>-6.1808990000000001E-2</v>
      </c>
      <c r="Z6489">
        <v>-4.0845550000000001E-4</v>
      </c>
      <c r="AA6489">
        <v>0.99808790000000003</v>
      </c>
      <c r="AB6489">
        <v>28</v>
      </c>
      <c r="AC6489">
        <v>14.7966999999999</v>
      </c>
      <c r="AD6489">
        <v>-1.1089836403210001</v>
      </c>
      <c r="AE6489">
        <v>1.4691700000000001</v>
      </c>
      <c r="AF6489">
        <v>-0.92373510968707695</v>
      </c>
      <c r="AG6489">
        <v>-1.1089836403210001</v>
      </c>
      <c r="AH6489">
        <v>14.758326016251401</v>
      </c>
      <c r="AI6489">
        <v>94.288934322421795</v>
      </c>
      <c r="AJ6489">
        <v>93.581515312954195</v>
      </c>
      <c r="AK6489">
        <v>14.828732854473101</v>
      </c>
      <c r="AL6489">
        <v>91.7157476671469</v>
      </c>
      <c r="AM6489">
        <v>86.542432358839903</v>
      </c>
      <c r="AN6489">
        <v>0.99999997894168902</v>
      </c>
    </row>
    <row r="6490" spans="1:40" x14ac:dyDescent="0.25">
      <c r="A6490" t="str">
        <f>"20190312161443908"</f>
        <v>20190312161443908</v>
      </c>
      <c r="B6490" t="str">
        <f>"1552378483902594"</f>
        <v>1552378483902594</v>
      </c>
      <c r="C6490" t="s">
        <v>40</v>
      </c>
      <c r="D6490">
        <v>5.3178809999999999</v>
      </c>
      <c r="E6490">
        <v>0.454378</v>
      </c>
      <c r="F6490" t="s">
        <v>108</v>
      </c>
      <c r="G6490">
        <v>-227.27189999999999</v>
      </c>
      <c r="H6490" s="1">
        <v>-2.6160789999999999E-6</v>
      </c>
      <c r="I6490">
        <v>-62.085380000000001</v>
      </c>
      <c r="J6490">
        <v>-241.98400000000001</v>
      </c>
      <c r="K6490">
        <v>1.108978</v>
      </c>
      <c r="L6490">
        <v>-63.539859999999997</v>
      </c>
      <c r="M6490">
        <v>0.9993109</v>
      </c>
      <c r="N6490">
        <v>0</v>
      </c>
      <c r="O6490">
        <v>3.6212000000000001E-2</v>
      </c>
      <c r="P6490">
        <v>0.99899660000000001</v>
      </c>
      <c r="Q6490">
        <v>-3.7725559999999998E-2</v>
      </c>
      <c r="R6490">
        <v>-2.413823E-2</v>
      </c>
      <c r="S6490">
        <v>3.0015559999999999</v>
      </c>
      <c r="T6490">
        <v>-0.22403039999999999</v>
      </c>
      <c r="U6490">
        <v>0.29486079999999998</v>
      </c>
      <c r="V6490">
        <v>6.0274309999999998E-2</v>
      </c>
      <c r="W6490">
        <v>-2.9642600000000002E-2</v>
      </c>
      <c r="X6490">
        <v>0.99774160000000001</v>
      </c>
      <c r="Y6490">
        <v>-6.1591640000000003E-2</v>
      </c>
      <c r="Z6490">
        <v>-4.011819E-4</v>
      </c>
      <c r="AA6490">
        <v>0.99810140000000003</v>
      </c>
      <c r="AB6490">
        <v>28</v>
      </c>
      <c r="AC6490">
        <v>14.7121</v>
      </c>
      <c r="AD6490">
        <v>-1.1089806160789999</v>
      </c>
      <c r="AE6490">
        <v>1.45447999999998</v>
      </c>
      <c r="AF6490">
        <v>-0.91560166828375</v>
      </c>
      <c r="AG6490">
        <v>-1.1089806160789999</v>
      </c>
      <c r="AH6490">
        <v>14.6725594957797</v>
      </c>
      <c r="AI6490">
        <v>94.313949060704701</v>
      </c>
      <c r="AJ6490">
        <v>93.570759137181696</v>
      </c>
      <c r="AK6490">
        <v>14.742868329433</v>
      </c>
      <c r="AL6490">
        <v>91.698644717586802</v>
      </c>
      <c r="AM6490">
        <v>86.542920871074003</v>
      </c>
      <c r="AN6490">
        <v>0.99999998827564796</v>
      </c>
    </row>
    <row r="6491" spans="1:40" x14ac:dyDescent="0.25">
      <c r="A6491" t="str">
        <f>"20190312161443919"</f>
        <v>20190312161443919</v>
      </c>
      <c r="B6491" t="str">
        <f>"1552378483913331"</f>
        <v>1552378483913331</v>
      </c>
      <c r="C6491" t="s">
        <v>40</v>
      </c>
      <c r="D6491">
        <v>5.3427709999999999</v>
      </c>
      <c r="E6491">
        <v>0.4544762</v>
      </c>
      <c r="F6491" t="s">
        <v>108</v>
      </c>
      <c r="G6491">
        <v>-227.14250000000001</v>
      </c>
      <c r="H6491" s="1">
        <v>-2.5614039999999998E-6</v>
      </c>
      <c r="I6491">
        <v>-62.089170000000003</v>
      </c>
      <c r="J6491">
        <v>-241.84549999999999</v>
      </c>
      <c r="K6491">
        <v>1.1089819999999999</v>
      </c>
      <c r="L6491">
        <v>-63.5351</v>
      </c>
      <c r="M6491">
        <v>0.99931899999999996</v>
      </c>
      <c r="N6491">
        <v>0</v>
      </c>
      <c r="O6491">
        <v>3.5988739999999998E-2</v>
      </c>
      <c r="P6491">
        <v>0.99899979999999999</v>
      </c>
      <c r="Q6491">
        <v>-3.755149E-2</v>
      </c>
      <c r="R6491">
        <v>-2.427723E-2</v>
      </c>
      <c r="S6491">
        <v>3.0016479999999999</v>
      </c>
      <c r="T6491">
        <v>-0.2242876</v>
      </c>
      <c r="U6491">
        <v>0.29339599999999999</v>
      </c>
      <c r="V6491">
        <v>6.0190470000000003E-2</v>
      </c>
      <c r="W6491">
        <v>-2.9473369999999999E-2</v>
      </c>
      <c r="X6491">
        <v>0.99775170000000002</v>
      </c>
      <c r="Y6491">
        <v>-6.1329160000000001E-2</v>
      </c>
      <c r="Z6491">
        <v>-3.9481649999999999E-4</v>
      </c>
      <c r="AA6491">
        <v>0.99811749999999999</v>
      </c>
      <c r="AB6491">
        <v>28</v>
      </c>
      <c r="AC6491">
        <v>14.7029999999999</v>
      </c>
      <c r="AD6491">
        <v>-1.1089845614039999</v>
      </c>
      <c r="AE6491">
        <v>1.4459299999999999</v>
      </c>
      <c r="AF6491">
        <v>-0.91070186574392598</v>
      </c>
      <c r="AG6491">
        <v>-1.1089845614039999</v>
      </c>
      <c r="AH6491">
        <v>14.6628948357891</v>
      </c>
      <c r="AI6491">
        <v>94.316875192463996</v>
      </c>
      <c r="AJ6491">
        <v>93.554034430570297</v>
      </c>
      <c r="AK6491">
        <v>14.732946399519401</v>
      </c>
      <c r="AL6491">
        <v>91.688944271596398</v>
      </c>
      <c r="AM6491">
        <v>86.5477528021502</v>
      </c>
      <c r="AN6491">
        <v>1.0000000135354301</v>
      </c>
    </row>
    <row r="6492" spans="1:40" x14ac:dyDescent="0.25">
      <c r="A6492" t="str">
        <f>"20190312161443941"</f>
        <v>20190312161443941</v>
      </c>
      <c r="B6492" t="str">
        <f>"1552378483932851"</f>
        <v>1552378483932851</v>
      </c>
      <c r="C6492" t="s">
        <v>40</v>
      </c>
      <c r="D6492">
        <v>5.3238159999999999</v>
      </c>
      <c r="E6492">
        <v>0.45446819999999999</v>
      </c>
      <c r="F6492" t="s">
        <v>108</v>
      </c>
      <c r="G6492">
        <v>-227.02459999999999</v>
      </c>
      <c r="H6492" s="1">
        <v>-2.511562E-6</v>
      </c>
      <c r="I6492">
        <v>-62.092610000000001</v>
      </c>
      <c r="J6492">
        <v>-241.56180000000001</v>
      </c>
      <c r="K6492">
        <v>1.108978</v>
      </c>
      <c r="L6492">
        <v>-63.525329999999997</v>
      </c>
      <c r="M6492">
        <v>0.99933539999999998</v>
      </c>
      <c r="N6492">
        <v>0</v>
      </c>
      <c r="O6492">
        <v>3.5531729999999997E-2</v>
      </c>
      <c r="P6492">
        <v>0.99900089999999997</v>
      </c>
      <c r="Q6492">
        <v>-3.7255469999999999E-2</v>
      </c>
      <c r="R6492">
        <v>-2.4683529999999999E-2</v>
      </c>
      <c r="S6492">
        <v>3.0016630000000002</v>
      </c>
      <c r="T6492">
        <v>-0.22460160000000001</v>
      </c>
      <c r="U6492">
        <v>0.29214479999999998</v>
      </c>
      <c r="V6492">
        <v>6.0140560000000003E-2</v>
      </c>
      <c r="W6492">
        <v>-2.918753E-2</v>
      </c>
      <c r="X6492">
        <v>0.99776310000000001</v>
      </c>
      <c r="Y6492">
        <v>-6.1371420000000003E-2</v>
      </c>
      <c r="Z6492">
        <v>-3.5977950000000002E-4</v>
      </c>
      <c r="AA6492">
        <v>0.99811490000000003</v>
      </c>
      <c r="AB6492">
        <v>28</v>
      </c>
      <c r="AC6492">
        <v>14.5372</v>
      </c>
      <c r="AD6492">
        <v>-1.1089805115619999</v>
      </c>
      <c r="AE6492">
        <v>1.43272</v>
      </c>
      <c r="AF6492">
        <v>-0.91002133780675099</v>
      </c>
      <c r="AG6492">
        <v>-1.1089805115619999</v>
      </c>
      <c r="AH6492">
        <v>14.495384038273199</v>
      </c>
      <c r="AI6492">
        <v>94.366372424481796</v>
      </c>
      <c r="AJ6492">
        <v>93.592318931540404</v>
      </c>
      <c r="AK6492">
        <v>14.56619837251</v>
      </c>
      <c r="AL6492">
        <v>91.672559817532402</v>
      </c>
      <c r="AM6492">
        <v>86.550647810438804</v>
      </c>
      <c r="AN6492">
        <v>1.0000000012931101</v>
      </c>
    </row>
    <row r="6493" spans="1:40" x14ac:dyDescent="0.25">
      <c r="A6493" t="str">
        <f>"20190312161443952"</f>
        <v>20190312161443952</v>
      </c>
      <c r="B6493" t="str">
        <f>"1552378483943586"</f>
        <v>1552378483943586</v>
      </c>
      <c r="C6493" t="s">
        <v>40</v>
      </c>
      <c r="D6493">
        <v>5.3894070000000003</v>
      </c>
      <c r="E6493">
        <v>0.45445000000000002</v>
      </c>
      <c r="F6493" t="s">
        <v>108</v>
      </c>
      <c r="G6493">
        <v>-226.6841</v>
      </c>
      <c r="H6493" s="1">
        <v>-2.3634020000000002E-6</v>
      </c>
      <c r="I6493">
        <v>-62.083159999999999</v>
      </c>
      <c r="J6493">
        <v>-241.42949999999999</v>
      </c>
      <c r="K6493">
        <v>1.1089819999999999</v>
      </c>
      <c r="L6493">
        <v>-63.520870000000002</v>
      </c>
      <c r="M6493">
        <v>0.99934310000000004</v>
      </c>
      <c r="N6493">
        <v>0</v>
      </c>
      <c r="O6493">
        <v>3.5318839999999997E-2</v>
      </c>
      <c r="P6493">
        <v>0.99899090000000001</v>
      </c>
      <c r="Q6493">
        <v>-3.7391489999999999E-2</v>
      </c>
      <c r="R6493">
        <v>-2.4884389999999999E-2</v>
      </c>
      <c r="S6493">
        <v>3.001862</v>
      </c>
      <c r="T6493">
        <v>-0.2237586</v>
      </c>
      <c r="U6493">
        <v>0.290985099999999</v>
      </c>
      <c r="V6493">
        <v>6.0128309999999997E-2</v>
      </c>
      <c r="W6493">
        <v>-2.9328090000000001E-2</v>
      </c>
      <c r="X6493">
        <v>0.99775970000000003</v>
      </c>
      <c r="Y6493">
        <v>-6.1196140000000003E-2</v>
      </c>
      <c r="Z6493">
        <v>-3.4913929999999999E-4</v>
      </c>
      <c r="AA6493">
        <v>0.9981257</v>
      </c>
      <c r="AB6493">
        <v>28</v>
      </c>
      <c r="AC6493">
        <v>14.745399999999901</v>
      </c>
      <c r="AD6493">
        <v>-1.108984363402</v>
      </c>
      <c r="AE6493">
        <v>1.4377099999999901</v>
      </c>
      <c r="AF6493">
        <v>-0.91090147597857496</v>
      </c>
      <c r="AG6493">
        <v>-1.108984363402</v>
      </c>
      <c r="AH6493">
        <v>14.704588282682501</v>
      </c>
      <c r="AI6493">
        <v>94.304723484425907</v>
      </c>
      <c r="AJ6493">
        <v>93.544757827084595</v>
      </c>
      <c r="AK6493">
        <v>14.7744544528863</v>
      </c>
      <c r="AL6493">
        <v>91.680616789320894</v>
      </c>
      <c r="AM6493">
        <v>86.551336987958905</v>
      </c>
      <c r="AN6493">
        <v>0.99999998473529605</v>
      </c>
    </row>
    <row r="6494" spans="1:40" x14ac:dyDescent="0.25">
      <c r="A6494" t="str">
        <f>"20190312161443963"</f>
        <v>20190312161443963</v>
      </c>
      <c r="B6494" t="str">
        <f>"1552378483953347"</f>
        <v>1552378483953347</v>
      </c>
      <c r="C6494" t="s">
        <v>40</v>
      </c>
      <c r="D6494">
        <v>5.2787100000000002</v>
      </c>
      <c r="E6494">
        <v>0.45434140000000001</v>
      </c>
      <c r="F6494" t="s">
        <v>108</v>
      </c>
      <c r="G6494">
        <v>-226.51730000000001</v>
      </c>
      <c r="H6494" s="1">
        <v>-2.290702E-6</v>
      </c>
      <c r="I6494">
        <v>-62.077959999999997</v>
      </c>
      <c r="J6494">
        <v>-241.2936</v>
      </c>
      <c r="K6494">
        <v>1.1089800000000001</v>
      </c>
      <c r="L6494">
        <v>-63.516269999999999</v>
      </c>
      <c r="M6494">
        <v>0.99935079999999998</v>
      </c>
      <c r="N6494">
        <v>0</v>
      </c>
      <c r="O6494">
        <v>3.5100279999999998E-2</v>
      </c>
      <c r="P6494">
        <v>0.99901169999999995</v>
      </c>
      <c r="Q6494">
        <v>-3.6885870000000001E-2</v>
      </c>
      <c r="R6494">
        <v>-2.480829E-2</v>
      </c>
      <c r="S6494">
        <v>3.0019070000000001</v>
      </c>
      <c r="T6494">
        <v>-0.2232449</v>
      </c>
      <c r="U6494">
        <v>0.29046630000000001</v>
      </c>
      <c r="V6494">
        <v>5.9835029999999997E-2</v>
      </c>
      <c r="W6494">
        <v>-2.882614E-2</v>
      </c>
      <c r="X6494">
        <v>0.99779189999999995</v>
      </c>
      <c r="Y6494">
        <v>-6.1241690000000001E-2</v>
      </c>
      <c r="Z6494">
        <v>-3.3047959999999999E-4</v>
      </c>
      <c r="AA6494">
        <v>0.99812290000000004</v>
      </c>
      <c r="AB6494">
        <v>28</v>
      </c>
      <c r="AC6494">
        <v>14.7762999999999</v>
      </c>
      <c r="AD6494">
        <v>-1.1089822907019999</v>
      </c>
      <c r="AE6494">
        <v>1.43831</v>
      </c>
      <c r="AF6494">
        <v>-0.91365621560889498</v>
      </c>
      <c r="AG6494">
        <v>-1.1089822907019999</v>
      </c>
      <c r="AH6494">
        <v>14.735459311079101</v>
      </c>
      <c r="AI6494">
        <v>94.295715708848903</v>
      </c>
      <c r="AJ6494">
        <v>93.548020713425302</v>
      </c>
      <c r="AK6494">
        <v>14.805349388308199</v>
      </c>
      <c r="AL6494">
        <v>91.651845102847901</v>
      </c>
      <c r="AM6494">
        <v>86.568228265024004</v>
      </c>
      <c r="AN6494">
        <v>0.99999992643400204</v>
      </c>
    </row>
    <row r="6495" spans="1:40" x14ac:dyDescent="0.25">
      <c r="A6495" t="str">
        <f>"20190312161443974"</f>
        <v>20190312161443974</v>
      </c>
      <c r="B6495" t="str">
        <f>"1552378483963107"</f>
        <v>1552378483963107</v>
      </c>
      <c r="C6495" t="s">
        <v>40</v>
      </c>
      <c r="D6495">
        <v>5.2810100000000002</v>
      </c>
      <c r="E6495">
        <v>0.45393489999999997</v>
      </c>
      <c r="F6495" t="s">
        <v>108</v>
      </c>
      <c r="G6495">
        <v>-226.10990000000001</v>
      </c>
      <c r="H6495" s="1">
        <v>-2.1077880000000001E-6</v>
      </c>
      <c r="I6495">
        <v>-62.041469999999997</v>
      </c>
      <c r="J6495">
        <v>-241.15629999999999</v>
      </c>
      <c r="K6495">
        <v>1.1089819999999999</v>
      </c>
      <c r="L6495">
        <v>-63.511659999999999</v>
      </c>
      <c r="M6495">
        <v>0.99935850000000004</v>
      </c>
      <c r="N6495">
        <v>0</v>
      </c>
      <c r="O6495">
        <v>3.4879880000000002E-2</v>
      </c>
      <c r="P6495">
        <v>0.99899689999999997</v>
      </c>
      <c r="Q6495">
        <v>-3.7011790000000003E-2</v>
      </c>
      <c r="R6495">
        <v>-2.5206889999999999E-2</v>
      </c>
      <c r="S6495">
        <v>3.0021059999999999</v>
      </c>
      <c r="T6495">
        <v>-0.21926619999999999</v>
      </c>
      <c r="U6495">
        <v>0.29159550000000001</v>
      </c>
      <c r="V6495">
        <v>6.0012839999999998E-2</v>
      </c>
      <c r="W6495">
        <v>-2.8956260000000001E-2</v>
      </c>
      <c r="X6495">
        <v>0.99777749999999998</v>
      </c>
      <c r="Y6495">
        <v>-6.1827800000000002E-2</v>
      </c>
      <c r="Z6495">
        <v>-2.8723060000000001E-4</v>
      </c>
      <c r="AA6495">
        <v>0.99808680000000005</v>
      </c>
      <c r="AB6495">
        <v>28</v>
      </c>
      <c r="AC6495">
        <v>15.046399999999901</v>
      </c>
      <c r="AD6495">
        <v>-1.1089841077879901</v>
      </c>
      <c r="AE6495">
        <v>1.4701900000000001</v>
      </c>
      <c r="AF6495">
        <v>-0.93940650901062706</v>
      </c>
      <c r="AG6495">
        <v>-1.1089841077879901</v>
      </c>
      <c r="AH6495">
        <v>15.007769561923</v>
      </c>
      <c r="AI6495">
        <v>94.217908297205199</v>
      </c>
      <c r="AJ6495">
        <v>93.581737907352107</v>
      </c>
      <c r="AK6495">
        <v>15.0779798900343</v>
      </c>
      <c r="AL6495">
        <v>91.659303466823602</v>
      </c>
      <c r="AM6495">
        <v>86.558005096201697</v>
      </c>
      <c r="AN6495">
        <v>0.99999997273215102</v>
      </c>
    </row>
    <row r="6496" spans="1:40" x14ac:dyDescent="0.25">
      <c r="A6496" t="str">
        <f>"20190312161443986"</f>
        <v>20190312161443986</v>
      </c>
      <c r="B6496" t="str">
        <f>"1552378483983603"</f>
        <v>1552378483983603</v>
      </c>
      <c r="C6496" t="s">
        <v>40</v>
      </c>
      <c r="D6496">
        <v>5.3120979999999998</v>
      </c>
      <c r="E6496">
        <v>0.4532968</v>
      </c>
      <c r="F6496" t="s">
        <v>108</v>
      </c>
      <c r="G6496">
        <v>-225.66</v>
      </c>
      <c r="H6496" s="1">
        <v>-1.9048989999999999E-6</v>
      </c>
      <c r="I6496">
        <v>-61.996920000000003</v>
      </c>
      <c r="J6496">
        <v>-241.00649999999999</v>
      </c>
      <c r="K6496">
        <v>1.1089789999999999</v>
      </c>
      <c r="L6496">
        <v>-63.506680000000003</v>
      </c>
      <c r="M6496">
        <v>0.99936689999999995</v>
      </c>
      <c r="N6496">
        <v>0</v>
      </c>
      <c r="O6496">
        <v>3.4639509999999998E-2</v>
      </c>
      <c r="P6496">
        <v>0.99900199999999995</v>
      </c>
      <c r="Q6496">
        <v>-3.6873910000000003E-2</v>
      </c>
      <c r="R6496">
        <v>-2.520673E-2</v>
      </c>
      <c r="S6496">
        <v>3.002472</v>
      </c>
      <c r="T6496">
        <v>-0.21487100000000001</v>
      </c>
      <c r="U6496">
        <v>0.29348750000000001</v>
      </c>
      <c r="V6496">
        <v>5.977304E-2</v>
      </c>
      <c r="W6496">
        <v>-2.882202E-2</v>
      </c>
      <c r="X6496">
        <v>0.99779580000000001</v>
      </c>
      <c r="Y6496">
        <v>-6.2679280000000004E-2</v>
      </c>
      <c r="Z6496">
        <v>-2.3396340000000001E-4</v>
      </c>
      <c r="AA6496">
        <v>0.99803370000000002</v>
      </c>
      <c r="AB6496">
        <v>28</v>
      </c>
      <c r="AC6496">
        <v>15.346499999999899</v>
      </c>
      <c r="AD6496">
        <v>-1.108980904899</v>
      </c>
      <c r="AE6496">
        <v>1.50976</v>
      </c>
      <c r="AF6496">
        <v>-0.97221298726754102</v>
      </c>
      <c r="AG6496">
        <v>-1.108980904899</v>
      </c>
      <c r="AH6496">
        <v>15.3104053841904</v>
      </c>
      <c r="AI6496">
        <v>94.134580152080204</v>
      </c>
      <c r="AJ6496">
        <v>93.633412010965401</v>
      </c>
      <c r="AK6496">
        <v>15.3812726966363</v>
      </c>
      <c r="AL6496">
        <v>91.651608838069293</v>
      </c>
      <c r="AM6496">
        <v>86.571788516340504</v>
      </c>
      <c r="AN6496">
        <v>0.99999999182268096</v>
      </c>
    </row>
    <row r="6497" spans="1:40" x14ac:dyDescent="0.25">
      <c r="A6497" t="str">
        <f>"20190312161443997"</f>
        <v>20190312161443997</v>
      </c>
      <c r="B6497" t="str">
        <f>"1552378483993363"</f>
        <v>1552378483993363</v>
      </c>
      <c r="C6497" t="s">
        <v>40</v>
      </c>
      <c r="D6497">
        <v>5.2106490000000001</v>
      </c>
      <c r="E6497">
        <v>0.45295790000000002</v>
      </c>
      <c r="F6497" t="s">
        <v>108</v>
      </c>
      <c r="G6497">
        <v>-225.00749999999999</v>
      </c>
      <c r="H6497" s="1">
        <v>-1.60706E-6</v>
      </c>
      <c r="I6497">
        <v>-61.916330000000002</v>
      </c>
      <c r="J6497">
        <v>-240.8725</v>
      </c>
      <c r="K6497">
        <v>1.1089800000000001</v>
      </c>
      <c r="L6497">
        <v>-63.50226</v>
      </c>
      <c r="M6497">
        <v>0.99937430000000005</v>
      </c>
      <c r="N6497">
        <v>0</v>
      </c>
      <c r="O6497">
        <v>3.442506E-2</v>
      </c>
      <c r="P6497">
        <v>0.99900290000000003</v>
      </c>
      <c r="Q6497">
        <v>-3.6878519999999998E-2</v>
      </c>
      <c r="R6497">
        <v>-2.5165119999999999E-2</v>
      </c>
      <c r="S6497">
        <v>3.0028380000000001</v>
      </c>
      <c r="T6497">
        <v>-0.2081442</v>
      </c>
      <c r="U6497">
        <v>0.29849239999999999</v>
      </c>
      <c r="V6497">
        <v>5.9517269999999997E-2</v>
      </c>
      <c r="W6497">
        <v>-2.8829480000000001E-2</v>
      </c>
      <c r="X6497">
        <v>0.99781089999999995</v>
      </c>
      <c r="Y6497">
        <v>-6.4528459999999996E-2</v>
      </c>
      <c r="Z6497">
        <v>-1.4794729999999999E-4</v>
      </c>
      <c r="AA6497">
        <v>0.99791589999999997</v>
      </c>
      <c r="AB6497">
        <v>28</v>
      </c>
      <c r="AC6497">
        <v>15.865</v>
      </c>
      <c r="AD6497">
        <v>-1.10898160705999</v>
      </c>
      <c r="AE6497">
        <v>1.5859299999999901</v>
      </c>
      <c r="AF6497">
        <v>-1.03381692221911</v>
      </c>
      <c r="AG6497">
        <v>-1.10898160705999</v>
      </c>
      <c r="AH6497">
        <v>15.8335932732387</v>
      </c>
      <c r="AI6497">
        <v>93.997956687392701</v>
      </c>
      <c r="AJ6497">
        <v>93.735689490267802</v>
      </c>
      <c r="AK6497">
        <v>15.9060143837422</v>
      </c>
      <c r="AL6497">
        <v>91.652036398603698</v>
      </c>
      <c r="AM6497">
        <v>86.586474673035198</v>
      </c>
      <c r="AN6497">
        <v>1.0000000182520601</v>
      </c>
    </row>
    <row r="6498" spans="1:40" x14ac:dyDescent="0.25">
      <c r="A6498" t="str">
        <f>"20190312161444008"</f>
        <v>20190312161444008</v>
      </c>
      <c r="B6498" t="str">
        <f>"1552378484003126"</f>
        <v>1552378484003126</v>
      </c>
      <c r="C6498" t="s">
        <v>40</v>
      </c>
      <c r="D6498">
        <v>5.1753559999999998</v>
      </c>
      <c r="E6498">
        <v>0.45272040000000002</v>
      </c>
      <c r="F6498" t="s">
        <v>108</v>
      </c>
      <c r="G6498">
        <v>-224.60589999999999</v>
      </c>
      <c r="H6498" s="1">
        <v>-1.4245869999999999E-6</v>
      </c>
      <c r="I6498">
        <v>-61.870530000000002</v>
      </c>
      <c r="J6498">
        <v>-240.73339999999999</v>
      </c>
      <c r="K6498">
        <v>1.1089789999999999</v>
      </c>
      <c r="L6498">
        <v>-63.49765</v>
      </c>
      <c r="M6498">
        <v>0.99938199999999999</v>
      </c>
      <c r="N6498">
        <v>0</v>
      </c>
      <c r="O6498">
        <v>3.4202209999999997E-2</v>
      </c>
      <c r="P6498">
        <v>0.99900480000000003</v>
      </c>
      <c r="Q6498">
        <v>-3.6708650000000002E-2</v>
      </c>
      <c r="R6498">
        <v>-2.5332480000000001E-2</v>
      </c>
      <c r="S6498">
        <v>3.0030359999999998</v>
      </c>
      <c r="T6498">
        <v>-0.20473279999999999</v>
      </c>
      <c r="U6498">
        <v>0.30123899999999998</v>
      </c>
      <c r="V6498">
        <v>5.9462470000000003E-2</v>
      </c>
      <c r="W6498">
        <v>-2.8662719999999999E-2</v>
      </c>
      <c r="X6498">
        <v>0.99781889999999995</v>
      </c>
      <c r="Y6498">
        <v>-6.564739E-2</v>
      </c>
      <c r="Z6498" s="1">
        <v>-9.2382310000000006E-5</v>
      </c>
      <c r="AA6498">
        <v>0.99784289999999998</v>
      </c>
      <c r="AB6498">
        <v>28</v>
      </c>
      <c r="AC6498">
        <v>16.127499999999898</v>
      </c>
      <c r="AD6498">
        <v>-1.1089804245870001</v>
      </c>
      <c r="AE6498">
        <v>1.6271199999999899</v>
      </c>
      <c r="AF6498">
        <v>-1.06954738341357</v>
      </c>
      <c r="AG6498">
        <v>-1.1089804245870001</v>
      </c>
      <c r="AH6498">
        <v>16.0983642493192</v>
      </c>
      <c r="AI6498">
        <v>93.9321113257229</v>
      </c>
      <c r="AJ6498">
        <v>93.801046066564695</v>
      </c>
      <c r="AK6498">
        <v>16.171923221783</v>
      </c>
      <c r="AL6498">
        <v>91.642477921461307</v>
      </c>
      <c r="AM6498">
        <v>86.589637502805004</v>
      </c>
      <c r="AN6498">
        <v>0.99999994702675299</v>
      </c>
    </row>
    <row r="6499" spans="1:40" x14ac:dyDescent="0.25">
      <c r="A6499" t="str">
        <f>"20190312161444019"</f>
        <v>20190312161444019</v>
      </c>
      <c r="B6499" t="str">
        <f>"1552378484012895"</f>
        <v>1552378484012895</v>
      </c>
      <c r="C6499" t="s">
        <v>40</v>
      </c>
      <c r="D6499">
        <v>5.1460179999999998</v>
      </c>
      <c r="E6499">
        <v>0.452457</v>
      </c>
      <c r="F6499" t="s">
        <v>108</v>
      </c>
      <c r="G6499">
        <v>-224.09899999999999</v>
      </c>
      <c r="H6499" s="1">
        <v>-1.196259E-6</v>
      </c>
      <c r="I6499">
        <v>-61.821579999999997</v>
      </c>
      <c r="J6499">
        <v>-240.59010000000001</v>
      </c>
      <c r="K6499">
        <v>1.108976</v>
      </c>
      <c r="L6499">
        <v>-63.492980000000003</v>
      </c>
      <c r="M6499">
        <v>0.99938979999999999</v>
      </c>
      <c r="N6499">
        <v>0</v>
      </c>
      <c r="O6499">
        <v>3.397294E-2</v>
      </c>
      <c r="P6499">
        <v>0.99900990000000001</v>
      </c>
      <c r="Q6499">
        <v>-3.6587479999999999E-2</v>
      </c>
      <c r="R6499">
        <v>-2.5308919999999999E-2</v>
      </c>
      <c r="S6499">
        <v>3.0033110000000001</v>
      </c>
      <c r="T6499">
        <v>-0.2002246</v>
      </c>
      <c r="U6499">
        <v>0.3026123</v>
      </c>
      <c r="V6499">
        <v>5.9210279999999997E-2</v>
      </c>
      <c r="W6499">
        <v>-2.8546330000000002E-2</v>
      </c>
      <c r="X6499">
        <v>0.99783730000000004</v>
      </c>
      <c r="Y6499">
        <v>-6.6320149999999994E-2</v>
      </c>
      <c r="Z6499" s="1">
        <v>-5.2782470000000003E-5</v>
      </c>
      <c r="AA6499">
        <v>0.99779839999999997</v>
      </c>
      <c r="AB6499">
        <v>28</v>
      </c>
      <c r="AC6499">
        <v>16.4910999999999</v>
      </c>
      <c r="AD6499">
        <v>-1.108977196259</v>
      </c>
      <c r="AE6499">
        <v>1.67139999999999</v>
      </c>
      <c r="AF6499">
        <v>-1.1052183661424899</v>
      </c>
      <c r="AG6499">
        <v>-1.108977196259</v>
      </c>
      <c r="AH6499">
        <v>16.4646653626092</v>
      </c>
      <c r="AI6499">
        <v>93.844709605755895</v>
      </c>
      <c r="AJ6499">
        <v>93.840314379831995</v>
      </c>
      <c r="AK6499">
        <v>16.538940218810399</v>
      </c>
      <c r="AL6499">
        <v>91.635806426277</v>
      </c>
      <c r="AM6499">
        <v>86.604129956429304</v>
      </c>
      <c r="AN6499">
        <v>1.0000000137427101</v>
      </c>
    </row>
    <row r="6500" spans="1:40" x14ac:dyDescent="0.25">
      <c r="A6500" t="str">
        <f>"20190312161444030"</f>
        <v>20190312161444030</v>
      </c>
      <c r="B6500" t="str">
        <f>"1552378484022643"</f>
        <v>1552378484022643</v>
      </c>
      <c r="C6500" t="s">
        <v>40</v>
      </c>
      <c r="D6500">
        <v>5.1618240000000002</v>
      </c>
      <c r="E6500">
        <v>0.4522601</v>
      </c>
      <c r="F6500" t="s">
        <v>108</v>
      </c>
      <c r="G6500">
        <v>-223.62530000000001</v>
      </c>
      <c r="H6500" s="1">
        <v>-9.8201890000000003E-7</v>
      </c>
      <c r="I6500">
        <v>-61.771990000000002</v>
      </c>
      <c r="J6500">
        <v>-240.4469</v>
      </c>
      <c r="K6500">
        <v>1.1089739999999999</v>
      </c>
      <c r="L6500">
        <v>-63.488309999999998</v>
      </c>
      <c r="M6500">
        <v>0.9993978</v>
      </c>
      <c r="N6500">
        <v>0</v>
      </c>
      <c r="O6500">
        <v>3.3743599999999999E-2</v>
      </c>
      <c r="P6500">
        <v>0.99900699999999998</v>
      </c>
      <c r="Q6500">
        <v>-3.6510580000000001E-2</v>
      </c>
      <c r="R6500">
        <v>-2.553588E-2</v>
      </c>
      <c r="S6500">
        <v>3.003479</v>
      </c>
      <c r="T6500">
        <v>-0.1963356</v>
      </c>
      <c r="U6500">
        <v>0.3046875</v>
      </c>
      <c r="V6500">
        <v>5.9208120000000003E-2</v>
      </c>
      <c r="W6500">
        <v>-2.8474880000000001E-2</v>
      </c>
      <c r="X6500">
        <v>0.99783949999999999</v>
      </c>
      <c r="Y6500">
        <v>-6.7226279999999999E-2</v>
      </c>
      <c r="Z6500" s="1">
        <v>-7.3192639999999901E-6</v>
      </c>
      <c r="AA6500">
        <v>0.99773780000000001</v>
      </c>
      <c r="AB6500">
        <v>28</v>
      </c>
      <c r="AC6500">
        <v>16.821599999999901</v>
      </c>
      <c r="AD6500">
        <v>-1.1089749820189001</v>
      </c>
      <c r="AE6500">
        <v>1.7163199999999901</v>
      </c>
      <c r="AF6500">
        <v>-1.1427870257701001</v>
      </c>
      <c r="AG6500">
        <v>-1.1089749820189001</v>
      </c>
      <c r="AH6500">
        <v>16.797682790377198</v>
      </c>
      <c r="AI6500">
        <v>93.768472874292499</v>
      </c>
      <c r="AJ6500">
        <v>93.891973430926498</v>
      </c>
      <c r="AK6500">
        <v>16.872994245928801</v>
      </c>
      <c r="AL6500">
        <v>91.6317109286408</v>
      </c>
      <c r="AM6500">
        <v>86.604261017684095</v>
      </c>
      <c r="AN6500">
        <v>1.00000004401259</v>
      </c>
    </row>
    <row r="6501" spans="1:40" x14ac:dyDescent="0.25">
      <c r="A6501" t="str">
        <f>"20190312161444041"</f>
        <v>20190312161444041</v>
      </c>
      <c r="B6501" t="str">
        <f>"1552378484033379"</f>
        <v>1552378484033379</v>
      </c>
      <c r="C6501" t="s">
        <v>40</v>
      </c>
      <c r="D6501">
        <v>5.1453670000000002</v>
      </c>
      <c r="E6501">
        <v>0.45209470000000002</v>
      </c>
      <c r="F6501" t="s">
        <v>108</v>
      </c>
      <c r="G6501">
        <v>-223.17869999999999</v>
      </c>
      <c r="H6501" s="1">
        <v>-7.8150840000000003E-7</v>
      </c>
      <c r="I6501">
        <v>-61.731960000000001</v>
      </c>
      <c r="J6501">
        <v>-240.3082</v>
      </c>
      <c r="K6501">
        <v>1.108968</v>
      </c>
      <c r="L6501">
        <v>-63.48386</v>
      </c>
      <c r="M6501">
        <v>0.99940510000000005</v>
      </c>
      <c r="N6501">
        <v>0</v>
      </c>
      <c r="O6501">
        <v>3.3522070000000001E-2</v>
      </c>
      <c r="P6501">
        <v>0.9990059</v>
      </c>
      <c r="Q6501">
        <v>-3.6264230000000001E-2</v>
      </c>
      <c r="R6501">
        <v>-2.5928070000000001E-2</v>
      </c>
      <c r="S6501">
        <v>3.0037539999999998</v>
      </c>
      <c r="T6501">
        <v>-0.19290280000000001</v>
      </c>
      <c r="U6501">
        <v>0.30551149999999999</v>
      </c>
      <c r="V6501">
        <v>5.9379080000000001E-2</v>
      </c>
      <c r="W6501">
        <v>-2.8235050000000001E-2</v>
      </c>
      <c r="X6501">
        <v>0.9978361</v>
      </c>
      <c r="Y6501">
        <v>-6.7710210000000007E-2</v>
      </c>
      <c r="Z6501" s="1">
        <v>2.2452090000000001E-5</v>
      </c>
      <c r="AA6501">
        <v>0.99770499999999995</v>
      </c>
      <c r="AB6501">
        <v>28</v>
      </c>
      <c r="AC6501">
        <v>17.1295</v>
      </c>
      <c r="AD6501">
        <v>-1.1089687815083999</v>
      </c>
      <c r="AE6501">
        <v>1.75189999999999</v>
      </c>
      <c r="AF6501">
        <v>-1.1718195496970401</v>
      </c>
      <c r="AG6501">
        <v>-1.1089687815083999</v>
      </c>
      <c r="AH6501">
        <v>17.107640356323301</v>
      </c>
      <c r="AI6501">
        <v>93.700249753267997</v>
      </c>
      <c r="AJ6501">
        <v>93.918460077315302</v>
      </c>
      <c r="AK6501">
        <v>17.1835482766719</v>
      </c>
      <c r="AL6501">
        <v>91.617964246001407</v>
      </c>
      <c r="AM6501">
        <v>86.594467485942701</v>
      </c>
      <c r="AN6501">
        <v>0.99999998782667898</v>
      </c>
    </row>
    <row r="6502" spans="1:40" x14ac:dyDescent="0.25">
      <c r="A6502" t="str">
        <f>"20190312161444052"</f>
        <v>20190312161444052</v>
      </c>
      <c r="B6502" t="str">
        <f>"1552378484043139"</f>
        <v>1552378484043139</v>
      </c>
      <c r="C6502" t="s">
        <v>40</v>
      </c>
      <c r="D6502">
        <v>5.1167259999999999</v>
      </c>
      <c r="E6502">
        <v>0.45196510000000001</v>
      </c>
      <c r="F6502" t="s">
        <v>108</v>
      </c>
      <c r="G6502">
        <v>-222.68270000000001</v>
      </c>
      <c r="H6502" s="1">
        <v>-5.5963740000000005E-7</v>
      </c>
      <c r="I6502">
        <v>-61.691000000000003</v>
      </c>
      <c r="J6502">
        <v>-240.17099999999999</v>
      </c>
      <c r="K6502">
        <v>1.108967</v>
      </c>
      <c r="L6502">
        <v>-63.479489999999998</v>
      </c>
      <c r="M6502">
        <v>0.99941259999999998</v>
      </c>
      <c r="N6502">
        <v>0</v>
      </c>
      <c r="O6502">
        <v>3.3303109999999997E-2</v>
      </c>
      <c r="P6502">
        <v>0.99899990000000005</v>
      </c>
      <c r="Q6502">
        <v>-3.6183060000000003E-2</v>
      </c>
      <c r="R6502">
        <v>-2.6270189999999999E-2</v>
      </c>
      <c r="S6502">
        <v>3.0040589999999998</v>
      </c>
      <c r="T6502">
        <v>-0.18901119999999999</v>
      </c>
      <c r="U6502">
        <v>0.30557250000000002</v>
      </c>
      <c r="V6502">
        <v>5.9502270000000003E-2</v>
      </c>
      <c r="W6502">
        <v>-2.8160230000000001E-2</v>
      </c>
      <c r="X6502">
        <v>0.99783089999999997</v>
      </c>
      <c r="Y6502">
        <v>-6.794058E-2</v>
      </c>
      <c r="Z6502" s="1">
        <v>4.2930709999999999E-5</v>
      </c>
      <c r="AA6502">
        <v>0.99768939999999995</v>
      </c>
      <c r="AB6502">
        <v>28</v>
      </c>
      <c r="AC6502">
        <v>17.488299999999899</v>
      </c>
      <c r="AD6502">
        <v>-1.1089675596374</v>
      </c>
      <c r="AE6502">
        <v>1.7884899999999999</v>
      </c>
      <c r="AF6502">
        <v>-1.20028754929366</v>
      </c>
      <c r="AG6502">
        <v>-1.1089675596374</v>
      </c>
      <c r="AH6502">
        <v>17.468647041973401</v>
      </c>
      <c r="AI6502">
        <v>93.623929575994296</v>
      </c>
      <c r="AJ6502">
        <v>93.930670096116302</v>
      </c>
      <c r="AK6502">
        <v>17.544917461372201</v>
      </c>
      <c r="AL6502">
        <v>91.613675631685098</v>
      </c>
      <c r="AM6502">
        <v>86.587401182464305</v>
      </c>
      <c r="AN6502">
        <v>1.0000000118418</v>
      </c>
    </row>
    <row r="6503" spans="1:40" x14ac:dyDescent="0.25">
      <c r="A6503" t="str">
        <f>"20190312161444063"</f>
        <v>20190312161444063</v>
      </c>
      <c r="B6503" t="str">
        <f>"1552378484052899"</f>
        <v>1552378484052899</v>
      </c>
      <c r="C6503" t="s">
        <v>40</v>
      </c>
      <c r="D6503">
        <v>5.0952210000000004</v>
      </c>
      <c r="E6503">
        <v>0.45182879999999997</v>
      </c>
      <c r="F6503" t="s">
        <v>108</v>
      </c>
      <c r="G6503">
        <v>-222.21789999999999</v>
      </c>
      <c r="H6503" s="1">
        <v>-3.5189130000000001E-7</v>
      </c>
      <c r="I6503">
        <v>-61.653460000000003</v>
      </c>
      <c r="J6503">
        <v>-240.0324</v>
      </c>
      <c r="K6503">
        <v>1.1089659999999999</v>
      </c>
      <c r="L6503">
        <v>-63.475099999999998</v>
      </c>
      <c r="M6503">
        <v>0.99941990000000003</v>
      </c>
      <c r="N6503">
        <v>0</v>
      </c>
      <c r="O6503">
        <v>3.3082060000000003E-2</v>
      </c>
      <c r="P6503">
        <v>0.99899090000000001</v>
      </c>
      <c r="Q6503">
        <v>-3.60778E-2</v>
      </c>
      <c r="R6503">
        <v>-2.6758170000000001E-2</v>
      </c>
      <c r="S6503">
        <v>3.004318</v>
      </c>
      <c r="T6503">
        <v>-0.18557760000000001</v>
      </c>
      <c r="U6503">
        <v>0.30557250000000002</v>
      </c>
      <c r="V6503">
        <v>5.9768830000000002E-2</v>
      </c>
      <c r="W6503">
        <v>-2.806146E-2</v>
      </c>
      <c r="X6503">
        <v>0.99781779999999998</v>
      </c>
      <c r="Y6503">
        <v>-6.8154190000000003E-2</v>
      </c>
      <c r="Z6503" s="1">
        <v>6.2312469999999907E-5</v>
      </c>
      <c r="AA6503">
        <v>0.99767479999999997</v>
      </c>
      <c r="AB6503">
        <v>28</v>
      </c>
      <c r="AC6503">
        <v>17.814499999999999</v>
      </c>
      <c r="AD6503">
        <v>-1.1089663518913</v>
      </c>
      <c r="AE6503">
        <v>1.8216399999999999</v>
      </c>
      <c r="AF6503">
        <v>-1.22657919522114</v>
      </c>
      <c r="AG6503">
        <v>-1.1089663518913</v>
      </c>
      <c r="AH6503">
        <v>17.796762357494401</v>
      </c>
      <c r="AI6503">
        <v>93.557234065138402</v>
      </c>
      <c r="AJ6503">
        <v>93.942674999118296</v>
      </c>
      <c r="AK6503">
        <v>17.8734175048005</v>
      </c>
      <c r="AL6503">
        <v>91.608014212393002</v>
      </c>
      <c r="AM6503">
        <v>86.572104800111504</v>
      </c>
      <c r="AN6503">
        <v>1.0000000602868599</v>
      </c>
    </row>
    <row r="6504" spans="1:40" x14ac:dyDescent="0.25">
      <c r="A6504" t="str">
        <f>"20190312161444074"</f>
        <v>20190312161444074</v>
      </c>
      <c r="B6504" t="str">
        <f>"1552378484062659"</f>
        <v>1552378484062659</v>
      </c>
      <c r="C6504" t="s">
        <v>40</v>
      </c>
      <c r="D6504">
        <v>5.0924209999999999</v>
      </c>
      <c r="E6504">
        <v>0.45175310000000002</v>
      </c>
      <c r="F6504" t="s">
        <v>108</v>
      </c>
      <c r="G6504">
        <v>-221.6831</v>
      </c>
      <c r="H6504" s="1">
        <v>-1.130978E-7</v>
      </c>
      <c r="I6504">
        <v>-61.611379999999997</v>
      </c>
      <c r="J6504">
        <v>-239.8922</v>
      </c>
      <c r="K6504">
        <v>1.1089639999999901</v>
      </c>
      <c r="L6504">
        <v>-63.470640000000003</v>
      </c>
      <c r="M6504">
        <v>0.99942739999999997</v>
      </c>
      <c r="N6504">
        <v>0</v>
      </c>
      <c r="O6504">
        <v>3.2858390000000001E-2</v>
      </c>
      <c r="P6504">
        <v>0.99897849999999999</v>
      </c>
      <c r="Q6504">
        <v>-3.5938489999999997E-2</v>
      </c>
      <c r="R6504">
        <v>-2.7400009999999999E-2</v>
      </c>
      <c r="S6504">
        <v>3.004623</v>
      </c>
      <c r="T6504">
        <v>-0.18158840000000001</v>
      </c>
      <c r="U6504">
        <v>0.3051758</v>
      </c>
      <c r="V6504">
        <v>6.0186959999999998E-2</v>
      </c>
      <c r="W6504">
        <v>-2.7928499999999998E-2</v>
      </c>
      <c r="X6504">
        <v>0.99779640000000003</v>
      </c>
      <c r="Y6504">
        <v>-6.8239159999999993E-2</v>
      </c>
      <c r="Z6504" s="1">
        <v>7.6982430000000006E-5</v>
      </c>
      <c r="AA6504">
        <v>0.99766900000000003</v>
      </c>
      <c r="AB6504">
        <v>28</v>
      </c>
      <c r="AC6504">
        <v>18.209099999999999</v>
      </c>
      <c r="AD6504">
        <v>-1.1089641130978001</v>
      </c>
      <c r="AE6504">
        <v>1.8592599999999899</v>
      </c>
      <c r="AF6504">
        <v>-1.2553068458011201</v>
      </c>
      <c r="AG6504">
        <v>-1.1089641130978001</v>
      </c>
      <c r="AH6504">
        <v>18.193577145154201</v>
      </c>
      <c r="AI6504">
        <v>93.479815983528098</v>
      </c>
      <c r="AJ6504">
        <v>93.946995944366193</v>
      </c>
      <c r="AK6504">
        <v>18.270518493407099</v>
      </c>
      <c r="AL6504">
        <v>91.600393173804605</v>
      </c>
      <c r="AM6504">
        <v>86.548107905981595</v>
      </c>
      <c r="AN6504">
        <v>1.00000006355962</v>
      </c>
    </row>
    <row r="6505" spans="1:40" x14ac:dyDescent="0.25">
      <c r="A6505" t="str">
        <f>"20190312161444085"</f>
        <v>20190312161444085</v>
      </c>
      <c r="B6505" t="str">
        <f>"1552378484083155"</f>
        <v>1552378484083155</v>
      </c>
      <c r="C6505" t="s">
        <v>40</v>
      </c>
      <c r="D6505">
        <v>5.0139469999999999</v>
      </c>
      <c r="E6505">
        <v>0.45150950000000001</v>
      </c>
      <c r="F6505" t="s">
        <v>108</v>
      </c>
      <c r="G6505">
        <v>-221.15700000000001</v>
      </c>
      <c r="H6505" s="1">
        <v>1.2036460000000001E-7</v>
      </c>
      <c r="I6505">
        <v>-61.576540000000001</v>
      </c>
      <c r="J6505">
        <v>-239.74760000000001</v>
      </c>
      <c r="K6505">
        <v>1.1089610000000001</v>
      </c>
      <c r="L6505">
        <v>-63.46613</v>
      </c>
      <c r="M6505">
        <v>0.99943499999999996</v>
      </c>
      <c r="N6505">
        <v>0</v>
      </c>
      <c r="O6505">
        <v>3.2627799999999998E-2</v>
      </c>
      <c r="P6505">
        <v>0.99896090000000004</v>
      </c>
      <c r="Q6505">
        <v>-3.6026370000000002E-2</v>
      </c>
      <c r="R6505">
        <v>-2.7916949999999999E-2</v>
      </c>
      <c r="S6505">
        <v>3.00502</v>
      </c>
      <c r="T6505">
        <v>-0.177871</v>
      </c>
      <c r="U6505">
        <v>0.30380249999999998</v>
      </c>
      <c r="V6505">
        <v>6.04728E-2</v>
      </c>
      <c r="W6505">
        <v>-2.8022459999999999E-2</v>
      </c>
      <c r="X6505">
        <v>0.99777640000000001</v>
      </c>
      <c r="Y6505">
        <v>-6.8007390000000001E-2</v>
      </c>
      <c r="Z6505" s="1">
        <v>8.2148119999999995E-5</v>
      </c>
      <c r="AA6505">
        <v>0.99768480000000004</v>
      </c>
      <c r="AB6505">
        <v>28</v>
      </c>
      <c r="AC6505">
        <v>18.590599999999899</v>
      </c>
      <c r="AD6505">
        <v>-1.10896087963539</v>
      </c>
      <c r="AE6505">
        <v>1.8895900000000001</v>
      </c>
      <c r="AF6505">
        <v>-1.27749447897117</v>
      </c>
      <c r="AG6505">
        <v>-1.10896087963539</v>
      </c>
      <c r="AH6505">
        <v>18.576929540475501</v>
      </c>
      <c r="AI6505">
        <v>93.408221332124796</v>
      </c>
      <c r="AJ6505">
        <v>93.933911042530795</v>
      </c>
      <c r="AK6505">
        <v>18.6537957941046</v>
      </c>
      <c r="AL6505">
        <v>91.605778925232002</v>
      </c>
      <c r="AM6505">
        <v>86.531684747742304</v>
      </c>
      <c r="AN6505">
        <v>0.99999998110062505</v>
      </c>
    </row>
    <row r="6506" spans="1:40" x14ac:dyDescent="0.25">
      <c r="A6506" t="str">
        <f>"20190312161444097"</f>
        <v>20190312161444097</v>
      </c>
      <c r="B6506" t="str">
        <f>"1552378484092915"</f>
        <v>1552378484092915</v>
      </c>
      <c r="C6506" t="s">
        <v>40</v>
      </c>
      <c r="D6506">
        <v>5.0170209999999997</v>
      </c>
      <c r="E6506">
        <v>0.45145879999999999</v>
      </c>
      <c r="F6506" t="s">
        <v>108</v>
      </c>
      <c r="G6506">
        <v>-220.3854</v>
      </c>
      <c r="H6506" s="1">
        <v>4.6670039999999999E-7</v>
      </c>
      <c r="I6506">
        <v>-61.507530000000003</v>
      </c>
      <c r="J6506">
        <v>-239.6</v>
      </c>
      <c r="K6506">
        <v>1.1089599999999999</v>
      </c>
      <c r="L6506">
        <v>-63.461579999999998</v>
      </c>
      <c r="M6506">
        <v>0.99944270000000002</v>
      </c>
      <c r="N6506">
        <v>0</v>
      </c>
      <c r="O6506">
        <v>3.2392860000000002E-2</v>
      </c>
      <c r="P6506">
        <v>0.99896110000000005</v>
      </c>
      <c r="Q6506">
        <v>-3.5841690000000002E-2</v>
      </c>
      <c r="R6506">
        <v>-2.814707E-2</v>
      </c>
      <c r="S6506">
        <v>3.005417</v>
      </c>
      <c r="T6506">
        <v>-0.17213429999999999</v>
      </c>
      <c r="U6506">
        <v>0.30401610000000001</v>
      </c>
      <c r="V6506">
        <v>6.0468340000000002E-2</v>
      </c>
      <c r="W6506">
        <v>-2.7842869999999999E-2</v>
      </c>
      <c r="X6506">
        <v>0.99778169999999999</v>
      </c>
      <c r="Y6506">
        <v>-6.8301979999999998E-2</v>
      </c>
      <c r="Z6506">
        <v>1.012956E-4</v>
      </c>
      <c r="AA6506">
        <v>0.99766469999999896</v>
      </c>
      <c r="AB6506">
        <v>28</v>
      </c>
      <c r="AC6506">
        <v>19.214599999999901</v>
      </c>
      <c r="AD6506">
        <v>-1.1089595332995901</v>
      </c>
      <c r="AE6506">
        <v>1.9540500000000001</v>
      </c>
      <c r="AF6506">
        <v>-1.32621605359584</v>
      </c>
      <c r="AG6506">
        <v>-1.1089595332995901</v>
      </c>
      <c r="AH6506">
        <v>19.2045005960072</v>
      </c>
      <c r="AI6506">
        <v>93.297026812936494</v>
      </c>
      <c r="AJ6506">
        <v>93.950435194525497</v>
      </c>
      <c r="AK6506">
        <v>19.282154532348098</v>
      </c>
      <c r="AL6506">
        <v>91.595485156069202</v>
      </c>
      <c r="AM6506">
        <v>86.5319582957774</v>
      </c>
      <c r="AN6506">
        <v>0.999999983203541</v>
      </c>
    </row>
    <row r="6507" spans="1:40" x14ac:dyDescent="0.25">
      <c r="A6507" t="str">
        <f>"20190312161444109"</f>
        <v>20190312161444109</v>
      </c>
      <c r="B6507" t="str">
        <f>"1552378484102675"</f>
        <v>1552378484102675</v>
      </c>
      <c r="C6507" t="s">
        <v>40</v>
      </c>
      <c r="D6507">
        <v>5.0151969999999997</v>
      </c>
      <c r="E6507">
        <v>0.45136920000000003</v>
      </c>
      <c r="F6507" t="s">
        <v>109</v>
      </c>
      <c r="G6507">
        <v>-219.91759999999999</v>
      </c>
      <c r="H6507" s="1">
        <v>-3.4279510000000002E-6</v>
      </c>
      <c r="I6507">
        <v>-61.473050000000001</v>
      </c>
      <c r="J6507">
        <v>-239.45060000000001</v>
      </c>
      <c r="K6507">
        <v>1.1089580000000001</v>
      </c>
      <c r="L6507">
        <v>-63.456940000000003</v>
      </c>
      <c r="M6507">
        <v>0.99945030000000001</v>
      </c>
      <c r="N6507">
        <v>0</v>
      </c>
      <c r="O6507">
        <v>3.2154870000000002E-2</v>
      </c>
      <c r="P6507">
        <v>0.99896189999999996</v>
      </c>
      <c r="Q6507">
        <v>-3.5587819999999999E-2</v>
      </c>
      <c r="R6507">
        <v>-2.8436380000000001E-2</v>
      </c>
      <c r="S6507">
        <v>3.0055999999999998</v>
      </c>
      <c r="T6507">
        <v>-0.1693443</v>
      </c>
      <c r="U6507">
        <v>0.30364989999999997</v>
      </c>
      <c r="V6507">
        <v>6.0520259999999999E-2</v>
      </c>
      <c r="W6507">
        <v>-2.7594029999999999E-2</v>
      </c>
      <c r="X6507">
        <v>0.99778549999999999</v>
      </c>
      <c r="Y6507">
        <v>-6.8414459999999996E-2</v>
      </c>
      <c r="Z6507">
        <v>1.1615680000000001E-4</v>
      </c>
      <c r="AA6507">
        <v>0.99765700000000002</v>
      </c>
      <c r="AB6507">
        <v>28</v>
      </c>
      <c r="AC6507">
        <v>19.533000000000001</v>
      </c>
      <c r="AD6507">
        <v>-1.1089614279509901</v>
      </c>
      <c r="AE6507">
        <v>1.9838899999999999</v>
      </c>
      <c r="AF6507">
        <v>-1.35045410338498</v>
      </c>
      <c r="AG6507">
        <v>-1.1089614279509901</v>
      </c>
      <c r="AH6507">
        <v>19.524402984501901</v>
      </c>
      <c r="AI6507">
        <v>93.243103192399005</v>
      </c>
      <c r="AJ6507">
        <v>93.956703929552802</v>
      </c>
      <c r="AK6507">
        <v>19.602444583144699</v>
      </c>
      <c r="AL6507">
        <v>91.581222138430505</v>
      </c>
      <c r="AM6507">
        <v>86.529000991126395</v>
      </c>
      <c r="AN6507">
        <v>1.0000000181861699</v>
      </c>
    </row>
    <row r="6508" spans="1:40" x14ac:dyDescent="0.25">
      <c r="A6508" t="str">
        <f>"20190312161444120"</f>
        <v>20190312161444120</v>
      </c>
      <c r="B6508" t="str">
        <f>"1552378484113022"</f>
        <v>1552378484113022</v>
      </c>
      <c r="C6508" t="s">
        <v>40</v>
      </c>
      <c r="D6508">
        <v>5.0129489999999999</v>
      </c>
      <c r="E6508">
        <v>0.45128249999999998</v>
      </c>
      <c r="F6508" t="s">
        <v>109</v>
      </c>
      <c r="G6508">
        <v>-219.40100000000001</v>
      </c>
      <c r="H6508" s="1">
        <v>-3.2451329999999999E-6</v>
      </c>
      <c r="I6508">
        <v>-61.433489999999999</v>
      </c>
      <c r="J6508">
        <v>-239.3049</v>
      </c>
      <c r="K6508">
        <v>1.1089580000000001</v>
      </c>
      <c r="L6508">
        <v>-63.452449999999999</v>
      </c>
      <c r="M6508">
        <v>0.99945790000000001</v>
      </c>
      <c r="N6508">
        <v>0</v>
      </c>
      <c r="O6508">
        <v>3.1922840000000001E-2</v>
      </c>
      <c r="P6508">
        <v>0.99895719999999999</v>
      </c>
      <c r="Q6508">
        <v>-3.559503E-2</v>
      </c>
      <c r="R6508">
        <v>-2.859279E-2</v>
      </c>
      <c r="S6508">
        <v>3.005814</v>
      </c>
      <c r="T6508">
        <v>-0.1662545</v>
      </c>
      <c r="U6508">
        <v>0.30334470000000002</v>
      </c>
      <c r="V6508">
        <v>6.044472E-2</v>
      </c>
      <c r="W6508">
        <v>-2.7605439999999998E-2</v>
      </c>
      <c r="X6508">
        <v>0.9977897</v>
      </c>
      <c r="Y6508">
        <v>-6.8540229999999994E-2</v>
      </c>
      <c r="Z6508">
        <v>1.302761E-4</v>
      </c>
      <c r="AA6508">
        <v>0.99764839999999999</v>
      </c>
      <c r="AB6508">
        <v>28</v>
      </c>
      <c r="AC6508">
        <v>19.9039</v>
      </c>
      <c r="AD6508">
        <v>-1.108961245133</v>
      </c>
      <c r="AE6508">
        <v>2.0189599999999999</v>
      </c>
      <c r="AF6508">
        <v>-1.3782863595175301</v>
      </c>
      <c r="AG6508">
        <v>-1.108961245133</v>
      </c>
      <c r="AH6508">
        <v>19.897071673446298</v>
      </c>
      <c r="AI6508">
        <v>93.182463353822598</v>
      </c>
      <c r="AJ6508">
        <v>93.962595300377004</v>
      </c>
      <c r="AK6508">
        <v>19.9755583028434</v>
      </c>
      <c r="AL6508">
        <v>91.581876232440493</v>
      </c>
      <c r="AM6508">
        <v>86.533337396772694</v>
      </c>
      <c r="AN6508">
        <v>0.99999995495978</v>
      </c>
    </row>
    <row r="6509" spans="1:40" x14ac:dyDescent="0.25">
      <c r="A6509" t="str">
        <f>"20190312161444132"</f>
        <v>20190312161444132</v>
      </c>
      <c r="B6509" t="str">
        <f>"1552378484122764"</f>
        <v>1552378484122764</v>
      </c>
      <c r="C6509" t="s">
        <v>40</v>
      </c>
      <c r="D6509">
        <v>4.9954219999999996</v>
      </c>
      <c r="E6509">
        <v>0.4512254</v>
      </c>
      <c r="F6509" t="s">
        <v>109</v>
      </c>
      <c r="G6509">
        <v>-218.8981</v>
      </c>
      <c r="H6509" s="1">
        <v>-3.054432E-6</v>
      </c>
      <c r="I6509">
        <v>-61.39141</v>
      </c>
      <c r="J6509">
        <v>-239.1628</v>
      </c>
      <c r="K6509">
        <v>1.1089560000000001</v>
      </c>
      <c r="L6509">
        <v>-63.448149999999998</v>
      </c>
      <c r="M6509">
        <v>0.99946500000000005</v>
      </c>
      <c r="N6509">
        <v>0</v>
      </c>
      <c r="O6509">
        <v>3.1696769999999999E-2</v>
      </c>
      <c r="P6509">
        <v>0.99894579999999999</v>
      </c>
      <c r="Q6509">
        <v>-3.5703579999999999E-2</v>
      </c>
      <c r="R6509">
        <v>-2.8858680000000001E-2</v>
      </c>
      <c r="S6509">
        <v>3.0059809999999998</v>
      </c>
      <c r="T6509">
        <v>-0.16335329999999901</v>
      </c>
      <c r="U6509">
        <v>0.30358889999999999</v>
      </c>
      <c r="V6509">
        <v>6.0484160000000002E-2</v>
      </c>
      <c r="W6509">
        <v>-2.7718039999999999E-2</v>
      </c>
      <c r="X6509">
        <v>0.99778429999999996</v>
      </c>
      <c r="Y6509">
        <v>-6.8841680000000002E-2</v>
      </c>
      <c r="Z6509">
        <v>1.4839399999999999E-4</v>
      </c>
      <c r="AA6509">
        <v>0.99762759999999995</v>
      </c>
      <c r="AB6509">
        <v>28</v>
      </c>
      <c r="AC6509">
        <v>20.264700000000001</v>
      </c>
      <c r="AD6509">
        <v>-1.108959054432</v>
      </c>
      <c r="AE6509">
        <v>2.0567399999999898</v>
      </c>
      <c r="AF6509">
        <v>-1.4091830370504601</v>
      </c>
      <c r="AG6509">
        <v>-1.108959054432</v>
      </c>
      <c r="AH6509">
        <v>20.259658464455399</v>
      </c>
      <c r="AI6509">
        <v>93.125553175145498</v>
      </c>
      <c r="AJ6509">
        <v>93.978863162533898</v>
      </c>
      <c r="AK6509">
        <v>20.338862999506599</v>
      </c>
      <c r="AL6509">
        <v>91.588330030227397</v>
      </c>
      <c r="AM6509">
        <v>86.531062203643501</v>
      </c>
      <c r="AN6509">
        <v>1.00000006633941</v>
      </c>
    </row>
    <row r="6510" spans="1:40" x14ac:dyDescent="0.25">
      <c r="A6510" t="str">
        <f>"20190312161444143"</f>
        <v>20190312161444143</v>
      </c>
      <c r="B6510" t="str">
        <f>"1552378484133501"</f>
        <v>1552378484133501</v>
      </c>
      <c r="C6510" t="s">
        <v>40</v>
      </c>
      <c r="D6510">
        <v>4.9207429999999999</v>
      </c>
      <c r="E6510">
        <v>0.45112249999999998</v>
      </c>
      <c r="F6510" t="s">
        <v>109</v>
      </c>
      <c r="G6510">
        <v>-218.42699999999999</v>
      </c>
      <c r="H6510" s="1">
        <v>-2.8431200000000001E-6</v>
      </c>
      <c r="I6510">
        <v>-61.356769999999997</v>
      </c>
      <c r="J6510">
        <v>-239.0171</v>
      </c>
      <c r="K6510">
        <v>1.1089549999999999</v>
      </c>
      <c r="L6510">
        <v>-63.44379</v>
      </c>
      <c r="M6510">
        <v>0.99947249999999999</v>
      </c>
      <c r="N6510">
        <v>0</v>
      </c>
      <c r="O6510">
        <v>3.1464680000000002E-2</v>
      </c>
      <c r="P6510">
        <v>0.9989287</v>
      </c>
      <c r="Q6510">
        <v>-3.5961069999999998E-2</v>
      </c>
      <c r="R6510">
        <v>-2.9131520000000001E-2</v>
      </c>
      <c r="S6510">
        <v>3.0061800000000001</v>
      </c>
      <c r="T6510">
        <v>-0.16077230000000001</v>
      </c>
      <c r="U6510">
        <v>0.30319210000000002</v>
      </c>
      <c r="V6510">
        <v>6.0524420000000002E-2</v>
      </c>
      <c r="W6510">
        <v>-2.7979250000000001E-2</v>
      </c>
      <c r="X6510">
        <v>0.99777450000000001</v>
      </c>
      <c r="Y6510">
        <v>-6.8937680000000001E-2</v>
      </c>
      <c r="Z6510">
        <v>1.609604E-4</v>
      </c>
      <c r="AA6510">
        <v>0.99762090000000003</v>
      </c>
      <c r="AB6510">
        <v>29</v>
      </c>
      <c r="AC6510">
        <v>20.5900999999999</v>
      </c>
      <c r="AD6510">
        <v>-1.10895784312</v>
      </c>
      <c r="AE6510">
        <v>2.0870199999999999</v>
      </c>
      <c r="AF6510">
        <v>-1.4339873448935201</v>
      </c>
      <c r="AG6510">
        <v>-1.10895784312</v>
      </c>
      <c r="AH6510">
        <v>20.586464692500702</v>
      </c>
      <c r="AI6510">
        <v>93.076006894778104</v>
      </c>
      <c r="AJ6510">
        <v>93.984604697783993</v>
      </c>
      <c r="AK6510">
        <v>20.6661229005034</v>
      </c>
      <c r="AL6510">
        <v>91.6033021757667</v>
      </c>
      <c r="AM6510">
        <v>86.528724812157805</v>
      </c>
      <c r="AN6510">
        <v>0.999999998348574</v>
      </c>
    </row>
    <row r="6511" spans="1:40" x14ac:dyDescent="0.25">
      <c r="A6511" t="str">
        <f>"20190312161444154"</f>
        <v>20190312161444154</v>
      </c>
      <c r="B6511" t="str">
        <f>"1552378484143260"</f>
        <v>1552378484143260</v>
      </c>
      <c r="C6511" t="s">
        <v>40</v>
      </c>
      <c r="D6511">
        <v>5.0320749999999999</v>
      </c>
      <c r="E6511">
        <v>0.45103070000000001</v>
      </c>
      <c r="F6511" t="s">
        <v>109</v>
      </c>
      <c r="G6511">
        <v>-218.0274</v>
      </c>
      <c r="H6511" s="1">
        <v>-2.6637480000000001E-6</v>
      </c>
      <c r="I6511">
        <v>-61.326920000000001</v>
      </c>
      <c r="J6511">
        <v>-238.87719999999999</v>
      </c>
      <c r="K6511">
        <v>1.1089519999999999</v>
      </c>
      <c r="L6511">
        <v>-63.439579999999999</v>
      </c>
      <c r="M6511">
        <v>0.99947949999999997</v>
      </c>
      <c r="N6511">
        <v>0</v>
      </c>
      <c r="O6511">
        <v>3.124184E-2</v>
      </c>
      <c r="P6511">
        <v>0.99891419999999997</v>
      </c>
      <c r="Q6511">
        <v>-3.6185210000000002E-2</v>
      </c>
      <c r="R6511">
        <v>-2.9347580000000002E-2</v>
      </c>
      <c r="S6511">
        <v>3.0063629999999999</v>
      </c>
      <c r="T6511">
        <v>-0.15883649999999999</v>
      </c>
      <c r="U6511">
        <v>0.30319210000000002</v>
      </c>
      <c r="V6511">
        <v>6.0517469999999997E-2</v>
      </c>
      <c r="W6511">
        <v>-2.8207909999999999E-2</v>
      </c>
      <c r="X6511">
        <v>0.99776849999999995</v>
      </c>
      <c r="Y6511">
        <v>-6.91547E-2</v>
      </c>
      <c r="Z6511">
        <v>1.7645240000000001E-4</v>
      </c>
      <c r="AA6511">
        <v>0.99760590000000005</v>
      </c>
      <c r="AB6511">
        <v>29</v>
      </c>
      <c r="AC6511">
        <v>20.849799999999899</v>
      </c>
      <c r="AD6511">
        <v>-1.1089546637479999</v>
      </c>
      <c r="AE6511">
        <v>2.1126600000000102</v>
      </c>
      <c r="AF6511">
        <v>-1.45614398670816</v>
      </c>
      <c r="AG6511">
        <v>-1.1089546637479999</v>
      </c>
      <c r="AH6511">
        <v>20.847250862725399</v>
      </c>
      <c r="AI6511">
        <v>93.037551490554804</v>
      </c>
      <c r="AJ6511">
        <v>93.995520601540605</v>
      </c>
      <c r="AK6511">
        <v>20.927446196076598</v>
      </c>
      <c r="AL6511">
        <v>91.616408575014304</v>
      </c>
      <c r="AM6511">
        <v>86.529101622252696</v>
      </c>
      <c r="AN6511">
        <v>1.0000000149770001</v>
      </c>
    </row>
    <row r="6512" spans="1:40" x14ac:dyDescent="0.25">
      <c r="A6512" t="str">
        <f>"20190312161444165"</f>
        <v>20190312161444165</v>
      </c>
      <c r="B6512" t="str">
        <f>"1552378484153022"</f>
        <v>1552378484153022</v>
      </c>
      <c r="C6512" t="s">
        <v>40</v>
      </c>
      <c r="D6512">
        <v>5.0156510000000001</v>
      </c>
      <c r="E6512">
        <v>0.45093879999999997</v>
      </c>
      <c r="F6512" t="s">
        <v>109</v>
      </c>
      <c r="G6512">
        <v>-217.60429999999999</v>
      </c>
      <c r="H6512" s="1">
        <v>-2.4733570000000002E-6</v>
      </c>
      <c r="I6512">
        <v>-61.293599999999998</v>
      </c>
      <c r="J6512">
        <v>-238.73660000000001</v>
      </c>
      <c r="K6512">
        <v>1.108951</v>
      </c>
      <c r="L6512">
        <v>-63.435389999999998</v>
      </c>
      <c r="M6512">
        <v>0.9994866</v>
      </c>
      <c r="N6512">
        <v>0</v>
      </c>
      <c r="O6512">
        <v>3.101804E-2</v>
      </c>
      <c r="P6512">
        <v>0.99890489999999998</v>
      </c>
      <c r="Q6512">
        <v>-3.6189520000000003E-2</v>
      </c>
      <c r="R6512">
        <v>-2.9654610000000001E-2</v>
      </c>
      <c r="S6512">
        <v>3.006516</v>
      </c>
      <c r="T6512">
        <v>-0.15672920000000001</v>
      </c>
      <c r="U6512">
        <v>0.30328369999999999</v>
      </c>
      <c r="V6512">
        <v>6.0600510000000003E-2</v>
      </c>
      <c r="W6512">
        <v>-2.8217610000000001E-2</v>
      </c>
      <c r="X6512">
        <v>0.99776319999999996</v>
      </c>
      <c r="Y6512">
        <v>-6.9403850000000003E-2</v>
      </c>
      <c r="Z6512">
        <v>1.9219530000000001E-4</v>
      </c>
      <c r="AA6512">
        <v>0.99758860000000005</v>
      </c>
      <c r="AB6512">
        <v>29</v>
      </c>
      <c r="AC6512">
        <v>21.132300000000001</v>
      </c>
      <c r="AD6512">
        <v>-1.1089534733569999</v>
      </c>
      <c r="AE6512">
        <v>2.1417899999999999</v>
      </c>
      <c r="AF6512">
        <v>-1.4812182057639001</v>
      </c>
      <c r="AG6512">
        <v>-1.1089534733569999</v>
      </c>
      <c r="AH6512">
        <v>21.130968380236499</v>
      </c>
      <c r="AI6512">
        <v>92.996787253032906</v>
      </c>
      <c r="AJ6512">
        <v>94.009705423834404</v>
      </c>
      <c r="AK6512">
        <v>21.2118271222852</v>
      </c>
      <c r="AL6512">
        <v>91.6169645422179</v>
      </c>
      <c r="AM6512">
        <v>86.524332224605203</v>
      </c>
      <c r="AN6512">
        <v>1.0000000293003</v>
      </c>
    </row>
    <row r="6513" spans="1:40" x14ac:dyDescent="0.25">
      <c r="A6513" t="str">
        <f>"20190312161444178"</f>
        <v>20190312161444178</v>
      </c>
      <c r="B6513" t="str">
        <f>"1552378484173517"</f>
        <v>1552378484173517</v>
      </c>
      <c r="C6513" t="s">
        <v>40</v>
      </c>
      <c r="D6513">
        <v>5.0002879999999896</v>
      </c>
      <c r="E6513">
        <v>0.45086929999999997</v>
      </c>
      <c r="F6513" t="s">
        <v>109</v>
      </c>
      <c r="G6513">
        <v>-217.11279999999999</v>
      </c>
      <c r="H6513" s="1">
        <v>-2.2525009999999998E-6</v>
      </c>
      <c r="I6513">
        <v>-61.255920000000003</v>
      </c>
      <c r="J6513">
        <v>-238.5812</v>
      </c>
      <c r="K6513">
        <v>1.1089469999999999</v>
      </c>
      <c r="L6513">
        <v>-63.430819999999997</v>
      </c>
      <c r="M6513">
        <v>0.99949410000000005</v>
      </c>
      <c r="N6513">
        <v>0</v>
      </c>
      <c r="O6513">
        <v>3.077059E-2</v>
      </c>
      <c r="P6513">
        <v>0.99890259999999997</v>
      </c>
      <c r="Q6513">
        <v>-3.6032599999999998E-2</v>
      </c>
      <c r="R6513">
        <v>-2.9925E-2</v>
      </c>
      <c r="S6513">
        <v>3.0066989999999998</v>
      </c>
      <c r="T6513">
        <v>-0.15419539999999901</v>
      </c>
      <c r="U6513">
        <v>0.30303960000000002</v>
      </c>
      <c r="V6513">
        <v>6.0623679999999999E-2</v>
      </c>
      <c r="W6513">
        <v>-2.8067559999999998E-2</v>
      </c>
      <c r="X6513">
        <v>0.99776600000000004</v>
      </c>
      <c r="Y6513">
        <v>-6.9565699999999994E-2</v>
      </c>
      <c r="Z6513">
        <v>2.05854E-4</v>
      </c>
      <c r="AA6513">
        <v>0.99757739999999995</v>
      </c>
      <c r="AB6513">
        <v>29</v>
      </c>
      <c r="AC6513">
        <v>21.468399999999999</v>
      </c>
      <c r="AD6513">
        <v>-1.1089492525009901</v>
      </c>
      <c r="AE6513">
        <v>2.1749000000000001</v>
      </c>
      <c r="AF6513">
        <v>-1.50926718132221</v>
      </c>
      <c r="AG6513">
        <v>-1.1089492525009901</v>
      </c>
      <c r="AH6513">
        <v>21.4684576526661</v>
      </c>
      <c r="AI6513">
        <v>92.949707618147997</v>
      </c>
      <c r="AJ6513">
        <v>94.021369412229504</v>
      </c>
      <c r="AK6513">
        <v>21.5499960522863</v>
      </c>
      <c r="AL6513">
        <v>91.608363943888406</v>
      </c>
      <c r="AM6513">
        <v>86.523016330714697</v>
      </c>
      <c r="AN6513">
        <v>1.00000000462854</v>
      </c>
    </row>
    <row r="6514" spans="1:40" x14ac:dyDescent="0.25">
      <c r="A6514" t="str">
        <f>"20190312161444188"</f>
        <v>20190312161444188</v>
      </c>
      <c r="B6514" t="str">
        <f>"1552378484183277"</f>
        <v>1552378484183277</v>
      </c>
      <c r="C6514" t="s">
        <v>40</v>
      </c>
      <c r="D6514">
        <v>4.9657580000000001</v>
      </c>
      <c r="E6514">
        <v>0.45080550000000003</v>
      </c>
      <c r="F6514" t="s">
        <v>109</v>
      </c>
      <c r="G6514">
        <v>-216.2972</v>
      </c>
      <c r="H6514" s="1">
        <v>-1.8843859999999999E-6</v>
      </c>
      <c r="I6514">
        <v>-61.187480000000001</v>
      </c>
      <c r="J6514">
        <v>-238.44450000000001</v>
      </c>
      <c r="K6514">
        <v>1.1089420000000001</v>
      </c>
      <c r="L6514">
        <v>-63.426789999999997</v>
      </c>
      <c r="M6514">
        <v>0.99950090000000003</v>
      </c>
      <c r="N6514">
        <v>0</v>
      </c>
      <c r="O6514">
        <v>3.0552880000000001E-2</v>
      </c>
      <c r="P6514">
        <v>0.99890570000000001</v>
      </c>
      <c r="Q6514">
        <v>-3.581844E-2</v>
      </c>
      <c r="R6514">
        <v>-3.0074449999999999E-2</v>
      </c>
      <c r="S6514">
        <v>3.0069729999999999</v>
      </c>
      <c r="T6514">
        <v>-0.14963979999999999</v>
      </c>
      <c r="U6514">
        <v>0.30270390000000003</v>
      </c>
      <c r="V6514">
        <v>6.0556230000000003E-2</v>
      </c>
      <c r="W6514">
        <v>-2.7859600000000002E-2</v>
      </c>
      <c r="X6514">
        <v>0.99777590000000005</v>
      </c>
      <c r="Y6514">
        <v>-6.9666199999999998E-2</v>
      </c>
      <c r="Z6514">
        <v>2.1304390000000001E-4</v>
      </c>
      <c r="AA6514">
        <v>0.99757030000000002</v>
      </c>
      <c r="AB6514">
        <v>29</v>
      </c>
      <c r="AC6514">
        <v>22.147300000000001</v>
      </c>
      <c r="AD6514">
        <v>-1.108943884386</v>
      </c>
      <c r="AE6514">
        <v>2.2393099999999899</v>
      </c>
      <c r="AF6514">
        <v>-1.5577130275105799</v>
      </c>
      <c r="AG6514">
        <v>-1.108943884386</v>
      </c>
      <c r="AH6514">
        <v>22.1504074296714</v>
      </c>
      <c r="AI6514">
        <v>92.859028982406002</v>
      </c>
      <c r="AJ6514">
        <v>94.022665849954294</v>
      </c>
      <c r="AK6514">
        <v>22.2327860538268</v>
      </c>
      <c r="AL6514">
        <v>91.596444090842994</v>
      </c>
      <c r="AM6514">
        <v>86.526909729579998</v>
      </c>
      <c r="AN6514">
        <v>0.99999998046239102</v>
      </c>
    </row>
    <row r="6515" spans="1:40" x14ac:dyDescent="0.25">
      <c r="A6515" t="str">
        <f>"20190312161444199"</f>
        <v>20190312161444199</v>
      </c>
      <c r="B6515" t="str">
        <f>"1552378484193036"</f>
        <v>1552378484193036</v>
      </c>
      <c r="C6515" t="s">
        <v>40</v>
      </c>
      <c r="D6515">
        <v>4.8396850000000002</v>
      </c>
      <c r="E6515">
        <v>0.45074019999999998</v>
      </c>
      <c r="F6515" t="s">
        <v>109</v>
      </c>
      <c r="G6515">
        <v>-215.73849999999999</v>
      </c>
      <c r="H6515" s="1">
        <v>-1.6323809999999999E-6</v>
      </c>
      <c r="I6515">
        <v>-61.141109999999998</v>
      </c>
      <c r="J6515">
        <v>-238.29839999999999</v>
      </c>
      <c r="K6515">
        <v>1.10894</v>
      </c>
      <c r="L6515">
        <v>-63.422609999999999</v>
      </c>
      <c r="M6515">
        <v>0.99950810000000001</v>
      </c>
      <c r="N6515">
        <v>0</v>
      </c>
      <c r="O6515">
        <v>3.0320320000000001E-2</v>
      </c>
      <c r="P6515">
        <v>0.99889669999999997</v>
      </c>
      <c r="Q6515">
        <v>-3.5844210000000001E-2</v>
      </c>
      <c r="R6515">
        <v>-3.0343809999999999E-2</v>
      </c>
      <c r="S6515">
        <v>3.0071409999999998</v>
      </c>
      <c r="T6515">
        <v>-0.14686679999999999</v>
      </c>
      <c r="U6515">
        <v>0.30270390000000003</v>
      </c>
      <c r="V6515">
        <v>6.0592939999999998E-2</v>
      </c>
      <c r="W6515">
        <v>-2.7891989999999998E-2</v>
      </c>
      <c r="X6515">
        <v>0.99777280000000002</v>
      </c>
      <c r="Y6515">
        <v>-6.9893960000000005E-2</v>
      </c>
      <c r="Z6515">
        <v>2.259436E-4</v>
      </c>
      <c r="AA6515">
        <v>0.99755439999999995</v>
      </c>
      <c r="AB6515">
        <v>29</v>
      </c>
      <c r="AC6515">
        <v>22.559899999999999</v>
      </c>
      <c r="AD6515">
        <v>-1.108941632381</v>
      </c>
      <c r="AE6515">
        <v>2.2814999999999999</v>
      </c>
      <c r="AF6515">
        <v>-1.5925964537667401</v>
      </c>
      <c r="AG6515">
        <v>-1.108941632381</v>
      </c>
      <c r="AH6515">
        <v>22.564734866390001</v>
      </c>
      <c r="AI6515">
        <v>92.806561287551403</v>
      </c>
      <c r="AJ6515">
        <v>94.037184180670707</v>
      </c>
      <c r="AK6515">
        <v>22.648032466398799</v>
      </c>
      <c r="AL6515">
        <v>91.598300569095997</v>
      </c>
      <c r="AM6515">
        <v>86.5247986832929</v>
      </c>
      <c r="AN6515">
        <v>1.0000000139519201</v>
      </c>
    </row>
    <row r="6516" spans="1:40" x14ac:dyDescent="0.25">
      <c r="A6516" t="str">
        <f>"20190312161444209"</f>
        <v>20190312161444209</v>
      </c>
      <c r="B6516" t="str">
        <f>"1552378484202797"</f>
        <v>1552378484202797</v>
      </c>
      <c r="C6516" t="s">
        <v>40</v>
      </c>
      <c r="D6516">
        <v>4.9655570000000004</v>
      </c>
      <c r="E6516">
        <v>0.4506617</v>
      </c>
      <c r="F6516" t="s">
        <v>109</v>
      </c>
      <c r="G6516">
        <v>-215.19460000000001</v>
      </c>
      <c r="H6516" s="1">
        <v>-1.3879939999999999E-6</v>
      </c>
      <c r="I6516">
        <v>-61.099600000000002</v>
      </c>
      <c r="J6516">
        <v>-238.1651</v>
      </c>
      <c r="K6516">
        <v>1.1089329999999999</v>
      </c>
      <c r="L6516">
        <v>-63.418759999999999</v>
      </c>
      <c r="M6516">
        <v>0.99951449999999997</v>
      </c>
      <c r="N6516">
        <v>0</v>
      </c>
      <c r="O6516">
        <v>3.0108329999999999E-2</v>
      </c>
      <c r="P6516">
        <v>0.99889839999999996</v>
      </c>
      <c r="Q6516">
        <v>-3.5702850000000001E-2</v>
      </c>
      <c r="R6516">
        <v>-3.0454430000000001E-2</v>
      </c>
      <c r="S6516">
        <v>3.0073240000000001</v>
      </c>
      <c r="T6516">
        <v>-0.144345899999999</v>
      </c>
      <c r="U6516">
        <v>0.30236819999999998</v>
      </c>
      <c r="V6516">
        <v>6.0491999999999997E-2</v>
      </c>
      <c r="W6516">
        <v>-2.7756329999999999E-2</v>
      </c>
      <c r="X6516">
        <v>0.99778270000000002</v>
      </c>
      <c r="Y6516">
        <v>-6.9990499999999997E-2</v>
      </c>
      <c r="Z6516">
        <v>2.344999E-4</v>
      </c>
      <c r="AA6516">
        <v>0.99754759999999998</v>
      </c>
      <c r="AB6516">
        <v>29</v>
      </c>
      <c r="AC6516">
        <v>22.970499999999902</v>
      </c>
      <c r="AD6516">
        <v>-1.1089343879939999</v>
      </c>
      <c r="AE6516">
        <v>2.3191599999999899</v>
      </c>
      <c r="AF6516">
        <v>-1.62273908739086</v>
      </c>
      <c r="AG6516">
        <v>-1.1089343879939999</v>
      </c>
      <c r="AH6516">
        <v>22.976903740809298</v>
      </c>
      <c r="AI6516">
        <v>92.756267583795506</v>
      </c>
      <c r="AJ6516">
        <v>94.039794874824196</v>
      </c>
      <c r="AK6516">
        <v>23.060813583588899</v>
      </c>
      <c r="AL6516">
        <v>91.590524825616399</v>
      </c>
      <c r="AM6516">
        <v>86.530608105914794</v>
      </c>
      <c r="AN6516">
        <v>1.0000000061691701</v>
      </c>
    </row>
    <row r="6517" spans="1:40" x14ac:dyDescent="0.25">
      <c r="A6517" t="str">
        <f>"20190312161444220"</f>
        <v>20190312161444220</v>
      </c>
      <c r="B6517" t="str">
        <f>"1552378484213117"</f>
        <v>1552378484213117</v>
      </c>
      <c r="C6517" t="s">
        <v>40</v>
      </c>
      <c r="D6517">
        <v>4.9909129999999999</v>
      </c>
      <c r="E6517">
        <v>0.45056839999999998</v>
      </c>
      <c r="F6517" t="s">
        <v>109</v>
      </c>
      <c r="G6517">
        <v>-214.59270000000001</v>
      </c>
      <c r="H6517" s="1">
        <v>-1.1157430000000001E-6</v>
      </c>
      <c r="I6517">
        <v>-61.046840000000003</v>
      </c>
      <c r="J6517">
        <v>-238.01740000000001</v>
      </c>
      <c r="K6517">
        <v>1.108932</v>
      </c>
      <c r="L6517">
        <v>-63.414520000000003</v>
      </c>
      <c r="M6517">
        <v>0.99952169999999896</v>
      </c>
      <c r="N6517">
        <v>0</v>
      </c>
      <c r="O6517">
        <v>2.9873090000000001E-2</v>
      </c>
      <c r="P6517">
        <v>0.99889430000000001</v>
      </c>
      <c r="Q6517">
        <v>-3.5751159999999997E-2</v>
      </c>
      <c r="R6517">
        <v>-3.0537370000000001E-2</v>
      </c>
      <c r="S6517">
        <v>3.0074619999999999</v>
      </c>
      <c r="T6517">
        <v>-0.1414822</v>
      </c>
      <c r="U6517">
        <v>0.3026123</v>
      </c>
      <c r="V6517">
        <v>6.0339860000000002E-2</v>
      </c>
      <c r="W6517">
        <v>-2.781018E-2</v>
      </c>
      <c r="X6517">
        <v>0.99779039999999997</v>
      </c>
      <c r="Y6517">
        <v>-7.0302100000000006E-2</v>
      </c>
      <c r="Z6517">
        <v>2.481699E-4</v>
      </c>
      <c r="AA6517">
        <v>0.99752569999999996</v>
      </c>
      <c r="AB6517">
        <v>29</v>
      </c>
      <c r="AC6517">
        <v>23.424700000000001</v>
      </c>
      <c r="AD6517">
        <v>-1.108933115743</v>
      </c>
      <c r="AE6517">
        <v>2.3676799999999898</v>
      </c>
      <c r="AF6517">
        <v>-1.6631430939454399</v>
      </c>
      <c r="AG6517">
        <v>-1.108933115743</v>
      </c>
      <c r="AH6517">
        <v>23.432992308791</v>
      </c>
      <c r="AI6517">
        <v>92.702631675751405</v>
      </c>
      <c r="AJ6517">
        <v>94.059727208281203</v>
      </c>
      <c r="AK6517">
        <v>23.518097417733198</v>
      </c>
      <c r="AL6517">
        <v>91.593611414906604</v>
      </c>
      <c r="AM6517">
        <v>86.539339185003001</v>
      </c>
      <c r="AN6517">
        <v>0.99999999357430602</v>
      </c>
    </row>
    <row r="6518" spans="1:40" x14ac:dyDescent="0.25">
      <c r="A6518" t="str">
        <f>"20190312161444232"</f>
        <v>20190312161444232</v>
      </c>
      <c r="B6518" t="str">
        <f>"1552378484222863"</f>
        <v>1552378484222863</v>
      </c>
      <c r="C6518" t="s">
        <v>40</v>
      </c>
      <c r="D6518">
        <v>4.950539</v>
      </c>
      <c r="E6518">
        <v>0.45048179999999999</v>
      </c>
      <c r="F6518" t="s">
        <v>109</v>
      </c>
      <c r="G6518">
        <v>-214.06979999999999</v>
      </c>
      <c r="H6518" s="1">
        <v>-8.793094E-7</v>
      </c>
      <c r="I6518">
        <v>-61.001309999999997</v>
      </c>
      <c r="J6518">
        <v>-237.87899999999999</v>
      </c>
      <c r="K6518">
        <v>1.1089290000000001</v>
      </c>
      <c r="L6518">
        <v>-63.410609999999998</v>
      </c>
      <c r="M6518">
        <v>0.99952819999999998</v>
      </c>
      <c r="N6518">
        <v>0</v>
      </c>
      <c r="O6518">
        <v>2.965305E-2</v>
      </c>
      <c r="P6518">
        <v>0.99888399999999999</v>
      </c>
      <c r="Q6518">
        <v>-3.5699750000000002E-2</v>
      </c>
      <c r="R6518">
        <v>-3.092717E-2</v>
      </c>
      <c r="S6518">
        <v>3.0075989999999999</v>
      </c>
      <c r="T6518">
        <v>-0.13927200000000001</v>
      </c>
      <c r="U6518">
        <v>0.30307009999999901</v>
      </c>
      <c r="V6518">
        <v>6.0509680000000003E-2</v>
      </c>
      <c r="W6518">
        <v>-2.7764090000000002E-2</v>
      </c>
      <c r="X6518">
        <v>0.99778140000000004</v>
      </c>
      <c r="Y6518">
        <v>-7.0668229999999999E-2</v>
      </c>
      <c r="Z6518">
        <v>2.6288340000000002E-4</v>
      </c>
      <c r="AA6518">
        <v>0.99749980000000005</v>
      </c>
      <c r="AB6518">
        <v>29</v>
      </c>
      <c r="AC6518">
        <v>23.809200000000001</v>
      </c>
      <c r="AD6518">
        <v>-1.10892987930939</v>
      </c>
      <c r="AE6518">
        <v>2.4093</v>
      </c>
      <c r="AF6518">
        <v>-1.6985551097565099</v>
      </c>
      <c r="AG6518">
        <v>-1.10892987930939</v>
      </c>
      <c r="AH6518">
        <v>23.819027895530098</v>
      </c>
      <c r="AI6518">
        <v>92.658822456269405</v>
      </c>
      <c r="AJ6518">
        <v>94.078905983678297</v>
      </c>
      <c r="AK6518">
        <v>23.9052484786531</v>
      </c>
      <c r="AL6518">
        <v>91.590969631442803</v>
      </c>
      <c r="AM6518">
        <v>86.529592073933401</v>
      </c>
      <c r="AN6518">
        <v>0.99999999412659502</v>
      </c>
    </row>
    <row r="6519" spans="1:40" x14ac:dyDescent="0.25">
      <c r="A6519" t="str">
        <f>"20190312161444242"</f>
        <v>20190312161444242</v>
      </c>
      <c r="B6519" t="str">
        <f>"1552378484233600"</f>
        <v>1552378484233600</v>
      </c>
      <c r="C6519" t="s">
        <v>40</v>
      </c>
      <c r="D6519">
        <v>4.9187240000000001</v>
      </c>
      <c r="E6519">
        <v>0.45038329999999999</v>
      </c>
      <c r="F6519" t="s">
        <v>109</v>
      </c>
      <c r="G6519">
        <v>-213.62610000000001</v>
      </c>
      <c r="H6519" s="1">
        <v>-6.8094369999999898E-7</v>
      </c>
      <c r="I6519">
        <v>-60.971229999999998</v>
      </c>
      <c r="J6519">
        <v>-237.74199999999999</v>
      </c>
      <c r="K6519">
        <v>1.1089290000000001</v>
      </c>
      <c r="L6519">
        <v>-63.406770000000002</v>
      </c>
      <c r="M6519">
        <v>0.99953479999999995</v>
      </c>
      <c r="N6519">
        <v>0</v>
      </c>
      <c r="O6519">
        <v>2.9435030000000001E-2</v>
      </c>
      <c r="P6519">
        <v>0.9988804</v>
      </c>
      <c r="Q6519">
        <v>-3.5810019999999998E-2</v>
      </c>
      <c r="R6519">
        <v>-3.0916490000000001E-2</v>
      </c>
      <c r="S6519">
        <v>3.0078130000000001</v>
      </c>
      <c r="T6519">
        <v>-0.13752779999999901</v>
      </c>
      <c r="U6519">
        <v>0.30252079999999998</v>
      </c>
      <c r="V6519">
        <v>6.028099E-2</v>
      </c>
      <c r="W6519">
        <v>-2.78786E-2</v>
      </c>
      <c r="X6519">
        <v>0.99779209999999996</v>
      </c>
      <c r="Y6519">
        <v>-7.0699230000000002E-2</v>
      </c>
      <c r="Z6519">
        <v>2.7021279999999998E-4</v>
      </c>
      <c r="AA6519">
        <v>0.99749759999999998</v>
      </c>
      <c r="AB6519">
        <v>29</v>
      </c>
      <c r="AC6519">
        <v>24.1159</v>
      </c>
      <c r="AD6519">
        <v>-1.1089296809436999</v>
      </c>
      <c r="AE6519">
        <v>2.4355399999999801</v>
      </c>
      <c r="AF6519">
        <v>-1.72100745749564</v>
      </c>
      <c r="AG6519">
        <v>-1.1089296809436999</v>
      </c>
      <c r="AH6519">
        <v>24.126642359552299</v>
      </c>
      <c r="AI6519">
        <v>92.624965768956599</v>
      </c>
      <c r="AJ6519">
        <v>94.080125409096595</v>
      </c>
      <c r="AK6519">
        <v>24.213352994820401</v>
      </c>
      <c r="AL6519">
        <v>91.597533031418294</v>
      </c>
      <c r="AM6519">
        <v>86.542713227636099</v>
      </c>
      <c r="AN6519">
        <v>1.0000000444578701</v>
      </c>
    </row>
    <row r="6520" spans="1:40" x14ac:dyDescent="0.25">
      <c r="A6520" t="str">
        <f>"20190312161444254"</f>
        <v>20190312161444254</v>
      </c>
      <c r="B6520" t="str">
        <f>"1552378484243359"</f>
        <v>1552378484243359</v>
      </c>
      <c r="C6520" t="s">
        <v>40</v>
      </c>
      <c r="D6520">
        <v>4.9299569999999999</v>
      </c>
      <c r="E6520">
        <v>0.45033489999999998</v>
      </c>
      <c r="F6520" t="s">
        <v>109</v>
      </c>
      <c r="G6520">
        <v>-213.25960000000001</v>
      </c>
      <c r="H6520" s="1">
        <v>-5.1484489999999996E-7</v>
      </c>
      <c r="I6520">
        <v>-60.937899999999999</v>
      </c>
      <c r="J6520">
        <v>-237.59700000000001</v>
      </c>
      <c r="K6520">
        <v>1.108924</v>
      </c>
      <c r="L6520">
        <v>-63.402679999999997</v>
      </c>
      <c r="M6520">
        <v>0.99954149999999997</v>
      </c>
      <c r="N6520">
        <v>0</v>
      </c>
      <c r="O6520">
        <v>2.9204859999999999E-2</v>
      </c>
      <c r="P6520">
        <v>0.99888440000000001</v>
      </c>
      <c r="Q6520">
        <v>-3.5601399999999998E-2</v>
      </c>
      <c r="R6520">
        <v>-3.1022830000000001E-2</v>
      </c>
      <c r="S6520">
        <v>3.0078740000000002</v>
      </c>
      <c r="T6520">
        <v>-0.13624129999999901</v>
      </c>
      <c r="U6520">
        <v>0.30331419999999998</v>
      </c>
      <c r="V6520">
        <v>6.0157790000000003E-2</v>
      </c>
      <c r="W6520">
        <v>-2.7675439999999999E-2</v>
      </c>
      <c r="X6520">
        <v>0.9978051</v>
      </c>
      <c r="Y6520">
        <v>-7.1187440000000005E-2</v>
      </c>
      <c r="Z6520">
        <v>2.8908649999999998E-4</v>
      </c>
      <c r="AA6520">
        <v>0.99746290000000004</v>
      </c>
      <c r="AB6520">
        <v>29</v>
      </c>
      <c r="AC6520">
        <v>24.337399999999999</v>
      </c>
      <c r="AD6520">
        <v>-1.1089245148448901</v>
      </c>
      <c r="AE6520">
        <v>2.4647800000000002</v>
      </c>
      <c r="AF6520">
        <v>-1.7493405214926601</v>
      </c>
      <c r="AG6520">
        <v>-1.1089245148448901</v>
      </c>
      <c r="AH6520">
        <v>24.348965490612699</v>
      </c>
      <c r="AI6520">
        <v>92.600924181619305</v>
      </c>
      <c r="AJ6520">
        <v>94.109329034048002</v>
      </c>
      <c r="AK6520">
        <v>24.436898868367201</v>
      </c>
      <c r="AL6520">
        <v>91.585888472250602</v>
      </c>
      <c r="AM6520">
        <v>86.549806855746098</v>
      </c>
      <c r="AN6520">
        <v>0.99999995363144201</v>
      </c>
    </row>
    <row r="6521" spans="1:40" x14ac:dyDescent="0.25">
      <c r="A6521" t="str">
        <f>"20190312161444264"</f>
        <v>20190312161444264</v>
      </c>
      <c r="B6521" t="str">
        <f>"1552378484253120"</f>
        <v>1552378484253120</v>
      </c>
      <c r="C6521" t="s">
        <v>40</v>
      </c>
      <c r="D6521">
        <v>4.9381259999999996</v>
      </c>
      <c r="E6521">
        <v>0.45025739999999997</v>
      </c>
      <c r="F6521" t="s">
        <v>109</v>
      </c>
      <c r="G6521">
        <v>-212.7269</v>
      </c>
      <c r="H6521" s="1">
        <v>-2.7471450000000002E-7</v>
      </c>
      <c r="I6521">
        <v>-60.894309999999997</v>
      </c>
      <c r="J6521">
        <v>-237.45410000000001</v>
      </c>
      <c r="K6521">
        <v>1.108922</v>
      </c>
      <c r="L6521">
        <v>-63.398739999999997</v>
      </c>
      <c r="M6521">
        <v>0.9995482</v>
      </c>
      <c r="N6521">
        <v>0</v>
      </c>
      <c r="O6521">
        <v>2.8977429999999998E-2</v>
      </c>
      <c r="P6521">
        <v>0.99888350000000004</v>
      </c>
      <c r="Q6521">
        <v>-3.5549360000000002E-2</v>
      </c>
      <c r="R6521">
        <v>-3.1116209999999998E-2</v>
      </c>
      <c r="S6521">
        <v>3.0079959999999999</v>
      </c>
      <c r="T6521">
        <v>-0.13412209999999999</v>
      </c>
      <c r="U6521">
        <v>0.30337520000000001</v>
      </c>
      <c r="V6521">
        <v>6.0024189999999998E-2</v>
      </c>
      <c r="W6521">
        <v>-2.76297E-2</v>
      </c>
      <c r="X6521">
        <v>0.99781450000000005</v>
      </c>
      <c r="Y6521">
        <v>-7.1431259999999996E-2</v>
      </c>
      <c r="Z6521">
        <v>3.0010209999999999E-4</v>
      </c>
      <c r="AA6521">
        <v>0.99744549999999998</v>
      </c>
      <c r="AB6521">
        <v>29</v>
      </c>
      <c r="AC6521">
        <v>24.7272</v>
      </c>
      <c r="AD6521">
        <v>-1.1089222747145</v>
      </c>
      <c r="AE6521">
        <v>2.5044300000000002</v>
      </c>
      <c r="AF6521">
        <v>-1.7832746260841299</v>
      </c>
      <c r="AG6521">
        <v>-1.1089222747145</v>
      </c>
      <c r="AH6521">
        <v>24.740138006623901</v>
      </c>
      <c r="AI6521">
        <v>92.559807164025599</v>
      </c>
      <c r="AJ6521">
        <v>94.122762323303704</v>
      </c>
      <c r="AK6521">
        <v>24.829099975435899</v>
      </c>
      <c r="AL6521">
        <v>91.583266623744805</v>
      </c>
      <c r="AM6521">
        <v>86.557483040136901</v>
      </c>
      <c r="AN6521">
        <v>1.0000000400587401</v>
      </c>
    </row>
    <row r="6522" spans="1:40" x14ac:dyDescent="0.25">
      <c r="A6522" t="str">
        <f>"20190312161444275"</f>
        <v>20190312161444275</v>
      </c>
      <c r="B6522" t="str">
        <f>"1552378484273617"</f>
        <v>1552378484273617</v>
      </c>
      <c r="C6522" t="s">
        <v>40</v>
      </c>
      <c r="D6522">
        <v>4.8483609999999997</v>
      </c>
      <c r="E6522">
        <v>0.45020789999999999</v>
      </c>
      <c r="F6522" t="s">
        <v>109</v>
      </c>
      <c r="G6522">
        <v>-212.1781</v>
      </c>
      <c r="H6522" s="1">
        <v>-2.6770290000000001E-8</v>
      </c>
      <c r="I6522">
        <v>-60.847239999999999</v>
      </c>
      <c r="J6522">
        <v>-237.30879999999999</v>
      </c>
      <c r="K6522">
        <v>1.1089199999999999</v>
      </c>
      <c r="L6522">
        <v>-63.394779999999997</v>
      </c>
      <c r="M6522">
        <v>0.99955499999999997</v>
      </c>
      <c r="N6522">
        <v>0</v>
      </c>
      <c r="O6522">
        <v>2.874637E-2</v>
      </c>
      <c r="P6522">
        <v>0.99888440000000001</v>
      </c>
      <c r="Q6522">
        <v>-3.5502529999999997E-2</v>
      </c>
      <c r="R6522">
        <v>-3.114405E-2</v>
      </c>
      <c r="S6522">
        <v>3.0081180000000001</v>
      </c>
      <c r="T6522">
        <v>-0.1319737</v>
      </c>
      <c r="U6522">
        <v>0.30364989999999997</v>
      </c>
      <c r="V6522">
        <v>5.9821279999999998E-2</v>
      </c>
      <c r="W6522">
        <v>-2.7590110000000001E-2</v>
      </c>
      <c r="X6522">
        <v>0.99782780000000004</v>
      </c>
      <c r="Y6522">
        <v>-7.174875E-2</v>
      </c>
      <c r="Z6522">
        <v>3.123267E-4</v>
      </c>
      <c r="AA6522">
        <v>0.9974227</v>
      </c>
      <c r="AB6522">
        <v>29</v>
      </c>
      <c r="AC6522">
        <v>25.130699999999901</v>
      </c>
      <c r="AD6522">
        <v>-1.1089200267702899</v>
      </c>
      <c r="AE6522">
        <v>2.5475400000000001</v>
      </c>
      <c r="AF6522">
        <v>-1.8205390715402501</v>
      </c>
      <c r="AG6522">
        <v>-1.1089200267702899</v>
      </c>
      <c r="AH6522">
        <v>25.145086291468299</v>
      </c>
      <c r="AI6522">
        <v>92.5185731910328</v>
      </c>
      <c r="AJ6522">
        <v>94.141068102087104</v>
      </c>
      <c r="AK6522">
        <v>25.235281467464699</v>
      </c>
      <c r="AL6522">
        <v>91.580997388761602</v>
      </c>
      <c r="AM6522">
        <v>86.569138142542201</v>
      </c>
      <c r="AN6522">
        <v>1.0000000590817399</v>
      </c>
    </row>
    <row r="6523" spans="1:40" x14ac:dyDescent="0.25">
      <c r="A6523" t="str">
        <f>"20190312161444287"</f>
        <v>20190312161444287</v>
      </c>
      <c r="B6523" t="str">
        <f>"1552378484283375"</f>
        <v>1552378484283375</v>
      </c>
      <c r="C6523" t="s">
        <v>40</v>
      </c>
      <c r="D6523">
        <v>4.9802589999999904</v>
      </c>
      <c r="E6523">
        <v>0.45016509999999998</v>
      </c>
      <c r="F6523" t="s">
        <v>109</v>
      </c>
      <c r="G6523">
        <v>-211.54390000000001</v>
      </c>
      <c r="H6523" s="1">
        <v>2.6014689999999999E-7</v>
      </c>
      <c r="I6523">
        <v>-60.791400000000003</v>
      </c>
      <c r="J6523">
        <v>-237.15469999999999</v>
      </c>
      <c r="K6523">
        <v>1.108916</v>
      </c>
      <c r="L6523">
        <v>-63.390529999999998</v>
      </c>
      <c r="M6523">
        <v>0.9995619</v>
      </c>
      <c r="N6523">
        <v>0</v>
      </c>
      <c r="O6523">
        <v>2.8501490000000001E-2</v>
      </c>
      <c r="P6523">
        <v>0.99887999999999999</v>
      </c>
      <c r="Q6523">
        <v>-3.5490479999999998E-2</v>
      </c>
      <c r="R6523">
        <v>-3.1297409999999998E-2</v>
      </c>
      <c r="S6523">
        <v>3.0082239999999998</v>
      </c>
      <c r="T6523">
        <v>-0.1294738</v>
      </c>
      <c r="U6523">
        <v>0.30395509999999998</v>
      </c>
      <c r="V6523">
        <v>5.9730079999999998E-2</v>
      </c>
      <c r="W6523">
        <v>-2.7586349999999999E-2</v>
      </c>
      <c r="X6523">
        <v>0.99783330000000003</v>
      </c>
      <c r="Y6523">
        <v>-7.2090719999999997E-2</v>
      </c>
      <c r="Z6523">
        <v>3.2423880000000002E-4</v>
      </c>
      <c r="AA6523">
        <v>0.99739800000000001</v>
      </c>
      <c r="AB6523">
        <v>29</v>
      </c>
      <c r="AC6523">
        <v>25.610799999999902</v>
      </c>
      <c r="AD6523">
        <v>-1.1089157398531</v>
      </c>
      <c r="AE6523">
        <v>2.5991300000000002</v>
      </c>
      <c r="AF6523">
        <v>-1.86464467097436</v>
      </c>
      <c r="AG6523">
        <v>-1.1089157398531</v>
      </c>
      <c r="AH6523">
        <v>25.626921278848702</v>
      </c>
      <c r="AI6523">
        <v>92.471204826107297</v>
      </c>
      <c r="AJ6523">
        <v>94.1615740080357</v>
      </c>
      <c r="AK6523">
        <v>25.718586432760901</v>
      </c>
      <c r="AL6523">
        <v>91.580781980877305</v>
      </c>
      <c r="AM6523">
        <v>86.574375003932104</v>
      </c>
      <c r="AN6523">
        <v>0.99999999187600896</v>
      </c>
    </row>
    <row r="6524" spans="1:40" x14ac:dyDescent="0.25">
      <c r="A6524" t="str">
        <f>"20190312161444298"</f>
        <v>20190312161444298</v>
      </c>
      <c r="B6524" t="str">
        <f>"1552378484293140"</f>
        <v>1552378484293140</v>
      </c>
      <c r="C6524" t="s">
        <v>40</v>
      </c>
      <c r="D6524">
        <v>4.9401449999999896</v>
      </c>
      <c r="E6524">
        <v>0.45016679999999998</v>
      </c>
      <c r="F6524" t="s">
        <v>109</v>
      </c>
      <c r="G6524">
        <v>-211.0881</v>
      </c>
      <c r="H6524" s="1">
        <v>4.6448170000000001E-7</v>
      </c>
      <c r="I6524">
        <v>-60.75835</v>
      </c>
      <c r="J6524">
        <v>-237.0121</v>
      </c>
      <c r="K6524">
        <v>1.1089119999999999</v>
      </c>
      <c r="L6524">
        <v>-63.386719999999997</v>
      </c>
      <c r="M6524">
        <v>0.99956849999999997</v>
      </c>
      <c r="N6524">
        <v>0</v>
      </c>
      <c r="O6524">
        <v>2.827503E-2</v>
      </c>
      <c r="P6524">
        <v>0.99887680000000001</v>
      </c>
      <c r="Q6524">
        <v>-3.537175E-2</v>
      </c>
      <c r="R6524">
        <v>-3.1529990000000001E-2</v>
      </c>
      <c r="S6524">
        <v>3.0083310000000001</v>
      </c>
      <c r="T6524">
        <v>-0.12797929999999999</v>
      </c>
      <c r="U6524">
        <v>0.30377199999999999</v>
      </c>
      <c r="V6524">
        <v>5.9736699999999997E-2</v>
      </c>
      <c r="W6524">
        <v>-2.7477339999999999E-2</v>
      </c>
      <c r="X6524">
        <v>0.9978359</v>
      </c>
      <c r="Y6524">
        <v>-7.2253620000000005E-2</v>
      </c>
      <c r="Z6524">
        <v>3.3353940000000002E-4</v>
      </c>
      <c r="AA6524">
        <v>0.9973862</v>
      </c>
      <c r="AB6524">
        <v>29</v>
      </c>
      <c r="AC6524">
        <v>25.923999999999999</v>
      </c>
      <c r="AD6524">
        <v>-1.1089115355182999</v>
      </c>
      <c r="AE6524">
        <v>2.6283699999999901</v>
      </c>
      <c r="AF6524">
        <v>-1.8908693709965501</v>
      </c>
      <c r="AG6524">
        <v>-1.1089115355182999</v>
      </c>
      <c r="AH6524">
        <v>25.940971715219799</v>
      </c>
      <c r="AI6524">
        <v>92.441291759415606</v>
      </c>
      <c r="AJ6524">
        <v>94.168986893885801</v>
      </c>
      <c r="AK6524">
        <v>26.0334224661609</v>
      </c>
      <c r="AL6524">
        <v>91.574533817400606</v>
      </c>
      <c r="AM6524">
        <v>86.574005145263499</v>
      </c>
      <c r="AN6524">
        <v>0.99999998043458704</v>
      </c>
    </row>
    <row r="6525" spans="1:40" x14ac:dyDescent="0.25">
      <c r="A6525" t="str">
        <f>"20190312161444309"</f>
        <v>20190312161444309</v>
      </c>
      <c r="B6525" t="str">
        <f>"1552378484302895"</f>
        <v>1552378484302895</v>
      </c>
      <c r="C6525" t="s">
        <v>40</v>
      </c>
      <c r="D6525">
        <v>4.9474019999999896</v>
      </c>
      <c r="E6525">
        <v>0.45016279999999997</v>
      </c>
      <c r="F6525" t="s">
        <v>109</v>
      </c>
      <c r="G6525">
        <v>-210.6738</v>
      </c>
      <c r="H6525" s="1">
        <v>6.4880160000000002E-7</v>
      </c>
      <c r="I6525">
        <v>-60.733620000000002</v>
      </c>
      <c r="J6525">
        <v>-236.86709999999999</v>
      </c>
      <c r="K6525">
        <v>1.1089089999999999</v>
      </c>
      <c r="L6525">
        <v>-63.382840000000002</v>
      </c>
      <c r="M6525">
        <v>0.99957510000000005</v>
      </c>
      <c r="N6525">
        <v>0</v>
      </c>
      <c r="O6525">
        <v>2.8044400000000001E-2</v>
      </c>
      <c r="P6525">
        <v>0.99885869999999999</v>
      </c>
      <c r="Q6525">
        <v>-3.5552489999999999E-2</v>
      </c>
      <c r="R6525">
        <v>-3.1902130000000001E-2</v>
      </c>
      <c r="S6525">
        <v>3.0084529999999998</v>
      </c>
      <c r="T6525">
        <v>-0.12666330000000001</v>
      </c>
      <c r="U6525">
        <v>0.30303960000000002</v>
      </c>
      <c r="V6525">
        <v>5.9877680000000003E-2</v>
      </c>
      <c r="W6525">
        <v>-2.7668439999999999E-2</v>
      </c>
      <c r="X6525">
        <v>0.99782219999999999</v>
      </c>
      <c r="Y6525">
        <v>-7.2239949999999997E-2</v>
      </c>
      <c r="Z6525">
        <v>3.3948730000000002E-4</v>
      </c>
      <c r="AA6525">
        <v>0.99738720000000003</v>
      </c>
      <c r="AB6525">
        <v>29</v>
      </c>
      <c r="AC6525">
        <v>26.193299999999901</v>
      </c>
      <c r="AD6525">
        <v>-1.1089083511983999</v>
      </c>
      <c r="AE6525">
        <v>2.6492200000000001</v>
      </c>
      <c r="AF6525">
        <v>-1.9101903999856999</v>
      </c>
      <c r="AG6525">
        <v>-1.1089083511983999</v>
      </c>
      <c r="AH6525">
        <v>26.210793161005501</v>
      </c>
      <c r="AI6525">
        <v>92.416185722099499</v>
      </c>
      <c r="AJ6525">
        <v>94.168233268350704</v>
      </c>
      <c r="AK6525">
        <v>26.303691437221602</v>
      </c>
      <c r="AL6525">
        <v>91.585487157191693</v>
      </c>
      <c r="AM6525">
        <v>86.5658920081612</v>
      </c>
      <c r="AN6525">
        <v>1.0000000109735201</v>
      </c>
    </row>
    <row r="6526" spans="1:40" x14ac:dyDescent="0.25">
      <c r="A6526" t="str">
        <f>"20190312161444321"</f>
        <v>20190312161444321</v>
      </c>
      <c r="B6526" t="str">
        <f>"1552378484313240"</f>
        <v>1552378484313240</v>
      </c>
      <c r="C6526" t="s">
        <v>40</v>
      </c>
      <c r="D6526">
        <v>4.973014</v>
      </c>
      <c r="E6526">
        <v>0.45009840000000001</v>
      </c>
      <c r="F6526" t="s">
        <v>109</v>
      </c>
      <c r="G6526">
        <v>-210.44820000000001</v>
      </c>
      <c r="H6526" s="1">
        <v>7.4625180000000002E-7</v>
      </c>
      <c r="I6526">
        <v>-60.731119999999997</v>
      </c>
      <c r="J6526">
        <v>-236.71430000000001</v>
      </c>
      <c r="K6526">
        <v>1.1089</v>
      </c>
      <c r="L6526">
        <v>-63.378779999999999</v>
      </c>
      <c r="M6526">
        <v>0.99958199999999997</v>
      </c>
      <c r="N6526">
        <v>0</v>
      </c>
      <c r="O6526">
        <v>2.7801610000000001E-2</v>
      </c>
      <c r="P6526">
        <v>0.99885389999999996</v>
      </c>
      <c r="Q6526">
        <v>-3.5575990000000002E-2</v>
      </c>
      <c r="R6526">
        <v>-3.2024879999999999E-2</v>
      </c>
      <c r="S6526">
        <v>3.008591</v>
      </c>
      <c r="T6526">
        <v>-0.12628229999999999</v>
      </c>
      <c r="U6526">
        <v>0.3019714</v>
      </c>
      <c r="V6526">
        <v>5.9757780000000003E-2</v>
      </c>
      <c r="W6526">
        <v>-2.7703370000000001E-2</v>
      </c>
      <c r="X6526">
        <v>0.99782839999999995</v>
      </c>
      <c r="Y6526">
        <v>-7.2127230000000001E-2</v>
      </c>
      <c r="Z6526">
        <v>3.4624850000000002E-4</v>
      </c>
      <c r="AA6526">
        <v>0.99739540000000004</v>
      </c>
      <c r="AB6526">
        <v>29</v>
      </c>
      <c r="AC6526">
        <v>26.266099999999899</v>
      </c>
      <c r="AD6526">
        <v>-1.1088992537481901</v>
      </c>
      <c r="AE6526">
        <v>2.6476600000000001</v>
      </c>
      <c r="AF6526">
        <v>-1.9129983404372299</v>
      </c>
      <c r="AG6526">
        <v>-1.1088992537481901</v>
      </c>
      <c r="AH6526">
        <v>26.283183379306902</v>
      </c>
      <c r="AI6526">
        <v>92.409535444685503</v>
      </c>
      <c r="AJ6526">
        <v>94.162882181403702</v>
      </c>
      <c r="AK6526">
        <v>26.376029814127701</v>
      </c>
      <c r="AL6526">
        <v>91.587489295684804</v>
      </c>
      <c r="AM6526">
        <v>86.572773356343504</v>
      </c>
      <c r="AN6526">
        <v>0.99999999241322202</v>
      </c>
    </row>
    <row r="6527" spans="1:40" x14ac:dyDescent="0.25">
      <c r="A6527" t="str">
        <f>"20190312161444332"</f>
        <v>20190312161444332</v>
      </c>
      <c r="B6527" t="str">
        <f>"1552378484322987"</f>
        <v>1552378484322987</v>
      </c>
      <c r="C6527" t="s">
        <v>40</v>
      </c>
      <c r="D6527">
        <v>5.1144069999999999</v>
      </c>
      <c r="E6527">
        <v>0.45009840000000001</v>
      </c>
      <c r="F6527" t="s">
        <v>109</v>
      </c>
      <c r="G6527">
        <v>-210.1181</v>
      </c>
      <c r="H6527" s="1">
        <v>8.9390519999999899E-7</v>
      </c>
      <c r="I6527">
        <v>-60.708269999999999</v>
      </c>
      <c r="J6527">
        <v>-236.56700000000001</v>
      </c>
      <c r="K6527">
        <v>1.108895</v>
      </c>
      <c r="L6527">
        <v>-63.37491</v>
      </c>
      <c r="M6527">
        <v>0.99958840000000004</v>
      </c>
      <c r="N6527">
        <v>0</v>
      </c>
      <c r="O6527">
        <v>2.7567769999999998E-2</v>
      </c>
      <c r="P6527">
        <v>0.99885080000000004</v>
      </c>
      <c r="Q6527">
        <v>-3.5301190000000003E-2</v>
      </c>
      <c r="R6527">
        <v>-3.2419700000000003E-2</v>
      </c>
      <c r="S6527">
        <v>3.008667</v>
      </c>
      <c r="T6527">
        <v>-0.12544330000000001</v>
      </c>
      <c r="U6527">
        <v>0.30209350000000001</v>
      </c>
      <c r="V6527">
        <v>5.991929E-2</v>
      </c>
      <c r="W6527">
        <v>-2.7439700000000001E-2</v>
      </c>
      <c r="X6527">
        <v>0.99782599999999999</v>
      </c>
      <c r="Y6527">
        <v>-7.2398190000000001E-2</v>
      </c>
      <c r="Z6527">
        <v>3.5928519999999902E-4</v>
      </c>
      <c r="AA6527">
        <v>0.99737569999999998</v>
      </c>
      <c r="AB6527">
        <v>29</v>
      </c>
      <c r="AC6527">
        <v>26.448899999999998</v>
      </c>
      <c r="AD6527">
        <v>-1.1088941060948001</v>
      </c>
      <c r="AE6527">
        <v>2.6666400000000001</v>
      </c>
      <c r="AF6527">
        <v>-1.93310248702885</v>
      </c>
      <c r="AG6527">
        <v>-1.1088941060948001</v>
      </c>
      <c r="AH6527">
        <v>26.466308900818198</v>
      </c>
      <c r="AI6527">
        <v>92.392827376812605</v>
      </c>
      <c r="AJ6527">
        <v>94.177472642394505</v>
      </c>
      <c r="AK6527">
        <v>26.5599705985796</v>
      </c>
      <c r="AL6527">
        <v>91.572376371985399</v>
      </c>
      <c r="AM6527">
        <v>86.563524362020999</v>
      </c>
      <c r="AN6527">
        <v>0.999999992363097</v>
      </c>
    </row>
    <row r="6528" spans="1:40" x14ac:dyDescent="0.25">
      <c r="A6528" t="str">
        <f>"20190312161444343"</f>
        <v>20190312161444343</v>
      </c>
      <c r="B6528" t="str">
        <f>"1552378484332749"</f>
        <v>1552378484332749</v>
      </c>
      <c r="C6528" t="s">
        <v>40</v>
      </c>
      <c r="D6528">
        <v>4.9659500000000003</v>
      </c>
      <c r="E6528">
        <v>0.48332449999999999</v>
      </c>
      <c r="F6528" t="s">
        <v>77</v>
      </c>
      <c r="G6528">
        <v>-209.8047</v>
      </c>
      <c r="H6528" s="1">
        <v>-1.407312E-7</v>
      </c>
      <c r="I6528">
        <v>-60.698720000000002</v>
      </c>
      <c r="J6528">
        <v>-236.42779999999999</v>
      </c>
      <c r="K6528">
        <v>1.108892</v>
      </c>
      <c r="L6528">
        <v>-63.371310000000001</v>
      </c>
      <c r="M6528">
        <v>0.9995946</v>
      </c>
      <c r="N6528">
        <v>0</v>
      </c>
      <c r="O6528">
        <v>2.7346680000000002E-2</v>
      </c>
      <c r="P6528">
        <v>0.99884530000000005</v>
      </c>
      <c r="Q6528">
        <v>-3.534491E-2</v>
      </c>
      <c r="R6528">
        <v>-3.2541349999999997E-2</v>
      </c>
      <c r="S6528">
        <v>3.0087739999999998</v>
      </c>
      <c r="T6528">
        <v>-0.12466820000000001</v>
      </c>
      <c r="U6528">
        <v>0.3008728</v>
      </c>
      <c r="V6528">
        <v>5.9819940000000002E-2</v>
      </c>
      <c r="W6528">
        <v>-2.7493429999999999E-2</v>
      </c>
      <c r="X6528">
        <v>0.99783049999999995</v>
      </c>
      <c r="Y6528">
        <v>-7.2215089999999996E-2</v>
      </c>
      <c r="Z6528">
        <v>3.6240369999999999E-4</v>
      </c>
      <c r="AA6528">
        <v>0.99738899999999997</v>
      </c>
      <c r="AB6528">
        <v>29</v>
      </c>
      <c r="AC6528">
        <v>26.623099999999901</v>
      </c>
      <c r="AD6528">
        <v>-1.1088921407312</v>
      </c>
      <c r="AE6528">
        <v>2.67259</v>
      </c>
      <c r="AF6528">
        <v>-1.94018181909083</v>
      </c>
      <c r="AG6528">
        <v>-1.1088921407312</v>
      </c>
      <c r="AH6528">
        <v>26.640475282243099</v>
      </c>
      <c r="AI6528">
        <v>92.377234162491902</v>
      </c>
      <c r="AJ6528">
        <v>94.165402998904199</v>
      </c>
      <c r="AK6528">
        <v>26.734039547638702</v>
      </c>
      <c r="AL6528">
        <v>91.575456007828393</v>
      </c>
      <c r="AM6528">
        <v>86.569224071557301</v>
      </c>
      <c r="AN6528">
        <v>1.0000000103225</v>
      </c>
    </row>
    <row r="6529" spans="1:40" x14ac:dyDescent="0.25">
      <c r="A6529" t="str">
        <f>"20190312161444355"</f>
        <v>20190312161444355</v>
      </c>
      <c r="B6529" t="str">
        <f>"1552378484343484"</f>
        <v>1552378484343484</v>
      </c>
      <c r="C6529" t="s">
        <v>40</v>
      </c>
      <c r="D6529">
        <v>4.9689870000000003</v>
      </c>
      <c r="E6529">
        <v>0.48891889999999999</v>
      </c>
      <c r="F6529" t="s">
        <v>77</v>
      </c>
      <c r="G6529">
        <v>-208.41839999999999</v>
      </c>
      <c r="H6529" s="1">
        <v>-1.346709E-6</v>
      </c>
      <c r="I6529">
        <v>-63.039700000000003</v>
      </c>
      <c r="J6529">
        <v>-236.27969999999999</v>
      </c>
      <c r="K6529">
        <v>1.1088910000000001</v>
      </c>
      <c r="L6529">
        <v>-63.367489999999997</v>
      </c>
      <c r="M6529">
        <v>0.99960119999999997</v>
      </c>
      <c r="N6529">
        <v>0</v>
      </c>
      <c r="O6529">
        <v>2.7111639999999999E-2</v>
      </c>
      <c r="P6529">
        <v>0.99883319999999998</v>
      </c>
      <c r="Q6529">
        <v>-3.5332240000000001E-2</v>
      </c>
      <c r="R6529">
        <v>-3.2927980000000003E-2</v>
      </c>
      <c r="S6529">
        <v>3.0004270000000002</v>
      </c>
      <c r="T6529">
        <v>-0.1187869</v>
      </c>
      <c r="U6529">
        <v>3.5522459999999999E-2</v>
      </c>
      <c r="V6529">
        <v>5.9971400000000001E-2</v>
      </c>
      <c r="W6529">
        <v>-2.7492559999999999E-2</v>
      </c>
      <c r="X6529">
        <v>0.99782150000000003</v>
      </c>
      <c r="Y6529">
        <v>1.524346E-2</v>
      </c>
      <c r="Z6529">
        <v>-1.3744E-3</v>
      </c>
      <c r="AA6529">
        <v>0.99988290000000002</v>
      </c>
      <c r="AB6529">
        <v>29</v>
      </c>
      <c r="AC6529">
        <v>27.8613</v>
      </c>
      <c r="AD6529">
        <v>-1.1088923467089999</v>
      </c>
      <c r="AE6529">
        <v>0.32779000000000003</v>
      </c>
      <c r="AF6529">
        <v>0.42704322791573301</v>
      </c>
      <c r="AG6529">
        <v>-1.1088923467089999</v>
      </c>
      <c r="AH6529">
        <v>27.815888696923899</v>
      </c>
      <c r="AI6529">
        <v>92.2826432820451</v>
      </c>
      <c r="AJ6529">
        <v>89.1204360635749</v>
      </c>
      <c r="AK6529">
        <v>27.841258451348001</v>
      </c>
      <c r="AL6529">
        <v>91.575406035370705</v>
      </c>
      <c r="AM6529">
        <v>86.560527460153594</v>
      </c>
      <c r="AN6529">
        <v>1.00000007776777</v>
      </c>
    </row>
    <row r="6530" spans="1:40" x14ac:dyDescent="0.25">
      <c r="A6530" t="str">
        <f>"20190312161444365"</f>
        <v>20190312161444365</v>
      </c>
      <c r="B6530" t="str">
        <f>"1552378484353243"</f>
        <v>1552378484353243</v>
      </c>
      <c r="C6530" t="s">
        <v>40</v>
      </c>
      <c r="D6530">
        <v>4.9487019999999999</v>
      </c>
      <c r="E6530">
        <v>0.49186760000000002</v>
      </c>
      <c r="F6530" t="s">
        <v>77</v>
      </c>
      <c r="G6530">
        <v>-205.37899999999999</v>
      </c>
      <c r="H6530" s="1">
        <v>-3.3391209999999999E-6</v>
      </c>
      <c r="I6530">
        <v>-63.47439</v>
      </c>
      <c r="J6530">
        <v>-236.1344</v>
      </c>
      <c r="K6530">
        <v>1.108886</v>
      </c>
      <c r="L6530">
        <v>-63.36374</v>
      </c>
      <c r="M6530">
        <v>0.99960740000000003</v>
      </c>
      <c r="N6530">
        <v>0</v>
      </c>
      <c r="O6530">
        <v>2.688084E-2</v>
      </c>
      <c r="P6530">
        <v>0.99883250000000001</v>
      </c>
      <c r="Q6530">
        <v>-3.5024069999999997E-2</v>
      </c>
      <c r="R6530">
        <v>-3.3275190000000003E-2</v>
      </c>
      <c r="S6530">
        <v>2.999374</v>
      </c>
      <c r="T6530">
        <v>-0.1076348</v>
      </c>
      <c r="U6530">
        <v>-1.037598E-2</v>
      </c>
      <c r="V6530">
        <v>6.0088450000000002E-2</v>
      </c>
      <c r="W6530">
        <v>-2.719647E-2</v>
      </c>
      <c r="X6530">
        <v>0.99782249999999995</v>
      </c>
      <c r="Y6530">
        <v>3.0302820000000001E-2</v>
      </c>
      <c r="Z6530">
        <v>-1.5078229999999999E-3</v>
      </c>
      <c r="AA6530">
        <v>0.99953959999999997</v>
      </c>
      <c r="AB6530">
        <v>29</v>
      </c>
      <c r="AC6530">
        <v>30.755399999999899</v>
      </c>
      <c r="AD6530">
        <v>-1.108889339121</v>
      </c>
      <c r="AE6530">
        <v>-0.110649999999999</v>
      </c>
      <c r="AF6530">
        <v>0.93614987081321799</v>
      </c>
      <c r="AG6530">
        <v>-1.108889339121</v>
      </c>
      <c r="AH6530">
        <v>30.701400814626599</v>
      </c>
      <c r="AI6530">
        <v>92.067579776961793</v>
      </c>
      <c r="AJ6530">
        <v>88.253473099442004</v>
      </c>
      <c r="AK6530">
        <v>30.735679984789599</v>
      </c>
      <c r="AL6530">
        <v>91.558435095678206</v>
      </c>
      <c r="AM6530">
        <v>86.553834030885398</v>
      </c>
      <c r="AN6530">
        <v>1.00000000565505</v>
      </c>
    </row>
    <row r="6531" spans="1:40" x14ac:dyDescent="0.25">
      <c r="A6531" t="str">
        <f>"20190312161444376"</f>
        <v>20190312161444376</v>
      </c>
      <c r="B6531" t="str">
        <f>"1552378484372764"</f>
        <v>1552378484372764</v>
      </c>
      <c r="C6531" t="s">
        <v>40</v>
      </c>
      <c r="D6531">
        <v>4.8862829999999997</v>
      </c>
      <c r="E6531">
        <v>0.49448439999999999</v>
      </c>
      <c r="F6531" t="s">
        <v>77</v>
      </c>
      <c r="G6531">
        <v>-203.11420000000001</v>
      </c>
      <c r="H6531" s="1">
        <v>-4.3113039999999998E-6</v>
      </c>
      <c r="I6531">
        <v>-63.750169999999997</v>
      </c>
      <c r="J6531">
        <v>-235.99039999999999</v>
      </c>
      <c r="K6531">
        <v>1.108886</v>
      </c>
      <c r="L6531">
        <v>-63.360109999999999</v>
      </c>
      <c r="M6531">
        <v>0.99961359999999999</v>
      </c>
      <c r="N6531">
        <v>0</v>
      </c>
      <c r="O6531">
        <v>2.6652539999999999E-2</v>
      </c>
      <c r="P6531">
        <v>0.99880899999999995</v>
      </c>
      <c r="Q6531">
        <v>-3.5226670000000002E-2</v>
      </c>
      <c r="R6531">
        <v>-3.3762239999999999E-2</v>
      </c>
      <c r="S6531">
        <v>2.9988250000000001</v>
      </c>
      <c r="T6531">
        <v>-0.1007073</v>
      </c>
      <c r="U6531">
        <v>-3.5095210000000002E-2</v>
      </c>
      <c r="V6531">
        <v>6.0346499999999997E-2</v>
      </c>
      <c r="W6531">
        <v>-2.741203E-2</v>
      </c>
      <c r="X6531">
        <v>0.99780100000000005</v>
      </c>
      <c r="Y6531">
        <v>3.8312949999999998E-2</v>
      </c>
      <c r="Z6531">
        <v>-1.5378670000000001E-3</v>
      </c>
      <c r="AA6531">
        <v>0.99926459999999995</v>
      </c>
      <c r="AB6531">
        <v>29</v>
      </c>
      <c r="AC6531">
        <v>32.876199999999898</v>
      </c>
      <c r="AD6531">
        <v>-1.1088903113040001</v>
      </c>
      <c r="AE6531">
        <v>-0.39005999999999802</v>
      </c>
      <c r="AF6531">
        <v>1.2647443026910501</v>
      </c>
      <c r="AG6531">
        <v>-1.1088903113040001</v>
      </c>
      <c r="AH6531">
        <v>32.816794624774801</v>
      </c>
      <c r="AI6531">
        <v>91.933872374744098</v>
      </c>
      <c r="AJ6531">
        <v>87.792939061207093</v>
      </c>
      <c r="AK6531">
        <v>32.8598725700259</v>
      </c>
      <c r="AL6531">
        <v>91.570790424487498</v>
      </c>
      <c r="AM6531">
        <v>86.5389959664966</v>
      </c>
      <c r="AN6531">
        <v>0.99999997752598502</v>
      </c>
    </row>
    <row r="6532" spans="1:40" x14ac:dyDescent="0.25">
      <c r="A6532" t="str">
        <f>"20190312161444388"</f>
        <v>20190312161444388</v>
      </c>
      <c r="B6532" t="str">
        <f>"1552378484383500"</f>
        <v>1552378484383500</v>
      </c>
      <c r="C6532" t="s">
        <v>40</v>
      </c>
      <c r="D6532">
        <v>4.9714559999999999</v>
      </c>
      <c r="E6532">
        <v>0.49489889999999997</v>
      </c>
      <c r="F6532" t="s">
        <v>77</v>
      </c>
      <c r="G6532">
        <v>-207.09139999999999</v>
      </c>
      <c r="H6532" s="1">
        <v>-2.3115580000000001E-6</v>
      </c>
      <c r="I6532">
        <v>-63.911459999999998</v>
      </c>
      <c r="J6532">
        <v>-235.8365</v>
      </c>
      <c r="K6532">
        <v>1.108881</v>
      </c>
      <c r="L6532">
        <v>-63.356229999999996</v>
      </c>
      <c r="M6532">
        <v>0.99962030000000002</v>
      </c>
      <c r="N6532">
        <v>0</v>
      </c>
      <c r="O6532">
        <v>2.6408399999999999E-2</v>
      </c>
      <c r="P6532">
        <v>0.99880720000000001</v>
      </c>
      <c r="Q6532">
        <v>-3.4958040000000003E-2</v>
      </c>
      <c r="R6532">
        <v>-3.4095569999999999E-2</v>
      </c>
      <c r="S6532">
        <v>2.9976039999999999</v>
      </c>
      <c r="T6532">
        <v>-0.11502130000000001</v>
      </c>
      <c r="U6532">
        <v>-5.7189940000000002E-2</v>
      </c>
      <c r="V6532">
        <v>6.0436230000000001E-2</v>
      </c>
      <c r="W6532">
        <v>-2.7157110000000002E-2</v>
      </c>
      <c r="X6532">
        <v>0.99780259999999998</v>
      </c>
      <c r="Y6532">
        <v>4.541999E-2</v>
      </c>
      <c r="Z6532">
        <v>-1.883869E-3</v>
      </c>
      <c r="AA6532">
        <v>0.99896620000000003</v>
      </c>
      <c r="AB6532">
        <v>29</v>
      </c>
      <c r="AC6532">
        <v>28.745100000000001</v>
      </c>
      <c r="AD6532">
        <v>-1.1088833115579999</v>
      </c>
      <c r="AE6532">
        <v>-0.55522999999999401</v>
      </c>
      <c r="AF6532">
        <v>1.31221988111904</v>
      </c>
      <c r="AG6532">
        <v>-1.1088833115579999</v>
      </c>
      <c r="AH6532">
        <v>28.677750357917599</v>
      </c>
      <c r="AI6532">
        <v>92.212042024019496</v>
      </c>
      <c r="AJ6532">
        <v>87.380120356453403</v>
      </c>
      <c r="AK6532">
        <v>28.729164777384302</v>
      </c>
      <c r="AL6532">
        <v>91.556179050905001</v>
      </c>
      <c r="AM6532">
        <v>86.533867836111895</v>
      </c>
      <c r="AN6532">
        <v>1.0000000375434599</v>
      </c>
    </row>
    <row r="6533" spans="1:40" x14ac:dyDescent="0.25">
      <c r="A6533" t="str">
        <f>"20190312161444399"</f>
        <v>20190312161444399</v>
      </c>
      <c r="B6533" t="str">
        <f>"1552378484393260"</f>
        <v>1552378484393260</v>
      </c>
      <c r="C6533" t="s">
        <v>40</v>
      </c>
      <c r="D6533">
        <v>4.900741</v>
      </c>
      <c r="E6533">
        <v>0.49546649999999998</v>
      </c>
      <c r="F6533" t="s">
        <v>77</v>
      </c>
      <c r="G6533">
        <v>-207.92689999999999</v>
      </c>
      <c r="H6533" s="1">
        <v>-1.782757E-6</v>
      </c>
      <c r="I6533">
        <v>-63.927689999999998</v>
      </c>
      <c r="J6533">
        <v>-235.6918</v>
      </c>
      <c r="K6533">
        <v>1.108878</v>
      </c>
      <c r="L6533">
        <v>-63.352629999999998</v>
      </c>
      <c r="M6533">
        <v>0.99962629999999997</v>
      </c>
      <c r="N6533">
        <v>0</v>
      </c>
      <c r="O6533">
        <v>2.6179750000000002E-2</v>
      </c>
      <c r="P6533">
        <v>0.99879209999999996</v>
      </c>
      <c r="Q6533">
        <v>-3.4741689999999999E-2</v>
      </c>
      <c r="R6533">
        <v>-3.4753390000000002E-2</v>
      </c>
      <c r="S6533">
        <v>2.9972989999999999</v>
      </c>
      <c r="T6533">
        <v>-0.11908630000000001</v>
      </c>
      <c r="U6533">
        <v>-6.1370849999999998E-2</v>
      </c>
      <c r="V6533">
        <v>6.0865240000000001E-2</v>
      </c>
      <c r="W6533">
        <v>-2.6953439999999999E-2</v>
      </c>
      <c r="X6533">
        <v>0.99778199999999995</v>
      </c>
      <c r="Y6533">
        <v>4.658176E-2</v>
      </c>
      <c r="Z6533">
        <v>-1.9645589999999998E-3</v>
      </c>
      <c r="AA6533">
        <v>0.99891260000000004</v>
      </c>
      <c r="AB6533">
        <v>29</v>
      </c>
      <c r="AC6533">
        <v>27.764900000000001</v>
      </c>
      <c r="AD6533">
        <v>-1.1088797827570001</v>
      </c>
      <c r="AE6533">
        <v>-0.57506000000000002</v>
      </c>
      <c r="AF6533">
        <v>1.2996913235271299</v>
      </c>
      <c r="AG6533">
        <v>-1.1088797827570001</v>
      </c>
      <c r="AH6533">
        <v>27.696169566434701</v>
      </c>
      <c r="AI6533">
        <v>92.290226018008298</v>
      </c>
      <c r="AJ6533">
        <v>87.313266088876503</v>
      </c>
      <c r="AK6533">
        <v>27.7488129577062</v>
      </c>
      <c r="AL6533">
        <v>91.544505416292495</v>
      </c>
      <c r="AM6533">
        <v>86.5092520356459</v>
      </c>
      <c r="AN6533">
        <v>0.99999999244604498</v>
      </c>
    </row>
    <row r="6534" spans="1:40" x14ac:dyDescent="0.25">
      <c r="A6534" t="str">
        <f>"20190312161444410"</f>
        <v>20190312161444410</v>
      </c>
      <c r="B6534" t="str">
        <f>"1552378484403019"</f>
        <v>1552378484403019</v>
      </c>
      <c r="C6534" t="s">
        <v>40</v>
      </c>
      <c r="D6534">
        <v>4.9053829999999996</v>
      </c>
      <c r="E6534">
        <v>0.49577850000000001</v>
      </c>
      <c r="F6534" t="s">
        <v>77</v>
      </c>
      <c r="G6534">
        <v>-206.94069999999999</v>
      </c>
      <c r="H6534" s="1">
        <v>-2.420293E-6</v>
      </c>
      <c r="I6534">
        <v>-64.004269999999906</v>
      </c>
      <c r="J6534">
        <v>-235.5438</v>
      </c>
      <c r="K6534">
        <v>1.108876</v>
      </c>
      <c r="L6534">
        <v>-63.348970000000001</v>
      </c>
      <c r="M6534">
        <v>0.99963259999999998</v>
      </c>
      <c r="N6534">
        <v>0</v>
      </c>
      <c r="O6534">
        <v>2.594573E-2</v>
      </c>
      <c r="P6534">
        <v>0.99877740000000004</v>
      </c>
      <c r="Q6534">
        <v>-3.465853E-2</v>
      </c>
      <c r="R6534">
        <v>-3.5249129999999997E-2</v>
      </c>
      <c r="S6534">
        <v>2.9972379999999998</v>
      </c>
      <c r="T6534">
        <v>-0.11559800000000001</v>
      </c>
      <c r="U6534">
        <v>-6.7932129999999993E-2</v>
      </c>
      <c r="V6534">
        <v>6.1127210000000001E-2</v>
      </c>
      <c r="W6534">
        <v>-2.6882779999999998E-2</v>
      </c>
      <c r="X6534">
        <v>0.99776790000000004</v>
      </c>
      <c r="Y6534">
        <v>4.8535969999999998E-2</v>
      </c>
      <c r="Z6534">
        <v>-1.935703E-3</v>
      </c>
      <c r="AA6534">
        <v>0.99881949999999997</v>
      </c>
      <c r="AB6534">
        <v>29</v>
      </c>
      <c r="AC6534">
        <v>28.603100000000001</v>
      </c>
      <c r="AD6534">
        <v>-1.108878420293</v>
      </c>
      <c r="AE6534">
        <v>-0.655299999999996</v>
      </c>
      <c r="AF6534">
        <v>1.3951348029631701</v>
      </c>
      <c r="AG6534">
        <v>-1.108878420293</v>
      </c>
      <c r="AH6534">
        <v>28.533605695566798</v>
      </c>
      <c r="AI6534">
        <v>92.222866758914506</v>
      </c>
      <c r="AJ6534">
        <v>87.200783926631701</v>
      </c>
      <c r="AK6534">
        <v>28.589205418470701</v>
      </c>
      <c r="AL6534">
        <v>91.540455415806704</v>
      </c>
      <c r="AM6534">
        <v>86.494215485193394</v>
      </c>
      <c r="AN6534">
        <v>1.0000000009666601</v>
      </c>
    </row>
    <row r="6535" spans="1:40" x14ac:dyDescent="0.25">
      <c r="A6535" t="str">
        <f>"20190312161444421"</f>
        <v>20190312161444421</v>
      </c>
      <c r="B6535" t="str">
        <f>"1552378484413411"</f>
        <v>1552378484413411</v>
      </c>
      <c r="C6535" t="s">
        <v>40</v>
      </c>
      <c r="D6535">
        <v>4.921996</v>
      </c>
      <c r="E6535">
        <v>0.49607970000000001</v>
      </c>
      <c r="F6535" t="s">
        <v>77</v>
      </c>
      <c r="G6535">
        <v>-207.17250000000001</v>
      </c>
      <c r="H6535" s="1">
        <v>-2.2763929999999999E-6</v>
      </c>
      <c r="I6535">
        <v>-64.029309999999995</v>
      </c>
      <c r="J6535">
        <v>-235.39830000000001</v>
      </c>
      <c r="K6535">
        <v>1.1088720000000001</v>
      </c>
      <c r="L6535">
        <v>-63.34543</v>
      </c>
      <c r="M6535">
        <v>0.99963849999999999</v>
      </c>
      <c r="N6535">
        <v>0</v>
      </c>
      <c r="O6535">
        <v>2.5716960000000001E-2</v>
      </c>
      <c r="P6535">
        <v>0.99878140000000004</v>
      </c>
      <c r="Q6535">
        <v>-3.4412020000000001E-2</v>
      </c>
      <c r="R6535">
        <v>-3.5376970000000001E-2</v>
      </c>
      <c r="S6535">
        <v>2.997055</v>
      </c>
      <c r="T6535">
        <v>-0.1171386</v>
      </c>
      <c r="U6535">
        <v>-7.1868899999999999E-2</v>
      </c>
      <c r="V6535">
        <v>6.1026980000000002E-2</v>
      </c>
      <c r="W6535">
        <v>-2.6646989999999999E-2</v>
      </c>
      <c r="X6535">
        <v>0.99778040000000001</v>
      </c>
      <c r="Y6535">
        <v>4.9617889999999998E-2</v>
      </c>
      <c r="Z6535">
        <v>-1.9737719999999999E-3</v>
      </c>
      <c r="AA6535">
        <v>0.9987663</v>
      </c>
      <c r="AB6535">
        <v>29</v>
      </c>
      <c r="AC6535">
        <v>28.2257999999999</v>
      </c>
      <c r="AD6535">
        <v>-1.108874276393</v>
      </c>
      <c r="AE6535">
        <v>-0.68387999999998705</v>
      </c>
      <c r="AF6535">
        <v>1.4073870418721399</v>
      </c>
      <c r="AG6535">
        <v>-1.108874276393</v>
      </c>
      <c r="AH6535">
        <v>28.155447307536999</v>
      </c>
      <c r="AI6535">
        <v>92.2525621409211</v>
      </c>
      <c r="AJ6535">
        <v>87.138376944722495</v>
      </c>
      <c r="AK6535">
        <v>28.212400704902201</v>
      </c>
      <c r="AL6535">
        <v>91.526940742041504</v>
      </c>
      <c r="AM6535">
        <v>86.499993340777607</v>
      </c>
      <c r="AN6535">
        <v>1.0000000404940601</v>
      </c>
    </row>
    <row r="6536" spans="1:40" x14ac:dyDescent="0.25">
      <c r="A6536" t="str">
        <f>"20190312161444432"</f>
        <v>20190312161444432</v>
      </c>
      <c r="B6536" t="str">
        <f>"1552378484423154"</f>
        <v>1552378484423154</v>
      </c>
      <c r="C6536" t="s">
        <v>40</v>
      </c>
      <c r="D6536">
        <v>4.8900189999999997</v>
      </c>
      <c r="E6536">
        <v>0.49627939999999998</v>
      </c>
      <c r="F6536" t="s">
        <v>77</v>
      </c>
      <c r="G6536">
        <v>-205.90520000000001</v>
      </c>
      <c r="H6536" s="1">
        <v>-3.0890220000000002E-6</v>
      </c>
      <c r="I6536">
        <v>-64.080269999999999</v>
      </c>
      <c r="J6536">
        <v>-235.25299999999999</v>
      </c>
      <c r="K6536">
        <v>1.10887</v>
      </c>
      <c r="L6536">
        <v>-63.341920000000002</v>
      </c>
      <c r="M6536">
        <v>0.99964439999999999</v>
      </c>
      <c r="N6536">
        <v>0</v>
      </c>
      <c r="O6536">
        <v>2.548951E-2</v>
      </c>
      <c r="P6536">
        <v>0.99876339999999997</v>
      </c>
      <c r="Q6536">
        <v>-3.4359689999999998E-2</v>
      </c>
      <c r="R6536">
        <v>-3.5928679999999998E-2</v>
      </c>
      <c r="S6536">
        <v>2.9971619999999999</v>
      </c>
      <c r="T6536">
        <v>-0.1126868</v>
      </c>
      <c r="U6536">
        <v>-7.4676510000000001E-2</v>
      </c>
      <c r="V6536">
        <v>6.1351290000000003E-2</v>
      </c>
      <c r="W6536">
        <v>-2.660641E-2</v>
      </c>
      <c r="X6536">
        <v>0.99776149999999997</v>
      </c>
      <c r="Y6536">
        <v>5.0328749999999998E-2</v>
      </c>
      <c r="Z6536">
        <v>-1.9035359999999999E-3</v>
      </c>
      <c r="AA6536">
        <v>0.99873089999999998</v>
      </c>
      <c r="AB6536">
        <v>29</v>
      </c>
      <c r="AC6536">
        <v>29.3477999999999</v>
      </c>
      <c r="AD6536">
        <v>-1.108873089022</v>
      </c>
      <c r="AE6536">
        <v>-0.73835000000000395</v>
      </c>
      <c r="AF6536">
        <v>1.4840767230490901</v>
      </c>
      <c r="AG6536">
        <v>-1.108873089022</v>
      </c>
      <c r="AH6536">
        <v>29.2776723061247</v>
      </c>
      <c r="AI6536">
        <v>92.166225670613201</v>
      </c>
      <c r="AJ6536">
        <v>87.0981772027327</v>
      </c>
      <c r="AK6536">
        <v>29.336226391822699</v>
      </c>
      <c r="AL6536">
        <v>91.524614998303704</v>
      </c>
      <c r="AM6536">
        <v>86.481373703157601</v>
      </c>
      <c r="AN6536">
        <v>0.999999946359999</v>
      </c>
    </row>
    <row r="6537" spans="1:40" x14ac:dyDescent="0.25">
      <c r="A6537" t="str">
        <f>"20190312161444442"</f>
        <v>20190312161444442</v>
      </c>
      <c r="B6537" t="str">
        <f>"1552378484432915"</f>
        <v>1552378484432915</v>
      </c>
      <c r="C6537" t="s">
        <v>40</v>
      </c>
      <c r="D6537">
        <v>4.9481989999999998</v>
      </c>
      <c r="E6537">
        <v>0.49651139999999999</v>
      </c>
      <c r="F6537" t="s">
        <v>77</v>
      </c>
      <c r="G6537">
        <v>-205.6739</v>
      </c>
      <c r="H6537" s="1">
        <v>-3.2403900000000001E-6</v>
      </c>
      <c r="I6537">
        <v>-64.111450000000005</v>
      </c>
      <c r="J6537">
        <v>-235.10939999999999</v>
      </c>
      <c r="K6537">
        <v>1.108865</v>
      </c>
      <c r="L6537">
        <v>-63.338470000000001</v>
      </c>
      <c r="M6537">
        <v>0.99965020000000004</v>
      </c>
      <c r="N6537">
        <v>0</v>
      </c>
      <c r="O6537">
        <v>2.5266230000000001E-2</v>
      </c>
      <c r="P6537">
        <v>0.99875309999999995</v>
      </c>
      <c r="Q6537">
        <v>-3.4263599999999998E-2</v>
      </c>
      <c r="R6537">
        <v>-3.6310439999999999E-2</v>
      </c>
      <c r="S6537">
        <v>2.997055</v>
      </c>
      <c r="T6537">
        <v>-0.11235489999999999</v>
      </c>
      <c r="U6537">
        <v>-7.7972410000000006E-2</v>
      </c>
      <c r="V6537">
        <v>6.1509679999999997E-2</v>
      </c>
      <c r="W6537">
        <v>-2.6522239999999999E-2</v>
      </c>
      <c r="X6537">
        <v>0.99775400000000003</v>
      </c>
      <c r="Y6537">
        <v>5.1204010000000001E-2</v>
      </c>
      <c r="Z6537">
        <v>-1.906009E-3</v>
      </c>
      <c r="AA6537">
        <v>0.99868639999999997</v>
      </c>
      <c r="AB6537">
        <v>30</v>
      </c>
      <c r="AC6537">
        <v>29.435499999999902</v>
      </c>
      <c r="AD6537">
        <v>-1.1088682403899901</v>
      </c>
      <c r="AE6537">
        <v>-0.77298000000001099</v>
      </c>
      <c r="AF6537">
        <v>1.5143325219173001</v>
      </c>
      <c r="AG6537">
        <v>-1.1088682403899901</v>
      </c>
      <c r="AH6537">
        <v>29.364928045038901</v>
      </c>
      <c r="AI6537">
        <v>92.159688760284396</v>
      </c>
      <c r="AJ6537">
        <v>87.047904550606006</v>
      </c>
      <c r="AK6537">
        <v>29.424849886648499</v>
      </c>
      <c r="AL6537">
        <v>91.519790693292293</v>
      </c>
      <c r="AM6537">
        <v>86.472286161753601</v>
      </c>
      <c r="AN6537">
        <v>0.99999995723215895</v>
      </c>
    </row>
    <row r="6538" spans="1:40" x14ac:dyDescent="0.25">
      <c r="A6538" t="str">
        <f>"20190312161444454"</f>
        <v>20190312161444454</v>
      </c>
      <c r="B6538" t="str">
        <f>"1552378484442676"</f>
        <v>1552378484442676</v>
      </c>
      <c r="C6538" t="s">
        <v>40</v>
      </c>
      <c r="D6538">
        <v>4.9204439999999998</v>
      </c>
      <c r="E6538">
        <v>0.4966952</v>
      </c>
      <c r="F6538" t="s">
        <v>77</v>
      </c>
      <c r="G6538">
        <v>-204.39420000000001</v>
      </c>
      <c r="H6538" s="1">
        <v>-3.8992389999999999E-6</v>
      </c>
      <c r="I6538">
        <v>-64.168840000000003</v>
      </c>
      <c r="J6538">
        <v>-234.95949999999999</v>
      </c>
      <c r="K6538">
        <v>1.108868</v>
      </c>
      <c r="L6538">
        <v>-63.334899999999998</v>
      </c>
      <c r="M6538">
        <v>0.99965610000000005</v>
      </c>
      <c r="N6538">
        <v>0</v>
      </c>
      <c r="O6538">
        <v>2.503594E-2</v>
      </c>
      <c r="P6538">
        <v>0.99873080000000003</v>
      </c>
      <c r="Q6538">
        <v>-3.4290290000000001E-2</v>
      </c>
      <c r="R6538">
        <v>-3.6893490000000001E-2</v>
      </c>
      <c r="S6538">
        <v>2.9970699999999999</v>
      </c>
      <c r="T6538">
        <v>-0.10819910000000001</v>
      </c>
      <c r="U6538">
        <v>-8.1024170000000006E-2</v>
      </c>
      <c r="V6538">
        <v>6.1862350000000003E-2</v>
      </c>
      <c r="W6538">
        <v>-2.6561939999999999E-2</v>
      </c>
      <c r="X6538">
        <v>0.99773120000000004</v>
      </c>
      <c r="Y6538">
        <v>5.1993520000000001E-2</v>
      </c>
      <c r="Z6538">
        <v>-1.841461E-3</v>
      </c>
      <c r="AA6538">
        <v>0.99864569999999997</v>
      </c>
      <c r="AB6538">
        <v>30</v>
      </c>
      <c r="AC6538">
        <v>30.565299999999901</v>
      </c>
      <c r="AD6538">
        <v>-1.1088718992390001</v>
      </c>
      <c r="AE6538">
        <v>-0.83394000000000501</v>
      </c>
      <c r="AF6538">
        <v>1.5968327915854199</v>
      </c>
      <c r="AG6538">
        <v>-1.1088718992390001</v>
      </c>
      <c r="AH6538">
        <v>30.494733876017101</v>
      </c>
      <c r="AI6538">
        <v>92.0796668760279</v>
      </c>
      <c r="AJ6538">
        <v>87.002489236148406</v>
      </c>
      <c r="AK6538">
        <v>30.556640293433901</v>
      </c>
      <c r="AL6538">
        <v>91.522066046142697</v>
      </c>
      <c r="AM6538">
        <v>86.452030419446302</v>
      </c>
      <c r="AN6538">
        <v>1.00000001722876</v>
      </c>
    </row>
    <row r="6539" spans="1:40" x14ac:dyDescent="0.25">
      <c r="A6539" t="str">
        <f>"20190312161444466"</f>
        <v>20190312161444466</v>
      </c>
      <c r="B6539" t="str">
        <f>"1552378484453410"</f>
        <v>1552378484453410</v>
      </c>
      <c r="C6539" t="s">
        <v>40</v>
      </c>
      <c r="D6539">
        <v>4.8662349999999996</v>
      </c>
      <c r="E6539">
        <v>0.49679000000000001</v>
      </c>
      <c r="F6539" t="s">
        <v>77</v>
      </c>
      <c r="G6539">
        <v>-203.66540000000001</v>
      </c>
      <c r="H6539" s="1">
        <v>-4.1585589999999998E-6</v>
      </c>
      <c r="I6539">
        <v>-64.214380000000006</v>
      </c>
      <c r="J6539">
        <v>-234.81010000000001</v>
      </c>
      <c r="K6539">
        <v>1.1088659999999999</v>
      </c>
      <c r="L6539">
        <v>-63.331389999999999</v>
      </c>
      <c r="M6539">
        <v>0.99966189999999999</v>
      </c>
      <c r="N6539">
        <v>0</v>
      </c>
      <c r="O6539">
        <v>2.4808810000000001E-2</v>
      </c>
      <c r="P6539">
        <v>0.99870530000000002</v>
      </c>
      <c r="Q6539">
        <v>-3.4423629999999997E-2</v>
      </c>
      <c r="R6539">
        <v>-3.7453279999999999E-2</v>
      </c>
      <c r="S6539">
        <v>2.9970400000000001</v>
      </c>
      <c r="T6539">
        <v>-0.106197</v>
      </c>
      <c r="U6539">
        <v>-8.4228520000000001E-2</v>
      </c>
      <c r="V6539">
        <v>6.2194739999999998E-2</v>
      </c>
      <c r="W6539">
        <v>-2.670844E-2</v>
      </c>
      <c r="X6539">
        <v>0.9977066</v>
      </c>
      <c r="Y6539">
        <v>5.2835239999999999E-2</v>
      </c>
      <c r="Z6539">
        <v>-1.8142639999999999E-3</v>
      </c>
      <c r="AA6539">
        <v>0.99860159999999998</v>
      </c>
      <c r="AB6539">
        <v>30</v>
      </c>
      <c r="AC6539">
        <v>31.1447</v>
      </c>
      <c r="AD6539">
        <v>-1.108870158559</v>
      </c>
      <c r="AE6539">
        <v>-0.88299000000000605</v>
      </c>
      <c r="AF6539">
        <v>1.6533104670330301</v>
      </c>
      <c r="AG6539">
        <v>-1.108870158559</v>
      </c>
      <c r="AH6539">
        <v>31.073848365663402</v>
      </c>
      <c r="AI6539">
        <v>92.040848262593997</v>
      </c>
      <c r="AJ6539">
        <v>86.954401162201407</v>
      </c>
      <c r="AK6539">
        <v>31.1375509759709</v>
      </c>
      <c r="AL6539">
        <v>91.530462893708503</v>
      </c>
      <c r="AM6539">
        <v>86.432928338134104</v>
      </c>
      <c r="AN6539">
        <v>0.99999999306722998</v>
      </c>
    </row>
    <row r="6540" spans="1:40" x14ac:dyDescent="0.25">
      <c r="A6540" t="str">
        <f>"20190312161444476"</f>
        <v>20190312161444476</v>
      </c>
      <c r="B6540" t="str">
        <f>"1552378484472931"</f>
        <v>1552378484472931</v>
      </c>
      <c r="C6540" t="s">
        <v>40</v>
      </c>
      <c r="D6540">
        <v>4.870476</v>
      </c>
      <c r="E6540">
        <v>0.49701010000000001</v>
      </c>
      <c r="F6540" t="s">
        <v>77</v>
      </c>
      <c r="G6540">
        <v>-204.39660000000001</v>
      </c>
      <c r="H6540" s="1">
        <v>-3.9041740000000004E-6</v>
      </c>
      <c r="I6540">
        <v>-64.210329999999999</v>
      </c>
      <c r="J6540">
        <v>-234.6636</v>
      </c>
      <c r="K6540">
        <v>1.108865</v>
      </c>
      <c r="L6540">
        <v>-63.327969999999901</v>
      </c>
      <c r="M6540">
        <v>0.99966730000000004</v>
      </c>
      <c r="N6540">
        <v>0</v>
      </c>
      <c r="O6540">
        <v>2.459279E-2</v>
      </c>
      <c r="P6540">
        <v>0.99869370000000002</v>
      </c>
      <c r="Q6540">
        <v>-3.4165580000000001E-2</v>
      </c>
      <c r="R6540">
        <v>-3.7995149999999998E-2</v>
      </c>
      <c r="S6540">
        <v>2.9968720000000002</v>
      </c>
      <c r="T6540">
        <v>-0.1092654</v>
      </c>
      <c r="U6540">
        <v>-8.6608889999999994E-2</v>
      </c>
      <c r="V6540">
        <v>6.2521199999999999E-2</v>
      </c>
      <c r="W6540">
        <v>-2.646227E-2</v>
      </c>
      <c r="X6540">
        <v>0.99769280000000005</v>
      </c>
      <c r="Y6540">
        <v>5.3410440000000003E-2</v>
      </c>
      <c r="Z6540">
        <v>-1.8693449999999999E-3</v>
      </c>
      <c r="AA6540">
        <v>0.99857090000000004</v>
      </c>
      <c r="AB6540">
        <v>30</v>
      </c>
      <c r="AC6540">
        <v>30.266999999999999</v>
      </c>
      <c r="AD6540">
        <v>-1.1088689041740001</v>
      </c>
      <c r="AE6540">
        <v>-0.88236000000000503</v>
      </c>
      <c r="AF6540">
        <v>1.62428731270407</v>
      </c>
      <c r="AG6540">
        <v>-1.1088689041740001</v>
      </c>
      <c r="AH6540">
        <v>30.195650290821501</v>
      </c>
      <c r="AI6540">
        <v>92.100083073184905</v>
      </c>
      <c r="AJ6540">
        <v>86.920907528870998</v>
      </c>
      <c r="AK6540">
        <v>30.259629806169901</v>
      </c>
      <c r="AL6540">
        <v>91.516353336830093</v>
      </c>
      <c r="AM6540">
        <v>86.414204045233006</v>
      </c>
      <c r="AN6540">
        <v>1.0000000376774101</v>
      </c>
    </row>
    <row r="6541" spans="1:40" x14ac:dyDescent="0.25">
      <c r="A6541" t="str">
        <f>"20190312161444489"</f>
        <v>20190312161444489</v>
      </c>
      <c r="B6541" t="str">
        <f>"1552378484482690"</f>
        <v>1552378484482690</v>
      </c>
      <c r="C6541" t="s">
        <v>40</v>
      </c>
      <c r="D6541">
        <v>4.9043950000000001</v>
      </c>
      <c r="E6541">
        <v>0.49709419999999999</v>
      </c>
      <c r="F6541" t="s">
        <v>77</v>
      </c>
      <c r="G6541">
        <v>-204.03880000000001</v>
      </c>
      <c r="H6541" s="1">
        <v>-4.0336330000000001E-6</v>
      </c>
      <c r="I6541">
        <v>-64.247979999999998</v>
      </c>
      <c r="J6541">
        <v>-234.50550000000001</v>
      </c>
      <c r="K6541">
        <v>1.108867</v>
      </c>
      <c r="L6541">
        <v>-63.324280000000002</v>
      </c>
      <c r="M6541">
        <v>0.99967309999999998</v>
      </c>
      <c r="N6541">
        <v>0</v>
      </c>
      <c r="O6541">
        <v>2.436199E-2</v>
      </c>
      <c r="P6541">
        <v>0.99865999999999999</v>
      </c>
      <c r="Q6541">
        <v>-3.4271599999999999E-2</v>
      </c>
      <c r="R6541">
        <v>-3.8781290000000003E-2</v>
      </c>
      <c r="S6541">
        <v>2.9967800000000002</v>
      </c>
      <c r="T6541">
        <v>-0.1085079</v>
      </c>
      <c r="U6541">
        <v>-9.002686E-2</v>
      </c>
      <c r="V6541">
        <v>6.307604E-2</v>
      </c>
      <c r="W6541">
        <v>-2.658112E-2</v>
      </c>
      <c r="X6541">
        <v>0.99765470000000001</v>
      </c>
      <c r="Y6541">
        <v>5.4318949999999998E-2</v>
      </c>
      <c r="Z6541">
        <v>-1.8645070000000001E-3</v>
      </c>
      <c r="AA6541">
        <v>0.99852189999999996</v>
      </c>
      <c r="AB6541">
        <v>30</v>
      </c>
      <c r="AC6541">
        <v>30.466699999999999</v>
      </c>
      <c r="AD6541">
        <v>-1.1088710336329901</v>
      </c>
      <c r="AE6541">
        <v>-0.92369999999999597</v>
      </c>
      <c r="AF6541">
        <v>1.66347605853264</v>
      </c>
      <c r="AG6541">
        <v>-1.1088710336329901</v>
      </c>
      <c r="AH6541">
        <v>30.3949265736683</v>
      </c>
      <c r="AI6541">
        <v>92.0862250199432</v>
      </c>
      <c r="AJ6541">
        <v>86.867399264233001</v>
      </c>
      <c r="AK6541">
        <v>30.460602570947799</v>
      </c>
      <c r="AL6541">
        <v>91.523165360673602</v>
      </c>
      <c r="AM6541">
        <v>86.382328497803499</v>
      </c>
      <c r="AN6541">
        <v>1.0000000215973099</v>
      </c>
    </row>
    <row r="6542" spans="1:40" x14ac:dyDescent="0.25">
      <c r="A6542" t="str">
        <f>"20190312161444499"</f>
        <v>20190312161444499</v>
      </c>
      <c r="B6542" t="str">
        <f>"1552378484493426"</f>
        <v>1552378484493426</v>
      </c>
      <c r="C6542" t="s">
        <v>40</v>
      </c>
      <c r="D6542">
        <v>4.8867979999999998</v>
      </c>
      <c r="E6542">
        <v>0.49718230000000002</v>
      </c>
      <c r="F6542" t="s">
        <v>77</v>
      </c>
      <c r="G6542">
        <v>-203.5729</v>
      </c>
      <c r="H6542" s="1">
        <v>-4.2005689999999901E-6</v>
      </c>
      <c r="I6542">
        <v>-64.285359999999997</v>
      </c>
      <c r="J6542">
        <v>-234.3603</v>
      </c>
      <c r="K6542">
        <v>1.1088720000000001</v>
      </c>
      <c r="L6542">
        <v>-63.320950000000003</v>
      </c>
      <c r="M6542">
        <v>0.99967799999999996</v>
      </c>
      <c r="N6542">
        <v>0</v>
      </c>
      <c r="O6542">
        <v>2.4160419999999998E-2</v>
      </c>
      <c r="P6542">
        <v>0.99864450000000005</v>
      </c>
      <c r="Q6542">
        <v>-3.4128279999999997E-2</v>
      </c>
      <c r="R6542">
        <v>-3.9301259999999998E-2</v>
      </c>
      <c r="S6542">
        <v>2.9967350000000001</v>
      </c>
      <c r="T6542">
        <v>-0.10742699999999999</v>
      </c>
      <c r="U6542">
        <v>-9.3109129999999998E-2</v>
      </c>
      <c r="V6542">
        <v>6.3394930000000002E-2</v>
      </c>
      <c r="W6542">
        <v>-2.644765E-2</v>
      </c>
      <c r="X6542">
        <v>0.99763800000000002</v>
      </c>
      <c r="Y6542">
        <v>5.5144739999999998E-2</v>
      </c>
      <c r="Z6542">
        <v>-1.85352E-3</v>
      </c>
      <c r="AA6542">
        <v>0.99847660000000005</v>
      </c>
      <c r="AB6542">
        <v>30</v>
      </c>
      <c r="AC6542">
        <v>30.787399999999899</v>
      </c>
      <c r="AD6542">
        <v>-1.1088762005689901</v>
      </c>
      <c r="AE6542">
        <v>-0.964409999999993</v>
      </c>
      <c r="AF6542">
        <v>1.70577672918486</v>
      </c>
      <c r="AG6542">
        <v>-1.1088762005689901</v>
      </c>
      <c r="AH6542">
        <v>30.715305153050402</v>
      </c>
      <c r="AI6542">
        <v>92.064401597227004</v>
      </c>
      <c r="AJ6542">
        <v>86.821339806044193</v>
      </c>
      <c r="AK6542">
        <v>30.782612808581199</v>
      </c>
      <c r="AL6542">
        <v>91.515515455814395</v>
      </c>
      <c r="AM6542">
        <v>86.364027077762202</v>
      </c>
      <c r="AN6542">
        <v>0.99999998719211303</v>
      </c>
    </row>
    <row r="6543" spans="1:40" x14ac:dyDescent="0.25">
      <c r="A6543" t="str">
        <f>"20190312161444510"</f>
        <v>20190312161444510</v>
      </c>
      <c r="B6543" t="str">
        <f>"1552378484503186"</f>
        <v>1552378484503186</v>
      </c>
      <c r="C6543" t="s">
        <v>40</v>
      </c>
      <c r="D6543">
        <v>4.8768770000000004</v>
      </c>
      <c r="E6543">
        <v>0.49712279999999998</v>
      </c>
      <c r="F6543" t="s">
        <v>77</v>
      </c>
      <c r="G6543">
        <v>-202.94040000000001</v>
      </c>
      <c r="H6543" s="1">
        <v>-4.4329469999999998E-6</v>
      </c>
      <c r="I6543">
        <v>-64.320549999999997</v>
      </c>
      <c r="J6543">
        <v>-234.2072</v>
      </c>
      <c r="K6543">
        <v>1.108878</v>
      </c>
      <c r="L6543">
        <v>-63.317439999999998</v>
      </c>
      <c r="M6543">
        <v>0.99968319999999999</v>
      </c>
      <c r="N6543">
        <v>0</v>
      </c>
      <c r="O6543">
        <v>2.3950869999999999E-2</v>
      </c>
      <c r="P6543">
        <v>0.99864140000000001</v>
      </c>
      <c r="Q6543">
        <v>-3.3903679999999999E-2</v>
      </c>
      <c r="R6543">
        <v>-3.9570929999999997E-2</v>
      </c>
      <c r="S6543">
        <v>2.9966889999999999</v>
      </c>
      <c r="T6543">
        <v>-0.1057599</v>
      </c>
      <c r="U6543">
        <v>-9.5336909999999997E-2</v>
      </c>
      <c r="V6543">
        <v>6.3456380000000007E-2</v>
      </c>
      <c r="W6543">
        <v>-2.6232640000000002E-2</v>
      </c>
      <c r="X6543">
        <v>0.99763979999999997</v>
      </c>
      <c r="Y6543">
        <v>5.5678810000000002E-2</v>
      </c>
      <c r="Z6543">
        <v>-1.826809E-3</v>
      </c>
      <c r="AA6543">
        <v>0.99844710000000003</v>
      </c>
      <c r="AB6543">
        <v>30</v>
      </c>
      <c r="AC6543">
        <v>31.2667999999999</v>
      </c>
      <c r="AD6543">
        <v>-1.108882432947</v>
      </c>
      <c r="AE6543">
        <v>-1.00310999999999</v>
      </c>
      <c r="AF6543">
        <v>1.74951346473321</v>
      </c>
      <c r="AG6543">
        <v>-1.108882432947</v>
      </c>
      <c r="AH6543">
        <v>31.194608529270699</v>
      </c>
      <c r="AI6543">
        <v>92.032658407656598</v>
      </c>
      <c r="AJ6543">
        <v>86.789995373526196</v>
      </c>
      <c r="AK6543">
        <v>31.263301471658899</v>
      </c>
      <c r="AL6543">
        <v>91.5031919694175</v>
      </c>
      <c r="AM6543">
        <v>86.360518672201707</v>
      </c>
      <c r="AN6543">
        <v>1.00000001705405</v>
      </c>
    </row>
    <row r="6544" spans="1:40" x14ac:dyDescent="0.25">
      <c r="A6544" t="str">
        <f>"20190312161444521"</f>
        <v>20190312161444521</v>
      </c>
      <c r="B6544" t="str">
        <f>"1552378484512947"</f>
        <v>1552378484512947</v>
      </c>
      <c r="C6544" t="s">
        <v>40</v>
      </c>
      <c r="D6544">
        <v>4.8596190000000004</v>
      </c>
      <c r="E6544">
        <v>0.4971526</v>
      </c>
      <c r="F6544" t="s">
        <v>77</v>
      </c>
      <c r="G6544">
        <v>-201.77369999999999</v>
      </c>
      <c r="H6544" s="1">
        <v>-5.0293920000000003E-6</v>
      </c>
      <c r="I6544">
        <v>-64.353870000000001</v>
      </c>
      <c r="J6544">
        <v>-234.0634</v>
      </c>
      <c r="K6544">
        <v>1.1088899999999999</v>
      </c>
      <c r="L6544">
        <v>-63.314210000000003</v>
      </c>
      <c r="M6544">
        <v>0.99968789999999996</v>
      </c>
      <c r="N6544">
        <v>0</v>
      </c>
      <c r="O6544">
        <v>2.3762470000000001E-2</v>
      </c>
      <c r="P6544">
        <v>0.99862249999999997</v>
      </c>
      <c r="Q6544">
        <v>-3.4109229999999997E-2</v>
      </c>
      <c r="R6544">
        <v>-3.9872190000000002E-2</v>
      </c>
      <c r="S6544">
        <v>2.996826</v>
      </c>
      <c r="T6544">
        <v>-0.1024598</v>
      </c>
      <c r="U6544">
        <v>-9.5764160000000001E-2</v>
      </c>
      <c r="V6544">
        <v>6.3569349999999997E-2</v>
      </c>
      <c r="W6544">
        <v>-2.6446239999999999E-2</v>
      </c>
      <c r="X6544">
        <v>0.99762700000000004</v>
      </c>
      <c r="Y6544">
        <v>5.5634570000000001E-2</v>
      </c>
      <c r="Z6544">
        <v>-1.7625620000000001E-3</v>
      </c>
      <c r="AA6544">
        <v>0.99844960000000005</v>
      </c>
      <c r="AB6544">
        <v>30</v>
      </c>
      <c r="AC6544">
        <v>32.289700000000003</v>
      </c>
      <c r="AD6544">
        <v>-1.1088950293919999</v>
      </c>
      <c r="AE6544">
        <v>-1.03966</v>
      </c>
      <c r="AF6544">
        <v>1.80454621444028</v>
      </c>
      <c r="AG6544">
        <v>-1.1088950293919999</v>
      </c>
      <c r="AH6544">
        <v>32.217918538114702</v>
      </c>
      <c r="AI6544">
        <v>91.968178818572198</v>
      </c>
      <c r="AJ6544">
        <v>86.794176387685297</v>
      </c>
      <c r="AK6544">
        <v>32.287463668657203</v>
      </c>
      <c r="AL6544">
        <v>91.515434547567907</v>
      </c>
      <c r="AM6544">
        <v>86.354010191822596</v>
      </c>
      <c r="AN6544">
        <v>1.0000000484992699</v>
      </c>
    </row>
    <row r="6545" spans="1:40" x14ac:dyDescent="0.25">
      <c r="A6545" t="str">
        <f>"20190312161444534"</f>
        <v>20190312161444534</v>
      </c>
      <c r="B6545" t="str">
        <f>"1552378484523440"</f>
        <v>1552378484523440</v>
      </c>
      <c r="C6545" t="s">
        <v>40</v>
      </c>
      <c r="D6545">
        <v>4.8084569999999998</v>
      </c>
      <c r="E6545">
        <v>0.49705820000000001</v>
      </c>
      <c r="F6545" t="s">
        <v>77</v>
      </c>
      <c r="G6545">
        <v>-201.40029999999999</v>
      </c>
      <c r="H6545" s="1">
        <v>-5.2206359999999998E-6</v>
      </c>
      <c r="I6545">
        <v>-64.370630000000006</v>
      </c>
      <c r="J6545">
        <v>-233.90700000000001</v>
      </c>
      <c r="K6545">
        <v>1.1088979999999999</v>
      </c>
      <c r="L6545">
        <v>-63.310670000000002</v>
      </c>
      <c r="M6545">
        <v>0.99969249999999998</v>
      </c>
      <c r="N6545">
        <v>0</v>
      </c>
      <c r="O6545">
        <v>2.3564379999999999E-2</v>
      </c>
      <c r="P6545">
        <v>0.9986199</v>
      </c>
      <c r="Q6545">
        <v>-3.4048199999999897E-2</v>
      </c>
      <c r="R6545">
        <v>-3.9987920000000003E-2</v>
      </c>
      <c r="S6545">
        <v>2.9967959999999998</v>
      </c>
      <c r="T6545">
        <v>-0.1017395</v>
      </c>
      <c r="U6545">
        <v>-9.6923830000000002E-2</v>
      </c>
      <c r="V6545">
        <v>6.3488009999999998E-2</v>
      </c>
      <c r="W6545">
        <v>-2.6394049999999999E-2</v>
      </c>
      <c r="X6545">
        <v>0.99763349999999995</v>
      </c>
      <c r="Y6545">
        <v>5.5823680000000001E-2</v>
      </c>
      <c r="Z6545">
        <v>-1.74667299999999E-3</v>
      </c>
      <c r="AA6545">
        <v>0.99843910000000002</v>
      </c>
      <c r="AB6545">
        <v>30</v>
      </c>
      <c r="AC6545">
        <v>32.506700000000002</v>
      </c>
      <c r="AD6545">
        <v>-1.1089032206360001</v>
      </c>
      <c r="AE6545">
        <v>-1.05996000000001</v>
      </c>
      <c r="AF6545">
        <v>1.8235688876037</v>
      </c>
      <c r="AG6545">
        <v>-1.1089032206360001</v>
      </c>
      <c r="AH6545">
        <v>32.434990451589499</v>
      </c>
      <c r="AI6545">
        <v>91.955008295886799</v>
      </c>
      <c r="AJ6545">
        <v>86.782088735545003</v>
      </c>
      <c r="AK6545">
        <v>32.505133062875998</v>
      </c>
      <c r="AL6545">
        <v>91.512443330123901</v>
      </c>
      <c r="AM6545">
        <v>86.358686509993504</v>
      </c>
      <c r="AN6545">
        <v>0.99999998680570601</v>
      </c>
    </row>
    <row r="6546" spans="1:40" x14ac:dyDescent="0.25">
      <c r="A6546" t="str">
        <f>"20190312161444543"</f>
        <v>20190312161444543</v>
      </c>
      <c r="B6546" t="str">
        <f>"1552378484533199"</f>
        <v>1552378484533199</v>
      </c>
      <c r="C6546" t="s">
        <v>40</v>
      </c>
      <c r="D6546">
        <v>4.8271160000000002</v>
      </c>
      <c r="E6546">
        <v>0.49706630000000002</v>
      </c>
      <c r="F6546" t="s">
        <v>77</v>
      </c>
      <c r="G6546">
        <v>-201.40100000000001</v>
      </c>
      <c r="H6546" s="1">
        <v>-5.2195450000000004E-6</v>
      </c>
      <c r="I6546">
        <v>-64.358029999999999</v>
      </c>
      <c r="J6546">
        <v>-233.76400000000001</v>
      </c>
      <c r="K6546">
        <v>1.108908</v>
      </c>
      <c r="L6546">
        <v>-63.307429999999997</v>
      </c>
      <c r="M6546">
        <v>0.99969669999999999</v>
      </c>
      <c r="N6546">
        <v>0</v>
      </c>
      <c r="O6546">
        <v>2.339043E-2</v>
      </c>
      <c r="P6546">
        <v>0.99862340000000005</v>
      </c>
      <c r="Q6546">
        <v>-3.395778E-2</v>
      </c>
      <c r="R6546">
        <v>-3.9976709999999999E-2</v>
      </c>
      <c r="S6546">
        <v>2.9967800000000002</v>
      </c>
      <c r="T6546">
        <v>-0.1022315</v>
      </c>
      <c r="U6546">
        <v>-9.6557619999999997E-2</v>
      </c>
      <c r="V6546">
        <v>6.3304330000000006E-2</v>
      </c>
      <c r="W6546">
        <v>-2.6311999999999999E-2</v>
      </c>
      <c r="X6546">
        <v>0.99764730000000001</v>
      </c>
      <c r="Y6546">
        <v>5.5528059999999997E-2</v>
      </c>
      <c r="Z6546">
        <v>-1.7441570000000001E-3</v>
      </c>
      <c r="AA6546">
        <v>0.9984556</v>
      </c>
      <c r="AB6546">
        <v>30</v>
      </c>
      <c r="AC6546">
        <v>32.363</v>
      </c>
      <c r="AD6546">
        <v>-1.108913219545</v>
      </c>
      <c r="AE6546">
        <v>-1.05059999999999</v>
      </c>
      <c r="AF6546">
        <v>1.8052022933720799</v>
      </c>
      <c r="AG6546">
        <v>-1.108913219545</v>
      </c>
      <c r="AH6546">
        <v>32.291697337306303</v>
      </c>
      <c r="AI6546">
        <v>91.963729495662307</v>
      </c>
      <c r="AJ6546">
        <v>86.800325233881495</v>
      </c>
      <c r="AK6546">
        <v>32.361121129723998</v>
      </c>
      <c r="AL6546">
        <v>91.507740637553695</v>
      </c>
      <c r="AM6546">
        <v>86.369243224549507</v>
      </c>
      <c r="AN6546">
        <v>0.99999994736901798</v>
      </c>
    </row>
    <row r="6547" spans="1:40" x14ac:dyDescent="0.25">
      <c r="A6547" t="str">
        <f>"20190312161444555"</f>
        <v>20190312161444555</v>
      </c>
      <c r="B6547" t="str">
        <f>"1552378484552720"</f>
        <v>1552378484552720</v>
      </c>
      <c r="C6547" t="s">
        <v>40</v>
      </c>
      <c r="D6547">
        <v>4.8591660000000001</v>
      </c>
      <c r="E6547">
        <v>0.49697279999999999</v>
      </c>
      <c r="F6547" t="s">
        <v>77</v>
      </c>
      <c r="G6547">
        <v>-200.92920000000001</v>
      </c>
      <c r="H6547" s="1">
        <v>-5.4603390000000001E-6</v>
      </c>
      <c r="I6547">
        <v>-64.365380000000002</v>
      </c>
      <c r="J6547">
        <v>-233.6112</v>
      </c>
      <c r="K6547">
        <v>1.1089199999999999</v>
      </c>
      <c r="L6547">
        <v>-63.304049999999997</v>
      </c>
      <c r="M6547">
        <v>0.99970079999999995</v>
      </c>
      <c r="N6547">
        <v>0</v>
      </c>
      <c r="O6547">
        <v>2.3215179999999998E-2</v>
      </c>
      <c r="P6547">
        <v>0.99863919999999995</v>
      </c>
      <c r="Q6547">
        <v>-3.3869469999999999E-2</v>
      </c>
      <c r="R6547">
        <v>-3.9659760000000002E-2</v>
      </c>
      <c r="S6547">
        <v>2.996826</v>
      </c>
      <c r="T6547">
        <v>-0.10121040000000001</v>
      </c>
      <c r="U6547">
        <v>-9.6557619999999997E-2</v>
      </c>
      <c r="V6547">
        <v>6.2813419999999995E-2</v>
      </c>
      <c r="W6547">
        <v>-2.623261E-2</v>
      </c>
      <c r="X6547">
        <v>0.99768049999999997</v>
      </c>
      <c r="Y6547">
        <v>5.5353649999999997E-2</v>
      </c>
      <c r="Z6547">
        <v>-1.7178600000000001E-3</v>
      </c>
      <c r="AA6547">
        <v>0.99846539999999995</v>
      </c>
      <c r="AB6547">
        <v>30</v>
      </c>
      <c r="AC6547">
        <v>32.681999999999903</v>
      </c>
      <c r="AD6547">
        <v>-1.108925460339</v>
      </c>
      <c r="AE6547">
        <v>-1.0613300000000001</v>
      </c>
      <c r="AF6547">
        <v>1.81769447822161</v>
      </c>
      <c r="AG6547">
        <v>-1.108925460339</v>
      </c>
      <c r="AH6547">
        <v>32.611046244072703</v>
      </c>
      <c r="AI6547">
        <v>91.944553416027603</v>
      </c>
      <c r="AJ6547">
        <v>86.809713853184505</v>
      </c>
      <c r="AK6547">
        <v>32.680484482727501</v>
      </c>
      <c r="AL6547">
        <v>91.503190233765594</v>
      </c>
      <c r="AM6547">
        <v>86.397444006886204</v>
      </c>
      <c r="AN6547">
        <v>1.00000002781987</v>
      </c>
    </row>
    <row r="6548" spans="1:40" x14ac:dyDescent="0.25">
      <c r="A6548" t="str">
        <f>"20190312161444567"</f>
        <v>20190312161444567</v>
      </c>
      <c r="B6548" t="str">
        <f>"1552378484563455"</f>
        <v>1552378484563455</v>
      </c>
      <c r="C6548" t="s">
        <v>40</v>
      </c>
      <c r="D6548">
        <v>4.7993509999999997</v>
      </c>
      <c r="E6548">
        <v>0.49687569999999998</v>
      </c>
      <c r="F6548" t="s">
        <v>77</v>
      </c>
      <c r="G6548">
        <v>-200.5779</v>
      </c>
      <c r="H6548" s="1">
        <v>-5.6384479999999997E-6</v>
      </c>
      <c r="I6548">
        <v>-64.349850000000004</v>
      </c>
      <c r="J6548">
        <v>-233.45529999999999</v>
      </c>
      <c r="K6548">
        <v>1.1089279999999999</v>
      </c>
      <c r="L6548">
        <v>-63.300569999999901</v>
      </c>
      <c r="M6548">
        <v>0.99970499999999995</v>
      </c>
      <c r="N6548">
        <v>0</v>
      </c>
      <c r="O6548">
        <v>2.3042090000000001E-2</v>
      </c>
      <c r="P6548">
        <v>0.99865910000000002</v>
      </c>
      <c r="Q6548">
        <v>-3.3597219999999997E-2</v>
      </c>
      <c r="R6548">
        <v>-3.9387810000000002E-2</v>
      </c>
      <c r="S6548">
        <v>2.996902</v>
      </c>
      <c r="T6548">
        <v>-0.1006058</v>
      </c>
      <c r="U6548">
        <v>-9.4879149999999995E-2</v>
      </c>
      <c r="V6548">
        <v>6.2370389999999998E-2</v>
      </c>
      <c r="W6548">
        <v>-2.5969699999999998E-2</v>
      </c>
      <c r="X6548">
        <v>0.99771509999999997</v>
      </c>
      <c r="Y6548">
        <v>5.4622339999999998E-2</v>
      </c>
      <c r="Z6548">
        <v>-1.6894989999999999E-3</v>
      </c>
      <c r="AA6548">
        <v>0.99850570000000005</v>
      </c>
      <c r="AB6548">
        <v>30</v>
      </c>
      <c r="AC6548">
        <v>32.877399999999902</v>
      </c>
      <c r="AD6548">
        <v>-1.108933638448</v>
      </c>
      <c r="AE6548">
        <v>-1.04928000000001</v>
      </c>
      <c r="AF6548">
        <v>1.8045368668317301</v>
      </c>
      <c r="AG6548">
        <v>-1.108933638448</v>
      </c>
      <c r="AH6548">
        <v>32.8072062940915</v>
      </c>
      <c r="AI6548">
        <v>91.933027977421105</v>
      </c>
      <c r="AJ6548">
        <v>86.851659229889606</v>
      </c>
      <c r="AK6548">
        <v>32.875505653013398</v>
      </c>
      <c r="AL6548">
        <v>91.488121574096098</v>
      </c>
      <c r="AM6548">
        <v>86.422910753368399</v>
      </c>
      <c r="AN6548">
        <v>0.99999995581742496</v>
      </c>
    </row>
    <row r="6549" spans="1:40" x14ac:dyDescent="0.25">
      <c r="A6549" t="str">
        <f>"20190312161444578"</f>
        <v>20190312161444578</v>
      </c>
      <c r="B6549" t="str">
        <f>"1552378484573215"</f>
        <v>1552378484573215</v>
      </c>
      <c r="C6549" t="s">
        <v>40</v>
      </c>
      <c r="D6549">
        <v>4.835299</v>
      </c>
      <c r="E6549">
        <v>0.49686150000000001</v>
      </c>
      <c r="F6549" t="s">
        <v>77</v>
      </c>
      <c r="G6549">
        <v>-200.3587</v>
      </c>
      <c r="H6549" s="1">
        <v>-5.7489719999999996E-6</v>
      </c>
      <c r="I6549">
        <v>-64.330150000000003</v>
      </c>
      <c r="J6549">
        <v>-233.3143</v>
      </c>
      <c r="K6549">
        <v>1.1089370000000001</v>
      </c>
      <c r="L6549">
        <v>-63.297490000000003</v>
      </c>
      <c r="M6549">
        <v>0.99970840000000005</v>
      </c>
      <c r="N6549">
        <v>0</v>
      </c>
      <c r="O6549">
        <v>2.2897399999999998E-2</v>
      </c>
      <c r="P6549">
        <v>0.99867850000000002</v>
      </c>
      <c r="Q6549">
        <v>-3.344283E-2</v>
      </c>
      <c r="R6549">
        <v>-3.9023830000000002E-2</v>
      </c>
      <c r="S6549">
        <v>2.9969790000000001</v>
      </c>
      <c r="T6549">
        <v>-0.1004168</v>
      </c>
      <c r="U6549">
        <v>-9.32312E-2</v>
      </c>
      <c r="V6549">
        <v>6.1863469999999997E-2</v>
      </c>
      <c r="W6549">
        <v>-2.5823059999999998E-2</v>
      </c>
      <c r="X6549">
        <v>0.99775049999999998</v>
      </c>
      <c r="Y6549">
        <v>5.392914E-2</v>
      </c>
      <c r="Z6549">
        <v>-1.669844E-3</v>
      </c>
      <c r="AA6549">
        <v>0.99854339999999997</v>
      </c>
      <c r="AB6549">
        <v>30</v>
      </c>
      <c r="AC6549">
        <v>32.955599999999997</v>
      </c>
      <c r="AD6549">
        <v>-1.1089427489720001</v>
      </c>
      <c r="AE6549">
        <v>-1.0326599999999999</v>
      </c>
      <c r="AF6549">
        <v>1.7849898385873799</v>
      </c>
      <c r="AG6549">
        <v>-1.1089427489720001</v>
      </c>
      <c r="AH6549">
        <v>32.886112999605501</v>
      </c>
      <c r="AI6549">
        <v>91.928485473926898</v>
      </c>
      <c r="AJ6549">
        <v>86.893152840961207</v>
      </c>
      <c r="AK6549">
        <v>32.9531845345359</v>
      </c>
      <c r="AL6549">
        <v>91.479716851660896</v>
      </c>
      <c r="AM6549">
        <v>86.452034804689205</v>
      </c>
      <c r="AN6549">
        <v>0.999999989799227</v>
      </c>
    </row>
    <row r="6550" spans="1:40" x14ac:dyDescent="0.25">
      <c r="A6550" t="str">
        <f>"20190312161444588"</f>
        <v>20190312161444588</v>
      </c>
      <c r="B6550" t="str">
        <f>"1552378484582975"</f>
        <v>1552378484582975</v>
      </c>
      <c r="C6550" t="s">
        <v>40</v>
      </c>
      <c r="D6550">
        <v>4.8174340000000004</v>
      </c>
      <c r="E6550">
        <v>0.49687520000000002</v>
      </c>
      <c r="F6550" t="s">
        <v>77</v>
      </c>
      <c r="G6550">
        <v>-199.2038</v>
      </c>
      <c r="H6550" s="1">
        <v>-6.2612990000000003E-6</v>
      </c>
      <c r="I6550">
        <v>-64.346059999999994</v>
      </c>
      <c r="J6550">
        <v>-233.15860000000001</v>
      </c>
      <c r="K6550">
        <v>1.1089500000000001</v>
      </c>
      <c r="L6550">
        <v>-63.294069999999998</v>
      </c>
      <c r="M6550">
        <v>0.99971189999999999</v>
      </c>
      <c r="N6550">
        <v>0</v>
      </c>
      <c r="O6550">
        <v>2.2740449999999999E-2</v>
      </c>
      <c r="P6550">
        <v>0.99868659999999998</v>
      </c>
      <c r="Q6550">
        <v>-3.3376669999999997E-2</v>
      </c>
      <c r="R6550">
        <v>-3.8872360000000002E-2</v>
      </c>
      <c r="S6550">
        <v>2.9971009999999998</v>
      </c>
      <c r="T6550">
        <v>-9.7436789999999995E-2</v>
      </c>
      <c r="U6550">
        <v>-9.2132569999999997E-2</v>
      </c>
      <c r="V6550">
        <v>6.155625E-2</v>
      </c>
      <c r="W6550">
        <v>-2.5765650000000001E-2</v>
      </c>
      <c r="X6550">
        <v>0.99777099999999996</v>
      </c>
      <c r="Y6550">
        <v>5.3408299999999999E-2</v>
      </c>
      <c r="Z6550">
        <v>-1.6066959999999999E-3</v>
      </c>
      <c r="AA6550">
        <v>0.99857149999999995</v>
      </c>
      <c r="AB6550">
        <v>30</v>
      </c>
      <c r="AC6550">
        <v>33.954799999999999</v>
      </c>
      <c r="AD6550">
        <v>-1.108956261299</v>
      </c>
      <c r="AE6550">
        <v>-1.05198999999999</v>
      </c>
      <c r="AF6550">
        <v>1.82194661271412</v>
      </c>
      <c r="AG6550">
        <v>-1.108956261299</v>
      </c>
      <c r="AH6550">
        <v>33.885985222471199</v>
      </c>
      <c r="AI6550">
        <v>91.871697092885896</v>
      </c>
      <c r="AJ6550">
        <v>86.922343211526695</v>
      </c>
      <c r="AK6550">
        <v>33.953045046749303</v>
      </c>
      <c r="AL6550">
        <v>91.476426384331106</v>
      </c>
      <c r="AM6550">
        <v>86.469682021971295</v>
      </c>
      <c r="AN6550">
        <v>1.0000000045374899</v>
      </c>
    </row>
    <row r="6551" spans="1:40" x14ac:dyDescent="0.25">
      <c r="A6551" t="str">
        <f>"20190312161444599"</f>
        <v>20190312161444599</v>
      </c>
      <c r="B6551" t="str">
        <f>"1552378484592736"</f>
        <v>1552378484592736</v>
      </c>
      <c r="C6551" t="s">
        <v>40</v>
      </c>
      <c r="D6551">
        <v>4.815372</v>
      </c>
      <c r="E6551">
        <v>0.49686069999999999</v>
      </c>
      <c r="F6551" t="s">
        <v>77</v>
      </c>
      <c r="G6551">
        <v>-198.29910000000001</v>
      </c>
      <c r="H6551" s="1">
        <v>-6.6307330000000002E-6</v>
      </c>
      <c r="I6551">
        <v>-64.362080000000006</v>
      </c>
      <c r="J6551">
        <v>-233.0095</v>
      </c>
      <c r="K6551">
        <v>1.1089580000000001</v>
      </c>
      <c r="L6551">
        <v>-63.29083</v>
      </c>
      <c r="M6551">
        <v>0.99971540000000003</v>
      </c>
      <c r="N6551">
        <v>0</v>
      </c>
      <c r="O6551">
        <v>2.2600579999999999E-2</v>
      </c>
      <c r="P6551">
        <v>0.99869529999999995</v>
      </c>
      <c r="Q6551">
        <v>-3.339926E-2</v>
      </c>
      <c r="R6551">
        <v>-3.8634870000000002E-2</v>
      </c>
      <c r="S6551">
        <v>2.9971920000000001</v>
      </c>
      <c r="T6551">
        <v>-9.5347169999999995E-2</v>
      </c>
      <c r="U6551">
        <v>-9.1827389999999995E-2</v>
      </c>
      <c r="V6551">
        <v>6.1180060000000001E-2</v>
      </c>
      <c r="W6551">
        <v>-2.579557E-2</v>
      </c>
      <c r="X6551">
        <v>0.99779340000000005</v>
      </c>
      <c r="Y6551">
        <v>5.316796E-2</v>
      </c>
      <c r="Z6551">
        <v>-1.563942E-3</v>
      </c>
      <c r="AA6551">
        <v>0.99858429999999998</v>
      </c>
      <c r="AB6551">
        <v>30</v>
      </c>
      <c r="AC6551">
        <v>34.7103999999999</v>
      </c>
      <c r="AD6551">
        <v>-1.1089646307329999</v>
      </c>
      <c r="AE6551">
        <v>-1.07124999999999</v>
      </c>
      <c r="AF6551">
        <v>1.8535841810456699</v>
      </c>
      <c r="AG6551">
        <v>-1.1089646307329999</v>
      </c>
      <c r="AH6551">
        <v>34.641995071645297</v>
      </c>
      <c r="AI6551">
        <v>91.830917469037999</v>
      </c>
      <c r="AJ6551">
        <v>86.937203760211702</v>
      </c>
      <c r="AK6551">
        <v>34.7092696467721</v>
      </c>
      <c r="AL6551">
        <v>91.478141191403196</v>
      </c>
      <c r="AM6551">
        <v>86.491281435419793</v>
      </c>
      <c r="AN6551">
        <v>1.0000000401283899</v>
      </c>
    </row>
    <row r="6552" spans="1:40" x14ac:dyDescent="0.25">
      <c r="A6552" t="str">
        <f>"20190312161444611"</f>
        <v>20190312161444611</v>
      </c>
      <c r="B6552" t="str">
        <f>"1552378484603471"</f>
        <v>1552378484603471</v>
      </c>
      <c r="C6552" t="s">
        <v>40</v>
      </c>
      <c r="D6552">
        <v>4.8199690000000004</v>
      </c>
      <c r="E6552">
        <v>0.49685020000000002</v>
      </c>
      <c r="F6552" t="s">
        <v>77</v>
      </c>
      <c r="G6552">
        <v>-197.58260000000001</v>
      </c>
      <c r="H6552" s="1">
        <v>-6.9227699999999996E-6</v>
      </c>
      <c r="I6552">
        <v>-64.366100000000003</v>
      </c>
      <c r="J6552">
        <v>-232.8588</v>
      </c>
      <c r="K6552">
        <v>1.108965</v>
      </c>
      <c r="L6552">
        <v>-63.28754</v>
      </c>
      <c r="M6552">
        <v>0.99971840000000001</v>
      </c>
      <c r="N6552">
        <v>0</v>
      </c>
      <c r="O6552">
        <v>2.2461709999999999E-2</v>
      </c>
      <c r="P6552">
        <v>0.9986988</v>
      </c>
      <c r="Q6552">
        <v>-3.3467169999999997E-2</v>
      </c>
      <c r="R6552">
        <v>-3.8480859999999999E-2</v>
      </c>
      <c r="S6552">
        <v>2.9972690000000002</v>
      </c>
      <c r="T6552">
        <v>-9.3823309999999993E-2</v>
      </c>
      <c r="U6552">
        <v>-9.0972899999999995E-2</v>
      </c>
      <c r="V6552">
        <v>6.0888060000000001E-2</v>
      </c>
      <c r="W6552">
        <v>-2.5870779999999999E-2</v>
      </c>
      <c r="X6552">
        <v>0.99780930000000001</v>
      </c>
      <c r="Y6552">
        <v>5.2745529999999999E-2</v>
      </c>
      <c r="Z6552">
        <v>-1.527973E-3</v>
      </c>
      <c r="AA6552">
        <v>0.99860680000000002</v>
      </c>
      <c r="AB6552">
        <v>30</v>
      </c>
      <c r="AC6552">
        <v>35.276199999999903</v>
      </c>
      <c r="AD6552">
        <v>-1.1089719227699999</v>
      </c>
      <c r="AE6552">
        <v>-1.07856</v>
      </c>
      <c r="AF6552">
        <v>1.86882966471645</v>
      </c>
      <c r="AG6552">
        <v>-1.1089719227699999</v>
      </c>
      <c r="AH6552">
        <v>35.208309450279401</v>
      </c>
      <c r="AI6552">
        <v>91.801540062879099</v>
      </c>
      <c r="AJ6552">
        <v>86.961635906128294</v>
      </c>
      <c r="AK6552">
        <v>35.275308607974701</v>
      </c>
      <c r="AL6552">
        <v>91.482451866157803</v>
      </c>
      <c r="AM6552">
        <v>86.508041805254095</v>
      </c>
      <c r="AN6552">
        <v>1.00000002613743</v>
      </c>
    </row>
    <row r="6553" spans="1:40" x14ac:dyDescent="0.25">
      <c r="A6553" t="str">
        <f>"20190312161444621"</f>
        <v>20190312161444621</v>
      </c>
      <c r="B6553" t="str">
        <f>"1552378484613231"</f>
        <v>1552378484613231</v>
      </c>
      <c r="C6553" t="s">
        <v>40</v>
      </c>
      <c r="D6553">
        <v>4.8039990000000001</v>
      </c>
      <c r="E6553">
        <v>0.49686639999999999</v>
      </c>
      <c r="F6553" t="s">
        <v>77</v>
      </c>
      <c r="G6553">
        <v>-196.91679999999999</v>
      </c>
      <c r="H6553" s="1">
        <v>-7.1943550000000003E-6</v>
      </c>
      <c r="I6553">
        <v>-64.372929999999997</v>
      </c>
      <c r="J6553">
        <v>-232.7131</v>
      </c>
      <c r="K6553">
        <v>1.10897</v>
      </c>
      <c r="L6553">
        <v>-63.28436</v>
      </c>
      <c r="M6553">
        <v>0.99972139999999998</v>
      </c>
      <c r="N6553">
        <v>0</v>
      </c>
      <c r="O6553">
        <v>2.2333309999999999E-2</v>
      </c>
      <c r="P6553">
        <v>0.99869980000000003</v>
      </c>
      <c r="Q6553">
        <v>-3.3433600000000001E-2</v>
      </c>
      <c r="R6553">
        <v>-3.8483200000000002E-2</v>
      </c>
      <c r="S6553">
        <v>2.9973299999999998</v>
      </c>
      <c r="T6553">
        <v>-9.2481140000000003E-2</v>
      </c>
      <c r="U6553">
        <v>-9.0515139999999994E-2</v>
      </c>
      <c r="V6553">
        <v>6.0762749999999997E-2</v>
      </c>
      <c r="W6553">
        <v>-2.5843830000000002E-2</v>
      </c>
      <c r="X6553">
        <v>0.99781759999999997</v>
      </c>
      <c r="Y6553">
        <v>5.2465530000000003E-2</v>
      </c>
      <c r="Z6553">
        <v>-1.49782E-3</v>
      </c>
      <c r="AA6553">
        <v>0.9986216</v>
      </c>
      <c r="AB6553">
        <v>30</v>
      </c>
      <c r="AC6553">
        <v>35.796300000000002</v>
      </c>
      <c r="AD6553">
        <v>-1.108977194355</v>
      </c>
      <c r="AE6553">
        <v>-1.08857000000001</v>
      </c>
      <c r="AF6553">
        <v>1.8859632356134199</v>
      </c>
      <c r="AG6553">
        <v>-1.108977194355</v>
      </c>
      <c r="AH6553">
        <v>35.728799216622903</v>
      </c>
      <c r="AI6553">
        <v>91.775348456840405</v>
      </c>
      <c r="AJ6553">
        <v>86.9784167754718</v>
      </c>
      <c r="AK6553">
        <v>35.795722945701698</v>
      </c>
      <c r="AL6553">
        <v>91.4809072833378</v>
      </c>
      <c r="AM6553">
        <v>86.515239578704296</v>
      </c>
      <c r="AN6553">
        <v>0.99999998910319499</v>
      </c>
    </row>
    <row r="6554" spans="1:40" x14ac:dyDescent="0.25">
      <c r="A6554" t="str">
        <f>"20190312161444633"</f>
        <v>20190312161444633</v>
      </c>
      <c r="B6554" t="str">
        <f>"1552378484622992"</f>
        <v>1552378484622992</v>
      </c>
      <c r="C6554" t="s">
        <v>40</v>
      </c>
      <c r="D6554">
        <v>4.7712859999999999</v>
      </c>
      <c r="E6554">
        <v>0.49694860000000002</v>
      </c>
      <c r="F6554" t="s">
        <v>77</v>
      </c>
      <c r="G6554">
        <v>-196.20859999999999</v>
      </c>
      <c r="H6554" s="1">
        <v>-7.4836910000000004E-6</v>
      </c>
      <c r="I6554">
        <v>-64.388219999999905</v>
      </c>
      <c r="J6554">
        <v>-232.5574</v>
      </c>
      <c r="K6554">
        <v>1.108976</v>
      </c>
      <c r="L6554">
        <v>-63.281010000000002</v>
      </c>
      <c r="M6554">
        <v>0.99972450000000002</v>
      </c>
      <c r="N6554">
        <v>0</v>
      </c>
      <c r="O6554">
        <v>2.2199179999999999E-2</v>
      </c>
      <c r="P6554">
        <v>0.99869750000000002</v>
      </c>
      <c r="Q6554">
        <v>-3.348719E-2</v>
      </c>
      <c r="R6554">
        <v>-3.8496919999999997E-2</v>
      </c>
      <c r="S6554">
        <v>2.99736</v>
      </c>
      <c r="T6554">
        <v>-9.1057540000000006E-2</v>
      </c>
      <c r="U6554">
        <v>-9.0637209999999996E-2</v>
      </c>
      <c r="V6554">
        <v>6.0643040000000002E-2</v>
      </c>
      <c r="W6554">
        <v>-2.5904150000000001E-2</v>
      </c>
      <c r="X6554">
        <v>0.99782340000000003</v>
      </c>
      <c r="Y6554">
        <v>5.2373059999999999E-2</v>
      </c>
      <c r="Z6554">
        <v>-1.469281E-3</v>
      </c>
      <c r="AA6554">
        <v>0.99862649999999997</v>
      </c>
      <c r="AB6554">
        <v>30</v>
      </c>
      <c r="AC6554">
        <v>36.348799999999997</v>
      </c>
      <c r="AD6554">
        <v>-1.108983483691</v>
      </c>
      <c r="AE6554">
        <v>-1.10720999999999</v>
      </c>
      <c r="AF6554">
        <v>1.91209595124862</v>
      </c>
      <c r="AG6554">
        <v>-1.108983483691</v>
      </c>
      <c r="AH6554">
        <v>36.281521504136997</v>
      </c>
      <c r="AI6554">
        <v>91.748336861233398</v>
      </c>
      <c r="AJ6554">
        <v>86.983208977523901</v>
      </c>
      <c r="AK6554">
        <v>36.348793074172796</v>
      </c>
      <c r="AL6554">
        <v>91.484364401480505</v>
      </c>
      <c r="AM6554">
        <v>86.522108278016105</v>
      </c>
      <c r="AN6554">
        <v>1.0000000704376</v>
      </c>
    </row>
    <row r="6555" spans="1:40" x14ac:dyDescent="0.25">
      <c r="A6555" t="str">
        <f>"20190312161444643"</f>
        <v>20190312161444643</v>
      </c>
      <c r="B6555" t="str">
        <f>"1552378484632752"</f>
        <v>1552378484632752</v>
      </c>
      <c r="C6555" t="s">
        <v>40</v>
      </c>
      <c r="D6555">
        <v>4.7748780000000002</v>
      </c>
      <c r="E6555">
        <v>0.4969884</v>
      </c>
      <c r="F6555" t="s">
        <v>77</v>
      </c>
      <c r="G6555">
        <v>-195.9306</v>
      </c>
      <c r="H6555" s="1">
        <v>-7.5974630000000001E-6</v>
      </c>
      <c r="I6555">
        <v>-64.39752</v>
      </c>
      <c r="J6555">
        <v>-232.41139999999999</v>
      </c>
      <c r="K6555">
        <v>1.108978</v>
      </c>
      <c r="L6555">
        <v>-63.277889999999999</v>
      </c>
      <c r="M6555">
        <v>0.99972720000000004</v>
      </c>
      <c r="N6555">
        <v>0</v>
      </c>
      <c r="O6555">
        <v>2.2076410000000001E-2</v>
      </c>
      <c r="P6555">
        <v>0.99868679999999999</v>
      </c>
      <c r="Q6555">
        <v>-3.3587980000000003E-2</v>
      </c>
      <c r="R6555">
        <v>-3.8687270000000003E-2</v>
      </c>
      <c r="S6555">
        <v>2.9973450000000001</v>
      </c>
      <c r="T6555">
        <v>-9.0753319999999998E-2</v>
      </c>
      <c r="U6555">
        <v>-9.1369629999999993E-2</v>
      </c>
      <c r="V6555">
        <v>6.0710939999999998E-2</v>
      </c>
      <c r="W6555">
        <v>-2.6011059999999999E-2</v>
      </c>
      <c r="X6555">
        <v>0.99781640000000005</v>
      </c>
      <c r="Y6555">
        <v>5.2494600000000002E-2</v>
      </c>
      <c r="Z6555">
        <v>-1.4625009999999999E-3</v>
      </c>
      <c r="AA6555">
        <v>0.99862019999999996</v>
      </c>
      <c r="AB6555">
        <v>30</v>
      </c>
      <c r="AC6555">
        <v>36.480799999999903</v>
      </c>
      <c r="AD6555">
        <v>-1.1089855974630001</v>
      </c>
      <c r="AE6555">
        <v>-1.1196299999999999</v>
      </c>
      <c r="AF6555">
        <v>1.92297027159627</v>
      </c>
      <c r="AG6555">
        <v>-1.1089855974630001</v>
      </c>
      <c r="AH6555">
        <v>36.413572048713299</v>
      </c>
      <c r="AI6555">
        <v>91.741994059451201</v>
      </c>
      <c r="AJ6555">
        <v>86.9770658655234</v>
      </c>
      <c r="AK6555">
        <v>36.481171761165498</v>
      </c>
      <c r="AL6555">
        <v>91.490492091196501</v>
      </c>
      <c r="AM6555">
        <v>86.5181994066633</v>
      </c>
      <c r="AN6555">
        <v>0.99999998079348296</v>
      </c>
    </row>
    <row r="6556" spans="1:40" x14ac:dyDescent="0.25">
      <c r="A6556" t="str">
        <f>"20190312161444656"</f>
        <v>20190312161444656</v>
      </c>
      <c r="B6556" t="str">
        <f>"1552378484643489"</f>
        <v>1552378484643489</v>
      </c>
      <c r="C6556" t="s">
        <v>40</v>
      </c>
      <c r="D6556">
        <v>4.7846399999999996</v>
      </c>
      <c r="E6556">
        <v>0.49704809999999999</v>
      </c>
      <c r="F6556" t="s">
        <v>77</v>
      </c>
      <c r="G6556">
        <v>-195.2345</v>
      </c>
      <c r="H6556" s="1">
        <v>-7.8824419999999992E-6</v>
      </c>
      <c r="I6556">
        <v>-64.422519999999906</v>
      </c>
      <c r="J6556">
        <v>-232.25839999999999</v>
      </c>
      <c r="K6556">
        <v>1.108981</v>
      </c>
      <c r="L6556">
        <v>-63.274659999999997</v>
      </c>
      <c r="M6556">
        <v>0.99973020000000001</v>
      </c>
      <c r="N6556">
        <v>0</v>
      </c>
      <c r="O6556">
        <v>2.195012E-2</v>
      </c>
      <c r="P6556">
        <v>0.99867640000000002</v>
      </c>
      <c r="Q6556">
        <v>-3.3535589999999997E-2</v>
      </c>
      <c r="R6556">
        <v>-3.900381E-2</v>
      </c>
      <c r="S6556">
        <v>2.9973749999999999</v>
      </c>
      <c r="T6556">
        <v>-8.9411500000000005E-2</v>
      </c>
      <c r="U6556">
        <v>-9.2285160000000005E-2</v>
      </c>
      <c r="V6556">
        <v>6.0901169999999998E-2</v>
      </c>
      <c r="W6556">
        <v>-2.5966199999999998E-2</v>
      </c>
      <c r="X6556">
        <v>0.99780599999999997</v>
      </c>
      <c r="Y6556">
        <v>5.2673850000000001E-2</v>
      </c>
      <c r="Z6556">
        <v>-1.4397730000000001E-3</v>
      </c>
      <c r="AA6556">
        <v>0.99861069999999996</v>
      </c>
      <c r="AB6556">
        <v>30</v>
      </c>
      <c r="AC6556">
        <v>37.023899999999998</v>
      </c>
      <c r="AD6556">
        <v>-1.108988882442</v>
      </c>
      <c r="AE6556">
        <v>-1.1478599999999901</v>
      </c>
      <c r="AF6556">
        <v>1.95853042005919</v>
      </c>
      <c r="AG6556">
        <v>-1.108988882442</v>
      </c>
      <c r="AH6556">
        <v>36.9566570844975</v>
      </c>
      <c r="AI6556">
        <v>91.716398789148897</v>
      </c>
      <c r="AJ6556">
        <v>86.966428784707205</v>
      </c>
      <c r="AK6556">
        <v>37.025129312519901</v>
      </c>
      <c r="AL6556">
        <v>91.487920898248404</v>
      </c>
      <c r="AM6556">
        <v>86.507280279101394</v>
      </c>
      <c r="AN6556">
        <v>1.0000000048429001</v>
      </c>
    </row>
    <row r="6557" spans="1:40" x14ac:dyDescent="0.25">
      <c r="A6557" t="str">
        <f>"20190312161444666"</f>
        <v>20190312161444666</v>
      </c>
      <c r="B6557" t="str">
        <f>"1552378484663011"</f>
        <v>1552378484663011</v>
      </c>
      <c r="C6557" t="s">
        <v>40</v>
      </c>
      <c r="D6557">
        <v>4.7951030000000001</v>
      </c>
      <c r="E6557">
        <v>0.4972434</v>
      </c>
      <c r="F6557" t="s">
        <v>77</v>
      </c>
      <c r="G6557">
        <v>-194.42859999999999</v>
      </c>
      <c r="H6557" s="1">
        <v>-8.2126990000000008E-6</v>
      </c>
      <c r="I6557">
        <v>-64.457490000000007</v>
      </c>
      <c r="J6557">
        <v>-232.0993</v>
      </c>
      <c r="K6557">
        <v>1.1089830000000001</v>
      </c>
      <c r="L6557">
        <v>-63.271239999999999</v>
      </c>
      <c r="M6557">
        <v>0.99973290000000004</v>
      </c>
      <c r="N6557">
        <v>0</v>
      </c>
      <c r="O6557">
        <v>2.1820429999999998E-2</v>
      </c>
      <c r="P6557">
        <v>0.99866809999999995</v>
      </c>
      <c r="Q6557">
        <v>-3.3450519999999997E-2</v>
      </c>
      <c r="R6557">
        <v>-3.9285529999999999E-2</v>
      </c>
      <c r="S6557">
        <v>2.9973749999999999</v>
      </c>
      <c r="T6557">
        <v>-8.7868810000000006E-2</v>
      </c>
      <c r="U6557">
        <v>-9.3719479999999994E-2</v>
      </c>
      <c r="V6557">
        <v>6.1053370000000003E-2</v>
      </c>
      <c r="W6557">
        <v>-2.5889450000000001E-2</v>
      </c>
      <c r="X6557">
        <v>0.99779870000000004</v>
      </c>
      <c r="Y6557">
        <v>5.302275E-2</v>
      </c>
      <c r="Z6557">
        <v>-1.4162440000000001E-3</v>
      </c>
      <c r="AA6557">
        <v>0.99859229999999999</v>
      </c>
      <c r="AB6557">
        <v>30</v>
      </c>
      <c r="AC6557">
        <v>37.670699999999997</v>
      </c>
      <c r="AD6557">
        <v>-1.108991212699</v>
      </c>
      <c r="AE6557">
        <v>-1.18625</v>
      </c>
      <c r="AF6557">
        <v>2.0062452444808798</v>
      </c>
      <c r="AG6557">
        <v>-1.108991212699</v>
      </c>
      <c r="AH6557">
        <v>37.603288091818897</v>
      </c>
      <c r="AI6557">
        <v>91.686872152598397</v>
      </c>
      <c r="AJ6557">
        <v>86.945998400894297</v>
      </c>
      <c r="AK6557">
        <v>37.673095928091399</v>
      </c>
      <c r="AL6557">
        <v>91.483521958223406</v>
      </c>
      <c r="AM6557">
        <v>86.498547651151696</v>
      </c>
      <c r="AN6557">
        <v>1.00000001166567</v>
      </c>
    </row>
    <row r="6558" spans="1:40" x14ac:dyDescent="0.25">
      <c r="A6558" t="str">
        <f>"20190312161444678"</f>
        <v>20190312161444678</v>
      </c>
      <c r="B6558" t="str">
        <f>"1552378484672768"</f>
        <v>1552378484672768</v>
      </c>
      <c r="C6558" t="s">
        <v>40</v>
      </c>
      <c r="D6558">
        <v>4.7795880000000004</v>
      </c>
      <c r="E6558">
        <v>0.49726389999999998</v>
      </c>
      <c r="F6558" t="s">
        <v>77</v>
      </c>
      <c r="G6558">
        <v>-193.63059999999999</v>
      </c>
      <c r="H6558" s="1">
        <v>-8.5538749999999995E-6</v>
      </c>
      <c r="I6558">
        <v>-64.505009999999999</v>
      </c>
      <c r="J6558">
        <v>-231.94290000000001</v>
      </c>
      <c r="K6558">
        <v>1.1089850000000001</v>
      </c>
      <c r="L6558">
        <v>-63.267969999999998</v>
      </c>
      <c r="M6558">
        <v>0.99973590000000001</v>
      </c>
      <c r="N6558">
        <v>0</v>
      </c>
      <c r="O6558">
        <v>2.1694129999999999E-2</v>
      </c>
      <c r="P6558">
        <v>0.99866169999999999</v>
      </c>
      <c r="Q6558">
        <v>-3.3515990000000002E-2</v>
      </c>
      <c r="R6558">
        <v>-3.9395640000000003E-2</v>
      </c>
      <c r="S6558">
        <v>2.9973299999999998</v>
      </c>
      <c r="T6558">
        <v>-8.6408139999999994E-2</v>
      </c>
      <c r="U6558">
        <v>-9.6130370000000007E-2</v>
      </c>
      <c r="V6558">
        <v>6.1037429999999997E-2</v>
      </c>
      <c r="W6558">
        <v>-2.5963839999999998E-2</v>
      </c>
      <c r="X6558">
        <v>0.99779770000000001</v>
      </c>
      <c r="Y6558">
        <v>5.3700289999999998E-2</v>
      </c>
      <c r="Z6558">
        <v>-1.3988379999999999E-3</v>
      </c>
      <c r="AA6558">
        <v>0.99855609999999995</v>
      </c>
      <c r="AB6558">
        <v>30</v>
      </c>
      <c r="AC6558">
        <v>38.3123</v>
      </c>
      <c r="AD6558">
        <v>-1.108993553875</v>
      </c>
      <c r="AE6558">
        <v>-1.2370399999999999</v>
      </c>
      <c r="AF6558">
        <v>2.0661953431753899</v>
      </c>
      <c r="AG6558">
        <v>-1.108993553875</v>
      </c>
      <c r="AH6558">
        <v>38.244434724916601</v>
      </c>
      <c r="AI6558">
        <v>91.658552376764604</v>
      </c>
      <c r="AJ6558">
        <v>86.907542379886905</v>
      </c>
      <c r="AK6558">
        <v>38.316260482034302</v>
      </c>
      <c r="AL6558">
        <v>91.4877856872194</v>
      </c>
      <c r="AM6558">
        <v>86.499456047975599</v>
      </c>
      <c r="AN6558">
        <v>0.99999996948691905</v>
      </c>
    </row>
    <row r="6559" spans="1:40" x14ac:dyDescent="0.25">
      <c r="A6559" t="str">
        <f>"20190312161444689"</f>
        <v>20190312161444689</v>
      </c>
      <c r="B6559" t="str">
        <f>"1552378484683504"</f>
        <v>1552378484683504</v>
      </c>
      <c r="C6559" t="s">
        <v>40</v>
      </c>
      <c r="D6559">
        <v>4.7696040000000002</v>
      </c>
      <c r="E6559">
        <v>0.49727729999999998</v>
      </c>
      <c r="F6559" t="s">
        <v>77</v>
      </c>
      <c r="G6559">
        <v>-193.12700000000001</v>
      </c>
      <c r="H6559" s="1">
        <v>-8.7752899999999998E-6</v>
      </c>
      <c r="I6559">
        <v>-64.51961</v>
      </c>
      <c r="J6559">
        <v>-231.79499999999999</v>
      </c>
      <c r="K6559">
        <v>1.1089830000000001</v>
      </c>
      <c r="L6559">
        <v>-63.264859999999999</v>
      </c>
      <c r="M6559">
        <v>0.99973849999999997</v>
      </c>
      <c r="N6559">
        <v>0</v>
      </c>
      <c r="O6559">
        <v>2.1574969999999999E-2</v>
      </c>
      <c r="P6559">
        <v>0.99865380000000004</v>
      </c>
      <c r="Q6559">
        <v>-3.3377469999999999E-2</v>
      </c>
      <c r="R6559">
        <v>-3.971098E-2</v>
      </c>
      <c r="S6559">
        <v>2.9973139999999998</v>
      </c>
      <c r="T6559">
        <v>-8.5635069999999994E-2</v>
      </c>
      <c r="U6559">
        <v>-9.6649170000000006E-2</v>
      </c>
      <c r="V6559">
        <v>6.1233709999999997E-2</v>
      </c>
      <c r="W6559">
        <v>-2.5833910000000002E-2</v>
      </c>
      <c r="X6559">
        <v>0.99778909999999998</v>
      </c>
      <c r="Y6559">
        <v>5.3754669999999997E-2</v>
      </c>
      <c r="Z6559">
        <v>-1.383705E-3</v>
      </c>
      <c r="AA6559">
        <v>0.99855320000000003</v>
      </c>
      <c r="AB6559">
        <v>30</v>
      </c>
      <c r="AC6559">
        <v>38.6679999999999</v>
      </c>
      <c r="AD6559">
        <v>-1.10899177529</v>
      </c>
      <c r="AE6559">
        <v>-1.25475</v>
      </c>
      <c r="AF6559">
        <v>2.0870279818898698</v>
      </c>
      <c r="AG6559">
        <v>-1.10899177529</v>
      </c>
      <c r="AH6559">
        <v>38.600210343304198</v>
      </c>
      <c r="AI6559">
        <v>91.643267699369503</v>
      </c>
      <c r="AJ6559">
        <v>86.905157348421696</v>
      </c>
      <c r="AK6559">
        <v>38.672493934347997</v>
      </c>
      <c r="AL6559">
        <v>91.480338669010493</v>
      </c>
      <c r="AM6559">
        <v>86.488197171549501</v>
      </c>
      <c r="AN6559">
        <v>1.0000000231125299</v>
      </c>
    </row>
    <row r="6560" spans="1:40" x14ac:dyDescent="0.25">
      <c r="A6560" t="str">
        <f>"20190312161444700"</f>
        <v>20190312161444700</v>
      </c>
      <c r="B6560" t="str">
        <f>"1552378484693263"</f>
        <v>1552378484693263</v>
      </c>
      <c r="C6560" t="s">
        <v>40</v>
      </c>
      <c r="D6560">
        <v>4.7655139999999996</v>
      </c>
      <c r="E6560">
        <v>0.49733640000000001</v>
      </c>
      <c r="F6560" t="s">
        <v>77</v>
      </c>
      <c r="G6560">
        <v>-192.30760000000001</v>
      </c>
      <c r="H6560" s="1">
        <v>-9.1363560000000008E-6</v>
      </c>
      <c r="I6560">
        <v>-64.552599999999998</v>
      </c>
      <c r="J6560">
        <v>-231.64</v>
      </c>
      <c r="K6560">
        <v>1.108981</v>
      </c>
      <c r="L6560">
        <v>-63.261659999999999</v>
      </c>
      <c r="M6560">
        <v>0.99974110000000005</v>
      </c>
      <c r="N6560">
        <v>0</v>
      </c>
      <c r="O6560">
        <v>2.1450739999999999E-2</v>
      </c>
      <c r="P6560">
        <v>0.99865510000000002</v>
      </c>
      <c r="Q6560">
        <v>-3.3397019999999999E-2</v>
      </c>
      <c r="R6560">
        <v>-3.9657959999999999E-2</v>
      </c>
      <c r="S6560">
        <v>2.9973450000000001</v>
      </c>
      <c r="T6560">
        <v>-8.4179519999999994E-2</v>
      </c>
      <c r="U6560">
        <v>-9.7747799999999996E-2</v>
      </c>
      <c r="V6560">
        <v>6.1056829999999999E-2</v>
      </c>
      <c r="W6560">
        <v>-2.5861660000000002E-2</v>
      </c>
      <c r="X6560">
        <v>0.9977992</v>
      </c>
      <c r="Y6560">
        <v>5.3996889999999999E-2</v>
      </c>
      <c r="Z6560">
        <v>-1.3600859999999999E-3</v>
      </c>
      <c r="AA6560">
        <v>0.99854019999999999</v>
      </c>
      <c r="AB6560">
        <v>31</v>
      </c>
      <c r="AC6560">
        <v>39.3323999999999</v>
      </c>
      <c r="AD6560">
        <v>-1.108990136356</v>
      </c>
      <c r="AE6560">
        <v>-1.29093999999999</v>
      </c>
      <c r="AF6560">
        <v>2.1326827222345699</v>
      </c>
      <c r="AG6560">
        <v>-1.108990136356</v>
      </c>
      <c r="AH6560">
        <v>39.26447616966</v>
      </c>
      <c r="AI6560">
        <v>91.615458171225598</v>
      </c>
      <c r="AJ6560">
        <v>86.890987032141098</v>
      </c>
      <c r="AK6560">
        <v>39.3379877928962</v>
      </c>
      <c r="AL6560">
        <v>91.481929188459503</v>
      </c>
      <c r="AM6560">
        <v>86.498351461843399</v>
      </c>
      <c r="AN6560">
        <v>1.00000000273412</v>
      </c>
    </row>
    <row r="6561" spans="1:40" x14ac:dyDescent="0.25">
      <c r="A6561" t="str">
        <f>"20190312161444711"</f>
        <v>20190312161444711</v>
      </c>
      <c r="B6561" t="str">
        <f>"1552378484703023"</f>
        <v>1552378484703023</v>
      </c>
      <c r="C6561" t="s">
        <v>40</v>
      </c>
      <c r="D6561">
        <v>4.7794530000000002</v>
      </c>
      <c r="E6561">
        <v>0.4972085</v>
      </c>
      <c r="F6561" t="s">
        <v>77</v>
      </c>
      <c r="G6561">
        <v>-191.73750000000001</v>
      </c>
      <c r="H6561" s="1">
        <v>-9.386766E-6</v>
      </c>
      <c r="I6561">
        <v>-64.566599999999994</v>
      </c>
      <c r="J6561">
        <v>-231.49340000000001</v>
      </c>
      <c r="K6561">
        <v>1.108981</v>
      </c>
      <c r="L6561">
        <v>-63.258609999999997</v>
      </c>
      <c r="M6561">
        <v>0.99974370000000001</v>
      </c>
      <c r="N6561">
        <v>0</v>
      </c>
      <c r="O6561">
        <v>2.1332710000000001E-2</v>
      </c>
      <c r="P6561">
        <v>0.99865680000000001</v>
      </c>
      <c r="Q6561">
        <v>-3.3087230000000002E-2</v>
      </c>
      <c r="R6561">
        <v>-3.9872949999999997E-2</v>
      </c>
      <c r="S6561">
        <v>2.9973299999999998</v>
      </c>
      <c r="T6561">
        <v>-8.3303210000000003E-2</v>
      </c>
      <c r="U6561">
        <v>-9.8022460000000006E-2</v>
      </c>
      <c r="V6561">
        <v>6.115437E-2</v>
      </c>
      <c r="W6561">
        <v>-2.5559539999999999E-2</v>
      </c>
      <c r="X6561">
        <v>0.99780100000000005</v>
      </c>
      <c r="Y6561">
        <v>5.397122E-2</v>
      </c>
      <c r="Z6561">
        <v>-1.342303E-3</v>
      </c>
      <c r="AA6561">
        <v>0.99854160000000003</v>
      </c>
      <c r="AB6561">
        <v>31</v>
      </c>
      <c r="AC6561">
        <v>39.755899999999997</v>
      </c>
      <c r="AD6561">
        <v>-1.108990386766</v>
      </c>
      <c r="AE6561">
        <v>-1.30798999999999</v>
      </c>
      <c r="AF6561">
        <v>2.15414338216531</v>
      </c>
      <c r="AG6561">
        <v>-1.108990386766</v>
      </c>
      <c r="AH6561">
        <v>39.688099406286298</v>
      </c>
      <c r="AI6561">
        <v>91.598227804140805</v>
      </c>
      <c r="AJ6561">
        <v>86.893216371162794</v>
      </c>
      <c r="AK6561">
        <v>39.761984707407798</v>
      </c>
      <c r="AL6561">
        <v>91.464613280081494</v>
      </c>
      <c r="AM6561">
        <v>86.492777743312899</v>
      </c>
      <c r="AN6561">
        <v>0.99999999132805395</v>
      </c>
    </row>
    <row r="6562" spans="1:40" x14ac:dyDescent="0.25">
      <c r="A6562" t="str">
        <f>"20190312161444722"</f>
        <v>20190312161444722</v>
      </c>
      <c r="B6562" t="str">
        <f>"1552378484712784"</f>
        <v>1552378484712784</v>
      </c>
      <c r="C6562" t="s">
        <v>40</v>
      </c>
      <c r="D6562">
        <v>4.7667000000000002</v>
      </c>
      <c r="E6562">
        <v>0.4972085</v>
      </c>
      <c r="F6562" t="s">
        <v>77</v>
      </c>
      <c r="G6562">
        <v>-191.02350000000001</v>
      </c>
      <c r="H6562" s="1">
        <v>-9.6998289999999992E-6</v>
      </c>
      <c r="I6562">
        <v>-64.577539999999999</v>
      </c>
      <c r="J6562">
        <v>-231.33779999999999</v>
      </c>
      <c r="K6562">
        <v>1.108975</v>
      </c>
      <c r="L6562">
        <v>-63.255400000000002</v>
      </c>
      <c r="M6562">
        <v>0.99974640000000004</v>
      </c>
      <c r="N6562">
        <v>0</v>
      </c>
      <c r="O6562">
        <v>2.1207159999999999E-2</v>
      </c>
      <c r="P6562">
        <v>0.99866829999999995</v>
      </c>
      <c r="Q6562">
        <v>-3.2925370000000002E-2</v>
      </c>
      <c r="R6562">
        <v>-3.9717349999999998E-2</v>
      </c>
      <c r="S6562">
        <v>2.9974059999999998</v>
      </c>
      <c r="T6562">
        <v>-8.2137349999999998E-2</v>
      </c>
      <c r="U6562">
        <v>-9.7686770000000006E-2</v>
      </c>
      <c r="V6562">
        <v>6.0873950000000003E-2</v>
      </c>
      <c r="W6562">
        <v>-2.540473E-2</v>
      </c>
      <c r="X6562">
        <v>0.99782210000000005</v>
      </c>
      <c r="Y6562">
        <v>5.3734219999999999E-2</v>
      </c>
      <c r="Z6562">
        <v>-1.3168069999999999E-3</v>
      </c>
      <c r="AA6562">
        <v>0.99855439999999995</v>
      </c>
      <c r="AB6562">
        <v>31</v>
      </c>
      <c r="AC6562">
        <v>40.314299999999903</v>
      </c>
      <c r="AD6562">
        <v>-1.1089846998289901</v>
      </c>
      <c r="AE6562">
        <v>-1.3221399999999901</v>
      </c>
      <c r="AF6562">
        <v>2.1751747617622001</v>
      </c>
      <c r="AG6562">
        <v>-1.1089846998289901</v>
      </c>
      <c r="AH6562">
        <v>40.246770621045698</v>
      </c>
      <c r="AI6562">
        <v>91.576065403300206</v>
      </c>
      <c r="AJ6562">
        <v>86.906405187592796</v>
      </c>
      <c r="AK6562">
        <v>40.320761125402001</v>
      </c>
      <c r="AL6562">
        <v>91.455740440115406</v>
      </c>
      <c r="AM6562">
        <v>86.5088936920679</v>
      </c>
      <c r="AN6562">
        <v>0.99999999067169199</v>
      </c>
    </row>
    <row r="6563" spans="1:40" x14ac:dyDescent="0.25">
      <c r="A6563" t="str">
        <f>"20190312161444734"</f>
        <v>20190312161444734</v>
      </c>
      <c r="B6563" t="str">
        <f>"1552378484722544"</f>
        <v>1552378484722544</v>
      </c>
      <c r="C6563" t="s">
        <v>40</v>
      </c>
      <c r="D6563">
        <v>4.8030860000000004</v>
      </c>
      <c r="E6563">
        <v>0.48010219999999998</v>
      </c>
      <c r="F6563" t="s">
        <v>77</v>
      </c>
      <c r="G6563">
        <v>-190.624</v>
      </c>
      <c r="H6563" s="1">
        <v>-9.8742960000000004E-6</v>
      </c>
      <c r="I6563">
        <v>-64.576040000000006</v>
      </c>
      <c r="J6563">
        <v>-231.1825</v>
      </c>
      <c r="K6563">
        <v>1.1089739999999999</v>
      </c>
      <c r="L6563">
        <v>-63.252229999999997</v>
      </c>
      <c r="M6563">
        <v>0.99974909999999995</v>
      </c>
      <c r="N6563">
        <v>0</v>
      </c>
      <c r="O6563">
        <v>2.1081430000000002E-2</v>
      </c>
      <c r="P6563">
        <v>0.99868170000000001</v>
      </c>
      <c r="Q6563">
        <v>-3.2733770000000002E-2</v>
      </c>
      <c r="R6563">
        <v>-3.9540899999999997E-2</v>
      </c>
      <c r="S6563">
        <v>2.997452</v>
      </c>
      <c r="T6563">
        <v>-8.1646319999999994E-2</v>
      </c>
      <c r="U6563">
        <v>-9.7228999999999996E-2</v>
      </c>
      <c r="V6563">
        <v>6.0572309999999997E-2</v>
      </c>
      <c r="W6563">
        <v>-2.521965E-2</v>
      </c>
      <c r="X6563">
        <v>0.99784519999999999</v>
      </c>
      <c r="Y6563">
        <v>5.3456299999999998E-2</v>
      </c>
      <c r="Z6563">
        <v>-1.3017149999999999E-3</v>
      </c>
      <c r="AA6563">
        <v>0.99856940000000005</v>
      </c>
      <c r="AB6563">
        <v>31</v>
      </c>
      <c r="AC6563">
        <v>40.558499999999903</v>
      </c>
      <c r="AD6563">
        <v>-1.1089838742960001</v>
      </c>
      <c r="AE6563">
        <v>-1.3238099999999999</v>
      </c>
      <c r="AF6563">
        <v>2.17694564525162</v>
      </c>
      <c r="AG6563">
        <v>-1.1089838742960001</v>
      </c>
      <c r="AH6563">
        <v>40.491336914053903</v>
      </c>
      <c r="AI6563">
        <v>91.566573405962103</v>
      </c>
      <c r="AJ6563">
        <v>86.922555820723005</v>
      </c>
      <c r="AK6563">
        <v>40.564976305468903</v>
      </c>
      <c r="AL6563">
        <v>91.445132668046398</v>
      </c>
      <c r="AM6563">
        <v>86.526230427321806</v>
      </c>
      <c r="AN6563">
        <v>1.0000000393239401</v>
      </c>
    </row>
    <row r="6564" spans="1:40" x14ac:dyDescent="0.25">
      <c r="A6564" t="str">
        <f>"20190312161444744"</f>
        <v>20190312161444744</v>
      </c>
      <c r="B6564" t="str">
        <f>"1552378484733279"</f>
        <v>1552378484733279</v>
      </c>
      <c r="C6564" t="s">
        <v>40</v>
      </c>
      <c r="D6564">
        <v>4.7963630000000004</v>
      </c>
      <c r="E6564">
        <v>0.48064259999999898</v>
      </c>
      <c r="F6564" t="s">
        <v>59</v>
      </c>
      <c r="G6564">
        <v>-157.3501</v>
      </c>
      <c r="H6564">
        <v>1.1622889999999999</v>
      </c>
      <c r="I6564">
        <v>-62.315119999999901</v>
      </c>
      <c r="J6564">
        <v>-231.0307</v>
      </c>
      <c r="K6564">
        <v>1.108975</v>
      </c>
      <c r="L6564">
        <v>-63.24915</v>
      </c>
      <c r="M6564">
        <v>0.99975170000000002</v>
      </c>
      <c r="N6564">
        <v>0</v>
      </c>
      <c r="O6564">
        <v>2.0958020000000001E-2</v>
      </c>
      <c r="P6564">
        <v>0.99868880000000004</v>
      </c>
      <c r="Q6564">
        <v>-3.268132E-2</v>
      </c>
      <c r="R6564">
        <v>-3.9401890000000002E-2</v>
      </c>
      <c r="S6564">
        <v>3.0055239999999999</v>
      </c>
      <c r="T6564">
        <v>2.16949E-3</v>
      </c>
      <c r="U6564">
        <v>3.8146970000000002E-2</v>
      </c>
      <c r="V6564">
        <v>6.0310669999999997E-2</v>
      </c>
      <c r="W6564">
        <v>-2.517322E-2</v>
      </c>
      <c r="X6564">
        <v>0.99786220000000003</v>
      </c>
      <c r="Y6564">
        <v>8.2684460000000005E-3</v>
      </c>
      <c r="Z6564" s="1">
        <v>1.811081E-5</v>
      </c>
      <c r="AA6564">
        <v>0.99996580000000002</v>
      </c>
      <c r="AB6564">
        <v>31</v>
      </c>
      <c r="AC6564">
        <v>73.680599999999998</v>
      </c>
      <c r="AD6564">
        <v>5.3313999999999799E-2</v>
      </c>
      <c r="AE6564">
        <v>0.93403000000000702</v>
      </c>
      <c r="AF6564">
        <v>0.61041857718843096</v>
      </c>
      <c r="AG6564">
        <v>5.3313999999999799E-2</v>
      </c>
      <c r="AH6564">
        <v>73.683953020998999</v>
      </c>
      <c r="AI6564">
        <v>89.958545087277997</v>
      </c>
      <c r="AJ6564">
        <v>89.525356516331399</v>
      </c>
      <c r="AK6564">
        <v>73.686500704150404</v>
      </c>
      <c r="AL6564">
        <v>91.442471609508004</v>
      </c>
      <c r="AM6564">
        <v>86.541257531308304</v>
      </c>
      <c r="AN6564">
        <v>1.0000000190549201</v>
      </c>
    </row>
    <row r="6565" spans="1:40" x14ac:dyDescent="0.25">
      <c r="A6565" t="str">
        <f>"20190312161444756"</f>
        <v>20190312161444756</v>
      </c>
      <c r="B6565" t="str">
        <f>"1552378484752800"</f>
        <v>1552378484752800</v>
      </c>
      <c r="C6565" t="s">
        <v>40</v>
      </c>
      <c r="D6565">
        <v>4.7729869999999996</v>
      </c>
      <c r="E6565">
        <v>0.4812555</v>
      </c>
      <c r="F6565" t="s">
        <v>59</v>
      </c>
      <c r="G6565">
        <v>-157.3501</v>
      </c>
      <c r="H6565">
        <v>1.3502879999999999</v>
      </c>
      <c r="I6565">
        <v>-62.41348</v>
      </c>
      <c r="J6565">
        <v>-230.87350000000001</v>
      </c>
      <c r="K6565">
        <v>1.108968</v>
      </c>
      <c r="L6565">
        <v>-63.2459699999999</v>
      </c>
      <c r="M6565">
        <v>0.99975460000000005</v>
      </c>
      <c r="N6565">
        <v>0</v>
      </c>
      <c r="O6565">
        <v>2.0829779999999999E-2</v>
      </c>
      <c r="P6565">
        <v>0.99870809999999999</v>
      </c>
      <c r="Q6565">
        <v>-3.2553470000000001E-2</v>
      </c>
      <c r="R6565">
        <v>-3.9022729999999999E-2</v>
      </c>
      <c r="S6565">
        <v>3.005585</v>
      </c>
      <c r="T6565">
        <v>9.8428730000000002E-3</v>
      </c>
      <c r="U6565">
        <v>3.4088130000000001E-2</v>
      </c>
      <c r="V6565">
        <v>5.980386E-2</v>
      </c>
      <c r="W6565">
        <v>-2.5052310000000001E-2</v>
      </c>
      <c r="X6565">
        <v>0.99789570000000005</v>
      </c>
      <c r="Y6565">
        <v>9.4904670000000007E-3</v>
      </c>
      <c r="Z6565" s="1">
        <v>8.3747949999999995E-5</v>
      </c>
      <c r="AA6565">
        <v>0.99995489999999998</v>
      </c>
      <c r="AB6565">
        <v>31</v>
      </c>
      <c r="AC6565">
        <v>73.523399999999995</v>
      </c>
      <c r="AD6565">
        <v>0.24132000000000001</v>
      </c>
      <c r="AE6565">
        <v>0.83248999999998496</v>
      </c>
      <c r="AF6565">
        <v>0.69920288722171897</v>
      </c>
      <c r="AG6565">
        <v>0.24132000000000001</v>
      </c>
      <c r="AH6565">
        <v>73.523996311949901</v>
      </c>
      <c r="AI6565">
        <v>89.811953329759504</v>
      </c>
      <c r="AJ6565">
        <v>89.455141602013398</v>
      </c>
      <c r="AK6565">
        <v>73.527716907976497</v>
      </c>
      <c r="AL6565">
        <v>91.435541856144098</v>
      </c>
      <c r="AM6565">
        <v>86.570367648432196</v>
      </c>
      <c r="AN6565">
        <v>0.999999973992862</v>
      </c>
    </row>
    <row r="6566" spans="1:40" x14ac:dyDescent="0.25">
      <c r="A6566" t="str">
        <f>"20190312161444767"</f>
        <v>20190312161444767</v>
      </c>
      <c r="B6566" t="str">
        <f>"1552378484762560"</f>
        <v>1552378484762560</v>
      </c>
      <c r="C6566" t="s">
        <v>40</v>
      </c>
      <c r="D6566">
        <v>4.726483</v>
      </c>
      <c r="E6566">
        <v>0.48447509999999999</v>
      </c>
      <c r="F6566" t="s">
        <v>59</v>
      </c>
      <c r="G6566">
        <v>-157.3501</v>
      </c>
      <c r="H6566">
        <v>1.370954</v>
      </c>
      <c r="I6566">
        <v>-62.502380000000002</v>
      </c>
      <c r="J6566">
        <v>-230.71610000000001</v>
      </c>
      <c r="K6566">
        <v>1.108965</v>
      </c>
      <c r="L6566">
        <v>-63.242829999999998</v>
      </c>
      <c r="M6566">
        <v>0.99975720000000001</v>
      </c>
      <c r="N6566">
        <v>0</v>
      </c>
      <c r="O6566">
        <v>2.0701190000000001E-2</v>
      </c>
      <c r="P6566">
        <v>0.99871460000000001</v>
      </c>
      <c r="Q6566">
        <v>-3.2359100000000002E-2</v>
      </c>
      <c r="R6566">
        <v>-3.9008380000000002E-2</v>
      </c>
      <c r="S6566">
        <v>3.005417</v>
      </c>
      <c r="T6566">
        <v>1.070833E-2</v>
      </c>
      <c r="U6566">
        <v>3.0395510000000001E-2</v>
      </c>
      <c r="V6566">
        <v>5.966159E-2</v>
      </c>
      <c r="W6566">
        <v>-2.4865600000000002E-2</v>
      </c>
      <c r="X6566">
        <v>0.99790889999999999</v>
      </c>
      <c r="Y6566">
        <v>1.0589640000000001E-2</v>
      </c>
      <c r="Z6566" s="1">
        <v>9.2617630000000001E-5</v>
      </c>
      <c r="AA6566">
        <v>0.9999439</v>
      </c>
      <c r="AB6566">
        <v>31</v>
      </c>
      <c r="AC6566">
        <v>73.366</v>
      </c>
      <c r="AD6566">
        <v>0.26198899999999897</v>
      </c>
      <c r="AE6566">
        <v>0.74045000000000205</v>
      </c>
      <c r="AF6566">
        <v>0.77850554905156899</v>
      </c>
      <c r="AG6566">
        <v>0.26198899999999897</v>
      </c>
      <c r="AH6566">
        <v>73.364670499265898</v>
      </c>
      <c r="AI6566">
        <v>89.795406221851806</v>
      </c>
      <c r="AJ6566">
        <v>89.392031506751707</v>
      </c>
      <c r="AK6566">
        <v>73.369268679685504</v>
      </c>
      <c r="AL6566">
        <v>91.424840807216199</v>
      </c>
      <c r="AM6566">
        <v>86.578552294790697</v>
      </c>
      <c r="AN6566">
        <v>0.99999998804194801</v>
      </c>
    </row>
    <row r="6567" spans="1:40" x14ac:dyDescent="0.25">
      <c r="A6567" t="str">
        <f>"20190312161444779"</f>
        <v>20190312161444779</v>
      </c>
      <c r="B6567" t="str">
        <f>"1552378484773295"</f>
        <v>1552378484773295</v>
      </c>
      <c r="C6567" t="s">
        <v>40</v>
      </c>
      <c r="D6567">
        <v>4.8359379999999996</v>
      </c>
      <c r="E6567">
        <v>0.48410180000000003</v>
      </c>
      <c r="F6567" t="s">
        <v>77</v>
      </c>
      <c r="G6567">
        <v>-179.94829999999999</v>
      </c>
      <c r="H6567">
        <v>5.9395980000000001E-2</v>
      </c>
      <c r="I6567">
        <v>-63.140129999999999</v>
      </c>
      <c r="J6567">
        <v>-230.5624</v>
      </c>
      <c r="K6567">
        <v>1.108962</v>
      </c>
      <c r="L6567">
        <v>-63.239750000000001</v>
      </c>
      <c r="M6567">
        <v>0.99975999999999998</v>
      </c>
      <c r="N6567">
        <v>0</v>
      </c>
      <c r="O6567">
        <v>2.0574809999999999E-2</v>
      </c>
      <c r="P6567">
        <v>0.9987279</v>
      </c>
      <c r="Q6567">
        <v>-3.2360609999999998E-2</v>
      </c>
      <c r="R6567">
        <v>-3.8670690000000001E-2</v>
      </c>
      <c r="S6567">
        <v>3.0021209999999998</v>
      </c>
      <c r="T6567">
        <v>-6.2065599999999901E-2</v>
      </c>
      <c r="U6567">
        <v>6.0729979999999996E-3</v>
      </c>
      <c r="V6567">
        <v>5.9198069999999998E-2</v>
      </c>
      <c r="W6567">
        <v>-2.4875029999999999E-2</v>
      </c>
      <c r="X6567">
        <v>0.9979363</v>
      </c>
      <c r="Y6567">
        <v>1.8544519999999998E-2</v>
      </c>
      <c r="Z6567">
        <v>-6.1697659999999997E-4</v>
      </c>
      <c r="AA6567">
        <v>0.99982789999999999</v>
      </c>
      <c r="AB6567">
        <v>31</v>
      </c>
      <c r="AC6567">
        <v>50.614100000000001</v>
      </c>
      <c r="AD6567">
        <v>-1.0495660200000001</v>
      </c>
      <c r="AE6567">
        <v>9.9619999999994394E-2</v>
      </c>
      <c r="AF6567">
        <v>0.94140125388037099</v>
      </c>
      <c r="AG6567">
        <v>-1.0495660200000001</v>
      </c>
      <c r="AH6567">
        <v>50.5836836265307</v>
      </c>
      <c r="AI6567">
        <v>91.188459678437198</v>
      </c>
      <c r="AJ6567">
        <v>88.933804564412995</v>
      </c>
      <c r="AK6567">
        <v>50.6033286887345</v>
      </c>
      <c r="AL6567">
        <v>91.425381229841307</v>
      </c>
      <c r="AM6567">
        <v>86.605164623980102</v>
      </c>
      <c r="AN6567">
        <v>1.0000000187334499</v>
      </c>
    </row>
    <row r="6568" spans="1:40" x14ac:dyDescent="0.25">
      <c r="A6568" t="str">
        <f>"20190312161444789"</f>
        <v>20190312161444789</v>
      </c>
      <c r="B6568" t="str">
        <f>"1552378484783056"</f>
        <v>1552378484783056</v>
      </c>
      <c r="C6568" t="s">
        <v>40</v>
      </c>
      <c r="D6568">
        <v>4.8257059999999896</v>
      </c>
      <c r="E6568">
        <v>0.48413079999999997</v>
      </c>
      <c r="F6568" t="s">
        <v>59</v>
      </c>
      <c r="G6568">
        <v>-157.3501</v>
      </c>
      <c r="H6568">
        <v>0.21633430000000001</v>
      </c>
      <c r="I6568">
        <v>-63.004629999999999</v>
      </c>
      <c r="J6568">
        <v>-230.4143</v>
      </c>
      <c r="K6568">
        <v>1.1089639999999901</v>
      </c>
      <c r="L6568">
        <v>-63.236820000000002</v>
      </c>
      <c r="M6568">
        <v>0.99976259999999995</v>
      </c>
      <c r="N6568">
        <v>0</v>
      </c>
      <c r="O6568">
        <v>2.045319E-2</v>
      </c>
      <c r="P6568">
        <v>0.9987355</v>
      </c>
      <c r="Q6568">
        <v>-3.2195290000000001E-2</v>
      </c>
      <c r="R6568">
        <v>-3.8616709999999999E-2</v>
      </c>
      <c r="S6568">
        <v>3.0029910000000002</v>
      </c>
      <c r="T6568">
        <v>-3.6614180000000003E-2</v>
      </c>
      <c r="U6568">
        <v>9.6435549999999998E-3</v>
      </c>
      <c r="V6568">
        <v>5.902288E-2</v>
      </c>
      <c r="W6568">
        <v>-2.47175E-2</v>
      </c>
      <c r="X6568">
        <v>0.99795060000000002</v>
      </c>
      <c r="Y6568">
        <v>1.7240229999999999E-2</v>
      </c>
      <c r="Z6568">
        <v>-3.5445620000000002E-4</v>
      </c>
      <c r="AA6568">
        <v>0.9998513</v>
      </c>
      <c r="AB6568">
        <v>31</v>
      </c>
      <c r="AC6568">
        <v>73.0642</v>
      </c>
      <c r="AD6568">
        <v>-0.89262969999999897</v>
      </c>
      <c r="AE6568">
        <v>0.23218999999998799</v>
      </c>
      <c r="AF6568">
        <v>1.26210831467059</v>
      </c>
      <c r="AG6568">
        <v>-0.89262969999999897</v>
      </c>
      <c r="AH6568">
        <v>73.042762116299301</v>
      </c>
      <c r="AI6568">
        <v>90.700052067680105</v>
      </c>
      <c r="AJ6568">
        <v>89.010082831546796</v>
      </c>
      <c r="AK6568">
        <v>73.059118546267499</v>
      </c>
      <c r="AL6568">
        <v>91.416352637227007</v>
      </c>
      <c r="AM6568">
        <v>86.615236251869504</v>
      </c>
      <c r="AN6568">
        <v>1.00000002760505</v>
      </c>
    </row>
    <row r="6569" spans="1:40" x14ac:dyDescent="0.25">
      <c r="A6569" t="str">
        <f>"20190312161444800"</f>
        <v>20190312161444800</v>
      </c>
      <c r="B6569" t="str">
        <f>"1552378484792816"</f>
        <v>1552378484792816</v>
      </c>
      <c r="C6569" t="s">
        <v>40</v>
      </c>
      <c r="D6569">
        <v>4.8248850000000001</v>
      </c>
      <c r="E6569">
        <v>0.48422589999999999</v>
      </c>
      <c r="F6569" t="s">
        <v>59</v>
      </c>
      <c r="G6569">
        <v>-157.3501</v>
      </c>
      <c r="H6569">
        <v>0.4882145</v>
      </c>
      <c r="I6569">
        <v>-63.008890000000001</v>
      </c>
      <c r="J6569">
        <v>-230.2568</v>
      </c>
      <c r="K6569">
        <v>1.1089610000000001</v>
      </c>
      <c r="L6569">
        <v>-63.233699999999999</v>
      </c>
      <c r="M6569">
        <v>0.99976520000000002</v>
      </c>
      <c r="N6569">
        <v>0</v>
      </c>
      <c r="O6569">
        <v>2.0323580000000001E-2</v>
      </c>
      <c r="P6569">
        <v>0.99873140000000005</v>
      </c>
      <c r="Q6569">
        <v>-3.2283529999999998E-2</v>
      </c>
      <c r="R6569">
        <v>-3.8644629999999999E-2</v>
      </c>
      <c r="S6569">
        <v>3.003342</v>
      </c>
      <c r="T6569">
        <v>-2.551699E-2</v>
      </c>
      <c r="U6569">
        <v>9.3688959999999998E-3</v>
      </c>
      <c r="V6569">
        <v>5.8921300000000003E-2</v>
      </c>
      <c r="W6569">
        <v>-2.4813740000000001E-2</v>
      </c>
      <c r="X6569">
        <v>0.99795420000000001</v>
      </c>
      <c r="Y6569">
        <v>1.720387E-2</v>
      </c>
      <c r="Z6569">
        <v>-2.4574649999999998E-4</v>
      </c>
      <c r="AA6569">
        <v>0.99985199999999996</v>
      </c>
      <c r="AB6569">
        <v>31</v>
      </c>
      <c r="AC6569">
        <v>72.906700000000001</v>
      </c>
      <c r="AD6569">
        <v>-0.62074649999999998</v>
      </c>
      <c r="AE6569">
        <v>0.22480999999999801</v>
      </c>
      <c r="AF6569">
        <v>1.2569123283388699</v>
      </c>
      <c r="AG6569">
        <v>-0.62074649999999998</v>
      </c>
      <c r="AH6569">
        <v>72.890925684761598</v>
      </c>
      <c r="AI6569">
        <v>90.487852339987001</v>
      </c>
      <c r="AJ6569">
        <v>89.012104259263694</v>
      </c>
      <c r="AK6569">
        <v>72.904404544580402</v>
      </c>
      <c r="AL6569">
        <v>91.421868495042702</v>
      </c>
      <c r="AM6569">
        <v>86.621060175578606</v>
      </c>
      <c r="AN6569">
        <v>1.0000000132920499</v>
      </c>
    </row>
    <row r="6570" spans="1:40" x14ac:dyDescent="0.25">
      <c r="A6570" t="str">
        <f>"20190312161444811"</f>
        <v>20190312161444811</v>
      </c>
      <c r="B6570" t="str">
        <f>"1552378484802576"</f>
        <v>1552378484802576</v>
      </c>
      <c r="C6570" t="s">
        <v>40</v>
      </c>
      <c r="D6570">
        <v>4.7671159999999997</v>
      </c>
      <c r="E6570">
        <v>0.48426750000000002</v>
      </c>
      <c r="F6570" t="s">
        <v>59</v>
      </c>
      <c r="G6570">
        <v>-157.3501</v>
      </c>
      <c r="H6570">
        <v>0.63860989999999995</v>
      </c>
      <c r="I6570">
        <v>-63.030720000000002</v>
      </c>
      <c r="J6570">
        <v>-230.10679999999999</v>
      </c>
      <c r="K6570">
        <v>1.108959</v>
      </c>
      <c r="L6570">
        <v>-63.2307699999999</v>
      </c>
      <c r="M6570">
        <v>0.99976779999999998</v>
      </c>
      <c r="N6570">
        <v>0</v>
      </c>
      <c r="O6570">
        <v>2.020011E-2</v>
      </c>
      <c r="P6570">
        <v>0.99873049999999997</v>
      </c>
      <c r="Q6570">
        <v>-3.2241449999999998E-2</v>
      </c>
      <c r="R6570">
        <v>-3.8707100000000001E-2</v>
      </c>
      <c r="S6570">
        <v>3.0035099999999999</v>
      </c>
      <c r="T6570">
        <v>-1.9377709999999999E-2</v>
      </c>
      <c r="U6570">
        <v>8.3618159999999993E-3</v>
      </c>
      <c r="V6570">
        <v>5.8860589999999997E-2</v>
      </c>
      <c r="W6570">
        <v>-2.4778939999999999E-2</v>
      </c>
      <c r="X6570">
        <v>0.99795869999999998</v>
      </c>
      <c r="Y6570">
        <v>1.7416379999999999E-2</v>
      </c>
      <c r="Z6570">
        <v>-1.8650120000000001E-4</v>
      </c>
      <c r="AA6570">
        <v>0.99984830000000002</v>
      </c>
      <c r="AB6570">
        <v>31</v>
      </c>
      <c r="AC6570">
        <v>72.756699999999995</v>
      </c>
      <c r="AD6570">
        <v>-0.47034910000000002</v>
      </c>
      <c r="AE6570">
        <v>0.20004999999999701</v>
      </c>
      <c r="AF6570">
        <v>1.2696724772311301</v>
      </c>
      <c r="AG6570">
        <v>-0.47034910000000002</v>
      </c>
      <c r="AH6570">
        <v>72.742854754789306</v>
      </c>
      <c r="AI6570">
        <v>90.370408048342895</v>
      </c>
      <c r="AJ6570">
        <v>89.000046280378598</v>
      </c>
      <c r="AK6570">
        <v>72.755454876948406</v>
      </c>
      <c r="AL6570">
        <v>91.419873913946105</v>
      </c>
      <c r="AM6570">
        <v>86.624548822676601</v>
      </c>
      <c r="AN6570">
        <v>1.0000000659141699</v>
      </c>
    </row>
    <row r="6571" spans="1:40" x14ac:dyDescent="0.25">
      <c r="A6571" t="str">
        <f>"20190312161444822"</f>
        <v>20190312161444822</v>
      </c>
      <c r="B6571" t="str">
        <f>"1552378484813311"</f>
        <v>1552378484813311</v>
      </c>
      <c r="C6571" t="s">
        <v>40</v>
      </c>
      <c r="D6571">
        <v>4.852252</v>
      </c>
      <c r="E6571">
        <v>0.48452220000000001</v>
      </c>
      <c r="F6571" t="s">
        <v>59</v>
      </c>
      <c r="G6571">
        <v>-157.3501</v>
      </c>
      <c r="H6571">
        <v>0.89819340000000003</v>
      </c>
      <c r="I6571">
        <v>-63.045229999999997</v>
      </c>
      <c r="J6571">
        <v>-229.953</v>
      </c>
      <c r="K6571">
        <v>1.1089610000000001</v>
      </c>
      <c r="L6571">
        <v>-63.227780000000003</v>
      </c>
      <c r="M6571">
        <v>0.99977050000000001</v>
      </c>
      <c r="N6571">
        <v>0</v>
      </c>
      <c r="O6571">
        <v>2.007366E-2</v>
      </c>
      <c r="P6571">
        <v>0.99872470000000002</v>
      </c>
      <c r="Q6571">
        <v>-3.2204440000000001E-2</v>
      </c>
      <c r="R6571">
        <v>-3.8888829999999999E-2</v>
      </c>
      <c r="S6571">
        <v>3.0038299999999998</v>
      </c>
      <c r="T6571">
        <v>-8.7025169999999999E-3</v>
      </c>
      <c r="U6571">
        <v>7.6599119999999996E-3</v>
      </c>
      <c r="V6571">
        <v>5.8915849999999999E-2</v>
      </c>
      <c r="W6571">
        <v>-2.4748869999999999E-2</v>
      </c>
      <c r="X6571">
        <v>0.99795610000000001</v>
      </c>
      <c r="Y6571">
        <v>1.7524479999999999E-2</v>
      </c>
      <c r="Z6571" s="1">
        <v>-8.3539660000000006E-5</v>
      </c>
      <c r="AA6571">
        <v>0.99984649999999997</v>
      </c>
      <c r="AB6571">
        <v>31</v>
      </c>
      <c r="AC6571">
        <v>72.602900000000005</v>
      </c>
      <c r="AD6571">
        <v>-0.210767599999999</v>
      </c>
      <c r="AE6571">
        <v>0.18254999999999899</v>
      </c>
      <c r="AF6571">
        <v>1.2749227762426201</v>
      </c>
      <c r="AG6571">
        <v>-0.210767599999999</v>
      </c>
      <c r="AH6571">
        <v>72.591322759595698</v>
      </c>
      <c r="AI6571">
        <v>90.166331146717098</v>
      </c>
      <c r="AJ6571">
        <v>88.993816586585297</v>
      </c>
      <c r="AK6571">
        <v>72.602823574943599</v>
      </c>
      <c r="AL6571">
        <v>91.418150622264704</v>
      </c>
      <c r="AM6571">
        <v>86.621378408474001</v>
      </c>
      <c r="AN6571">
        <v>0.99999998073735397</v>
      </c>
    </row>
    <row r="6572" spans="1:40" x14ac:dyDescent="0.25">
      <c r="A6572" t="str">
        <f>"20190312161444834"</f>
        <v>20190312161444834</v>
      </c>
      <c r="B6572" t="str">
        <f>"1552378484823072"</f>
        <v>1552378484823072</v>
      </c>
      <c r="C6572" t="s">
        <v>40</v>
      </c>
      <c r="D6572">
        <v>4.862921</v>
      </c>
      <c r="E6572">
        <v>0.48473630000000001</v>
      </c>
      <c r="F6572" t="s">
        <v>59</v>
      </c>
      <c r="G6572">
        <v>-157.3501</v>
      </c>
      <c r="H6572">
        <v>0.94599339999999998</v>
      </c>
      <c r="I6572">
        <v>-63.105330000000002</v>
      </c>
      <c r="J6572">
        <v>-229.79400000000001</v>
      </c>
      <c r="K6572">
        <v>1.108959</v>
      </c>
      <c r="L6572">
        <v>-63.224670000000003</v>
      </c>
      <c r="M6572">
        <v>0.99977309999999997</v>
      </c>
      <c r="N6572">
        <v>0</v>
      </c>
      <c r="O6572">
        <v>1.9942850000000002E-2</v>
      </c>
      <c r="P6572">
        <v>0.99872050000000001</v>
      </c>
      <c r="Q6572">
        <v>-3.202584E-2</v>
      </c>
      <c r="R6572">
        <v>-3.9142139999999999E-2</v>
      </c>
      <c r="S6572">
        <v>3.0038149999999999</v>
      </c>
      <c r="T6572">
        <v>-6.7433119999999996E-3</v>
      </c>
      <c r="U6572">
        <v>5.065918E-3</v>
      </c>
      <c r="V6572">
        <v>5.9038630000000002E-2</v>
      </c>
      <c r="W6572">
        <v>-2.4576919999999999E-2</v>
      </c>
      <c r="X6572">
        <v>0.99795310000000004</v>
      </c>
      <c r="Y6572">
        <v>1.825713E-2</v>
      </c>
      <c r="Z6572" s="1">
        <v>-6.5261609999999999E-5</v>
      </c>
      <c r="AA6572">
        <v>0.99983330000000004</v>
      </c>
      <c r="AB6572">
        <v>31</v>
      </c>
      <c r="AC6572">
        <v>72.443899999999999</v>
      </c>
      <c r="AD6572">
        <v>-0.16296559999999899</v>
      </c>
      <c r="AE6572">
        <v>0.11933999999999401</v>
      </c>
      <c r="AF6572">
        <v>1.3254553361606101</v>
      </c>
      <c r="AG6572">
        <v>-0.16296559999999899</v>
      </c>
      <c r="AH6572">
        <v>72.431505177146903</v>
      </c>
      <c r="AI6572">
        <v>90.128889525777296</v>
      </c>
      <c r="AJ6572">
        <v>88.951636843351807</v>
      </c>
      <c r="AK6572">
        <v>72.443815000743797</v>
      </c>
      <c r="AL6572">
        <v>91.408295605860005</v>
      </c>
      <c r="AM6572">
        <v>86.614343604882194</v>
      </c>
      <c r="AN6572">
        <v>0.99999998731428597</v>
      </c>
    </row>
    <row r="6573" spans="1:40" x14ac:dyDescent="0.25">
      <c r="A6573" t="str">
        <f>"20190312161444844"</f>
        <v>20190312161444844</v>
      </c>
      <c r="B6573" t="str">
        <f>"1552378484832832"</f>
        <v>1552378484832832</v>
      </c>
      <c r="C6573" t="s">
        <v>40</v>
      </c>
      <c r="D6573">
        <v>4.8531890000000004</v>
      </c>
      <c r="E6573">
        <v>0.484823</v>
      </c>
      <c r="F6573" t="s">
        <v>59</v>
      </c>
      <c r="G6573">
        <v>-157.3501</v>
      </c>
      <c r="H6573">
        <v>0.99428269999999996</v>
      </c>
      <c r="I6573">
        <v>-63.161369999999998</v>
      </c>
      <c r="J6573">
        <v>-229.64230000000001</v>
      </c>
      <c r="K6573">
        <v>1.1089580000000001</v>
      </c>
      <c r="L6573">
        <v>-63.2217699999999</v>
      </c>
      <c r="M6573">
        <v>0.99977559999999999</v>
      </c>
      <c r="N6573">
        <v>0</v>
      </c>
      <c r="O6573">
        <v>1.9817999999999999E-2</v>
      </c>
      <c r="P6573">
        <v>0.99872000000000005</v>
      </c>
      <c r="Q6573">
        <v>-3.20579E-2</v>
      </c>
      <c r="R6573">
        <v>-3.913229E-2</v>
      </c>
      <c r="S6573">
        <v>3.0038149999999999</v>
      </c>
      <c r="T6573">
        <v>-4.7557349999999997E-3</v>
      </c>
      <c r="U6573">
        <v>2.6245119999999999E-3</v>
      </c>
      <c r="V6573">
        <v>5.8904020000000001E-2</v>
      </c>
      <c r="W6573">
        <v>-2.4614670000000002E-2</v>
      </c>
      <c r="X6573">
        <v>0.99796019999999996</v>
      </c>
      <c r="Y6573">
        <v>1.8944949999999999E-2</v>
      </c>
      <c r="Z6573" s="1">
        <v>-4.6372850000000001E-5</v>
      </c>
      <c r="AA6573">
        <v>0.9998205</v>
      </c>
      <c r="AB6573">
        <v>31</v>
      </c>
      <c r="AC6573">
        <v>72.292199999999994</v>
      </c>
      <c r="AD6573">
        <v>-0.11467529999999899</v>
      </c>
      <c r="AE6573">
        <v>6.0399999999994201E-2</v>
      </c>
      <c r="AF6573">
        <v>1.37233534383575</v>
      </c>
      <c r="AG6573">
        <v>-0.11467529999999899</v>
      </c>
      <c r="AH6573">
        <v>72.279016484415905</v>
      </c>
      <c r="AI6573">
        <v>90.090886975815295</v>
      </c>
      <c r="AJ6573">
        <v>88.912276608634997</v>
      </c>
      <c r="AK6573">
        <v>72.292134279427898</v>
      </c>
      <c r="AL6573">
        <v>91.410459069082705</v>
      </c>
      <c r="AM6573">
        <v>86.622069092983594</v>
      </c>
      <c r="AN6573">
        <v>1.0000000631677</v>
      </c>
    </row>
    <row r="6574" spans="1:40" x14ac:dyDescent="0.25">
      <c r="A6574" t="str">
        <f>"20190312161444857"</f>
        <v>20190312161444857</v>
      </c>
      <c r="B6574" t="str">
        <f>"1552378484853327"</f>
        <v>1552378484853327</v>
      </c>
      <c r="C6574" t="s">
        <v>40</v>
      </c>
      <c r="D6574">
        <v>4.8649680000000002</v>
      </c>
      <c r="E6574">
        <v>0.4851007</v>
      </c>
      <c r="F6574" t="s">
        <v>59</v>
      </c>
      <c r="G6574">
        <v>-157.3501</v>
      </c>
      <c r="H6574">
        <v>1.026492</v>
      </c>
      <c r="I6574">
        <v>-63.173290000000001</v>
      </c>
      <c r="J6574">
        <v>-229.48169999999999</v>
      </c>
      <c r="K6574">
        <v>1.1089530000000001</v>
      </c>
      <c r="L6574">
        <v>-63.218719999999998</v>
      </c>
      <c r="M6574">
        <v>0.99977830000000001</v>
      </c>
      <c r="N6574">
        <v>0</v>
      </c>
      <c r="O6574">
        <v>1.9685999999999999E-2</v>
      </c>
      <c r="P6574">
        <v>0.99871829999999995</v>
      </c>
      <c r="Q6574">
        <v>-3.1968299999999998E-2</v>
      </c>
      <c r="R6574">
        <v>-3.9246499999999997E-2</v>
      </c>
      <c r="S6574">
        <v>3.0038299999999998</v>
      </c>
      <c r="T6574">
        <v>-3.4273860000000001E-3</v>
      </c>
      <c r="U6574">
        <v>2.0141600000000001E-3</v>
      </c>
      <c r="V6574">
        <v>5.8886580000000001E-2</v>
      </c>
      <c r="W6574">
        <v>-2.453048E-2</v>
      </c>
      <c r="X6574">
        <v>0.99796320000000005</v>
      </c>
      <c r="Y6574">
        <v>1.9016120000000001E-2</v>
      </c>
      <c r="Z6574" s="1">
        <v>-3.3310070000000003E-5</v>
      </c>
      <c r="AA6574">
        <v>0.99981920000000002</v>
      </c>
      <c r="AB6574">
        <v>31</v>
      </c>
      <c r="AC6574">
        <v>72.131599999999906</v>
      </c>
      <c r="AD6574">
        <v>-8.2461000000000104E-2</v>
      </c>
      <c r="AE6574">
        <v>4.5429999999996001E-2</v>
      </c>
      <c r="AF6574">
        <v>1.37459931328033</v>
      </c>
      <c r="AG6574">
        <v>-8.2461000000000104E-2</v>
      </c>
      <c r="AH6574">
        <v>72.118421083426696</v>
      </c>
      <c r="AI6574">
        <v>90.065500702241707</v>
      </c>
      <c r="AJ6574">
        <v>88.908057019177505</v>
      </c>
      <c r="AK6574">
        <v>72.131567171766307</v>
      </c>
      <c r="AL6574">
        <v>91.405634024160193</v>
      </c>
      <c r="AM6574">
        <v>86.623077026566193</v>
      </c>
      <c r="AN6574">
        <v>0.99999996115368195</v>
      </c>
    </row>
    <row r="6575" spans="1:40" x14ac:dyDescent="0.25">
      <c r="A6575" t="str">
        <f>"20190312161444868"</f>
        <v>20190312161444868</v>
      </c>
      <c r="B6575" t="str">
        <f>"1552378484863087"</f>
        <v>1552378484863087</v>
      </c>
      <c r="C6575" t="s">
        <v>40</v>
      </c>
      <c r="D6575">
        <v>4.8860749999999999</v>
      </c>
      <c r="E6575">
        <v>0.48509469999999999</v>
      </c>
      <c r="F6575" t="s">
        <v>59</v>
      </c>
      <c r="G6575">
        <v>-157.3501</v>
      </c>
      <c r="H6575">
        <v>1.0577749999999999</v>
      </c>
      <c r="I6575">
        <v>-63.230440000000002</v>
      </c>
      <c r="J6575">
        <v>-229.31909999999999</v>
      </c>
      <c r="K6575">
        <v>1.108951</v>
      </c>
      <c r="L6575">
        <v>-63.21564</v>
      </c>
      <c r="M6575">
        <v>0.99978089999999997</v>
      </c>
      <c r="N6575">
        <v>0</v>
      </c>
      <c r="O6575">
        <v>1.9552320000000002E-2</v>
      </c>
      <c r="P6575">
        <v>0.99871189999999999</v>
      </c>
      <c r="Q6575">
        <v>-3.217097E-2</v>
      </c>
      <c r="R6575">
        <v>-3.9240770000000001E-2</v>
      </c>
      <c r="S6575">
        <v>3.003784</v>
      </c>
      <c r="T6575">
        <v>-2.132058E-3</v>
      </c>
      <c r="U6575">
        <v>-4.8828130000000002E-4</v>
      </c>
      <c r="V6575">
        <v>5.8747149999999998E-2</v>
      </c>
      <c r="W6575">
        <v>-2.4738309999999999E-2</v>
      </c>
      <c r="X6575">
        <v>0.99796629999999997</v>
      </c>
      <c r="Y6575">
        <v>1.9715380000000001E-2</v>
      </c>
      <c r="Z6575" s="1">
        <v>-2.0874680000000001E-5</v>
      </c>
      <c r="AA6575">
        <v>0.99980559999999996</v>
      </c>
      <c r="AB6575">
        <v>31</v>
      </c>
      <c r="AC6575">
        <v>71.968999999999994</v>
      </c>
      <c r="AD6575">
        <v>-5.1176000000000103E-2</v>
      </c>
      <c r="AE6575">
        <v>-1.4800000000001E-2</v>
      </c>
      <c r="AF6575">
        <v>1.4219966724538999</v>
      </c>
      <c r="AG6575">
        <v>-5.1176000000000103E-2</v>
      </c>
      <c r="AH6575">
        <v>71.954915520355797</v>
      </c>
      <c r="AI6575">
        <v>90.040742121451899</v>
      </c>
      <c r="AJ6575">
        <v>88.867849359434501</v>
      </c>
      <c r="AK6575">
        <v>71.968983326576094</v>
      </c>
      <c r="AL6575">
        <v>91.417545403389894</v>
      </c>
      <c r="AM6575">
        <v>86.631064812916804</v>
      </c>
      <c r="AN6575">
        <v>0.99999997377523298</v>
      </c>
    </row>
    <row r="6576" spans="1:40" x14ac:dyDescent="0.25">
      <c r="A6576" t="str">
        <f>"20190312161444879"</f>
        <v>20190312161444879</v>
      </c>
      <c r="B6576" t="str">
        <f>"1552378484872848"</f>
        <v>1552378484872848</v>
      </c>
      <c r="C6576" t="s">
        <v>40</v>
      </c>
      <c r="D6576">
        <v>4.895524</v>
      </c>
      <c r="E6576">
        <v>0.48504910000000001</v>
      </c>
      <c r="F6576" t="s">
        <v>59</v>
      </c>
      <c r="G6576">
        <v>-157.3501</v>
      </c>
      <c r="H6576">
        <v>1.0140659999999999</v>
      </c>
      <c r="I6576">
        <v>-63.224409999999999</v>
      </c>
      <c r="J6576">
        <v>-229.16460000000001</v>
      </c>
      <c r="K6576">
        <v>1.108948</v>
      </c>
      <c r="L6576">
        <v>-63.212739999999997</v>
      </c>
      <c r="M6576">
        <v>0.99978339999999999</v>
      </c>
      <c r="N6576">
        <v>0</v>
      </c>
      <c r="O6576">
        <v>1.942543E-2</v>
      </c>
      <c r="P6576">
        <v>0.99871220000000005</v>
      </c>
      <c r="Q6576">
        <v>-3.2147050000000003E-2</v>
      </c>
      <c r="R6576">
        <v>-3.92541E-2</v>
      </c>
      <c r="S6576">
        <v>3.0037229999999999</v>
      </c>
      <c r="T6576">
        <v>-3.9609670000000001E-3</v>
      </c>
      <c r="U6576">
        <v>-3.6621089999999999E-4</v>
      </c>
      <c r="V6576">
        <v>5.8633690000000002E-2</v>
      </c>
      <c r="W6576">
        <v>-2.471831E-2</v>
      </c>
      <c r="X6576">
        <v>0.99797349999999996</v>
      </c>
      <c r="Y6576">
        <v>1.954784E-2</v>
      </c>
      <c r="Z6576" s="1">
        <v>-3.8504280000000002E-5</v>
      </c>
      <c r="AA6576">
        <v>0.9998089</v>
      </c>
      <c r="AB6576">
        <v>31</v>
      </c>
      <c r="AC6576">
        <v>71.814499999999995</v>
      </c>
      <c r="AD6576">
        <v>-9.4882000000000105E-2</v>
      </c>
      <c r="AE6576">
        <v>-1.1669999999995099E-2</v>
      </c>
      <c r="AF6576">
        <v>1.40673181191036</v>
      </c>
      <c r="AG6576">
        <v>-9.4882000000000105E-2</v>
      </c>
      <c r="AH6576">
        <v>71.800596424455605</v>
      </c>
      <c r="AI6576">
        <v>90.075699815585907</v>
      </c>
      <c r="AJ6576">
        <v>88.8775930945542</v>
      </c>
      <c r="AK6576">
        <v>71.814438269000703</v>
      </c>
      <c r="AL6576">
        <v>91.416399092197693</v>
      </c>
      <c r="AM6576">
        <v>86.637580590842603</v>
      </c>
      <c r="AN6576">
        <v>1.00000000557726</v>
      </c>
    </row>
    <row r="6577" spans="1:40" x14ac:dyDescent="0.25">
      <c r="A6577" t="str">
        <f>"20190312161444890"</f>
        <v>20190312161444890</v>
      </c>
      <c r="B6577" t="str">
        <f>"1552378484882609"</f>
        <v>1552378484882609</v>
      </c>
      <c r="C6577" t="s">
        <v>40</v>
      </c>
      <c r="D6577">
        <v>4.9048809999999996</v>
      </c>
      <c r="E6577">
        <v>0.4849907</v>
      </c>
      <c r="F6577" t="s">
        <v>59</v>
      </c>
      <c r="G6577">
        <v>-157.3501</v>
      </c>
      <c r="H6577">
        <v>0.99389740000000004</v>
      </c>
      <c r="I6577">
        <v>-63.215649999999997</v>
      </c>
      <c r="J6577">
        <v>-229.01130000000001</v>
      </c>
      <c r="K6577">
        <v>1.1089450000000001</v>
      </c>
      <c r="L6577">
        <v>-63.20984</v>
      </c>
      <c r="M6577">
        <v>0.99978579999999995</v>
      </c>
      <c r="N6577">
        <v>0</v>
      </c>
      <c r="O6577">
        <v>1.9299440000000001E-2</v>
      </c>
      <c r="P6577">
        <v>0.9986971</v>
      </c>
      <c r="Q6577">
        <v>-3.2466120000000001E-2</v>
      </c>
      <c r="R6577">
        <v>-3.93738E-2</v>
      </c>
      <c r="S6577">
        <v>3.0037229999999999</v>
      </c>
      <c r="T6577">
        <v>-4.8129560000000002E-3</v>
      </c>
      <c r="U6577">
        <v>-1.220703E-4</v>
      </c>
      <c r="V6577">
        <v>5.8627159999999998E-2</v>
      </c>
      <c r="W6577">
        <v>-2.5041270000000001E-2</v>
      </c>
      <c r="X6577">
        <v>0.99796580000000001</v>
      </c>
      <c r="Y6577">
        <v>1.934056E-2</v>
      </c>
      <c r="Z6577" s="1">
        <v>-4.6418459999999898E-5</v>
      </c>
      <c r="AA6577">
        <v>0.99981299999999995</v>
      </c>
      <c r="AB6577">
        <v>31</v>
      </c>
      <c r="AC6577">
        <v>71.661199999999994</v>
      </c>
      <c r="AD6577">
        <v>-0.1150476</v>
      </c>
      <c r="AE6577">
        <v>-5.8099999999967596E-3</v>
      </c>
      <c r="AF6577">
        <v>1.3888650150355699</v>
      </c>
      <c r="AG6577">
        <v>-0.1150476</v>
      </c>
      <c r="AH6577">
        <v>71.647555445862295</v>
      </c>
      <c r="AI6577">
        <v>90.091984968545205</v>
      </c>
      <c r="AJ6577">
        <v>88.889478669597693</v>
      </c>
      <c r="AK6577">
        <v>71.661107885297</v>
      </c>
      <c r="AL6577">
        <v>91.434909112879893</v>
      </c>
      <c r="AM6577">
        <v>86.637928321483301</v>
      </c>
      <c r="AN6577">
        <v>0.99999997353125802</v>
      </c>
    </row>
    <row r="6578" spans="1:40" x14ac:dyDescent="0.25">
      <c r="A6578" t="str">
        <f>"20190312161444901"</f>
        <v>20190312161444901</v>
      </c>
      <c r="B6578" t="str">
        <f>"1552378484893343"</f>
        <v>1552378484893343</v>
      </c>
      <c r="C6578" t="s">
        <v>40</v>
      </c>
      <c r="D6578">
        <v>4.9172859999999998</v>
      </c>
      <c r="E6578">
        <v>0.4848788</v>
      </c>
      <c r="F6578" t="s">
        <v>59</v>
      </c>
      <c r="G6578">
        <v>-157.3501</v>
      </c>
      <c r="H6578">
        <v>0.97240919999999997</v>
      </c>
      <c r="I6578">
        <v>-63.211289999999998</v>
      </c>
      <c r="J6578">
        <v>-228.8535</v>
      </c>
      <c r="K6578">
        <v>1.1089450000000001</v>
      </c>
      <c r="L6578">
        <v>-63.206940000000003</v>
      </c>
      <c r="M6578">
        <v>0.99978829999999996</v>
      </c>
      <c r="N6578">
        <v>0</v>
      </c>
      <c r="O6578">
        <v>1.9169869999999999E-2</v>
      </c>
      <c r="P6578">
        <v>0.99869019999999997</v>
      </c>
      <c r="Q6578">
        <v>-3.2485029999999998E-2</v>
      </c>
      <c r="R6578">
        <v>-3.9532230000000002E-2</v>
      </c>
      <c r="S6578">
        <v>3.0037229999999999</v>
      </c>
      <c r="T6578">
        <v>-5.7238339999999997E-3</v>
      </c>
      <c r="U6578" s="1">
        <v>-6.1035159999999999E-5</v>
      </c>
      <c r="V6578">
        <v>5.8656199999999999E-2</v>
      </c>
      <c r="W6578">
        <v>-2.5063450000000001E-2</v>
      </c>
      <c r="X6578">
        <v>0.9979635</v>
      </c>
      <c r="Y6578">
        <v>1.919065E-2</v>
      </c>
      <c r="Z6578" s="1">
        <v>-5.4813679999999999E-5</v>
      </c>
      <c r="AA6578">
        <v>0.99981580000000003</v>
      </c>
      <c r="AB6578">
        <v>31</v>
      </c>
      <c r="AC6578">
        <v>71.503399999999999</v>
      </c>
      <c r="AD6578">
        <v>-0.13653580000000001</v>
      </c>
      <c r="AE6578">
        <v>-4.3500000000022904E-3</v>
      </c>
      <c r="AF6578">
        <v>1.3750933625878199</v>
      </c>
      <c r="AG6578">
        <v>-0.13653580000000001</v>
      </c>
      <c r="AH6578">
        <v>71.489915826508096</v>
      </c>
      <c r="AI6578">
        <v>90.109406602956099</v>
      </c>
      <c r="AJ6578">
        <v>88.898063721411702</v>
      </c>
      <c r="AK6578">
        <v>71.503269776015998</v>
      </c>
      <c r="AL6578">
        <v>91.436180385010701</v>
      </c>
      <c r="AM6578">
        <v>86.636259062973807</v>
      </c>
      <c r="AN6578">
        <v>0.99999993682829402</v>
      </c>
    </row>
    <row r="6579" spans="1:40" x14ac:dyDescent="0.25">
      <c r="A6579" t="str">
        <f>"20190312161444912"</f>
        <v>20190312161444912</v>
      </c>
      <c r="B6579" t="str">
        <f>"1552378484903104"</f>
        <v>1552378484903104</v>
      </c>
      <c r="C6579" t="s">
        <v>40</v>
      </c>
      <c r="D6579">
        <v>4.8894950000000001</v>
      </c>
      <c r="E6579">
        <v>0.48487950000000002</v>
      </c>
      <c r="F6579" t="s">
        <v>59</v>
      </c>
      <c r="G6579">
        <v>-157.3501</v>
      </c>
      <c r="H6579">
        <v>0.94406889999999999</v>
      </c>
      <c r="I6579">
        <v>-63.199669999999998</v>
      </c>
      <c r="J6579">
        <v>-228.7003</v>
      </c>
      <c r="K6579">
        <v>1.1089439999999999</v>
      </c>
      <c r="L6579">
        <v>-63.204099999999997</v>
      </c>
      <c r="M6579">
        <v>0.99979070000000003</v>
      </c>
      <c r="N6579">
        <v>0</v>
      </c>
      <c r="O6579">
        <v>1.904399E-2</v>
      </c>
      <c r="P6579">
        <v>0.99868979999999996</v>
      </c>
      <c r="Q6579">
        <v>-3.2330680000000001E-2</v>
      </c>
      <c r="R6579">
        <v>-3.9666159999999999E-2</v>
      </c>
      <c r="S6579">
        <v>3.0037379999999998</v>
      </c>
      <c r="T6579">
        <v>-6.9270130000000001E-3</v>
      </c>
      <c r="U6579">
        <v>3.0517579999999998E-4</v>
      </c>
      <c r="V6579">
        <v>5.8664529999999999E-2</v>
      </c>
      <c r="W6579">
        <v>-2.4911920000000001E-2</v>
      </c>
      <c r="X6579">
        <v>0.99796689999999999</v>
      </c>
      <c r="Y6579">
        <v>1.8942850000000001E-2</v>
      </c>
      <c r="Z6579" s="1">
        <v>-6.5759409999999898E-5</v>
      </c>
      <c r="AA6579">
        <v>0.99982059999999995</v>
      </c>
      <c r="AB6579">
        <v>31</v>
      </c>
      <c r="AC6579">
        <v>71.350200000000001</v>
      </c>
      <c r="AD6579">
        <v>-0.1648751</v>
      </c>
      <c r="AE6579">
        <v>4.4299999999992601E-3</v>
      </c>
      <c r="AF6579">
        <v>1.3543940346777901</v>
      </c>
      <c r="AG6579">
        <v>-0.1648751</v>
      </c>
      <c r="AH6579">
        <v>71.336963134843202</v>
      </c>
      <c r="AI6579">
        <v>90.132398801780099</v>
      </c>
      <c r="AJ6579">
        <v>88.912320675225104</v>
      </c>
      <c r="AK6579">
        <v>71.350009644720799</v>
      </c>
      <c r="AL6579">
        <v>91.427495507128398</v>
      </c>
      <c r="AM6579">
        <v>86.635793897198496</v>
      </c>
      <c r="AN6579">
        <v>1.0000000321669</v>
      </c>
    </row>
    <row r="6580" spans="1:40" x14ac:dyDescent="0.25">
      <c r="A6580" t="str">
        <f>"20190312161444923"</f>
        <v>20190312161444923</v>
      </c>
      <c r="B6580" t="str">
        <f>"1552378484912864"</f>
        <v>1552378484912864</v>
      </c>
      <c r="C6580" t="s">
        <v>40</v>
      </c>
      <c r="D6580">
        <v>4.9255519999999997</v>
      </c>
      <c r="E6580">
        <v>0.48500690000000002</v>
      </c>
      <c r="F6580" t="s">
        <v>59</v>
      </c>
      <c r="G6580">
        <v>-157.3501</v>
      </c>
      <c r="H6580">
        <v>0.92012689999999997</v>
      </c>
      <c r="I6580">
        <v>-63.206270000000004</v>
      </c>
      <c r="J6580">
        <v>-228.5401</v>
      </c>
      <c r="K6580">
        <v>1.1089469999999999</v>
      </c>
      <c r="L6580">
        <v>-63.201169999999998</v>
      </c>
      <c r="M6580">
        <v>0.99979340000000005</v>
      </c>
      <c r="N6580">
        <v>0</v>
      </c>
      <c r="O6580">
        <v>1.8912390000000001E-2</v>
      </c>
      <c r="P6580">
        <v>0.99868630000000003</v>
      </c>
      <c r="Q6580">
        <v>-3.2157320000000003E-2</v>
      </c>
      <c r="R6580">
        <v>-3.989827E-2</v>
      </c>
      <c r="S6580">
        <v>3.0036770000000002</v>
      </c>
      <c r="T6580">
        <v>-7.9495909999999902E-3</v>
      </c>
      <c r="U6580" s="1">
        <v>-9.1552730000000004E-5</v>
      </c>
      <c r="V6580">
        <v>5.876522E-2</v>
      </c>
      <c r="W6580">
        <v>-2.474109E-2</v>
      </c>
      <c r="X6580">
        <v>0.9979652</v>
      </c>
      <c r="Y6580">
        <v>1.894326E-2</v>
      </c>
      <c r="Z6580" s="1">
        <v>-7.5120739999999997E-5</v>
      </c>
      <c r="AA6580">
        <v>0.9998205</v>
      </c>
      <c r="AB6580">
        <v>31</v>
      </c>
      <c r="AC6580">
        <v>71.19</v>
      </c>
      <c r="AD6580">
        <v>-0.18882009999999999</v>
      </c>
      <c r="AE6580">
        <v>-5.0999999999987696E-3</v>
      </c>
      <c r="AF6580">
        <v>1.35149997335746</v>
      </c>
      <c r="AG6580">
        <v>-0.18882009999999999</v>
      </c>
      <c r="AH6580">
        <v>71.176669411571396</v>
      </c>
      <c r="AI6580">
        <v>90.151968612552295</v>
      </c>
      <c r="AJ6580">
        <v>88.912200572186194</v>
      </c>
      <c r="AK6580">
        <v>71.189749779952606</v>
      </c>
      <c r="AL6580">
        <v>91.417704688005401</v>
      </c>
      <c r="AM6580">
        <v>86.630027246115006</v>
      </c>
      <c r="AN6580">
        <v>1.0000000065135299</v>
      </c>
    </row>
    <row r="6581" spans="1:40" x14ac:dyDescent="0.25">
      <c r="A6581" t="str">
        <f>"20190312161444935"</f>
        <v>20190312161444935</v>
      </c>
      <c r="B6581" t="str">
        <f>"1552378484922624"</f>
        <v>1552378484922624</v>
      </c>
      <c r="C6581" t="s">
        <v>40</v>
      </c>
      <c r="D6581">
        <v>4.8805259999999997</v>
      </c>
      <c r="E6581">
        <v>0.48500690000000002</v>
      </c>
      <c r="F6581" t="s">
        <v>59</v>
      </c>
      <c r="G6581">
        <v>-157.3501</v>
      </c>
      <c r="H6581">
        <v>0.89449500000000004</v>
      </c>
      <c r="I6581">
        <v>-63.241680000000002</v>
      </c>
      <c r="J6581">
        <v>-228.37710000000001</v>
      </c>
      <c r="K6581">
        <v>1.1089450000000001</v>
      </c>
      <c r="L6581">
        <v>-63.198210000000003</v>
      </c>
      <c r="M6581">
        <v>0.99979580000000001</v>
      </c>
      <c r="N6581">
        <v>0</v>
      </c>
      <c r="O6581">
        <v>1.8778820000000002E-2</v>
      </c>
      <c r="P6581">
        <v>0.99868769999999996</v>
      </c>
      <c r="Q6581">
        <v>-3.2092599999999999E-2</v>
      </c>
      <c r="R6581">
        <v>-3.9911710000000003E-2</v>
      </c>
      <c r="S6581">
        <v>3.0036010000000002</v>
      </c>
      <c r="T6581">
        <v>-9.0488200000000008E-3</v>
      </c>
      <c r="U6581">
        <v>-1.708984E-3</v>
      </c>
      <c r="V6581">
        <v>5.8645379999999997E-2</v>
      </c>
      <c r="W6581">
        <v>-2.4678240000000001E-2</v>
      </c>
      <c r="X6581">
        <v>0.99797380000000002</v>
      </c>
      <c r="Y6581">
        <v>1.934804E-2</v>
      </c>
      <c r="Z6581" s="1">
        <v>-8.5717599999999994E-5</v>
      </c>
      <c r="AA6581">
        <v>0.99981279999999995</v>
      </c>
      <c r="AB6581">
        <v>31</v>
      </c>
      <c r="AC6581">
        <v>71.027000000000001</v>
      </c>
      <c r="AD6581">
        <v>-0.21445</v>
      </c>
      <c r="AE6581">
        <v>-4.3470000000006302E-2</v>
      </c>
      <c r="AF6581">
        <v>1.3772901843786201</v>
      </c>
      <c r="AG6581">
        <v>-0.21445</v>
      </c>
      <c r="AH6581">
        <v>71.013010878581994</v>
      </c>
      <c r="AI6581">
        <v>90.172992696965395</v>
      </c>
      <c r="AJ6581">
        <v>88.888893439340507</v>
      </c>
      <c r="AK6581">
        <v>71.026689568753497</v>
      </c>
      <c r="AL6581">
        <v>91.414102556516397</v>
      </c>
      <c r="AM6581">
        <v>86.636912760968301</v>
      </c>
      <c r="AN6581">
        <v>1.00000000080564</v>
      </c>
    </row>
    <row r="6582" spans="1:40" x14ac:dyDescent="0.25">
      <c r="A6582" t="str">
        <f>"20190312161444946"</f>
        <v>20190312161444946</v>
      </c>
      <c r="B6582" t="str">
        <f>"1552378484943120"</f>
        <v>1552378484943120</v>
      </c>
      <c r="C6582" t="s">
        <v>40</v>
      </c>
      <c r="D6582">
        <v>4.8278730000000003</v>
      </c>
      <c r="E6582">
        <v>0.48396410000000001</v>
      </c>
      <c r="F6582" t="s">
        <v>59</v>
      </c>
      <c r="G6582">
        <v>-157.3501</v>
      </c>
      <c r="H6582">
        <v>0.89853760000000005</v>
      </c>
      <c r="I6582">
        <v>-63.238619999999997</v>
      </c>
      <c r="J6582">
        <v>-228.22219999999999</v>
      </c>
      <c r="K6582">
        <v>1.108943</v>
      </c>
      <c r="L6582">
        <v>-63.195430000000002</v>
      </c>
      <c r="M6582">
        <v>0.99979830000000003</v>
      </c>
      <c r="N6582">
        <v>0</v>
      </c>
      <c r="O6582">
        <v>1.865174E-2</v>
      </c>
      <c r="P6582">
        <v>0.99867870000000003</v>
      </c>
      <c r="Q6582">
        <v>-3.2400819999999997E-2</v>
      </c>
      <c r="R6582">
        <v>-3.988999E-2</v>
      </c>
      <c r="S6582">
        <v>3.003571</v>
      </c>
      <c r="T6582">
        <v>-8.898497E-3</v>
      </c>
      <c r="U6582">
        <v>-1.708984E-3</v>
      </c>
      <c r="V6582">
        <v>5.8496489999999998E-2</v>
      </c>
      <c r="W6582">
        <v>-2.498796E-2</v>
      </c>
      <c r="X6582">
        <v>0.99797480000000005</v>
      </c>
      <c r="Y6582">
        <v>1.9220979999999999E-2</v>
      </c>
      <c r="Z6582" s="1">
        <v>-8.3729840000000002E-5</v>
      </c>
      <c r="AA6582">
        <v>0.99981529999999996</v>
      </c>
      <c r="AB6582">
        <v>31</v>
      </c>
      <c r="AC6582">
        <v>70.872099999999904</v>
      </c>
      <c r="AD6582">
        <v>-0.21040539999999999</v>
      </c>
      <c r="AE6582">
        <v>-4.31899999999956E-2</v>
      </c>
      <c r="AF6582">
        <v>1.3650951024376601</v>
      </c>
      <c r="AG6582">
        <v>-0.21040539999999999</v>
      </c>
      <c r="AH6582">
        <v>70.858340366207102</v>
      </c>
      <c r="AI6582">
        <v>90.170100928334307</v>
      </c>
      <c r="AJ6582">
        <v>88.896325916189397</v>
      </c>
      <c r="AK6582">
        <v>70.871800841549799</v>
      </c>
      <c r="AL6582">
        <v>91.431853724544794</v>
      </c>
      <c r="AM6582">
        <v>86.645434860591493</v>
      </c>
      <c r="AN6582">
        <v>0.99999996946115999</v>
      </c>
    </row>
    <row r="6583" spans="1:40" x14ac:dyDescent="0.25">
      <c r="A6583" t="str">
        <f>"20190312161444958"</f>
        <v>20190312161444958</v>
      </c>
      <c r="B6583" t="str">
        <f>"1552378484952880"</f>
        <v>1552378484952880</v>
      </c>
      <c r="C6583" t="s">
        <v>40</v>
      </c>
      <c r="D6583">
        <v>4.9076589999999998</v>
      </c>
      <c r="E6583">
        <v>0.48347570000000001</v>
      </c>
      <c r="F6583" t="s">
        <v>77</v>
      </c>
      <c r="G6583">
        <v>-202.1849</v>
      </c>
      <c r="H6583" s="1">
        <v>-4.7482660000000003E-6</v>
      </c>
      <c r="I6583">
        <v>-63.120480000000001</v>
      </c>
      <c r="J6583">
        <v>-228.06059999999999</v>
      </c>
      <c r="K6583">
        <v>1.108941</v>
      </c>
      <c r="L6583">
        <v>-63.192500000000003</v>
      </c>
      <c r="M6583">
        <v>0.99980080000000005</v>
      </c>
      <c r="N6583">
        <v>0</v>
      </c>
      <c r="O6583">
        <v>1.8519130000000002E-2</v>
      </c>
      <c r="P6583">
        <v>0.99866980000000005</v>
      </c>
      <c r="Q6583">
        <v>-3.2646950000000001E-2</v>
      </c>
      <c r="R6583">
        <v>-3.9913799999999999E-2</v>
      </c>
      <c r="S6583">
        <v>3.0001829999999998</v>
      </c>
      <c r="T6583">
        <v>-0.12778</v>
      </c>
      <c r="U6583">
        <v>8.6364749999999994E-3</v>
      </c>
      <c r="V6583">
        <v>5.8387519999999998E-2</v>
      </c>
      <c r="W6583">
        <v>-2.5234980000000001E-2</v>
      </c>
      <c r="X6583">
        <v>0.99797499999999995</v>
      </c>
      <c r="Y6583">
        <v>1.5610479999999999E-2</v>
      </c>
      <c r="Z6583">
        <v>-1.1206460000000001E-3</v>
      </c>
      <c r="AA6583">
        <v>0.99987749999999997</v>
      </c>
      <c r="AB6583">
        <v>31</v>
      </c>
      <c r="AC6583">
        <v>25.875699999999899</v>
      </c>
      <c r="AD6583">
        <v>-1.1089457482659999</v>
      </c>
      <c r="AE6583">
        <v>7.2019999999994797E-2</v>
      </c>
      <c r="AF6583">
        <v>0.40645455245768403</v>
      </c>
      <c r="AG6583">
        <v>-1.1089457482659999</v>
      </c>
      <c r="AH6583">
        <v>25.825163507502701</v>
      </c>
      <c r="AI6583">
        <v>92.458495510213297</v>
      </c>
      <c r="AJ6583">
        <v>89.098313246959805</v>
      </c>
      <c r="AK6583">
        <v>25.8521572826149</v>
      </c>
      <c r="AL6583">
        <v>91.446011343514499</v>
      </c>
      <c r="AM6583">
        <v>86.651670339907099</v>
      </c>
      <c r="AN6583">
        <v>1.00000000366617</v>
      </c>
    </row>
    <row r="6584" spans="1:40" x14ac:dyDescent="0.25">
      <c r="A6584" t="str">
        <f>"20190312161444969"</f>
        <v>20190312161444969</v>
      </c>
      <c r="B6584" t="str">
        <f>"1552378484962640"</f>
        <v>1552378484962640</v>
      </c>
      <c r="C6584" t="s">
        <v>40</v>
      </c>
      <c r="D6584">
        <v>4.9739000000000004</v>
      </c>
      <c r="E6584">
        <v>0.48398239999999998</v>
      </c>
      <c r="F6584" t="s">
        <v>77</v>
      </c>
      <c r="G6584">
        <v>-194.1524</v>
      </c>
      <c r="H6584" s="1">
        <v>-8.2439540000000002E-6</v>
      </c>
      <c r="I6584">
        <v>-63.05735</v>
      </c>
      <c r="J6584">
        <v>-227.899</v>
      </c>
      <c r="K6584">
        <v>1.108941</v>
      </c>
      <c r="L6584">
        <v>-63.189639999999997</v>
      </c>
      <c r="M6584">
        <v>0.9998032</v>
      </c>
      <c r="N6584">
        <v>0</v>
      </c>
      <c r="O6584">
        <v>1.8386679999999999E-2</v>
      </c>
      <c r="P6584">
        <v>0.99865899999999996</v>
      </c>
      <c r="Q6584">
        <v>-3.2879730000000003E-2</v>
      </c>
      <c r="R6584">
        <v>-3.9993819999999999E-2</v>
      </c>
      <c r="S6584">
        <v>3.0012819999999998</v>
      </c>
      <c r="T6584">
        <v>-9.8155259999999994E-2</v>
      </c>
      <c r="U6584">
        <v>1.196289E-2</v>
      </c>
      <c r="V6584">
        <v>5.8335060000000001E-2</v>
      </c>
      <c r="W6584">
        <v>-2.546849E-2</v>
      </c>
      <c r="X6584">
        <v>0.99797210000000003</v>
      </c>
      <c r="Y6584">
        <v>1.4384299999999999E-2</v>
      </c>
      <c r="Z6584">
        <v>-8.3630049999999995E-4</v>
      </c>
      <c r="AA6584">
        <v>0.99989620000000001</v>
      </c>
      <c r="AB6584">
        <v>32</v>
      </c>
      <c r="AC6584">
        <v>33.746600000000001</v>
      </c>
      <c r="AD6584">
        <v>-1.1089492439540001</v>
      </c>
      <c r="AE6584">
        <v>0.13229000000000399</v>
      </c>
      <c r="AF6584">
        <v>0.48771087028933602</v>
      </c>
      <c r="AG6584">
        <v>-1.1089492439540001</v>
      </c>
      <c r="AH6584">
        <v>33.706929429502303</v>
      </c>
      <c r="AI6584">
        <v>91.8841395552043</v>
      </c>
      <c r="AJ6584">
        <v>89.171036189364401</v>
      </c>
      <c r="AK6584">
        <v>33.728692857626598</v>
      </c>
      <c r="AL6584">
        <v>91.459394834863502</v>
      </c>
      <c r="AM6584">
        <v>86.654662211378906</v>
      </c>
      <c r="AN6584">
        <v>0.99999996779324596</v>
      </c>
    </row>
    <row r="6585" spans="1:40" x14ac:dyDescent="0.25">
      <c r="A6585" t="str">
        <f>"20190312161444980"</f>
        <v>20190312161444980</v>
      </c>
      <c r="B6585" t="str">
        <f>"1552378484973376"</f>
        <v>1552378484973376</v>
      </c>
      <c r="C6585" t="s">
        <v>40</v>
      </c>
      <c r="D6585">
        <v>4.8815569999999999</v>
      </c>
      <c r="E6585">
        <v>0.48417470000000001</v>
      </c>
      <c r="F6585" t="s">
        <v>77</v>
      </c>
      <c r="G6585">
        <v>-187.99010000000001</v>
      </c>
      <c r="H6585" s="1">
        <v>-1.00625899999999E-5</v>
      </c>
      <c r="I6585">
        <v>-63.090629999999997</v>
      </c>
      <c r="J6585">
        <v>-227.74359999999999</v>
      </c>
      <c r="K6585">
        <v>1.1089389999999999</v>
      </c>
      <c r="L6585">
        <v>-63.186919999999901</v>
      </c>
      <c r="M6585">
        <v>0.99980559999999996</v>
      </c>
      <c r="N6585">
        <v>0</v>
      </c>
      <c r="O6585">
        <v>1.8259419999999998E-2</v>
      </c>
      <c r="P6585">
        <v>0.99865630000000005</v>
      </c>
      <c r="Q6585">
        <v>-3.2936E-2</v>
      </c>
      <c r="R6585">
        <v>-4.001565E-2</v>
      </c>
      <c r="S6585">
        <v>3.0015719999999999</v>
      </c>
      <c r="T6585">
        <v>-8.3404779999999998E-2</v>
      </c>
      <c r="U6585">
        <v>7.446289E-3</v>
      </c>
      <c r="V6585">
        <v>5.8229719999999999E-2</v>
      </c>
      <c r="W6585">
        <v>-2.5524769999999999E-2</v>
      </c>
      <c r="X6585">
        <v>0.9979768</v>
      </c>
      <c r="Y6585">
        <v>1.5766369999999998E-2</v>
      </c>
      <c r="Z6585">
        <v>-7.2627429999999897E-4</v>
      </c>
      <c r="AA6585">
        <v>0.99987539999999997</v>
      </c>
      <c r="AB6585">
        <v>32</v>
      </c>
      <c r="AC6585">
        <v>39.753499999999903</v>
      </c>
      <c r="AD6585">
        <v>-1.10894906258999</v>
      </c>
      <c r="AE6585">
        <v>9.6289999999989107E-2</v>
      </c>
      <c r="AF6585">
        <v>0.62913243177463596</v>
      </c>
      <c r="AG6585">
        <v>-1.10894906258999</v>
      </c>
      <c r="AH6585">
        <v>39.7177234776901</v>
      </c>
      <c r="AI6585">
        <v>91.599125754038198</v>
      </c>
      <c r="AJ6585">
        <v>89.092505420992495</v>
      </c>
      <c r="AK6585">
        <v>39.738182317393203</v>
      </c>
      <c r="AL6585">
        <v>91.462620510608104</v>
      </c>
      <c r="AM6585">
        <v>86.660705147254902</v>
      </c>
      <c r="AN6585">
        <v>0.99999995375653405</v>
      </c>
    </row>
    <row r="6586" spans="1:40" x14ac:dyDescent="0.25">
      <c r="A6586" t="str">
        <f>"20190312161444991"</f>
        <v>20190312161444991</v>
      </c>
      <c r="B6586" t="str">
        <f>"1552378484983136"</f>
        <v>1552378484983136</v>
      </c>
      <c r="C6586" t="s">
        <v>40</v>
      </c>
      <c r="D6586">
        <v>4.9693940000000003</v>
      </c>
      <c r="E6586">
        <v>0.48438439999999999</v>
      </c>
      <c r="F6586" t="s">
        <v>77</v>
      </c>
      <c r="G6586">
        <v>-189.93209999999999</v>
      </c>
      <c r="H6586" s="1">
        <v>-1.027342E-5</v>
      </c>
      <c r="I6586">
        <v>-63.112340000000003</v>
      </c>
      <c r="J6586">
        <v>-227.58670000000001</v>
      </c>
      <c r="K6586">
        <v>1.1089340000000001</v>
      </c>
      <c r="L6586">
        <v>-63.184139999999999</v>
      </c>
      <c r="M6586">
        <v>0.99980789999999997</v>
      </c>
      <c r="N6586">
        <v>0</v>
      </c>
      <c r="O6586">
        <v>1.8130790000000001E-2</v>
      </c>
      <c r="P6586">
        <v>0.99864909999999996</v>
      </c>
      <c r="Q6586">
        <v>-3.3065320000000002E-2</v>
      </c>
      <c r="R6586">
        <v>-4.0083390000000003E-2</v>
      </c>
      <c r="S6586">
        <v>3.0013730000000001</v>
      </c>
      <c r="T6586">
        <v>-8.8025329999999999E-2</v>
      </c>
      <c r="U6586">
        <v>5.9204100000000001E-3</v>
      </c>
      <c r="V6586">
        <v>5.8169129999999999E-2</v>
      </c>
      <c r="W6586">
        <v>-2.5653349999999998E-2</v>
      </c>
      <c r="X6586">
        <v>0.99797709999999995</v>
      </c>
      <c r="Y6586">
        <v>1.6144289999999999E-2</v>
      </c>
      <c r="Z6586">
        <v>-7.6831369999999998E-4</v>
      </c>
      <c r="AA6586">
        <v>0.99986940000000002</v>
      </c>
      <c r="AB6586">
        <v>32</v>
      </c>
      <c r="AC6586">
        <v>37.654600000000002</v>
      </c>
      <c r="AD6586">
        <v>-1.1089442734199999</v>
      </c>
      <c r="AE6586">
        <v>7.1799999999996006E-2</v>
      </c>
      <c r="AF6586">
        <v>0.61040894976243498</v>
      </c>
      <c r="AG6586">
        <v>-1.1089442734199999</v>
      </c>
      <c r="AH6586">
        <v>37.617085727260402</v>
      </c>
      <c r="AI6586">
        <v>91.688357103454706</v>
      </c>
      <c r="AJ6586">
        <v>89.070348307888807</v>
      </c>
      <c r="AK6586">
        <v>37.638377955214303</v>
      </c>
      <c r="AL6586">
        <v>91.469989922338101</v>
      </c>
      <c r="AM6586">
        <v>86.664172946620795</v>
      </c>
      <c r="AN6586">
        <v>1.0000000170877901</v>
      </c>
    </row>
    <row r="6587" spans="1:40" x14ac:dyDescent="0.25">
      <c r="A6587" t="str">
        <f>"20190312161445001"</f>
        <v>20190312161445001</v>
      </c>
      <c r="B6587" t="str">
        <f>"1552378484992896"</f>
        <v>1552378484992896</v>
      </c>
      <c r="C6587" t="s">
        <v>40</v>
      </c>
      <c r="D6587">
        <v>4.964334</v>
      </c>
      <c r="E6587">
        <v>0.48369640000000003</v>
      </c>
      <c r="F6587" t="s">
        <v>77</v>
      </c>
      <c r="G6587">
        <v>-185.8374</v>
      </c>
      <c r="H6587" s="1">
        <v>-9.8238500000000008E-6</v>
      </c>
      <c r="I6587">
        <v>-63.130229999999997</v>
      </c>
      <c r="J6587">
        <v>-227.43119999999999</v>
      </c>
      <c r="K6587">
        <v>1.108932</v>
      </c>
      <c r="L6587">
        <v>-63.181460000000001</v>
      </c>
      <c r="M6587">
        <v>0.99981010000000003</v>
      </c>
      <c r="N6587">
        <v>0</v>
      </c>
      <c r="O6587">
        <v>1.8003459999999999E-2</v>
      </c>
      <c r="P6587">
        <v>0.99866370000000004</v>
      </c>
      <c r="Q6587">
        <v>-3.2843499999999998E-2</v>
      </c>
      <c r="R6587">
        <v>-3.990486E-2</v>
      </c>
      <c r="S6587">
        <v>3.0015559999999999</v>
      </c>
      <c r="T6587">
        <v>-7.9727290000000006E-2</v>
      </c>
      <c r="U6587">
        <v>3.8757319999999998E-3</v>
      </c>
      <c r="V6587">
        <v>5.7863570000000003E-2</v>
      </c>
      <c r="W6587">
        <v>-2.5428429999999998E-2</v>
      </c>
      <c r="X6587">
        <v>0.99800060000000002</v>
      </c>
      <c r="Y6587">
        <v>1.6700679999999999E-2</v>
      </c>
      <c r="Z6587">
        <v>-6.9987800000000002E-4</v>
      </c>
      <c r="AA6587">
        <v>0.99986030000000004</v>
      </c>
      <c r="AB6587">
        <v>32</v>
      </c>
      <c r="AC6587">
        <v>41.593799999999902</v>
      </c>
      <c r="AD6587">
        <v>-1.10894182385</v>
      </c>
      <c r="AE6587">
        <v>5.1229999999989603E-2</v>
      </c>
      <c r="AF6587">
        <v>0.69713591309641099</v>
      </c>
      <c r="AG6587">
        <v>-1.10894182385</v>
      </c>
      <c r="AH6587">
        <v>41.558440062736601</v>
      </c>
      <c r="AI6587">
        <v>91.528298005238597</v>
      </c>
      <c r="AJ6587">
        <v>89.038962974613099</v>
      </c>
      <c r="AK6587">
        <v>41.579077561894998</v>
      </c>
      <c r="AL6587">
        <v>91.457098778689002</v>
      </c>
      <c r="AM6587">
        <v>86.681734607727705</v>
      </c>
      <c r="AN6587">
        <v>0.99999999769288395</v>
      </c>
    </row>
    <row r="6588" spans="1:40" x14ac:dyDescent="0.25">
      <c r="A6588" t="str">
        <f>"20190312161445013"</f>
        <v>20190312161445013</v>
      </c>
      <c r="B6588" t="str">
        <f>"1552378485002656"</f>
        <v>1552378485002656</v>
      </c>
      <c r="C6588" t="s">
        <v>40</v>
      </c>
      <c r="D6588">
        <v>5.0183299999999997</v>
      </c>
      <c r="E6588">
        <v>0.48369640000000003</v>
      </c>
      <c r="F6588" t="s">
        <v>77</v>
      </c>
      <c r="G6588">
        <v>-182.6499</v>
      </c>
      <c r="H6588" s="1">
        <v>-9.5402560000000004E-6</v>
      </c>
      <c r="I6588">
        <v>-63.034419999999997</v>
      </c>
      <c r="J6588">
        <v>-227.27879999999999</v>
      </c>
      <c r="K6588">
        <v>1.1089310000000001</v>
      </c>
      <c r="L6588">
        <v>-63.178800000000003</v>
      </c>
      <c r="M6588">
        <v>0.99981229999999999</v>
      </c>
      <c r="N6588">
        <v>0</v>
      </c>
      <c r="O6588">
        <v>1.787863E-2</v>
      </c>
      <c r="P6588">
        <v>0.99867919999999999</v>
      </c>
      <c r="Q6588">
        <v>-3.2686390000000003E-2</v>
      </c>
      <c r="R6588">
        <v>-3.9642839999999999E-2</v>
      </c>
      <c r="S6588">
        <v>3.0019840000000002</v>
      </c>
      <c r="T6588">
        <v>-7.4339630000000004E-2</v>
      </c>
      <c r="U6588">
        <v>9.8571779999999994E-3</v>
      </c>
      <c r="V6588">
        <v>5.7477689999999998E-2</v>
      </c>
      <c r="W6588">
        <v>-2.5266219999999999E-2</v>
      </c>
      <c r="X6588">
        <v>0.998027</v>
      </c>
      <c r="Y6588">
        <v>1.458606E-2</v>
      </c>
      <c r="Z6588">
        <v>-6.2323260000000003E-4</v>
      </c>
      <c r="AA6588">
        <v>0.99989340000000004</v>
      </c>
      <c r="AB6588">
        <v>32</v>
      </c>
      <c r="AC6588">
        <v>44.628899999999902</v>
      </c>
      <c r="AD6588">
        <v>-1.108940540256</v>
      </c>
      <c r="AE6588">
        <v>0.144380000000005</v>
      </c>
      <c r="AF6588">
        <v>0.65316562249325205</v>
      </c>
      <c r="AG6588">
        <v>-1.108940540256</v>
      </c>
      <c r="AH6588">
        <v>44.596812813877897</v>
      </c>
      <c r="AI6588">
        <v>91.424265745848601</v>
      </c>
      <c r="AJ6588">
        <v>89.160905104798601</v>
      </c>
      <c r="AK6588">
        <v>44.615379496405701</v>
      </c>
      <c r="AL6588">
        <v>91.447801869222701</v>
      </c>
      <c r="AM6588">
        <v>86.703901465848205</v>
      </c>
      <c r="AN6588">
        <v>0.99999997972491195</v>
      </c>
    </row>
    <row r="6589" spans="1:40" x14ac:dyDescent="0.25">
      <c r="A6589" t="str">
        <f>"20190312161445024"</f>
        <v>20190312161445024</v>
      </c>
      <c r="B6589" t="str">
        <f>"1552378485013392"</f>
        <v>1552378485013392</v>
      </c>
      <c r="C6589" t="s">
        <v>40</v>
      </c>
      <c r="D6589">
        <v>4.9971379999999996</v>
      </c>
      <c r="E6589">
        <v>0.45323940000000001</v>
      </c>
      <c r="F6589" t="s">
        <v>77</v>
      </c>
      <c r="G6589">
        <v>-182.23349999999999</v>
      </c>
      <c r="H6589" s="1">
        <v>-9.5041060000000008E-6</v>
      </c>
      <c r="I6589">
        <v>-63.019449999999999</v>
      </c>
      <c r="J6589">
        <v>-227.1183</v>
      </c>
      <c r="K6589">
        <v>1.10893</v>
      </c>
      <c r="L6589">
        <v>-63.17606</v>
      </c>
      <c r="M6589">
        <v>0.9998146</v>
      </c>
      <c r="N6589">
        <v>0</v>
      </c>
      <c r="O6589">
        <v>1.7747099999999998E-2</v>
      </c>
      <c r="P6589">
        <v>0.99869160000000001</v>
      </c>
      <c r="Q6589">
        <v>-3.272183E-2</v>
      </c>
      <c r="R6589">
        <v>-3.9296209999999998E-2</v>
      </c>
      <c r="S6589">
        <v>3.0019529999999999</v>
      </c>
      <c r="T6589">
        <v>-7.3903079999999996E-2</v>
      </c>
      <c r="U6589">
        <v>1.062012E-2</v>
      </c>
      <c r="V6589">
        <v>5.6999979999999999E-2</v>
      </c>
      <c r="W6589">
        <v>-2.5293690000000001E-2</v>
      </c>
      <c r="X6589">
        <v>0.99805370000000004</v>
      </c>
      <c r="Y6589">
        <v>1.420065E-2</v>
      </c>
      <c r="Z6589">
        <v>-6.1159940000000002E-4</v>
      </c>
      <c r="AA6589">
        <v>0.99989899999999998</v>
      </c>
      <c r="AB6589">
        <v>32</v>
      </c>
      <c r="AC6589">
        <v>44.884799999999998</v>
      </c>
      <c r="AD6589">
        <v>-1.108939504106</v>
      </c>
      <c r="AE6589">
        <v>0.15661</v>
      </c>
      <c r="AF6589">
        <v>0.63962150555035302</v>
      </c>
      <c r="AG6589">
        <v>-1.108939504106</v>
      </c>
      <c r="AH6589">
        <v>44.8531318692607</v>
      </c>
      <c r="AI6589">
        <v>91.416136483956805</v>
      </c>
      <c r="AJ6589">
        <v>89.182997321734206</v>
      </c>
      <c r="AK6589">
        <v>44.8713973592914</v>
      </c>
      <c r="AL6589">
        <v>91.449376289581394</v>
      </c>
      <c r="AM6589">
        <v>86.731323686461707</v>
      </c>
      <c r="AN6589">
        <v>0.99999997827875298</v>
      </c>
    </row>
    <row r="6590" spans="1:40" x14ac:dyDescent="0.25">
      <c r="A6590" t="str">
        <f>"20190312161445036"</f>
        <v>20190312161445036</v>
      </c>
      <c r="B6590" t="str">
        <f>"1552378485032912"</f>
        <v>1552378485032912</v>
      </c>
      <c r="C6590" t="s">
        <v>40</v>
      </c>
      <c r="D6590">
        <v>4.9583959999999996</v>
      </c>
      <c r="E6590">
        <v>0.44914660000000001</v>
      </c>
      <c r="F6590" t="s">
        <v>41</v>
      </c>
      <c r="G6590">
        <v>-166.0437</v>
      </c>
      <c r="H6590">
        <v>-0.05</v>
      </c>
      <c r="I6590">
        <v>-58.022739999999999</v>
      </c>
      <c r="J6590">
        <v>-226.9512</v>
      </c>
      <c r="K6590">
        <v>1.10893</v>
      </c>
      <c r="L6590">
        <v>-63.173189999999998</v>
      </c>
      <c r="M6590">
        <v>0.99981710000000001</v>
      </c>
      <c r="N6590">
        <v>0</v>
      </c>
      <c r="O6590">
        <v>1.7610199999999999E-2</v>
      </c>
      <c r="P6590">
        <v>0.99868140000000005</v>
      </c>
      <c r="Q6590">
        <v>-3.303971E-2</v>
      </c>
      <c r="R6590">
        <v>-3.9298199999999998E-2</v>
      </c>
      <c r="S6590">
        <v>3.012054</v>
      </c>
      <c r="T6590">
        <v>-5.7155730000000002E-2</v>
      </c>
      <c r="U6590">
        <v>0.2541504</v>
      </c>
      <c r="V6590">
        <v>5.6864739999999997E-2</v>
      </c>
      <c r="W6590">
        <v>-2.56002E-2</v>
      </c>
      <c r="X6590">
        <v>0.99805359999999999</v>
      </c>
      <c r="Y6590">
        <v>-6.6508869999999998E-2</v>
      </c>
      <c r="Z6590">
        <v>2.9637210000000002E-4</v>
      </c>
      <c r="AA6590">
        <v>0.99778579999999994</v>
      </c>
      <c r="AB6590">
        <v>32</v>
      </c>
      <c r="AC6590">
        <v>60.907499999999999</v>
      </c>
      <c r="AD6590">
        <v>-1.15893</v>
      </c>
      <c r="AE6590">
        <v>5.1504500000000002</v>
      </c>
      <c r="AF6590">
        <v>-4.07556306999982</v>
      </c>
      <c r="AG6590">
        <v>-1.15893</v>
      </c>
      <c r="AH6590">
        <v>60.966840884339803</v>
      </c>
      <c r="AI6590">
        <v>91.086590383082793</v>
      </c>
      <c r="AJ6590">
        <v>93.824466734488396</v>
      </c>
      <c r="AK6590">
        <v>61.113902023180003</v>
      </c>
      <c r="AL6590">
        <v>91.466943707601502</v>
      </c>
      <c r="AM6590">
        <v>86.739061971280705</v>
      </c>
      <c r="AN6590">
        <v>0.99999997868413304</v>
      </c>
    </row>
    <row r="6591" spans="1:40" x14ac:dyDescent="0.25">
      <c r="A6591" t="str">
        <f>"20190312161445046"</f>
        <v>20190312161445046</v>
      </c>
      <c r="B6591" t="str">
        <f>"1552378485042675"</f>
        <v>1552378485042675</v>
      </c>
      <c r="C6591" t="s">
        <v>40</v>
      </c>
      <c r="D6591">
        <v>4.9046589999999997</v>
      </c>
      <c r="E6591">
        <v>0.44778390000000001</v>
      </c>
      <c r="F6591" t="s">
        <v>77</v>
      </c>
      <c r="G6591">
        <v>-179.95769999999999</v>
      </c>
      <c r="H6591">
        <v>5.958184E-3</v>
      </c>
      <c r="I6591">
        <v>-58.697420000000001</v>
      </c>
      <c r="J6591">
        <v>-226.79849999999999</v>
      </c>
      <c r="K6591">
        <v>1.1089290000000001</v>
      </c>
      <c r="L6591">
        <v>-63.1706199999999</v>
      </c>
      <c r="M6591">
        <v>0.99981900000000001</v>
      </c>
      <c r="N6591">
        <v>0</v>
      </c>
      <c r="O6591">
        <v>1.7485509999999999E-2</v>
      </c>
      <c r="P6591">
        <v>0.99869810000000003</v>
      </c>
      <c r="Q6591">
        <v>-3.2924699999999897E-2</v>
      </c>
      <c r="R6591">
        <v>-3.8966010000000002E-2</v>
      </c>
      <c r="S6591">
        <v>3.0129239999999999</v>
      </c>
      <c r="T6591">
        <v>-7.0715550000000002E-2</v>
      </c>
      <c r="U6591">
        <v>0.28695680000000001</v>
      </c>
      <c r="V6591">
        <v>5.6408569999999998E-2</v>
      </c>
      <c r="W6591">
        <v>-2.5472749999999999E-2</v>
      </c>
      <c r="X6591">
        <v>0.99808280000000005</v>
      </c>
      <c r="Y6591">
        <v>-7.737484E-2</v>
      </c>
      <c r="Z6591">
        <v>4.9652219999999996E-4</v>
      </c>
      <c r="AA6591">
        <v>0.9970019</v>
      </c>
      <c r="AB6591">
        <v>32</v>
      </c>
      <c r="AC6591">
        <v>46.840800000000002</v>
      </c>
      <c r="AD6591">
        <v>-1.102970816</v>
      </c>
      <c r="AE6591">
        <v>4.4731999999999896</v>
      </c>
      <c r="AF6591">
        <v>-3.6514514524752402</v>
      </c>
      <c r="AG6591">
        <v>-1.102970816</v>
      </c>
      <c r="AH6591">
        <v>46.886094738107502</v>
      </c>
      <c r="AI6591">
        <v>91.343537909674893</v>
      </c>
      <c r="AJ6591">
        <v>94.453160810439996</v>
      </c>
      <c r="AK6591">
        <v>47.040998311276503</v>
      </c>
      <c r="AL6591">
        <v>91.459638900790395</v>
      </c>
      <c r="AM6591">
        <v>86.765259936255006</v>
      </c>
      <c r="AN6591">
        <v>1.0000000317089199</v>
      </c>
    </row>
    <row r="6592" spans="1:40" x14ac:dyDescent="0.25">
      <c r="A6592" t="str">
        <f>"20190312161445058"</f>
        <v>20190312161445058</v>
      </c>
      <c r="B6592" t="str">
        <f>"1552378485053408"</f>
        <v>1552378485053408</v>
      </c>
      <c r="C6592" t="s">
        <v>40</v>
      </c>
      <c r="D6592">
        <v>4.9977090000000004</v>
      </c>
      <c r="E6592">
        <v>0.44727359999999999</v>
      </c>
      <c r="F6592" t="s">
        <v>77</v>
      </c>
      <c r="G6592">
        <v>-176.24369999999999</v>
      </c>
      <c r="H6592">
        <v>7.9986580000000002E-2</v>
      </c>
      <c r="I6592">
        <v>-58.160060000000001</v>
      </c>
      <c r="J6592">
        <v>-226.63249999999999</v>
      </c>
      <c r="K6592">
        <v>1.1089310000000001</v>
      </c>
      <c r="L6592">
        <v>-63.167879999999997</v>
      </c>
      <c r="M6592">
        <v>0.99982119999999997</v>
      </c>
      <c r="N6592">
        <v>0</v>
      </c>
      <c r="O6592">
        <v>1.7349900000000001E-2</v>
      </c>
      <c r="P6592">
        <v>0.99869940000000001</v>
      </c>
      <c r="Q6592">
        <v>-3.3234199999999998E-2</v>
      </c>
      <c r="R6592">
        <v>-3.8664610000000002E-2</v>
      </c>
      <c r="S6592">
        <v>3.0135350000000001</v>
      </c>
      <c r="T6592">
        <v>-6.1334489999999998E-2</v>
      </c>
      <c r="U6592">
        <v>0.29867549999999998</v>
      </c>
      <c r="V6592">
        <v>5.597183E-2</v>
      </c>
      <c r="W6592">
        <v>-2.5764519999999999E-2</v>
      </c>
      <c r="X6592">
        <v>0.99809990000000004</v>
      </c>
      <c r="Y6592">
        <v>-8.1334379999999998E-2</v>
      </c>
      <c r="Z6592">
        <v>4.7344759999999998E-4</v>
      </c>
      <c r="AA6592">
        <v>0.99668679999999998</v>
      </c>
      <c r="AB6592">
        <v>32</v>
      </c>
      <c r="AC6592">
        <v>50.388800000000003</v>
      </c>
      <c r="AD6592">
        <v>-1.02894442</v>
      </c>
      <c r="AE6592">
        <v>5.0078199999999997</v>
      </c>
      <c r="AF6592">
        <v>-4.1310950766322101</v>
      </c>
      <c r="AG6592">
        <v>-1.02894442</v>
      </c>
      <c r="AH6592">
        <v>50.447272845532297</v>
      </c>
      <c r="AI6592">
        <v>91.164570387795806</v>
      </c>
      <c r="AJ6592">
        <v>94.681469139847493</v>
      </c>
      <c r="AK6592">
        <v>50.626593907779402</v>
      </c>
      <c r="AL6592">
        <v>91.476361576108701</v>
      </c>
      <c r="AM6592">
        <v>86.790307025423402</v>
      </c>
      <c r="AN6592">
        <v>1.0000000333121899</v>
      </c>
    </row>
    <row r="6593" spans="1:40" x14ac:dyDescent="0.25">
      <c r="A6593" t="str">
        <f>"20190312161445070"</f>
        <v>20190312161445070</v>
      </c>
      <c r="B6593" t="str">
        <f>"1552378485063168"</f>
        <v>1552378485063168</v>
      </c>
      <c r="C6593" t="s">
        <v>40</v>
      </c>
      <c r="D6593">
        <v>4.9061539999999999</v>
      </c>
      <c r="E6593">
        <v>0.44731349999999998</v>
      </c>
      <c r="F6593" t="s">
        <v>41</v>
      </c>
      <c r="G6593">
        <v>-166.2166</v>
      </c>
      <c r="H6593">
        <v>-0.05</v>
      </c>
      <c r="I6593">
        <v>-57.083100000000002</v>
      </c>
      <c r="J6593">
        <v>-226.4709</v>
      </c>
      <c r="K6593">
        <v>1.1089329999999999</v>
      </c>
      <c r="L6593">
        <v>-63.16516</v>
      </c>
      <c r="M6593">
        <v>0.99982349999999998</v>
      </c>
      <c r="N6593">
        <v>0</v>
      </c>
      <c r="O6593">
        <v>1.7217619999999999E-2</v>
      </c>
      <c r="P6593">
        <v>0.99868349999999995</v>
      </c>
      <c r="Q6593">
        <v>-3.3554399999999998E-2</v>
      </c>
      <c r="R6593">
        <v>-3.880173E-2</v>
      </c>
      <c r="S6593">
        <v>3.0137330000000002</v>
      </c>
      <c r="T6593">
        <v>-5.7811019999999998E-2</v>
      </c>
      <c r="U6593">
        <v>0.30352780000000001</v>
      </c>
      <c r="V6593">
        <v>5.5976289999999998E-2</v>
      </c>
      <c r="W6593">
        <v>-2.6066659999999998E-2</v>
      </c>
      <c r="X6593">
        <v>0.99809179999999997</v>
      </c>
      <c r="Y6593">
        <v>-8.3049699999999907E-2</v>
      </c>
      <c r="Z6593">
        <v>4.6512940000000003E-4</v>
      </c>
      <c r="AA6593">
        <v>0.99654529999999997</v>
      </c>
      <c r="AB6593">
        <v>32</v>
      </c>
      <c r="AC6593">
        <v>60.254300000000001</v>
      </c>
      <c r="AD6593">
        <v>-1.158933</v>
      </c>
      <c r="AE6593">
        <v>6.0820599999999896</v>
      </c>
      <c r="AF6593">
        <v>-5.04184701056995</v>
      </c>
      <c r="AG6593">
        <v>-1.158933</v>
      </c>
      <c r="AH6593">
        <v>60.3279961921751</v>
      </c>
      <c r="AI6593">
        <v>91.096724641216397</v>
      </c>
      <c r="AJ6593">
        <v>94.777330841993702</v>
      </c>
      <c r="AK6593">
        <v>60.549405212104098</v>
      </c>
      <c r="AL6593">
        <v>91.493678745818798</v>
      </c>
      <c r="AM6593">
        <v>86.790025806644195</v>
      </c>
      <c r="AN6593">
        <v>1.0000000285164701</v>
      </c>
    </row>
    <row r="6594" spans="1:40" x14ac:dyDescent="0.25">
      <c r="A6594" t="str">
        <f>"20190312161445079"</f>
        <v>20190312161445079</v>
      </c>
      <c r="B6594" t="str">
        <f>"1552378485072928"</f>
        <v>1552378485072928</v>
      </c>
      <c r="C6594" t="s">
        <v>40</v>
      </c>
      <c r="D6594">
        <v>4.969811</v>
      </c>
      <c r="E6594">
        <v>0.44682240000000001</v>
      </c>
      <c r="F6594" t="s">
        <v>41</v>
      </c>
      <c r="G6594">
        <v>-167.97450000000001</v>
      </c>
      <c r="H6594">
        <v>-0.05</v>
      </c>
      <c r="I6594">
        <v>-57.286670000000001</v>
      </c>
      <c r="J6594">
        <v>-226.3133</v>
      </c>
      <c r="K6594">
        <v>1.1089340000000001</v>
      </c>
      <c r="L6594">
        <v>-63.162570000000002</v>
      </c>
      <c r="M6594">
        <v>0.99982550000000003</v>
      </c>
      <c r="N6594">
        <v>0</v>
      </c>
      <c r="O6594">
        <v>1.7088829999999999E-2</v>
      </c>
      <c r="P6594">
        <v>0.99868599999999996</v>
      </c>
      <c r="Q6594">
        <v>-3.3501589999999998E-2</v>
      </c>
      <c r="R6594">
        <v>-3.8784100000000002E-2</v>
      </c>
      <c r="S6594">
        <v>3.0137019999999999</v>
      </c>
      <c r="T6594">
        <v>-5.970752E-2</v>
      </c>
      <c r="U6594">
        <v>0.30285640000000003</v>
      </c>
      <c r="V6594">
        <v>5.5830039999999997E-2</v>
      </c>
      <c r="W6594">
        <v>-2.599187E-2</v>
      </c>
      <c r="X6594">
        <v>0.99810189999999999</v>
      </c>
      <c r="Y6594">
        <v>-8.2958459999999998E-2</v>
      </c>
      <c r="Z6594">
        <v>4.8203699999999999E-4</v>
      </c>
      <c r="AA6594">
        <v>0.99655289999999996</v>
      </c>
      <c r="AB6594">
        <v>32</v>
      </c>
      <c r="AC6594">
        <v>58.3387999999999</v>
      </c>
      <c r="AD6594">
        <v>-1.1589339999999999</v>
      </c>
      <c r="AE6594">
        <v>5.8758999999999997</v>
      </c>
      <c r="AF6594">
        <v>-4.8761666932733299</v>
      </c>
      <c r="AG6594">
        <v>-1.1589339999999999</v>
      </c>
      <c r="AH6594">
        <v>58.4078770541145</v>
      </c>
      <c r="AI6594">
        <v>91.132778825298402</v>
      </c>
      <c r="AJ6594">
        <v>94.772256975025797</v>
      </c>
      <c r="AK6594">
        <v>58.622523244956803</v>
      </c>
      <c r="AL6594">
        <v>91.489392204462106</v>
      </c>
      <c r="AM6594">
        <v>86.798427409583496</v>
      </c>
      <c r="AN6594">
        <v>0.99999998672805401</v>
      </c>
    </row>
    <row r="6595" spans="1:40" x14ac:dyDescent="0.25">
      <c r="A6595" t="str">
        <f>"20190312161445091"</f>
        <v>20190312161445091</v>
      </c>
      <c r="B6595" t="str">
        <f>"1552378485082689"</f>
        <v>1552378485082689</v>
      </c>
      <c r="C6595" t="s">
        <v>40</v>
      </c>
      <c r="D6595">
        <v>4.9020419999999998</v>
      </c>
      <c r="E6595">
        <v>0.44673560000000001</v>
      </c>
      <c r="F6595" t="s">
        <v>77</v>
      </c>
      <c r="G6595">
        <v>-176.73400000000001</v>
      </c>
      <c r="H6595">
        <v>7.9986589999999996E-2</v>
      </c>
      <c r="I6595">
        <v>-58.114019999999996</v>
      </c>
      <c r="J6595">
        <v>-226.15549999999999</v>
      </c>
      <c r="K6595">
        <v>1.1089340000000001</v>
      </c>
      <c r="L6595">
        <v>-63.159970000000001</v>
      </c>
      <c r="M6595">
        <v>0.99982740000000003</v>
      </c>
      <c r="N6595">
        <v>0</v>
      </c>
      <c r="O6595">
        <v>1.6960050000000001E-2</v>
      </c>
      <c r="P6595">
        <v>0.99869649999999999</v>
      </c>
      <c r="Q6595">
        <v>-3.354145E-2</v>
      </c>
      <c r="R6595">
        <v>-3.8475820000000001E-2</v>
      </c>
      <c r="S6595">
        <v>3.013763</v>
      </c>
      <c r="T6595">
        <v>-6.2546370000000004E-2</v>
      </c>
      <c r="U6595">
        <v>0.30688480000000001</v>
      </c>
      <c r="V6595">
        <v>5.5393400000000002E-2</v>
      </c>
      <c r="W6595">
        <v>-2.600887E-2</v>
      </c>
      <c r="X6595">
        <v>0.99812579999999995</v>
      </c>
      <c r="Y6595">
        <v>-8.4401699999999996E-2</v>
      </c>
      <c r="Z6595">
        <v>5.2250829999999997E-4</v>
      </c>
      <c r="AA6595">
        <v>0.99643159999999997</v>
      </c>
      <c r="AB6595">
        <v>32</v>
      </c>
      <c r="AC6595">
        <v>49.421499999999902</v>
      </c>
      <c r="AD6595">
        <v>-1.02894741</v>
      </c>
      <c r="AE6595">
        <v>5.0459499999999897</v>
      </c>
      <c r="AF6595">
        <v>-4.20520496245401</v>
      </c>
      <c r="AG6595">
        <v>-1.02894741</v>
      </c>
      <c r="AH6595">
        <v>49.478747166035397</v>
      </c>
      <c r="AI6595">
        <v>91.187058398072097</v>
      </c>
      <c r="AJ6595">
        <v>94.857901245642196</v>
      </c>
      <c r="AK6595">
        <v>49.667785361028997</v>
      </c>
      <c r="AL6595">
        <v>91.490366540321901</v>
      </c>
      <c r="AM6595">
        <v>86.823490949255799</v>
      </c>
      <c r="AN6595">
        <v>1.0000000013539301</v>
      </c>
    </row>
    <row r="6596" spans="1:40" x14ac:dyDescent="0.25">
      <c r="A6596" t="str">
        <f>"20190312161445102"</f>
        <v>20190312161445102</v>
      </c>
      <c r="B6596" t="str">
        <f>"1552378485093424"</f>
        <v>1552378485093424</v>
      </c>
      <c r="C6596" t="s">
        <v>40</v>
      </c>
      <c r="D6596">
        <v>4.9258810000000004</v>
      </c>
      <c r="E6596">
        <v>0.4467373</v>
      </c>
      <c r="F6596" t="s">
        <v>77</v>
      </c>
      <c r="G6596">
        <v>-178.24870000000001</v>
      </c>
      <c r="H6596">
        <v>7.9986559999999998E-2</v>
      </c>
      <c r="I6596">
        <v>-58.255339999999997</v>
      </c>
      <c r="J6596">
        <v>-225.99950000000001</v>
      </c>
      <c r="K6596">
        <v>1.1089359999999999</v>
      </c>
      <c r="L6596">
        <v>-63.157440000000001</v>
      </c>
      <c r="M6596">
        <v>0.99982950000000004</v>
      </c>
      <c r="N6596">
        <v>0</v>
      </c>
      <c r="O6596">
        <v>1.6832570000000002E-2</v>
      </c>
      <c r="P6596">
        <v>0.99869229999999998</v>
      </c>
      <c r="Q6596">
        <v>-3.372182E-2</v>
      </c>
      <c r="R6596">
        <v>-3.8427129999999997E-2</v>
      </c>
      <c r="S6596">
        <v>3.0136409999999998</v>
      </c>
      <c r="T6596">
        <v>-6.4727309999999996E-2</v>
      </c>
      <c r="U6596">
        <v>0.30853269999999999</v>
      </c>
      <c r="V6596">
        <v>5.5217429999999998E-2</v>
      </c>
      <c r="W6596">
        <v>-2.6165500000000001E-2</v>
      </c>
      <c r="X6596">
        <v>0.99813149999999995</v>
      </c>
      <c r="Y6596">
        <v>-8.507083E-2</v>
      </c>
      <c r="Z6596">
        <v>5.5062609999999995E-4</v>
      </c>
      <c r="AA6596">
        <v>0.99637469999999995</v>
      </c>
      <c r="AB6596">
        <v>32</v>
      </c>
      <c r="AC6596">
        <v>47.750799999999998</v>
      </c>
      <c r="AD6596">
        <v>-1.0289494400000001</v>
      </c>
      <c r="AE6596">
        <v>4.9020999999999901</v>
      </c>
      <c r="AF6596">
        <v>-4.0957316568589901</v>
      </c>
      <c r="AG6596">
        <v>-1.0289494400000001</v>
      </c>
      <c r="AH6596">
        <v>47.804586096736003</v>
      </c>
      <c r="AI6596">
        <v>91.228548762158994</v>
      </c>
      <c r="AJ6596">
        <v>94.896945697377802</v>
      </c>
      <c r="AK6596">
        <v>47.990751261418303</v>
      </c>
      <c r="AL6596">
        <v>91.499343768593704</v>
      </c>
      <c r="AM6596">
        <v>86.833579347184795</v>
      </c>
      <c r="AN6596">
        <v>1.0000000446291499</v>
      </c>
    </row>
    <row r="6597" spans="1:40" x14ac:dyDescent="0.25">
      <c r="A6597" t="str">
        <f>"20190312161445112"</f>
        <v>20190312161445112</v>
      </c>
      <c r="B6597" t="str">
        <f>"1552378485103183"</f>
        <v>1552378485103183</v>
      </c>
      <c r="C6597" t="s">
        <v>40</v>
      </c>
      <c r="D6597">
        <v>4.8901690000000002</v>
      </c>
      <c r="E6597">
        <v>0.44669819999999999</v>
      </c>
      <c r="F6597" t="s">
        <v>77</v>
      </c>
      <c r="G6597">
        <v>-179.303</v>
      </c>
      <c r="H6597">
        <v>7.9986570000000007E-2</v>
      </c>
      <c r="I6597">
        <v>-58.373309999999996</v>
      </c>
      <c r="J6597">
        <v>-225.839</v>
      </c>
      <c r="K6597">
        <v>1.1089389999999999</v>
      </c>
      <c r="L6597">
        <v>-63.154879999999999</v>
      </c>
      <c r="M6597">
        <v>0.99983149999999998</v>
      </c>
      <c r="N6597">
        <v>0</v>
      </c>
      <c r="O6597">
        <v>1.6701569999999999E-2</v>
      </c>
      <c r="P6597">
        <v>0.99869750000000002</v>
      </c>
      <c r="Q6597">
        <v>-3.3568870000000001E-2</v>
      </c>
      <c r="R6597">
        <v>-3.8426460000000003E-2</v>
      </c>
      <c r="S6597">
        <v>3.0135800000000001</v>
      </c>
      <c r="T6597">
        <v>-6.6403749999999997E-2</v>
      </c>
      <c r="U6597">
        <v>0.30874629999999997</v>
      </c>
      <c r="V6597">
        <v>5.5086080000000003E-2</v>
      </c>
      <c r="W6597">
        <v>-2.598694E-2</v>
      </c>
      <c r="X6597">
        <v>0.99814340000000001</v>
      </c>
      <c r="Y6597">
        <v>-8.5272420000000002E-2</v>
      </c>
      <c r="Z6597">
        <v>5.6998559999999897E-4</v>
      </c>
      <c r="AA6597">
        <v>0.99635750000000001</v>
      </c>
      <c r="AB6597">
        <v>32</v>
      </c>
      <c r="AC6597">
        <v>46.536000000000001</v>
      </c>
      <c r="AD6597">
        <v>-1.0289524299999999</v>
      </c>
      <c r="AE6597">
        <v>4.7815700000000003</v>
      </c>
      <c r="AF6597">
        <v>-4.0017202420675098</v>
      </c>
      <c r="AG6597">
        <v>-1.0289524299999999</v>
      </c>
      <c r="AH6597">
        <v>46.586832819809203</v>
      </c>
      <c r="AI6597">
        <v>91.260631980106297</v>
      </c>
      <c r="AJ6597">
        <v>94.909547038501202</v>
      </c>
      <c r="AK6597">
        <v>46.769707078191502</v>
      </c>
      <c r="AL6597">
        <v>91.489109588118197</v>
      </c>
      <c r="AM6597">
        <v>86.841133870622798</v>
      </c>
      <c r="AN6597">
        <v>1.0000000221119401</v>
      </c>
    </row>
    <row r="6598" spans="1:40" x14ac:dyDescent="0.25">
      <c r="A6598" t="str">
        <f>"20190312161445123"</f>
        <v>20190312161445123</v>
      </c>
      <c r="B6598" t="str">
        <f>"1552378485112947"</f>
        <v>1552378485112947</v>
      </c>
      <c r="C6598" t="s">
        <v>40</v>
      </c>
      <c r="D6598">
        <v>4.8918109999999997</v>
      </c>
      <c r="E6598">
        <v>0.4468316</v>
      </c>
      <c r="F6598" t="s">
        <v>77</v>
      </c>
      <c r="G6598">
        <v>-179.10749999999999</v>
      </c>
      <c r="H6598">
        <v>7.9986559999999998E-2</v>
      </c>
      <c r="I6598">
        <v>-58.362900000000003</v>
      </c>
      <c r="J6598">
        <v>-225.6798</v>
      </c>
      <c r="K6598">
        <v>1.108935</v>
      </c>
      <c r="L6598">
        <v>-63.15231</v>
      </c>
      <c r="M6598">
        <v>0.99983330000000004</v>
      </c>
      <c r="N6598">
        <v>0</v>
      </c>
      <c r="O6598">
        <v>1.6571700000000002E-2</v>
      </c>
      <c r="P6598">
        <v>0.99870650000000005</v>
      </c>
      <c r="Q6598">
        <v>-3.3468690000000002E-2</v>
      </c>
      <c r="R6598">
        <v>-3.8274839999999997E-2</v>
      </c>
      <c r="S6598">
        <v>3.0135800000000001</v>
      </c>
      <c r="T6598">
        <v>-6.6354270000000007E-2</v>
      </c>
      <c r="U6598">
        <v>0.30902099999999999</v>
      </c>
      <c r="V6598">
        <v>5.4805220000000002E-2</v>
      </c>
      <c r="W6598">
        <v>-2.5860020000000001E-2</v>
      </c>
      <c r="X6598">
        <v>0.9981622</v>
      </c>
      <c r="Y6598">
        <v>-8.5491629999999999E-2</v>
      </c>
      <c r="Z6598">
        <v>5.748153E-4</v>
      </c>
      <c r="AA6598">
        <v>0.99633870000000002</v>
      </c>
      <c r="AB6598">
        <v>32</v>
      </c>
      <c r="AC6598">
        <v>46.572299999999998</v>
      </c>
      <c r="AD6598">
        <v>-1.02894844</v>
      </c>
      <c r="AE6598">
        <v>4.7894099999999904</v>
      </c>
      <c r="AF6598">
        <v>-4.0150081031475704</v>
      </c>
      <c r="AG6598">
        <v>-1.02894844</v>
      </c>
      <c r="AH6598">
        <v>46.622755696772103</v>
      </c>
      <c r="AI6598">
        <v>91.259632566587001</v>
      </c>
      <c r="AJ6598">
        <v>94.921992637446294</v>
      </c>
      <c r="AK6598">
        <v>46.806627455109599</v>
      </c>
      <c r="AL6598">
        <v>91.481835099446698</v>
      </c>
      <c r="AM6598">
        <v>86.857266263506702</v>
      </c>
      <c r="AN6598">
        <v>1.00000006514124</v>
      </c>
    </row>
    <row r="6599" spans="1:40" x14ac:dyDescent="0.25">
      <c r="A6599" t="str">
        <f>"20190312161445137"</f>
        <v>20190312161445137</v>
      </c>
      <c r="B6599" t="str">
        <f>"1552378485133440"</f>
        <v>1552378485133440</v>
      </c>
      <c r="C6599" t="s">
        <v>40</v>
      </c>
      <c r="D6599">
        <v>4.9121959999999998</v>
      </c>
      <c r="E6599">
        <v>0.44675399999999998</v>
      </c>
      <c r="F6599" t="s">
        <v>77</v>
      </c>
      <c r="G6599">
        <v>-179.49</v>
      </c>
      <c r="H6599">
        <v>7.9986570000000007E-2</v>
      </c>
      <c r="I6599">
        <v>-58.424550000000004</v>
      </c>
      <c r="J6599">
        <v>-225.5069</v>
      </c>
      <c r="K6599">
        <v>1.1089389999999999</v>
      </c>
      <c r="L6599">
        <v>-63.149569999999997</v>
      </c>
      <c r="M6599">
        <v>0.99983549999999999</v>
      </c>
      <c r="N6599">
        <v>0</v>
      </c>
      <c r="O6599">
        <v>1.6430480000000001E-2</v>
      </c>
      <c r="P6599">
        <v>0.99870369999999997</v>
      </c>
      <c r="Q6599">
        <v>-3.3574069999999998E-2</v>
      </c>
      <c r="R6599">
        <v>-3.8264479999999997E-2</v>
      </c>
      <c r="S6599">
        <v>3.0134430000000001</v>
      </c>
      <c r="T6599">
        <v>-6.7129019999999998E-2</v>
      </c>
      <c r="U6599">
        <v>0.30844120000000003</v>
      </c>
      <c r="V6599">
        <v>5.4653399999999998E-2</v>
      </c>
      <c r="W6599">
        <v>-2.5934120000000001E-2</v>
      </c>
      <c r="X6599">
        <v>0.99816850000000001</v>
      </c>
      <c r="Y6599">
        <v>-8.5446839999999996E-2</v>
      </c>
      <c r="Z6599">
        <v>5.8419539999999995E-4</v>
      </c>
      <c r="AA6599">
        <v>0.99634250000000002</v>
      </c>
      <c r="AB6599">
        <v>32</v>
      </c>
      <c r="AC6599">
        <v>46.0168999999999</v>
      </c>
      <c r="AD6599">
        <v>-1.0289524299999999</v>
      </c>
      <c r="AE6599">
        <v>4.72501999999999</v>
      </c>
      <c r="AF6599">
        <v>-3.9663176651291101</v>
      </c>
      <c r="AG6599">
        <v>-1.0289524299999999</v>
      </c>
      <c r="AH6599">
        <v>46.065532755430397</v>
      </c>
      <c r="AI6599">
        <v>91.274871080454901</v>
      </c>
      <c r="AJ6599">
        <v>94.921123313445904</v>
      </c>
      <c r="AK6599">
        <v>46.247418597858498</v>
      </c>
      <c r="AL6599">
        <v>91.486082291832204</v>
      </c>
      <c r="AM6599">
        <v>86.865974545137703</v>
      </c>
      <c r="AN6599">
        <v>0.99999996355199094</v>
      </c>
    </row>
    <row r="6600" spans="1:40" x14ac:dyDescent="0.25">
      <c r="A6600" t="str">
        <f>"20190312161445159"</f>
        <v>20190312161445159</v>
      </c>
      <c r="B6600" t="str">
        <f>"1552378485152960"</f>
        <v>1552378485152960</v>
      </c>
      <c r="C6600" t="s">
        <v>40</v>
      </c>
      <c r="D6600">
        <v>4.9151179999999997</v>
      </c>
      <c r="E6600">
        <v>0.44671369999999999</v>
      </c>
      <c r="F6600" t="s">
        <v>77</v>
      </c>
      <c r="G6600">
        <v>-179.92920000000001</v>
      </c>
      <c r="H6600">
        <v>7.8494709999999995E-2</v>
      </c>
      <c r="I6600">
        <v>-58.474330000000002</v>
      </c>
      <c r="J6600">
        <v>-225.18049999999999</v>
      </c>
      <c r="K6600">
        <v>1.1089450000000001</v>
      </c>
      <c r="L6600">
        <v>-63.144469999999998</v>
      </c>
      <c r="M6600">
        <v>0.99983940000000004</v>
      </c>
      <c r="N6600">
        <v>0</v>
      </c>
      <c r="O6600">
        <v>1.6163839999999999E-2</v>
      </c>
      <c r="P6600">
        <v>0.99870009999999998</v>
      </c>
      <c r="Q6600">
        <v>-3.325869E-2</v>
      </c>
      <c r="R6600">
        <v>-3.8626889999999997E-2</v>
      </c>
      <c r="S6600">
        <v>3.013458</v>
      </c>
      <c r="T6600">
        <v>-6.8129899999999993E-2</v>
      </c>
      <c r="U6600">
        <v>0.30911250000000001</v>
      </c>
      <c r="V6600">
        <v>5.4750180000000002E-2</v>
      </c>
      <c r="W6600">
        <v>-2.5556840000000001E-2</v>
      </c>
      <c r="X6600">
        <v>0.99817290000000003</v>
      </c>
      <c r="Y6600">
        <v>-8.5930999999999993E-2</v>
      </c>
      <c r="Z6600">
        <v>6.0436059999999995E-4</v>
      </c>
      <c r="AA6600">
        <v>0.99630090000000004</v>
      </c>
      <c r="AB6600">
        <v>32</v>
      </c>
      <c r="AC6600">
        <v>45.251299999999901</v>
      </c>
      <c r="AD6600">
        <v>-1.0304502900000001</v>
      </c>
      <c r="AE6600">
        <v>4.6701399999999902</v>
      </c>
      <c r="AF6600">
        <v>-3.93605362198746</v>
      </c>
      <c r="AG6600">
        <v>-1.0304502900000001</v>
      </c>
      <c r="AH6600">
        <v>45.297635908572303</v>
      </c>
      <c r="AI6600">
        <v>91.298274154305503</v>
      </c>
      <c r="AJ6600">
        <v>94.966136208660899</v>
      </c>
      <c r="AK6600">
        <v>45.479997414477801</v>
      </c>
      <c r="AL6600">
        <v>91.464458611546505</v>
      </c>
      <c r="AM6600">
        <v>86.860449730850902</v>
      </c>
      <c r="AN6600">
        <v>0.99999993628761197</v>
      </c>
    </row>
    <row r="6601" spans="1:40" x14ac:dyDescent="0.25">
      <c r="A6601" t="str">
        <f>"20190312161445170"</f>
        <v>20190312161445170</v>
      </c>
      <c r="B6601" t="str">
        <f>"1552378485163695"</f>
        <v>1552378485163695</v>
      </c>
      <c r="C6601" t="s">
        <v>40</v>
      </c>
      <c r="D6601">
        <v>4.8978029999999997</v>
      </c>
      <c r="E6601">
        <v>0.44672440000000002</v>
      </c>
      <c r="F6601" t="s">
        <v>77</v>
      </c>
      <c r="G6601">
        <v>-179.7303</v>
      </c>
      <c r="H6601">
        <v>7.9986570000000007E-2</v>
      </c>
      <c r="I6601">
        <v>-58.494439999999997</v>
      </c>
      <c r="J6601">
        <v>-225.0204</v>
      </c>
      <c r="K6601">
        <v>1.108949</v>
      </c>
      <c r="L6601">
        <v>-63.142000000000003</v>
      </c>
      <c r="M6601">
        <v>0.99984130000000004</v>
      </c>
      <c r="N6601">
        <v>0</v>
      </c>
      <c r="O6601">
        <v>1.603311E-2</v>
      </c>
      <c r="P6601">
        <v>0.99870939999999997</v>
      </c>
      <c r="Q6601">
        <v>-3.2934190000000002E-2</v>
      </c>
      <c r="R6601">
        <v>-3.8669240000000001E-2</v>
      </c>
      <c r="S6601">
        <v>3.0135800000000001</v>
      </c>
      <c r="T6601">
        <v>-6.8225259999999996E-2</v>
      </c>
      <c r="U6601">
        <v>0.30831910000000001</v>
      </c>
      <c r="V6601">
        <v>5.466211E-2</v>
      </c>
      <c r="W6601">
        <v>-2.5200920000000002E-2</v>
      </c>
      <c r="X6601">
        <v>0.99818680000000004</v>
      </c>
      <c r="Y6601">
        <v>-8.5797529999999997E-2</v>
      </c>
      <c r="Z6601">
        <v>6.0663310000000001E-4</v>
      </c>
      <c r="AA6601">
        <v>0.99631239999999999</v>
      </c>
      <c r="AB6601">
        <v>32</v>
      </c>
      <c r="AC6601">
        <v>45.290100000000002</v>
      </c>
      <c r="AD6601">
        <v>-1.02896243</v>
      </c>
      <c r="AE6601">
        <v>4.6475599999999897</v>
      </c>
      <c r="AF6601">
        <v>-3.9187978326664799</v>
      </c>
      <c r="AG6601">
        <v>-1.02896243</v>
      </c>
      <c r="AH6601">
        <v>45.335638183020301</v>
      </c>
      <c r="AI6601">
        <v>91.295364407502703</v>
      </c>
      <c r="AJ6601">
        <v>94.940348523010002</v>
      </c>
      <c r="AK6601">
        <v>45.516324869187201</v>
      </c>
      <c r="AL6601">
        <v>91.444059291283295</v>
      </c>
      <c r="AM6601">
        <v>86.865533429239207</v>
      </c>
      <c r="AN6601">
        <v>0.99999996016636805</v>
      </c>
    </row>
    <row r="6602" spans="1:40" x14ac:dyDescent="0.25">
      <c r="A6602" t="str">
        <f>"20190312161445181"</f>
        <v>20190312161445181</v>
      </c>
      <c r="B6602" t="str">
        <f>"1552378485173456"</f>
        <v>1552378485173456</v>
      </c>
      <c r="C6602" t="s">
        <v>40</v>
      </c>
      <c r="D6602">
        <v>4.9369189999999996</v>
      </c>
      <c r="E6602">
        <v>0.44678020000000002</v>
      </c>
      <c r="F6602" t="s">
        <v>77</v>
      </c>
      <c r="G6602">
        <v>-179.1781</v>
      </c>
      <c r="H6602">
        <v>7.9986559999999998E-2</v>
      </c>
      <c r="I6602">
        <v>-58.455170000000003</v>
      </c>
      <c r="J6602">
        <v>-224.85550000000001</v>
      </c>
      <c r="K6602">
        <v>1.1089519999999999</v>
      </c>
      <c r="L6602">
        <v>-63.139499999999998</v>
      </c>
      <c r="M6602">
        <v>0.99984320000000004</v>
      </c>
      <c r="N6602">
        <v>0</v>
      </c>
      <c r="O6602">
        <v>1.5898490000000001E-2</v>
      </c>
      <c r="P6602">
        <v>0.9987087</v>
      </c>
      <c r="Q6602">
        <v>-3.2728859999999999E-2</v>
      </c>
      <c r="R6602">
        <v>-3.8858730000000001E-2</v>
      </c>
      <c r="S6602">
        <v>3.013611</v>
      </c>
      <c r="T6602">
        <v>-6.7642569999999999E-2</v>
      </c>
      <c r="U6602">
        <v>0.30810549999999998</v>
      </c>
      <c r="V6602">
        <v>5.4717469999999997E-2</v>
      </c>
      <c r="W6602">
        <v>-2.4962209999999999E-2</v>
      </c>
      <c r="X6602">
        <v>0.99818980000000002</v>
      </c>
      <c r="Y6602">
        <v>-8.5861000000000007E-2</v>
      </c>
      <c r="Z6602">
        <v>6.051718E-4</v>
      </c>
      <c r="AA6602">
        <v>0.99630700000000005</v>
      </c>
      <c r="AB6602">
        <v>32</v>
      </c>
      <c r="AC6602">
        <v>45.677399999999999</v>
      </c>
      <c r="AD6602">
        <v>-1.0289654399999999</v>
      </c>
      <c r="AE6602">
        <v>4.6843300000000001</v>
      </c>
      <c r="AF6602">
        <v>-3.9555277790988601</v>
      </c>
      <c r="AG6602">
        <v>-1.0289654399999999</v>
      </c>
      <c r="AH6602">
        <v>45.723141542774698</v>
      </c>
      <c r="AI6602">
        <v>91.284385855152394</v>
      </c>
      <c r="AJ6602">
        <v>94.944371327280706</v>
      </c>
      <c r="AK6602">
        <v>45.905453297277703</v>
      </c>
      <c r="AL6602">
        <v>91.430377861093604</v>
      </c>
      <c r="AM6602">
        <v>86.862374694588695</v>
      </c>
      <c r="AN6602">
        <v>0.99999999513766202</v>
      </c>
    </row>
    <row r="6603" spans="1:40" x14ac:dyDescent="0.25">
      <c r="A6603" t="str">
        <f>"20190312161445192"</f>
        <v>20190312161445192</v>
      </c>
      <c r="B6603" t="str">
        <f>"1552378485183217"</f>
        <v>1552378485183217</v>
      </c>
      <c r="C6603" t="s">
        <v>40</v>
      </c>
      <c r="D6603">
        <v>4.9533579999999997</v>
      </c>
      <c r="E6603">
        <v>0.44671919999999998</v>
      </c>
      <c r="F6603" t="s">
        <v>77</v>
      </c>
      <c r="G6603">
        <v>-178.78550000000001</v>
      </c>
      <c r="H6603">
        <v>7.9986580000000002E-2</v>
      </c>
      <c r="I6603">
        <v>-58.444789999999998</v>
      </c>
      <c r="J6603">
        <v>-224.69630000000001</v>
      </c>
      <c r="K6603">
        <v>1.1089629999999999</v>
      </c>
      <c r="L6603">
        <v>-63.137050000000002</v>
      </c>
      <c r="M6603">
        <v>0.99984490000000004</v>
      </c>
      <c r="N6603">
        <v>0</v>
      </c>
      <c r="O6603">
        <v>1.5768770000000001E-2</v>
      </c>
      <c r="P6603">
        <v>0.99871279999999996</v>
      </c>
      <c r="Q6603">
        <v>-3.2624069999999998E-2</v>
      </c>
      <c r="R6603">
        <v>-3.8840729999999997E-2</v>
      </c>
      <c r="S6603">
        <v>3.013611</v>
      </c>
      <c r="T6603">
        <v>-6.7308430000000002E-2</v>
      </c>
      <c r="U6603">
        <v>0.30709839999999999</v>
      </c>
      <c r="V6603">
        <v>5.4569979999999997E-2</v>
      </c>
      <c r="W6603">
        <v>-2.4824039999999999E-2</v>
      </c>
      <c r="X6603">
        <v>0.99820129999999996</v>
      </c>
      <c r="Y6603">
        <v>-8.5660929999999996E-2</v>
      </c>
      <c r="Z6603">
        <v>6.0285259999999995E-4</v>
      </c>
      <c r="AA6603">
        <v>0.99632419999999999</v>
      </c>
      <c r="AB6603">
        <v>32</v>
      </c>
      <c r="AC6603">
        <v>45.910800000000002</v>
      </c>
      <c r="AD6603">
        <v>-1.02897642</v>
      </c>
      <c r="AE6603">
        <v>4.6922599999999903</v>
      </c>
      <c r="AF6603">
        <v>-3.9657259634542701</v>
      </c>
      <c r="AG6603">
        <v>-1.02897642</v>
      </c>
      <c r="AH6603">
        <v>45.9562386537945</v>
      </c>
      <c r="AI6603">
        <v>91.277910811159202</v>
      </c>
      <c r="AJ6603">
        <v>94.932036907385694</v>
      </c>
      <c r="AK6603">
        <v>46.138505026654798</v>
      </c>
      <c r="AL6603">
        <v>91.422458877174407</v>
      </c>
      <c r="AM6603">
        <v>86.870851258309202</v>
      </c>
      <c r="AN6603">
        <v>0.99999997550040498</v>
      </c>
    </row>
    <row r="6604" spans="1:40" x14ac:dyDescent="0.25">
      <c r="A6604" t="str">
        <f>"20190312161445203"</f>
        <v>20190312161445203</v>
      </c>
      <c r="B6604" t="str">
        <f>"1552378485192977"</f>
        <v>1552378485192977</v>
      </c>
      <c r="C6604" t="s">
        <v>40</v>
      </c>
      <c r="D6604">
        <v>5.0034929999999997</v>
      </c>
      <c r="E6604">
        <v>0.4467296</v>
      </c>
      <c r="F6604" t="s">
        <v>77</v>
      </c>
      <c r="G6604">
        <v>-178.71420000000001</v>
      </c>
      <c r="H6604">
        <v>7.9986570000000007E-2</v>
      </c>
      <c r="I6604">
        <v>-58.442480000000003</v>
      </c>
      <c r="J6604">
        <v>-224.5368</v>
      </c>
      <c r="K6604">
        <v>1.1089659999999999</v>
      </c>
      <c r="L6604">
        <v>-63.1346699999999</v>
      </c>
      <c r="M6604">
        <v>0.99984669999999998</v>
      </c>
      <c r="N6604">
        <v>0</v>
      </c>
      <c r="O6604">
        <v>1.5638619999999999E-2</v>
      </c>
      <c r="P6604">
        <v>0.99870309999999995</v>
      </c>
      <c r="Q6604">
        <v>-3.2724099999999999E-2</v>
      </c>
      <c r="R6604">
        <v>-3.9008260000000003E-2</v>
      </c>
      <c r="S6604">
        <v>3.0136259999999999</v>
      </c>
      <c r="T6604">
        <v>-6.7438239999999997E-2</v>
      </c>
      <c r="U6604">
        <v>0.30767820000000001</v>
      </c>
      <c r="V6604">
        <v>5.4607280000000001E-2</v>
      </c>
      <c r="W6604">
        <v>-2.4889430000000001E-2</v>
      </c>
      <c r="X6604">
        <v>0.99819769999999997</v>
      </c>
      <c r="Y6604">
        <v>-8.5979650000000005E-2</v>
      </c>
      <c r="Z6604">
        <v>6.1046590000000001E-4</v>
      </c>
      <c r="AA6604">
        <v>0.99629670000000004</v>
      </c>
      <c r="AB6604">
        <v>32</v>
      </c>
      <c r="AC6604">
        <v>45.822600000000001</v>
      </c>
      <c r="AD6604">
        <v>-1.0289794299999999</v>
      </c>
      <c r="AE6604">
        <v>4.6921899999999797</v>
      </c>
      <c r="AF6604">
        <v>-3.9730090673514802</v>
      </c>
      <c r="AG6604">
        <v>-1.0289794299999999</v>
      </c>
      <c r="AH6604">
        <v>45.867488523186402</v>
      </c>
      <c r="AI6604">
        <v>91.280350613449997</v>
      </c>
      <c r="AJ6604">
        <v>94.950562944595106</v>
      </c>
      <c r="AK6604">
        <v>46.0507340130562</v>
      </c>
      <c r="AL6604">
        <v>91.4262065092189</v>
      </c>
      <c r="AM6604">
        <v>86.8687053881239</v>
      </c>
      <c r="AN6604">
        <v>1.00000004352</v>
      </c>
    </row>
    <row r="6605" spans="1:40" x14ac:dyDescent="0.25">
      <c r="A6605" t="str">
        <f>"20190312161445214"</f>
        <v>20190312161445214</v>
      </c>
      <c r="B6605" t="str">
        <f>"1552378485203712"</f>
        <v>1552378485203712</v>
      </c>
      <c r="C6605" t="s">
        <v>40</v>
      </c>
      <c r="D6605">
        <v>4.999295</v>
      </c>
      <c r="E6605">
        <v>0.44666980000000001</v>
      </c>
      <c r="F6605" t="s">
        <v>77</v>
      </c>
      <c r="G6605">
        <v>-179.05850000000001</v>
      </c>
      <c r="H6605">
        <v>7.9986580000000002E-2</v>
      </c>
      <c r="I6605">
        <v>-58.500329999999998</v>
      </c>
      <c r="J6605">
        <v>-224.38310000000001</v>
      </c>
      <c r="K6605">
        <v>1.108968</v>
      </c>
      <c r="L6605">
        <v>-63.132390000000001</v>
      </c>
      <c r="M6605">
        <v>0.99984839999999997</v>
      </c>
      <c r="N6605">
        <v>0</v>
      </c>
      <c r="O6605">
        <v>1.551335E-2</v>
      </c>
      <c r="P6605">
        <v>0.99869589999999997</v>
      </c>
      <c r="Q6605">
        <v>-3.2593949999999997E-2</v>
      </c>
      <c r="R6605">
        <v>-3.9300399999999999E-2</v>
      </c>
      <c r="S6605">
        <v>3.0136569999999998</v>
      </c>
      <c r="T6605">
        <v>-6.8186040000000003E-2</v>
      </c>
      <c r="U6605">
        <v>0.30709839999999999</v>
      </c>
      <c r="V6605">
        <v>5.4774440000000001E-2</v>
      </c>
      <c r="W6605">
        <v>-2.4724489999999998E-2</v>
      </c>
      <c r="X6605">
        <v>0.99819259999999999</v>
      </c>
      <c r="Y6605">
        <v>-8.5913320000000001E-2</v>
      </c>
      <c r="Z6605">
        <v>6.1930999999999998E-4</v>
      </c>
      <c r="AA6605">
        <v>0.99630240000000003</v>
      </c>
      <c r="AB6605">
        <v>32</v>
      </c>
      <c r="AC6605">
        <v>45.324599999999997</v>
      </c>
      <c r="AD6605">
        <v>-1.02898142</v>
      </c>
      <c r="AE6605">
        <v>4.6320599999999903</v>
      </c>
      <c r="AF6605">
        <v>-3.92634145273751</v>
      </c>
      <c r="AG6605">
        <v>-1.02898142</v>
      </c>
      <c r="AH6605">
        <v>45.367865294528499</v>
      </c>
      <c r="AI6605">
        <v>91.294456788026295</v>
      </c>
      <c r="AJ6605">
        <v>94.946312754872395</v>
      </c>
      <c r="AK6605">
        <v>45.549074209567401</v>
      </c>
      <c r="AL6605">
        <v>91.416753291747099</v>
      </c>
      <c r="AM6605">
        <v>86.859123234172699</v>
      </c>
      <c r="AN6605">
        <v>1.00000000318891</v>
      </c>
    </row>
    <row r="6606" spans="1:40" x14ac:dyDescent="0.25">
      <c r="A6606" t="str">
        <f>"20190312161445225"</f>
        <v>20190312161445225</v>
      </c>
      <c r="B6606" t="str">
        <f>"1552378485213472"</f>
        <v>1552378485213472</v>
      </c>
      <c r="C6606" t="s">
        <v>40</v>
      </c>
      <c r="D6606">
        <v>4.9911560000000001</v>
      </c>
      <c r="E6606">
        <v>0.44661210000000001</v>
      </c>
      <c r="F6606" t="s">
        <v>77</v>
      </c>
      <c r="G6606">
        <v>-179.03200000000001</v>
      </c>
      <c r="H6606">
        <v>7.9986570000000007E-2</v>
      </c>
      <c r="I6606">
        <v>-58.517620000000001</v>
      </c>
      <c r="J6606">
        <v>-224.21770000000001</v>
      </c>
      <c r="K6606">
        <v>1.1089719999999901</v>
      </c>
      <c r="L6606">
        <v>-63.129939999999998</v>
      </c>
      <c r="M6606">
        <v>0.99985009999999996</v>
      </c>
      <c r="N6606">
        <v>0</v>
      </c>
      <c r="O6606">
        <v>1.537871E-2</v>
      </c>
      <c r="P6606">
        <v>0.99868230000000002</v>
      </c>
      <c r="Q6606">
        <v>-3.2662910000000003E-2</v>
      </c>
      <c r="R6606">
        <v>-3.9583859999999998E-2</v>
      </c>
      <c r="S6606">
        <v>3.013779</v>
      </c>
      <c r="T6606">
        <v>-6.8380360000000001E-2</v>
      </c>
      <c r="U6606">
        <v>0.30667109999999997</v>
      </c>
      <c r="V6606">
        <v>5.4923310000000003E-2</v>
      </c>
      <c r="W6606">
        <v>-2.4754809999999999E-2</v>
      </c>
      <c r="X6606">
        <v>0.99818370000000001</v>
      </c>
      <c r="Y6606">
        <v>-8.5903489999999999E-2</v>
      </c>
      <c r="Z6606">
        <v>6.2398749999999995E-4</v>
      </c>
      <c r="AA6606">
        <v>0.9963033</v>
      </c>
      <c r="AB6606">
        <v>32</v>
      </c>
      <c r="AC6606">
        <v>45.185699999999997</v>
      </c>
      <c r="AD6606">
        <v>-1.0289854300000001</v>
      </c>
      <c r="AE6606">
        <v>4.6123200000000102</v>
      </c>
      <c r="AF6606">
        <v>-3.9148455249541199</v>
      </c>
      <c r="AG6606">
        <v>-1.0289854300000001</v>
      </c>
      <c r="AH6606">
        <v>45.2280772517923</v>
      </c>
      <c r="AI6606">
        <v>91.298459818813598</v>
      </c>
      <c r="AJ6606">
        <v>94.947069665825097</v>
      </c>
      <c r="AK6606">
        <v>45.408851542331398</v>
      </c>
      <c r="AL6606">
        <v>91.4184909868397</v>
      </c>
      <c r="AM6606">
        <v>86.850575865524405</v>
      </c>
      <c r="AN6606">
        <v>1.0000000347725899</v>
      </c>
    </row>
    <row r="6607" spans="1:40" x14ac:dyDescent="0.25">
      <c r="A6607" t="str">
        <f>"20190312161445236"</f>
        <v>20190312161445236</v>
      </c>
      <c r="B6607" t="str">
        <f>"1552378485232998"</f>
        <v>1552378485232998</v>
      </c>
      <c r="C6607" t="s">
        <v>40</v>
      </c>
      <c r="D6607">
        <v>5.0025120000000003</v>
      </c>
      <c r="E6607">
        <v>0.44651649999999998</v>
      </c>
      <c r="F6607" t="s">
        <v>77</v>
      </c>
      <c r="G6607">
        <v>-179.5898</v>
      </c>
      <c r="H6607">
        <v>7.9986559999999998E-2</v>
      </c>
      <c r="I6607">
        <v>-58.594610000000003</v>
      </c>
      <c r="J6607">
        <v>-224.0564</v>
      </c>
      <c r="K6607">
        <v>1.108976</v>
      </c>
      <c r="L6607">
        <v>-63.127560000000003</v>
      </c>
      <c r="M6607">
        <v>0.99985179999999996</v>
      </c>
      <c r="N6607">
        <v>0</v>
      </c>
      <c r="O6607">
        <v>1.524735E-2</v>
      </c>
      <c r="P6607">
        <v>0.99866359999999998</v>
      </c>
      <c r="Q6607">
        <v>-3.2717379999999997E-2</v>
      </c>
      <c r="R6607">
        <v>-4.0006050000000001E-2</v>
      </c>
      <c r="S6607">
        <v>3.0138240000000001</v>
      </c>
      <c r="T6607">
        <v>-6.9489720000000005E-2</v>
      </c>
      <c r="U6607">
        <v>0.3062744</v>
      </c>
      <c r="V6607">
        <v>5.5214149999999997E-2</v>
      </c>
      <c r="W6607">
        <v>-2.4769699999999999E-2</v>
      </c>
      <c r="X6607">
        <v>0.99816729999999998</v>
      </c>
      <c r="Y6607">
        <v>-8.5902439999999997E-2</v>
      </c>
      <c r="Z6607">
        <v>6.3710969999999998E-4</v>
      </c>
      <c r="AA6607">
        <v>0.99630339999999995</v>
      </c>
      <c r="AB6607">
        <v>32</v>
      </c>
      <c r="AC6607">
        <v>44.4666</v>
      </c>
      <c r="AD6607">
        <v>-1.0289894399999999</v>
      </c>
      <c r="AE6607">
        <v>4.5329499999999996</v>
      </c>
      <c r="AF6607">
        <v>-3.85236184978922</v>
      </c>
      <c r="AG6607">
        <v>-1.0289894399999999</v>
      </c>
      <c r="AH6607">
        <v>44.506960165729801</v>
      </c>
      <c r="AI6607">
        <v>91.319495839893605</v>
      </c>
      <c r="AJ6607">
        <v>94.946986196397901</v>
      </c>
      <c r="AK6607">
        <v>44.685221430392403</v>
      </c>
      <c r="AL6607">
        <v>91.419344361604402</v>
      </c>
      <c r="AM6607">
        <v>86.833880382943903</v>
      </c>
      <c r="AN6607">
        <v>1.0000000495938</v>
      </c>
    </row>
    <row r="6608" spans="1:40" x14ac:dyDescent="0.25">
      <c r="A6608" t="str">
        <f>"20190312161445247"</f>
        <v>20190312161445247</v>
      </c>
      <c r="B6608" t="str">
        <f>"1552378485243728"</f>
        <v>1552378485243728</v>
      </c>
      <c r="C6608" t="s">
        <v>40</v>
      </c>
      <c r="D6608">
        <v>5.0315789999999998</v>
      </c>
      <c r="E6608">
        <v>0.4465422</v>
      </c>
      <c r="F6608" t="s">
        <v>77</v>
      </c>
      <c r="G6608">
        <v>-179.93379999999999</v>
      </c>
      <c r="H6608">
        <v>7.3907169999999994E-2</v>
      </c>
      <c r="I6608">
        <v>-58.65099</v>
      </c>
      <c r="J6608">
        <v>-223.89330000000001</v>
      </c>
      <c r="K6608">
        <v>1.1089789999999999</v>
      </c>
      <c r="L6608">
        <v>-63.125210000000003</v>
      </c>
      <c r="M6608">
        <v>0.99985360000000001</v>
      </c>
      <c r="N6608">
        <v>0</v>
      </c>
      <c r="O6608">
        <v>1.511437E-2</v>
      </c>
      <c r="P6608">
        <v>0.9986623</v>
      </c>
      <c r="Q6608">
        <v>-3.2615409999999997E-2</v>
      </c>
      <c r="R6608">
        <v>-4.0128270000000001E-2</v>
      </c>
      <c r="S6608">
        <v>3.0139309999999999</v>
      </c>
      <c r="T6608">
        <v>-7.0703630000000003E-2</v>
      </c>
      <c r="U6608">
        <v>0.30578610000000001</v>
      </c>
      <c r="V6608">
        <v>5.5203519999999999E-2</v>
      </c>
      <c r="W6608">
        <v>-2.4626729999999999E-2</v>
      </c>
      <c r="X6608">
        <v>0.99817140000000004</v>
      </c>
      <c r="Y6608">
        <v>-8.5870940000000007E-2</v>
      </c>
      <c r="Z6608">
        <v>6.5095979999999995E-4</v>
      </c>
      <c r="AA6608">
        <v>0.99630609999999997</v>
      </c>
      <c r="AB6608">
        <v>33</v>
      </c>
      <c r="AC6608">
        <v>43.959499999999998</v>
      </c>
      <c r="AD6608">
        <v>-1.0350718299999999</v>
      </c>
      <c r="AE6608">
        <v>4.4742199999999901</v>
      </c>
      <c r="AF6608">
        <v>-3.8071782440752</v>
      </c>
      <c r="AG6608">
        <v>-1.0350718299999999</v>
      </c>
      <c r="AH6608">
        <v>43.997962381100699</v>
      </c>
      <c r="AI6608">
        <v>91.342645011162702</v>
      </c>
      <c r="AJ6608">
        <v>94.945530009881097</v>
      </c>
      <c r="AK6608">
        <v>44.174502527636598</v>
      </c>
      <c r="AL6608">
        <v>91.4111503207873</v>
      </c>
      <c r="AM6608">
        <v>86.834501670315206</v>
      </c>
      <c r="AN6608">
        <v>1.00000002411442</v>
      </c>
    </row>
    <row r="6609" spans="1:40" x14ac:dyDescent="0.25">
      <c r="A6609" t="str">
        <f>"20190312161445259"</f>
        <v>20190312161445259</v>
      </c>
      <c r="B6609" t="str">
        <f>"1552378485253488"</f>
        <v>1552378485253488</v>
      </c>
      <c r="C6609" t="s">
        <v>40</v>
      </c>
      <c r="D6609">
        <v>5.0339299999999998</v>
      </c>
      <c r="E6609">
        <v>0.44653280000000001</v>
      </c>
      <c r="F6609" t="s">
        <v>77</v>
      </c>
      <c r="G6609">
        <v>-179.9332</v>
      </c>
      <c r="H6609">
        <v>7.4490299999999995E-2</v>
      </c>
      <c r="I6609">
        <v>-58.672719999999998</v>
      </c>
      <c r="J6609">
        <v>-223.72620000000001</v>
      </c>
      <c r="K6609">
        <v>1.108984</v>
      </c>
      <c r="L6609">
        <v>-63.12283</v>
      </c>
      <c r="M6609">
        <v>0.9998553</v>
      </c>
      <c r="N6609">
        <v>0</v>
      </c>
      <c r="O6609">
        <v>1.4978150000000001E-2</v>
      </c>
      <c r="P6609">
        <v>0.99865400000000004</v>
      </c>
      <c r="Q6609">
        <v>-3.2453290000000003E-2</v>
      </c>
      <c r="R6609">
        <v>-4.0467059999999999E-2</v>
      </c>
      <c r="S6609">
        <v>3.0139469999999999</v>
      </c>
      <c r="T6609">
        <v>-7.0925589999999997E-2</v>
      </c>
      <c r="U6609">
        <v>0.30526730000000002</v>
      </c>
      <c r="V6609">
        <v>5.5406049999999998E-2</v>
      </c>
      <c r="W6609">
        <v>-2.4420509999999999E-2</v>
      </c>
      <c r="X6609">
        <v>0.99816519999999997</v>
      </c>
      <c r="Y6609">
        <v>-8.5836250000000003E-2</v>
      </c>
      <c r="Z6609">
        <v>6.5579359999999999E-4</v>
      </c>
      <c r="AA6609">
        <v>0.996309</v>
      </c>
      <c r="AB6609">
        <v>33</v>
      </c>
      <c r="AC6609">
        <v>43.792999999999999</v>
      </c>
      <c r="AD6609">
        <v>-1.0344937000000001</v>
      </c>
      <c r="AE6609">
        <v>4.4501099999999996</v>
      </c>
      <c r="AF6609">
        <v>-3.7915571824923702</v>
      </c>
      <c r="AG6609">
        <v>-1.0344937000000001</v>
      </c>
      <c r="AH6609">
        <v>43.830535470431499</v>
      </c>
      <c r="AI6609">
        <v>91.347022333294206</v>
      </c>
      <c r="AJ6609">
        <v>94.944059321070398</v>
      </c>
      <c r="AK6609">
        <v>44.006385022041997</v>
      </c>
      <c r="AL6609">
        <v>91.399331293837605</v>
      </c>
      <c r="AM6609">
        <v>86.822892183012101</v>
      </c>
      <c r="AN6609">
        <v>0.99999997908815097</v>
      </c>
    </row>
    <row r="6610" spans="1:40" x14ac:dyDescent="0.25">
      <c r="A6610" t="str">
        <f>"20190312161445270"</f>
        <v>20190312161445270</v>
      </c>
      <c r="B6610" t="str">
        <f>"1552378485263248"</f>
        <v>1552378485263248</v>
      </c>
      <c r="C6610" t="s">
        <v>40</v>
      </c>
      <c r="D6610">
        <v>5.0396099999999997</v>
      </c>
      <c r="E6610">
        <v>0.44653300000000001</v>
      </c>
      <c r="F6610" t="s">
        <v>77</v>
      </c>
      <c r="G6610">
        <v>-179.8212</v>
      </c>
      <c r="H6610">
        <v>7.9986559999999998E-2</v>
      </c>
      <c r="I6610">
        <v>-58.690300000000001</v>
      </c>
      <c r="J6610">
        <v>-223.565</v>
      </c>
      <c r="K6610">
        <v>1.108989</v>
      </c>
      <c r="L6610">
        <v>-63.120510000000003</v>
      </c>
      <c r="M6610">
        <v>0.99985679999999999</v>
      </c>
      <c r="N6610">
        <v>0</v>
      </c>
      <c r="O6610">
        <v>1.4846949999999999E-2</v>
      </c>
      <c r="P6610">
        <v>0.99864359999999996</v>
      </c>
      <c r="Q6610">
        <v>-3.2660700000000001E-2</v>
      </c>
      <c r="R6610">
        <v>-4.0548790000000001E-2</v>
      </c>
      <c r="S6610">
        <v>3.014084</v>
      </c>
      <c r="T6610">
        <v>-7.0640800000000004E-2</v>
      </c>
      <c r="U6610">
        <v>0.30429079999999997</v>
      </c>
      <c r="V6610">
        <v>5.535673E-2</v>
      </c>
      <c r="W6610">
        <v>-2.4584740000000001E-2</v>
      </c>
      <c r="X6610">
        <v>0.99816389999999999</v>
      </c>
      <c r="Y6610">
        <v>-8.5643079999999996E-2</v>
      </c>
      <c r="Z6610">
        <v>6.5394960000000001E-4</v>
      </c>
      <c r="AA6610">
        <v>0.99632569999999998</v>
      </c>
      <c r="AB6610">
        <v>33</v>
      </c>
      <c r="AC6610">
        <v>43.743799999999901</v>
      </c>
      <c r="AD6610">
        <v>-1.02900244</v>
      </c>
      <c r="AE6610">
        <v>4.43020999999999</v>
      </c>
      <c r="AF6610">
        <v>-3.7781688100427102</v>
      </c>
      <c r="AG6610">
        <v>-1.02900244</v>
      </c>
      <c r="AH6610">
        <v>43.780775302694899</v>
      </c>
      <c r="AI6610">
        <v>91.341420907764402</v>
      </c>
      <c r="AJ6610">
        <v>94.932259370385097</v>
      </c>
      <c r="AK6610">
        <v>43.955542218061296</v>
      </c>
      <c r="AL6610">
        <v>91.408743812860195</v>
      </c>
      <c r="AM6610">
        <v>86.825710391280097</v>
      </c>
      <c r="AN6610">
        <v>0.99999997413018404</v>
      </c>
    </row>
    <row r="6611" spans="1:40" x14ac:dyDescent="0.25">
      <c r="A6611" t="str">
        <f>"20190312161445280"</f>
        <v>20190312161445280</v>
      </c>
      <c r="B6611" t="str">
        <f>"1552378485273009"</f>
        <v>1552378485273009</v>
      </c>
      <c r="C6611" t="s">
        <v>40</v>
      </c>
      <c r="D6611">
        <v>5.0525140000000004</v>
      </c>
      <c r="E6611">
        <v>0.44655610000000001</v>
      </c>
      <c r="F6611" t="s">
        <v>77</v>
      </c>
      <c r="G6611">
        <v>-179.94130000000001</v>
      </c>
      <c r="H6611">
        <v>6.6463579999999994E-2</v>
      </c>
      <c r="I6611">
        <v>-58.720399999999998</v>
      </c>
      <c r="J6611">
        <v>-223.40369999999999</v>
      </c>
      <c r="K6611">
        <v>1.108992</v>
      </c>
      <c r="L6611">
        <v>-63.118259999999999</v>
      </c>
      <c r="M6611">
        <v>0.99985849999999998</v>
      </c>
      <c r="N6611">
        <v>0</v>
      </c>
      <c r="O6611">
        <v>1.4715550000000001E-2</v>
      </c>
      <c r="P6611">
        <v>0.99863539999999995</v>
      </c>
      <c r="Q6611">
        <v>-3.274825E-2</v>
      </c>
      <c r="R6611">
        <v>-4.068654E-2</v>
      </c>
      <c r="S6611">
        <v>3.014084</v>
      </c>
      <c r="T6611">
        <v>-7.2030899999999995E-2</v>
      </c>
      <c r="U6611">
        <v>0.30401610000000001</v>
      </c>
      <c r="V6611">
        <v>5.5363080000000002E-2</v>
      </c>
      <c r="W6611">
        <v>-2.4627300000000001E-2</v>
      </c>
      <c r="X6611">
        <v>0.99816249999999995</v>
      </c>
      <c r="Y6611">
        <v>-8.5683319999999993E-2</v>
      </c>
      <c r="Z6611">
        <v>6.7042770000000005E-4</v>
      </c>
      <c r="AA6611">
        <v>0.99632220000000005</v>
      </c>
      <c r="AB6611">
        <v>33</v>
      </c>
      <c r="AC6611">
        <v>43.462399999999903</v>
      </c>
      <c r="AD6611">
        <v>-1.04252842</v>
      </c>
      <c r="AE6611">
        <v>4.3978599999999997</v>
      </c>
      <c r="AF6611">
        <v>-3.7556504109405999</v>
      </c>
      <c r="AG6611">
        <v>-1.04252842</v>
      </c>
      <c r="AH6611">
        <v>43.497639027291598</v>
      </c>
      <c r="AI6611">
        <v>91.367884824433105</v>
      </c>
      <c r="AJ6611">
        <v>94.934763884177798</v>
      </c>
      <c r="AK6611">
        <v>43.671917480965597</v>
      </c>
      <c r="AL6611">
        <v>91.411183057949899</v>
      </c>
      <c r="AM6611">
        <v>86.825342567995705</v>
      </c>
      <c r="AN6611">
        <v>0.99999997546931196</v>
      </c>
    </row>
    <row r="6612" spans="1:40" x14ac:dyDescent="0.25">
      <c r="A6612" t="str">
        <f>"20190312161445292"</f>
        <v>20190312161445292</v>
      </c>
      <c r="B6612" t="str">
        <f>"1552378485283744"</f>
        <v>1552378485283744</v>
      </c>
      <c r="C6612" t="s">
        <v>40</v>
      </c>
      <c r="D6612">
        <v>5.0455509999999997</v>
      </c>
      <c r="E6612">
        <v>0.44657629999999998</v>
      </c>
      <c r="F6612" t="s">
        <v>77</v>
      </c>
      <c r="G6612">
        <v>-179.94759999999999</v>
      </c>
      <c r="H6612">
        <v>6.0137370000000002E-2</v>
      </c>
      <c r="I6612">
        <v>-58.743380000000002</v>
      </c>
      <c r="J6612">
        <v>-223.24279999999999</v>
      </c>
      <c r="K6612">
        <v>1.1089990000000001</v>
      </c>
      <c r="L6612">
        <v>-63.116</v>
      </c>
      <c r="M6612">
        <v>0.99985999999999997</v>
      </c>
      <c r="N6612">
        <v>0</v>
      </c>
      <c r="O6612">
        <v>1.4584639999999999E-2</v>
      </c>
      <c r="P6612">
        <v>0.99863179999999996</v>
      </c>
      <c r="Q6612">
        <v>-3.2753440000000002E-2</v>
      </c>
      <c r="R6612">
        <v>-4.0767209999999998E-2</v>
      </c>
      <c r="S6612">
        <v>3.0140690000000001</v>
      </c>
      <c r="T6612">
        <v>-7.2747350000000002E-2</v>
      </c>
      <c r="U6612">
        <v>0.30343629999999999</v>
      </c>
      <c r="V6612">
        <v>5.5313210000000002E-2</v>
      </c>
      <c r="W6612">
        <v>-2.4587669999999999E-2</v>
      </c>
      <c r="X6612">
        <v>0.99816629999999995</v>
      </c>
      <c r="Y6612">
        <v>-8.5624110000000003E-2</v>
      </c>
      <c r="Z6612">
        <v>6.7954080000000002E-4</v>
      </c>
      <c r="AA6612">
        <v>0.99632730000000003</v>
      </c>
      <c r="AB6612">
        <v>33</v>
      </c>
      <c r="AC6612">
        <v>43.295200000000001</v>
      </c>
      <c r="AD6612">
        <v>-1.04886163</v>
      </c>
      <c r="AE6612">
        <v>4.3726200000000004</v>
      </c>
      <c r="AF6612">
        <v>-3.73851680014532</v>
      </c>
      <c r="AG6612">
        <v>-1.04886163</v>
      </c>
      <c r="AH6612">
        <v>43.329197261117898</v>
      </c>
      <c r="AI6612">
        <v>91.381546273244794</v>
      </c>
      <c r="AJ6612">
        <v>94.931364226946101</v>
      </c>
      <c r="AK6612">
        <v>43.5028269641954</v>
      </c>
      <c r="AL6612">
        <v>91.408911656475695</v>
      </c>
      <c r="AM6612">
        <v>86.828208447373498</v>
      </c>
      <c r="AN6612">
        <v>1.0000000335861099</v>
      </c>
    </row>
    <row r="6613" spans="1:40" x14ac:dyDescent="0.25">
      <c r="A6613" t="str">
        <f>"20190312161445302"</f>
        <v>20190312161445302</v>
      </c>
      <c r="B6613" t="str">
        <f>"1552378485293504"</f>
        <v>1552378485293504</v>
      </c>
      <c r="C6613" t="s">
        <v>40</v>
      </c>
      <c r="D6613">
        <v>5.0459870000000002</v>
      </c>
      <c r="E6613">
        <v>0.44655499999999998</v>
      </c>
      <c r="F6613" t="s">
        <v>77</v>
      </c>
      <c r="G6613">
        <v>-179.9479</v>
      </c>
      <c r="H6613">
        <v>5.9826860000000003E-2</v>
      </c>
      <c r="I6613">
        <v>-58.763530000000003</v>
      </c>
      <c r="J6613">
        <v>-223.08410000000001</v>
      </c>
      <c r="K6613">
        <v>1.109003</v>
      </c>
      <c r="L6613">
        <v>-63.11383</v>
      </c>
      <c r="M6613">
        <v>0.99986149999999996</v>
      </c>
      <c r="N6613">
        <v>0</v>
      </c>
      <c r="O6613">
        <v>1.445539E-2</v>
      </c>
      <c r="P6613">
        <v>0.99862399999999996</v>
      </c>
      <c r="Q6613">
        <v>-3.297572E-2</v>
      </c>
      <c r="R6613">
        <v>-4.0776479999999997E-2</v>
      </c>
      <c r="S6613">
        <v>3.0140989999999999</v>
      </c>
      <c r="T6613">
        <v>-7.3041079999999994E-2</v>
      </c>
      <c r="U6613">
        <v>0.30300899999999997</v>
      </c>
      <c r="V6613">
        <v>5.5193249999999999E-2</v>
      </c>
      <c r="W6613">
        <v>-2.476592E-2</v>
      </c>
      <c r="X6613">
        <v>0.99816850000000001</v>
      </c>
      <c r="Y6613">
        <v>-8.5611859999999998E-2</v>
      </c>
      <c r="Z6613">
        <v>6.852564E-4</v>
      </c>
      <c r="AA6613">
        <v>0.9963284</v>
      </c>
      <c r="AB6613">
        <v>33</v>
      </c>
      <c r="AC6613">
        <v>43.136200000000002</v>
      </c>
      <c r="AD6613">
        <v>-1.0491761399999999</v>
      </c>
      <c r="AE6613">
        <v>4.3502999999999998</v>
      </c>
      <c r="AF6613">
        <v>-3.7240927118370499</v>
      </c>
      <c r="AG6613">
        <v>-1.0491761399999999</v>
      </c>
      <c r="AH6613">
        <v>43.169299105491497</v>
      </c>
      <c r="AI6613">
        <v>91.387078863171595</v>
      </c>
      <c r="AJ6613">
        <v>94.930537140619506</v>
      </c>
      <c r="AK6613">
        <v>43.342335220411101</v>
      </c>
      <c r="AL6613">
        <v>91.419127787480903</v>
      </c>
      <c r="AM6613">
        <v>86.835080202319205</v>
      </c>
      <c r="AN6613">
        <v>1.0000000000156199</v>
      </c>
    </row>
    <row r="6614" spans="1:40" x14ac:dyDescent="0.25">
      <c r="A6614" t="str">
        <f>"20190312161445314"</f>
        <v>20190312161445314</v>
      </c>
      <c r="B6614" t="str">
        <f>"1552378485303264"</f>
        <v>1552378485303264</v>
      </c>
      <c r="C6614" t="s">
        <v>40</v>
      </c>
      <c r="D6614">
        <v>5.0566019999999998</v>
      </c>
      <c r="E6614">
        <v>0.44655280000000003</v>
      </c>
      <c r="F6614" t="s">
        <v>77</v>
      </c>
      <c r="G6614">
        <v>-179.95769999999999</v>
      </c>
      <c r="H6614">
        <v>4.6187220000000001E-2</v>
      </c>
      <c r="I6614">
        <v>-58.775680000000001</v>
      </c>
      <c r="J6614">
        <v>-222.91739999999999</v>
      </c>
      <c r="K6614">
        <v>1.1090070000000001</v>
      </c>
      <c r="L6614">
        <v>-63.111510000000003</v>
      </c>
      <c r="M6614">
        <v>0.99986299999999995</v>
      </c>
      <c r="N6614">
        <v>0</v>
      </c>
      <c r="O6614">
        <v>1.4319760000000001E-2</v>
      </c>
      <c r="P6614">
        <v>0.99861929999999999</v>
      </c>
      <c r="Q6614">
        <v>-3.3160910000000002E-2</v>
      </c>
      <c r="R6614">
        <v>-4.0744910000000002E-2</v>
      </c>
      <c r="S6614">
        <v>3.014084</v>
      </c>
      <c r="T6614">
        <v>-7.4279789999999998E-2</v>
      </c>
      <c r="U6614">
        <v>0.30319210000000002</v>
      </c>
      <c r="V6614">
        <v>5.5026140000000001E-2</v>
      </c>
      <c r="W6614">
        <v>-2.490479E-2</v>
      </c>
      <c r="X6614">
        <v>0.99817429999999996</v>
      </c>
      <c r="Y6614">
        <v>-8.580662E-2</v>
      </c>
      <c r="Z6614">
        <v>7.026008E-4</v>
      </c>
      <c r="AA6614">
        <v>0.99631150000000002</v>
      </c>
      <c r="AB6614">
        <v>33</v>
      </c>
      <c r="AC6614">
        <v>42.959699999999998</v>
      </c>
      <c r="AD6614">
        <v>-1.0628197800000001</v>
      </c>
      <c r="AE6614">
        <v>4.3358299999999899</v>
      </c>
      <c r="AF6614">
        <v>-3.7179389386341901</v>
      </c>
      <c r="AG6614">
        <v>-1.0628197800000001</v>
      </c>
      <c r="AH6614">
        <v>42.991336984580997</v>
      </c>
      <c r="AI6614">
        <v>91.410897670909904</v>
      </c>
      <c r="AJ6614">
        <v>94.942705479177107</v>
      </c>
      <c r="AK6614">
        <v>43.164889801295402</v>
      </c>
      <c r="AL6614">
        <v>91.427086866089297</v>
      </c>
      <c r="AM6614">
        <v>86.844661615128203</v>
      </c>
      <c r="AN6614">
        <v>1.00000002891436</v>
      </c>
    </row>
    <row r="6615" spans="1:40" x14ac:dyDescent="0.25">
      <c r="A6615" t="str">
        <f>"20190312161445325"</f>
        <v>20190312161445325</v>
      </c>
      <c r="B6615" t="str">
        <f>"1552378485313024"</f>
        <v>1552378485313024</v>
      </c>
      <c r="C6615" t="s">
        <v>40</v>
      </c>
      <c r="D6615">
        <v>5.0709839999999904</v>
      </c>
      <c r="E6615">
        <v>0.44654070000000001</v>
      </c>
      <c r="F6615" t="s">
        <v>77</v>
      </c>
      <c r="G6615">
        <v>-179.95769999999999</v>
      </c>
      <c r="H6615">
        <v>2.9017910000000001E-2</v>
      </c>
      <c r="I6615">
        <v>-58.787799999999997</v>
      </c>
      <c r="J6615">
        <v>-222.75309999999999</v>
      </c>
      <c r="K6615">
        <v>1.1090139999999999</v>
      </c>
      <c r="L6615">
        <v>-63.109279999999998</v>
      </c>
      <c r="M6615">
        <v>0.99986459999999999</v>
      </c>
      <c r="N6615">
        <v>0</v>
      </c>
      <c r="O6615">
        <v>1.418616E-2</v>
      </c>
      <c r="P6615">
        <v>0.9986024</v>
      </c>
      <c r="Q6615">
        <v>-3.3315539999999998E-2</v>
      </c>
      <c r="R6615">
        <v>-4.1030039999999997E-2</v>
      </c>
      <c r="S6615">
        <v>3.013992</v>
      </c>
      <c r="T6615">
        <v>-7.5770619999999997E-2</v>
      </c>
      <c r="U6615">
        <v>0.30334470000000002</v>
      </c>
      <c r="V6615">
        <v>5.5177490000000003E-2</v>
      </c>
      <c r="W6615">
        <v>-2.5014080000000001E-2</v>
      </c>
      <c r="X6615">
        <v>0.99816320000000003</v>
      </c>
      <c r="Y6615">
        <v>-8.5991719999999994E-2</v>
      </c>
      <c r="Z6615">
        <v>7.2238659999999998E-4</v>
      </c>
      <c r="AA6615">
        <v>0.99629559999999995</v>
      </c>
      <c r="AB6615">
        <v>33</v>
      </c>
      <c r="AC6615">
        <v>42.795400000000001</v>
      </c>
      <c r="AD6615">
        <v>-1.0799960900000001</v>
      </c>
      <c r="AE6615">
        <v>4.3214800000000002</v>
      </c>
      <c r="AF6615">
        <v>-3.7115816735571601</v>
      </c>
      <c r="AG6615">
        <v>-1.0799960900000001</v>
      </c>
      <c r="AH6615">
        <v>42.825401727137702</v>
      </c>
      <c r="AI6615">
        <v>91.439219554885696</v>
      </c>
      <c r="AJ6615">
        <v>94.953319700374493</v>
      </c>
      <c r="AK6615">
        <v>42.999503057182302</v>
      </c>
      <c r="AL6615">
        <v>91.433350690536599</v>
      </c>
      <c r="AM6615">
        <v>86.835965317928896</v>
      </c>
      <c r="AN6615">
        <v>1.00000001671759</v>
      </c>
    </row>
    <row r="6616" spans="1:40" x14ac:dyDescent="0.25">
      <c r="A6616" t="str">
        <f>"20190312161445337"</f>
        <v>20190312161445337</v>
      </c>
      <c r="B6616" t="str">
        <f>"1552378485333520"</f>
        <v>1552378485333520</v>
      </c>
      <c r="C6616" t="s">
        <v>40</v>
      </c>
      <c r="D6616">
        <v>5.0852649999999997</v>
      </c>
      <c r="E6616">
        <v>0.44647900000000001</v>
      </c>
      <c r="F6616" t="s">
        <v>77</v>
      </c>
      <c r="G6616">
        <v>-179.95769999999999</v>
      </c>
      <c r="H6616">
        <v>1.6993999999999999E-2</v>
      </c>
      <c r="I6616">
        <v>-58.813079999999999</v>
      </c>
      <c r="J6616">
        <v>-222.5856</v>
      </c>
      <c r="K6616">
        <v>1.1090199999999999</v>
      </c>
      <c r="L6616">
        <v>-63.107059999999997</v>
      </c>
      <c r="M6616">
        <v>0.99986609999999998</v>
      </c>
      <c r="N6616">
        <v>0</v>
      </c>
      <c r="O6616">
        <v>1.4049860000000001E-2</v>
      </c>
      <c r="P6616">
        <v>0.99858230000000003</v>
      </c>
      <c r="Q6616">
        <v>-3.3701189999999999E-2</v>
      </c>
      <c r="R6616">
        <v>-4.1206819999999998E-2</v>
      </c>
      <c r="S6616">
        <v>3.014084</v>
      </c>
      <c r="T6616">
        <v>-7.6911090000000001E-2</v>
      </c>
      <c r="U6616">
        <v>0.30258180000000001</v>
      </c>
      <c r="V6616">
        <v>5.5217670000000003E-2</v>
      </c>
      <c r="W6616">
        <v>-2.535246E-2</v>
      </c>
      <c r="X6616">
        <v>0.99815240000000005</v>
      </c>
      <c r="Y6616">
        <v>-8.5874160000000005E-2</v>
      </c>
      <c r="Z6616">
        <v>7.3521440000000001E-4</v>
      </c>
      <c r="AA6616">
        <v>0.99630569999999896</v>
      </c>
      <c r="AB6616">
        <v>33</v>
      </c>
      <c r="AC6616">
        <v>42.627899999999997</v>
      </c>
      <c r="AD6616">
        <v>-1.0920259999999999</v>
      </c>
      <c r="AE6616">
        <v>4.2939799999999897</v>
      </c>
      <c r="AF6616">
        <v>-3.6922203025124398</v>
      </c>
      <c r="AG6616">
        <v>-1.0920259999999999</v>
      </c>
      <c r="AH6616">
        <v>42.656311520641303</v>
      </c>
      <c r="AI6616">
        <v>91.461023908494496</v>
      </c>
      <c r="AJ6616">
        <v>94.947044751656193</v>
      </c>
      <c r="AK6616">
        <v>42.829731777037203</v>
      </c>
      <c r="AL6616">
        <v>91.452744646141198</v>
      </c>
      <c r="AM6616">
        <v>86.833631778555599</v>
      </c>
      <c r="AN6616">
        <v>0.99999997596701995</v>
      </c>
    </row>
    <row r="6617" spans="1:40" x14ac:dyDescent="0.25">
      <c r="A6617" t="str">
        <f>"20190312161445350"</f>
        <v>20190312161445350</v>
      </c>
      <c r="B6617" t="str">
        <f>"1552378485343280"</f>
        <v>1552378485343280</v>
      </c>
      <c r="C6617" t="s">
        <v>40</v>
      </c>
      <c r="D6617">
        <v>5.1021879999999999</v>
      </c>
      <c r="E6617">
        <v>0.44635920000000001</v>
      </c>
      <c r="F6617" t="s">
        <v>77</v>
      </c>
      <c r="G6617">
        <v>-180.49189999999999</v>
      </c>
      <c r="H6617" s="1">
        <v>-1.447235E-5</v>
      </c>
      <c r="I6617">
        <v>-58.881689999999999</v>
      </c>
      <c r="J6617">
        <v>-222.41059999999999</v>
      </c>
      <c r="K6617">
        <v>1.1090249999999999</v>
      </c>
      <c r="L6617">
        <v>-63.104709999999997</v>
      </c>
      <c r="M6617">
        <v>0.99986759999999997</v>
      </c>
      <c r="N6617">
        <v>0</v>
      </c>
      <c r="O6617">
        <v>1.3907829999999999E-2</v>
      </c>
      <c r="P6617">
        <v>0.99856489999999998</v>
      </c>
      <c r="Q6617">
        <v>-3.3974209999999998E-2</v>
      </c>
      <c r="R6617">
        <v>-4.1403040000000002E-2</v>
      </c>
      <c r="S6617">
        <v>3.0140530000000001</v>
      </c>
      <c r="T6617">
        <v>-7.9410789999999995E-2</v>
      </c>
      <c r="U6617">
        <v>0.30255130000000002</v>
      </c>
      <c r="V6617">
        <v>5.5271689999999998E-2</v>
      </c>
      <c r="W6617">
        <v>-2.5575529999999999E-2</v>
      </c>
      <c r="X6617">
        <v>0.99814369999999997</v>
      </c>
      <c r="Y6617">
        <v>-8.6005059999999994E-2</v>
      </c>
      <c r="Z6617">
        <v>7.6456009999999999E-4</v>
      </c>
      <c r="AA6617">
        <v>0.99629440000000002</v>
      </c>
      <c r="AB6617">
        <v>33</v>
      </c>
      <c r="AC6617">
        <v>41.918700000000001</v>
      </c>
      <c r="AD6617">
        <v>-1.1090394723500001</v>
      </c>
      <c r="AE6617">
        <v>4.2230199999999902</v>
      </c>
      <c r="AF6617">
        <v>-3.6370723151892701</v>
      </c>
      <c r="AG6617">
        <v>-1.1090394723500001</v>
      </c>
      <c r="AH6617">
        <v>41.944315824540297</v>
      </c>
      <c r="AI6617">
        <v>91.508931366134405</v>
      </c>
      <c r="AJ6617">
        <v>94.955831175825594</v>
      </c>
      <c r="AK6617">
        <v>42.116313864890003</v>
      </c>
      <c r="AL6617">
        <v>91.465529790029805</v>
      </c>
      <c r="AM6617">
        <v>86.830512831930704</v>
      </c>
      <c r="AN6617">
        <v>0.999999956649962</v>
      </c>
    </row>
    <row r="6618" spans="1:40" x14ac:dyDescent="0.25">
      <c r="A6618" t="str">
        <f>"20190312161445359"</f>
        <v>20190312161445359</v>
      </c>
      <c r="B6618" t="str">
        <f>"1552378485353040"</f>
        <v>1552378485353040</v>
      </c>
      <c r="C6618" t="s">
        <v>40</v>
      </c>
      <c r="D6618">
        <v>5.1095329999999999</v>
      </c>
      <c r="E6618">
        <v>0.44627440000000002</v>
      </c>
      <c r="F6618" t="s">
        <v>77</v>
      </c>
      <c r="G6618">
        <v>-180.5582</v>
      </c>
      <c r="H6618" s="1">
        <v>-1.446571E-5</v>
      </c>
      <c r="I6618">
        <v>-58.898600000000002</v>
      </c>
      <c r="J6618">
        <v>-222.2508</v>
      </c>
      <c r="K6618">
        <v>1.1090260000000001</v>
      </c>
      <c r="L6618">
        <v>-63.102600000000002</v>
      </c>
      <c r="M6618">
        <v>0.99986909999999896</v>
      </c>
      <c r="N6618">
        <v>0</v>
      </c>
      <c r="O6618">
        <v>1.377772E-2</v>
      </c>
      <c r="P6618">
        <v>0.998552</v>
      </c>
      <c r="Q6618">
        <v>-3.4169989999999997E-2</v>
      </c>
      <c r="R6618">
        <v>-4.1557629999999998E-2</v>
      </c>
      <c r="S6618">
        <v>3.0141450000000001</v>
      </c>
      <c r="T6618">
        <v>-7.9871300000000006E-2</v>
      </c>
      <c r="U6618">
        <v>0.30291750000000001</v>
      </c>
      <c r="V6618">
        <v>5.5296039999999998E-2</v>
      </c>
      <c r="W6618">
        <v>-2.5722109999999999E-2</v>
      </c>
      <c r="X6618">
        <v>0.99813859999999999</v>
      </c>
      <c r="Y6618">
        <v>-8.6251120000000001E-2</v>
      </c>
      <c r="Z6618">
        <v>7.7565269999999996E-4</v>
      </c>
      <c r="AA6618">
        <v>0.99627310000000002</v>
      </c>
      <c r="AB6618">
        <v>33</v>
      </c>
      <c r="AC6618">
        <v>41.692599999999999</v>
      </c>
      <c r="AD6618">
        <v>-1.1090404657099999</v>
      </c>
      <c r="AE6618">
        <v>4.2039999999999997</v>
      </c>
      <c r="AF6618">
        <v>-3.6266110049376601</v>
      </c>
      <c r="AG6618">
        <v>-1.1090404657099999</v>
      </c>
      <c r="AH6618">
        <v>41.7173446433831</v>
      </c>
      <c r="AI6618">
        <v>91.517109647456707</v>
      </c>
      <c r="AJ6618">
        <v>94.968399166894102</v>
      </c>
      <c r="AK6618">
        <v>41.8893676513567</v>
      </c>
      <c r="AL6618">
        <v>91.473930947148602</v>
      </c>
      <c r="AM6618">
        <v>86.829103191206897</v>
      </c>
      <c r="AN6618">
        <v>0.99999997189624601</v>
      </c>
    </row>
    <row r="6619" spans="1:40" x14ac:dyDescent="0.25">
      <c r="A6619" t="str">
        <f>"20190312161445371"</f>
        <v>20190312161445371</v>
      </c>
      <c r="B6619" t="str">
        <f>"1552378485362800"</f>
        <v>1552378485362800</v>
      </c>
      <c r="C6619" t="s">
        <v>40</v>
      </c>
      <c r="D6619">
        <v>5.077458</v>
      </c>
      <c r="E6619">
        <v>0.4462315</v>
      </c>
      <c r="F6619" t="s">
        <v>77</v>
      </c>
      <c r="G6619">
        <v>-180.5247</v>
      </c>
      <c r="H6619" s="1">
        <v>-1.4474630000000001E-5</v>
      </c>
      <c r="I6619">
        <v>-58.906329999999997</v>
      </c>
      <c r="J6619">
        <v>-222.08869999999999</v>
      </c>
      <c r="K6619">
        <v>1.10903</v>
      </c>
      <c r="L6619">
        <v>-63.100490000000001</v>
      </c>
      <c r="M6619">
        <v>0.9998705</v>
      </c>
      <c r="N6619">
        <v>0</v>
      </c>
      <c r="O6619">
        <v>1.364605E-2</v>
      </c>
      <c r="P6619">
        <v>0.99854229999999999</v>
      </c>
      <c r="Q6619">
        <v>-3.4044079999999997E-2</v>
      </c>
      <c r="R6619">
        <v>-4.1888639999999998E-2</v>
      </c>
      <c r="S6619">
        <v>3.014221</v>
      </c>
      <c r="T6619">
        <v>-8.0115080000000005E-2</v>
      </c>
      <c r="U6619">
        <v>0.30313109999999999</v>
      </c>
      <c r="V6619">
        <v>5.5495740000000002E-2</v>
      </c>
      <c r="W6619">
        <v>-2.5544910000000001E-2</v>
      </c>
      <c r="X6619">
        <v>0.99813209999999997</v>
      </c>
      <c r="Y6619">
        <v>-8.6449410000000004E-2</v>
      </c>
      <c r="Z6619">
        <v>7.8411399999999895E-4</v>
      </c>
      <c r="AA6619">
        <v>0.99625589999999997</v>
      </c>
      <c r="AB6619">
        <v>33</v>
      </c>
      <c r="AC6619">
        <v>41.563999999999901</v>
      </c>
      <c r="AD6619">
        <v>-1.1090444746300001</v>
      </c>
      <c r="AE6619">
        <v>4.1941599999999903</v>
      </c>
      <c r="AF6619">
        <v>-3.6240101986659501</v>
      </c>
      <c r="AG6619">
        <v>-1.1090444746300001</v>
      </c>
      <c r="AH6619">
        <v>41.588054331796201</v>
      </c>
      <c r="AI6619">
        <v>91.521802077826905</v>
      </c>
      <c r="AJ6619">
        <v>94.980211314152001</v>
      </c>
      <c r="AK6619">
        <v>41.760384249563302</v>
      </c>
      <c r="AL6619">
        <v>91.463774750018402</v>
      </c>
      <c r="AM6619">
        <v>86.817654405452302</v>
      </c>
      <c r="AN6619">
        <v>1.00000000431773</v>
      </c>
    </row>
    <row r="6620" spans="1:40" x14ac:dyDescent="0.25">
      <c r="A6620" t="str">
        <f>"20190312161445382"</f>
        <v>20190312161445382</v>
      </c>
      <c r="B6620" t="str">
        <f>"1552378485373536"</f>
        <v>1552378485373536</v>
      </c>
      <c r="C6620" t="s">
        <v>40</v>
      </c>
      <c r="D6620">
        <v>5.1223340000000004</v>
      </c>
      <c r="E6620">
        <v>0.44616660000000002</v>
      </c>
      <c r="F6620" t="s">
        <v>77</v>
      </c>
      <c r="G6620">
        <v>-180.75030000000001</v>
      </c>
      <c r="H6620" s="1">
        <v>-1.4448119999999999E-5</v>
      </c>
      <c r="I6620">
        <v>-58.952539999999999</v>
      </c>
      <c r="J6620">
        <v>-221.9178</v>
      </c>
      <c r="K6620">
        <v>1.1090359999999999</v>
      </c>
      <c r="L6620">
        <v>-63.0982699999999</v>
      </c>
      <c r="M6620">
        <v>0.99987190000000004</v>
      </c>
      <c r="N6620">
        <v>0</v>
      </c>
      <c r="O6620">
        <v>1.350762E-2</v>
      </c>
      <c r="P6620">
        <v>0.99854160000000003</v>
      </c>
      <c r="Q6620">
        <v>-3.397609E-2</v>
      </c>
      <c r="R6620">
        <v>-4.1960629999999999E-2</v>
      </c>
      <c r="S6620">
        <v>3.014297</v>
      </c>
      <c r="T6620">
        <v>-8.0868960000000004E-2</v>
      </c>
      <c r="U6620">
        <v>0.3024597</v>
      </c>
      <c r="V6620">
        <v>5.5429699999999998E-2</v>
      </c>
      <c r="W6620">
        <v>-2.5418240000000002E-2</v>
      </c>
      <c r="X6620">
        <v>0.998139</v>
      </c>
      <c r="Y6620">
        <v>-8.6364659999999996E-2</v>
      </c>
      <c r="Z6620">
        <v>7.9404729999999998E-4</v>
      </c>
      <c r="AA6620">
        <v>0.99626329999999996</v>
      </c>
      <c r="AB6620">
        <v>33</v>
      </c>
      <c r="AC6620">
        <v>41.167499999999897</v>
      </c>
      <c r="AD6620">
        <v>-1.1090504481200001</v>
      </c>
      <c r="AE6620">
        <v>4.1457299999999897</v>
      </c>
      <c r="AF6620">
        <v>-3.5866793635883401</v>
      </c>
      <c r="AG6620">
        <v>-1.1090504481200001</v>
      </c>
      <c r="AH6620">
        <v>41.190150854928</v>
      </c>
      <c r="AI6620">
        <v>91.536512754320398</v>
      </c>
      <c r="AJ6620">
        <v>94.976542874211106</v>
      </c>
      <c r="AK6620">
        <v>41.360884773000102</v>
      </c>
      <c r="AL6620">
        <v>91.456514741184193</v>
      </c>
      <c r="AM6620">
        <v>86.821455558808594</v>
      </c>
      <c r="AN6620">
        <v>1.0000000009438901</v>
      </c>
    </row>
    <row r="6621" spans="1:40" x14ac:dyDescent="0.25">
      <c r="A6621" t="str">
        <f>"20190312161445393"</f>
        <v>20190312161445393</v>
      </c>
      <c r="B6621" t="str">
        <f>"1552378485383296"</f>
        <v>1552378485383296</v>
      </c>
      <c r="C6621" t="s">
        <v>40</v>
      </c>
      <c r="D6621">
        <v>5.1070320000000002</v>
      </c>
      <c r="E6621">
        <v>0.44612829999999898</v>
      </c>
      <c r="F6621" t="s">
        <v>77</v>
      </c>
      <c r="G6621">
        <v>-180.7963</v>
      </c>
      <c r="H6621" s="1">
        <v>-1.4444480000000001E-5</v>
      </c>
      <c r="I6621">
        <v>-58.967089999999999</v>
      </c>
      <c r="J6621">
        <v>-221.76560000000001</v>
      </c>
      <c r="K6621">
        <v>1.109049</v>
      </c>
      <c r="L6621">
        <v>-63.096339999999998</v>
      </c>
      <c r="M6621">
        <v>0.99987289999999995</v>
      </c>
      <c r="N6621">
        <v>0</v>
      </c>
      <c r="O6621">
        <v>1.3385289999999999E-2</v>
      </c>
      <c r="P6621">
        <v>0.99851579999999995</v>
      </c>
      <c r="Q6621">
        <v>-3.408572E-2</v>
      </c>
      <c r="R6621">
        <v>-4.2479940000000001E-2</v>
      </c>
      <c r="S6621">
        <v>3.014313</v>
      </c>
      <c r="T6621">
        <v>-8.1296320000000005E-2</v>
      </c>
      <c r="U6621">
        <v>0.30282589999999998</v>
      </c>
      <c r="V6621">
        <v>5.5826290000000001E-2</v>
      </c>
      <c r="W6621">
        <v>-2.5473519999999999E-2</v>
      </c>
      <c r="X6621">
        <v>0.99811550000000004</v>
      </c>
      <c r="Y6621">
        <v>-8.6605470000000004E-2</v>
      </c>
      <c r="Z6621">
        <v>8.0476039999999999E-4</v>
      </c>
      <c r="AA6621">
        <v>0.99624230000000003</v>
      </c>
      <c r="AB6621">
        <v>33</v>
      </c>
      <c r="AC6621">
        <v>40.969299999999997</v>
      </c>
      <c r="AD6621">
        <v>-1.10906344448</v>
      </c>
      <c r="AE6621">
        <v>4.1292499999999999</v>
      </c>
      <c r="AF6621">
        <v>-3.5778779490030499</v>
      </c>
      <c r="AG6621">
        <v>-1.10906344448</v>
      </c>
      <c r="AH6621">
        <v>40.991165735433199</v>
      </c>
      <c r="AI6621">
        <v>91.543958224037198</v>
      </c>
      <c r="AJ6621">
        <v>94.988369501947204</v>
      </c>
      <c r="AK6621">
        <v>41.161959388391601</v>
      </c>
      <c r="AL6621">
        <v>91.459683060016701</v>
      </c>
      <c r="AM6621">
        <v>86.798685535902806</v>
      </c>
      <c r="AN6621">
        <v>1.0000000131083</v>
      </c>
    </row>
    <row r="6622" spans="1:40" x14ac:dyDescent="0.25">
      <c r="A6622" t="str">
        <f>"20190312161445403"</f>
        <v>20190312161445403</v>
      </c>
      <c r="B6622" t="str">
        <f>"1552378485393059"</f>
        <v>1552378485393059</v>
      </c>
      <c r="C6622" t="s">
        <v>40</v>
      </c>
      <c r="D6622">
        <v>5.1073890000000004</v>
      </c>
      <c r="E6622">
        <v>0.44609149999999997</v>
      </c>
      <c r="F6622" t="s">
        <v>77</v>
      </c>
      <c r="G6622">
        <v>-181.22110000000001</v>
      </c>
      <c r="H6622" s="1">
        <v>-1.439011E-5</v>
      </c>
      <c r="I6622">
        <v>-59.040970000000002</v>
      </c>
      <c r="J6622">
        <v>-221.601</v>
      </c>
      <c r="K6622">
        <v>1.109059</v>
      </c>
      <c r="L6622">
        <v>-63.094270000000002</v>
      </c>
      <c r="M6622">
        <v>0.99987420000000005</v>
      </c>
      <c r="N6622">
        <v>0</v>
      </c>
      <c r="O6622">
        <v>1.32534E-2</v>
      </c>
      <c r="P6622">
        <v>0.99849949999999998</v>
      </c>
      <c r="Q6622">
        <v>-3.427272E-2</v>
      </c>
      <c r="R6622">
        <v>-4.271279E-2</v>
      </c>
      <c r="S6622">
        <v>3.0144500000000001</v>
      </c>
      <c r="T6622">
        <v>-8.2457900000000001E-2</v>
      </c>
      <c r="U6622">
        <v>0.3015137</v>
      </c>
      <c r="V6622">
        <v>5.5927520000000001E-2</v>
      </c>
      <c r="W6622">
        <v>-2.559813E-2</v>
      </c>
      <c r="X6622">
        <v>0.99810670000000001</v>
      </c>
      <c r="Y6622">
        <v>-8.6302279999999995E-2</v>
      </c>
      <c r="Z6622">
        <v>8.1569619999999896E-4</v>
      </c>
      <c r="AA6622">
        <v>0.99626870000000001</v>
      </c>
      <c r="AB6622">
        <v>33</v>
      </c>
      <c r="AC6622">
        <v>40.3798999999999</v>
      </c>
      <c r="AD6622">
        <v>-1.1090733901100001</v>
      </c>
      <c r="AE6622">
        <v>4.0533000000000001</v>
      </c>
      <c r="AF6622">
        <v>-3.5151273959497802</v>
      </c>
      <c r="AG6622">
        <v>-1.1090733901100001</v>
      </c>
      <c r="AH6622">
        <v>40.399902351003099</v>
      </c>
      <c r="AI6622">
        <v>91.5665946799664</v>
      </c>
      <c r="AJ6622">
        <v>94.972685932223001</v>
      </c>
      <c r="AK6622">
        <v>40.5676998899987</v>
      </c>
      <c r="AL6622">
        <v>91.466824935168106</v>
      </c>
      <c r="AM6622">
        <v>86.792864471215296</v>
      </c>
      <c r="AN6622">
        <v>1.0000000681688599</v>
      </c>
    </row>
    <row r="6623" spans="1:40" x14ac:dyDescent="0.25">
      <c r="A6623" t="str">
        <f>"20190312161445415"</f>
        <v>20190312161445415</v>
      </c>
      <c r="B6623" t="str">
        <f>"1552378485402816"</f>
        <v>1552378485402816</v>
      </c>
      <c r="C6623" t="s">
        <v>40</v>
      </c>
      <c r="D6623">
        <v>5.1426089999999904</v>
      </c>
      <c r="E6623">
        <v>0.44603890000000002</v>
      </c>
      <c r="F6623" t="s">
        <v>77</v>
      </c>
      <c r="G6623">
        <v>-181.64150000000001</v>
      </c>
      <c r="H6623" s="1">
        <v>-1.431872E-5</v>
      </c>
      <c r="I6623">
        <v>-59.10239</v>
      </c>
      <c r="J6623">
        <v>-221.44149999999999</v>
      </c>
      <c r="K6623">
        <v>1.10907</v>
      </c>
      <c r="L6623">
        <v>-63.09225</v>
      </c>
      <c r="M6623">
        <v>0.99987530000000002</v>
      </c>
      <c r="N6623">
        <v>0</v>
      </c>
      <c r="O6623">
        <v>1.312931E-2</v>
      </c>
      <c r="P6623">
        <v>0.99849460000000001</v>
      </c>
      <c r="Q6623">
        <v>-3.4117550000000003E-2</v>
      </c>
      <c r="R6623">
        <v>-4.2954779999999998E-2</v>
      </c>
      <c r="S6623">
        <v>3.0145420000000001</v>
      </c>
      <c r="T6623">
        <v>-8.3668469999999995E-2</v>
      </c>
      <c r="U6623">
        <v>0.30114750000000001</v>
      </c>
      <c r="V6623">
        <v>5.6045539999999998E-2</v>
      </c>
      <c r="W6623">
        <v>-2.5377219999999999E-2</v>
      </c>
      <c r="X6623">
        <v>0.99810560000000004</v>
      </c>
      <c r="Y6623">
        <v>-8.6302249999999997E-2</v>
      </c>
      <c r="Z6623">
        <v>8.3107989999999996E-4</v>
      </c>
      <c r="AA6623">
        <v>0.99626859999999995</v>
      </c>
      <c r="AB6623">
        <v>33</v>
      </c>
      <c r="AC6623">
        <v>39.799999999999898</v>
      </c>
      <c r="AD6623">
        <v>-1.1090843187199999</v>
      </c>
      <c r="AE6623">
        <v>3.98985999999999</v>
      </c>
      <c r="AF6623">
        <v>-3.4642860309545598</v>
      </c>
      <c r="AG6623">
        <v>-1.1090843187199999</v>
      </c>
      <c r="AH6623">
        <v>39.818342547522398</v>
      </c>
      <c r="AI6623">
        <v>91.589480134355298</v>
      </c>
      <c r="AJ6623">
        <v>94.972342002847299</v>
      </c>
      <c r="AK6623">
        <v>39.984143719256103</v>
      </c>
      <c r="AL6623">
        <v>91.454163787951799</v>
      </c>
      <c r="AM6623">
        <v>86.7861073114601</v>
      </c>
      <c r="AN6623">
        <v>0.99999994730008801</v>
      </c>
    </row>
    <row r="6624" spans="1:40" x14ac:dyDescent="0.25">
      <c r="A6624" t="str">
        <f>"20190312161445426"</f>
        <v>20190312161445426</v>
      </c>
      <c r="B6624" t="str">
        <f>"1552378485423380"</f>
        <v>1552378485423380</v>
      </c>
      <c r="C6624" t="s">
        <v>40</v>
      </c>
      <c r="D6624">
        <v>5.1239600000000003</v>
      </c>
      <c r="E6624">
        <v>0.4459592</v>
      </c>
      <c r="F6624" t="s">
        <v>77</v>
      </c>
      <c r="G6624">
        <v>-181.46199999999999</v>
      </c>
      <c r="H6624" s="1">
        <v>-1.4358320000000001E-5</v>
      </c>
      <c r="I6624">
        <v>-59.1021</v>
      </c>
      <c r="J6624">
        <v>-221.27459999999999</v>
      </c>
      <c r="K6624">
        <v>1.109084</v>
      </c>
      <c r="L6624">
        <v>-63.090179999999997</v>
      </c>
      <c r="M6624">
        <v>0.99987630000000005</v>
      </c>
      <c r="N6624">
        <v>0</v>
      </c>
      <c r="O6624">
        <v>1.3001749999999999E-2</v>
      </c>
      <c r="P6624">
        <v>0.9984828</v>
      </c>
      <c r="Q6624">
        <v>-3.4322760000000001E-2</v>
      </c>
      <c r="R6624">
        <v>-4.3058079999999999E-2</v>
      </c>
      <c r="S6624">
        <v>3.0146030000000001</v>
      </c>
      <c r="T6624">
        <v>-8.3629129999999996E-2</v>
      </c>
      <c r="U6624">
        <v>0.3008728</v>
      </c>
      <c r="V6624">
        <v>5.6021679999999997E-2</v>
      </c>
      <c r="W6624">
        <v>-2.5510459999999999E-2</v>
      </c>
      <c r="X6624">
        <v>0.99810359999999998</v>
      </c>
      <c r="Y6624">
        <v>-8.6337430000000007E-2</v>
      </c>
      <c r="Z6624">
        <v>8.3469079999999997E-4</v>
      </c>
      <c r="AA6624">
        <v>0.99626559999999997</v>
      </c>
      <c r="AB6624">
        <v>33</v>
      </c>
      <c r="AC6624">
        <v>39.812599999999897</v>
      </c>
      <c r="AD6624">
        <v>-1.10909835832</v>
      </c>
      <c r="AE6624">
        <v>3.9880800000000001</v>
      </c>
      <c r="AF6624">
        <v>-3.4674249076861301</v>
      </c>
      <c r="AG6624">
        <v>-1.10909835832</v>
      </c>
      <c r="AH6624">
        <v>39.830484551184099</v>
      </c>
      <c r="AI6624">
        <v>91.589008774619799</v>
      </c>
      <c r="AJ6624">
        <v>94.975315133954297</v>
      </c>
      <c r="AK6624">
        <v>39.996507775566897</v>
      </c>
      <c r="AL6624">
        <v>91.461800267044595</v>
      </c>
      <c r="AM6624">
        <v>86.787466256460206</v>
      </c>
      <c r="AN6624">
        <v>1.0000000042661901</v>
      </c>
    </row>
    <row r="6625" spans="1:40" x14ac:dyDescent="0.25">
      <c r="A6625" t="str">
        <f>"20190312161445438"</f>
        <v>20190312161445438</v>
      </c>
      <c r="B6625" t="str">
        <f>"1552378485433143"</f>
        <v>1552378485433143</v>
      </c>
      <c r="C6625" t="s">
        <v>40</v>
      </c>
      <c r="D6625">
        <v>5.1171550000000003</v>
      </c>
      <c r="E6625">
        <v>0.44590340000000001</v>
      </c>
      <c r="F6625" t="s">
        <v>77</v>
      </c>
      <c r="G6625">
        <v>-182.36109999999999</v>
      </c>
      <c r="H6625" s="1">
        <v>-1.419039E-5</v>
      </c>
      <c r="I6625">
        <v>-59.202449999999999</v>
      </c>
      <c r="J6625">
        <v>-221.10640000000001</v>
      </c>
      <c r="K6625">
        <v>1.1091040000000001</v>
      </c>
      <c r="L6625">
        <v>-63.088099999999997</v>
      </c>
      <c r="M6625">
        <v>0.99987700000000002</v>
      </c>
      <c r="N6625">
        <v>0</v>
      </c>
      <c r="O6625">
        <v>1.288216E-2</v>
      </c>
      <c r="P6625">
        <v>0.99848320000000002</v>
      </c>
      <c r="Q6625">
        <v>-3.4084980000000001E-2</v>
      </c>
      <c r="R6625">
        <v>-4.3237919999999999E-2</v>
      </c>
      <c r="S6625">
        <v>3.0145870000000001</v>
      </c>
      <c r="T6625">
        <v>-8.5920570000000002E-2</v>
      </c>
      <c r="U6625">
        <v>0.301178</v>
      </c>
      <c r="V6625">
        <v>5.608279E-2</v>
      </c>
      <c r="W6625">
        <v>-2.5191370000000001E-2</v>
      </c>
      <c r="X6625">
        <v>0.99810829999999995</v>
      </c>
      <c r="Y6625">
        <v>-8.6555240000000006E-2</v>
      </c>
      <c r="Z6625">
        <v>8.6404579999999997E-4</v>
      </c>
      <c r="AA6625">
        <v>0.99624669999999904</v>
      </c>
      <c r="AB6625">
        <v>33</v>
      </c>
      <c r="AC6625">
        <v>38.7453</v>
      </c>
      <c r="AD6625">
        <v>-1.10911819038999</v>
      </c>
      <c r="AE6625">
        <v>3.8856499999999898</v>
      </c>
      <c r="AF6625">
        <v>-3.38343949877641</v>
      </c>
      <c r="AG6625">
        <v>-1.10911819038999</v>
      </c>
      <c r="AH6625">
        <v>38.760696453901701</v>
      </c>
      <c r="AI6625">
        <v>91.6328375730576</v>
      </c>
      <c r="AJ6625">
        <v>94.988730541381798</v>
      </c>
      <c r="AK6625">
        <v>38.923892348962802</v>
      </c>
      <c r="AL6625">
        <v>91.443511839816395</v>
      </c>
      <c r="AM6625">
        <v>86.783984399765004</v>
      </c>
      <c r="AN6625">
        <v>1.0000000314927699</v>
      </c>
    </row>
    <row r="6626" spans="1:40" x14ac:dyDescent="0.25">
      <c r="A6626" t="str">
        <f>"20190312161445449"</f>
        <v>20190312161445449</v>
      </c>
      <c r="B6626" t="str">
        <f>"1552378485442900"</f>
        <v>1552378485442900</v>
      </c>
      <c r="C6626" t="s">
        <v>40</v>
      </c>
      <c r="D6626">
        <v>5.1031529999999998</v>
      </c>
      <c r="E6626">
        <v>0.4457699</v>
      </c>
      <c r="F6626" t="s">
        <v>77</v>
      </c>
      <c r="G6626">
        <v>-182.07169999999999</v>
      </c>
      <c r="H6626" s="1">
        <v>-1.42504E-5</v>
      </c>
      <c r="I6626">
        <v>-59.189549999999997</v>
      </c>
      <c r="J6626">
        <v>-220.93780000000001</v>
      </c>
      <c r="K6626">
        <v>1.1091249999999999</v>
      </c>
      <c r="L6626">
        <v>-63.086030000000001</v>
      </c>
      <c r="M6626">
        <v>0.99987780000000004</v>
      </c>
      <c r="N6626">
        <v>0</v>
      </c>
      <c r="O6626">
        <v>1.276561E-2</v>
      </c>
      <c r="P6626">
        <v>0.99849299999999996</v>
      </c>
      <c r="Q6626">
        <v>-3.396354E-2</v>
      </c>
      <c r="R6626">
        <v>-4.3108250000000001E-2</v>
      </c>
      <c r="S6626">
        <v>3.0146639999999998</v>
      </c>
      <c r="T6626">
        <v>-8.56576E-2</v>
      </c>
      <c r="U6626">
        <v>0.30108639999999998</v>
      </c>
      <c r="V6626">
        <v>5.5837499999999998E-2</v>
      </c>
      <c r="W6626">
        <v>-2.4985710000000001E-2</v>
      </c>
      <c r="X6626">
        <v>0.99812719999999999</v>
      </c>
      <c r="Y6626">
        <v>-8.6639010000000002E-2</v>
      </c>
      <c r="Z6626">
        <v>8.6587000000000003E-4</v>
      </c>
      <c r="AA6626">
        <v>0.9962394</v>
      </c>
      <c r="AB6626">
        <v>33</v>
      </c>
      <c r="AC6626">
        <v>38.866100000000003</v>
      </c>
      <c r="AD6626">
        <v>-1.1091392503999999</v>
      </c>
      <c r="AE6626">
        <v>3.8964800000000102</v>
      </c>
      <c r="AF6626">
        <v>-3.3972536545276699</v>
      </c>
      <c r="AG6626">
        <v>-1.1091392503999999</v>
      </c>
      <c r="AH6626">
        <v>38.881326442109703</v>
      </c>
      <c r="AI6626">
        <v>91.627793376613994</v>
      </c>
      <c r="AJ6626">
        <v>94.993533684455201</v>
      </c>
      <c r="AK6626">
        <v>39.045218249714999</v>
      </c>
      <c r="AL6626">
        <v>91.431724711086801</v>
      </c>
      <c r="AM6626">
        <v>86.798081499836798</v>
      </c>
      <c r="AN6626">
        <v>1.00000000974514</v>
      </c>
    </row>
    <row r="6627" spans="1:40" x14ac:dyDescent="0.25">
      <c r="A6627" t="str">
        <f>"20190312161445459"</f>
        <v>20190312161445459</v>
      </c>
      <c r="B6627" t="str">
        <f>"1552378485453635"</f>
        <v>1552378485453635</v>
      </c>
      <c r="C6627" t="s">
        <v>40</v>
      </c>
      <c r="D6627">
        <v>5.1598899999999999</v>
      </c>
      <c r="E6627">
        <v>0.44563520000000001</v>
      </c>
      <c r="F6627" t="s">
        <v>77</v>
      </c>
      <c r="G6627">
        <v>-181.77959999999999</v>
      </c>
      <c r="H6627" s="1">
        <v>-1.4304709999999999E-5</v>
      </c>
      <c r="I6627">
        <v>-59.156129999999997</v>
      </c>
      <c r="J6627">
        <v>-220.77809999999999</v>
      </c>
      <c r="K6627">
        <v>1.109148</v>
      </c>
      <c r="L6627">
        <v>-63.084110000000003</v>
      </c>
      <c r="M6627">
        <v>0.99987820000000005</v>
      </c>
      <c r="N6627">
        <v>0</v>
      </c>
      <c r="O6627">
        <v>1.26702E-2</v>
      </c>
      <c r="P6627">
        <v>0.99849489999999996</v>
      </c>
      <c r="Q6627">
        <v>-3.4142079999999998E-2</v>
      </c>
      <c r="R6627">
        <v>-4.2921590000000003E-2</v>
      </c>
      <c r="S6627">
        <v>3.0146790000000001</v>
      </c>
      <c r="T6627">
        <v>-8.5389380000000001E-2</v>
      </c>
      <c r="U6627">
        <v>0.30255130000000002</v>
      </c>
      <c r="V6627">
        <v>5.5556290000000001E-2</v>
      </c>
      <c r="W6627">
        <v>-2.507709E-2</v>
      </c>
      <c r="X6627">
        <v>0.99814060000000004</v>
      </c>
      <c r="Y6627">
        <v>-8.7212730000000002E-2</v>
      </c>
      <c r="Z6627">
        <v>8.739323E-4</v>
      </c>
      <c r="AA6627">
        <v>0.9961894</v>
      </c>
      <c r="AB6627">
        <v>33</v>
      </c>
      <c r="AC6627">
        <v>38.9985</v>
      </c>
      <c r="AD6627">
        <v>-1.1091623047100001</v>
      </c>
      <c r="AE6627">
        <v>3.92797999999999</v>
      </c>
      <c r="AF6627">
        <v>-3.4307780764956002</v>
      </c>
      <c r="AG6627">
        <v>-1.1091623047100001</v>
      </c>
      <c r="AH6627">
        <v>39.013898307808802</v>
      </c>
      <c r="AI6627">
        <v>91.622219367433004</v>
      </c>
      <c r="AJ6627">
        <v>95.025510467190799</v>
      </c>
      <c r="AK6627">
        <v>39.180157483098498</v>
      </c>
      <c r="AL6627">
        <v>91.436962040636203</v>
      </c>
      <c r="AM6627">
        <v>86.814216450784897</v>
      </c>
      <c r="AN6627">
        <v>1.00000000958489</v>
      </c>
    </row>
    <row r="6628" spans="1:40" x14ac:dyDescent="0.25">
      <c r="A6628" t="str">
        <f>"20190312161445471"</f>
        <v>20190312161445471</v>
      </c>
      <c r="B6628" t="str">
        <f>"1552378485463396"</f>
        <v>1552378485463396</v>
      </c>
      <c r="C6628" t="s">
        <v>40</v>
      </c>
      <c r="D6628">
        <v>5.1374690000000003</v>
      </c>
      <c r="E6628">
        <v>0.44553120000000002</v>
      </c>
      <c r="F6628" t="s">
        <v>77</v>
      </c>
      <c r="G6628">
        <v>-181.8794</v>
      </c>
      <c r="H6628" s="1">
        <v>-1.4283399999999999E-5</v>
      </c>
      <c r="I6628">
        <v>-59.158580000000001</v>
      </c>
      <c r="J6628">
        <v>-220.60560000000001</v>
      </c>
      <c r="K6628">
        <v>1.1091770000000001</v>
      </c>
      <c r="L6628">
        <v>-63.082030000000003</v>
      </c>
      <c r="M6628">
        <v>0.99987870000000001</v>
      </c>
      <c r="N6628">
        <v>0</v>
      </c>
      <c r="O6628">
        <v>1.2573229999999999E-2</v>
      </c>
      <c r="P6628">
        <v>0.99851760000000001</v>
      </c>
      <c r="Q6628">
        <v>-3.3981989999999997E-2</v>
      </c>
      <c r="R6628">
        <v>-4.2528360000000001E-2</v>
      </c>
      <c r="S6628">
        <v>3.0146639999999998</v>
      </c>
      <c r="T6628">
        <v>-8.5960389999999998E-2</v>
      </c>
      <c r="U6628">
        <v>0.30422969999999999</v>
      </c>
      <c r="V6628">
        <v>5.5067379999999999E-2</v>
      </c>
      <c r="W6628">
        <v>-2.4820749999999999E-2</v>
      </c>
      <c r="X6628">
        <v>0.99817409999999995</v>
      </c>
      <c r="Y6628">
        <v>-8.7858240000000004E-2</v>
      </c>
      <c r="Z6628">
        <v>8.9168859999999995E-4</v>
      </c>
      <c r="AA6628">
        <v>0.99613260000000003</v>
      </c>
      <c r="AB6628">
        <v>33</v>
      </c>
      <c r="AC6628">
        <v>38.726199999999999</v>
      </c>
      <c r="AD6628">
        <v>-1.1091912833999999</v>
      </c>
      <c r="AE6628">
        <v>3.9234499999999901</v>
      </c>
      <c r="AF6628">
        <v>-3.4334178341386399</v>
      </c>
      <c r="AG6628">
        <v>-1.1091912833999999</v>
      </c>
      <c r="AH6628">
        <v>38.741012526495403</v>
      </c>
      <c r="AI6628">
        <v>91.633584182842796</v>
      </c>
      <c r="AJ6628">
        <v>95.064599861428803</v>
      </c>
      <c r="AK6628">
        <v>38.908671461578102</v>
      </c>
      <c r="AL6628">
        <v>91.422270266961604</v>
      </c>
      <c r="AM6628">
        <v>86.842300961365694</v>
      </c>
      <c r="AN6628">
        <v>1.00000000994071</v>
      </c>
    </row>
    <row r="6629" spans="1:40" x14ac:dyDescent="0.25">
      <c r="A6629" t="str">
        <f>"20190312161445481"</f>
        <v>20190312161445481</v>
      </c>
      <c r="B6629" t="str">
        <f>"1552378485473157"</f>
        <v>1552378485473157</v>
      </c>
      <c r="C6629" t="s">
        <v>40</v>
      </c>
      <c r="D6629">
        <v>5.0907470000000004</v>
      </c>
      <c r="E6629">
        <v>0.44553120000000002</v>
      </c>
      <c r="F6629" t="s">
        <v>77</v>
      </c>
      <c r="G6629">
        <v>-181.43180000000001</v>
      </c>
      <c r="H6629" s="1">
        <v>-1.436547E-5</v>
      </c>
      <c r="I6629">
        <v>-59.103639999999999</v>
      </c>
      <c r="J6629">
        <v>-220.44550000000001</v>
      </c>
      <c r="K6629">
        <v>1.109208</v>
      </c>
      <c r="L6629">
        <v>-63.08005</v>
      </c>
      <c r="M6629">
        <v>0.99987890000000001</v>
      </c>
      <c r="N6629">
        <v>0</v>
      </c>
      <c r="O6629">
        <v>1.249691E-2</v>
      </c>
      <c r="P6629">
        <v>0.99852680000000005</v>
      </c>
      <c r="Q6629">
        <v>-3.4036829999999997E-2</v>
      </c>
      <c r="R6629">
        <v>-4.2266020000000001E-2</v>
      </c>
      <c r="S6629">
        <v>3.0145719999999998</v>
      </c>
      <c r="T6629">
        <v>-8.5356470000000004E-2</v>
      </c>
      <c r="U6629">
        <v>0.30615229999999999</v>
      </c>
      <c r="V6629">
        <v>5.4730090000000002E-2</v>
      </c>
      <c r="W6629">
        <v>-2.4782419999999999E-2</v>
      </c>
      <c r="X6629">
        <v>0.99819360000000001</v>
      </c>
      <c r="Y6629">
        <v>-8.8566210000000006E-2</v>
      </c>
      <c r="Z6629">
        <v>8.975745E-4</v>
      </c>
      <c r="AA6629">
        <v>0.99606989999999995</v>
      </c>
      <c r="AB6629">
        <v>33</v>
      </c>
      <c r="AC6629">
        <v>39.0137</v>
      </c>
      <c r="AD6629">
        <v>-1.10922236547</v>
      </c>
      <c r="AE6629">
        <v>3.9764099999999898</v>
      </c>
      <c r="AF6629">
        <v>-3.4857390415948801</v>
      </c>
      <c r="AG6629">
        <v>-1.10922236547</v>
      </c>
      <c r="AH6629">
        <v>39.029123086722699</v>
      </c>
      <c r="AI6629">
        <v>91.621478857757893</v>
      </c>
      <c r="AJ6629">
        <v>95.103615706517402</v>
      </c>
      <c r="AK6629">
        <v>39.200168364953598</v>
      </c>
      <c r="AL6629">
        <v>91.420073448050999</v>
      </c>
      <c r="AM6629">
        <v>86.861664404649602</v>
      </c>
      <c r="AN6629">
        <v>1.0000000070867101</v>
      </c>
    </row>
    <row r="6630" spans="1:40" x14ac:dyDescent="0.25">
      <c r="A6630" t="str">
        <f>"20190312161445492"</f>
        <v>20190312161445492</v>
      </c>
      <c r="B6630" t="str">
        <f>"1552378485482916"</f>
        <v>1552378485482916</v>
      </c>
      <c r="C6630" t="s">
        <v>40</v>
      </c>
      <c r="D6630">
        <v>5.1441919999999897</v>
      </c>
      <c r="E6630">
        <v>0.44547019999999998</v>
      </c>
      <c r="F6630" t="s">
        <v>77</v>
      </c>
      <c r="G6630">
        <v>-181.2764</v>
      </c>
      <c r="H6630" s="1">
        <v>-1.4395929999999999E-5</v>
      </c>
      <c r="I6630">
        <v>-59.090919999999997</v>
      </c>
      <c r="J6630">
        <v>-220.2868</v>
      </c>
      <c r="K6630">
        <v>1.1092360000000001</v>
      </c>
      <c r="L6630">
        <v>-63.078159999999997</v>
      </c>
      <c r="M6630">
        <v>0.99987859999999995</v>
      </c>
      <c r="N6630">
        <v>0</v>
      </c>
      <c r="O6630">
        <v>1.2431630000000001E-2</v>
      </c>
      <c r="P6630">
        <v>0.99855320000000003</v>
      </c>
      <c r="Q6630">
        <v>-3.3913909999999999E-2</v>
      </c>
      <c r="R6630">
        <v>-4.1729009999999997E-2</v>
      </c>
      <c r="S6630">
        <v>3.0144959999999998</v>
      </c>
      <c r="T6630">
        <v>-8.5366849999999994E-2</v>
      </c>
      <c r="U6630">
        <v>0.30700680000000002</v>
      </c>
      <c r="V6630">
        <v>5.4129579999999997E-2</v>
      </c>
      <c r="W6630">
        <v>-2.4563749999999999E-2</v>
      </c>
      <c r="X6630">
        <v>0.9982318</v>
      </c>
      <c r="Y6630">
        <v>-8.8913049999999993E-2</v>
      </c>
      <c r="Z6630">
        <v>9.0443330000000005E-4</v>
      </c>
      <c r="AA6630">
        <v>0.99603900000000001</v>
      </c>
      <c r="AB6630">
        <v>33</v>
      </c>
      <c r="AC6630">
        <v>39.010399999999997</v>
      </c>
      <c r="AD6630">
        <v>-1.10925039593</v>
      </c>
      <c r="AE6630">
        <v>3.9872399999999999</v>
      </c>
      <c r="AF6630">
        <v>-3.4991476690673702</v>
      </c>
      <c r="AG6630">
        <v>-1.10925039593</v>
      </c>
      <c r="AH6630">
        <v>39.025727850109298</v>
      </c>
      <c r="AI6630">
        <v>91.621610253302705</v>
      </c>
      <c r="AJ6630">
        <v>95.123586901675594</v>
      </c>
      <c r="AK6630">
        <v>39.197983431314498</v>
      </c>
      <c r="AL6630">
        <v>91.407540693203302</v>
      </c>
      <c r="AM6630">
        <v>86.896149722217501</v>
      </c>
      <c r="AN6630">
        <v>1.0000000578881301</v>
      </c>
    </row>
    <row r="6631" spans="1:40" x14ac:dyDescent="0.25">
      <c r="A6631" t="str">
        <f>"20190312161445504"</f>
        <v>20190312161445504</v>
      </c>
      <c r="B6631" t="str">
        <f>"1552378485493651"</f>
        <v>1552378485493651</v>
      </c>
      <c r="C6631" t="s">
        <v>40</v>
      </c>
      <c r="D6631">
        <v>5.0760489999999896</v>
      </c>
      <c r="E6631">
        <v>0.4453491</v>
      </c>
      <c r="F6631" t="s">
        <v>77</v>
      </c>
      <c r="G6631">
        <v>-181.26609999999999</v>
      </c>
      <c r="H6631" s="1">
        <v>-1.439395E-5</v>
      </c>
      <c r="I6631">
        <v>-59.077100000000002</v>
      </c>
      <c r="J6631">
        <v>-220.11850000000001</v>
      </c>
      <c r="K6631">
        <v>1.1092709999999999</v>
      </c>
      <c r="L6631">
        <v>-63.07611</v>
      </c>
      <c r="M6631">
        <v>0.9998783</v>
      </c>
      <c r="N6631">
        <v>0</v>
      </c>
      <c r="O6631">
        <v>1.237474E-2</v>
      </c>
      <c r="P6631">
        <v>0.99857340000000006</v>
      </c>
      <c r="Q6631">
        <v>-3.3867460000000002E-2</v>
      </c>
      <c r="R6631">
        <v>-4.1278960000000003E-2</v>
      </c>
      <c r="S6631">
        <v>3.0143589999999998</v>
      </c>
      <c r="T6631">
        <v>-8.5689660000000001E-2</v>
      </c>
      <c r="U6631">
        <v>0.30908200000000002</v>
      </c>
      <c r="V6631">
        <v>5.3624280000000003E-2</v>
      </c>
      <c r="W6631">
        <v>-2.4412199999999998E-2</v>
      </c>
      <c r="X6631">
        <v>0.99826269999999995</v>
      </c>
      <c r="Y6631">
        <v>-8.9652339999999997E-2</v>
      </c>
      <c r="Z6631">
        <v>9.1995230000000002E-4</v>
      </c>
      <c r="AA6631">
        <v>0.99597270000000004</v>
      </c>
      <c r="AB6631">
        <v>33</v>
      </c>
      <c r="AC6631">
        <v>38.852400000000003</v>
      </c>
      <c r="AD6631">
        <v>-1.10928539394999</v>
      </c>
      <c r="AE6631">
        <v>3.99900999999999</v>
      </c>
      <c r="AF6631">
        <v>-3.5150583728012199</v>
      </c>
      <c r="AG6631">
        <v>-1.10928539394999</v>
      </c>
      <c r="AH6631">
        <v>38.867562024300099</v>
      </c>
      <c r="AI6631">
        <v>91.628144414282801</v>
      </c>
      <c r="AJ6631">
        <v>95.167589939172103</v>
      </c>
      <c r="AK6631">
        <v>39.041945739963403</v>
      </c>
      <c r="AL6631">
        <v>91.398855038638899</v>
      </c>
      <c r="AM6631">
        <v>86.925163319571894</v>
      </c>
      <c r="AN6631">
        <v>0.99999996856282303</v>
      </c>
    </row>
    <row r="6632" spans="1:40" x14ac:dyDescent="0.25">
      <c r="A6632" t="str">
        <f>"20190312161445516"</f>
        <v>20190312161445516</v>
      </c>
      <c r="B6632" t="str">
        <f>"1552378485513172"</f>
        <v>1552378485513172</v>
      </c>
      <c r="C6632" t="s">
        <v>40</v>
      </c>
      <c r="D6632">
        <v>5.0683920000000002</v>
      </c>
      <c r="E6632">
        <v>0.4452026</v>
      </c>
      <c r="F6632" t="s">
        <v>77</v>
      </c>
      <c r="G6632">
        <v>-180.95949999999999</v>
      </c>
      <c r="H6632" s="1">
        <v>-1.4435450000000001E-5</v>
      </c>
      <c r="I6632">
        <v>-59.0302199999999</v>
      </c>
      <c r="J6632">
        <v>-219.95760000000001</v>
      </c>
      <c r="K6632">
        <v>1.109307</v>
      </c>
      <c r="L6632">
        <v>-63.074190000000002</v>
      </c>
      <c r="M6632">
        <v>0.99987789999999999</v>
      </c>
      <c r="N6632">
        <v>0</v>
      </c>
      <c r="O6632">
        <v>1.233426E-2</v>
      </c>
      <c r="P6632">
        <v>0.99859679999999995</v>
      </c>
      <c r="Q6632">
        <v>-3.3861189999999999E-2</v>
      </c>
      <c r="R6632">
        <v>-4.0720970000000002E-2</v>
      </c>
      <c r="S6632">
        <v>3.0142669999999998</v>
      </c>
      <c r="T6632">
        <v>-8.5387110000000002E-2</v>
      </c>
      <c r="U6632">
        <v>0.31143189999999998</v>
      </c>
      <c r="V6632">
        <v>5.3027270000000001E-2</v>
      </c>
      <c r="W6632">
        <v>-2.4296970000000001E-2</v>
      </c>
      <c r="X6632">
        <v>0.99829749999999995</v>
      </c>
      <c r="Y6632">
        <v>-9.0463849999999998E-2</v>
      </c>
      <c r="Z6632">
        <v>9.2930080000000004E-4</v>
      </c>
      <c r="AA6632">
        <v>0.99589930000000004</v>
      </c>
      <c r="AB6632">
        <v>33</v>
      </c>
      <c r="AC6632">
        <v>38.998100000000001</v>
      </c>
      <c r="AD6632">
        <v>-1.1093214354500001</v>
      </c>
      <c r="AE6632">
        <v>4.0439699999999998</v>
      </c>
      <c r="AF6632">
        <v>-3.5597777585950601</v>
      </c>
      <c r="AG6632">
        <v>-1.1093214354500001</v>
      </c>
      <c r="AH6632">
        <v>39.013782737038099</v>
      </c>
      <c r="AI6632">
        <v>91.621980275447299</v>
      </c>
      <c r="AJ6632">
        <v>95.213465992377394</v>
      </c>
      <c r="AK6632">
        <v>39.191553365368698</v>
      </c>
      <c r="AL6632">
        <v>91.392250750735201</v>
      </c>
      <c r="AM6632">
        <v>86.959437298060493</v>
      </c>
      <c r="AN6632">
        <v>1.00000006631053</v>
      </c>
    </row>
    <row r="6633" spans="1:40" x14ac:dyDescent="0.25">
      <c r="A6633" t="str">
        <f>"20190312161445526"</f>
        <v>20190312161445526</v>
      </c>
      <c r="B6633" t="str">
        <f>"1552378485522935"</f>
        <v>1552378485522935</v>
      </c>
      <c r="C6633" t="s">
        <v>40</v>
      </c>
      <c r="D6633">
        <v>5.1795780000000002</v>
      </c>
      <c r="E6633">
        <v>0.44514419999999999</v>
      </c>
      <c r="F6633" t="s">
        <v>77</v>
      </c>
      <c r="G6633">
        <v>-181.32560000000001</v>
      </c>
      <c r="H6633" s="1">
        <v>-1.4371159999999999E-5</v>
      </c>
      <c r="I6633">
        <v>-59.045780000000001</v>
      </c>
      <c r="J6633">
        <v>-219.79249999999999</v>
      </c>
      <c r="K6633">
        <v>1.1093500000000001</v>
      </c>
      <c r="L6633">
        <v>-63.0721699999999</v>
      </c>
      <c r="M6633">
        <v>0.99987729999999997</v>
      </c>
      <c r="N6633">
        <v>0</v>
      </c>
      <c r="O6633">
        <v>1.2299239999999999E-2</v>
      </c>
      <c r="P6633">
        <v>0.99862910000000005</v>
      </c>
      <c r="Q6633">
        <v>-3.3782159999999999E-2</v>
      </c>
      <c r="R6633">
        <v>-3.9985069999999998E-2</v>
      </c>
      <c r="S6633">
        <v>3.0141140000000002</v>
      </c>
      <c r="T6633">
        <v>-8.6550470000000004E-2</v>
      </c>
      <c r="U6633">
        <v>0.31430049999999998</v>
      </c>
      <c r="V6633">
        <v>5.2258279999999997E-2</v>
      </c>
      <c r="W6633">
        <v>-2.4101859999999999E-2</v>
      </c>
      <c r="X6633">
        <v>0.99834270000000003</v>
      </c>
      <c r="Y6633">
        <v>-9.1440320000000005E-2</v>
      </c>
      <c r="Z6633">
        <v>9.5693980000000002E-4</v>
      </c>
      <c r="AA6633">
        <v>0.99581010000000003</v>
      </c>
      <c r="AB6633">
        <v>33</v>
      </c>
      <c r="AC6633">
        <v>38.466899999999903</v>
      </c>
      <c r="AD6633">
        <v>-1.1093643711599901</v>
      </c>
      <c r="AE6633">
        <v>4.0263899999999797</v>
      </c>
      <c r="AF6633">
        <v>-3.5500289108188898</v>
      </c>
      <c r="AG6633">
        <v>-1.1093643711599901</v>
      </c>
      <c r="AH6633">
        <v>38.481854974727298</v>
      </c>
      <c r="AI6633">
        <v>91.644301291402499</v>
      </c>
      <c r="AJ6633">
        <v>95.270733185356505</v>
      </c>
      <c r="AK6633">
        <v>38.661176351368198</v>
      </c>
      <c r="AL6633">
        <v>91.381068606676195</v>
      </c>
      <c r="AM6633">
        <v>87.003585352038996</v>
      </c>
      <c r="AN6633">
        <v>0.99999998706365301</v>
      </c>
    </row>
    <row r="6634" spans="1:40" x14ac:dyDescent="0.25">
      <c r="A6634" t="str">
        <f>"20190312161445538"</f>
        <v>20190312161445538</v>
      </c>
      <c r="B6634" t="str">
        <f>"1552378485533685"</f>
        <v>1552378485533685</v>
      </c>
      <c r="C6634" t="s">
        <v>40</v>
      </c>
      <c r="D6634">
        <v>5.1834360000000004</v>
      </c>
      <c r="E6634">
        <v>0.44509840000000001</v>
      </c>
      <c r="F6634" t="s">
        <v>77</v>
      </c>
      <c r="G6634">
        <v>-181.48699999999999</v>
      </c>
      <c r="H6634" s="1">
        <v>-1.433472E-5</v>
      </c>
      <c r="I6634">
        <v>-59.043340000000001</v>
      </c>
      <c r="J6634">
        <v>-219.6215</v>
      </c>
      <c r="K6634">
        <v>1.109394</v>
      </c>
      <c r="L6634">
        <v>-63.070099999999996</v>
      </c>
      <c r="M6634">
        <v>0.99987610000000005</v>
      </c>
      <c r="N6634">
        <v>0</v>
      </c>
      <c r="O6634">
        <v>1.229212E-2</v>
      </c>
      <c r="P6634">
        <v>0.99867340000000004</v>
      </c>
      <c r="Q6634">
        <v>-3.3459339999999997E-2</v>
      </c>
      <c r="R6634">
        <v>-3.9142830000000003E-2</v>
      </c>
      <c r="S6634">
        <v>3.013855</v>
      </c>
      <c r="T6634">
        <v>-8.7284329999999993E-2</v>
      </c>
      <c r="U6634">
        <v>0.31698609999999999</v>
      </c>
      <c r="V6634">
        <v>5.1410919999999999E-2</v>
      </c>
      <c r="W6634">
        <v>-2.364347E-2</v>
      </c>
      <c r="X6634">
        <v>0.9983976</v>
      </c>
      <c r="Y6634">
        <v>-9.233297E-2</v>
      </c>
      <c r="Z6634">
        <v>9.7818150000000001E-4</v>
      </c>
      <c r="AA6634">
        <v>0.99572769999999999</v>
      </c>
      <c r="AB6634">
        <v>33</v>
      </c>
      <c r="AC6634">
        <v>38.134500000000003</v>
      </c>
      <c r="AD6634">
        <v>-1.1094083347199999</v>
      </c>
      <c r="AE6634">
        <v>4.0267599999999897</v>
      </c>
      <c r="AF6634">
        <v>-3.5547039055502001</v>
      </c>
      <c r="AG6634">
        <v>-1.1094083347199999</v>
      </c>
      <c r="AH6634">
        <v>38.149187145808597</v>
      </c>
      <c r="AI6634">
        <v>91.658556355628406</v>
      </c>
      <c r="AJ6634">
        <v>95.323393657926601</v>
      </c>
      <c r="AK6634">
        <v>38.330499430547597</v>
      </c>
      <c r="AL6634">
        <v>91.354797381183602</v>
      </c>
      <c r="AM6634">
        <v>87.052247166934393</v>
      </c>
      <c r="AN6634">
        <v>0.99999993202732096</v>
      </c>
    </row>
    <row r="6635" spans="1:40" x14ac:dyDescent="0.25">
      <c r="A6635" t="str">
        <f>"20190312161445550"</f>
        <v>20190312161445550</v>
      </c>
      <c r="B6635" t="str">
        <f>"1552378485543427"</f>
        <v>1552378485543427</v>
      </c>
      <c r="C6635" t="s">
        <v>40</v>
      </c>
      <c r="D6635">
        <v>5.1560259999999998</v>
      </c>
      <c r="E6635">
        <v>0.44503500000000001</v>
      </c>
      <c r="F6635" t="s">
        <v>77</v>
      </c>
      <c r="G6635">
        <v>-181.30609999999999</v>
      </c>
      <c r="H6635" s="1">
        <v>-1.4360980000000001E-5</v>
      </c>
      <c r="I6635">
        <v>-59.002249999999997</v>
      </c>
      <c r="J6635">
        <v>-219.4512</v>
      </c>
      <c r="K6635">
        <v>1.10944</v>
      </c>
      <c r="L6635">
        <v>-63.067990000000002</v>
      </c>
      <c r="M6635">
        <v>0.9998745</v>
      </c>
      <c r="N6635">
        <v>0</v>
      </c>
      <c r="O6635">
        <v>1.2294930000000001E-2</v>
      </c>
      <c r="P6635">
        <v>0.99869010000000003</v>
      </c>
      <c r="Q6635">
        <v>-3.3620919999999999E-2</v>
      </c>
      <c r="R6635">
        <v>-3.8570449999999999E-2</v>
      </c>
      <c r="S6635">
        <v>3.0135960000000002</v>
      </c>
      <c r="T6635">
        <v>-8.7257619999999994E-2</v>
      </c>
      <c r="U6635">
        <v>0.31994630000000002</v>
      </c>
      <c r="V6635">
        <v>5.0842989999999998E-2</v>
      </c>
      <c r="W6635">
        <v>-2.366499E-2</v>
      </c>
      <c r="X6635">
        <v>0.99842629999999999</v>
      </c>
      <c r="Y6635">
        <v>-9.3305920000000001E-2</v>
      </c>
      <c r="Z6635">
        <v>9.9187780000000001E-4</v>
      </c>
      <c r="AA6635">
        <v>0.99563699999999999</v>
      </c>
      <c r="AB6635">
        <v>33</v>
      </c>
      <c r="AC6635">
        <v>38.145099999999999</v>
      </c>
      <c r="AD6635">
        <v>-1.1094543609799901</v>
      </c>
      <c r="AE6635">
        <v>4.0657399999999999</v>
      </c>
      <c r="AF6635">
        <v>-3.5934122376273101</v>
      </c>
      <c r="AG6635">
        <v>-1.1094543609799901</v>
      </c>
      <c r="AH6635">
        <v>38.160288148112201</v>
      </c>
      <c r="AI6635">
        <v>91.657990976389399</v>
      </c>
      <c r="AJ6635">
        <v>95.379467201810598</v>
      </c>
      <c r="AK6635">
        <v>38.345157347904802</v>
      </c>
      <c r="AL6635">
        <v>91.356030559380898</v>
      </c>
      <c r="AM6635">
        <v>87.084837793700899</v>
      </c>
      <c r="AN6635">
        <v>1.00000005895776</v>
      </c>
    </row>
    <row r="6636" spans="1:40" x14ac:dyDescent="0.25">
      <c r="A6636" t="str">
        <f>"20190312161445560"</f>
        <v>20190312161445560</v>
      </c>
      <c r="B6636" t="str">
        <f>"1552378485553187"</f>
        <v>1552378485553187</v>
      </c>
      <c r="C6636" t="s">
        <v>40</v>
      </c>
      <c r="D6636">
        <v>5.1562539999999997</v>
      </c>
      <c r="E6636">
        <v>0.44499899999999998</v>
      </c>
      <c r="F6636" t="s">
        <v>77</v>
      </c>
      <c r="G6636">
        <v>-181.71440000000001</v>
      </c>
      <c r="H6636" s="1">
        <v>-1.428142E-5</v>
      </c>
      <c r="I6636">
        <v>-59.033439999999999</v>
      </c>
      <c r="J6636">
        <v>-219.2867</v>
      </c>
      <c r="K6636">
        <v>1.1094919999999999</v>
      </c>
      <c r="L6636">
        <v>-63.065950000000001</v>
      </c>
      <c r="M6636">
        <v>0.99987269999999995</v>
      </c>
      <c r="N6636">
        <v>0</v>
      </c>
      <c r="O6636">
        <v>1.2329349999999999E-2</v>
      </c>
      <c r="P6636">
        <v>0.99869169999999996</v>
      </c>
      <c r="Q6636">
        <v>-3.4006090000000003E-2</v>
      </c>
      <c r="R6636">
        <v>-3.8192490000000003E-2</v>
      </c>
      <c r="S6636">
        <v>3.0134280000000002</v>
      </c>
      <c r="T6636">
        <v>-8.8594080000000006E-2</v>
      </c>
      <c r="U6636">
        <v>0.32217410000000002</v>
      </c>
      <c r="V6636">
        <v>5.0500950000000003E-2</v>
      </c>
      <c r="W6636">
        <v>-2.3895900000000001E-2</v>
      </c>
      <c r="X6636">
        <v>0.9984381</v>
      </c>
      <c r="Y6636">
        <v>-9.4003909999999996E-2</v>
      </c>
      <c r="Z6636">
        <v>1.0162999999999999E-3</v>
      </c>
      <c r="AA6636">
        <v>0.99557130000000005</v>
      </c>
      <c r="AB6636">
        <v>33</v>
      </c>
      <c r="AC6636">
        <v>37.572299999999899</v>
      </c>
      <c r="AD6636">
        <v>-1.1095062814200001</v>
      </c>
      <c r="AE6636">
        <v>4.0325100000000003</v>
      </c>
      <c r="AF6636">
        <v>-3.5658635874872902</v>
      </c>
      <c r="AG6636">
        <v>-1.1095062814200001</v>
      </c>
      <c r="AH6636">
        <v>37.586761668470999</v>
      </c>
      <c r="AI6636">
        <v>91.683243166486207</v>
      </c>
      <c r="AJ6636">
        <v>95.419441920753897</v>
      </c>
      <c r="AK6636">
        <v>37.771828656228998</v>
      </c>
      <c r="AL6636">
        <v>91.369264550631101</v>
      </c>
      <c r="AM6636">
        <v>87.104449866375703</v>
      </c>
      <c r="AN6636">
        <v>0.99999999975966103</v>
      </c>
    </row>
    <row r="6637" spans="1:40" x14ac:dyDescent="0.25">
      <c r="A6637" t="str">
        <f>"20190312161445572"</f>
        <v>20190312161445572</v>
      </c>
      <c r="B6637" t="str">
        <f>"1552378485562948"</f>
        <v>1552378485562948</v>
      </c>
      <c r="C6637" t="s">
        <v>40</v>
      </c>
      <c r="D6637">
        <v>5.1826080000000001</v>
      </c>
      <c r="E6637">
        <v>0.44496219999999997</v>
      </c>
      <c r="F6637" t="s">
        <v>77</v>
      </c>
      <c r="G6637">
        <v>-182.4093</v>
      </c>
      <c r="H6637" s="1">
        <v>-1.41499E-5</v>
      </c>
      <c r="I6637">
        <v>-59.10548</v>
      </c>
      <c r="J6637">
        <v>-219.1165</v>
      </c>
      <c r="K6637">
        <v>1.109545</v>
      </c>
      <c r="L6637">
        <v>-63.063870000000001</v>
      </c>
      <c r="M6637">
        <v>0.99987040000000005</v>
      </c>
      <c r="N6637">
        <v>0</v>
      </c>
      <c r="O6637">
        <v>1.237941E-2</v>
      </c>
      <c r="P6637">
        <v>0.99871089999999996</v>
      </c>
      <c r="Q6637">
        <v>-3.4147440000000001E-2</v>
      </c>
      <c r="R6637">
        <v>-3.7559839999999997E-2</v>
      </c>
      <c r="S6637">
        <v>3.0132289999999999</v>
      </c>
      <c r="T6637">
        <v>-9.0657109999999999E-2</v>
      </c>
      <c r="U6637">
        <v>0.32360840000000002</v>
      </c>
      <c r="V6637">
        <v>4.9920310000000002E-2</v>
      </c>
      <c r="W6637">
        <v>-2.3871300000000002E-2</v>
      </c>
      <c r="X6637">
        <v>0.99846789999999996</v>
      </c>
      <c r="Y6637">
        <v>-9.4427700000000003E-2</v>
      </c>
      <c r="Z6637">
        <v>1.0448510000000001E-3</v>
      </c>
      <c r="AA6637">
        <v>0.99553119999999995</v>
      </c>
      <c r="AB6637">
        <v>33</v>
      </c>
      <c r="AC6637">
        <v>36.7072</v>
      </c>
      <c r="AD6637">
        <v>-1.1095591498999999</v>
      </c>
      <c r="AE6637">
        <v>3.9583899999999801</v>
      </c>
      <c r="AF6637">
        <v>-3.5004875040944299</v>
      </c>
      <c r="AG6637">
        <v>-1.1095591498999999</v>
      </c>
      <c r="AH6637">
        <v>36.720226840724102</v>
      </c>
      <c r="AI6637">
        <v>91.722948830931401</v>
      </c>
      <c r="AJ6637">
        <v>95.445470433449202</v>
      </c>
      <c r="AK6637">
        <v>36.903381870875798</v>
      </c>
      <c r="AL6637">
        <v>91.367854655778402</v>
      </c>
      <c r="AM6637">
        <v>87.137771361152801</v>
      </c>
      <c r="AN6637">
        <v>1.00000001182229</v>
      </c>
    </row>
    <row r="6638" spans="1:40" x14ac:dyDescent="0.25">
      <c r="A6638" t="str">
        <f>"20190312161445584"</f>
        <v>20190312161445584</v>
      </c>
      <c r="B6638" t="str">
        <f>"1552378485573684"</f>
        <v>1552378485573684</v>
      </c>
      <c r="C6638" t="s">
        <v>40</v>
      </c>
      <c r="D6638">
        <v>5.1694149999999999</v>
      </c>
      <c r="E6638">
        <v>0.44495319999999999</v>
      </c>
      <c r="F6638" t="s">
        <v>77</v>
      </c>
      <c r="G6638">
        <v>-182.715</v>
      </c>
      <c r="H6638" s="1">
        <v>-1.408914E-5</v>
      </c>
      <c r="I6638">
        <v>-59.12764</v>
      </c>
      <c r="J6638">
        <v>-218.9486</v>
      </c>
      <c r="K6638">
        <v>1.109604</v>
      </c>
      <c r="L6638">
        <v>-63.06174</v>
      </c>
      <c r="M6638">
        <v>0.99986770000000003</v>
      </c>
      <c r="N6638">
        <v>0</v>
      </c>
      <c r="O6638">
        <v>1.245247E-2</v>
      </c>
      <c r="P6638">
        <v>0.99872050000000001</v>
      </c>
      <c r="Q6638">
        <v>-3.4408569999999999E-2</v>
      </c>
      <c r="R6638">
        <v>-3.706044E-2</v>
      </c>
      <c r="S6638">
        <v>3.012985</v>
      </c>
      <c r="T6638">
        <v>-9.1839309999999993E-2</v>
      </c>
      <c r="U6638">
        <v>0.32580569999999998</v>
      </c>
      <c r="V6638">
        <v>4.9495780000000003E-2</v>
      </c>
      <c r="W6638">
        <v>-2.3959009999999999E-2</v>
      </c>
      <c r="X6638">
        <v>0.99848689999999996</v>
      </c>
      <c r="Y6638">
        <v>-9.507989E-2</v>
      </c>
      <c r="Z6638">
        <v>1.0662039999999901E-3</v>
      </c>
      <c r="AA6638">
        <v>0.9954691</v>
      </c>
      <c r="AB6638">
        <v>33</v>
      </c>
      <c r="AC6638">
        <v>36.233600000000003</v>
      </c>
      <c r="AD6638">
        <v>-1.10961808913999</v>
      </c>
      <c r="AE6638">
        <v>3.9340999999999999</v>
      </c>
      <c r="AF6638">
        <v>-3.4793473926654501</v>
      </c>
      <c r="AG6638">
        <v>-1.10961808913999</v>
      </c>
      <c r="AH6638">
        <v>36.246185570501098</v>
      </c>
      <c r="AI6638">
        <v>91.745451299851794</v>
      </c>
      <c r="AJ6638">
        <v>95.483141819898904</v>
      </c>
      <c r="AK6638">
        <v>36.429700506506997</v>
      </c>
      <c r="AL6638">
        <v>91.372881552794595</v>
      </c>
      <c r="AM6638">
        <v>87.162126146583503</v>
      </c>
      <c r="AN6638">
        <v>0.999999977934798</v>
      </c>
    </row>
    <row r="6639" spans="1:40" x14ac:dyDescent="0.25">
      <c r="A6639" t="str">
        <f>"20190312161445594"</f>
        <v>20190312161445594</v>
      </c>
      <c r="B6639" t="str">
        <f>"1552378485583444"</f>
        <v>1552378485583444</v>
      </c>
      <c r="C6639" t="s">
        <v>40</v>
      </c>
      <c r="D6639">
        <v>5.1923599999999999</v>
      </c>
      <c r="E6639">
        <v>0.44492280000000001</v>
      </c>
      <c r="F6639" t="s">
        <v>77</v>
      </c>
      <c r="G6639">
        <v>-183.18260000000001</v>
      </c>
      <c r="H6639" s="1">
        <v>-1.400022E-5</v>
      </c>
      <c r="I6639">
        <v>-59.174719999999901</v>
      </c>
      <c r="J6639">
        <v>-218.80029999999999</v>
      </c>
      <c r="K6639">
        <v>1.109664</v>
      </c>
      <c r="L6639">
        <v>-63.059809999999999</v>
      </c>
      <c r="M6639">
        <v>0.99986489999999995</v>
      </c>
      <c r="N6639">
        <v>0</v>
      </c>
      <c r="O6639">
        <v>1.253716E-2</v>
      </c>
      <c r="P6639">
        <v>0.99872289999999997</v>
      </c>
      <c r="Q6639">
        <v>-3.4693759999999997E-2</v>
      </c>
      <c r="R6639">
        <v>-3.672926E-2</v>
      </c>
      <c r="S6639">
        <v>3.0127410000000001</v>
      </c>
      <c r="T6639">
        <v>-9.3468549999999997E-2</v>
      </c>
      <c r="U6639">
        <v>0.32742310000000002</v>
      </c>
      <c r="V6639">
        <v>4.9251139999999999E-2</v>
      </c>
      <c r="W6639">
        <v>-2.4082920000000001E-2</v>
      </c>
      <c r="X6639">
        <v>0.9984961</v>
      </c>
      <c r="Y6639">
        <v>-9.5530859999999995E-2</v>
      </c>
      <c r="Z6639">
        <v>1.0895200000000001E-3</v>
      </c>
      <c r="AA6639">
        <v>0.99542589999999997</v>
      </c>
      <c r="AB6639">
        <v>33</v>
      </c>
      <c r="AC6639">
        <v>35.6176999999999</v>
      </c>
      <c r="AD6639">
        <v>-1.10967800022</v>
      </c>
      <c r="AE6639">
        <v>3.8850899999999999</v>
      </c>
      <c r="AF6639">
        <v>-3.4349196886187001</v>
      </c>
      <c r="AG6639">
        <v>-1.10967800022</v>
      </c>
      <c r="AH6639">
        <v>35.629434079751299</v>
      </c>
      <c r="AI6639">
        <v>91.775671842171704</v>
      </c>
      <c r="AJ6639">
        <v>95.506684569749495</v>
      </c>
      <c r="AK6639">
        <v>35.8118225084228</v>
      </c>
      <c r="AL6639">
        <v>91.379983006402696</v>
      </c>
      <c r="AM6639">
        <v>87.176155962412807</v>
      </c>
      <c r="AN6639">
        <v>1.00000006177111</v>
      </c>
    </row>
    <row r="6640" spans="1:40" x14ac:dyDescent="0.25">
      <c r="A6640" t="str">
        <f>"20190312161445604"</f>
        <v>20190312161445604</v>
      </c>
      <c r="B6640" t="str">
        <f>"1552378485593203"</f>
        <v>1552378485593203</v>
      </c>
      <c r="C6640" t="s">
        <v>40</v>
      </c>
      <c r="D6640">
        <v>5.1886210000000004</v>
      </c>
      <c r="E6640">
        <v>0.4449263</v>
      </c>
      <c r="F6640" t="s">
        <v>77</v>
      </c>
      <c r="G6640">
        <v>-183.68289999999999</v>
      </c>
      <c r="H6640" s="1">
        <v>-1.3906150000000001E-5</v>
      </c>
      <c r="I6640">
        <v>-59.228540000000002</v>
      </c>
      <c r="J6640">
        <v>-218.63820000000001</v>
      </c>
      <c r="K6640">
        <v>1.1097330000000001</v>
      </c>
      <c r="L6640">
        <v>-63.057740000000003</v>
      </c>
      <c r="M6640">
        <v>0.99986189999999997</v>
      </c>
      <c r="N6640">
        <v>0</v>
      </c>
      <c r="O6640">
        <v>1.264594E-2</v>
      </c>
      <c r="P6640">
        <v>0.99873040000000002</v>
      </c>
      <c r="Q6640">
        <v>-3.477363E-2</v>
      </c>
      <c r="R6640">
        <v>-3.6453619999999999E-2</v>
      </c>
      <c r="S6640">
        <v>3.0126189999999999</v>
      </c>
      <c r="T6640">
        <v>-9.5196130000000004E-2</v>
      </c>
      <c r="U6640">
        <v>0.32867429999999997</v>
      </c>
      <c r="V6640">
        <v>4.9086490000000003E-2</v>
      </c>
      <c r="W6640">
        <v>-2.397991E-2</v>
      </c>
      <c r="X6640">
        <v>0.99850660000000002</v>
      </c>
      <c r="Y6640">
        <v>-9.5833890000000005E-2</v>
      </c>
      <c r="Z6640">
        <v>1.111014E-3</v>
      </c>
      <c r="AA6640">
        <v>0.99539670000000002</v>
      </c>
      <c r="AB6640">
        <v>33</v>
      </c>
      <c r="AC6640">
        <v>34.955300000000001</v>
      </c>
      <c r="AD6640">
        <v>-1.10974690615</v>
      </c>
      <c r="AE6640">
        <v>3.8292000000000002</v>
      </c>
      <c r="AF6640">
        <v>-3.3834556636861199</v>
      </c>
      <c r="AG6640">
        <v>-1.10974690615</v>
      </c>
      <c r="AH6640">
        <v>34.966106401951102</v>
      </c>
      <c r="AI6640">
        <v>91.809385695442003</v>
      </c>
      <c r="AJ6640">
        <v>95.526953963882406</v>
      </c>
      <c r="AK6640">
        <v>35.146947340223001</v>
      </c>
      <c r="AL6640">
        <v>91.374079382910693</v>
      </c>
      <c r="AM6640">
        <v>87.185610614725803</v>
      </c>
      <c r="AN6640">
        <v>0.99999997491384296</v>
      </c>
    </row>
    <row r="6641" spans="1:40" x14ac:dyDescent="0.25">
      <c r="A6641" t="str">
        <f>"20190312161445616"</f>
        <v>20190312161445616</v>
      </c>
      <c r="B6641" t="str">
        <f>"1552378485613700"</f>
        <v>1552378485613700</v>
      </c>
      <c r="C6641" t="s">
        <v>40</v>
      </c>
      <c r="D6641">
        <v>5.0969509999999998</v>
      </c>
      <c r="E6641">
        <v>0.44490780000000002</v>
      </c>
      <c r="F6641" t="s">
        <v>77</v>
      </c>
      <c r="G6641">
        <v>-184.0034</v>
      </c>
      <c r="H6641" s="1">
        <v>-1.384788E-5</v>
      </c>
      <c r="I6641">
        <v>-59.269460000000002</v>
      </c>
      <c r="J6641">
        <v>-218.4709</v>
      </c>
      <c r="K6641">
        <v>1.1098079999999999</v>
      </c>
      <c r="L6641">
        <v>-63.055509999999998</v>
      </c>
      <c r="M6641">
        <v>0.99985780000000002</v>
      </c>
      <c r="N6641">
        <v>0</v>
      </c>
      <c r="O6641">
        <v>1.279456E-2</v>
      </c>
      <c r="P6641">
        <v>0.99874799999999997</v>
      </c>
      <c r="Q6641">
        <v>-3.4645660000000002E-2</v>
      </c>
      <c r="R6641">
        <v>-3.6090820000000003E-2</v>
      </c>
      <c r="S6641">
        <v>3.0124819999999999</v>
      </c>
      <c r="T6641">
        <v>-9.6523999999999999E-2</v>
      </c>
      <c r="U6641">
        <v>0.32949830000000002</v>
      </c>
      <c r="V6641">
        <v>4.8874620000000001E-2</v>
      </c>
      <c r="W6641">
        <v>-2.3656219999999999E-2</v>
      </c>
      <c r="X6641">
        <v>0.99852470000000004</v>
      </c>
      <c r="Y6641">
        <v>-9.5958710000000003E-2</v>
      </c>
      <c r="Z6641">
        <v>1.1237860000000001E-3</v>
      </c>
      <c r="AA6641">
        <v>0.99538470000000001</v>
      </c>
      <c r="AB6641">
        <v>33</v>
      </c>
      <c r="AC6641">
        <v>34.467500000000001</v>
      </c>
      <c r="AD6641">
        <v>-1.1098218478799999</v>
      </c>
      <c r="AE6641">
        <v>3.7860499999999999</v>
      </c>
      <c r="AF6641">
        <v>-3.3412940614380902</v>
      </c>
      <c r="AG6641">
        <v>-1.1098218478799999</v>
      </c>
      <c r="AH6641">
        <v>34.477802365663599</v>
      </c>
      <c r="AI6641">
        <v>91.835092227948394</v>
      </c>
      <c r="AJ6641">
        <v>95.535331694898403</v>
      </c>
      <c r="AK6641">
        <v>34.657103261882597</v>
      </c>
      <c r="AL6641">
        <v>91.355528067702707</v>
      </c>
      <c r="AM6641">
        <v>87.197789558397304</v>
      </c>
      <c r="AN6641">
        <v>0.99999996086746001</v>
      </c>
    </row>
    <row r="6642" spans="1:40" x14ac:dyDescent="0.25">
      <c r="A6642" t="str">
        <f>"20190312161445627"</f>
        <v>20190312161445627</v>
      </c>
      <c r="B6642" t="str">
        <f>"1552378485623459"</f>
        <v>1552378485623459</v>
      </c>
      <c r="C6642" t="s">
        <v>40</v>
      </c>
      <c r="D6642">
        <v>5.122096</v>
      </c>
      <c r="E6642">
        <v>0.44490780000000002</v>
      </c>
      <c r="F6642" t="s">
        <v>77</v>
      </c>
      <c r="G6642">
        <v>-184.55950000000001</v>
      </c>
      <c r="H6642" s="1">
        <v>-1.3744049999999999E-5</v>
      </c>
      <c r="I6642">
        <v>-59.331710000000001</v>
      </c>
      <c r="J6642">
        <v>-218.30330000000001</v>
      </c>
      <c r="K6642">
        <v>1.10988</v>
      </c>
      <c r="L6642">
        <v>-63.053220000000003</v>
      </c>
      <c r="M6642">
        <v>0.99985360000000001</v>
      </c>
      <c r="N6642">
        <v>0</v>
      </c>
      <c r="O6642">
        <v>1.2957730000000001E-2</v>
      </c>
      <c r="P6642">
        <v>0.99875159999999996</v>
      </c>
      <c r="Q6642">
        <v>-3.4759129999999999E-2</v>
      </c>
      <c r="R6642">
        <v>-3.588007E-2</v>
      </c>
      <c r="S6642">
        <v>3.0122990000000001</v>
      </c>
      <c r="T6642">
        <v>-9.8583939999999995E-2</v>
      </c>
      <c r="U6642">
        <v>0.33078000000000002</v>
      </c>
      <c r="V6642">
        <v>4.8829560000000001E-2</v>
      </c>
      <c r="W6642">
        <v>-2.3570959999999998E-2</v>
      </c>
      <c r="X6642">
        <v>0.998529</v>
      </c>
      <c r="Y6642">
        <v>-9.621942E-2</v>
      </c>
      <c r="Z6642">
        <v>1.1467300000000001E-3</v>
      </c>
      <c r="AA6642">
        <v>0.99535949999999995</v>
      </c>
      <c r="AB6642">
        <v>33</v>
      </c>
      <c r="AC6642">
        <v>33.743799999999901</v>
      </c>
      <c r="AD6642">
        <v>-1.1098937440500001</v>
      </c>
      <c r="AE6642">
        <v>3.7215099999999901</v>
      </c>
      <c r="AF6642">
        <v>-3.2804208309657601</v>
      </c>
      <c r="AG6642">
        <v>-1.1098937440500001</v>
      </c>
      <c r="AH6642">
        <v>33.753114382613099</v>
      </c>
      <c r="AI6642">
        <v>91.874535729727597</v>
      </c>
      <c r="AJ6642">
        <v>95.551067527794999</v>
      </c>
      <c r="AK6642">
        <v>33.930307329540597</v>
      </c>
      <c r="AL6642">
        <v>91.350641559976594</v>
      </c>
      <c r="AM6642">
        <v>87.2003809836866</v>
      </c>
      <c r="AN6642">
        <v>1.00000003996305</v>
      </c>
    </row>
    <row r="6643" spans="1:40" x14ac:dyDescent="0.25">
      <c r="A6643" t="str">
        <f>"20190312161445640"</f>
        <v>20190312161445640</v>
      </c>
      <c r="B6643" t="str">
        <f>"1552378485633219"</f>
        <v>1552378485633219</v>
      </c>
      <c r="C6643" t="s">
        <v>40</v>
      </c>
      <c r="D6643">
        <v>5.1878739999999999</v>
      </c>
      <c r="E6643">
        <v>0.44429049999999998</v>
      </c>
      <c r="F6643" t="s">
        <v>77</v>
      </c>
      <c r="G6643">
        <v>-184.4854</v>
      </c>
      <c r="H6643" s="1">
        <v>-1.3760850000000001E-5</v>
      </c>
      <c r="I6643">
        <v>-59.3330699999999</v>
      </c>
      <c r="J6643">
        <v>-218.13630000000001</v>
      </c>
      <c r="K6643">
        <v>1.109961</v>
      </c>
      <c r="L6643">
        <v>-63.050870000000003</v>
      </c>
      <c r="M6643">
        <v>0.99984850000000003</v>
      </c>
      <c r="N6643">
        <v>0</v>
      </c>
      <c r="O6643">
        <v>1.317697E-2</v>
      </c>
      <c r="P6643">
        <v>0.99876030000000005</v>
      </c>
      <c r="Q6643">
        <v>-3.4831540000000001E-2</v>
      </c>
      <c r="R6643">
        <v>-3.5565270000000003E-2</v>
      </c>
      <c r="S6643">
        <v>3.0122070000000001</v>
      </c>
      <c r="T6643">
        <v>-9.8860030000000002E-2</v>
      </c>
      <c r="U6643">
        <v>0.33135989999999999</v>
      </c>
      <c r="V6643">
        <v>4.873686E-2</v>
      </c>
      <c r="W6643">
        <v>-2.3448259999999999E-2</v>
      </c>
      <c r="X6643">
        <v>0.99853630000000004</v>
      </c>
      <c r="Y6643">
        <v>-9.6193609999999999E-2</v>
      </c>
      <c r="Z6643">
        <v>1.14237E-3</v>
      </c>
      <c r="AA6643">
        <v>0.99536199999999997</v>
      </c>
      <c r="AB6643">
        <v>33</v>
      </c>
      <c r="AC6643">
        <v>33.6509</v>
      </c>
      <c r="AD6643">
        <v>-1.1099747608499999</v>
      </c>
      <c r="AE6643">
        <v>3.7178</v>
      </c>
      <c r="AF6643">
        <v>-3.2705161555203102</v>
      </c>
      <c r="AG6643">
        <v>-1.1099747608499999</v>
      </c>
      <c r="AH6643">
        <v>33.660788924719697</v>
      </c>
      <c r="AI6643">
        <v>91.879815672745593</v>
      </c>
      <c r="AJ6643">
        <v>95.549496492622495</v>
      </c>
      <c r="AK6643">
        <v>33.837509230553202</v>
      </c>
      <c r="AL6643">
        <v>91.343609582464296</v>
      </c>
      <c r="AM6643">
        <v>87.205707857310401</v>
      </c>
      <c r="AN6643">
        <v>0.99999992241868496</v>
      </c>
    </row>
    <row r="6644" spans="1:40" x14ac:dyDescent="0.25">
      <c r="A6644" t="str">
        <f>"20190312161445650"</f>
        <v>20190312161445650</v>
      </c>
      <c r="B6644" t="str">
        <f>"1552378485642981"</f>
        <v>1552378485642981</v>
      </c>
      <c r="C6644" t="s">
        <v>40</v>
      </c>
      <c r="D6644">
        <v>5.2017449999999998</v>
      </c>
      <c r="E6644">
        <v>0.44390030000000003</v>
      </c>
      <c r="F6644" t="s">
        <v>77</v>
      </c>
      <c r="G6644">
        <v>-198.65649999999999</v>
      </c>
      <c r="H6644" s="1">
        <v>-6.2819290000000001E-6</v>
      </c>
      <c r="I6644">
        <v>-60.86065</v>
      </c>
      <c r="J6644">
        <v>-217.96960000000001</v>
      </c>
      <c r="K6644">
        <v>1.110042</v>
      </c>
      <c r="L6644">
        <v>-63.048490000000001</v>
      </c>
      <c r="M6644">
        <v>0.99984329999999999</v>
      </c>
      <c r="N6644">
        <v>0</v>
      </c>
      <c r="O6644">
        <v>1.341228E-2</v>
      </c>
      <c r="P6644">
        <v>0.99878199999999995</v>
      </c>
      <c r="Q6644">
        <v>-3.4757179999999999E-2</v>
      </c>
      <c r="R6644">
        <v>-3.5022119999999997E-2</v>
      </c>
      <c r="S6644">
        <v>3.009811</v>
      </c>
      <c r="T6644">
        <v>-0.17150000000000001</v>
      </c>
      <c r="U6644">
        <v>0.33840940000000003</v>
      </c>
      <c r="V6644">
        <v>4.8432009999999998E-2</v>
      </c>
      <c r="W6644">
        <v>-2.318125E-2</v>
      </c>
      <c r="X6644">
        <v>0.99855740000000004</v>
      </c>
      <c r="Y6644">
        <v>-9.8256300000000005E-2</v>
      </c>
      <c r="Z6644">
        <v>2.0271899999999999E-3</v>
      </c>
      <c r="AA6644">
        <v>0.99515909999999996</v>
      </c>
      <c r="AB6644">
        <v>33</v>
      </c>
      <c r="AC6644">
        <v>19.313099999999999</v>
      </c>
      <c r="AD6644">
        <v>-1.1100482819290001</v>
      </c>
      <c r="AE6644">
        <v>2.18784</v>
      </c>
      <c r="AF6644">
        <v>-1.9223231737655699</v>
      </c>
      <c r="AG6644">
        <v>-1.1100482819290001</v>
      </c>
      <c r="AH6644">
        <v>19.277830264443001</v>
      </c>
      <c r="AI6644">
        <v>93.279315759564298</v>
      </c>
      <c r="AJ6644">
        <v>95.694526085545405</v>
      </c>
      <c r="AK6644">
        <v>19.405212528526501</v>
      </c>
      <c r="AL6644">
        <v>91.328306831496306</v>
      </c>
      <c r="AM6644">
        <v>87.223217350285097</v>
      </c>
      <c r="AN6644">
        <v>0.99999995551947995</v>
      </c>
    </row>
    <row r="6645" spans="1:40" x14ac:dyDescent="0.25">
      <c r="A6645" t="str">
        <f>"20190312161445661"</f>
        <v>20190312161445661</v>
      </c>
      <c r="B6645" t="str">
        <f>"1552378485653715"</f>
        <v>1552378485653715</v>
      </c>
      <c r="C6645" t="s">
        <v>40</v>
      </c>
      <c r="D6645">
        <v>5.2044649999999999</v>
      </c>
      <c r="E6645">
        <v>0.44387450000000001</v>
      </c>
      <c r="F6645" t="s">
        <v>77</v>
      </c>
      <c r="G6645">
        <v>-197.93180000000001</v>
      </c>
      <c r="H6645" s="1">
        <v>-6.5715209999999996E-6</v>
      </c>
      <c r="I6645">
        <v>-60.764299999999999</v>
      </c>
      <c r="J6645">
        <v>-217.80019999999999</v>
      </c>
      <c r="K6645">
        <v>1.110131</v>
      </c>
      <c r="L6645">
        <v>-63.045960000000001</v>
      </c>
      <c r="M6645">
        <v>0.99983710000000003</v>
      </c>
      <c r="N6645">
        <v>0</v>
      </c>
      <c r="O6645">
        <v>1.370881E-2</v>
      </c>
      <c r="P6645">
        <v>0.99879960000000001</v>
      </c>
      <c r="Q6645">
        <v>-3.4836699999999998E-2</v>
      </c>
      <c r="R6645">
        <v>-3.4440640000000002E-2</v>
      </c>
      <c r="S6645">
        <v>3.0098880000000001</v>
      </c>
      <c r="T6645">
        <v>-0.16674029999999901</v>
      </c>
      <c r="U6645">
        <v>0.3431091</v>
      </c>
      <c r="V6645">
        <v>4.8150140000000001E-2</v>
      </c>
      <c r="W6645">
        <v>-2.3073799999999998E-2</v>
      </c>
      <c r="X6645">
        <v>0.9985735</v>
      </c>
      <c r="Y6645">
        <v>-9.9498509999999998E-2</v>
      </c>
      <c r="Z6645">
        <v>1.9887099999999999E-3</v>
      </c>
      <c r="AA6645">
        <v>0.99503569999999997</v>
      </c>
      <c r="AB6645">
        <v>33</v>
      </c>
      <c r="AC6645">
        <v>19.868399999999902</v>
      </c>
      <c r="AD6645">
        <v>-1.110137571521</v>
      </c>
      <c r="AE6645">
        <v>2.28166</v>
      </c>
      <c r="AF6645">
        <v>-2.0028831296085001</v>
      </c>
      <c r="AG6645">
        <v>-1.110137571521</v>
      </c>
      <c r="AH6645">
        <v>19.836690372570398</v>
      </c>
      <c r="AI6645">
        <v>93.186980934839099</v>
      </c>
      <c r="AJ6645">
        <v>95.7655358550995</v>
      </c>
      <c r="AK6645">
        <v>19.968430864637298</v>
      </c>
      <c r="AL6645">
        <v>91.322148778953306</v>
      </c>
      <c r="AM6645">
        <v>87.239397346832902</v>
      </c>
      <c r="AN6645">
        <v>0.99999993556535205</v>
      </c>
    </row>
    <row r="6646" spans="1:40" x14ac:dyDescent="0.25">
      <c r="A6646" t="str">
        <f>"20190312161445672"</f>
        <v>20190312161445672</v>
      </c>
      <c r="B6646" t="str">
        <f>"1552378485663476"</f>
        <v>1552378485663476</v>
      </c>
      <c r="C6646" t="s">
        <v>40</v>
      </c>
      <c r="D6646">
        <v>5.2326309999999996</v>
      </c>
      <c r="E6646">
        <v>0.44414350000000002</v>
      </c>
      <c r="F6646" t="s">
        <v>77</v>
      </c>
      <c r="G6646">
        <v>-197.48840000000001</v>
      </c>
      <c r="H6646" s="1">
        <v>-6.7493979999999996E-6</v>
      </c>
      <c r="I6646">
        <v>-60.717880000000001</v>
      </c>
      <c r="J6646">
        <v>-217.64959999999999</v>
      </c>
      <c r="K6646">
        <v>1.1102050000000001</v>
      </c>
      <c r="L6646">
        <v>-63.043640000000003</v>
      </c>
      <c r="M6646">
        <v>0.99983129999999998</v>
      </c>
      <c r="N6646">
        <v>0</v>
      </c>
      <c r="O6646">
        <v>1.399712E-2</v>
      </c>
      <c r="P6646">
        <v>0.99881819999999999</v>
      </c>
      <c r="Q6646">
        <v>-3.4890360000000002E-2</v>
      </c>
      <c r="R6646">
        <v>-3.3840910000000002E-2</v>
      </c>
      <c r="S6646">
        <v>3.0097659999999999</v>
      </c>
      <c r="T6646">
        <v>-0.1644987</v>
      </c>
      <c r="U6646">
        <v>0.34497070000000002</v>
      </c>
      <c r="V6646">
        <v>4.7841830000000002E-2</v>
      </c>
      <c r="W6646">
        <v>-2.296608E-2</v>
      </c>
      <c r="X6646">
        <v>0.99859089999999995</v>
      </c>
      <c r="Y6646">
        <v>-9.9827009999999994E-2</v>
      </c>
      <c r="Z6646">
        <v>1.9552770000000001E-3</v>
      </c>
      <c r="AA6646">
        <v>0.99500290000000002</v>
      </c>
      <c r="AB6646">
        <v>33</v>
      </c>
      <c r="AC6646">
        <v>20.161199999999901</v>
      </c>
      <c r="AD6646">
        <v>-1.1102117493979999</v>
      </c>
      <c r="AE6646">
        <v>2.3257599999999901</v>
      </c>
      <c r="AF6646">
        <v>-2.0372170087613899</v>
      </c>
      <c r="AG6646">
        <v>-1.1102117493979999</v>
      </c>
      <c r="AH6646">
        <v>20.131536779868298</v>
      </c>
      <c r="AI6646">
        <v>93.140536866644396</v>
      </c>
      <c r="AJ6646">
        <v>95.778392946987395</v>
      </c>
      <c r="AK6646">
        <v>20.264787104444999</v>
      </c>
      <c r="AL6646">
        <v>91.315975112271005</v>
      </c>
      <c r="AM6646">
        <v>87.257094391661397</v>
      </c>
      <c r="AN6646">
        <v>1.0000000335455601</v>
      </c>
    </row>
    <row r="6647" spans="1:40" x14ac:dyDescent="0.25">
      <c r="A6647" t="str">
        <f>"20190312161445682"</f>
        <v>20190312161445682</v>
      </c>
      <c r="B6647" t="str">
        <f>"1552378485673236"</f>
        <v>1552378485673236</v>
      </c>
      <c r="C6647" t="s">
        <v>40</v>
      </c>
      <c r="D6647">
        <v>5.1488750000000003</v>
      </c>
      <c r="E6647">
        <v>0.44414350000000002</v>
      </c>
      <c r="F6647" t="s">
        <v>77</v>
      </c>
      <c r="G6647">
        <v>-197.17400000000001</v>
      </c>
      <c r="H6647" s="1">
        <v>-6.8763989999999997E-6</v>
      </c>
      <c r="I6647">
        <v>-60.699309999999997</v>
      </c>
      <c r="J6647">
        <v>-217.48759999999999</v>
      </c>
      <c r="K6647">
        <v>1.110284</v>
      </c>
      <c r="L6647">
        <v>-63.041049999999998</v>
      </c>
      <c r="M6647">
        <v>0.99982439999999995</v>
      </c>
      <c r="N6647">
        <v>0</v>
      </c>
      <c r="O6647">
        <v>1.434825E-2</v>
      </c>
      <c r="P6647">
        <v>0.99884609999999996</v>
      </c>
      <c r="Q6647">
        <v>-3.4944650000000001E-2</v>
      </c>
      <c r="R6647">
        <v>-3.2949289999999999E-2</v>
      </c>
      <c r="S6647">
        <v>3.0095369999999999</v>
      </c>
      <c r="T6647">
        <v>-0.16318079999999999</v>
      </c>
      <c r="U6647">
        <v>0.34457399999999999</v>
      </c>
      <c r="V6647">
        <v>4.7304649999999997E-2</v>
      </c>
      <c r="W6647">
        <v>-2.2854849999999999E-2</v>
      </c>
      <c r="X6647">
        <v>0.99861900000000003</v>
      </c>
      <c r="Y6647">
        <v>-9.9359820000000001E-2</v>
      </c>
      <c r="Z6647">
        <v>1.908224E-3</v>
      </c>
      <c r="AA6647">
        <v>0.99504970000000004</v>
      </c>
      <c r="AB6647">
        <v>33</v>
      </c>
      <c r="AC6647">
        <v>20.313599999999902</v>
      </c>
      <c r="AD6647">
        <v>-1.110290876399</v>
      </c>
      <c r="AE6647">
        <v>2.3417400000000002</v>
      </c>
      <c r="AF6647">
        <v>-2.0439869032534901</v>
      </c>
      <c r="AG6647">
        <v>-1.110290876399</v>
      </c>
      <c r="AH6647">
        <v>20.2853044773939</v>
      </c>
      <c r="AI6647">
        <v>93.117134382357193</v>
      </c>
      <c r="AJ6647">
        <v>95.753814334603405</v>
      </c>
      <c r="AK6647">
        <v>20.4182321965312</v>
      </c>
      <c r="AL6647">
        <v>91.309600485929494</v>
      </c>
      <c r="AM6647">
        <v>87.287922377025495</v>
      </c>
      <c r="AN6647">
        <v>0.99999999062057199</v>
      </c>
    </row>
    <row r="6648" spans="1:40" x14ac:dyDescent="0.25">
      <c r="A6648" t="str">
        <f>"20190312161445694"</f>
        <v>20190312161445694</v>
      </c>
      <c r="B6648" t="str">
        <f>"1552378485682996"</f>
        <v>1552378485682996</v>
      </c>
      <c r="C6648" t="s">
        <v>40</v>
      </c>
      <c r="D6648">
        <v>5.1851430000000001</v>
      </c>
      <c r="E6648">
        <v>0.43743989999999999</v>
      </c>
      <c r="F6648" t="s">
        <v>77</v>
      </c>
      <c r="G6648">
        <v>-197.04390000000001</v>
      </c>
      <c r="H6648" s="1">
        <v>-6.92836699999999E-6</v>
      </c>
      <c r="I6648">
        <v>-60.682070000000003</v>
      </c>
      <c r="J6648">
        <v>-217.32660000000001</v>
      </c>
      <c r="K6648">
        <v>1.110365</v>
      </c>
      <c r="L6648">
        <v>-63.03839</v>
      </c>
      <c r="M6648">
        <v>0.99981690000000001</v>
      </c>
      <c r="N6648">
        <v>0</v>
      </c>
      <c r="O6648">
        <v>1.473735E-2</v>
      </c>
      <c r="P6648">
        <v>0.99885380000000001</v>
      </c>
      <c r="Q6648">
        <v>-3.5508369999999997E-2</v>
      </c>
      <c r="R6648">
        <v>-3.2099959999999997E-2</v>
      </c>
      <c r="S6648">
        <v>3.009201</v>
      </c>
      <c r="T6648">
        <v>-0.16342889999999999</v>
      </c>
      <c r="U6648">
        <v>0.34722900000000001</v>
      </c>
      <c r="V6648">
        <v>4.6848170000000001E-2</v>
      </c>
      <c r="W6648">
        <v>-2.326143E-2</v>
      </c>
      <c r="X6648">
        <v>0.99863109999999999</v>
      </c>
      <c r="Y6648">
        <v>-9.9851029999999993E-2</v>
      </c>
      <c r="Z6648">
        <v>1.9034830000000001E-3</v>
      </c>
      <c r="AA6648">
        <v>0.99500060000000001</v>
      </c>
      <c r="AB6648">
        <v>33</v>
      </c>
      <c r="AC6648">
        <v>20.282699999999998</v>
      </c>
      <c r="AD6648">
        <v>-1.1103719283669999</v>
      </c>
      <c r="AE6648">
        <v>2.3563200000000002</v>
      </c>
      <c r="AF6648">
        <v>-2.0510633865854002</v>
      </c>
      <c r="AG6648">
        <v>-1.1103719283669999</v>
      </c>
      <c r="AH6648">
        <v>20.255328809891299</v>
      </c>
      <c r="AI6648">
        <v>93.121810422449002</v>
      </c>
      <c r="AJ6648">
        <v>95.782086702992899</v>
      </c>
      <c r="AK6648">
        <v>20.389167026436098</v>
      </c>
      <c r="AL6648">
        <v>91.332902041073993</v>
      </c>
      <c r="AM6648">
        <v>87.314087345208705</v>
      </c>
      <c r="AN6648">
        <v>0.99999995952260101</v>
      </c>
    </row>
    <row r="6649" spans="1:40" x14ac:dyDescent="0.25">
      <c r="A6649" t="str">
        <f>"20190312161445705"</f>
        <v>20190312161445705</v>
      </c>
      <c r="B6649" t="str">
        <f>"1552378485693731"</f>
        <v>1552378485693731</v>
      </c>
      <c r="C6649" t="s">
        <v>40</v>
      </c>
      <c r="D6649">
        <v>5.2152849999999997</v>
      </c>
      <c r="E6649">
        <v>0.43715789999999999</v>
      </c>
      <c r="F6649" t="s">
        <v>59</v>
      </c>
      <c r="G6649">
        <v>-157.3501</v>
      </c>
      <c r="H6649">
        <v>0.89859020000000001</v>
      </c>
      <c r="I6649">
        <v>-55.064489999999999</v>
      </c>
      <c r="J6649">
        <v>-217.16069999999999</v>
      </c>
      <c r="K6649">
        <v>1.110447</v>
      </c>
      <c r="L6649">
        <v>-63.035550000000001</v>
      </c>
      <c r="M6649">
        <v>0.99980869999999999</v>
      </c>
      <c r="N6649">
        <v>0</v>
      </c>
      <c r="O6649">
        <v>1.5171260000000001E-2</v>
      </c>
      <c r="P6649">
        <v>0.99887179999999998</v>
      </c>
      <c r="Q6649">
        <v>-3.5768290000000001E-2</v>
      </c>
      <c r="R6649">
        <v>-3.1244689999999999E-2</v>
      </c>
      <c r="S6649">
        <v>3.0159449999999999</v>
      </c>
      <c r="T6649">
        <v>-1.0650160000000001E-2</v>
      </c>
      <c r="U6649">
        <v>0.40097050000000001</v>
      </c>
      <c r="V6649">
        <v>4.643034E-2</v>
      </c>
      <c r="W6649">
        <v>-2.3365239999999999E-2</v>
      </c>
      <c r="X6649">
        <v>0.99864819999999999</v>
      </c>
      <c r="Y6649">
        <v>-0.1167347</v>
      </c>
      <c r="Z6649">
        <v>1.518798E-4</v>
      </c>
      <c r="AA6649">
        <v>0.99316309999999997</v>
      </c>
      <c r="AB6649">
        <v>33</v>
      </c>
      <c r="AC6649">
        <v>59.810600000000001</v>
      </c>
      <c r="AD6649">
        <v>-0.21185680000000001</v>
      </c>
      <c r="AE6649">
        <v>7.9710599999999996</v>
      </c>
      <c r="AF6649">
        <v>-7.0625840902405699</v>
      </c>
      <c r="AG6649">
        <v>-0.21185680000000001</v>
      </c>
      <c r="AH6649">
        <v>59.923916852158101</v>
      </c>
      <c r="AI6649">
        <v>90.201171972701204</v>
      </c>
      <c r="AJ6649">
        <v>96.721824606137204</v>
      </c>
      <c r="AK6649">
        <v>60.339048618948098</v>
      </c>
      <c r="AL6649">
        <v>91.338851520341507</v>
      </c>
      <c r="AM6649">
        <v>87.338053397601101</v>
      </c>
      <c r="AN6649">
        <v>0.99999996913800604</v>
      </c>
    </row>
    <row r="6650" spans="1:40" x14ac:dyDescent="0.25">
      <c r="A6650" t="str">
        <f>"20190312161445717"</f>
        <v>20190312161445717</v>
      </c>
      <c r="B6650" t="str">
        <f>"1552378485713251"</f>
        <v>1552378485713251</v>
      </c>
      <c r="C6650" t="s">
        <v>40</v>
      </c>
      <c r="D6650">
        <v>5.1428779999999996</v>
      </c>
      <c r="E6650">
        <v>0.43613570000000002</v>
      </c>
      <c r="F6650" t="s">
        <v>59</v>
      </c>
      <c r="G6650">
        <v>-157.3501</v>
      </c>
      <c r="H6650">
        <v>1.68755099999999</v>
      </c>
      <c r="I6650">
        <v>-55.003239999999998</v>
      </c>
      <c r="J6650">
        <v>-216.9992</v>
      </c>
      <c r="K6650">
        <v>1.1105240000000001</v>
      </c>
      <c r="L6650">
        <v>-63.032679999999999</v>
      </c>
      <c r="M6650">
        <v>0.99979949999999995</v>
      </c>
      <c r="N6650">
        <v>0</v>
      </c>
      <c r="O6650">
        <v>1.5654009999999999E-2</v>
      </c>
      <c r="P6650">
        <v>0.99889090000000003</v>
      </c>
      <c r="Q6650">
        <v>-3.6128390000000003E-2</v>
      </c>
      <c r="R6650">
        <v>-3.0196540000000001E-2</v>
      </c>
      <c r="S6650">
        <v>3.01709</v>
      </c>
      <c r="T6650">
        <v>2.911043E-2</v>
      </c>
      <c r="U6650">
        <v>0.40518189999999998</v>
      </c>
      <c r="V6650">
        <v>4.5869020000000003E-2</v>
      </c>
      <c r="W6650">
        <v>-2.358352E-2</v>
      </c>
      <c r="X6650">
        <v>0.99866900000000003</v>
      </c>
      <c r="Y6650">
        <v>-0.1175638</v>
      </c>
      <c r="Z6650">
        <v>-4.142832E-4</v>
      </c>
      <c r="AA6650">
        <v>0.99306519999999998</v>
      </c>
      <c r="AB6650">
        <v>33</v>
      </c>
      <c r="AC6650">
        <v>59.649099999999997</v>
      </c>
      <c r="AD6650">
        <v>0.57702699999999896</v>
      </c>
      <c r="AE6650">
        <v>8.0294399999999992</v>
      </c>
      <c r="AF6650">
        <v>-7.0939835374929503</v>
      </c>
      <c r="AG6650">
        <v>0.57702699999999896</v>
      </c>
      <c r="AH6650">
        <v>59.761999686895997</v>
      </c>
      <c r="AI6650">
        <v>89.450659073522004</v>
      </c>
      <c r="AJ6650">
        <v>96.769556388295399</v>
      </c>
      <c r="AK6650">
        <v>60.184334915038399</v>
      </c>
      <c r="AL6650">
        <v>91.351361502461401</v>
      </c>
      <c r="AM6650">
        <v>87.370244265424702</v>
      </c>
      <c r="AN6650">
        <v>0.99999996048617401</v>
      </c>
    </row>
    <row r="6651" spans="1:40" x14ac:dyDescent="0.25">
      <c r="A6651" t="str">
        <f>"20190312161445727"</f>
        <v>20190312161445727</v>
      </c>
      <c r="B6651" t="str">
        <f>"1552378485723012"</f>
        <v>1552378485723012</v>
      </c>
      <c r="C6651" t="s">
        <v>40</v>
      </c>
      <c r="D6651">
        <v>5.2286159999999997</v>
      </c>
      <c r="E6651">
        <v>0.43536950000000002</v>
      </c>
      <c r="F6651" t="s">
        <v>59</v>
      </c>
      <c r="G6651">
        <v>-157.3501</v>
      </c>
      <c r="H6651">
        <v>2.5461860000000001</v>
      </c>
      <c r="I6651">
        <v>-54.81776</v>
      </c>
      <c r="J6651">
        <v>-216.83340000000001</v>
      </c>
      <c r="K6651">
        <v>1.110609</v>
      </c>
      <c r="L6651">
        <v>-63.029629999999997</v>
      </c>
      <c r="M6651">
        <v>0.99978959999999995</v>
      </c>
      <c r="N6651">
        <v>0</v>
      </c>
      <c r="O6651">
        <v>1.6168269999999998E-2</v>
      </c>
      <c r="P6651">
        <v>0.99892369999999997</v>
      </c>
      <c r="Q6651">
        <v>-3.604139E-2</v>
      </c>
      <c r="R6651">
        <v>-2.9199820000000001E-2</v>
      </c>
      <c r="S6651">
        <v>3.0185089999999999</v>
      </c>
      <c r="T6651">
        <v>7.2649720000000001E-2</v>
      </c>
      <c r="U6651">
        <v>0.41571039999999998</v>
      </c>
      <c r="V6651">
        <v>4.5390170000000001E-2</v>
      </c>
      <c r="W6651">
        <v>-2.3353809999999999E-2</v>
      </c>
      <c r="X6651">
        <v>0.99869629999999998</v>
      </c>
      <c r="Y6651">
        <v>-0.1203669</v>
      </c>
      <c r="Z6651">
        <v>-1.054323E-3</v>
      </c>
      <c r="AA6651">
        <v>0.99272890000000003</v>
      </c>
      <c r="AB6651">
        <v>33</v>
      </c>
      <c r="AC6651">
        <v>59.4833</v>
      </c>
      <c r="AD6651">
        <v>1.4355770000000001</v>
      </c>
      <c r="AE6651">
        <v>8.2118699999999993</v>
      </c>
      <c r="AF6651">
        <v>-7.2448368503687304</v>
      </c>
      <c r="AG6651">
        <v>1.4355770000000001</v>
      </c>
      <c r="AH6651">
        <v>59.5742553056971</v>
      </c>
      <c r="AI6651">
        <v>88.629686924854894</v>
      </c>
      <c r="AJ6651">
        <v>96.933703789473597</v>
      </c>
      <c r="AK6651">
        <v>60.030329313937301</v>
      </c>
      <c r="AL6651">
        <v>91.338196431182595</v>
      </c>
      <c r="AM6651">
        <v>87.397730721070602</v>
      </c>
      <c r="AN6651">
        <v>0.99999998380391697</v>
      </c>
    </row>
    <row r="6652" spans="1:40" x14ac:dyDescent="0.25">
      <c r="A6652" t="str">
        <f>"20190312161445739"</f>
        <v>20190312161445739</v>
      </c>
      <c r="B6652" t="str">
        <f>"1552378485733747"</f>
        <v>1552378485733747</v>
      </c>
      <c r="C6652" t="s">
        <v>40</v>
      </c>
      <c r="D6652">
        <v>5.1561709999999996</v>
      </c>
      <c r="E6652">
        <v>0.43492199999999998</v>
      </c>
      <c r="F6652" t="s">
        <v>59</v>
      </c>
      <c r="G6652">
        <v>-157.3501</v>
      </c>
      <c r="H6652">
        <v>2.5831460000000002</v>
      </c>
      <c r="I6652">
        <v>-54.657220000000002</v>
      </c>
      <c r="J6652">
        <v>-216.66560000000001</v>
      </c>
      <c r="K6652">
        <v>1.1106959999999999</v>
      </c>
      <c r="L6652">
        <v>-63.026339999999998</v>
      </c>
      <c r="M6652">
        <v>0.99977800000000006</v>
      </c>
      <c r="N6652">
        <v>0</v>
      </c>
      <c r="O6652">
        <v>1.6776969999999999E-2</v>
      </c>
      <c r="P6652">
        <v>0.9989635</v>
      </c>
      <c r="Q6652">
        <v>-3.5766369999999999E-2</v>
      </c>
      <c r="R6652">
        <v>-2.816658E-2</v>
      </c>
      <c r="S6652">
        <v>3.0183260000000001</v>
      </c>
      <c r="T6652">
        <v>7.4718950000000006E-2</v>
      </c>
      <c r="U6652">
        <v>0.42483520000000002</v>
      </c>
      <c r="V6652">
        <v>4.4969019999999998E-2</v>
      </c>
      <c r="W6652">
        <v>-2.29467E-2</v>
      </c>
      <c r="X6652">
        <v>0.99872479999999997</v>
      </c>
      <c r="Y6652">
        <v>-0.1227121</v>
      </c>
      <c r="Z6652">
        <v>-1.098084E-3</v>
      </c>
      <c r="AA6652">
        <v>0.99244169999999998</v>
      </c>
      <c r="AB6652">
        <v>33</v>
      </c>
      <c r="AC6652">
        <v>59.3155</v>
      </c>
      <c r="AD6652">
        <v>1.47244999999999</v>
      </c>
      <c r="AE6652">
        <v>8.3691200000000094</v>
      </c>
      <c r="AF6652">
        <v>-7.3682747474315402</v>
      </c>
      <c r="AG6652">
        <v>1.47244999999999</v>
      </c>
      <c r="AH6652">
        <v>59.411673481265403</v>
      </c>
      <c r="AI6652">
        <v>88.591070344772604</v>
      </c>
      <c r="AJ6652">
        <v>97.069760720540899</v>
      </c>
      <c r="AK6652">
        <v>59.884944081134698</v>
      </c>
      <c r="AL6652">
        <v>91.314864478133003</v>
      </c>
      <c r="AM6652">
        <v>87.421916463339201</v>
      </c>
      <c r="AN6652">
        <v>0.99999999496784497</v>
      </c>
    </row>
    <row r="6653" spans="1:40" x14ac:dyDescent="0.25">
      <c r="A6653" t="str">
        <f>"20190312161445751"</f>
        <v>20190312161445751</v>
      </c>
      <c r="B6653" t="str">
        <f>"1552378485743508"</f>
        <v>1552378485743508</v>
      </c>
      <c r="C6653" t="s">
        <v>40</v>
      </c>
      <c r="D6653">
        <v>5.2543670000000002</v>
      </c>
      <c r="E6653">
        <v>0.43473200000000001</v>
      </c>
      <c r="F6653" t="s">
        <v>59</v>
      </c>
      <c r="G6653">
        <v>-157.72659999999999</v>
      </c>
      <c r="H6653">
        <v>2.7616749999999999</v>
      </c>
      <c r="I6653">
        <v>-54.603529999999999</v>
      </c>
      <c r="J6653">
        <v>-216.50299999999999</v>
      </c>
      <c r="K6653">
        <v>1.1107819999999999</v>
      </c>
      <c r="L6653">
        <v>-63.023069999999997</v>
      </c>
      <c r="M6653">
        <v>0.99976600000000004</v>
      </c>
      <c r="N6653">
        <v>0</v>
      </c>
      <c r="O6653">
        <v>1.7389379999999999E-2</v>
      </c>
      <c r="P6653">
        <v>0.99900250000000002</v>
      </c>
      <c r="Q6653">
        <v>-3.5431169999999998E-2</v>
      </c>
      <c r="R6653">
        <v>-2.71776E-2</v>
      </c>
      <c r="S6653">
        <v>3.0182950000000002</v>
      </c>
      <c r="T6653">
        <v>8.4546449999999995E-2</v>
      </c>
      <c r="U6653">
        <v>0.43133539999999998</v>
      </c>
      <c r="V6653">
        <v>4.4595860000000001E-2</v>
      </c>
      <c r="W6653">
        <v>-2.2486300000000001E-2</v>
      </c>
      <c r="X6653">
        <v>0.99875199999999997</v>
      </c>
      <c r="Y6653">
        <v>-0.12419139999999999</v>
      </c>
      <c r="Z6653">
        <v>-1.2458409999999999E-3</v>
      </c>
      <c r="AA6653">
        <v>0.99225750000000001</v>
      </c>
      <c r="AB6653">
        <v>33</v>
      </c>
      <c r="AC6653">
        <v>58.776400000000002</v>
      </c>
      <c r="AD6653">
        <v>1.6508929999999999</v>
      </c>
      <c r="AE6653">
        <v>8.4195399999999907</v>
      </c>
      <c r="AF6653">
        <v>-7.39038375317313</v>
      </c>
      <c r="AG6653">
        <v>1.6508929999999999</v>
      </c>
      <c r="AH6653">
        <v>58.868425302645903</v>
      </c>
      <c r="AI6653">
        <v>88.406135347303206</v>
      </c>
      <c r="AJ6653">
        <v>97.155517946165602</v>
      </c>
      <c r="AK6653">
        <v>59.353472664451701</v>
      </c>
      <c r="AL6653">
        <v>91.288478697112396</v>
      </c>
      <c r="AM6653">
        <v>87.443350836689902</v>
      </c>
      <c r="AN6653">
        <v>0.99999999096041403</v>
      </c>
    </row>
    <row r="6654" spans="1:40" x14ac:dyDescent="0.25">
      <c r="A6654" t="str">
        <f>"20190312161445762"</f>
        <v>20190312161445762</v>
      </c>
      <c r="B6654" t="str">
        <f>"1552378485753268"</f>
        <v>1552378485753268</v>
      </c>
      <c r="C6654" t="s">
        <v>40</v>
      </c>
      <c r="D6654">
        <v>5.2724310000000001</v>
      </c>
      <c r="E6654">
        <v>0.43461470000000002</v>
      </c>
      <c r="F6654" t="s">
        <v>59</v>
      </c>
      <c r="G6654">
        <v>-157.9383</v>
      </c>
      <c r="H6654">
        <v>2.8255859999999999</v>
      </c>
      <c r="I6654">
        <v>-54.565849999999998</v>
      </c>
      <c r="J6654">
        <v>-216.33860000000001</v>
      </c>
      <c r="K6654">
        <v>1.1108750000000001</v>
      </c>
      <c r="L6654">
        <v>-63.019559999999998</v>
      </c>
      <c r="M6654">
        <v>0.99975230000000004</v>
      </c>
      <c r="N6654">
        <v>0</v>
      </c>
      <c r="O6654">
        <v>1.808154E-2</v>
      </c>
      <c r="P6654">
        <v>0.99903260000000005</v>
      </c>
      <c r="Q6654">
        <v>-3.5372250000000001E-2</v>
      </c>
      <c r="R6654">
        <v>-2.6128680000000001E-2</v>
      </c>
      <c r="S6654">
        <v>3.0179900000000002</v>
      </c>
      <c r="T6654">
        <v>8.8367100000000004E-2</v>
      </c>
      <c r="U6654">
        <v>0.43582149999999997</v>
      </c>
      <c r="V6654">
        <v>4.4242980000000001E-2</v>
      </c>
      <c r="W6654">
        <v>-2.2309880000000001E-2</v>
      </c>
      <c r="X6654">
        <v>0.99877169999999904</v>
      </c>
      <c r="Y6654">
        <v>-0.12495970000000001</v>
      </c>
      <c r="Z6654">
        <v>-1.293155E-3</v>
      </c>
      <c r="AA6654">
        <v>0.99216099999999996</v>
      </c>
      <c r="AB6654">
        <v>33</v>
      </c>
      <c r="AC6654">
        <v>58.400300000000001</v>
      </c>
      <c r="AD6654">
        <v>1.7147110000000001</v>
      </c>
      <c r="AE6654">
        <v>8.4537099999999992</v>
      </c>
      <c r="AF6654">
        <v>-7.3900313305663099</v>
      </c>
      <c r="AG6654">
        <v>1.7147110000000001</v>
      </c>
      <c r="AH6654">
        <v>58.494227595025201</v>
      </c>
      <c r="AI6654">
        <v>88.334135833739495</v>
      </c>
      <c r="AJ6654">
        <v>97.200474267878306</v>
      </c>
      <c r="AK6654">
        <v>58.984128872255802</v>
      </c>
      <c r="AL6654">
        <v>91.278367975960904</v>
      </c>
      <c r="AM6654">
        <v>87.463604635936093</v>
      </c>
      <c r="AN6654">
        <v>1.0000000403728899</v>
      </c>
    </row>
    <row r="6655" spans="1:40" x14ac:dyDescent="0.25">
      <c r="A6655" t="str">
        <f>"20190312161445773"</f>
        <v>20190312161445773</v>
      </c>
      <c r="B6655" t="str">
        <f>"1552378485763027"</f>
        <v>1552378485763027</v>
      </c>
      <c r="C6655" t="s">
        <v>40</v>
      </c>
      <c r="D6655">
        <v>5.2670870000000001</v>
      </c>
      <c r="E6655">
        <v>0.43465569999999998</v>
      </c>
      <c r="F6655" t="s">
        <v>59</v>
      </c>
      <c r="G6655">
        <v>-157.9383</v>
      </c>
      <c r="H6655">
        <v>2.8209300000000002</v>
      </c>
      <c r="I6655">
        <v>-54.504469999999998</v>
      </c>
      <c r="J6655">
        <v>-216.17609999999999</v>
      </c>
      <c r="K6655">
        <v>1.1109639999999901</v>
      </c>
      <c r="L6655">
        <v>-63.015929999999997</v>
      </c>
      <c r="M6655">
        <v>0.99973769999999995</v>
      </c>
      <c r="N6655">
        <v>0</v>
      </c>
      <c r="O6655">
        <v>1.8805209999999999E-2</v>
      </c>
      <c r="P6655">
        <v>0.99907140000000005</v>
      </c>
      <c r="Q6655">
        <v>-3.5212630000000002E-2</v>
      </c>
      <c r="R6655">
        <v>-2.4834559999999999E-2</v>
      </c>
      <c r="S6655">
        <v>3.0175320000000001</v>
      </c>
      <c r="T6655">
        <v>8.8357089999999999E-2</v>
      </c>
      <c r="U6655">
        <v>0.43997190000000003</v>
      </c>
      <c r="V6655">
        <v>4.3676140000000002E-2</v>
      </c>
      <c r="W6655">
        <v>-2.2039570000000001E-2</v>
      </c>
      <c r="X6655">
        <v>0.99880259999999998</v>
      </c>
      <c r="Y6655">
        <v>-0.1255993</v>
      </c>
      <c r="Z6655">
        <v>-1.2813309999999999E-3</v>
      </c>
      <c r="AA6655">
        <v>0.99208019999999997</v>
      </c>
      <c r="AB6655">
        <v>33</v>
      </c>
      <c r="AC6655">
        <v>58.237799999999901</v>
      </c>
      <c r="AD6655">
        <v>1.7099660000000001</v>
      </c>
      <c r="AE6655">
        <v>8.5114599999999996</v>
      </c>
      <c r="AF6655">
        <v>-7.4084336310271501</v>
      </c>
      <c r="AG6655">
        <v>1.7099660000000001</v>
      </c>
      <c r="AH6655">
        <v>58.338330793853899</v>
      </c>
      <c r="AI6655">
        <v>88.334441743695095</v>
      </c>
      <c r="AJ6655">
        <v>97.237300548784106</v>
      </c>
      <c r="AK6655">
        <v>58.831706692901697</v>
      </c>
      <c r="AL6655">
        <v>91.262876607802994</v>
      </c>
      <c r="AM6655">
        <v>87.4961366108558</v>
      </c>
      <c r="AN6655">
        <v>0.99999999080892199</v>
      </c>
    </row>
    <row r="6656" spans="1:40" x14ac:dyDescent="0.25">
      <c r="A6656" t="str">
        <f>"20190312161445784"</f>
        <v>20190312161445784</v>
      </c>
      <c r="B6656" t="str">
        <f>"1552378485773764"</f>
        <v>1552378485773764</v>
      </c>
      <c r="C6656" t="s">
        <v>40</v>
      </c>
      <c r="D6656">
        <v>5.2737879999999997</v>
      </c>
      <c r="E6656">
        <v>0.43467450000000002</v>
      </c>
      <c r="F6656" t="s">
        <v>59</v>
      </c>
      <c r="G6656">
        <v>-157.9383</v>
      </c>
      <c r="H6656">
        <v>2.8161649999999998</v>
      </c>
      <c r="I6656">
        <v>-54.452129999999997</v>
      </c>
      <c r="J6656">
        <v>-216.00960000000001</v>
      </c>
      <c r="K6656">
        <v>1.111057</v>
      </c>
      <c r="L6656">
        <v>-63.012079999999997</v>
      </c>
      <c r="M6656">
        <v>0.99972119999999998</v>
      </c>
      <c r="N6656">
        <v>0</v>
      </c>
      <c r="O6656">
        <v>1.9597170000000001E-2</v>
      </c>
      <c r="P6656">
        <v>0.99910520000000003</v>
      </c>
      <c r="Q6656">
        <v>-3.5219920000000002E-2</v>
      </c>
      <c r="R6656">
        <v>-2.3427070000000001E-2</v>
      </c>
      <c r="S6656">
        <v>3.0169220000000001</v>
      </c>
      <c r="T6656">
        <v>8.8334200000000002E-2</v>
      </c>
      <c r="U6656">
        <v>0.44363399999999997</v>
      </c>
      <c r="V6656">
        <v>4.3065109999999997E-2</v>
      </c>
      <c r="W6656">
        <v>-2.1940100000000001E-2</v>
      </c>
      <c r="X6656">
        <v>0.99883129999999998</v>
      </c>
      <c r="Y6656">
        <v>-0.1260212</v>
      </c>
      <c r="Z6656">
        <v>-1.2642440000000001E-3</v>
      </c>
      <c r="AA6656">
        <v>0.99202670000000004</v>
      </c>
      <c r="AB6656">
        <v>33</v>
      </c>
      <c r="AC6656">
        <v>58.071300000000001</v>
      </c>
      <c r="AD6656">
        <v>1.7051080000000001</v>
      </c>
      <c r="AE6656">
        <v>8.5599500000000006</v>
      </c>
      <c r="AF6656">
        <v>-7.4139180275667798</v>
      </c>
      <c r="AG6656">
        <v>1.7051080000000001</v>
      </c>
      <c r="AH6656">
        <v>58.178819274654998</v>
      </c>
      <c r="AI6656">
        <v>88.334712105264302</v>
      </c>
      <c r="AJ6656">
        <v>97.262247043818206</v>
      </c>
      <c r="AK6656">
        <v>58.6740878583051</v>
      </c>
      <c r="AL6656">
        <v>91.257176045832097</v>
      </c>
      <c r="AM6656">
        <v>87.531192906527906</v>
      </c>
      <c r="AN6656">
        <v>0.99999996877350505</v>
      </c>
    </row>
    <row r="6657" spans="1:40" x14ac:dyDescent="0.25">
      <c r="A6657" t="str">
        <f>"20190312161445795"</f>
        <v>20190312161445795</v>
      </c>
      <c r="B6657" t="str">
        <f>"1552378485783523"</f>
        <v>1552378485783523</v>
      </c>
      <c r="C6657" t="s">
        <v>40</v>
      </c>
      <c r="D6657">
        <v>5.2795820000000004</v>
      </c>
      <c r="E6657">
        <v>0.4348284</v>
      </c>
      <c r="F6657" t="s">
        <v>59</v>
      </c>
      <c r="G6657">
        <v>-157.9383</v>
      </c>
      <c r="H6657">
        <v>2.7897970000000001</v>
      </c>
      <c r="I6657">
        <v>-54.388730000000002</v>
      </c>
      <c r="J6657">
        <v>-215.85570000000001</v>
      </c>
      <c r="K6657">
        <v>1.111143</v>
      </c>
      <c r="L6657">
        <v>-63.008299999999998</v>
      </c>
      <c r="M6657">
        <v>0.99970420000000004</v>
      </c>
      <c r="N6657">
        <v>0</v>
      </c>
      <c r="O6657">
        <v>2.0388429999999999E-2</v>
      </c>
      <c r="P6657">
        <v>0.99914639999999999</v>
      </c>
      <c r="Q6657">
        <v>-3.4905060000000002E-2</v>
      </c>
      <c r="R6657">
        <v>-2.210049E-2</v>
      </c>
      <c r="S6657">
        <v>3.0162960000000001</v>
      </c>
      <c r="T6657">
        <v>8.7194560000000004E-2</v>
      </c>
      <c r="U6657">
        <v>0.44790649999999999</v>
      </c>
      <c r="V6657">
        <v>4.253299E-2</v>
      </c>
      <c r="W6657">
        <v>-2.153296E-2</v>
      </c>
      <c r="X6657">
        <v>0.99886299999999995</v>
      </c>
      <c r="Y6657">
        <v>-0.126641899999999</v>
      </c>
      <c r="Z6657">
        <v>-1.2342640000000001E-3</v>
      </c>
      <c r="AA6657">
        <v>0.99194769999999999</v>
      </c>
      <c r="AB6657">
        <v>33</v>
      </c>
      <c r="AC6657">
        <v>57.917400000000001</v>
      </c>
      <c r="AD6657">
        <v>1.6786540000000001</v>
      </c>
      <c r="AE6657">
        <v>8.6195699999999906</v>
      </c>
      <c r="AF6657">
        <v>-7.4307223880570898</v>
      </c>
      <c r="AG6657">
        <v>1.6786540000000001</v>
      </c>
      <c r="AH6657">
        <v>58.0334193031075</v>
      </c>
      <c r="AI6657">
        <v>88.356554446838501</v>
      </c>
      <c r="AJ6657">
        <v>97.296571031697695</v>
      </c>
      <c r="AK6657">
        <v>58.531284544851601</v>
      </c>
      <c r="AL6657">
        <v>91.233843079851994</v>
      </c>
      <c r="AM6657">
        <v>87.561738158600605</v>
      </c>
      <c r="AN6657">
        <v>1.0000000081868501</v>
      </c>
    </row>
    <row r="6658" spans="1:40" x14ac:dyDescent="0.25">
      <c r="A6658" t="str">
        <f>"20190312161445804"</f>
        <v>20190312161445804</v>
      </c>
      <c r="B6658" t="str">
        <f>"1552378485803044"</f>
        <v>1552378485803044</v>
      </c>
      <c r="C6658" t="s">
        <v>40</v>
      </c>
      <c r="D6658">
        <v>5.2852370000000004</v>
      </c>
      <c r="E6658">
        <v>0.43511840000000002</v>
      </c>
      <c r="F6658" t="s">
        <v>59</v>
      </c>
      <c r="G6658">
        <v>-157.9383</v>
      </c>
      <c r="H6658">
        <v>2.7867760000000001</v>
      </c>
      <c r="I6658">
        <v>-54.351199999999999</v>
      </c>
      <c r="J6658">
        <v>-215.70160000000001</v>
      </c>
      <c r="K6658">
        <v>1.111227</v>
      </c>
      <c r="L6658">
        <v>-63.004460000000002</v>
      </c>
      <c r="M6658">
        <v>0.99968610000000002</v>
      </c>
      <c r="N6658">
        <v>0</v>
      </c>
      <c r="O6658">
        <v>2.121075E-2</v>
      </c>
      <c r="P6658">
        <v>0.99917909999999999</v>
      </c>
      <c r="Q6658">
        <v>-3.4940150000000003E-2</v>
      </c>
      <c r="R6658">
        <v>-2.0512860000000001E-2</v>
      </c>
      <c r="S6658">
        <v>3.0155639999999999</v>
      </c>
      <c r="T6658">
        <v>8.7243319999999999E-2</v>
      </c>
      <c r="U6658">
        <v>0.4507446</v>
      </c>
      <c r="V6658">
        <v>4.177194E-2</v>
      </c>
      <c r="W6658">
        <v>-2.1479910000000001E-2</v>
      </c>
      <c r="X6658">
        <v>0.99889620000000001</v>
      </c>
      <c r="Y6658">
        <v>-0.12677449999999901</v>
      </c>
      <c r="Z6658">
        <v>-1.2134380000000001E-3</v>
      </c>
      <c r="AA6658">
        <v>0.9919308</v>
      </c>
      <c r="AB6658">
        <v>33</v>
      </c>
      <c r="AC6658">
        <v>57.763300000000001</v>
      </c>
      <c r="AD6658">
        <v>1.67554899999999</v>
      </c>
      <c r="AE6658">
        <v>8.6532599999999906</v>
      </c>
      <c r="AF6658">
        <v>-7.4198948694353897</v>
      </c>
      <c r="AG6658">
        <v>1.67554899999999</v>
      </c>
      <c r="AH6658">
        <v>57.886223666127101</v>
      </c>
      <c r="AI6658">
        <v>88.355452349374303</v>
      </c>
      <c r="AJ6658">
        <v>97.304380775874293</v>
      </c>
      <c r="AK6658">
        <v>58.383877865809602</v>
      </c>
      <c r="AL6658">
        <v>91.230802907296706</v>
      </c>
      <c r="AM6658">
        <v>87.605394638237101</v>
      </c>
      <c r="AN6658">
        <v>0.99999994993970398</v>
      </c>
    </row>
    <row r="6659" spans="1:40" x14ac:dyDescent="0.25">
      <c r="A6659" t="str">
        <f>"20190312161445818"</f>
        <v>20190312161445818</v>
      </c>
      <c r="B6659" t="str">
        <f>"1552378485812807"</f>
        <v>1552378485812807</v>
      </c>
      <c r="C6659" t="s">
        <v>40</v>
      </c>
      <c r="D6659">
        <v>5.2916439999999998</v>
      </c>
      <c r="E6659">
        <v>0.43524109999999999</v>
      </c>
      <c r="F6659" t="s">
        <v>59</v>
      </c>
      <c r="G6659">
        <v>-157.9383</v>
      </c>
      <c r="H6659">
        <v>2.7253910000000001</v>
      </c>
      <c r="I6659">
        <v>-54.318240000000003</v>
      </c>
      <c r="J6659">
        <v>-215.5239</v>
      </c>
      <c r="K6659">
        <v>1.1113280000000001</v>
      </c>
      <c r="L6659">
        <v>-62.999630000000003</v>
      </c>
      <c r="M6659">
        <v>0.99966239999999995</v>
      </c>
      <c r="N6659">
        <v>0</v>
      </c>
      <c r="O6659">
        <v>2.224744E-2</v>
      </c>
      <c r="P6659">
        <v>0.99921040000000005</v>
      </c>
      <c r="Q6659">
        <v>-3.5017470000000002E-2</v>
      </c>
      <c r="R6659">
        <v>-1.8786190000000001E-2</v>
      </c>
      <c r="S6659">
        <v>3.0147089999999999</v>
      </c>
      <c r="T6659">
        <v>8.4243180000000001E-2</v>
      </c>
      <c r="U6659">
        <v>0.45333859999999898</v>
      </c>
      <c r="V6659">
        <v>4.1086860000000003E-2</v>
      </c>
      <c r="W6659">
        <v>-2.146352E-2</v>
      </c>
      <c r="X6659">
        <v>0.99892499999999995</v>
      </c>
      <c r="Y6659">
        <v>-0.12662499999999999</v>
      </c>
      <c r="Z6659">
        <v>-1.1411289999999901E-3</v>
      </c>
      <c r="AA6659">
        <v>0.99195</v>
      </c>
      <c r="AB6659">
        <v>33</v>
      </c>
      <c r="AC6659">
        <v>57.585599999999999</v>
      </c>
      <c r="AD6659">
        <v>1.614063</v>
      </c>
      <c r="AE6659">
        <v>8.6813899999999897</v>
      </c>
      <c r="AF6659">
        <v>-7.39231483857969</v>
      </c>
      <c r="AG6659">
        <v>1.614063</v>
      </c>
      <c r="AH6659">
        <v>57.720162333381097</v>
      </c>
      <c r="AI6659">
        <v>88.411192044827999</v>
      </c>
      <c r="AJ6659">
        <v>97.298233786054297</v>
      </c>
      <c r="AK6659">
        <v>58.213990224279598</v>
      </c>
      <c r="AL6659">
        <v>91.229863570744996</v>
      </c>
      <c r="AM6659">
        <v>87.644690555390198</v>
      </c>
      <c r="AN6659">
        <v>0.99999998419022396</v>
      </c>
    </row>
    <row r="6660" spans="1:40" x14ac:dyDescent="0.25">
      <c r="A6660" t="str">
        <f>"20190312161445829"</f>
        <v>20190312161445829</v>
      </c>
      <c r="B6660" t="str">
        <f>"1552378485823539"</f>
        <v>1552378485823539</v>
      </c>
      <c r="C6660" t="s">
        <v>40</v>
      </c>
      <c r="D6660">
        <v>5.271407</v>
      </c>
      <c r="E6660">
        <v>0.43542750000000002</v>
      </c>
      <c r="F6660" t="s">
        <v>59</v>
      </c>
      <c r="G6660">
        <v>-157.9383</v>
      </c>
      <c r="H6660">
        <v>2.6865999999999999</v>
      </c>
      <c r="I6660">
        <v>-54.256100000000004</v>
      </c>
      <c r="J6660">
        <v>-215.3657</v>
      </c>
      <c r="K6660">
        <v>1.1114200000000001</v>
      </c>
      <c r="L6660">
        <v>-62.9953</v>
      </c>
      <c r="M6660">
        <v>0.99963990000000003</v>
      </c>
      <c r="N6660">
        <v>0</v>
      </c>
      <c r="O6660">
        <v>2.3196209999999998E-2</v>
      </c>
      <c r="P6660">
        <v>0.99923390000000001</v>
      </c>
      <c r="Q6660">
        <v>-3.5194429999999999E-2</v>
      </c>
      <c r="R6660">
        <v>-1.7120719999999999E-2</v>
      </c>
      <c r="S6660">
        <v>3.0138699999999998</v>
      </c>
      <c r="T6660">
        <v>8.2444190000000001E-2</v>
      </c>
      <c r="U6660">
        <v>0.45761109999999999</v>
      </c>
      <c r="V6660">
        <v>4.0375000000000001E-2</v>
      </c>
      <c r="W6660">
        <v>-2.156013E-2</v>
      </c>
      <c r="X6660">
        <v>0.99895199999999995</v>
      </c>
      <c r="Y6660">
        <v>-0.12710070000000001</v>
      </c>
      <c r="Z6660">
        <v>-1.097654E-3</v>
      </c>
      <c r="AA6660">
        <v>0.99188920000000003</v>
      </c>
      <c r="AB6660">
        <v>33</v>
      </c>
      <c r="AC6660">
        <v>57.427399999999999</v>
      </c>
      <c r="AD6660">
        <v>1.57517999999999</v>
      </c>
      <c r="AE6660">
        <v>8.7391999999999896</v>
      </c>
      <c r="AF6660">
        <v>-7.39918805141828</v>
      </c>
      <c r="AG6660">
        <v>1.57517999999999</v>
      </c>
      <c r="AH6660">
        <v>57.572345684368301</v>
      </c>
      <c r="AI6660">
        <v>88.445556546796894</v>
      </c>
      <c r="AJ6660">
        <v>97.323498308833607</v>
      </c>
      <c r="AK6660">
        <v>58.067238297107302</v>
      </c>
      <c r="AL6660">
        <v>91.235400129496796</v>
      </c>
      <c r="AM6660">
        <v>87.685515739031104</v>
      </c>
      <c r="AN6660">
        <v>1.0000000390673001</v>
      </c>
    </row>
    <row r="6661" spans="1:40" x14ac:dyDescent="0.25">
      <c r="A6661" t="str">
        <f>"20190312161445840"</f>
        <v>20190312161445840</v>
      </c>
      <c r="B6661" t="str">
        <f>"1552378485833300"</f>
        <v>1552378485833300</v>
      </c>
      <c r="C6661" t="s">
        <v>40</v>
      </c>
      <c r="D6661">
        <v>5.2554230000000004</v>
      </c>
      <c r="E6661">
        <v>0.43555670000000002</v>
      </c>
      <c r="F6661" t="s">
        <v>59</v>
      </c>
      <c r="G6661">
        <v>-157.9383</v>
      </c>
      <c r="H6661">
        <v>2.6455660000000001</v>
      </c>
      <c r="I6661">
        <v>-54.205930000000002</v>
      </c>
      <c r="J6661">
        <v>-215.20400000000001</v>
      </c>
      <c r="K6661">
        <v>1.1115159999999999</v>
      </c>
      <c r="L6661">
        <v>-62.99051</v>
      </c>
      <c r="M6661">
        <v>0.99961359999999999</v>
      </c>
      <c r="N6661">
        <v>0</v>
      </c>
      <c r="O6661">
        <v>2.4261270000000001E-2</v>
      </c>
      <c r="P6661">
        <v>0.99925790000000003</v>
      </c>
      <c r="Q6661">
        <v>-3.5464370000000002E-2</v>
      </c>
      <c r="R6661">
        <v>-1.5041209999999999E-2</v>
      </c>
      <c r="S6661">
        <v>3.0130460000000001</v>
      </c>
      <c r="T6661">
        <v>8.0490950000000006E-2</v>
      </c>
      <c r="U6661">
        <v>0.46115109999999898</v>
      </c>
      <c r="V6661">
        <v>3.9366199999999997E-2</v>
      </c>
      <c r="W6661">
        <v>-2.175655E-2</v>
      </c>
      <c r="X6661">
        <v>0.99898799999999999</v>
      </c>
      <c r="Y6661">
        <v>-0.12722510000000001</v>
      </c>
      <c r="Z6661">
        <v>-1.0452529999999999E-3</v>
      </c>
      <c r="AA6661">
        <v>0.99187329999999996</v>
      </c>
      <c r="AB6661">
        <v>33</v>
      </c>
      <c r="AC6661">
        <v>57.265700000000002</v>
      </c>
      <c r="AD6661">
        <v>1.5340499999999999</v>
      </c>
      <c r="AE6661">
        <v>8.7845799999999894</v>
      </c>
      <c r="AF6661">
        <v>-7.3873479534170396</v>
      </c>
      <c r="AG6661">
        <v>1.5340499999999999</v>
      </c>
      <c r="AH6661">
        <v>57.421726366136099</v>
      </c>
      <c r="AI6661">
        <v>88.482181978711694</v>
      </c>
      <c r="AJ6661">
        <v>97.330877286047297</v>
      </c>
      <c r="AK6661">
        <v>57.915290537601301</v>
      </c>
      <c r="AL6661">
        <v>91.246656812057296</v>
      </c>
      <c r="AM6661">
        <v>87.743365568967704</v>
      </c>
      <c r="AN6661">
        <v>1.00000003465717</v>
      </c>
    </row>
    <row r="6662" spans="1:40" x14ac:dyDescent="0.25">
      <c r="A6662" t="str">
        <f>"20190312161445851"</f>
        <v>20190312161445851</v>
      </c>
      <c r="B6662" t="str">
        <f>"1552378485843059"</f>
        <v>1552378485843059</v>
      </c>
      <c r="C6662" t="s">
        <v>40</v>
      </c>
      <c r="D6662">
        <v>5.2330940000000004</v>
      </c>
      <c r="E6662">
        <v>0.43568699999999999</v>
      </c>
      <c r="F6662" t="s">
        <v>59</v>
      </c>
      <c r="G6662">
        <v>-157.9383</v>
      </c>
      <c r="H6662">
        <v>2.6051380000000002</v>
      </c>
      <c r="I6662">
        <v>-54.120260000000002</v>
      </c>
      <c r="J6662">
        <v>-215.04150000000001</v>
      </c>
      <c r="K6662">
        <v>1.1116090000000001</v>
      </c>
      <c r="L6662">
        <v>-62.985599999999998</v>
      </c>
      <c r="M6662">
        <v>0.99958539999999996</v>
      </c>
      <c r="N6662">
        <v>0</v>
      </c>
      <c r="O6662">
        <v>2.5358929999999998E-2</v>
      </c>
      <c r="P6662">
        <v>0.99929539999999994</v>
      </c>
      <c r="Q6662">
        <v>-3.5210539999999999E-2</v>
      </c>
      <c r="R6662">
        <v>-1.301395E-2</v>
      </c>
      <c r="S6662">
        <v>3.0120390000000001</v>
      </c>
      <c r="T6662">
        <v>7.8559760000000006E-2</v>
      </c>
      <c r="U6662">
        <v>0.46655269999999999</v>
      </c>
      <c r="V6662">
        <v>3.8440469999999997E-2</v>
      </c>
      <c r="W6662">
        <v>-2.143109E-2</v>
      </c>
      <c r="X6662">
        <v>0.99903109999999995</v>
      </c>
      <c r="Y6662">
        <v>-0.12792490000000001</v>
      </c>
      <c r="Z6662">
        <v>-1.0010310000000001E-3</v>
      </c>
      <c r="AA6662">
        <v>0.99178330000000003</v>
      </c>
      <c r="AB6662">
        <v>33</v>
      </c>
      <c r="AC6662">
        <v>57.103200000000001</v>
      </c>
      <c r="AD6662">
        <v>1.4935290000000001</v>
      </c>
      <c r="AE6662">
        <v>8.8653399999999998</v>
      </c>
      <c r="AF6662">
        <v>-7.4093284873567899</v>
      </c>
      <c r="AG6662">
        <v>1.4935290000000001</v>
      </c>
      <c r="AH6662">
        <v>57.2714131416041</v>
      </c>
      <c r="AI6662">
        <v>88.518515054896895</v>
      </c>
      <c r="AJ6662">
        <v>97.371536574414407</v>
      </c>
      <c r="AK6662">
        <v>57.768014858948497</v>
      </c>
      <c r="AL6662">
        <v>91.228004960186496</v>
      </c>
      <c r="AM6662">
        <v>87.796474295557701</v>
      </c>
      <c r="AN6662">
        <v>1.0000000500598001</v>
      </c>
    </row>
    <row r="6663" spans="1:40" x14ac:dyDescent="0.25">
      <c r="A6663" t="str">
        <f>"20190312161445862"</f>
        <v>20190312161445862</v>
      </c>
      <c r="B6663" t="str">
        <f>"1552378485852821"</f>
        <v>1552378485852821</v>
      </c>
      <c r="C6663" t="s">
        <v>40</v>
      </c>
      <c r="D6663">
        <v>5.2811909999999997</v>
      </c>
      <c r="E6663">
        <v>0.43594660000000002</v>
      </c>
      <c r="F6663" t="s">
        <v>59</v>
      </c>
      <c r="G6663">
        <v>-157.9383</v>
      </c>
      <c r="H6663">
        <v>2.5953599999999999</v>
      </c>
      <c r="I6663">
        <v>-54.040329999999997</v>
      </c>
      <c r="J6663">
        <v>-214.87909999999999</v>
      </c>
      <c r="K6663">
        <v>1.111699</v>
      </c>
      <c r="L6663">
        <v>-62.980379999999997</v>
      </c>
      <c r="M6663">
        <v>0.99955430000000001</v>
      </c>
      <c r="N6663">
        <v>0</v>
      </c>
      <c r="O6663">
        <v>2.6523169999999999E-2</v>
      </c>
      <c r="P6663">
        <v>0.99931840000000005</v>
      </c>
      <c r="Q6663">
        <v>-3.5265970000000001E-2</v>
      </c>
      <c r="R6663">
        <v>-1.0906829999999999E-2</v>
      </c>
      <c r="S6663">
        <v>3.0110320000000002</v>
      </c>
      <c r="T6663">
        <v>7.8236459999999994E-2</v>
      </c>
      <c r="U6663">
        <v>0.47167969999999998</v>
      </c>
      <c r="V6663">
        <v>3.7502670000000002E-2</v>
      </c>
      <c r="W6663">
        <v>-2.1421019999999999E-2</v>
      </c>
      <c r="X6663">
        <v>0.99906689999999998</v>
      </c>
      <c r="Y6663">
        <v>-0.1284691</v>
      </c>
      <c r="Z6663">
        <v>-9.7411389999999996E-4</v>
      </c>
      <c r="AA6663">
        <v>0.99171299999999996</v>
      </c>
      <c r="AB6663">
        <v>32</v>
      </c>
      <c r="AC6663">
        <v>56.940800000000003</v>
      </c>
      <c r="AD6663">
        <v>1.4836609999999999</v>
      </c>
      <c r="AE6663">
        <v>8.9400499999999994</v>
      </c>
      <c r="AF6663">
        <v>-7.4215945064311404</v>
      </c>
      <c r="AG6663">
        <v>1.4836609999999999</v>
      </c>
      <c r="AH6663">
        <v>57.120057820605901</v>
      </c>
      <c r="AI6663">
        <v>88.524506056543203</v>
      </c>
      <c r="AJ6663">
        <v>97.402953635184701</v>
      </c>
      <c r="AK6663">
        <v>57.619287746467101</v>
      </c>
      <c r="AL6663">
        <v>91.227427932331693</v>
      </c>
      <c r="AM6663">
        <v>87.850257761736898</v>
      </c>
      <c r="AN6663">
        <v>0.99999999051528898</v>
      </c>
    </row>
    <row r="6664" spans="1:40" x14ac:dyDescent="0.25">
      <c r="A6664" t="str">
        <f>"20190312161445873"</f>
        <v>20190312161445873</v>
      </c>
      <c r="B6664" t="str">
        <f>"1552378485863557"</f>
        <v>1552378485863557</v>
      </c>
      <c r="C6664" t="s">
        <v>40</v>
      </c>
      <c r="D6664">
        <v>5.2378330000000002</v>
      </c>
      <c r="E6664">
        <v>0.43607659999999998</v>
      </c>
      <c r="F6664" t="s">
        <v>59</v>
      </c>
      <c r="G6664">
        <v>-157.9383</v>
      </c>
      <c r="H6664">
        <v>2.5708229999999999</v>
      </c>
      <c r="I6664">
        <v>-53.974789999999999</v>
      </c>
      <c r="J6664">
        <v>-214.72900000000001</v>
      </c>
      <c r="K6664">
        <v>1.111785</v>
      </c>
      <c r="L6664">
        <v>-62.975340000000003</v>
      </c>
      <c r="M6664">
        <v>0.99952350000000001</v>
      </c>
      <c r="N6664">
        <v>0</v>
      </c>
      <c r="O6664">
        <v>2.7638050000000001E-2</v>
      </c>
      <c r="P6664">
        <v>0.9993339</v>
      </c>
      <c r="Q6664">
        <v>-3.5372229999999998E-2</v>
      </c>
      <c r="R6664">
        <v>-9.0048019999999993E-3</v>
      </c>
      <c r="S6664">
        <v>3.0099490000000002</v>
      </c>
      <c r="T6664">
        <v>7.7129600000000006E-2</v>
      </c>
      <c r="U6664">
        <v>0.47604370000000001</v>
      </c>
      <c r="V6664">
        <v>3.6719950000000001E-2</v>
      </c>
      <c r="W6664">
        <v>-2.1469909999999998E-2</v>
      </c>
      <c r="X6664">
        <v>0.99909499999999996</v>
      </c>
      <c r="Y6664">
        <v>-0.12882169999999901</v>
      </c>
      <c r="Z6664">
        <v>-9.3671019999999995E-4</v>
      </c>
      <c r="AA6664">
        <v>0.99166730000000003</v>
      </c>
      <c r="AB6664">
        <v>32</v>
      </c>
      <c r="AC6664">
        <v>56.790700000000001</v>
      </c>
      <c r="AD6664">
        <v>1.4590379999999901</v>
      </c>
      <c r="AE6664">
        <v>9.0005499999999898</v>
      </c>
      <c r="AF6664">
        <v>-7.42259935890897</v>
      </c>
      <c r="AG6664">
        <v>1.4590379999999901</v>
      </c>
      <c r="AH6664">
        <v>56.981093797073797</v>
      </c>
      <c r="AI6664">
        <v>88.545507991199997</v>
      </c>
      <c r="AJ6664">
        <v>97.421800326661298</v>
      </c>
      <c r="AK6664">
        <v>57.481030118111498</v>
      </c>
      <c r="AL6664">
        <v>91.230229675253796</v>
      </c>
      <c r="AM6664">
        <v>87.895143493097507</v>
      </c>
      <c r="AN6664">
        <v>1.0000000653942001</v>
      </c>
    </row>
    <row r="6665" spans="1:40" x14ac:dyDescent="0.25">
      <c r="A6665" t="str">
        <f>"20190312161445884"</f>
        <v>20190312161445884</v>
      </c>
      <c r="B6665" t="str">
        <f>"1552378485873316"</f>
        <v>1552378485873316</v>
      </c>
      <c r="C6665" t="s">
        <v>40</v>
      </c>
      <c r="D6665">
        <v>5.2577619999999996</v>
      </c>
      <c r="E6665">
        <v>0.43630269999999999</v>
      </c>
      <c r="F6665" t="s">
        <v>59</v>
      </c>
      <c r="G6665">
        <v>-157.9383</v>
      </c>
      <c r="H6665">
        <v>2.5411800000000002</v>
      </c>
      <c r="I6665">
        <v>-53.901380000000003</v>
      </c>
      <c r="J6665">
        <v>-214.56569999999999</v>
      </c>
      <c r="K6665">
        <v>1.11188</v>
      </c>
      <c r="L6665">
        <v>-62.969670000000001</v>
      </c>
      <c r="M6665">
        <v>0.99948689999999996</v>
      </c>
      <c r="N6665">
        <v>0</v>
      </c>
      <c r="O6665">
        <v>2.8901920000000001E-2</v>
      </c>
      <c r="P6665">
        <v>0.99934659999999997</v>
      </c>
      <c r="Q6665">
        <v>-3.5425909999999998E-2</v>
      </c>
      <c r="R6665">
        <v>-7.1741790000000001E-3</v>
      </c>
      <c r="S6665">
        <v>3.0090029999999999</v>
      </c>
      <c r="T6665">
        <v>7.5733899999999896E-2</v>
      </c>
      <c r="U6665">
        <v>0.48077389999999998</v>
      </c>
      <c r="V6665">
        <v>3.6158170000000003E-2</v>
      </c>
      <c r="W6665">
        <v>-2.1464090000000002E-2</v>
      </c>
      <c r="X6665">
        <v>0.99911550000000005</v>
      </c>
      <c r="Y6665">
        <v>-0.1291378</v>
      </c>
      <c r="Z6665">
        <v>-8.9232979999999905E-4</v>
      </c>
      <c r="AA6665">
        <v>0.99162629999999996</v>
      </c>
      <c r="AB6665">
        <v>32</v>
      </c>
      <c r="AC6665">
        <v>56.627400000000002</v>
      </c>
      <c r="AD6665">
        <v>1.42929999999999</v>
      </c>
      <c r="AE6665">
        <v>9.0682899999999904</v>
      </c>
      <c r="AF6665">
        <v>-7.4230935724504796</v>
      </c>
      <c r="AG6665">
        <v>1.42929999999999</v>
      </c>
      <c r="AH6665">
        <v>56.830555186524101</v>
      </c>
      <c r="AI6665">
        <v>88.571433027830594</v>
      </c>
      <c r="AJ6665">
        <v>97.441729815738398</v>
      </c>
      <c r="AK6665">
        <v>57.3311191194095</v>
      </c>
      <c r="AL6665">
        <v>91.229896277226104</v>
      </c>
      <c r="AM6665">
        <v>87.927359963765994</v>
      </c>
      <c r="AN6665">
        <v>0.99999995137876196</v>
      </c>
    </row>
    <row r="6666" spans="1:40" x14ac:dyDescent="0.25">
      <c r="A6666" t="str">
        <f>"20190312161445894"</f>
        <v>20190312161445894</v>
      </c>
      <c r="B6666" t="str">
        <f>"1552378485883075"</f>
        <v>1552378485883075</v>
      </c>
      <c r="C6666" t="s">
        <v>40</v>
      </c>
      <c r="D6666">
        <v>5.2007300000000001</v>
      </c>
      <c r="E6666">
        <v>0.436525</v>
      </c>
      <c r="F6666" t="s">
        <v>59</v>
      </c>
      <c r="G6666">
        <v>-157.9383</v>
      </c>
      <c r="H6666">
        <v>2.5119630000000002</v>
      </c>
      <c r="I6666">
        <v>-53.847810000000003</v>
      </c>
      <c r="J6666">
        <v>-214.4083</v>
      </c>
      <c r="K6666">
        <v>1.1119650000000001</v>
      </c>
      <c r="L6666">
        <v>-62.963900000000002</v>
      </c>
      <c r="M6666">
        <v>0.99944849999999996</v>
      </c>
      <c r="N6666">
        <v>0</v>
      </c>
      <c r="O6666">
        <v>3.0176669999999999E-2</v>
      </c>
      <c r="P6666">
        <v>0.99935819999999997</v>
      </c>
      <c r="Q6666">
        <v>-3.543404E-2</v>
      </c>
      <c r="R6666">
        <v>-5.2752090000000003E-3</v>
      </c>
      <c r="S6666">
        <v>3.0080870000000002</v>
      </c>
      <c r="T6666">
        <v>7.4372170000000001E-2</v>
      </c>
      <c r="U6666">
        <v>0.48455809999999999</v>
      </c>
      <c r="V6666">
        <v>3.5538180000000003E-2</v>
      </c>
      <c r="W6666">
        <v>-2.141941E-2</v>
      </c>
      <c r="X6666">
        <v>0.99913879999999999</v>
      </c>
      <c r="Y6666">
        <v>-0.12913769999999999</v>
      </c>
      <c r="Z6666">
        <v>-8.4520220000000004E-4</v>
      </c>
      <c r="AA6666">
        <v>0.99162629999999996</v>
      </c>
      <c r="AB6666">
        <v>32</v>
      </c>
      <c r="AC6666">
        <v>56.47</v>
      </c>
      <c r="AD6666">
        <v>1.3999980000000001</v>
      </c>
      <c r="AE6666">
        <v>9.1160899999999998</v>
      </c>
      <c r="AF6666">
        <v>-7.4032625799089802</v>
      </c>
      <c r="AG6666">
        <v>1.3999980000000001</v>
      </c>
      <c r="AH6666">
        <v>56.685441082502699</v>
      </c>
      <c r="AI6666">
        <v>88.597124707982204</v>
      </c>
      <c r="AJ6666">
        <v>97.440858759772894</v>
      </c>
      <c r="AK6666">
        <v>57.183979591708798</v>
      </c>
      <c r="AL6666">
        <v>91.227335594988901</v>
      </c>
      <c r="AM6666">
        <v>87.962915974201906</v>
      </c>
      <c r="AN6666">
        <v>1.0000000475139399</v>
      </c>
    </row>
    <row r="6667" spans="1:40" x14ac:dyDescent="0.25">
      <c r="A6667" t="str">
        <f>"20190312161445906"</f>
        <v>20190312161445906</v>
      </c>
      <c r="B6667" t="str">
        <f>"1552378485903572"</f>
        <v>1552378485903572</v>
      </c>
      <c r="C6667" t="s">
        <v>40</v>
      </c>
      <c r="D6667">
        <v>5.158582</v>
      </c>
      <c r="E6667">
        <v>0.43703769999999997</v>
      </c>
      <c r="F6667" t="s">
        <v>59</v>
      </c>
      <c r="G6667">
        <v>-157.9383</v>
      </c>
      <c r="H6667">
        <v>2.4917500000000001</v>
      </c>
      <c r="I6667">
        <v>-53.78884</v>
      </c>
      <c r="J6667">
        <v>-214.24690000000001</v>
      </c>
      <c r="K6667">
        <v>1.11205</v>
      </c>
      <c r="L6667">
        <v>-62.957819999999998</v>
      </c>
      <c r="M6667">
        <v>0.99940649999999998</v>
      </c>
      <c r="N6667">
        <v>0</v>
      </c>
      <c r="O6667">
        <v>3.1516040000000002E-2</v>
      </c>
      <c r="P6667">
        <v>0.99936259999999999</v>
      </c>
      <c r="Q6667">
        <v>-3.5535039999999997E-2</v>
      </c>
      <c r="R6667">
        <v>-3.3786089999999999E-3</v>
      </c>
      <c r="S6667">
        <v>3.007126</v>
      </c>
      <c r="T6667">
        <v>7.347476E-2</v>
      </c>
      <c r="U6667">
        <v>0.48858639999999998</v>
      </c>
      <c r="V6667">
        <v>3.4985790000000003E-2</v>
      </c>
      <c r="W6667">
        <v>-2.1468500000000001E-2</v>
      </c>
      <c r="X6667">
        <v>0.99915719999999997</v>
      </c>
      <c r="Y6667">
        <v>-0.12915399999999999</v>
      </c>
      <c r="Z6667">
        <v>-8.0292459999999999E-4</v>
      </c>
      <c r="AA6667">
        <v>0.99162419999999996</v>
      </c>
      <c r="AB6667">
        <v>32</v>
      </c>
      <c r="AC6667">
        <v>56.308599999999998</v>
      </c>
      <c r="AD6667">
        <v>1.3796999999999999</v>
      </c>
      <c r="AE6667">
        <v>9.1689799999999906</v>
      </c>
      <c r="AF6667">
        <v>-7.3853092858696403</v>
      </c>
      <c r="AG6667">
        <v>1.3796999999999999</v>
      </c>
      <c r="AH6667">
        <v>56.536554795631702</v>
      </c>
      <c r="AI6667">
        <v>88.613821724331402</v>
      </c>
      <c r="AJ6667">
        <v>97.442345066874793</v>
      </c>
      <c r="AK6667">
        <v>57.033572512139003</v>
      </c>
      <c r="AL6667">
        <v>91.2301489424718</v>
      </c>
      <c r="AM6667">
        <v>87.994590364237197</v>
      </c>
      <c r="AN6667">
        <v>1.0000000061530001</v>
      </c>
    </row>
    <row r="6668" spans="1:40" x14ac:dyDescent="0.25">
      <c r="A6668" t="str">
        <f>"20190312161445919"</f>
        <v>20190312161445919</v>
      </c>
      <c r="B6668" t="str">
        <f>"1552378485913332"</f>
        <v>1552378485913332</v>
      </c>
      <c r="C6668" t="s">
        <v>40</v>
      </c>
      <c r="D6668">
        <v>5.0935860000000002</v>
      </c>
      <c r="E6668">
        <v>0.4373899</v>
      </c>
      <c r="F6668" t="s">
        <v>59</v>
      </c>
      <c r="G6668">
        <v>-157.9383</v>
      </c>
      <c r="H6668">
        <v>2.489627</v>
      </c>
      <c r="I6668">
        <v>-53.773530000000001</v>
      </c>
      <c r="J6668">
        <v>-214.07149999999999</v>
      </c>
      <c r="K6668">
        <v>1.1121430000000001</v>
      </c>
      <c r="L6668">
        <v>-62.950809999999997</v>
      </c>
      <c r="M6668">
        <v>0.99935629999999998</v>
      </c>
      <c r="N6668">
        <v>0</v>
      </c>
      <c r="O6668">
        <v>3.3052369999999998E-2</v>
      </c>
      <c r="P6668">
        <v>0.99935850000000004</v>
      </c>
      <c r="Q6668">
        <v>-3.5796740000000001E-2</v>
      </c>
      <c r="R6668">
        <v>-1.295009E-3</v>
      </c>
      <c r="S6668">
        <v>3.0061800000000001</v>
      </c>
      <c r="T6668">
        <v>7.354426E-2</v>
      </c>
      <c r="U6668">
        <v>0.49032589999999998</v>
      </c>
      <c r="V6668">
        <v>3.444415E-2</v>
      </c>
      <c r="W6668">
        <v>-2.1678909999999999E-2</v>
      </c>
      <c r="X6668">
        <v>0.99917149999999999</v>
      </c>
      <c r="Y6668">
        <v>-0.12823860000000001</v>
      </c>
      <c r="Z6668">
        <v>-7.5550149999999996E-4</v>
      </c>
      <c r="AA6668">
        <v>0.99174300000000004</v>
      </c>
      <c r="AB6668">
        <v>32</v>
      </c>
      <c r="AC6668">
        <v>56.133199999999903</v>
      </c>
      <c r="AD6668">
        <v>1.3774839999999999</v>
      </c>
      <c r="AE6668">
        <v>9.1772799999999801</v>
      </c>
      <c r="AF6668">
        <v>-7.3124601225387602</v>
      </c>
      <c r="AG6668">
        <v>1.3774839999999999</v>
      </c>
      <c r="AH6668">
        <v>56.3728210142366</v>
      </c>
      <c r="AI6668">
        <v>88.611867038347199</v>
      </c>
      <c r="AJ6668">
        <v>97.390913243557804</v>
      </c>
      <c r="AK6668">
        <v>56.861801627429401</v>
      </c>
      <c r="AL6668">
        <v>91.242207323594002</v>
      </c>
      <c r="AM6668">
        <v>88.0256410124219</v>
      </c>
      <c r="AN6668">
        <v>1.00000003051012</v>
      </c>
    </row>
    <row r="6669" spans="1:40" x14ac:dyDescent="0.25">
      <c r="A6669" t="str">
        <f>"20190312161445929"</f>
        <v>20190312161445929</v>
      </c>
      <c r="B6669" t="str">
        <f>"1552378485923654"</f>
        <v>1552378485923654</v>
      </c>
      <c r="C6669" t="s">
        <v>40</v>
      </c>
      <c r="D6669">
        <v>5.0912759999999997</v>
      </c>
      <c r="E6669">
        <v>0.43766769999999999</v>
      </c>
      <c r="F6669" t="s">
        <v>59</v>
      </c>
      <c r="G6669">
        <v>-157.9383</v>
      </c>
      <c r="H6669">
        <v>2.468086</v>
      </c>
      <c r="I6669">
        <v>-53.725929999999998</v>
      </c>
      <c r="J6669">
        <v>-213.9187</v>
      </c>
      <c r="K6669">
        <v>1.1122240000000001</v>
      </c>
      <c r="L6669">
        <v>-62.94455</v>
      </c>
      <c r="M6669">
        <v>0.99931000000000003</v>
      </c>
      <c r="N6669">
        <v>0</v>
      </c>
      <c r="O6669">
        <v>3.4410870000000003E-2</v>
      </c>
      <c r="P6669">
        <v>0.99935379999999996</v>
      </c>
      <c r="Q6669">
        <v>-3.5943570000000001E-2</v>
      </c>
      <c r="R6669">
        <v>5.7474489999999995E-4</v>
      </c>
      <c r="S6669">
        <v>3.0051730000000001</v>
      </c>
      <c r="T6669">
        <v>7.259119E-2</v>
      </c>
      <c r="U6669">
        <v>0.49386600000000003</v>
      </c>
      <c r="V6669">
        <v>3.3937799999999997E-2</v>
      </c>
      <c r="W6669">
        <v>-2.1782780000000002E-2</v>
      </c>
      <c r="X6669">
        <v>0.99918649999999998</v>
      </c>
      <c r="Y6669">
        <v>-0.1280821</v>
      </c>
      <c r="Z6669">
        <v>-7.1148019999999997E-4</v>
      </c>
      <c r="AA6669">
        <v>0.99176330000000001</v>
      </c>
      <c r="AB6669">
        <v>32</v>
      </c>
      <c r="AC6669">
        <v>55.980400000000003</v>
      </c>
      <c r="AD6669">
        <v>1.3558619999999999</v>
      </c>
      <c r="AE6669">
        <v>9.2186199999999907</v>
      </c>
      <c r="AF6669">
        <v>-7.2824776064476202</v>
      </c>
      <c r="AG6669">
        <v>1.3558619999999999</v>
      </c>
      <c r="AH6669">
        <v>56.232375751961698</v>
      </c>
      <c r="AI6669">
        <v>88.630200065503104</v>
      </c>
      <c r="AJ6669">
        <v>97.379124300022994</v>
      </c>
      <c r="AK6669">
        <v>56.718188657266502</v>
      </c>
      <c r="AL6669">
        <v>91.248160126278094</v>
      </c>
      <c r="AM6669">
        <v>88.054672007547097</v>
      </c>
      <c r="AN6669">
        <v>0.999999962777808</v>
      </c>
    </row>
    <row r="6670" spans="1:40" x14ac:dyDescent="0.25">
      <c r="A6670" t="str">
        <f>"20190312161445940"</f>
        <v>20190312161445940</v>
      </c>
      <c r="B6670" t="str">
        <f>"1552378485933415"</f>
        <v>1552378485933415</v>
      </c>
      <c r="C6670" t="s">
        <v>40</v>
      </c>
      <c r="D6670">
        <v>5.1847729999999999</v>
      </c>
      <c r="E6670">
        <v>0.43786789999999998</v>
      </c>
      <c r="F6670" t="s">
        <v>59</v>
      </c>
      <c r="G6670">
        <v>-157.9383</v>
      </c>
      <c r="H6670">
        <v>2.4583620000000002</v>
      </c>
      <c r="I6670">
        <v>-53.677149999999997</v>
      </c>
      <c r="J6670">
        <v>-213.75630000000001</v>
      </c>
      <c r="K6670">
        <v>1.1123069999999999</v>
      </c>
      <c r="L6670">
        <v>-62.9375</v>
      </c>
      <c r="M6670">
        <v>0.99925600000000003</v>
      </c>
      <c r="N6670">
        <v>0</v>
      </c>
      <c r="O6670">
        <v>3.5929120000000002E-2</v>
      </c>
      <c r="P6670">
        <v>0.99935459999999998</v>
      </c>
      <c r="Q6670">
        <v>-3.5837029999999999E-2</v>
      </c>
      <c r="R6670">
        <v>2.523015E-3</v>
      </c>
      <c r="S6670">
        <v>3.004257</v>
      </c>
      <c r="T6670">
        <v>7.2240949999999998E-2</v>
      </c>
      <c r="U6670">
        <v>0.49734499999999998</v>
      </c>
      <c r="V6670">
        <v>3.3511770000000003E-2</v>
      </c>
      <c r="W6670">
        <v>-2.1634440000000001E-2</v>
      </c>
      <c r="X6670">
        <v>0.99920419999999999</v>
      </c>
      <c r="Y6670">
        <v>-0.12774250000000001</v>
      </c>
      <c r="Z6670">
        <v>-6.6795259999999996E-4</v>
      </c>
      <c r="AA6670">
        <v>0.9918072</v>
      </c>
      <c r="AB6670">
        <v>32</v>
      </c>
      <c r="AC6670">
        <v>55.817999999999998</v>
      </c>
      <c r="AD6670">
        <v>1.34605499999999</v>
      </c>
      <c r="AE6670">
        <v>9.2603500000000007</v>
      </c>
      <c r="AF6670">
        <v>-7.2445809214537498</v>
      </c>
      <c r="AG6670">
        <v>1.34605499999999</v>
      </c>
      <c r="AH6670">
        <v>56.082961755539998</v>
      </c>
      <c r="AI6670">
        <v>88.636425188790497</v>
      </c>
      <c r="AJ6670">
        <v>97.360488437083603</v>
      </c>
      <c r="AK6670">
        <v>56.564957491930301</v>
      </c>
      <c r="AL6670">
        <v>91.239658745443293</v>
      </c>
      <c r="AM6670">
        <v>88.079107804717296</v>
      </c>
      <c r="AN6670">
        <v>1.00000006051014</v>
      </c>
    </row>
    <row r="6671" spans="1:40" x14ac:dyDescent="0.25">
      <c r="A6671" t="str">
        <f>"20190312161445951"</f>
        <v>20190312161445951</v>
      </c>
      <c r="B6671" t="str">
        <f>"1552378485943176"</f>
        <v>1552378485943176</v>
      </c>
      <c r="C6671" t="s">
        <v>40</v>
      </c>
      <c r="D6671">
        <v>5.0410870000000001</v>
      </c>
      <c r="E6671">
        <v>0.4380637</v>
      </c>
      <c r="F6671" t="s">
        <v>59</v>
      </c>
      <c r="G6671">
        <v>-157.9383</v>
      </c>
      <c r="H6671">
        <v>2.484785</v>
      </c>
      <c r="I6671">
        <v>-53.611370000000001</v>
      </c>
      <c r="J6671">
        <v>-213.5907</v>
      </c>
      <c r="K6671">
        <v>1.1123909999999999</v>
      </c>
      <c r="L6671">
        <v>-62.930079999999997</v>
      </c>
      <c r="M6671">
        <v>0.99919769999999997</v>
      </c>
      <c r="N6671">
        <v>0</v>
      </c>
      <c r="O6671">
        <v>3.7502609999999999E-2</v>
      </c>
      <c r="P6671">
        <v>0.99934789999999996</v>
      </c>
      <c r="Q6671">
        <v>-3.5847419999999998E-2</v>
      </c>
      <c r="R6671">
        <v>4.3487659999999996E-3</v>
      </c>
      <c r="S6671">
        <v>3.003342</v>
      </c>
      <c r="T6671">
        <v>7.3846220000000004E-2</v>
      </c>
      <c r="U6671">
        <v>0.50180049999999998</v>
      </c>
      <c r="V6671">
        <v>3.3263889999999997E-2</v>
      </c>
      <c r="W6671">
        <v>-2.1603170000000001E-2</v>
      </c>
      <c r="X6671">
        <v>0.99921309999999997</v>
      </c>
      <c r="Y6671">
        <v>-0.12766040000000001</v>
      </c>
      <c r="Z6671">
        <v>-6.4357430000000005E-4</v>
      </c>
      <c r="AA6671">
        <v>0.99181770000000002</v>
      </c>
      <c r="AB6671">
        <v>32</v>
      </c>
      <c r="AC6671">
        <v>55.6524</v>
      </c>
      <c r="AD6671">
        <v>1.3723939999999999</v>
      </c>
      <c r="AE6671">
        <v>9.31871000000001</v>
      </c>
      <c r="AF6671">
        <v>-7.2205656519688901</v>
      </c>
      <c r="AG6671">
        <v>1.3723939999999999</v>
      </c>
      <c r="AH6671">
        <v>55.929668537210198</v>
      </c>
      <c r="AI6671">
        <v>88.605931490816204</v>
      </c>
      <c r="AJ6671">
        <v>97.356242881492193</v>
      </c>
      <c r="AK6671">
        <v>56.410529658103997</v>
      </c>
      <c r="AL6671">
        <v>91.237866761038504</v>
      </c>
      <c r="AM6671">
        <v>88.093322711880703</v>
      </c>
      <c r="AN6671">
        <v>1.00000000127179</v>
      </c>
    </row>
    <row r="6672" spans="1:40" x14ac:dyDescent="0.25">
      <c r="A6672" t="str">
        <f>"20190312161445962"</f>
        <v>20190312161445962</v>
      </c>
      <c r="B6672" t="str">
        <f>"1552378485952935"</f>
        <v>1552378485952935</v>
      </c>
      <c r="C6672" t="s">
        <v>40</v>
      </c>
      <c r="D6672">
        <v>4.9790299999999998</v>
      </c>
      <c r="E6672">
        <v>0.4380637</v>
      </c>
      <c r="F6672" t="s">
        <v>59</v>
      </c>
      <c r="G6672">
        <v>-157.9383</v>
      </c>
      <c r="H6672">
        <v>2.5118719999999999</v>
      </c>
      <c r="I6672">
        <v>-53.557079999999999</v>
      </c>
      <c r="J6672">
        <v>-213.43440000000001</v>
      </c>
      <c r="K6672">
        <v>1.1124620000000001</v>
      </c>
      <c r="L6672">
        <v>-62.922789999999999</v>
      </c>
      <c r="M6672">
        <v>0.99913850000000004</v>
      </c>
      <c r="N6672">
        <v>0</v>
      </c>
      <c r="O6672">
        <v>3.9034239999999998E-2</v>
      </c>
      <c r="P6672">
        <v>0.99934849999999997</v>
      </c>
      <c r="Q6672">
        <v>-3.5575030000000001E-2</v>
      </c>
      <c r="R6672">
        <v>6.0680909999999899E-3</v>
      </c>
      <c r="S6672">
        <v>3.002472</v>
      </c>
      <c r="T6672">
        <v>7.5501319999999997E-2</v>
      </c>
      <c r="U6672">
        <v>0.50567629999999997</v>
      </c>
      <c r="V6672">
        <v>3.3078910000000003E-2</v>
      </c>
      <c r="W6672">
        <v>-2.129414E-2</v>
      </c>
      <c r="X6672">
        <v>0.9992259</v>
      </c>
      <c r="Y6672">
        <v>-0.1274313</v>
      </c>
      <c r="Z6672">
        <v>-6.1709630000000002E-4</v>
      </c>
      <c r="AA6672">
        <v>0.99184720000000004</v>
      </c>
      <c r="AB6672">
        <v>32</v>
      </c>
      <c r="AC6672">
        <v>55.496099999999998</v>
      </c>
      <c r="AD6672">
        <v>1.39941</v>
      </c>
      <c r="AE6672">
        <v>9.3657099999999893</v>
      </c>
      <c r="AF6672">
        <v>-7.18766369549496</v>
      </c>
      <c r="AG6672">
        <v>1.39941</v>
      </c>
      <c r="AH6672">
        <v>55.784926837017302</v>
      </c>
      <c r="AI6672">
        <v>88.574767157571799</v>
      </c>
      <c r="AJ6672">
        <v>97.341881081419203</v>
      </c>
      <c r="AK6672">
        <v>56.263477673878398</v>
      </c>
      <c r="AL6672">
        <v>91.220156540692798</v>
      </c>
      <c r="AM6672">
        <v>88.103942225895096</v>
      </c>
      <c r="AN6672">
        <v>1.0000000269579601</v>
      </c>
    </row>
    <row r="6673" spans="1:40" x14ac:dyDescent="0.25">
      <c r="A6673" t="str">
        <f>"20190312161445975"</f>
        <v>20190312161445975</v>
      </c>
      <c r="B6673" t="str">
        <f>"1552378485963671"</f>
        <v>1552378485963671</v>
      </c>
      <c r="C6673" t="s">
        <v>40</v>
      </c>
      <c r="D6673">
        <v>4.9342180000000004</v>
      </c>
      <c r="E6673">
        <v>0.43982909999999997</v>
      </c>
      <c r="F6673" t="s">
        <v>59</v>
      </c>
      <c r="G6673">
        <v>-157.93819999999999</v>
      </c>
      <c r="H6673">
        <v>2.522605</v>
      </c>
      <c r="I6673">
        <v>-53.4762699999999</v>
      </c>
      <c r="J6673">
        <v>-213.26779999999999</v>
      </c>
      <c r="K6673">
        <v>1.1125389999999999</v>
      </c>
      <c r="L6673">
        <v>-62.914700000000003</v>
      </c>
      <c r="M6673">
        <v>0.99907140000000005</v>
      </c>
      <c r="N6673">
        <v>0</v>
      </c>
      <c r="O6673">
        <v>4.070447E-2</v>
      </c>
      <c r="P6673">
        <v>0.9993438</v>
      </c>
      <c r="Q6673">
        <v>-3.533766E-2</v>
      </c>
      <c r="R6673">
        <v>7.9670479999999991E-3</v>
      </c>
      <c r="S6673">
        <v>3.0015719999999999</v>
      </c>
      <c r="T6673">
        <v>7.6268080000000002E-2</v>
      </c>
      <c r="U6673">
        <v>0.51092529999999903</v>
      </c>
      <c r="V6673">
        <v>3.2852920000000001E-2</v>
      </c>
      <c r="W6673">
        <v>-2.1020469999999999E-2</v>
      </c>
      <c r="X6673">
        <v>0.99923910000000005</v>
      </c>
      <c r="Y6673">
        <v>-0.12750799999999901</v>
      </c>
      <c r="Z6673">
        <v>-5.8239239999999996E-4</v>
      </c>
      <c r="AA6673">
        <v>0.99183739999999998</v>
      </c>
      <c r="AB6673">
        <v>32</v>
      </c>
      <c r="AC6673">
        <v>55.329599999999999</v>
      </c>
      <c r="AD6673">
        <v>1.410066</v>
      </c>
      <c r="AE6673">
        <v>9.4384300000000092</v>
      </c>
      <c r="AF6673">
        <v>-7.1736920320286197</v>
      </c>
      <c r="AG6673">
        <v>1.410066</v>
      </c>
      <c r="AH6673">
        <v>55.632849367389298</v>
      </c>
      <c r="AI6673">
        <v>88.560013491457795</v>
      </c>
      <c r="AJ6673">
        <v>97.347577423305296</v>
      </c>
      <c r="AK6673">
        <v>56.111176001126303</v>
      </c>
      <c r="AL6673">
        <v>91.204472954941807</v>
      </c>
      <c r="AM6673">
        <v>88.116911299242801</v>
      </c>
      <c r="AN6673">
        <v>0.99999997674017804</v>
      </c>
    </row>
    <row r="6674" spans="1:40" x14ac:dyDescent="0.25">
      <c r="A6674" t="str">
        <f>"20190312161445987"</f>
        <v>20190312161445987</v>
      </c>
      <c r="B6674" t="str">
        <f>"1552378485983191"</f>
        <v>1552378485983191</v>
      </c>
      <c r="C6674" t="s">
        <v>40</v>
      </c>
      <c r="D6674">
        <v>4.7969210000000002</v>
      </c>
      <c r="E6674">
        <v>0.4376775</v>
      </c>
      <c r="F6674" t="s">
        <v>59</v>
      </c>
      <c r="G6674">
        <v>-157.93819999999999</v>
      </c>
      <c r="H6674">
        <v>5.8120799999999999</v>
      </c>
      <c r="I6674">
        <v>-53.692169999999997</v>
      </c>
      <c r="J6674">
        <v>-213.0933</v>
      </c>
      <c r="K6674">
        <v>1.1126240000000001</v>
      </c>
      <c r="L6674">
        <v>-62.90598</v>
      </c>
      <c r="M6674">
        <v>0.99899669999999896</v>
      </c>
      <c r="N6674">
        <v>0</v>
      </c>
      <c r="O6674">
        <v>4.2486980000000001E-2</v>
      </c>
      <c r="P6674">
        <v>0.99934319999999999</v>
      </c>
      <c r="Q6674">
        <v>-3.4870819999999997E-2</v>
      </c>
      <c r="R6674">
        <v>9.8717519999999993E-3</v>
      </c>
      <c r="S6674">
        <v>3.0070190000000001</v>
      </c>
      <c r="T6674">
        <v>0.25540659999999998</v>
      </c>
      <c r="U6674">
        <v>0.50122069999999996</v>
      </c>
      <c r="V6674">
        <v>3.2732619999999997E-2</v>
      </c>
      <c r="W6674">
        <v>-2.0517049999999998E-2</v>
      </c>
      <c r="X6674">
        <v>0.99925350000000002</v>
      </c>
      <c r="Y6674">
        <v>-0.1220753</v>
      </c>
      <c r="Z6674">
        <v>-1.5656719999999999E-3</v>
      </c>
      <c r="AA6674">
        <v>0.99251959999999995</v>
      </c>
      <c r="AB6674">
        <v>32</v>
      </c>
      <c r="AC6674">
        <v>55.155099999999997</v>
      </c>
      <c r="AD6674">
        <v>4.6994559999999996</v>
      </c>
      <c r="AE6674">
        <v>9.2138100000000094</v>
      </c>
      <c r="AF6674">
        <v>-6.8137564682916603</v>
      </c>
      <c r="AG6674">
        <v>4.6994559999999996</v>
      </c>
      <c r="AH6674">
        <v>55.107584490044403</v>
      </c>
      <c r="AI6674">
        <v>85.162393912856004</v>
      </c>
      <c r="AJ6674">
        <v>97.048540942831096</v>
      </c>
      <c r="AK6674">
        <v>55.725739404986797</v>
      </c>
      <c r="AL6674">
        <v>91.175622903065602</v>
      </c>
      <c r="AM6674">
        <v>88.123828827152096</v>
      </c>
      <c r="AN6674">
        <v>0.99999996550750703</v>
      </c>
    </row>
    <row r="6675" spans="1:40" x14ac:dyDescent="0.25">
      <c r="A6675" t="str">
        <f>"20190312161445999"</f>
        <v>20190312161445999</v>
      </c>
      <c r="B6675" t="str">
        <f>"1552378485992950"</f>
        <v>1552378485992950</v>
      </c>
      <c r="C6675" t="s">
        <v>40</v>
      </c>
      <c r="D6675">
        <v>4.7732210000000004</v>
      </c>
      <c r="E6675">
        <v>0.43837369999999998</v>
      </c>
      <c r="F6675" t="s">
        <v>59</v>
      </c>
      <c r="G6675">
        <v>-169.244</v>
      </c>
      <c r="H6675">
        <v>7.3004959999999999</v>
      </c>
      <c r="I6675">
        <v>-55.289549999999998</v>
      </c>
      <c r="J6675">
        <v>-212.935</v>
      </c>
      <c r="K6675">
        <v>1.1126929999999999</v>
      </c>
      <c r="L6675">
        <v>-62.897579999999998</v>
      </c>
      <c r="M6675">
        <v>0.99892380000000003</v>
      </c>
      <c r="N6675">
        <v>0</v>
      </c>
      <c r="O6675">
        <v>4.4160270000000001E-2</v>
      </c>
      <c r="P6675">
        <v>0.99933079999999996</v>
      </c>
      <c r="Q6675">
        <v>-3.4592869999999998E-2</v>
      </c>
      <c r="R6675">
        <v>1.189721E-2</v>
      </c>
      <c r="S6675">
        <v>3.011612</v>
      </c>
      <c r="T6675">
        <v>0.42498649999999999</v>
      </c>
      <c r="U6675">
        <v>0.52310179999999995</v>
      </c>
      <c r="V6675">
        <v>3.2382830000000001E-2</v>
      </c>
      <c r="W6675">
        <v>-2.021059E-2</v>
      </c>
      <c r="X6675">
        <v>0.99927120000000003</v>
      </c>
      <c r="Y6675">
        <v>-0.126660199999999</v>
      </c>
      <c r="Z6675">
        <v>-2.6788350000000001E-3</v>
      </c>
      <c r="AA6675">
        <v>0.99194249999999995</v>
      </c>
      <c r="AB6675">
        <v>32</v>
      </c>
      <c r="AC6675">
        <v>43.690999999999903</v>
      </c>
      <c r="AD6675">
        <v>6.1878029999999997</v>
      </c>
      <c r="AE6675">
        <v>7.6080300000000003</v>
      </c>
      <c r="AF6675">
        <v>-5.5627126222002703</v>
      </c>
      <c r="AG6675">
        <v>6.1878029999999997</v>
      </c>
      <c r="AH6675">
        <v>43.1444498229923</v>
      </c>
      <c r="AI6675">
        <v>81.904374335822894</v>
      </c>
      <c r="AJ6675">
        <v>97.346745218506101</v>
      </c>
      <c r="AK6675">
        <v>43.939460945859302</v>
      </c>
      <c r="AL6675">
        <v>91.158060328929594</v>
      </c>
      <c r="AM6675">
        <v>88.143896875226801</v>
      </c>
      <c r="AN6675">
        <v>1.0000000233881901</v>
      </c>
    </row>
    <row r="6676" spans="1:40" x14ac:dyDescent="0.25">
      <c r="A6676" t="str">
        <f>"20190312161446009"</f>
        <v>20190312161446009</v>
      </c>
      <c r="B6676" t="str">
        <f>"1552378486003688"</f>
        <v>1552378486003688</v>
      </c>
      <c r="C6676" t="s">
        <v>40</v>
      </c>
      <c r="D6676">
        <v>4.7595450000000001</v>
      </c>
      <c r="E6676">
        <v>0.43816470000000002</v>
      </c>
      <c r="F6676" t="s">
        <v>59</v>
      </c>
      <c r="G6676">
        <v>-169.244</v>
      </c>
      <c r="H6676">
        <v>8.2465109999999999</v>
      </c>
      <c r="I6676">
        <v>-55.307189999999999</v>
      </c>
      <c r="J6676">
        <v>-212.77109999999999</v>
      </c>
      <c r="K6676">
        <v>1.1127609999999999</v>
      </c>
      <c r="L6676">
        <v>-62.88879</v>
      </c>
      <c r="M6676">
        <v>0.99884470000000003</v>
      </c>
      <c r="N6676">
        <v>0</v>
      </c>
      <c r="O6676">
        <v>4.5906820000000001E-2</v>
      </c>
      <c r="P6676">
        <v>0.99931349999999997</v>
      </c>
      <c r="Q6676">
        <v>-3.4373859999999999E-2</v>
      </c>
      <c r="R6676">
        <v>1.3814079999999999E-2</v>
      </c>
      <c r="S6676">
        <v>3.0127869999999999</v>
      </c>
      <c r="T6676">
        <v>0.49192190000000002</v>
      </c>
      <c r="U6676">
        <v>0.52340699999999996</v>
      </c>
      <c r="V6676">
        <v>3.2215309999999997E-2</v>
      </c>
      <c r="W6676">
        <v>-1.9961960000000001E-2</v>
      </c>
      <c r="X6676">
        <v>0.99928159999999999</v>
      </c>
      <c r="Y6676">
        <v>-0.12473860000000001</v>
      </c>
      <c r="Z6676">
        <v>-2.6592809999999999E-3</v>
      </c>
      <c r="AA6676">
        <v>0.99218609999999896</v>
      </c>
      <c r="AB6676">
        <v>32</v>
      </c>
      <c r="AC6676">
        <v>43.527099999999898</v>
      </c>
      <c r="AD6676">
        <v>7.13375</v>
      </c>
      <c r="AE6676">
        <v>7.5815999999999901</v>
      </c>
      <c r="AF6676">
        <v>-5.4335615288644403</v>
      </c>
      <c r="AG6676">
        <v>7.13375</v>
      </c>
      <c r="AH6676">
        <v>42.715697833628397</v>
      </c>
      <c r="AI6676">
        <v>80.593225595984805</v>
      </c>
      <c r="AJ6676">
        <v>97.249258717056406</v>
      </c>
      <c r="AK6676">
        <v>43.646819143716598</v>
      </c>
      <c r="AL6676">
        <v>91.143812019061897</v>
      </c>
      <c r="AM6676">
        <v>88.153511244066195</v>
      </c>
      <c r="AN6676">
        <v>1.00000001107199</v>
      </c>
    </row>
    <row r="6677" spans="1:40" x14ac:dyDescent="0.25">
      <c r="A6677" t="str">
        <f>"20190312161446018"</f>
        <v>20190312161446018</v>
      </c>
      <c r="B6677" t="str">
        <f>"1552378486013446"</f>
        <v>1552378486013446</v>
      </c>
      <c r="C6677" t="s">
        <v>40</v>
      </c>
      <c r="D6677">
        <v>4.7080169999999999</v>
      </c>
      <c r="E6677">
        <v>0.43777080000000002</v>
      </c>
      <c r="F6677" t="s">
        <v>59</v>
      </c>
      <c r="G6677">
        <v>-167.99870000000001</v>
      </c>
      <c r="H6677">
        <v>9.293056</v>
      </c>
      <c r="I6677">
        <v>-55.002670000000002</v>
      </c>
      <c r="J6677">
        <v>-212.6354</v>
      </c>
      <c r="K6677">
        <v>1.1128129999999901</v>
      </c>
      <c r="L6677">
        <v>-62.881070000000001</v>
      </c>
      <c r="M6677">
        <v>0.99877459999999996</v>
      </c>
      <c r="N6677">
        <v>0</v>
      </c>
      <c r="O6677">
        <v>4.7401449999999998E-2</v>
      </c>
      <c r="P6677">
        <v>0.99929000000000001</v>
      </c>
      <c r="Q6677">
        <v>-3.429807E-2</v>
      </c>
      <c r="R6677">
        <v>1.5588640000000001E-2</v>
      </c>
      <c r="S6677">
        <v>3.013687</v>
      </c>
      <c r="T6677">
        <v>0.55062279999999997</v>
      </c>
      <c r="U6677">
        <v>0.53082280000000004</v>
      </c>
      <c r="V6677">
        <v>3.1938179999999997E-2</v>
      </c>
      <c r="W6677">
        <v>-1.9864840000000002E-2</v>
      </c>
      <c r="X6677">
        <v>0.99929239999999997</v>
      </c>
      <c r="Y6677">
        <v>-0.1253351</v>
      </c>
      <c r="Z6677">
        <v>-2.756007E-3</v>
      </c>
      <c r="AA6677">
        <v>0.99211059999999995</v>
      </c>
      <c r="AB6677">
        <v>32</v>
      </c>
      <c r="AC6677">
        <v>44.636699999999898</v>
      </c>
      <c r="AD6677">
        <v>8.1802429999999902</v>
      </c>
      <c r="AE6677">
        <v>7.8783999999999903</v>
      </c>
      <c r="AF6677">
        <v>-5.57200054668004</v>
      </c>
      <c r="AG6677">
        <v>8.1802429999999902</v>
      </c>
      <c r="AH6677">
        <v>43.541818066384501</v>
      </c>
      <c r="AI6677">
        <v>79.443938159350097</v>
      </c>
      <c r="AJ6677">
        <v>97.292445696525405</v>
      </c>
      <c r="AK6677">
        <v>44.652586556182598</v>
      </c>
      <c r="AL6677">
        <v>91.138246384815304</v>
      </c>
      <c r="AM6677">
        <v>88.169404453801803</v>
      </c>
      <c r="AN6677">
        <v>0.99999997995384804</v>
      </c>
    </row>
    <row r="6678" spans="1:40" x14ac:dyDescent="0.25">
      <c r="A6678" t="str">
        <f>"20190312161446030"</f>
        <v>20190312161446030</v>
      </c>
      <c r="B6678" t="str">
        <f>"1552378486022794"</f>
        <v>1552378486022794</v>
      </c>
      <c r="C6678" t="s">
        <v>40</v>
      </c>
      <c r="D6678">
        <v>4.6730070000000001</v>
      </c>
      <c r="E6678">
        <v>0.43778489999999998</v>
      </c>
      <c r="F6678" t="s">
        <v>59</v>
      </c>
      <c r="G6678">
        <v>-167.99870000000001</v>
      </c>
      <c r="H6678">
        <v>9.8877330000000008</v>
      </c>
      <c r="I6678">
        <v>-54.891840000000002</v>
      </c>
      <c r="J6678">
        <v>-212.47819999999999</v>
      </c>
      <c r="K6678">
        <v>1.112873</v>
      </c>
      <c r="L6678">
        <v>-62.872070000000001</v>
      </c>
      <c r="M6678">
        <v>0.99869030000000003</v>
      </c>
      <c r="N6678">
        <v>0</v>
      </c>
      <c r="O6678">
        <v>4.91399E-2</v>
      </c>
      <c r="P6678">
        <v>0.99925889999999995</v>
      </c>
      <c r="Q6678">
        <v>-3.4071730000000001E-2</v>
      </c>
      <c r="R6678">
        <v>1.7916129999999999E-2</v>
      </c>
      <c r="S6678">
        <v>3.0140229999999999</v>
      </c>
      <c r="T6678">
        <v>0.59251019999999999</v>
      </c>
      <c r="U6678">
        <v>0.53945919999999903</v>
      </c>
      <c r="V6678">
        <v>3.1351660000000003E-2</v>
      </c>
      <c r="W6678">
        <v>-1.9616149999999999E-2</v>
      </c>
      <c r="X6678">
        <v>0.99931590000000003</v>
      </c>
      <c r="Y6678">
        <v>-0.12616810000000001</v>
      </c>
      <c r="Z6678">
        <v>-2.7065790000000002E-3</v>
      </c>
      <c r="AA6678">
        <v>0.99200520000000003</v>
      </c>
      <c r="AB6678">
        <v>32</v>
      </c>
      <c r="AC6678">
        <v>44.479499999999902</v>
      </c>
      <c r="AD6678">
        <v>8.7748600000000003</v>
      </c>
      <c r="AE6678">
        <v>7.9802299999999899</v>
      </c>
      <c r="AF6678">
        <v>-5.5744609791714899</v>
      </c>
      <c r="AG6678">
        <v>8.7748600000000003</v>
      </c>
      <c r="AH6678">
        <v>43.189473363054503</v>
      </c>
      <c r="AI6678">
        <v>78.607464150248902</v>
      </c>
      <c r="AJ6678">
        <v>97.354500716202594</v>
      </c>
      <c r="AK6678">
        <v>44.423005218083802</v>
      </c>
      <c r="AL6678">
        <v>91.123994704225893</v>
      </c>
      <c r="AM6678">
        <v>88.203041910020801</v>
      </c>
      <c r="AN6678">
        <v>0.99999999395919403</v>
      </c>
    </row>
    <row r="6679" spans="1:40" x14ac:dyDescent="0.25">
      <c r="A6679" t="str">
        <f>"20190312161446040"</f>
        <v>20190312161446040</v>
      </c>
      <c r="B6679" t="str">
        <f>"1552378486033519"</f>
        <v>1552378486033519</v>
      </c>
      <c r="C6679" t="s">
        <v>40</v>
      </c>
      <c r="D6679">
        <v>4.6607510000000003</v>
      </c>
      <c r="E6679">
        <v>0.43777349999999998</v>
      </c>
      <c r="F6679" t="s">
        <v>59</v>
      </c>
      <c r="G6679">
        <v>-167.99870000000001</v>
      </c>
      <c r="H6679">
        <v>10.38194</v>
      </c>
      <c r="I6679">
        <v>-54.805500000000002</v>
      </c>
      <c r="J6679">
        <v>-212.31720000000001</v>
      </c>
      <c r="K6679">
        <v>1.112932</v>
      </c>
      <c r="L6679">
        <v>-62.862369999999999</v>
      </c>
      <c r="M6679">
        <v>0.9985986</v>
      </c>
      <c r="N6679">
        <v>0</v>
      </c>
      <c r="O6679">
        <v>5.0964809999999999E-2</v>
      </c>
      <c r="P6679">
        <v>0.99920869999999995</v>
      </c>
      <c r="Q6679">
        <v>-3.4265499999999997E-2</v>
      </c>
      <c r="R6679">
        <v>2.021274E-2</v>
      </c>
      <c r="S6679">
        <v>3.0138240000000001</v>
      </c>
      <c r="T6679">
        <v>0.62804759999999904</v>
      </c>
      <c r="U6679">
        <v>0.54656979999999999</v>
      </c>
      <c r="V6679">
        <v>3.088453E-2</v>
      </c>
      <c r="W6679">
        <v>-1.9788779999999999E-2</v>
      </c>
      <c r="X6679">
        <v>0.99932710000000002</v>
      </c>
      <c r="Y6679">
        <v>-0.1264914</v>
      </c>
      <c r="Z6679">
        <v>-2.5263149999999999E-3</v>
      </c>
      <c r="AA6679">
        <v>0.99196450000000003</v>
      </c>
      <c r="AB6679">
        <v>32</v>
      </c>
      <c r="AC6679">
        <v>44.3185</v>
      </c>
      <c r="AD6679">
        <v>9.2690079999999995</v>
      </c>
      <c r="AE6679">
        <v>8.0568699999999893</v>
      </c>
      <c r="AF6679">
        <v>-5.5523827132224399</v>
      </c>
      <c r="AG6679">
        <v>9.2690079999999995</v>
      </c>
      <c r="AH6679">
        <v>42.856889710427197</v>
      </c>
      <c r="AI6679">
        <v>77.894295348114298</v>
      </c>
      <c r="AJ6679">
        <v>97.381914556614404</v>
      </c>
      <c r="AK6679">
        <v>44.197923692746897</v>
      </c>
      <c r="AL6679">
        <v>91.133887529907298</v>
      </c>
      <c r="AM6679">
        <v>88.229818690977694</v>
      </c>
      <c r="AN6679">
        <v>1.0000000514008001</v>
      </c>
    </row>
    <row r="6680" spans="1:40" x14ac:dyDescent="0.25">
      <c r="A6680" t="str">
        <f>"20190312161446052"</f>
        <v>20190312161446052</v>
      </c>
      <c r="B6680" t="str">
        <f>"1552378486043279"</f>
        <v>1552378486043279</v>
      </c>
      <c r="C6680" t="s">
        <v>40</v>
      </c>
      <c r="D6680">
        <v>4.6945059999999996</v>
      </c>
      <c r="E6680">
        <v>0.43751060000000003</v>
      </c>
      <c r="F6680" t="s">
        <v>59</v>
      </c>
      <c r="G6680">
        <v>-167.99870000000001</v>
      </c>
      <c r="H6680">
        <v>10.72925</v>
      </c>
      <c r="I6680">
        <v>-54.715809999999998</v>
      </c>
      <c r="J6680">
        <v>-212.1619</v>
      </c>
      <c r="K6680">
        <v>1.1129869999999999</v>
      </c>
      <c r="L6680">
        <v>-62.852809999999998</v>
      </c>
      <c r="M6680">
        <v>0.9985058</v>
      </c>
      <c r="N6680">
        <v>0</v>
      </c>
      <c r="O6680">
        <v>5.27438E-2</v>
      </c>
      <c r="P6680">
        <v>0.99916229999999995</v>
      </c>
      <c r="Q6680">
        <v>-3.4089170000000002E-2</v>
      </c>
      <c r="R6680">
        <v>2.2640710000000001E-2</v>
      </c>
      <c r="S6680">
        <v>3.013611</v>
      </c>
      <c r="T6680">
        <v>0.65389600000000003</v>
      </c>
      <c r="U6680">
        <v>0.55395509999999903</v>
      </c>
      <c r="V6680">
        <v>3.023849E-2</v>
      </c>
      <c r="W6680">
        <v>-1.959437E-2</v>
      </c>
      <c r="X6680">
        <v>0.99935059999999998</v>
      </c>
      <c r="Y6680">
        <v>-0.12698869999999901</v>
      </c>
      <c r="Z6680">
        <v>-2.3034269999999998E-3</v>
      </c>
      <c r="AA6680">
        <v>0.99190149999999999</v>
      </c>
      <c r="AB6680">
        <v>32</v>
      </c>
      <c r="AC6680">
        <v>44.163199999999897</v>
      </c>
      <c r="AD6680">
        <v>9.616263</v>
      </c>
      <c r="AE6680">
        <v>8.1370000000000005</v>
      </c>
      <c r="AF6680">
        <v>-5.5419679907252499</v>
      </c>
      <c r="AG6680">
        <v>9.616263</v>
      </c>
      <c r="AH6680">
        <v>42.578471147135303</v>
      </c>
      <c r="AI6680">
        <v>77.376405733532195</v>
      </c>
      <c r="AJ6680">
        <v>97.415866293377206</v>
      </c>
      <c r="AK6680">
        <v>44.001274169310499</v>
      </c>
      <c r="AL6680">
        <v>91.122746596260697</v>
      </c>
      <c r="AM6680">
        <v>88.266865100654499</v>
      </c>
      <c r="AN6680">
        <v>0.99999996366676702</v>
      </c>
    </row>
    <row r="6681" spans="1:40" x14ac:dyDescent="0.25">
      <c r="A6681" t="str">
        <f>"20190312161446062"</f>
        <v>20190312161446062</v>
      </c>
      <c r="B6681" t="str">
        <f>"1552378486053040"</f>
        <v>1552378486053040</v>
      </c>
      <c r="C6681" t="s">
        <v>40</v>
      </c>
      <c r="D6681">
        <v>4.627275</v>
      </c>
      <c r="E6681">
        <v>0.437473</v>
      </c>
      <c r="F6681" t="s">
        <v>59</v>
      </c>
      <c r="G6681">
        <v>-167.99870000000001</v>
      </c>
      <c r="H6681">
        <v>11.06307</v>
      </c>
      <c r="I6681">
        <v>-54.588360000000002</v>
      </c>
      <c r="J6681">
        <v>-212.0025</v>
      </c>
      <c r="K6681">
        <v>1.11304</v>
      </c>
      <c r="L6681">
        <v>-62.842649999999999</v>
      </c>
      <c r="M6681">
        <v>0.99840589999999996</v>
      </c>
      <c r="N6681">
        <v>0</v>
      </c>
      <c r="O6681">
        <v>5.4599059999999998E-2</v>
      </c>
      <c r="P6681">
        <v>0.99909700000000001</v>
      </c>
      <c r="Q6681">
        <v>-3.4154370000000003E-2</v>
      </c>
      <c r="R6681">
        <v>2.5277460000000002E-2</v>
      </c>
      <c r="S6681">
        <v>3.0128780000000002</v>
      </c>
      <c r="T6681">
        <v>0.67880669999999899</v>
      </c>
      <c r="U6681">
        <v>0.56381230000000004</v>
      </c>
      <c r="V6681">
        <v>2.9461049999999999E-2</v>
      </c>
      <c r="W6681">
        <v>-1.9643790000000001E-2</v>
      </c>
      <c r="X6681">
        <v>0.99937290000000001</v>
      </c>
      <c r="Y6681">
        <v>-0.12821389999999999</v>
      </c>
      <c r="Z6681">
        <v>-2.1164280000000001E-3</v>
      </c>
      <c r="AA6681">
        <v>0.99174430000000002</v>
      </c>
      <c r="AB6681">
        <v>32</v>
      </c>
      <c r="AC6681">
        <v>44.003799999999899</v>
      </c>
      <c r="AD6681">
        <v>9.9500299999999999</v>
      </c>
      <c r="AE6681">
        <v>8.2542899999999992</v>
      </c>
      <c r="AF6681">
        <v>-5.5643338870904397</v>
      </c>
      <c r="AG6681">
        <v>9.9500299999999999</v>
      </c>
      <c r="AH6681">
        <v>42.299640600175103</v>
      </c>
      <c r="AI6681">
        <v>76.872238501715401</v>
      </c>
      <c r="AJ6681">
        <v>97.493982526401794</v>
      </c>
      <c r="AK6681">
        <v>43.808954604189204</v>
      </c>
      <c r="AL6681">
        <v>91.125578643800594</v>
      </c>
      <c r="AM6681">
        <v>88.311436001467797</v>
      </c>
      <c r="AN6681">
        <v>1.00000001260353</v>
      </c>
    </row>
    <row r="6682" spans="1:40" x14ac:dyDescent="0.25">
      <c r="A6682" t="str">
        <f>"20190312161446074"</f>
        <v>20190312161446074</v>
      </c>
      <c r="B6682" t="str">
        <f>"1552378486062801"</f>
        <v>1552378486062801</v>
      </c>
      <c r="C6682" t="s">
        <v>40</v>
      </c>
      <c r="D6682">
        <v>4.6140100000000004</v>
      </c>
      <c r="E6682">
        <v>0.43749100000000002</v>
      </c>
      <c r="F6682" t="s">
        <v>59</v>
      </c>
      <c r="G6682">
        <v>-167.99870000000001</v>
      </c>
      <c r="H6682">
        <v>11.30064</v>
      </c>
      <c r="I6682">
        <v>-54.484569999999998</v>
      </c>
      <c r="J6682">
        <v>-211.8477</v>
      </c>
      <c r="K6682">
        <v>1.113092</v>
      </c>
      <c r="L6682">
        <v>-62.832430000000002</v>
      </c>
      <c r="M6682">
        <v>0.99830410000000003</v>
      </c>
      <c r="N6682">
        <v>0</v>
      </c>
      <c r="O6682">
        <v>5.6427659999999998E-2</v>
      </c>
      <c r="P6682">
        <v>0.99903299999999995</v>
      </c>
      <c r="Q6682">
        <v>-3.4196240000000003E-2</v>
      </c>
      <c r="R6682">
        <v>2.76384E-2</v>
      </c>
      <c r="S6682">
        <v>3.0120849999999999</v>
      </c>
      <c r="T6682">
        <v>0.69734359999999995</v>
      </c>
      <c r="U6682">
        <v>0.57211299999999998</v>
      </c>
      <c r="V6682">
        <v>2.8932449999999998E-2</v>
      </c>
      <c r="W6682">
        <v>-1.9670159999999999E-2</v>
      </c>
      <c r="X6682">
        <v>0.99938780000000005</v>
      </c>
      <c r="Y6682">
        <v>-0.1290135</v>
      </c>
      <c r="Z6682">
        <v>-1.8508559999999999E-3</v>
      </c>
      <c r="AA6682">
        <v>0.99164110000000005</v>
      </c>
      <c r="AB6682">
        <v>32</v>
      </c>
      <c r="AC6682">
        <v>43.848999999999897</v>
      </c>
      <c r="AD6682">
        <v>10.187548</v>
      </c>
      <c r="AE6682">
        <v>8.3478600000000007</v>
      </c>
      <c r="AF6682">
        <v>-5.5698696130429202</v>
      </c>
      <c r="AG6682">
        <v>10.187548</v>
      </c>
      <c r="AH6682">
        <v>42.059329721052599</v>
      </c>
      <c r="AI6682">
        <v>76.497652216969001</v>
      </c>
      <c r="AJ6682">
        <v>97.543720743826</v>
      </c>
      <c r="AK6682">
        <v>43.632519963243197</v>
      </c>
      <c r="AL6682">
        <v>91.127089852843</v>
      </c>
      <c r="AM6682">
        <v>88.341740419847298</v>
      </c>
      <c r="AN6682">
        <v>0.99999998832313397</v>
      </c>
    </row>
    <row r="6683" spans="1:40" x14ac:dyDescent="0.25">
      <c r="A6683" t="str">
        <f>"20190312161446085"</f>
        <v>20190312161446085</v>
      </c>
      <c r="B6683" t="str">
        <f>"1552378486073534"</f>
        <v>1552378486073534</v>
      </c>
      <c r="C6683" t="s">
        <v>40</v>
      </c>
      <c r="D6683">
        <v>4.6143470000000004</v>
      </c>
      <c r="E6683">
        <v>0.4375386</v>
      </c>
      <c r="F6683" t="s">
        <v>59</v>
      </c>
      <c r="G6683">
        <v>-167.99870000000001</v>
      </c>
      <c r="H6683">
        <v>11.487909999999999</v>
      </c>
      <c r="I6683">
        <v>-54.398910000000001</v>
      </c>
      <c r="J6683">
        <v>-211.68799999999999</v>
      </c>
      <c r="K6683">
        <v>1.1131450000000001</v>
      </c>
      <c r="L6683">
        <v>-62.821660000000001</v>
      </c>
      <c r="M6683">
        <v>0.99819420000000003</v>
      </c>
      <c r="N6683">
        <v>0</v>
      </c>
      <c r="O6683">
        <v>5.8335409999999997E-2</v>
      </c>
      <c r="P6683">
        <v>0.99896249999999998</v>
      </c>
      <c r="Q6683">
        <v>-3.4111860000000001E-2</v>
      </c>
      <c r="R6683">
        <v>3.0176129999999999E-2</v>
      </c>
      <c r="S6683">
        <v>3.0112920000000001</v>
      </c>
      <c r="T6683">
        <v>0.71247830000000001</v>
      </c>
      <c r="U6683">
        <v>0.57916259999999997</v>
      </c>
      <c r="V6683">
        <v>2.830562E-2</v>
      </c>
      <c r="W6683">
        <v>-1.9571580000000002E-2</v>
      </c>
      <c r="X6683">
        <v>0.99940770000000001</v>
      </c>
      <c r="Y6683">
        <v>-0.12936780000000001</v>
      </c>
      <c r="Z6683">
        <v>-1.491589E-3</v>
      </c>
      <c r="AA6683">
        <v>0.99159560000000002</v>
      </c>
      <c r="AB6683">
        <v>32</v>
      </c>
      <c r="AC6683">
        <v>43.689299999999903</v>
      </c>
      <c r="AD6683">
        <v>10.374765</v>
      </c>
      <c r="AE6683">
        <v>8.42274999999999</v>
      </c>
      <c r="AF6683">
        <v>-5.5573562346934304</v>
      </c>
      <c r="AG6683">
        <v>10.374765</v>
      </c>
      <c r="AH6683">
        <v>41.831887587144401</v>
      </c>
      <c r="AI6683">
        <v>76.187716493068095</v>
      </c>
      <c r="AJ6683">
        <v>97.567418906195698</v>
      </c>
      <c r="AK6683">
        <v>43.456032679341497</v>
      </c>
      <c r="AL6683">
        <v>91.121440531009398</v>
      </c>
      <c r="AM6683">
        <v>88.377679973424307</v>
      </c>
      <c r="AN6683">
        <v>1.0000000028432801</v>
      </c>
    </row>
    <row r="6684" spans="1:40" x14ac:dyDescent="0.25">
      <c r="A6684" t="str">
        <f>"20190312161446096"</f>
        <v>20190312161446096</v>
      </c>
      <c r="B6684" t="str">
        <f>"1552378486093057"</f>
        <v>1552378486093057</v>
      </c>
      <c r="C6684" t="s">
        <v>40</v>
      </c>
      <c r="D6684">
        <v>4.6373610000000003</v>
      </c>
      <c r="E6684">
        <v>0.43847000000000003</v>
      </c>
      <c r="F6684" t="s">
        <v>59</v>
      </c>
      <c r="G6684">
        <v>-167.99870000000001</v>
      </c>
      <c r="H6684">
        <v>11.62717</v>
      </c>
      <c r="I6684">
        <v>-54.312359999999998</v>
      </c>
      <c r="J6684">
        <v>-211.53110000000001</v>
      </c>
      <c r="K6684">
        <v>1.113194</v>
      </c>
      <c r="L6684">
        <v>-62.810609999999997</v>
      </c>
      <c r="M6684">
        <v>0.99808039999999998</v>
      </c>
      <c r="N6684">
        <v>0</v>
      </c>
      <c r="O6684">
        <v>6.0246840000000003E-2</v>
      </c>
      <c r="P6684">
        <v>0.99888520000000003</v>
      </c>
      <c r="Q6684">
        <v>-3.4102889999999997E-2</v>
      </c>
      <c r="R6684">
        <v>3.2644850000000003E-2</v>
      </c>
      <c r="S6684">
        <v>3.0101170000000002</v>
      </c>
      <c r="T6684">
        <v>0.72439409999999904</v>
      </c>
      <c r="U6684">
        <v>0.58627320000000005</v>
      </c>
      <c r="V6684">
        <v>2.775186E-2</v>
      </c>
      <c r="W6684">
        <v>-1.9549589999999999E-2</v>
      </c>
      <c r="X6684">
        <v>0.99942370000000003</v>
      </c>
      <c r="Y6684">
        <v>-0.12977710000000001</v>
      </c>
      <c r="Z6684">
        <v>-1.1168059999999999E-3</v>
      </c>
      <c r="AA6684">
        <v>0.99154260000000005</v>
      </c>
      <c r="AB6684">
        <v>32</v>
      </c>
      <c r="AC6684">
        <v>43.532400000000003</v>
      </c>
      <c r="AD6684">
        <v>10.513976</v>
      </c>
      <c r="AE6684">
        <v>8.4982499999999899</v>
      </c>
      <c r="AF6684">
        <v>-5.5480980187630697</v>
      </c>
      <c r="AG6684">
        <v>10.513976</v>
      </c>
      <c r="AH6684">
        <v>41.626334069779197</v>
      </c>
      <c r="AI6684">
        <v>75.944026952039593</v>
      </c>
      <c r="AJ6684">
        <v>97.591830574994404</v>
      </c>
      <c r="AK6684">
        <v>43.290608346883303</v>
      </c>
      <c r="AL6684">
        <v>91.120180311666601</v>
      </c>
      <c r="AM6684">
        <v>88.409427387691395</v>
      </c>
      <c r="AN6684">
        <v>1.00000004216215</v>
      </c>
    </row>
    <row r="6685" spans="1:40" x14ac:dyDescent="0.25">
      <c r="A6685" t="str">
        <f>"20190312161446108"</f>
        <v>20190312161446108</v>
      </c>
      <c r="B6685" t="str">
        <f>"1552378486102815"</f>
        <v>1552378486102815</v>
      </c>
      <c r="C6685" t="s">
        <v>40</v>
      </c>
      <c r="D6685">
        <v>4.6203240000000001</v>
      </c>
      <c r="E6685">
        <v>0.43883810000000001</v>
      </c>
      <c r="F6685" t="s">
        <v>59</v>
      </c>
      <c r="G6685">
        <v>-167.99870000000001</v>
      </c>
      <c r="H6685">
        <v>11.589029999999999</v>
      </c>
      <c r="I6685">
        <v>-54.328980000000001</v>
      </c>
      <c r="J6685">
        <v>-211.3578</v>
      </c>
      <c r="K6685">
        <v>1.113248</v>
      </c>
      <c r="L6685">
        <v>-62.798250000000003</v>
      </c>
      <c r="M6685">
        <v>0.99795089999999997</v>
      </c>
      <c r="N6685">
        <v>0</v>
      </c>
      <c r="O6685">
        <v>6.2354069999999998E-2</v>
      </c>
      <c r="P6685">
        <v>0.99880179999999996</v>
      </c>
      <c r="Q6685">
        <v>-3.4014990000000002E-2</v>
      </c>
      <c r="R6685">
        <v>3.5189819999999997E-2</v>
      </c>
      <c r="S6685">
        <v>3.0089260000000002</v>
      </c>
      <c r="T6685">
        <v>0.72407849999999996</v>
      </c>
      <c r="U6685">
        <v>0.58624270000000001</v>
      </c>
      <c r="V6685">
        <v>2.7317540000000001E-2</v>
      </c>
      <c r="W6685">
        <v>-1.9454450000000002E-2</v>
      </c>
      <c r="X6685">
        <v>0.99943749999999998</v>
      </c>
      <c r="Y6685">
        <v>-0.12785830000000001</v>
      </c>
      <c r="Z6685">
        <v>-3.9778369999999999E-4</v>
      </c>
      <c r="AA6685">
        <v>0.99179240000000002</v>
      </c>
      <c r="AB6685">
        <v>32</v>
      </c>
      <c r="AC6685">
        <v>43.359099999999899</v>
      </c>
      <c r="AD6685">
        <v>10.475782000000001</v>
      </c>
      <c r="AE6685">
        <v>8.4692699999999999</v>
      </c>
      <c r="AF6685">
        <v>-5.44285187807459</v>
      </c>
      <c r="AG6685">
        <v>10.475782000000001</v>
      </c>
      <c r="AH6685">
        <v>41.471033545841401</v>
      </c>
      <c r="AI6685">
        <v>75.939119243524104</v>
      </c>
      <c r="AJ6685">
        <v>97.477029773519604</v>
      </c>
      <c r="AK6685">
        <v>43.118595390370601</v>
      </c>
      <c r="AL6685">
        <v>91.114728179222098</v>
      </c>
      <c r="AM6685">
        <v>88.434329162638306</v>
      </c>
      <c r="AN6685">
        <v>1.0000000200113499</v>
      </c>
    </row>
    <row r="6686" spans="1:40" x14ac:dyDescent="0.25">
      <c r="A6686" t="str">
        <f>"20190312161446119"</f>
        <v>20190312161446119</v>
      </c>
      <c r="B6686" t="str">
        <f>"1552378486113551"</f>
        <v>1552378486113551</v>
      </c>
      <c r="C6686" t="s">
        <v>40</v>
      </c>
      <c r="D6686">
        <v>4.5705879999999999</v>
      </c>
      <c r="E6686">
        <v>0.43913809999999898</v>
      </c>
      <c r="F6686" t="s">
        <v>59</v>
      </c>
      <c r="G6686">
        <v>-167.99870000000001</v>
      </c>
      <c r="H6686">
        <v>11.61957</v>
      </c>
      <c r="I6686">
        <v>-54.278509999999997</v>
      </c>
      <c r="J6686">
        <v>-211.20349999999999</v>
      </c>
      <c r="K6686">
        <v>1.113272</v>
      </c>
      <c r="L6686">
        <v>-62.786589999999997</v>
      </c>
      <c r="M6686">
        <v>0.99786059999999999</v>
      </c>
      <c r="N6686">
        <v>0</v>
      </c>
      <c r="O6686">
        <v>6.3822190000000001E-2</v>
      </c>
      <c r="P6686">
        <v>0.99873210000000001</v>
      </c>
      <c r="Q6686">
        <v>-3.3673229999999998E-2</v>
      </c>
      <c r="R6686">
        <v>3.7420179999999997E-2</v>
      </c>
      <c r="S6686">
        <v>3.0076139999999998</v>
      </c>
      <c r="T6686">
        <v>0.72877139999999996</v>
      </c>
      <c r="U6686">
        <v>0.59097290000000002</v>
      </c>
      <c r="V6686">
        <v>2.6558979999999999E-2</v>
      </c>
      <c r="W6686">
        <v>-1.9285980000000001E-2</v>
      </c>
      <c r="X6686">
        <v>0.99946120000000005</v>
      </c>
      <c r="Y6686">
        <v>-0.12799630000000001</v>
      </c>
      <c r="Z6686" s="1">
        <v>-7.1012410000000005E-5</v>
      </c>
      <c r="AA6686">
        <v>0.99177459999999995</v>
      </c>
      <c r="AB6686">
        <v>32</v>
      </c>
      <c r="AC6686">
        <v>43.204799999999899</v>
      </c>
      <c r="AD6686">
        <v>10.506297999999999</v>
      </c>
      <c r="AE6686">
        <v>8.5080799999999996</v>
      </c>
      <c r="AF6686">
        <v>-5.42424715181774</v>
      </c>
      <c r="AG6686">
        <v>10.506297999999999</v>
      </c>
      <c r="AH6686">
        <v>41.308237987420199</v>
      </c>
      <c r="AI6686">
        <v>75.846568855963895</v>
      </c>
      <c r="AJ6686">
        <v>97.480794922807206</v>
      </c>
      <c r="AK6686">
        <v>42.967141869737503</v>
      </c>
      <c r="AL6686">
        <v>91.105073759819007</v>
      </c>
      <c r="AM6686">
        <v>88.477820417721603</v>
      </c>
      <c r="AN6686">
        <v>1.00000000937432</v>
      </c>
    </row>
    <row r="6687" spans="1:40" x14ac:dyDescent="0.25">
      <c r="A6687" t="str">
        <f>"20190312161446130"</f>
        <v>20190312161446130</v>
      </c>
      <c r="B6687" t="str">
        <f>"1552378486122899"</f>
        <v>1552378486122899</v>
      </c>
      <c r="C6687" t="s">
        <v>40</v>
      </c>
      <c r="D6687">
        <v>4.6047120000000001</v>
      </c>
      <c r="E6687">
        <v>0.43946249999999998</v>
      </c>
      <c r="F6687" t="s">
        <v>59</v>
      </c>
      <c r="G6687">
        <v>-167.99870000000001</v>
      </c>
      <c r="H6687">
        <v>11.65831</v>
      </c>
      <c r="I6687">
        <v>-54.2363199999999</v>
      </c>
      <c r="J6687">
        <v>-211.047</v>
      </c>
      <c r="K6687">
        <v>1.113278</v>
      </c>
      <c r="L6687">
        <v>-62.774659999999997</v>
      </c>
      <c r="M6687">
        <v>0.99776100000000001</v>
      </c>
      <c r="N6687">
        <v>0</v>
      </c>
      <c r="O6687">
        <v>6.5385209999999999E-2</v>
      </c>
      <c r="P6687">
        <v>0.99865780000000004</v>
      </c>
      <c r="Q6687">
        <v>-3.3405039999999997E-2</v>
      </c>
      <c r="R6687">
        <v>3.958743E-2</v>
      </c>
      <c r="S6687">
        <v>3.006256</v>
      </c>
      <c r="T6687">
        <v>0.7337378</v>
      </c>
      <c r="U6687">
        <v>0.59494019999999903</v>
      </c>
      <c r="V6687">
        <v>2.5956750000000001E-2</v>
      </c>
      <c r="W6687">
        <v>-1.9132570000000002E-2</v>
      </c>
      <c r="X6687">
        <v>0.99947989999999998</v>
      </c>
      <c r="Y6687">
        <v>-0.12781199999999901</v>
      </c>
      <c r="Z6687">
        <v>3.210679E-4</v>
      </c>
      <c r="AA6687">
        <v>0.99179830000000002</v>
      </c>
      <c r="AB6687">
        <v>32</v>
      </c>
      <c r="AC6687">
        <v>43.048299999999898</v>
      </c>
      <c r="AD6687">
        <v>10.545032000000001</v>
      </c>
      <c r="AE6687">
        <v>8.5383399999999998</v>
      </c>
      <c r="AF6687">
        <v>-5.3936704547464798</v>
      </c>
      <c r="AG6687">
        <v>10.545032000000001</v>
      </c>
      <c r="AH6687">
        <v>41.139387722518897</v>
      </c>
      <c r="AI6687">
        <v>75.7402132766546</v>
      </c>
      <c r="AJ6687">
        <v>97.469287592232007</v>
      </c>
      <c r="AK6687">
        <v>42.810496411968501</v>
      </c>
      <c r="AL6687">
        <v>91.096282469042805</v>
      </c>
      <c r="AM6687">
        <v>88.512348264422698</v>
      </c>
      <c r="AN6687">
        <v>0.999999939304686</v>
      </c>
    </row>
    <row r="6688" spans="1:40" x14ac:dyDescent="0.25">
      <c r="A6688" t="str">
        <f>"20190312161446141"</f>
        <v>20190312161446141</v>
      </c>
      <c r="B6688" t="str">
        <f>"1552378486133627"</f>
        <v>1552378486133627</v>
      </c>
      <c r="C6688" t="s">
        <v>40</v>
      </c>
      <c r="D6688">
        <v>4.6034009999999999</v>
      </c>
      <c r="E6688">
        <v>0.43973440000000003</v>
      </c>
      <c r="F6688" t="s">
        <v>59</v>
      </c>
      <c r="G6688">
        <v>-167.99870000000001</v>
      </c>
      <c r="H6688">
        <v>11.682320000000001</v>
      </c>
      <c r="I6688">
        <v>-54.191339999999997</v>
      </c>
      <c r="J6688">
        <v>-210.8871</v>
      </c>
      <c r="K6688">
        <v>1.113226</v>
      </c>
      <c r="L6688">
        <v>-62.762050000000002</v>
      </c>
      <c r="M6688">
        <v>0.99763349999999995</v>
      </c>
      <c r="N6688">
        <v>0</v>
      </c>
      <c r="O6688">
        <v>6.727458E-2</v>
      </c>
      <c r="P6688">
        <v>0.99854750000000003</v>
      </c>
      <c r="Q6688">
        <v>-3.3428649999999997E-2</v>
      </c>
      <c r="R6688">
        <v>4.2254399999999998E-2</v>
      </c>
      <c r="S6688">
        <v>3.0049589999999999</v>
      </c>
      <c r="T6688">
        <v>0.73776149999999996</v>
      </c>
      <c r="U6688">
        <v>0.59915160000000001</v>
      </c>
      <c r="V6688">
        <v>2.5176759999999999E-2</v>
      </c>
      <c r="W6688">
        <v>-1.9039299999999999E-2</v>
      </c>
      <c r="X6688">
        <v>0.99950170000000005</v>
      </c>
      <c r="Y6688">
        <v>-0.1273986</v>
      </c>
      <c r="Z6688">
        <v>8.2291380000000004E-4</v>
      </c>
      <c r="AA6688">
        <v>0.99185129999999999</v>
      </c>
      <c r="AB6688">
        <v>32</v>
      </c>
      <c r="AC6688">
        <v>42.888399999999898</v>
      </c>
      <c r="AD6688">
        <v>10.569094</v>
      </c>
      <c r="AE6688">
        <v>8.5707099999999894</v>
      </c>
      <c r="AF6688">
        <v>-5.3530952059757402</v>
      </c>
      <c r="AG6688">
        <v>10.569094</v>
      </c>
      <c r="AH6688">
        <v>40.975050685464502</v>
      </c>
      <c r="AI6688">
        <v>75.653229262875598</v>
      </c>
      <c r="AJ6688">
        <v>97.443126596193594</v>
      </c>
      <c r="AK6688">
        <v>42.653442474687303</v>
      </c>
      <c r="AL6688">
        <v>91.090937444724702</v>
      </c>
      <c r="AM6688">
        <v>88.557063873127106</v>
      </c>
      <c r="AN6688">
        <v>1.0000000062457299</v>
      </c>
    </row>
    <row r="6689" spans="1:40" x14ac:dyDescent="0.25">
      <c r="A6689" t="str">
        <f>"20190312161446153"</f>
        <v>20190312161446153</v>
      </c>
      <c r="B6689" t="str">
        <f>"1552378486143386"</f>
        <v>1552378486143386</v>
      </c>
      <c r="C6689" t="s">
        <v>40</v>
      </c>
      <c r="D6689">
        <v>4.5739919999999996</v>
      </c>
      <c r="E6689">
        <v>0.44000990000000001</v>
      </c>
      <c r="F6689" t="s">
        <v>59</v>
      </c>
      <c r="G6689">
        <v>-167.99870000000001</v>
      </c>
      <c r="H6689">
        <v>11.680680000000001</v>
      </c>
      <c r="I6689">
        <v>-54.120780000000003</v>
      </c>
      <c r="J6689">
        <v>-210.7294</v>
      </c>
      <c r="K6689">
        <v>1.113151</v>
      </c>
      <c r="L6689">
        <v>-62.749389999999998</v>
      </c>
      <c r="M6689">
        <v>0.99749019999999999</v>
      </c>
      <c r="N6689">
        <v>0</v>
      </c>
      <c r="O6689">
        <v>6.9335750000000002E-2</v>
      </c>
      <c r="P6689">
        <v>0.99843000000000004</v>
      </c>
      <c r="Q6689">
        <v>-3.3489190000000002E-2</v>
      </c>
      <c r="R6689">
        <v>4.4899479999999999E-2</v>
      </c>
      <c r="S6689">
        <v>3.003555</v>
      </c>
      <c r="T6689">
        <v>0.74005600000000005</v>
      </c>
      <c r="U6689">
        <v>0.60516359999999902</v>
      </c>
      <c r="V6689">
        <v>2.458983E-2</v>
      </c>
      <c r="W6689">
        <v>-1.8953319999999999E-2</v>
      </c>
      <c r="X6689">
        <v>0.99951789999999996</v>
      </c>
      <c r="Y6689">
        <v>-0.12739500000000001</v>
      </c>
      <c r="Z6689">
        <v>1.3189279999999901E-3</v>
      </c>
      <c r="AA6689">
        <v>0.99185120000000004</v>
      </c>
      <c r="AB6689">
        <v>32</v>
      </c>
      <c r="AC6689">
        <v>42.730699999999899</v>
      </c>
      <c r="AD6689">
        <v>10.567528999999899</v>
      </c>
      <c r="AE6689">
        <v>8.6286100000000001</v>
      </c>
      <c r="AF6689">
        <v>-5.3314723420171797</v>
      </c>
      <c r="AG6689">
        <v>10.567528999999899</v>
      </c>
      <c r="AH6689">
        <v>40.827024696251002</v>
      </c>
      <c r="AI6689">
        <v>75.605314702012393</v>
      </c>
      <c r="AJ6689">
        <v>97.439974583337801</v>
      </c>
      <c r="AK6689">
        <v>42.508154653523</v>
      </c>
      <c r="AL6689">
        <v>91.086010314499006</v>
      </c>
      <c r="AM6689">
        <v>88.590711241822703</v>
      </c>
      <c r="AN6689">
        <v>0.99999996024942905</v>
      </c>
    </row>
    <row r="6690" spans="1:40" x14ac:dyDescent="0.25">
      <c r="A6690" t="str">
        <f>"20190312161446163"</f>
        <v>20190312161446163</v>
      </c>
      <c r="B6690" t="str">
        <f>"1552378486153149"</f>
        <v>1552378486153149</v>
      </c>
      <c r="C6690" t="s">
        <v>40</v>
      </c>
      <c r="D6690">
        <v>4.5367660000000001</v>
      </c>
      <c r="E6690">
        <v>0.44024099999999999</v>
      </c>
      <c r="F6690" t="s">
        <v>59</v>
      </c>
      <c r="G6690">
        <v>-167.99870000000001</v>
      </c>
      <c r="H6690">
        <v>11.68688</v>
      </c>
      <c r="I6690">
        <v>-54.049810000000001</v>
      </c>
      <c r="J6690">
        <v>-210.5693</v>
      </c>
      <c r="K6690">
        <v>1.113057</v>
      </c>
      <c r="L6690">
        <v>-62.7363</v>
      </c>
      <c r="M6690">
        <v>0.99732010000000004</v>
      </c>
      <c r="N6690">
        <v>0</v>
      </c>
      <c r="O6690">
        <v>7.1699680000000002E-2</v>
      </c>
      <c r="P6690">
        <v>0.99828700000000004</v>
      </c>
      <c r="Q6690">
        <v>-3.3459030000000001E-2</v>
      </c>
      <c r="R6690">
        <v>4.7997060000000001E-2</v>
      </c>
      <c r="S6690">
        <v>3.0021360000000001</v>
      </c>
      <c r="T6690">
        <v>0.74287749999999997</v>
      </c>
      <c r="U6690">
        <v>0.61120609999999997</v>
      </c>
      <c r="V6690">
        <v>2.3851049999999999E-2</v>
      </c>
      <c r="W6690">
        <v>-1.8734230000000001E-2</v>
      </c>
      <c r="X6690">
        <v>0.99953999999999998</v>
      </c>
      <c r="Y6690">
        <v>-0.12711600000000001</v>
      </c>
      <c r="Z6690">
        <v>1.9252399999999999E-3</v>
      </c>
      <c r="AA6690">
        <v>0.99188600000000005</v>
      </c>
      <c r="AB6690">
        <v>32</v>
      </c>
      <c r="AC6690">
        <v>42.570599999999899</v>
      </c>
      <c r="AD6690">
        <v>10.5738229999999</v>
      </c>
      <c r="AE6690">
        <v>8.6864899999999992</v>
      </c>
      <c r="AF6690">
        <v>-5.2977317708004303</v>
      </c>
      <c r="AG6690">
        <v>10.5738229999999</v>
      </c>
      <c r="AH6690">
        <v>40.674800586976502</v>
      </c>
      <c r="AI6690">
        <v>75.544844358316098</v>
      </c>
      <c r="AJ6690">
        <v>97.420774557126506</v>
      </c>
      <c r="AK6690">
        <v>42.359309455431202</v>
      </c>
      <c r="AL6690">
        <v>91.073455079851101</v>
      </c>
      <c r="AM6690">
        <v>88.633065992087197</v>
      </c>
      <c r="AN6690">
        <v>1.0000000277798899</v>
      </c>
    </row>
    <row r="6691" spans="1:40" x14ac:dyDescent="0.25">
      <c r="A6691" t="str">
        <f>"20190312161446176"</f>
        <v>20190312161446176</v>
      </c>
      <c r="B6691" t="str">
        <f>"1552378486173643"</f>
        <v>1552378486173643</v>
      </c>
      <c r="C6691" t="s">
        <v>40</v>
      </c>
      <c r="D6691">
        <v>4.4916729999999996</v>
      </c>
      <c r="E6691">
        <v>0.44098140000000002</v>
      </c>
      <c r="F6691" t="s">
        <v>59</v>
      </c>
      <c r="G6691">
        <v>-167.99870000000001</v>
      </c>
      <c r="H6691">
        <v>11.69558</v>
      </c>
      <c r="I6691">
        <v>-53.953830000000004</v>
      </c>
      <c r="J6691">
        <v>-210.40719999999999</v>
      </c>
      <c r="K6691">
        <v>1.1130150000000001</v>
      </c>
      <c r="L6691">
        <v>-62.722630000000002</v>
      </c>
      <c r="M6691">
        <v>0.99713540000000001</v>
      </c>
      <c r="N6691">
        <v>0</v>
      </c>
      <c r="O6691">
        <v>7.4196709999999999E-2</v>
      </c>
      <c r="P6691">
        <v>0.99811620000000001</v>
      </c>
      <c r="Q6691">
        <v>-3.3568010000000002E-2</v>
      </c>
      <c r="R6691">
        <v>5.1354299999999999E-2</v>
      </c>
      <c r="S6691">
        <v>3.000381</v>
      </c>
      <c r="T6691">
        <v>0.74585440000000003</v>
      </c>
      <c r="U6691">
        <v>0.61898799999999998</v>
      </c>
      <c r="V6691">
        <v>2.2990509999999999E-2</v>
      </c>
      <c r="W6691">
        <v>-1.871534E-2</v>
      </c>
      <c r="X6691">
        <v>0.99956049999999996</v>
      </c>
      <c r="Y6691">
        <v>-0.12726979999999999</v>
      </c>
      <c r="Z6691">
        <v>2.5162829999999998E-3</v>
      </c>
      <c r="AA6691">
        <v>0.99186490000000005</v>
      </c>
      <c r="AB6691">
        <v>32</v>
      </c>
      <c r="AC6691">
        <v>42.408499999999897</v>
      </c>
      <c r="AD6691">
        <v>10.582565000000001</v>
      </c>
      <c r="AE6691">
        <v>8.7687999999999899</v>
      </c>
      <c r="AF6691">
        <v>-5.2822749306153396</v>
      </c>
      <c r="AG6691">
        <v>10.582565000000001</v>
      </c>
      <c r="AH6691">
        <v>40.522411078600499</v>
      </c>
      <c r="AI6691">
        <v>75.481479472515005</v>
      </c>
      <c r="AJ6691">
        <v>97.426879869062105</v>
      </c>
      <c r="AK6691">
        <v>42.213255146279799</v>
      </c>
      <c r="AL6691">
        <v>91.072372591530595</v>
      </c>
      <c r="AM6691">
        <v>88.682393935779004</v>
      </c>
      <c r="AN6691">
        <v>1.00000001033081</v>
      </c>
    </row>
    <row r="6692" spans="1:40" x14ac:dyDescent="0.25">
      <c r="A6692" t="str">
        <f>"20190312161446187"</f>
        <v>20190312161446187</v>
      </c>
      <c r="B6692" t="str">
        <f>"1552378486183405"</f>
        <v>1552378486183405</v>
      </c>
      <c r="C6692" t="s">
        <v>40</v>
      </c>
      <c r="D6692">
        <v>4.486567</v>
      </c>
      <c r="E6692">
        <v>0.44131690000000001</v>
      </c>
      <c r="F6692" t="s">
        <v>59</v>
      </c>
      <c r="G6692">
        <v>-167.99870000000001</v>
      </c>
      <c r="H6692">
        <v>11.75398</v>
      </c>
      <c r="I6692">
        <v>-53.909300000000002</v>
      </c>
      <c r="J6692">
        <v>-210.2501</v>
      </c>
      <c r="K6692">
        <v>1.113</v>
      </c>
      <c r="L6692">
        <v>-62.709229999999998</v>
      </c>
      <c r="M6692">
        <v>0.99694709999999997</v>
      </c>
      <c r="N6692">
        <v>0</v>
      </c>
      <c r="O6692">
        <v>7.6666639999999994E-2</v>
      </c>
      <c r="P6692">
        <v>0.99796629999999997</v>
      </c>
      <c r="Q6692">
        <v>-3.3268560000000003E-2</v>
      </c>
      <c r="R6692">
        <v>5.4372980000000001E-2</v>
      </c>
      <c r="S6692">
        <v>2.998901</v>
      </c>
      <c r="T6692">
        <v>0.7524691</v>
      </c>
      <c r="U6692">
        <v>0.62322999999999995</v>
      </c>
      <c r="V6692">
        <v>2.244136E-2</v>
      </c>
      <c r="W6692">
        <v>-1.8320900000000001E-2</v>
      </c>
      <c r="X6692">
        <v>0.99958029999999998</v>
      </c>
      <c r="Y6692">
        <v>-0.1263281</v>
      </c>
      <c r="Z6692">
        <v>3.2543200000000002E-3</v>
      </c>
      <c r="AA6692">
        <v>0.99198319999999995</v>
      </c>
      <c r="AB6692">
        <v>32</v>
      </c>
      <c r="AC6692">
        <v>42.251399999999897</v>
      </c>
      <c r="AD6692">
        <v>10.640980000000001</v>
      </c>
      <c r="AE6692">
        <v>8.7999299999999998</v>
      </c>
      <c r="AF6692">
        <v>-5.2172361938918703</v>
      </c>
      <c r="AG6692">
        <v>10.640980000000001</v>
      </c>
      <c r="AH6692">
        <v>40.348903438723298</v>
      </c>
      <c r="AI6692">
        <v>75.342803313103701</v>
      </c>
      <c r="AJ6692">
        <v>97.367639863731</v>
      </c>
      <c r="AK6692">
        <v>42.053347281407603</v>
      </c>
      <c r="AL6692">
        <v>91.049768955000999</v>
      </c>
      <c r="AM6692">
        <v>88.713880965726901</v>
      </c>
      <c r="AN6692">
        <v>1.0000000230817701</v>
      </c>
    </row>
    <row r="6693" spans="1:40" x14ac:dyDescent="0.25">
      <c r="A6693" t="str">
        <f>"20190312161446199"</f>
        <v>20190312161446199</v>
      </c>
      <c r="B6693" t="str">
        <f>"1552378486193165"</f>
        <v>1552378486193165</v>
      </c>
      <c r="C6693" t="s">
        <v>40</v>
      </c>
      <c r="D6693">
        <v>4.5149460000000001</v>
      </c>
      <c r="E6693">
        <v>0.44159320000000002</v>
      </c>
      <c r="F6693" t="s">
        <v>59</v>
      </c>
      <c r="G6693">
        <v>-167.99870000000001</v>
      </c>
      <c r="H6693">
        <v>11.80232</v>
      </c>
      <c r="I6693">
        <v>-53.833680000000001</v>
      </c>
      <c r="J6693">
        <v>-210.09360000000001</v>
      </c>
      <c r="K6693">
        <v>1.113076</v>
      </c>
      <c r="L6693">
        <v>-62.695250000000001</v>
      </c>
      <c r="M6693">
        <v>0.99676600000000004</v>
      </c>
      <c r="N6693">
        <v>0</v>
      </c>
      <c r="O6693">
        <v>7.8981040000000002E-2</v>
      </c>
      <c r="P6693">
        <v>0.99781169999999997</v>
      </c>
      <c r="Q6693">
        <v>-3.2898330000000003E-2</v>
      </c>
      <c r="R6693">
        <v>5.7354130000000003E-2</v>
      </c>
      <c r="S6693">
        <v>2.9970699999999999</v>
      </c>
      <c r="T6693">
        <v>0.75823469999999904</v>
      </c>
      <c r="U6693">
        <v>0.62957759999999996</v>
      </c>
      <c r="V6693">
        <v>2.1778789999999999E-2</v>
      </c>
      <c r="W6693">
        <v>-1.7926399999999999E-2</v>
      </c>
      <c r="X6693">
        <v>0.99960210000000005</v>
      </c>
      <c r="Y6693">
        <v>-0.12620909999999999</v>
      </c>
      <c r="Z6693">
        <v>3.8610350000000001E-3</v>
      </c>
      <c r="AA6693">
        <v>0.99199619999999999</v>
      </c>
      <c r="AB6693">
        <v>32</v>
      </c>
      <c r="AC6693">
        <v>42.094900000000003</v>
      </c>
      <c r="AD6693">
        <v>10.689244</v>
      </c>
      <c r="AE6693">
        <v>8.8615699999999897</v>
      </c>
      <c r="AF6693">
        <v>-5.1884553579186496</v>
      </c>
      <c r="AG6693">
        <v>10.689244</v>
      </c>
      <c r="AH6693">
        <v>40.182282487075803</v>
      </c>
      <c r="AI6693">
        <v>75.220505827173596</v>
      </c>
      <c r="AJ6693">
        <v>97.357491177607699</v>
      </c>
      <c r="AK6693">
        <v>41.902217508907597</v>
      </c>
      <c r="AL6693">
        <v>91.027162065633703</v>
      </c>
      <c r="AM6693">
        <v>88.751868008143703</v>
      </c>
      <c r="AN6693">
        <v>1.00000001491761</v>
      </c>
    </row>
    <row r="6694" spans="1:40" x14ac:dyDescent="0.25">
      <c r="A6694" t="str">
        <f>"20190312161446209"</f>
        <v>20190312161446209</v>
      </c>
      <c r="B6694" t="str">
        <f>"1552378486202922"</f>
        <v>1552378486202922</v>
      </c>
      <c r="C6694" t="s">
        <v>40</v>
      </c>
      <c r="D6694">
        <v>4.4587279999999998</v>
      </c>
      <c r="E6694">
        <v>0.44191209999999997</v>
      </c>
      <c r="F6694" t="s">
        <v>59</v>
      </c>
      <c r="G6694">
        <v>-167.99870000000001</v>
      </c>
      <c r="H6694">
        <v>11.851850000000001</v>
      </c>
      <c r="I6694">
        <v>-53.754460000000002</v>
      </c>
      <c r="J6694">
        <v>-209.94200000000001</v>
      </c>
      <c r="K6694">
        <v>1.1131629999999999</v>
      </c>
      <c r="L6694">
        <v>-62.681550000000001</v>
      </c>
      <c r="M6694">
        <v>0.99658809999999998</v>
      </c>
      <c r="N6694">
        <v>0</v>
      </c>
      <c r="O6694">
        <v>8.1194069999999993E-2</v>
      </c>
      <c r="P6694">
        <v>0.99764240000000004</v>
      </c>
      <c r="Q6694">
        <v>-3.2617529999999999E-2</v>
      </c>
      <c r="R6694">
        <v>6.0378380000000002E-2</v>
      </c>
      <c r="S6694">
        <v>2.995209</v>
      </c>
      <c r="T6694">
        <v>0.76410080000000002</v>
      </c>
      <c r="U6694">
        <v>0.6361694</v>
      </c>
      <c r="V6694">
        <v>2.0972319999999999E-2</v>
      </c>
      <c r="W6694">
        <v>-1.7633369999999999E-2</v>
      </c>
      <c r="X6694">
        <v>0.99962459999999997</v>
      </c>
      <c r="Y6694">
        <v>-0.12626389999999901</v>
      </c>
      <c r="Z6694">
        <v>4.4304909999999999E-3</v>
      </c>
      <c r="AA6694">
        <v>0.99198679999999995</v>
      </c>
      <c r="AB6694">
        <v>32</v>
      </c>
      <c r="AC6694">
        <v>41.943300000000001</v>
      </c>
      <c r="AD6694">
        <v>10.738686999999899</v>
      </c>
      <c r="AE6694">
        <v>8.9270899999999997</v>
      </c>
      <c r="AF6694">
        <v>-5.1676261495504496</v>
      </c>
      <c r="AG6694">
        <v>10.738686999999899</v>
      </c>
      <c r="AH6694">
        <v>40.0200380351855</v>
      </c>
      <c r="AI6694">
        <v>75.097651429710396</v>
      </c>
      <c r="AJ6694">
        <v>97.3576605499468</v>
      </c>
      <c r="AK6694">
        <v>41.756762360642597</v>
      </c>
      <c r="AL6694">
        <v>91.010369986195897</v>
      </c>
      <c r="AM6694">
        <v>88.7980996433961</v>
      </c>
      <c r="AN6694">
        <v>1.0000000574344401</v>
      </c>
    </row>
    <row r="6695" spans="1:40" x14ac:dyDescent="0.25">
      <c r="A6695" t="str">
        <f>"20190312161446219"</f>
        <v>20190312161446219</v>
      </c>
      <c r="B6695" t="str">
        <f>"1552378486213658"</f>
        <v>1552378486213658</v>
      </c>
      <c r="C6695" t="s">
        <v>40</v>
      </c>
      <c r="D6695">
        <v>4.491835</v>
      </c>
      <c r="E6695">
        <v>0.44224010000000002</v>
      </c>
      <c r="F6695" t="s">
        <v>59</v>
      </c>
      <c r="G6695">
        <v>-167.99870000000001</v>
      </c>
      <c r="H6695">
        <v>11.88832</v>
      </c>
      <c r="I6695">
        <v>-53.676720000000003</v>
      </c>
      <c r="J6695">
        <v>-209.78579999999999</v>
      </c>
      <c r="K6695">
        <v>1.1132869999999999</v>
      </c>
      <c r="L6695">
        <v>-62.666719999999998</v>
      </c>
      <c r="M6695">
        <v>0.99641279999999999</v>
      </c>
      <c r="N6695">
        <v>0</v>
      </c>
      <c r="O6695">
        <v>8.3318929999999999E-2</v>
      </c>
      <c r="P6695">
        <v>0.99747200000000003</v>
      </c>
      <c r="Q6695">
        <v>-3.2256029999999998E-2</v>
      </c>
      <c r="R6695">
        <v>6.3320349999999997E-2</v>
      </c>
      <c r="S6695">
        <v>2.9933320000000001</v>
      </c>
      <c r="T6695">
        <v>0.76897879999999996</v>
      </c>
      <c r="U6695">
        <v>0.64263919999999997</v>
      </c>
      <c r="V6695">
        <v>2.0160250000000001E-2</v>
      </c>
      <c r="W6695">
        <v>-1.7274899999999999E-2</v>
      </c>
      <c r="X6695">
        <v>0.99964750000000002</v>
      </c>
      <c r="Y6695">
        <v>-0.12637000000000001</v>
      </c>
      <c r="Z6695">
        <v>4.973697E-3</v>
      </c>
      <c r="AA6695">
        <v>0.99197069999999998</v>
      </c>
      <c r="AB6695">
        <v>32</v>
      </c>
      <c r="AC6695">
        <v>41.787099999999903</v>
      </c>
      <c r="AD6695">
        <v>10.775033000000001</v>
      </c>
      <c r="AE6695">
        <v>8.99</v>
      </c>
      <c r="AF6695">
        <v>-5.1494571451321702</v>
      </c>
      <c r="AG6695">
        <v>10.775033000000001</v>
      </c>
      <c r="AH6695">
        <v>39.857988974513397</v>
      </c>
      <c r="AI6695">
        <v>74.991547695159895</v>
      </c>
      <c r="AJ6695">
        <v>97.361556916040698</v>
      </c>
      <c r="AK6695">
        <v>41.608623266494597</v>
      </c>
      <c r="AL6695">
        <v>90.989828105638594</v>
      </c>
      <c r="AM6695">
        <v>88.844652064014099</v>
      </c>
      <c r="AN6695">
        <v>0.99999999105316095</v>
      </c>
    </row>
    <row r="6696" spans="1:40" x14ac:dyDescent="0.25">
      <c r="A6696" t="str">
        <f>"20190312161446230"</f>
        <v>20190312161446230</v>
      </c>
      <c r="B6696" t="str">
        <f>"1552378486223067"</f>
        <v>1552378486223067</v>
      </c>
      <c r="C6696" t="s">
        <v>40</v>
      </c>
      <c r="D6696">
        <v>4.4823659999999999</v>
      </c>
      <c r="E6696">
        <v>0.4425617</v>
      </c>
      <c r="F6696" t="s">
        <v>59</v>
      </c>
      <c r="G6696">
        <v>-167.99870000000001</v>
      </c>
      <c r="H6696">
        <v>11.935420000000001</v>
      </c>
      <c r="I6696">
        <v>-53.608939999999997</v>
      </c>
      <c r="J6696">
        <v>-209.6301</v>
      </c>
      <c r="K6696">
        <v>1.1134040000000001</v>
      </c>
      <c r="L6696">
        <v>-62.651730000000001</v>
      </c>
      <c r="M6696">
        <v>0.99623399999999995</v>
      </c>
      <c r="N6696">
        <v>0</v>
      </c>
      <c r="O6696">
        <v>8.5430119999999998E-2</v>
      </c>
      <c r="P6696">
        <v>0.99730479999999999</v>
      </c>
      <c r="Q6696">
        <v>-3.2075270000000003E-2</v>
      </c>
      <c r="R6696">
        <v>6.5987009999999999E-2</v>
      </c>
      <c r="S6696">
        <v>2.991501</v>
      </c>
      <c r="T6696">
        <v>0.77474390000000004</v>
      </c>
      <c r="U6696">
        <v>0.6484375</v>
      </c>
      <c r="V6696">
        <v>1.9611030000000002E-2</v>
      </c>
      <c r="W6696">
        <v>-1.7096299999999998E-2</v>
      </c>
      <c r="X6696">
        <v>0.99966149999999998</v>
      </c>
      <c r="Y6696">
        <v>-0.12627859999999999</v>
      </c>
      <c r="Z6696">
        <v>5.5511349999999996E-3</v>
      </c>
      <c r="AA6696">
        <v>0.99197930000000001</v>
      </c>
      <c r="AB6696">
        <v>32</v>
      </c>
      <c r="AC6696">
        <v>41.6313999999999</v>
      </c>
      <c r="AD6696">
        <v>10.822016</v>
      </c>
      <c r="AE6696">
        <v>9.0427900000000001</v>
      </c>
      <c r="AF6696">
        <v>-5.1222273161030198</v>
      </c>
      <c r="AG6696">
        <v>10.822016</v>
      </c>
      <c r="AH6696">
        <v>39.690598658930803</v>
      </c>
      <c r="AI6696">
        <v>74.868166602452703</v>
      </c>
      <c r="AJ6696">
        <v>97.353600128597193</v>
      </c>
      <c r="AK6696">
        <v>41.4571690409078</v>
      </c>
      <c r="AL6696">
        <v>90.979593563703901</v>
      </c>
      <c r="AM6696">
        <v>88.876134431354103</v>
      </c>
      <c r="AN6696">
        <v>0.99999999527679995</v>
      </c>
    </row>
    <row r="6697" spans="1:40" x14ac:dyDescent="0.25">
      <c r="A6697" t="str">
        <f>"20190312161446241"</f>
        <v>20190312161446241</v>
      </c>
      <c r="B6697" t="str">
        <f>"1552378486232814"</f>
        <v>1552378486232814</v>
      </c>
      <c r="C6697" t="s">
        <v>40</v>
      </c>
      <c r="D6697">
        <v>4.4236519999999997</v>
      </c>
      <c r="E6697">
        <v>0.44288899999999998</v>
      </c>
      <c r="F6697" t="s">
        <v>59</v>
      </c>
      <c r="G6697">
        <v>-167.99870000000001</v>
      </c>
      <c r="H6697">
        <v>11.96438</v>
      </c>
      <c r="I6697">
        <v>-53.550750000000001</v>
      </c>
      <c r="J6697">
        <v>-209.47800000000001</v>
      </c>
      <c r="K6697">
        <v>1.1135010000000001</v>
      </c>
      <c r="L6697">
        <v>-62.636569999999899</v>
      </c>
      <c r="M6697">
        <v>0.99605670000000002</v>
      </c>
      <c r="N6697">
        <v>0</v>
      </c>
      <c r="O6697">
        <v>8.7474949999999996E-2</v>
      </c>
      <c r="P6697">
        <v>0.99713079999999998</v>
      </c>
      <c r="Q6697">
        <v>-3.2047340000000001E-2</v>
      </c>
      <c r="R6697">
        <v>6.8582089999999998E-2</v>
      </c>
      <c r="S6697">
        <v>2.9899439999999999</v>
      </c>
      <c r="T6697">
        <v>0.77930699999999997</v>
      </c>
      <c r="U6697">
        <v>0.65362549999999997</v>
      </c>
      <c r="V6697">
        <v>1.9066349999999999E-2</v>
      </c>
      <c r="W6697">
        <v>-1.707111E-2</v>
      </c>
      <c r="X6697">
        <v>0.99967249999999996</v>
      </c>
      <c r="Y6697">
        <v>-0.1260493</v>
      </c>
      <c r="Z6697">
        <v>6.1278419999999997E-3</v>
      </c>
      <c r="AA6697">
        <v>0.99200509999999997</v>
      </c>
      <c r="AB6697">
        <v>32</v>
      </c>
      <c r="AC6697">
        <v>41.479299999999903</v>
      </c>
      <c r="AD6697">
        <v>10.8508789999999</v>
      </c>
      <c r="AE6697">
        <v>9.0858199999999893</v>
      </c>
      <c r="AF6697">
        <v>-5.0898207073801096</v>
      </c>
      <c r="AG6697">
        <v>10.8508789999999</v>
      </c>
      <c r="AH6697">
        <v>39.533585409708103</v>
      </c>
      <c r="AI6697">
        <v>74.771642301766306</v>
      </c>
      <c r="AJ6697">
        <v>97.336288366085498</v>
      </c>
      <c r="AK6697">
        <v>41.310437243541799</v>
      </c>
      <c r="AL6697">
        <v>90.978150040460505</v>
      </c>
      <c r="AM6697">
        <v>88.907353204716998</v>
      </c>
      <c r="AN6697">
        <v>1.0000000278776</v>
      </c>
    </row>
    <row r="6698" spans="1:40" x14ac:dyDescent="0.25">
      <c r="A6698" t="str">
        <f>"20190312161446253"</f>
        <v>20190312161446253</v>
      </c>
      <c r="B6698" t="str">
        <f>"1552378486243549"</f>
        <v>1552378486243549</v>
      </c>
      <c r="C6698" t="s">
        <v>40</v>
      </c>
      <c r="D6698">
        <v>4.4158819999999999</v>
      </c>
      <c r="E6698">
        <v>0.44325140000000002</v>
      </c>
      <c r="F6698" t="s">
        <v>59</v>
      </c>
      <c r="G6698">
        <v>-167.99870000000001</v>
      </c>
      <c r="H6698">
        <v>11.992839999999999</v>
      </c>
      <c r="I6698">
        <v>-53.499339999999997</v>
      </c>
      <c r="J6698">
        <v>-209.3229</v>
      </c>
      <c r="K6698">
        <v>1.113585</v>
      </c>
      <c r="L6698">
        <v>-62.620759999999997</v>
      </c>
      <c r="M6698">
        <v>0.99586750000000002</v>
      </c>
      <c r="N6698">
        <v>0</v>
      </c>
      <c r="O6698">
        <v>8.9602139999999997E-2</v>
      </c>
      <c r="P6698">
        <v>0.99694819999999995</v>
      </c>
      <c r="Q6698">
        <v>-3.2176780000000002E-2</v>
      </c>
      <c r="R6698">
        <v>7.1128319999999995E-2</v>
      </c>
      <c r="S6698">
        <v>2.9885410000000001</v>
      </c>
      <c r="T6698">
        <v>0.78384129999999996</v>
      </c>
      <c r="U6698">
        <v>0.65832519999999894</v>
      </c>
      <c r="V6698">
        <v>1.865319E-2</v>
      </c>
      <c r="W6698">
        <v>-1.7204629999999999E-2</v>
      </c>
      <c r="X6698">
        <v>0.99967799999999996</v>
      </c>
      <c r="Y6698">
        <v>-0.12558469999999999</v>
      </c>
      <c r="Z6698">
        <v>6.7613169999999898E-3</v>
      </c>
      <c r="AA6698">
        <v>0.99205989999999999</v>
      </c>
      <c r="AB6698">
        <v>32</v>
      </c>
      <c r="AC6698">
        <v>41.324199999999898</v>
      </c>
      <c r="AD6698">
        <v>10.879255000000001</v>
      </c>
      <c r="AE6698">
        <v>9.1214199999999899</v>
      </c>
      <c r="AF6698">
        <v>-5.0479642017142998</v>
      </c>
      <c r="AG6698">
        <v>10.879255000000001</v>
      </c>
      <c r="AH6698">
        <v>39.373194357427899</v>
      </c>
      <c r="AI6698">
        <v>74.673410116097998</v>
      </c>
      <c r="AJ6698">
        <v>97.305929574040107</v>
      </c>
      <c r="AK6698">
        <v>41.159307159433602</v>
      </c>
      <c r="AL6698">
        <v>90.9858013019889</v>
      </c>
      <c r="AM6698">
        <v>88.931030738452407</v>
      </c>
      <c r="AN6698">
        <v>1.0000000222373</v>
      </c>
    </row>
    <row r="6699" spans="1:40" x14ac:dyDescent="0.25">
      <c r="A6699" t="str">
        <f>"20190312161446263"</f>
        <v>20190312161446263</v>
      </c>
      <c r="B6699" t="str">
        <f>"1552378486253310"</f>
        <v>1552378486253310</v>
      </c>
      <c r="C6699" t="s">
        <v>40</v>
      </c>
      <c r="D6699">
        <v>4.4000519999999996</v>
      </c>
      <c r="E6699">
        <v>0.44362740000000001</v>
      </c>
      <c r="F6699" t="s">
        <v>59</v>
      </c>
      <c r="G6699">
        <v>-167.99870000000001</v>
      </c>
      <c r="H6699">
        <v>12.009740000000001</v>
      </c>
      <c r="I6699">
        <v>-53.450090000000003</v>
      </c>
      <c r="J6699">
        <v>-209.1711</v>
      </c>
      <c r="K6699">
        <v>1.113642</v>
      </c>
      <c r="L6699">
        <v>-62.6049199999999</v>
      </c>
      <c r="M6699">
        <v>0.99567349999999999</v>
      </c>
      <c r="N6699">
        <v>0</v>
      </c>
      <c r="O6699">
        <v>9.1734579999999996E-2</v>
      </c>
      <c r="P6699">
        <v>0.99675020000000003</v>
      </c>
      <c r="Q6699">
        <v>-3.2188139999999997E-2</v>
      </c>
      <c r="R6699">
        <v>7.3844809999999997E-2</v>
      </c>
      <c r="S6699">
        <v>2.9872740000000002</v>
      </c>
      <c r="T6699">
        <v>0.78766550000000002</v>
      </c>
      <c r="U6699">
        <v>0.66293329999999995</v>
      </c>
      <c r="V6699">
        <v>1.807303E-2</v>
      </c>
      <c r="W6699">
        <v>-1.7224079999999999E-2</v>
      </c>
      <c r="X6699">
        <v>0.99968829999999997</v>
      </c>
      <c r="Y6699">
        <v>-0.12508150000000001</v>
      </c>
      <c r="Z6699">
        <v>7.4011789999999999E-3</v>
      </c>
      <c r="AA6699">
        <v>0.99211879999999997</v>
      </c>
      <c r="AB6699">
        <v>32</v>
      </c>
      <c r="AC6699">
        <v>41.172399999999897</v>
      </c>
      <c r="AD6699">
        <v>10.896098</v>
      </c>
      <c r="AE6699">
        <v>9.1548299999999898</v>
      </c>
      <c r="AF6699">
        <v>-5.0048604474619598</v>
      </c>
      <c r="AG6699">
        <v>10.896098</v>
      </c>
      <c r="AH6699">
        <v>39.221134418342203</v>
      </c>
      <c r="AI6699">
        <v>74.5930018474333</v>
      </c>
      <c r="AJ6699">
        <v>97.271996599192704</v>
      </c>
      <c r="AK6699">
        <v>41.013058466613302</v>
      </c>
      <c r="AL6699">
        <v>90.986915891730803</v>
      </c>
      <c r="AM6699">
        <v>88.964281616986099</v>
      </c>
      <c r="AN6699">
        <v>1.0000000002510501</v>
      </c>
    </row>
    <row r="6700" spans="1:40" x14ac:dyDescent="0.25">
      <c r="A6700" t="str">
        <f>"20190312161446274"</f>
        <v>20190312161446274</v>
      </c>
      <c r="B6700" t="str">
        <f>"1552378486263069"</f>
        <v>1552378486263069</v>
      </c>
      <c r="C6700" t="s">
        <v>40</v>
      </c>
      <c r="D6700">
        <v>4.4383869999999996</v>
      </c>
      <c r="E6700">
        <v>0.44400899999999999</v>
      </c>
      <c r="F6700" t="s">
        <v>59</v>
      </c>
      <c r="G6700">
        <v>-167.99870000000001</v>
      </c>
      <c r="H6700">
        <v>12.03288</v>
      </c>
      <c r="I6700">
        <v>-53.400199999999998</v>
      </c>
      <c r="J6700">
        <v>-209.0136</v>
      </c>
      <c r="K6700">
        <v>1.1136820000000001</v>
      </c>
      <c r="L6700">
        <v>-62.588039999999999</v>
      </c>
      <c r="M6700">
        <v>0.9954596</v>
      </c>
      <c r="N6700">
        <v>0</v>
      </c>
      <c r="O6700">
        <v>9.4027910000000006E-2</v>
      </c>
      <c r="P6700">
        <v>0.99655959999999999</v>
      </c>
      <c r="Q6700">
        <v>-3.2082960000000001E-2</v>
      </c>
      <c r="R6700">
        <v>7.6416819999999996E-2</v>
      </c>
      <c r="S6700">
        <v>2.9859010000000001</v>
      </c>
      <c r="T6700">
        <v>0.79187949999999996</v>
      </c>
      <c r="U6700">
        <v>0.66754150000000001</v>
      </c>
      <c r="V6700">
        <v>1.7797520000000001E-2</v>
      </c>
      <c r="W6700">
        <v>-1.7126909999999999E-2</v>
      </c>
      <c r="X6700">
        <v>0.99969490000000005</v>
      </c>
      <c r="Y6700">
        <v>-0.1244357</v>
      </c>
      <c r="Z6700">
        <v>8.1104300000000001E-3</v>
      </c>
      <c r="AA6700">
        <v>0.99219449999999998</v>
      </c>
      <c r="AB6700">
        <v>32</v>
      </c>
      <c r="AC6700">
        <v>41.014899999999898</v>
      </c>
      <c r="AD6700">
        <v>10.919198</v>
      </c>
      <c r="AE6700">
        <v>9.1878399999999996</v>
      </c>
      <c r="AF6700">
        <v>-4.9557013828025802</v>
      </c>
      <c r="AG6700">
        <v>10.919198</v>
      </c>
      <c r="AH6700">
        <v>39.060963771549197</v>
      </c>
      <c r="AI6700">
        <v>74.500269838034598</v>
      </c>
      <c r="AJ6700">
        <v>97.230539989262894</v>
      </c>
      <c r="AK6700">
        <v>40.860087517294801</v>
      </c>
      <c r="AL6700">
        <v>90.981347651560696</v>
      </c>
      <c r="AM6700">
        <v>88.980073750261496</v>
      </c>
      <c r="AN6700">
        <v>0.99999998792515399</v>
      </c>
    </row>
    <row r="6701" spans="1:40" x14ac:dyDescent="0.25">
      <c r="A6701" t="str">
        <f>"20190312161446286"</f>
        <v>20190312161446286</v>
      </c>
      <c r="B6701" t="str">
        <f>"1552378486283565"</f>
        <v>1552378486283565</v>
      </c>
      <c r="C6701" t="s">
        <v>40</v>
      </c>
      <c r="D6701">
        <v>4.6235879999999998</v>
      </c>
      <c r="E6701">
        <v>0.44428230000000002</v>
      </c>
      <c r="F6701" t="s">
        <v>59</v>
      </c>
      <c r="G6701">
        <v>-167.99870000000001</v>
      </c>
      <c r="H6701">
        <v>12.04998</v>
      </c>
      <c r="I6701">
        <v>-53.352379999999997</v>
      </c>
      <c r="J6701">
        <v>-208.85550000000001</v>
      </c>
      <c r="K6701">
        <v>1.113707</v>
      </c>
      <c r="L6701">
        <v>-62.570830000000001</v>
      </c>
      <c r="M6701">
        <v>0.99523479999999998</v>
      </c>
      <c r="N6701">
        <v>0</v>
      </c>
      <c r="O6701">
        <v>9.6380270000000004E-2</v>
      </c>
      <c r="P6701">
        <v>0.99637600000000004</v>
      </c>
      <c r="Q6701">
        <v>-3.1944100000000003E-2</v>
      </c>
      <c r="R6701">
        <v>7.8833130000000001E-2</v>
      </c>
      <c r="S6701">
        <v>2.9844360000000001</v>
      </c>
      <c r="T6701">
        <v>0.79577169999999997</v>
      </c>
      <c r="U6701">
        <v>0.67202759999999995</v>
      </c>
      <c r="V6701">
        <v>1.773636E-2</v>
      </c>
      <c r="W6701">
        <v>-1.6995670000000001E-2</v>
      </c>
      <c r="X6701">
        <v>0.99969819999999998</v>
      </c>
      <c r="Y6701">
        <v>-0.1237061</v>
      </c>
      <c r="Z6701">
        <v>8.8495769999999904E-3</v>
      </c>
      <c r="AA6701">
        <v>0.99227940000000003</v>
      </c>
      <c r="AB6701">
        <v>32</v>
      </c>
      <c r="AC6701">
        <v>40.8567999999999</v>
      </c>
      <c r="AD6701">
        <v>10.936273</v>
      </c>
      <c r="AE6701">
        <v>9.2184500000000007</v>
      </c>
      <c r="AF6701">
        <v>-4.9030258756007301</v>
      </c>
      <c r="AG6701">
        <v>10.936273</v>
      </c>
      <c r="AH6701">
        <v>38.902805325451503</v>
      </c>
      <c r="AI6701">
        <v>74.415606042078295</v>
      </c>
      <c r="AJ6701">
        <v>97.183268388824601</v>
      </c>
      <c r="AK6701">
        <v>40.707124585965502</v>
      </c>
      <c r="AL6701">
        <v>90.973827084759293</v>
      </c>
      <c r="AM6701">
        <v>88.983581277280805</v>
      </c>
      <c r="AN6701">
        <v>0.99999996117401801</v>
      </c>
    </row>
    <row r="6702" spans="1:40" x14ac:dyDescent="0.25">
      <c r="A6702" t="str">
        <f>"20190312161446298"</f>
        <v>20190312161446298</v>
      </c>
      <c r="B6702" t="str">
        <f>"1552378486293324"</f>
        <v>1552378486293324</v>
      </c>
      <c r="C6702" t="s">
        <v>40</v>
      </c>
      <c r="D6702">
        <v>4.4808979999999998</v>
      </c>
      <c r="E6702">
        <v>0.4253111</v>
      </c>
      <c r="F6702" t="s">
        <v>59</v>
      </c>
      <c r="G6702">
        <v>-167.99870000000001</v>
      </c>
      <c r="H6702">
        <v>12.016999999999999</v>
      </c>
      <c r="I6702">
        <v>-53.298650000000002</v>
      </c>
      <c r="J6702">
        <v>-208.69569999999999</v>
      </c>
      <c r="K6702">
        <v>1.1137140000000001</v>
      </c>
      <c r="L6702">
        <v>-62.55283</v>
      </c>
      <c r="M6702">
        <v>0.99501130000000004</v>
      </c>
      <c r="N6702">
        <v>0</v>
      </c>
      <c r="O6702">
        <v>9.8673419999999998E-2</v>
      </c>
      <c r="P6702">
        <v>0.99617679999999997</v>
      </c>
      <c r="Q6702">
        <v>-3.159083E-2</v>
      </c>
      <c r="R6702">
        <v>8.1449549999999996E-2</v>
      </c>
      <c r="S6702">
        <v>2.9828640000000002</v>
      </c>
      <c r="T6702">
        <v>0.79602240000000002</v>
      </c>
      <c r="U6702">
        <v>0.67694089999999996</v>
      </c>
      <c r="V6702">
        <v>1.741436E-2</v>
      </c>
      <c r="W6702">
        <v>-1.6729999999999998E-2</v>
      </c>
      <c r="X6702">
        <v>0.99970840000000005</v>
      </c>
      <c r="Y6702">
        <v>-0.1231788</v>
      </c>
      <c r="Z6702">
        <v>9.5119360000000003E-3</v>
      </c>
      <c r="AA6702">
        <v>0.99233890000000002</v>
      </c>
      <c r="AB6702">
        <v>32</v>
      </c>
      <c r="AC6702">
        <v>40.696999999999903</v>
      </c>
      <c r="AD6702">
        <v>10.903286</v>
      </c>
      <c r="AE6702">
        <v>9.2541799999999999</v>
      </c>
      <c r="AF6702">
        <v>-4.8610983004814399</v>
      </c>
      <c r="AG6702">
        <v>10.903286</v>
      </c>
      <c r="AH6702">
        <v>38.765865876446</v>
      </c>
      <c r="AI6702">
        <v>74.406942615200094</v>
      </c>
      <c r="AJ6702">
        <v>97.147375380078799</v>
      </c>
      <c r="AK6702">
        <v>40.562350516647101</v>
      </c>
      <c r="AL6702">
        <v>90.958603094351105</v>
      </c>
      <c r="AM6702">
        <v>89.002040565739605</v>
      </c>
      <c r="AN6702">
        <v>1.0000000189323801</v>
      </c>
    </row>
    <row r="6703" spans="1:40" x14ac:dyDescent="0.25">
      <c r="A6703" t="str">
        <f>"20190312161446308"</f>
        <v>20190312161446308</v>
      </c>
      <c r="B6703" t="str">
        <f>"1552378486303084"</f>
        <v>1552378486303084</v>
      </c>
      <c r="C6703" t="s">
        <v>40</v>
      </c>
      <c r="D6703">
        <v>4.4816209999999996</v>
      </c>
      <c r="E6703">
        <v>0.41896679999999997</v>
      </c>
      <c r="F6703" t="s">
        <v>59</v>
      </c>
      <c r="G6703">
        <v>-169.244</v>
      </c>
      <c r="H6703">
        <v>7.5467320000000004</v>
      </c>
      <c r="I6703">
        <v>-51.4</v>
      </c>
      <c r="J6703">
        <v>-208.5421</v>
      </c>
      <c r="K6703">
        <v>1.1137159999999999</v>
      </c>
      <c r="L6703">
        <v>-62.535429999999998</v>
      </c>
      <c r="M6703">
        <v>0.99479119999999999</v>
      </c>
      <c r="N6703">
        <v>0</v>
      </c>
      <c r="O6703">
        <v>0.10088229999999999</v>
      </c>
      <c r="P6703">
        <v>0.99600449999999996</v>
      </c>
      <c r="Q6703">
        <v>-3.1253259999999998E-2</v>
      </c>
      <c r="R6703">
        <v>8.3658549999999998E-2</v>
      </c>
      <c r="S6703">
        <v>2.9584350000000001</v>
      </c>
      <c r="T6703">
        <v>0.48240139999999998</v>
      </c>
      <c r="U6703">
        <v>0.83633419999999903</v>
      </c>
      <c r="V6703">
        <v>1.741614E-2</v>
      </c>
      <c r="W6703">
        <v>-1.6481019999999999E-2</v>
      </c>
      <c r="X6703">
        <v>0.9997125</v>
      </c>
      <c r="Y6703">
        <v>-0.17268210000000001</v>
      </c>
      <c r="Z6703">
        <v>2.2368499999999999E-3</v>
      </c>
      <c r="AA6703">
        <v>0.98497500000000004</v>
      </c>
      <c r="AB6703">
        <v>32</v>
      </c>
      <c r="AC6703">
        <v>39.298099999999899</v>
      </c>
      <c r="AD6703">
        <v>6.4330160000000003</v>
      </c>
      <c r="AE6703">
        <v>11.135429999999999</v>
      </c>
      <c r="AF6703">
        <v>-6.9415168734672399</v>
      </c>
      <c r="AG6703">
        <v>6.4330160000000003</v>
      </c>
      <c r="AH6703">
        <v>39.2475125380926</v>
      </c>
      <c r="AI6703">
        <v>80.831312562145996</v>
      </c>
      <c r="AJ6703">
        <v>100.02990183935199</v>
      </c>
      <c r="AK6703">
        <v>40.372460809178101</v>
      </c>
      <c r="AL6703">
        <v>90.944335628559003</v>
      </c>
      <c r="AM6703">
        <v>89.001942672854099</v>
      </c>
      <c r="AN6703">
        <v>1.00000001430449</v>
      </c>
    </row>
    <row r="6704" spans="1:40" x14ac:dyDescent="0.25">
      <c r="A6704" t="str">
        <f>"20190312161446319"</f>
        <v>20190312161446319</v>
      </c>
      <c r="B6704" t="str">
        <f>"1552378486312845"</f>
        <v>1552378486312845</v>
      </c>
      <c r="C6704" t="s">
        <v>40</v>
      </c>
      <c r="D6704">
        <v>4.521299</v>
      </c>
      <c r="E6704">
        <v>0.41373199999999999</v>
      </c>
      <c r="F6704" t="s">
        <v>59</v>
      </c>
      <c r="G6704">
        <v>-166.19829999999999</v>
      </c>
      <c r="H6704">
        <v>6.6740890000000004</v>
      </c>
      <c r="I6704">
        <v>-49.705300000000001</v>
      </c>
      <c r="J6704">
        <v>-208.38399999999999</v>
      </c>
      <c r="K6704">
        <v>1.1136760000000001</v>
      </c>
      <c r="L6704">
        <v>-62.516820000000003</v>
      </c>
      <c r="M6704">
        <v>0.99453009999999997</v>
      </c>
      <c r="N6704">
        <v>0</v>
      </c>
      <c r="O6704">
        <v>0.10342460000000001</v>
      </c>
      <c r="P6704">
        <v>0.99578460000000002</v>
      </c>
      <c r="Q6704">
        <v>-3.1118139999999999E-2</v>
      </c>
      <c r="R6704">
        <v>8.628508E-2</v>
      </c>
      <c r="S6704">
        <v>2.9491420000000002</v>
      </c>
      <c r="T6704">
        <v>0.387264</v>
      </c>
      <c r="U6704">
        <v>0.89358519999999897</v>
      </c>
      <c r="V6704">
        <v>1.7332980000000001E-2</v>
      </c>
      <c r="W6704">
        <v>-1.6347850000000001E-2</v>
      </c>
      <c r="X6704">
        <v>0.9997161</v>
      </c>
      <c r="Y6704">
        <v>-0.1887644</v>
      </c>
      <c r="Z6704">
        <v>1.0901210000000001E-3</v>
      </c>
      <c r="AA6704">
        <v>0.98202179999999994</v>
      </c>
      <c r="AB6704">
        <v>32</v>
      </c>
      <c r="AC6704">
        <v>42.185699999999997</v>
      </c>
      <c r="AD6704">
        <v>5.5604129999999996</v>
      </c>
      <c r="AE6704">
        <v>12.8115199999999</v>
      </c>
      <c r="AF6704">
        <v>-8.2480996572960308</v>
      </c>
      <c r="AG6704">
        <v>5.5604129999999996</v>
      </c>
      <c r="AH6704">
        <v>42.606871503540098</v>
      </c>
      <c r="AI6704">
        <v>82.698681095246599</v>
      </c>
      <c r="AJ6704">
        <v>100.95614743106201</v>
      </c>
      <c r="AK6704">
        <v>43.7526552337848</v>
      </c>
      <c r="AL6704">
        <v>90.936704551393603</v>
      </c>
      <c r="AM6704">
        <v>89.006710897121096</v>
      </c>
      <c r="AN6704">
        <v>0.99999998249725597</v>
      </c>
    </row>
    <row r="6705" spans="1:40" x14ac:dyDescent="0.25">
      <c r="A6705" t="str">
        <f>"20190312161446331"</f>
        <v>20190312161446331</v>
      </c>
      <c r="B6705" t="str">
        <f>"1552378486323203"</f>
        <v>1552378486323203</v>
      </c>
      <c r="C6705" t="s">
        <v>40</v>
      </c>
      <c r="D6705">
        <v>4.4038940000000002</v>
      </c>
      <c r="E6705">
        <v>0.40924949999999999</v>
      </c>
      <c r="F6705" t="s">
        <v>59</v>
      </c>
      <c r="G6705">
        <v>-157.3501</v>
      </c>
      <c r="H6705">
        <v>6.609788</v>
      </c>
      <c r="I6705">
        <v>-46.149630000000002</v>
      </c>
      <c r="J6705">
        <v>-208.23099999999999</v>
      </c>
      <c r="K6705">
        <v>1.11364</v>
      </c>
      <c r="L6705">
        <v>-62.498660000000001</v>
      </c>
      <c r="M6705">
        <v>0.99426479999999995</v>
      </c>
      <c r="N6705">
        <v>0</v>
      </c>
      <c r="O6705">
        <v>0.1059421</v>
      </c>
      <c r="P6705">
        <v>0.99558060000000004</v>
      </c>
      <c r="Q6705">
        <v>-3.1125860000000002E-2</v>
      </c>
      <c r="R6705">
        <v>8.8603849999999998E-2</v>
      </c>
      <c r="S6705">
        <v>2.940887</v>
      </c>
      <c r="T6705">
        <v>0.31671820000000001</v>
      </c>
      <c r="U6705">
        <v>0.94317629999999997</v>
      </c>
      <c r="V6705">
        <v>1.753468E-2</v>
      </c>
      <c r="W6705">
        <v>-1.634642E-2</v>
      </c>
      <c r="X6705">
        <v>0.99971259999999995</v>
      </c>
      <c r="Y6705">
        <v>-0.20227690000000001</v>
      </c>
      <c r="Z6705">
        <v>4.4329649999999999E-4</v>
      </c>
      <c r="AA6705">
        <v>0.97932830000000004</v>
      </c>
      <c r="AB6705">
        <v>32</v>
      </c>
      <c r="AC6705">
        <v>50.880899999999997</v>
      </c>
      <c r="AD6705">
        <v>5.4961479999999998</v>
      </c>
      <c r="AE6705">
        <v>16.349029999999999</v>
      </c>
      <c r="AF6705">
        <v>-10.7522775853769</v>
      </c>
      <c r="AG6705">
        <v>5.4961479999999998</v>
      </c>
      <c r="AH6705">
        <v>51.779099314946997</v>
      </c>
      <c r="AI6705">
        <v>84.066611526629401</v>
      </c>
      <c r="AJ6705">
        <v>101.731129072613</v>
      </c>
      <c r="AK6705">
        <v>53.168545607135499</v>
      </c>
      <c r="AL6705">
        <v>90.936622613072899</v>
      </c>
      <c r="AM6705">
        <v>88.995151053751698</v>
      </c>
      <c r="AN6705">
        <v>0.99999997652413897</v>
      </c>
    </row>
    <row r="6706" spans="1:40" x14ac:dyDescent="0.25">
      <c r="A6706" t="str">
        <f>"20190312161446341"</f>
        <v>20190312161446341</v>
      </c>
      <c r="B6706" t="str">
        <f>"1552378486332952"</f>
        <v>1552378486332952</v>
      </c>
      <c r="C6706" t="s">
        <v>40</v>
      </c>
      <c r="D6706">
        <v>4.5259559999999999</v>
      </c>
      <c r="E6706">
        <v>0.40814780000000001</v>
      </c>
      <c r="F6706" t="s">
        <v>59</v>
      </c>
      <c r="G6706">
        <v>-157.3501</v>
      </c>
      <c r="H6706">
        <v>5.9095550000000001</v>
      </c>
      <c r="I6706">
        <v>-45.404350000000001</v>
      </c>
      <c r="J6706">
        <v>-208.0787</v>
      </c>
      <c r="K6706">
        <v>1.1136079999999999</v>
      </c>
      <c r="L6706">
        <v>-62.480069999999998</v>
      </c>
      <c r="M6706">
        <v>0.99397780000000002</v>
      </c>
      <c r="N6706">
        <v>0</v>
      </c>
      <c r="O6706">
        <v>0.1085985</v>
      </c>
      <c r="P6706">
        <v>0.99535759999999995</v>
      </c>
      <c r="Q6706">
        <v>-3.1350429999999999E-2</v>
      </c>
      <c r="R6706">
        <v>9.0996750000000001E-2</v>
      </c>
      <c r="S6706">
        <v>2.93425</v>
      </c>
      <c r="T6706">
        <v>0.27657389999999998</v>
      </c>
      <c r="U6706">
        <v>0.9858093</v>
      </c>
      <c r="V6706">
        <v>1.7802720000000001E-2</v>
      </c>
      <c r="W6706">
        <v>-1.6539729999999999E-2</v>
      </c>
      <c r="X6706">
        <v>0.9997047</v>
      </c>
      <c r="Y6706">
        <v>-0.21321999999999999</v>
      </c>
      <c r="Z6706">
        <v>1.246706E-4</v>
      </c>
      <c r="AA6706">
        <v>0.97700419999999999</v>
      </c>
      <c r="AB6706">
        <v>32</v>
      </c>
      <c r="AC6706">
        <v>50.7286</v>
      </c>
      <c r="AD6706">
        <v>4.795947</v>
      </c>
      <c r="AE6706">
        <v>17.075719999999901</v>
      </c>
      <c r="AF6706">
        <v>-11.3737534812169</v>
      </c>
      <c r="AG6706">
        <v>4.795947</v>
      </c>
      <c r="AH6706">
        <v>51.866701287187603</v>
      </c>
      <c r="AI6706">
        <v>84.839012112159693</v>
      </c>
      <c r="AJ6706">
        <v>102.368510167087</v>
      </c>
      <c r="AK6706">
        <v>53.315270591948199</v>
      </c>
      <c r="AL6706">
        <v>90.947699942154102</v>
      </c>
      <c r="AM6706">
        <v>88.979785814772399</v>
      </c>
      <c r="AN6706">
        <v>0.99999999335498002</v>
      </c>
    </row>
    <row r="6707" spans="1:40" x14ac:dyDescent="0.25">
      <c r="A6707" t="str">
        <f>"20190312161446353"</f>
        <v>20190312161446353</v>
      </c>
      <c r="B6707" t="str">
        <f>"1552378486343687"</f>
        <v>1552378486343687</v>
      </c>
      <c r="C6707" t="s">
        <v>40</v>
      </c>
      <c r="D6707">
        <v>4.5043509999999998</v>
      </c>
      <c r="E6707">
        <v>0.40747749999999999</v>
      </c>
      <c r="F6707" t="s">
        <v>59</v>
      </c>
      <c r="G6707">
        <v>-157.3501</v>
      </c>
      <c r="H6707">
        <v>5.3213239999999997</v>
      </c>
      <c r="I6707">
        <v>-45.136719999999997</v>
      </c>
      <c r="J6707">
        <v>-207.9265</v>
      </c>
      <c r="K6707">
        <v>1.1136029999999999</v>
      </c>
      <c r="L6707">
        <v>-62.461179999999999</v>
      </c>
      <c r="M6707">
        <v>0.99368330000000005</v>
      </c>
      <c r="N6707">
        <v>0</v>
      </c>
      <c r="O6707">
        <v>0.1112581</v>
      </c>
      <c r="P6707">
        <v>0.99511249999999996</v>
      </c>
      <c r="Q6707">
        <v>-3.1535849999999997E-2</v>
      </c>
      <c r="R6707">
        <v>9.3576619999999999E-2</v>
      </c>
      <c r="S6707">
        <v>2.9300540000000002</v>
      </c>
      <c r="T6707">
        <v>0.24303359999999999</v>
      </c>
      <c r="U6707">
        <v>1.0017400000000001</v>
      </c>
      <c r="V6707">
        <v>1.7887489999999999E-2</v>
      </c>
      <c r="W6707">
        <v>-1.6705310000000001E-2</v>
      </c>
      <c r="X6707">
        <v>0.99970040000000004</v>
      </c>
      <c r="Y6707">
        <v>-0.2158851</v>
      </c>
      <c r="Z6707">
        <v>2.1299630000000001E-4</v>
      </c>
      <c r="AA6707">
        <v>0.97641880000000003</v>
      </c>
      <c r="AB6707">
        <v>32</v>
      </c>
      <c r="AC6707">
        <v>50.5764</v>
      </c>
      <c r="AD6707">
        <v>4.2077209999999896</v>
      </c>
      <c r="AE6707">
        <v>17.324459999999998</v>
      </c>
      <c r="AF6707">
        <v>-11.5178900878443</v>
      </c>
      <c r="AG6707">
        <v>4.2077209999999896</v>
      </c>
      <c r="AH6707">
        <v>51.868717512791598</v>
      </c>
      <c r="AI6707">
        <v>85.471997005914005</v>
      </c>
      <c r="AJ6707">
        <v>102.51986875191901</v>
      </c>
      <c r="AK6707">
        <v>53.2985043365316</v>
      </c>
      <c r="AL6707">
        <v>90.957188320541704</v>
      </c>
      <c r="AM6707">
        <v>88.974924556242499</v>
      </c>
      <c r="AN6707">
        <v>0.99999995972042699</v>
      </c>
    </row>
    <row r="6708" spans="1:40" x14ac:dyDescent="0.25">
      <c r="A6708" t="str">
        <f>"20190312161446364"</f>
        <v>20190312161446364</v>
      </c>
      <c r="B6708" t="str">
        <f>"1552378486353447"</f>
        <v>1552378486353447</v>
      </c>
      <c r="C6708" t="s">
        <v>40</v>
      </c>
      <c r="D6708">
        <v>4.5225999999999997</v>
      </c>
      <c r="E6708">
        <v>0.40705140000000001</v>
      </c>
      <c r="F6708" t="s">
        <v>59</v>
      </c>
      <c r="G6708">
        <v>-157.3501</v>
      </c>
      <c r="H6708">
        <v>4.9360210000000002</v>
      </c>
      <c r="I6708">
        <v>-44.924430000000001</v>
      </c>
      <c r="J6708">
        <v>-207.7706</v>
      </c>
      <c r="K6708">
        <v>1.1136280000000001</v>
      </c>
      <c r="L6708">
        <v>-62.441409999999998</v>
      </c>
      <c r="M6708">
        <v>0.99337379999999997</v>
      </c>
      <c r="N6708">
        <v>0</v>
      </c>
      <c r="O6708">
        <v>0.11398800000000001</v>
      </c>
      <c r="P6708">
        <v>0.99488270000000001</v>
      </c>
      <c r="Q6708">
        <v>-3.169947E-2</v>
      </c>
      <c r="R6708">
        <v>9.593641E-2</v>
      </c>
      <c r="S6708">
        <v>2.926361</v>
      </c>
      <c r="T6708">
        <v>0.22116469999999999</v>
      </c>
      <c r="U6708">
        <v>1.0146790000000001</v>
      </c>
      <c r="V6708">
        <v>1.8265770000000001E-2</v>
      </c>
      <c r="W6708">
        <v>-1.6858049999999999E-2</v>
      </c>
      <c r="X6708">
        <v>0.999691</v>
      </c>
      <c r="Y6708">
        <v>-0.21749599999999999</v>
      </c>
      <c r="Z6708">
        <v>3.317948E-4</v>
      </c>
      <c r="AA6708">
        <v>0.97606119999999996</v>
      </c>
      <c r="AB6708">
        <v>31</v>
      </c>
      <c r="AC6708">
        <v>50.420499999999997</v>
      </c>
      <c r="AD6708">
        <v>3.8223929999999999</v>
      </c>
      <c r="AE6708">
        <v>17.516979999999901</v>
      </c>
      <c r="AF6708">
        <v>-11.595367640447501</v>
      </c>
      <c r="AG6708">
        <v>3.8223929999999999</v>
      </c>
      <c r="AH6708">
        <v>51.822974972609103</v>
      </c>
      <c r="AI6708">
        <v>85.883013623362203</v>
      </c>
      <c r="AJ6708">
        <v>102.612172359049</v>
      </c>
      <c r="AK6708">
        <v>53.241750290305603</v>
      </c>
      <c r="AL6708">
        <v>90.965940906843798</v>
      </c>
      <c r="AM6708">
        <v>88.953241459604001</v>
      </c>
      <c r="AN6708">
        <v>0.99999996384224699</v>
      </c>
    </row>
    <row r="6709" spans="1:40" x14ac:dyDescent="0.25">
      <c r="A6709" t="str">
        <f>"20190312161446376"</f>
        <v>20190312161446376</v>
      </c>
      <c r="B6709" t="str">
        <f>"1552378486372968"</f>
        <v>1552378486372968</v>
      </c>
      <c r="C6709" t="s">
        <v>40</v>
      </c>
      <c r="D6709">
        <v>4.5157040000000004</v>
      </c>
      <c r="E6709">
        <v>0.40660829999999998</v>
      </c>
      <c r="F6709" t="s">
        <v>59</v>
      </c>
      <c r="G6709">
        <v>-157.3501</v>
      </c>
      <c r="H6709">
        <v>4.6999219999999999</v>
      </c>
      <c r="I6709">
        <v>-44.761360000000003</v>
      </c>
      <c r="J6709">
        <v>-207.6103</v>
      </c>
      <c r="K6709">
        <v>1.1136900000000001</v>
      </c>
      <c r="L6709">
        <v>-62.420499999999997</v>
      </c>
      <c r="M6709">
        <v>0.9930544</v>
      </c>
      <c r="N6709">
        <v>0</v>
      </c>
      <c r="O6709">
        <v>0.11673749999999999</v>
      </c>
      <c r="P6709">
        <v>0.99464850000000005</v>
      </c>
      <c r="Q6709">
        <v>-3.1705219999999999E-2</v>
      </c>
      <c r="R6709">
        <v>9.8332050000000004E-2</v>
      </c>
      <c r="S6709">
        <v>2.923203</v>
      </c>
      <c r="T6709">
        <v>0.2079192</v>
      </c>
      <c r="U6709">
        <v>1.0250239999999999</v>
      </c>
      <c r="V6709">
        <v>1.8628599999999999E-2</v>
      </c>
      <c r="W6709">
        <v>-1.686497E-2</v>
      </c>
      <c r="X6709">
        <v>0.99968420000000002</v>
      </c>
      <c r="Y6709">
        <v>-0.21823480000000001</v>
      </c>
      <c r="Z6709">
        <v>4.7313329999999998E-4</v>
      </c>
      <c r="AA6709">
        <v>0.97589619999999999</v>
      </c>
      <c r="AB6709">
        <v>31</v>
      </c>
      <c r="AC6709">
        <v>50.260199999999998</v>
      </c>
      <c r="AD6709">
        <v>3.5862319999999999</v>
      </c>
      <c r="AE6709">
        <v>17.659140000000001</v>
      </c>
      <c r="AF6709">
        <v>-11.617842848827699</v>
      </c>
      <c r="AG6709">
        <v>3.5862319999999999</v>
      </c>
      <c r="AH6709">
        <v>51.743698548145296</v>
      </c>
      <c r="AI6709">
        <v>86.131318695797205</v>
      </c>
      <c r="AJ6709">
        <v>102.654570506688</v>
      </c>
      <c r="AK6709">
        <v>53.153040099877799</v>
      </c>
      <c r="AL6709">
        <v>90.966337438431793</v>
      </c>
      <c r="AM6709">
        <v>88.932446225043904</v>
      </c>
      <c r="AN6709">
        <v>0.99999997584035005</v>
      </c>
    </row>
    <row r="6710" spans="1:40" x14ac:dyDescent="0.25">
      <c r="A6710" t="str">
        <f>"20190312161446387"</f>
        <v>20190312161446387</v>
      </c>
      <c r="B6710" t="str">
        <f>"1552378486383703"</f>
        <v>1552378486383703</v>
      </c>
      <c r="C6710" t="s">
        <v>40</v>
      </c>
      <c r="D6710">
        <v>4.5173430000000003</v>
      </c>
      <c r="E6710">
        <v>0.40656300000000001</v>
      </c>
      <c r="F6710" t="s">
        <v>59</v>
      </c>
      <c r="G6710">
        <v>-157.3501</v>
      </c>
      <c r="H6710">
        <v>4.3416300000000003</v>
      </c>
      <c r="I6710">
        <v>-44.595660000000002</v>
      </c>
      <c r="J6710">
        <v>-207.45320000000001</v>
      </c>
      <c r="K6710">
        <v>1.1137699999999999</v>
      </c>
      <c r="L6710">
        <v>-62.399749999999997</v>
      </c>
      <c r="M6710">
        <v>0.99273739999999999</v>
      </c>
      <c r="N6710">
        <v>0</v>
      </c>
      <c r="O6710">
        <v>0.11940580000000001</v>
      </c>
      <c r="P6710">
        <v>0.99438950000000004</v>
      </c>
      <c r="Q6710">
        <v>-3.1977930000000002E-2</v>
      </c>
      <c r="R6710">
        <v>0.1008319</v>
      </c>
      <c r="S6710">
        <v>2.9197540000000002</v>
      </c>
      <c r="T6710">
        <v>0.1875185</v>
      </c>
      <c r="U6710">
        <v>1.0354920000000001</v>
      </c>
      <c r="V6710">
        <v>1.880778E-2</v>
      </c>
      <c r="W6710">
        <v>-1.714653E-2</v>
      </c>
      <c r="X6710">
        <v>0.99967609999999996</v>
      </c>
      <c r="Y6710">
        <v>-0.21912880000000001</v>
      </c>
      <c r="Z6710">
        <v>5.6242939999999995E-4</v>
      </c>
      <c r="AA6710">
        <v>0.9756958</v>
      </c>
      <c r="AB6710">
        <v>31</v>
      </c>
      <c r="AC6710">
        <v>50.103099999999998</v>
      </c>
      <c r="AD6710">
        <v>3.22785999999999</v>
      </c>
      <c r="AE6710">
        <v>17.804089999999999</v>
      </c>
      <c r="AF6710">
        <v>-11.650506693299601</v>
      </c>
      <c r="AG6710">
        <v>3.22785999999999</v>
      </c>
      <c r="AH6710">
        <v>51.680251628277297</v>
      </c>
      <c r="AI6710">
        <v>86.513322003331893</v>
      </c>
      <c r="AJ6710">
        <v>102.704071453401</v>
      </c>
      <c r="AK6710">
        <v>53.075434946425801</v>
      </c>
      <c r="AL6710">
        <v>90.982471927864196</v>
      </c>
      <c r="AM6710">
        <v>88.922171592225297</v>
      </c>
      <c r="AN6710">
        <v>1.0000000204953801</v>
      </c>
    </row>
    <row r="6711" spans="1:40" x14ac:dyDescent="0.25">
      <c r="A6711" t="str">
        <f>"20190312161446399"</f>
        <v>20190312161446399</v>
      </c>
      <c r="B6711" t="str">
        <f>"1552378486393463"</f>
        <v>1552378486393463</v>
      </c>
      <c r="C6711" t="s">
        <v>40</v>
      </c>
      <c r="D6711">
        <v>4.5560720000000003</v>
      </c>
      <c r="E6711">
        <v>0.40653089999999997</v>
      </c>
      <c r="F6711" t="s">
        <v>59</v>
      </c>
      <c r="G6711">
        <v>-157.3501</v>
      </c>
      <c r="H6711">
        <v>4.2311870000000003</v>
      </c>
      <c r="I6711">
        <v>-44.4833</v>
      </c>
      <c r="J6711">
        <v>-207.29499999999999</v>
      </c>
      <c r="K6711">
        <v>1.1138629999999901</v>
      </c>
      <c r="L6711">
        <v>-62.378050000000002</v>
      </c>
      <c r="M6711">
        <v>0.99241599999999996</v>
      </c>
      <c r="N6711">
        <v>0</v>
      </c>
      <c r="O6711">
        <v>0.1220507</v>
      </c>
      <c r="P6711">
        <v>0.99415189999999998</v>
      </c>
      <c r="Q6711">
        <v>-3.1914669999999999E-2</v>
      </c>
      <c r="R6711">
        <v>0.1031671</v>
      </c>
      <c r="S6711">
        <v>2.916992</v>
      </c>
      <c r="T6711">
        <v>0.18149399999999999</v>
      </c>
      <c r="U6711">
        <v>1.043091</v>
      </c>
      <c r="V6711">
        <v>1.9127559999999998E-2</v>
      </c>
      <c r="W6711">
        <v>-1.709366E-2</v>
      </c>
      <c r="X6711">
        <v>0.99967090000000003</v>
      </c>
      <c r="Y6711">
        <v>-0.21909129999999999</v>
      </c>
      <c r="Z6711">
        <v>7.0245520000000001E-4</v>
      </c>
      <c r="AA6711">
        <v>0.97570409999999996</v>
      </c>
      <c r="AB6711">
        <v>31</v>
      </c>
      <c r="AC6711">
        <v>49.944899999999897</v>
      </c>
      <c r="AD6711">
        <v>3.117324</v>
      </c>
      <c r="AE6711">
        <v>17.894749999999998</v>
      </c>
      <c r="AF6711">
        <v>-11.624342364661199</v>
      </c>
      <c r="AG6711">
        <v>3.117324</v>
      </c>
      <c r="AH6711">
        <v>51.577655522282299</v>
      </c>
      <c r="AI6711">
        <v>86.625715775463505</v>
      </c>
      <c r="AJ6711">
        <v>102.700862320486</v>
      </c>
      <c r="AK6711">
        <v>52.963172049142301</v>
      </c>
      <c r="AL6711">
        <v>90.979442293219094</v>
      </c>
      <c r="AM6711">
        <v>88.903844506913998</v>
      </c>
      <c r="AN6711">
        <v>0.999999982535279</v>
      </c>
    </row>
    <row r="6712" spans="1:40" x14ac:dyDescent="0.25">
      <c r="A6712" t="str">
        <f>"20190312161446411"</f>
        <v>20190312161446411</v>
      </c>
      <c r="B6712" t="str">
        <f>"1552378486403224"</f>
        <v>1552378486403224</v>
      </c>
      <c r="C6712" t="s">
        <v>40</v>
      </c>
      <c r="D6712">
        <v>4.5577449999999997</v>
      </c>
      <c r="E6712">
        <v>0.40659299999999998</v>
      </c>
      <c r="F6712" t="s">
        <v>59</v>
      </c>
      <c r="G6712">
        <v>-157.3501</v>
      </c>
      <c r="H6712">
        <v>4.1405719999999997</v>
      </c>
      <c r="I6712">
        <v>-44.382750000000001</v>
      </c>
      <c r="J6712">
        <v>-207.1388</v>
      </c>
      <c r="K6712">
        <v>1.1139540000000001</v>
      </c>
      <c r="L6712">
        <v>-62.356409999999997</v>
      </c>
      <c r="M6712">
        <v>0.99209150000000002</v>
      </c>
      <c r="N6712">
        <v>0</v>
      </c>
      <c r="O6712">
        <v>0.1246636</v>
      </c>
      <c r="P6712">
        <v>0.9938998</v>
      </c>
      <c r="Q6712">
        <v>-3.1860289999999999E-2</v>
      </c>
      <c r="R6712">
        <v>0.10558620000000001</v>
      </c>
      <c r="S6712">
        <v>2.9143520000000001</v>
      </c>
      <c r="T6712">
        <v>0.176611299999999</v>
      </c>
      <c r="U6712">
        <v>1.050049</v>
      </c>
      <c r="V6712">
        <v>1.9330690000000001E-2</v>
      </c>
      <c r="W6712">
        <v>-1.7050849999999999E-2</v>
      </c>
      <c r="X6712">
        <v>0.9996678</v>
      </c>
      <c r="Y6712">
        <v>-0.21887899999999999</v>
      </c>
      <c r="Z6712">
        <v>8.407547E-4</v>
      </c>
      <c r="AA6712">
        <v>0.97575160000000005</v>
      </c>
      <c r="AB6712">
        <v>31</v>
      </c>
      <c r="AC6712">
        <v>49.788699999999999</v>
      </c>
      <c r="AD6712">
        <v>3.026618</v>
      </c>
      <c r="AE6712">
        <v>17.973659999999899</v>
      </c>
      <c r="AF6712">
        <v>-11.588032996249099</v>
      </c>
      <c r="AG6712">
        <v>3.026618</v>
      </c>
      <c r="AH6712">
        <v>51.472839571980799</v>
      </c>
      <c r="AI6712">
        <v>86.716851375452606</v>
      </c>
      <c r="AJ6712">
        <v>102.687422645395</v>
      </c>
      <c r="AK6712">
        <v>52.847858413023303</v>
      </c>
      <c r="AL6712">
        <v>90.976989028895105</v>
      </c>
      <c r="AM6712">
        <v>88.892203055426194</v>
      </c>
      <c r="AN6712">
        <v>1.0000000587092099</v>
      </c>
    </row>
    <row r="6713" spans="1:40" x14ac:dyDescent="0.25">
      <c r="A6713" t="str">
        <f>"20190312161446420"</f>
        <v>20190312161446420</v>
      </c>
      <c r="B6713" t="str">
        <f>"1552378486412984"</f>
        <v>1552378486412984</v>
      </c>
      <c r="C6713" t="s">
        <v>40</v>
      </c>
      <c r="D6713">
        <v>4.5230389999999998</v>
      </c>
      <c r="E6713">
        <v>0.40659469999999998</v>
      </c>
      <c r="F6713" t="s">
        <v>59</v>
      </c>
      <c r="G6713">
        <v>-157.3501</v>
      </c>
      <c r="H6713">
        <v>4.0725280000000001</v>
      </c>
      <c r="I6713">
        <v>-44.291519999999998</v>
      </c>
      <c r="J6713">
        <v>-206.9915</v>
      </c>
      <c r="K6713">
        <v>1.1140300000000001</v>
      </c>
      <c r="L6713">
        <v>-62.3354199999999</v>
      </c>
      <c r="M6713">
        <v>0.99177539999999997</v>
      </c>
      <c r="N6713">
        <v>0</v>
      </c>
      <c r="O6713">
        <v>0.12715470000000001</v>
      </c>
      <c r="P6713">
        <v>0.99368469999999998</v>
      </c>
      <c r="Q6713">
        <v>-3.1797949999999998E-2</v>
      </c>
      <c r="R6713">
        <v>0.1076091</v>
      </c>
      <c r="S6713">
        <v>2.9117130000000002</v>
      </c>
      <c r="T6713">
        <v>0.17302000000000001</v>
      </c>
      <c r="U6713">
        <v>1.0564579999999999</v>
      </c>
      <c r="V6713">
        <v>1.9809190000000001E-2</v>
      </c>
      <c r="W6713">
        <v>-1.6995110000000001E-2</v>
      </c>
      <c r="X6713">
        <v>0.99965930000000003</v>
      </c>
      <c r="Y6713">
        <v>-0.21862000000000001</v>
      </c>
      <c r="Z6713">
        <v>9.7221510000000005E-4</v>
      </c>
      <c r="AA6713">
        <v>0.97580960000000005</v>
      </c>
      <c r="AB6713">
        <v>31</v>
      </c>
      <c r="AC6713">
        <v>49.641399999999997</v>
      </c>
      <c r="AD6713">
        <v>2.9584980000000001</v>
      </c>
      <c r="AE6713">
        <v>18.043899999999901</v>
      </c>
      <c r="AF6713">
        <v>-11.548362881606799</v>
      </c>
      <c r="AG6713">
        <v>2.9584980000000001</v>
      </c>
      <c r="AH6713">
        <v>51.371809901071899</v>
      </c>
      <c r="AI6713">
        <v>86.7840639522272</v>
      </c>
      <c r="AJ6713">
        <v>102.669454818745</v>
      </c>
      <c r="AK6713">
        <v>52.736896459434803</v>
      </c>
      <c r="AL6713">
        <v>90.973794979147499</v>
      </c>
      <c r="AM6713">
        <v>88.864778771064707</v>
      </c>
      <c r="AN6713">
        <v>0.99999997692442799</v>
      </c>
    </row>
    <row r="6714" spans="1:40" x14ac:dyDescent="0.25">
      <c r="A6714" t="str">
        <f>"20190312161446431"</f>
        <v>20190312161446431</v>
      </c>
      <c r="B6714" t="str">
        <f>"1552378486423504"</f>
        <v>1552378486423504</v>
      </c>
      <c r="C6714" t="s">
        <v>40</v>
      </c>
      <c r="D6714">
        <v>4.5501849999999999</v>
      </c>
      <c r="E6714">
        <v>0.40665620000000002</v>
      </c>
      <c r="F6714" t="s">
        <v>59</v>
      </c>
      <c r="G6714">
        <v>-157.3501</v>
      </c>
      <c r="H6714">
        <v>4.0107439999999999</v>
      </c>
      <c r="I6714">
        <v>-44.211150000000004</v>
      </c>
      <c r="J6714">
        <v>-206.8424</v>
      </c>
      <c r="K6714">
        <v>1.1141049999999999</v>
      </c>
      <c r="L6714">
        <v>-62.313809999999997</v>
      </c>
      <c r="M6714">
        <v>0.99144580000000004</v>
      </c>
      <c r="N6714">
        <v>0</v>
      </c>
      <c r="O6714">
        <v>0.1297017</v>
      </c>
      <c r="P6714">
        <v>0.99342900000000001</v>
      </c>
      <c r="Q6714">
        <v>-3.1670249999999997E-2</v>
      </c>
      <c r="R6714">
        <v>0.10998090000000001</v>
      </c>
      <c r="S6714">
        <v>2.9094699999999998</v>
      </c>
      <c r="T6714">
        <v>0.16977410000000001</v>
      </c>
      <c r="U6714">
        <v>1.0622560000000001</v>
      </c>
      <c r="V6714">
        <v>1.9992820000000001E-2</v>
      </c>
      <c r="W6714">
        <v>-1.6876329999999998E-2</v>
      </c>
      <c r="X6714">
        <v>0.99965769999999998</v>
      </c>
      <c r="Y6714">
        <v>-0.21808169999999999</v>
      </c>
      <c r="Z6714">
        <v>1.110717E-3</v>
      </c>
      <c r="AA6714">
        <v>0.97592990000000002</v>
      </c>
      <c r="AB6714">
        <v>31</v>
      </c>
      <c r="AC6714">
        <v>49.4923</v>
      </c>
      <c r="AD6714">
        <v>2.896639</v>
      </c>
      <c r="AE6714">
        <v>18.10266</v>
      </c>
      <c r="AF6714">
        <v>-11.4950678649219</v>
      </c>
      <c r="AG6714">
        <v>2.896639</v>
      </c>
      <c r="AH6714">
        <v>51.267457336860602</v>
      </c>
      <c r="AI6714">
        <v>86.844380877722799</v>
      </c>
      <c r="AJ6714">
        <v>102.637709932756</v>
      </c>
      <c r="AK6714">
        <v>52.620141433697299</v>
      </c>
      <c r="AL6714">
        <v>90.966988368184204</v>
      </c>
      <c r="AM6714">
        <v>88.8542562975138</v>
      </c>
      <c r="AN6714">
        <v>1.0000000202675501</v>
      </c>
    </row>
    <row r="6715" spans="1:40" x14ac:dyDescent="0.25">
      <c r="A6715" t="str">
        <f>"20190312161446442"</f>
        <v>20190312161446442</v>
      </c>
      <c r="B6715" t="str">
        <f>"1552378486433256"</f>
        <v>1552378486433256</v>
      </c>
      <c r="C6715" t="s">
        <v>40</v>
      </c>
      <c r="D6715">
        <v>4.5546689999999996</v>
      </c>
      <c r="E6715">
        <v>0.4067849</v>
      </c>
      <c r="F6715" t="s">
        <v>59</v>
      </c>
      <c r="G6715">
        <v>-157.3501</v>
      </c>
      <c r="H6715">
        <v>3.959635</v>
      </c>
      <c r="I6715">
        <v>-44.119610000000002</v>
      </c>
      <c r="J6715">
        <v>-206.69120000000001</v>
      </c>
      <c r="K6715">
        <v>1.1141700000000001</v>
      </c>
      <c r="L6715">
        <v>-62.291379999999997</v>
      </c>
      <c r="M6715">
        <v>0.99109789999999998</v>
      </c>
      <c r="N6715">
        <v>0</v>
      </c>
      <c r="O6715">
        <v>0.13233510000000001</v>
      </c>
      <c r="P6715">
        <v>0.99315940000000003</v>
      </c>
      <c r="Q6715">
        <v>-3.1815959999999997E-2</v>
      </c>
      <c r="R6715">
        <v>0.1123489</v>
      </c>
      <c r="S6715">
        <v>2.9068450000000001</v>
      </c>
      <c r="T6715">
        <v>0.16712579999999999</v>
      </c>
      <c r="U6715">
        <v>1.0686040000000001</v>
      </c>
      <c r="V6715">
        <v>2.0268850000000001E-2</v>
      </c>
      <c r="W6715">
        <v>-1.702822E-2</v>
      </c>
      <c r="X6715">
        <v>0.99964949999999997</v>
      </c>
      <c r="Y6715">
        <v>-0.2176601</v>
      </c>
      <c r="Z6715">
        <v>1.249296E-3</v>
      </c>
      <c r="AA6715">
        <v>0.97602390000000006</v>
      </c>
      <c r="AB6715">
        <v>31</v>
      </c>
      <c r="AC6715">
        <v>49.341099999999997</v>
      </c>
      <c r="AD6715">
        <v>2.8454649999999999</v>
      </c>
      <c r="AE6715">
        <v>18.171769999999999</v>
      </c>
      <c r="AF6715">
        <v>-11.448136755312699</v>
      </c>
      <c r="AG6715">
        <v>2.8454649999999999</v>
      </c>
      <c r="AH6715">
        <v>51.162242465480404</v>
      </c>
      <c r="AI6715">
        <v>86.893356194780097</v>
      </c>
      <c r="AJ6715">
        <v>102.61282048551099</v>
      </c>
      <c r="AK6715">
        <v>52.504586088561602</v>
      </c>
      <c r="AL6715">
        <v>90.975692338695595</v>
      </c>
      <c r="AM6715">
        <v>88.838432415806295</v>
      </c>
      <c r="AN6715">
        <v>0.99999995470346903</v>
      </c>
    </row>
    <row r="6716" spans="1:40" x14ac:dyDescent="0.25">
      <c r="A6716" t="str">
        <f>"20190312161446453"</f>
        <v>20190312161446453</v>
      </c>
      <c r="B6716" t="str">
        <f>"1552378486443016"</f>
        <v>1552378486443016</v>
      </c>
      <c r="C6716" t="s">
        <v>40</v>
      </c>
      <c r="D6716">
        <v>4.5984619999999996</v>
      </c>
      <c r="E6716">
        <v>0.40690569999999998</v>
      </c>
      <c r="F6716" t="s">
        <v>59</v>
      </c>
      <c r="G6716">
        <v>-157.3501</v>
      </c>
      <c r="H6716">
        <v>3.8976929999999999</v>
      </c>
      <c r="I6716">
        <v>-44.03819</v>
      </c>
      <c r="J6716">
        <v>-206.5394</v>
      </c>
      <c r="K6716">
        <v>1.1142350000000001</v>
      </c>
      <c r="L6716">
        <v>-62.268459999999997</v>
      </c>
      <c r="M6716">
        <v>0.99073500000000003</v>
      </c>
      <c r="N6716">
        <v>0</v>
      </c>
      <c r="O6716">
        <v>0.13502610000000001</v>
      </c>
      <c r="P6716">
        <v>0.99288489999999996</v>
      </c>
      <c r="Q6716">
        <v>-3.2017110000000001E-2</v>
      </c>
      <c r="R6716">
        <v>0.1146937</v>
      </c>
      <c r="S6716">
        <v>2.9043580000000002</v>
      </c>
      <c r="T6716">
        <v>0.1638445</v>
      </c>
      <c r="U6716">
        <v>1.0744320000000001</v>
      </c>
      <c r="V6716">
        <v>2.062638E-2</v>
      </c>
      <c r="W6716">
        <v>-1.723276E-2</v>
      </c>
      <c r="X6716">
        <v>0.99963869999999999</v>
      </c>
      <c r="Y6716">
        <v>-0.2170137</v>
      </c>
      <c r="Z6716">
        <v>1.3868859999999999E-3</v>
      </c>
      <c r="AA6716">
        <v>0.97616760000000002</v>
      </c>
      <c r="AB6716">
        <v>31</v>
      </c>
      <c r="AC6716">
        <v>49.189300000000003</v>
      </c>
      <c r="AD6716">
        <v>2.7834579999999902</v>
      </c>
      <c r="AE6716">
        <v>18.230270000000001</v>
      </c>
      <c r="AF6716">
        <v>-11.3886754345185</v>
      </c>
      <c r="AG6716">
        <v>2.7834579999999902</v>
      </c>
      <c r="AH6716">
        <v>51.056811160085097</v>
      </c>
      <c r="AI6716">
        <v>86.954208097265195</v>
      </c>
      <c r="AJ6716">
        <v>102.574481052938</v>
      </c>
      <c r="AK6716">
        <v>52.385566069549697</v>
      </c>
      <c r="AL6716">
        <v>90.987413319779293</v>
      </c>
      <c r="AM6716">
        <v>88.817936076625699</v>
      </c>
      <c r="AN6716">
        <v>0.99999997305340504</v>
      </c>
    </row>
    <row r="6717" spans="1:40" x14ac:dyDescent="0.25">
      <c r="A6717" t="str">
        <f>"20190312161446465"</f>
        <v>20190312161446465</v>
      </c>
      <c r="B6717" t="str">
        <f>"1552378486452777"</f>
        <v>1552378486452777</v>
      </c>
      <c r="C6717" t="s">
        <v>40</v>
      </c>
      <c r="D6717">
        <v>4.5936879999999896</v>
      </c>
      <c r="E6717">
        <v>0.407113</v>
      </c>
      <c r="F6717" t="s">
        <v>59</v>
      </c>
      <c r="G6717">
        <v>-157.3501</v>
      </c>
      <c r="H6717">
        <v>3.8258130000000001</v>
      </c>
      <c r="I6717">
        <v>-43.956519999999998</v>
      </c>
      <c r="J6717">
        <v>-206.38290000000001</v>
      </c>
      <c r="K6717">
        <v>1.1142909999999999</v>
      </c>
      <c r="L6717">
        <v>-62.244419999999998</v>
      </c>
      <c r="M6717">
        <v>0.99034679999999997</v>
      </c>
      <c r="N6717">
        <v>0</v>
      </c>
      <c r="O6717">
        <v>0.13784579999999999</v>
      </c>
      <c r="P6717">
        <v>0.99259980000000003</v>
      </c>
      <c r="Q6717">
        <v>-3.2111550000000003E-2</v>
      </c>
      <c r="R6717">
        <v>0.1171098</v>
      </c>
      <c r="S6717">
        <v>2.9018709999999999</v>
      </c>
      <c r="T6717">
        <v>0.15996529999999901</v>
      </c>
      <c r="U6717">
        <v>1.080292</v>
      </c>
      <c r="V6717">
        <v>2.104166E-2</v>
      </c>
      <c r="W6717">
        <v>-1.7328110000000001E-2</v>
      </c>
      <c r="X6717">
        <v>0.99962839999999997</v>
      </c>
      <c r="Y6717">
        <v>-0.21624940000000001</v>
      </c>
      <c r="Z6717">
        <v>1.522266E-3</v>
      </c>
      <c r="AA6717">
        <v>0.97633700000000001</v>
      </c>
      <c r="AB6717">
        <v>31</v>
      </c>
      <c r="AC6717">
        <v>49.032800000000002</v>
      </c>
      <c r="AD6717">
        <v>2.7115219999999902</v>
      </c>
      <c r="AE6717">
        <v>18.2879</v>
      </c>
      <c r="AF6717">
        <v>-11.323201000115199</v>
      </c>
      <c r="AG6717">
        <v>2.7115219999999902</v>
      </c>
      <c r="AH6717">
        <v>50.949015520122501</v>
      </c>
      <c r="AI6717">
        <v>87.026002652833</v>
      </c>
      <c r="AJ6717">
        <v>102.530091058389</v>
      </c>
      <c r="AK6717">
        <v>52.2625048664449</v>
      </c>
      <c r="AL6717">
        <v>90.992877284981503</v>
      </c>
      <c r="AM6717">
        <v>88.794131599142602</v>
      </c>
      <c r="AN6717">
        <v>0.99999997646914296</v>
      </c>
    </row>
    <row r="6718" spans="1:40" x14ac:dyDescent="0.25">
      <c r="A6718" t="str">
        <f>"20190312161446476"</f>
        <v>20190312161446476</v>
      </c>
      <c r="B6718" t="str">
        <f>"1552378486473272"</f>
        <v>1552378486473272</v>
      </c>
      <c r="C6718" t="s">
        <v>40</v>
      </c>
      <c r="D6718">
        <v>4.6879499999999998</v>
      </c>
      <c r="E6718">
        <v>0.40753420000000001</v>
      </c>
      <c r="F6718" t="s">
        <v>59</v>
      </c>
      <c r="G6718">
        <v>-157.3501</v>
      </c>
      <c r="H6718">
        <v>3.7623820000000001</v>
      </c>
      <c r="I6718">
        <v>-43.885689999999997</v>
      </c>
      <c r="J6718">
        <v>-206.2319</v>
      </c>
      <c r="K6718">
        <v>1.1143459999999901</v>
      </c>
      <c r="L6718">
        <v>-62.220640000000003</v>
      </c>
      <c r="M6718">
        <v>0.98995580000000005</v>
      </c>
      <c r="N6718">
        <v>0</v>
      </c>
      <c r="O6718">
        <v>0.14062649999999999</v>
      </c>
      <c r="P6718">
        <v>0.99232120000000001</v>
      </c>
      <c r="Q6718">
        <v>-3.2180849999999997E-2</v>
      </c>
      <c r="R6718">
        <v>0.11942850000000001</v>
      </c>
      <c r="S6718">
        <v>2.8993679999999999</v>
      </c>
      <c r="T6718">
        <v>0.15658329999999901</v>
      </c>
      <c r="U6718">
        <v>1.0855709999999901</v>
      </c>
      <c r="V6718">
        <v>2.1515590000000001E-2</v>
      </c>
      <c r="W6718">
        <v>-1.739417E-2</v>
      </c>
      <c r="X6718">
        <v>0.99961719999999998</v>
      </c>
      <c r="Y6718">
        <v>-0.21535199999999999</v>
      </c>
      <c r="Z6718">
        <v>1.6563610000000001E-3</v>
      </c>
      <c r="AA6718">
        <v>0.97653509999999999</v>
      </c>
      <c r="AB6718">
        <v>31</v>
      </c>
      <c r="AC6718">
        <v>48.881799999999998</v>
      </c>
      <c r="AD6718">
        <v>2.6480359999999998</v>
      </c>
      <c r="AE6718">
        <v>18.334949999999999</v>
      </c>
      <c r="AF6718">
        <v>-11.248967508332401</v>
      </c>
      <c r="AG6718">
        <v>2.6480359999999998</v>
      </c>
      <c r="AH6718">
        <v>50.843792521538901</v>
      </c>
      <c r="AI6718">
        <v>87.088898631527201</v>
      </c>
      <c r="AJ6718">
        <v>102.475475885511</v>
      </c>
      <c r="AK6718">
        <v>52.140604164452398</v>
      </c>
      <c r="AL6718">
        <v>90.996662779240907</v>
      </c>
      <c r="AM6718">
        <v>88.766965808778494</v>
      </c>
      <c r="AN6718">
        <v>1.0000000121494299</v>
      </c>
    </row>
    <row r="6719" spans="1:40" x14ac:dyDescent="0.25">
      <c r="A6719" t="str">
        <f>"20190312161446486"</f>
        <v>20190312161446486</v>
      </c>
      <c r="B6719" t="str">
        <f>"1552378486483032"</f>
        <v>1552378486483032</v>
      </c>
      <c r="C6719" t="s">
        <v>40</v>
      </c>
      <c r="D6719">
        <v>4.6554549999999999</v>
      </c>
      <c r="E6719">
        <v>0.40774149999999998</v>
      </c>
      <c r="F6719" t="s">
        <v>59</v>
      </c>
      <c r="G6719">
        <v>-157.3501</v>
      </c>
      <c r="H6719">
        <v>3.686798</v>
      </c>
      <c r="I6719">
        <v>-43.849089999999997</v>
      </c>
      <c r="J6719">
        <v>-206.07810000000001</v>
      </c>
      <c r="K6719">
        <v>1.1144050000000001</v>
      </c>
      <c r="L6719">
        <v>-62.196199999999997</v>
      </c>
      <c r="M6719">
        <v>0.98954609999999998</v>
      </c>
      <c r="N6719">
        <v>0</v>
      </c>
      <c r="O6719">
        <v>0.14348169999999999</v>
      </c>
      <c r="P6719">
        <v>0.99206680000000003</v>
      </c>
      <c r="Q6719">
        <v>-3.2107139999999999E-2</v>
      </c>
      <c r="R6719">
        <v>0.1215437</v>
      </c>
      <c r="S6719">
        <v>2.8971100000000001</v>
      </c>
      <c r="T6719">
        <v>0.15246179999999901</v>
      </c>
      <c r="U6719">
        <v>1.0888370000000001</v>
      </c>
      <c r="V6719">
        <v>2.2269250000000001E-2</v>
      </c>
      <c r="W6719">
        <v>-1.731301E-2</v>
      </c>
      <c r="X6719">
        <v>0.99960210000000005</v>
      </c>
      <c r="Y6719">
        <v>-0.2137597</v>
      </c>
      <c r="Z6719">
        <v>1.796274E-3</v>
      </c>
      <c r="AA6719">
        <v>0.97688459999999999</v>
      </c>
      <c r="AB6719">
        <v>31</v>
      </c>
      <c r="AC6719">
        <v>48.728000000000002</v>
      </c>
      <c r="AD6719">
        <v>2.5723929999999999</v>
      </c>
      <c r="AE6719">
        <v>18.347109999999901</v>
      </c>
      <c r="AF6719">
        <v>-11.1377302845353</v>
      </c>
      <c r="AG6719">
        <v>2.5723929999999999</v>
      </c>
      <c r="AH6719">
        <v>50.732625394399903</v>
      </c>
      <c r="AI6719">
        <v>87.164716508277095</v>
      </c>
      <c r="AJ6719">
        <v>102.38215795090601</v>
      </c>
      <c r="AK6719">
        <v>52.004475971266203</v>
      </c>
      <c r="AL6719">
        <v>90.992011956544303</v>
      </c>
      <c r="AM6719">
        <v>88.723769175134294</v>
      </c>
      <c r="AN6719">
        <v>1.00000000906761</v>
      </c>
    </row>
    <row r="6720" spans="1:40" x14ac:dyDescent="0.25">
      <c r="A6720" t="str">
        <f>"20190312161446499"</f>
        <v>20190312161446499</v>
      </c>
      <c r="B6720" t="str">
        <f>"1552378486492795"</f>
        <v>1552378486492795</v>
      </c>
      <c r="C6720" t="s">
        <v>40</v>
      </c>
      <c r="D6720">
        <v>4.69862</v>
      </c>
      <c r="E6720">
        <v>0.40770770000000001</v>
      </c>
      <c r="F6720" t="s">
        <v>59</v>
      </c>
      <c r="G6720">
        <v>-157.3501</v>
      </c>
      <c r="H6720">
        <v>3.6606070000000002</v>
      </c>
      <c r="I6720">
        <v>-43.795290000000001</v>
      </c>
      <c r="J6720">
        <v>-205.9239</v>
      </c>
      <c r="K6720">
        <v>1.114474</v>
      </c>
      <c r="L6720">
        <v>-62.170870000000001</v>
      </c>
      <c r="M6720">
        <v>0.98911649999999995</v>
      </c>
      <c r="N6720">
        <v>0</v>
      </c>
      <c r="O6720">
        <v>0.14641309999999999</v>
      </c>
      <c r="P6720">
        <v>0.99175179999999996</v>
      </c>
      <c r="Q6720">
        <v>-3.2097720000000003E-2</v>
      </c>
      <c r="R6720">
        <v>0.12408909999999999</v>
      </c>
      <c r="S6720">
        <v>2.894943</v>
      </c>
      <c r="T6720">
        <v>0.15126909999999999</v>
      </c>
      <c r="U6720">
        <v>1.0932010000000001</v>
      </c>
      <c r="V6720">
        <v>2.266785E-2</v>
      </c>
      <c r="W6720">
        <v>-1.7295899999999999E-2</v>
      </c>
      <c r="X6720">
        <v>0.99959339999999997</v>
      </c>
      <c r="Y6720">
        <v>-0.21240149999999999</v>
      </c>
      <c r="Z6720">
        <v>1.961997E-3</v>
      </c>
      <c r="AA6720">
        <v>0.97718050000000001</v>
      </c>
      <c r="AB6720">
        <v>31</v>
      </c>
      <c r="AC6720">
        <v>48.573799999999999</v>
      </c>
      <c r="AD6720">
        <v>2.5461330000000002</v>
      </c>
      <c r="AE6720">
        <v>18.3755799999999</v>
      </c>
      <c r="AF6720">
        <v>-11.038388034008999</v>
      </c>
      <c r="AG6720">
        <v>2.5461330000000002</v>
      </c>
      <c r="AH6720">
        <v>50.619274860162697</v>
      </c>
      <c r="AI6720">
        <v>87.186476872706194</v>
      </c>
      <c r="AJ6720">
        <v>102.301730192999</v>
      </c>
      <c r="AK6720">
        <v>51.871377377237003</v>
      </c>
      <c r="AL6720">
        <v>90.991031515246405</v>
      </c>
      <c r="AM6720">
        <v>88.700922221657294</v>
      </c>
      <c r="AN6720">
        <v>0.99999997245199501</v>
      </c>
    </row>
    <row r="6721" spans="1:40" x14ac:dyDescent="0.25">
      <c r="A6721" t="str">
        <f>"20190312161446510"</f>
        <v>20190312161446510</v>
      </c>
      <c r="B6721" t="str">
        <f>"1552378486503528"</f>
        <v>1552378486503528</v>
      </c>
      <c r="C6721" t="s">
        <v>40</v>
      </c>
      <c r="D6721">
        <v>4.9605410000000001</v>
      </c>
      <c r="E6721">
        <v>0.40770770000000001</v>
      </c>
      <c r="F6721" t="s">
        <v>59</v>
      </c>
      <c r="G6721">
        <v>-157.3501</v>
      </c>
      <c r="H6721">
        <v>3.6266729999999998</v>
      </c>
      <c r="I6721">
        <v>-43.681759999999997</v>
      </c>
      <c r="J6721">
        <v>-205.76480000000001</v>
      </c>
      <c r="K6721">
        <v>1.11454599999999</v>
      </c>
      <c r="L6721">
        <v>-62.144469999999998</v>
      </c>
      <c r="M6721">
        <v>0.98866140000000002</v>
      </c>
      <c r="N6721">
        <v>0</v>
      </c>
      <c r="O6721">
        <v>0.14945530000000001</v>
      </c>
      <c r="P6721">
        <v>0.99144739999999998</v>
      </c>
      <c r="Q6721">
        <v>-3.164952E-2</v>
      </c>
      <c r="R6721">
        <v>0.1266109</v>
      </c>
      <c r="S6721">
        <v>2.8920590000000002</v>
      </c>
      <c r="T6721">
        <v>0.1495737</v>
      </c>
      <c r="U6721">
        <v>1.10083</v>
      </c>
      <c r="V6721">
        <v>2.3199859999999999E-2</v>
      </c>
      <c r="W6721">
        <v>-1.683747E-2</v>
      </c>
      <c r="X6721">
        <v>0.99958899999999995</v>
      </c>
      <c r="Y6721">
        <v>-0.21197659999999999</v>
      </c>
      <c r="Z6721">
        <v>2.0998670000000001E-3</v>
      </c>
      <c r="AA6721">
        <v>0.97727249999999999</v>
      </c>
      <c r="AB6721">
        <v>31</v>
      </c>
      <c r="AC6721">
        <v>48.414700000000003</v>
      </c>
      <c r="AD6721">
        <v>2.512127</v>
      </c>
      <c r="AE6721">
        <v>18.462710000000001</v>
      </c>
      <c r="AF6721">
        <v>-10.992863016779999</v>
      </c>
      <c r="AG6721">
        <v>2.512127</v>
      </c>
      <c r="AH6721">
        <v>50.511727319896799</v>
      </c>
      <c r="AI6721">
        <v>87.217841221013302</v>
      </c>
      <c r="AJ6721">
        <v>102.277827626155</v>
      </c>
      <c r="AK6721">
        <v>51.755081066591202</v>
      </c>
      <c r="AL6721">
        <v>90.964761604269199</v>
      </c>
      <c r="AM6721">
        <v>88.670438088825307</v>
      </c>
      <c r="AN6721">
        <v>0.99999995141050901</v>
      </c>
    </row>
    <row r="6722" spans="1:40" x14ac:dyDescent="0.25">
      <c r="A6722" t="str">
        <f>"20190312161446520"</f>
        <v>20190312161446520</v>
      </c>
      <c r="B6722" t="str">
        <f>"1552378486513288"</f>
        <v>1552378486513288</v>
      </c>
      <c r="C6722" t="s">
        <v>40</v>
      </c>
      <c r="D6722">
        <v>4.9509800000000004</v>
      </c>
      <c r="E6722">
        <v>0.36674689999999999</v>
      </c>
      <c r="F6722" t="s">
        <v>59</v>
      </c>
      <c r="G6722">
        <v>-157.3501</v>
      </c>
      <c r="H6722">
        <v>3.63957</v>
      </c>
      <c r="I6722">
        <v>-43.574399999999997</v>
      </c>
      <c r="J6722">
        <v>-205.62180000000001</v>
      </c>
      <c r="K6722">
        <v>1.1146210000000001</v>
      </c>
      <c r="L6722">
        <v>-62.120119999999901</v>
      </c>
      <c r="M6722">
        <v>0.98823649999999996</v>
      </c>
      <c r="N6722">
        <v>0</v>
      </c>
      <c r="O6722">
        <v>0.15223909999999999</v>
      </c>
      <c r="P6722">
        <v>0.99109139999999996</v>
      </c>
      <c r="Q6722">
        <v>-3.1296020000000001E-2</v>
      </c>
      <c r="R6722">
        <v>0.1294537</v>
      </c>
      <c r="S6722">
        <v>2.8891909999999998</v>
      </c>
      <c r="T6722">
        <v>0.15068190000000001</v>
      </c>
      <c r="U6722">
        <v>1.108185</v>
      </c>
      <c r="V6722">
        <v>2.3148229999999999E-2</v>
      </c>
      <c r="W6722">
        <v>-1.6478240000000002E-2</v>
      </c>
      <c r="X6722">
        <v>0.99959620000000005</v>
      </c>
      <c r="Y6722">
        <v>-0.21171980000000001</v>
      </c>
      <c r="Z6722">
        <v>2.2595419999999998E-3</v>
      </c>
      <c r="AA6722">
        <v>0.97732779999999997</v>
      </c>
      <c r="AB6722">
        <v>31</v>
      </c>
      <c r="AC6722">
        <v>48.271700000000003</v>
      </c>
      <c r="AD6722">
        <v>2.5249489999999901</v>
      </c>
      <c r="AE6722">
        <v>18.545719999999999</v>
      </c>
      <c r="AF6722">
        <v>-10.953765458393899</v>
      </c>
      <c r="AG6722">
        <v>2.5249489999999901</v>
      </c>
      <c r="AH6722">
        <v>50.412404157311002</v>
      </c>
      <c r="AI6722">
        <v>87.197961412400304</v>
      </c>
      <c r="AJ6722">
        <v>102.258855885838</v>
      </c>
      <c r="AK6722">
        <v>51.650467936797803</v>
      </c>
      <c r="AL6722">
        <v>90.944176368384603</v>
      </c>
      <c r="AM6722">
        <v>88.673405448469893</v>
      </c>
      <c r="AN6722">
        <v>0.99999996800003399</v>
      </c>
    </row>
    <row r="6723" spans="1:40" x14ac:dyDescent="0.25">
      <c r="A6723" t="str">
        <f>"20190312161446532"</f>
        <v>20190312161446532</v>
      </c>
      <c r="B6723" t="str">
        <f>"1552378486523048"</f>
        <v>1552378486523048</v>
      </c>
      <c r="C6723" t="s">
        <v>40</v>
      </c>
      <c r="D6723">
        <v>4.7110349999999999</v>
      </c>
      <c r="E6723">
        <v>0.36674689999999999</v>
      </c>
      <c r="F6723" t="s">
        <v>59</v>
      </c>
      <c r="G6723">
        <v>-157.9383</v>
      </c>
      <c r="H6723">
        <v>1.682204</v>
      </c>
      <c r="I6723">
        <v>-37.918080000000003</v>
      </c>
      <c r="J6723">
        <v>-205.47149999999999</v>
      </c>
      <c r="K6723">
        <v>1.1146990000000001</v>
      </c>
      <c r="L6723">
        <v>-62.094180000000001</v>
      </c>
      <c r="M6723">
        <v>0.98777820000000005</v>
      </c>
      <c r="N6723">
        <v>0</v>
      </c>
      <c r="O6723">
        <v>0.15518479999999901</v>
      </c>
      <c r="P6723">
        <v>0.99070809999999998</v>
      </c>
      <c r="Q6723">
        <v>-3.1181440000000001E-2</v>
      </c>
      <c r="R6723">
        <v>0.13238339999999901</v>
      </c>
      <c r="S6723">
        <v>2.8397830000000002</v>
      </c>
      <c r="T6723">
        <v>3.3801079999999997E-2</v>
      </c>
      <c r="U6723">
        <v>1.4413450000000001</v>
      </c>
      <c r="V6723">
        <v>2.3174489999999999E-2</v>
      </c>
      <c r="W6723">
        <v>-1.6356329999999999E-2</v>
      </c>
      <c r="X6723">
        <v>0.99959759999999998</v>
      </c>
      <c r="Y6723">
        <v>-0.308706799999999</v>
      </c>
      <c r="Z6723" s="1">
        <v>-1.1662840000000001E-5</v>
      </c>
      <c r="AA6723">
        <v>0.95115729999999998</v>
      </c>
      <c r="AB6723">
        <v>31</v>
      </c>
      <c r="AC6723">
        <v>47.533200000000001</v>
      </c>
      <c r="AD6723">
        <v>0.56750500000000004</v>
      </c>
      <c r="AE6723">
        <v>24.176100000000002</v>
      </c>
      <c r="AF6723">
        <v>-16.504074310905001</v>
      </c>
      <c r="AG6723">
        <v>0.56750500000000004</v>
      </c>
      <c r="AH6723">
        <v>50.703653025607601</v>
      </c>
      <c r="AI6723">
        <v>89.390226153651497</v>
      </c>
      <c r="AJ6723">
        <v>108.03010485097199</v>
      </c>
      <c r="AK6723">
        <v>53.325106290809302</v>
      </c>
      <c r="AL6723">
        <v>90.937190492340093</v>
      </c>
      <c r="AM6723">
        <v>88.671902920601596</v>
      </c>
      <c r="AN6723">
        <v>0.99999997422179399</v>
      </c>
    </row>
    <row r="6724" spans="1:40" x14ac:dyDescent="0.25">
      <c r="A6724" t="str">
        <f>"20190312161446542"</f>
        <v>20190312161446542</v>
      </c>
      <c r="B6724" t="str">
        <f>"1552378486533444"</f>
        <v>1552378486533444</v>
      </c>
      <c r="C6724" t="s">
        <v>40</v>
      </c>
      <c r="D6724">
        <v>4.8467129999999896</v>
      </c>
      <c r="E6724">
        <v>0.32667639999999998</v>
      </c>
      <c r="F6724" t="s">
        <v>59</v>
      </c>
      <c r="G6724">
        <v>-157.9383</v>
      </c>
      <c r="H6724">
        <v>1.6879580000000001</v>
      </c>
      <c r="I6724">
        <v>-37.793170000000003</v>
      </c>
      <c r="J6724">
        <v>-205.3203</v>
      </c>
      <c r="K6724">
        <v>1.114779</v>
      </c>
      <c r="L6724">
        <v>-62.067500000000003</v>
      </c>
      <c r="M6724">
        <v>0.98730189999999995</v>
      </c>
      <c r="N6724">
        <v>0</v>
      </c>
      <c r="O6724">
        <v>0.15818660000000001</v>
      </c>
      <c r="P6724">
        <v>0.99029199999999995</v>
      </c>
      <c r="Q6724">
        <v>-3.1134459999999999E-2</v>
      </c>
      <c r="R6724">
        <v>0.13547190000000001</v>
      </c>
      <c r="S6724">
        <v>2.8355410000000001</v>
      </c>
      <c r="T6724">
        <v>3.4195780000000002E-2</v>
      </c>
      <c r="U6724">
        <v>1.449646</v>
      </c>
      <c r="V6724">
        <v>2.3098509999999999E-2</v>
      </c>
      <c r="W6724">
        <v>-1.630187E-2</v>
      </c>
      <c r="X6724">
        <v>0.9996003</v>
      </c>
      <c r="Y6724">
        <v>-0.30859969999999998</v>
      </c>
      <c r="Z6724" s="1">
        <v>2.1857440000000001E-5</v>
      </c>
      <c r="AA6724">
        <v>0.95119200000000004</v>
      </c>
      <c r="AB6724">
        <v>31</v>
      </c>
      <c r="AC6724">
        <v>47.381999999999998</v>
      </c>
      <c r="AD6724">
        <v>0.57317899999999899</v>
      </c>
      <c r="AE6724">
        <v>24.274329999999999</v>
      </c>
      <c r="AF6724">
        <v>-16.470731308948601</v>
      </c>
      <c r="AG6724">
        <v>0.57317899999999899</v>
      </c>
      <c r="AH6724">
        <v>50.619710360614597</v>
      </c>
      <c r="AI6724">
        <v>89.383087205787206</v>
      </c>
      <c r="AJ6724">
        <v>108.02394386126799</v>
      </c>
      <c r="AK6724">
        <v>53.235031708548298</v>
      </c>
      <c r="AL6724">
        <v>90.934069699705105</v>
      </c>
      <c r="AM6724">
        <v>88.676259248784902</v>
      </c>
      <c r="AN6724">
        <v>1.0000000259449</v>
      </c>
    </row>
    <row r="6725" spans="1:40" x14ac:dyDescent="0.25">
      <c r="A6725" t="str">
        <f>"20190312161446553"</f>
        <v>20190312161446553</v>
      </c>
      <c r="B6725" t="str">
        <f>"1552378486543203"</f>
        <v>1552378486543203</v>
      </c>
      <c r="C6725" t="s">
        <v>40</v>
      </c>
      <c r="D6725">
        <v>4.8426629999999999</v>
      </c>
      <c r="E6725">
        <v>0.3288836</v>
      </c>
      <c r="F6725" t="s">
        <v>59</v>
      </c>
      <c r="G6725">
        <v>-168.45060000000001</v>
      </c>
      <c r="H6725">
        <v>0.72635269999999996</v>
      </c>
      <c r="I6725">
        <v>-38.56532</v>
      </c>
      <c r="J6725">
        <v>-205.16800000000001</v>
      </c>
      <c r="K6725">
        <v>1.1148549999999999</v>
      </c>
      <c r="L6725">
        <v>-62.040100000000002</v>
      </c>
      <c r="M6725">
        <v>0.98680639999999997</v>
      </c>
      <c r="N6725">
        <v>0</v>
      </c>
      <c r="O6725">
        <v>0.16124810000000001</v>
      </c>
      <c r="P6725">
        <v>0.98984280000000002</v>
      </c>
      <c r="Q6725">
        <v>-3.1553629999999999E-2</v>
      </c>
      <c r="R6725">
        <v>0.13862099999999999</v>
      </c>
      <c r="S6725">
        <v>2.7855829999999999</v>
      </c>
      <c r="T6725">
        <v>-2.93479E-2</v>
      </c>
      <c r="U6725">
        <v>1.7756350000000001</v>
      </c>
      <c r="V6725">
        <v>2.3025070000000002E-2</v>
      </c>
      <c r="W6725">
        <v>-1.6713260000000001E-2</v>
      </c>
      <c r="X6725">
        <v>0.99959520000000002</v>
      </c>
      <c r="Y6725">
        <v>-0.39448830000000001</v>
      </c>
      <c r="Z6725">
        <v>3.697913E-4</v>
      </c>
      <c r="AA6725">
        <v>0.91890090000000002</v>
      </c>
      <c r="AB6725">
        <v>31</v>
      </c>
      <c r="AC6725">
        <v>36.717399999999998</v>
      </c>
      <c r="AD6725">
        <v>-0.38850230000000002</v>
      </c>
      <c r="AE6725">
        <v>23.474779999999999</v>
      </c>
      <c r="AF6725">
        <v>-17.244911432206202</v>
      </c>
      <c r="AG6725">
        <v>-0.38850230000000002</v>
      </c>
      <c r="AH6725">
        <v>40.019294801512899</v>
      </c>
      <c r="AI6725">
        <v>90.510799115757194</v>
      </c>
      <c r="AJ6725">
        <v>113.311931286204</v>
      </c>
      <c r="AK6725">
        <v>43.578456383311</v>
      </c>
      <c r="AL6725">
        <v>90.957643822718794</v>
      </c>
      <c r="AM6725">
        <v>88.680459763998599</v>
      </c>
      <c r="AN6725">
        <v>1.00000002538568</v>
      </c>
    </row>
    <row r="6726" spans="1:40" x14ac:dyDescent="0.25">
      <c r="A6726" t="str">
        <f>"20190312161446565"</f>
        <v>20190312161446565</v>
      </c>
      <c r="B6726" t="str">
        <f>"1552378486562723"</f>
        <v>1552378486562723</v>
      </c>
      <c r="C6726" t="s">
        <v>40</v>
      </c>
      <c r="D6726">
        <v>4.6818710000000001</v>
      </c>
      <c r="E6726">
        <v>0.32422299999999998</v>
      </c>
      <c r="F6726" t="s">
        <v>59</v>
      </c>
      <c r="G6726">
        <v>-168.45060000000001</v>
      </c>
      <c r="H6726">
        <v>0.450901</v>
      </c>
      <c r="I6726">
        <v>-38.715179999999997</v>
      </c>
      <c r="J6726">
        <v>-205.01589999999999</v>
      </c>
      <c r="K6726">
        <v>1.1149359999999999</v>
      </c>
      <c r="L6726">
        <v>-62.012329999999999</v>
      </c>
      <c r="M6726">
        <v>0.98629679999999997</v>
      </c>
      <c r="N6726">
        <v>0</v>
      </c>
      <c r="O6726">
        <v>0.1643356</v>
      </c>
      <c r="P6726">
        <v>0.98939259999999996</v>
      </c>
      <c r="Q6726">
        <v>-3.200455E-2</v>
      </c>
      <c r="R6726">
        <v>0.14169689999999999</v>
      </c>
      <c r="S6726">
        <v>2.7817080000000001</v>
      </c>
      <c r="T6726">
        <v>-5.0302510000000002E-2</v>
      </c>
      <c r="U6726">
        <v>1.76709</v>
      </c>
      <c r="V6726">
        <v>2.3052199999999998E-2</v>
      </c>
      <c r="W6726">
        <v>-1.7155E-2</v>
      </c>
      <c r="X6726">
        <v>0.99958709999999995</v>
      </c>
      <c r="Y6726">
        <v>-0.39016309999999998</v>
      </c>
      <c r="Z6726">
        <v>5.4970919999999996E-4</v>
      </c>
      <c r="AA6726">
        <v>0.92074560000000005</v>
      </c>
      <c r="AB6726">
        <v>31</v>
      </c>
      <c r="AC6726">
        <v>36.565299999999901</v>
      </c>
      <c r="AD6726">
        <v>-0.66403500000000004</v>
      </c>
      <c r="AE6726">
        <v>23.297149999999998</v>
      </c>
      <c r="AF6726">
        <v>-16.966746729678199</v>
      </c>
      <c r="AG6726">
        <v>-0.66403500000000004</v>
      </c>
      <c r="AH6726">
        <v>39.8876709380433</v>
      </c>
      <c r="AI6726">
        <v>90.877663770111795</v>
      </c>
      <c r="AJ6726">
        <v>113.043115059163</v>
      </c>
      <c r="AK6726">
        <v>43.351329044585299</v>
      </c>
      <c r="AL6726">
        <v>90.982957281006804</v>
      </c>
      <c r="AM6726">
        <v>88.678894824143896</v>
      </c>
      <c r="AN6726">
        <v>1.0000000342181199</v>
      </c>
    </row>
    <row r="6727" spans="1:40" x14ac:dyDescent="0.25">
      <c r="A6727" t="str">
        <f>"20190312161446577"</f>
        <v>20190312161446577</v>
      </c>
      <c r="B6727" t="str">
        <f>"1552378486573460"</f>
        <v>1552378486573460</v>
      </c>
      <c r="C6727" t="s">
        <v>40</v>
      </c>
      <c r="D6727">
        <v>4.6720100000000002</v>
      </c>
      <c r="E6727">
        <v>0.3237585</v>
      </c>
      <c r="F6727" t="s">
        <v>59</v>
      </c>
      <c r="G6727">
        <v>-168.45060000000001</v>
      </c>
      <c r="H6727">
        <v>1.0172129999999999</v>
      </c>
      <c r="I6727">
        <v>-38.112490000000001</v>
      </c>
      <c r="J6727">
        <v>-204.85980000000001</v>
      </c>
      <c r="K6727">
        <v>1.11502099999999</v>
      </c>
      <c r="L6727">
        <v>-61.983060000000002</v>
      </c>
      <c r="M6727">
        <v>0.98575270000000004</v>
      </c>
      <c r="N6727">
        <v>0</v>
      </c>
      <c r="O6727">
        <v>0.16756860000000001</v>
      </c>
      <c r="P6727">
        <v>0.98892270000000004</v>
      </c>
      <c r="Q6727">
        <v>-3.218613E-2</v>
      </c>
      <c r="R6727">
        <v>0.14490140000000001</v>
      </c>
      <c r="S6727">
        <v>2.7724150000000001</v>
      </c>
      <c r="T6727">
        <v>-7.4108840000000004E-3</v>
      </c>
      <c r="U6727">
        <v>1.812103</v>
      </c>
      <c r="V6727">
        <v>2.3095580000000001E-2</v>
      </c>
      <c r="W6727">
        <v>-1.7325940000000001E-2</v>
      </c>
      <c r="X6727">
        <v>0.99958309999999995</v>
      </c>
      <c r="Y6727">
        <v>-0.39909860000000003</v>
      </c>
      <c r="Z6727" s="1">
        <v>8.4283330000000002E-5</v>
      </c>
      <c r="AA6727">
        <v>0.91690799999999995</v>
      </c>
      <c r="AB6727">
        <v>31</v>
      </c>
      <c r="AC6727">
        <v>36.409199999999998</v>
      </c>
      <c r="AD6727">
        <v>-9.7807999999999895E-2</v>
      </c>
      <c r="AE6727">
        <v>23.870569999999901</v>
      </c>
      <c r="AF6727">
        <v>-17.4312032963592</v>
      </c>
      <c r="AG6727">
        <v>-9.7807999999999895E-2</v>
      </c>
      <c r="AH6727">
        <v>39.8944604643427</v>
      </c>
      <c r="AI6727">
        <v>90.1287194406125</v>
      </c>
      <c r="AJ6727">
        <v>113.602100907959</v>
      </c>
      <c r="AK6727">
        <v>43.536471957484999</v>
      </c>
      <c r="AL6727">
        <v>90.992752927082407</v>
      </c>
      <c r="AM6727">
        <v>88.676404336081703</v>
      </c>
      <c r="AN6727">
        <v>0.99999998390901401</v>
      </c>
    </row>
    <row r="6728" spans="1:40" x14ac:dyDescent="0.25">
      <c r="A6728" t="str">
        <f>"20190312161446589"</f>
        <v>20190312161446589</v>
      </c>
      <c r="B6728" t="str">
        <f>"1552378486583219"</f>
        <v>1552378486583219</v>
      </c>
      <c r="C6728" t="s">
        <v>40</v>
      </c>
      <c r="D6728">
        <v>4.6791510000000001</v>
      </c>
      <c r="E6728">
        <v>0.32335920000000001</v>
      </c>
      <c r="F6728" t="s">
        <v>59</v>
      </c>
      <c r="G6728">
        <v>-168.45060000000001</v>
      </c>
      <c r="H6728">
        <v>1.104231</v>
      </c>
      <c r="I6728">
        <v>-37.966639999999998</v>
      </c>
      <c r="J6728">
        <v>-204.70670000000001</v>
      </c>
      <c r="K6728">
        <v>1.115105</v>
      </c>
      <c r="L6728">
        <v>-61.954160000000002</v>
      </c>
      <c r="M6728">
        <v>0.98520549999999996</v>
      </c>
      <c r="N6728">
        <v>0</v>
      </c>
      <c r="O6728">
        <v>0.17075589999999999</v>
      </c>
      <c r="P6728">
        <v>0.98845799999999995</v>
      </c>
      <c r="Q6728">
        <v>-3.2406379999999999E-2</v>
      </c>
      <c r="R6728">
        <v>0.14799010000000001</v>
      </c>
      <c r="S6728">
        <v>2.766235</v>
      </c>
      <c r="T6728">
        <v>-8.2123280000000003E-4</v>
      </c>
      <c r="U6728">
        <v>1.8246770000000001</v>
      </c>
      <c r="V6728">
        <v>2.3210020000000001E-2</v>
      </c>
      <c r="W6728">
        <v>-1.753499E-2</v>
      </c>
      <c r="X6728">
        <v>0.99957680000000004</v>
      </c>
      <c r="Y6728">
        <v>-0.39998109999999998</v>
      </c>
      <c r="Z6728" s="1">
        <v>8.6393739999999995E-6</v>
      </c>
      <c r="AA6728">
        <v>0.91652339999999999</v>
      </c>
      <c r="AB6728">
        <v>31</v>
      </c>
      <c r="AC6728">
        <v>36.256100000000004</v>
      </c>
      <c r="AD6728">
        <v>-1.0874E-2</v>
      </c>
      <c r="AE6728">
        <v>23.9875199999999</v>
      </c>
      <c r="AF6728">
        <v>-17.443546429271201</v>
      </c>
      <c r="AG6728">
        <v>-1.0874E-2</v>
      </c>
      <c r="AH6728">
        <v>39.819949201907903</v>
      </c>
      <c r="AI6728">
        <v>90.014331507933804</v>
      </c>
      <c r="AJ6728">
        <v>113.656326605432</v>
      </c>
      <c r="AK6728">
        <v>43.4730466463594</v>
      </c>
      <c r="AL6728">
        <v>91.004732433882793</v>
      </c>
      <c r="AM6728">
        <v>88.669839809233693</v>
      </c>
      <c r="AN6728">
        <v>0.99999998000046997</v>
      </c>
    </row>
    <row r="6729" spans="1:40" x14ac:dyDescent="0.25">
      <c r="A6729" t="str">
        <f>"20190312161446600"</f>
        <v>20190312161446600</v>
      </c>
      <c r="B6729" t="str">
        <f>"1552378486592979"</f>
        <v>1552378486592979</v>
      </c>
      <c r="C6729" t="s">
        <v>40</v>
      </c>
      <c r="D6729">
        <v>4.6527520000000004</v>
      </c>
      <c r="E6729">
        <v>0.32328519999999999</v>
      </c>
      <c r="F6729" t="s">
        <v>59</v>
      </c>
      <c r="G6729">
        <v>-168.45060000000001</v>
      </c>
      <c r="H6729">
        <v>1.1706000000000001</v>
      </c>
      <c r="I6729">
        <v>-37.833089999999999</v>
      </c>
      <c r="J6729">
        <v>-204.5419</v>
      </c>
      <c r="K6729">
        <v>1.1151960000000001</v>
      </c>
      <c r="L6729">
        <v>-61.921939999999999</v>
      </c>
      <c r="M6729">
        <v>0.98458749999999995</v>
      </c>
      <c r="N6729">
        <v>0</v>
      </c>
      <c r="O6729">
        <v>0.17428289999999999</v>
      </c>
      <c r="P6729">
        <v>0.98791399999999996</v>
      </c>
      <c r="Q6729">
        <v>-3.208867E-2</v>
      </c>
      <c r="R6729">
        <v>0.15164620000000001</v>
      </c>
      <c r="S6729">
        <v>2.7602229999999999</v>
      </c>
      <c r="T6729">
        <v>4.2233469999999997E-3</v>
      </c>
      <c r="U6729">
        <v>1.836365</v>
      </c>
      <c r="V6729">
        <v>2.3092390000000001E-2</v>
      </c>
      <c r="W6729">
        <v>-1.720621E-2</v>
      </c>
      <c r="X6729">
        <v>0.99958530000000001</v>
      </c>
      <c r="Y6729">
        <v>-0.40031129999999998</v>
      </c>
      <c r="Z6729" s="1">
        <v>-3.9988270000000003E-5</v>
      </c>
      <c r="AA6729">
        <v>0.91637919999999995</v>
      </c>
      <c r="AB6729">
        <v>31</v>
      </c>
      <c r="AC6729">
        <v>36.091299999999897</v>
      </c>
      <c r="AD6729">
        <v>5.5404000000000203E-2</v>
      </c>
      <c r="AE6729">
        <v>24.088849999999901</v>
      </c>
      <c r="AF6729">
        <v>-17.429311430940899</v>
      </c>
      <c r="AG6729">
        <v>5.5404000000000203E-2</v>
      </c>
      <c r="AH6729">
        <v>39.737483486808102</v>
      </c>
      <c r="AI6729">
        <v>89.926843009778096</v>
      </c>
      <c r="AJ6729">
        <v>113.682801901655</v>
      </c>
      <c r="AK6729">
        <v>43.391837486148198</v>
      </c>
      <c r="AL6729">
        <v>90.985891823178406</v>
      </c>
      <c r="AM6729">
        <v>88.676589999979896</v>
      </c>
      <c r="AN6729">
        <v>1.0000000420572801</v>
      </c>
    </row>
    <row r="6730" spans="1:40" x14ac:dyDescent="0.25">
      <c r="A6730" t="str">
        <f>"20190312161446610"</f>
        <v>20190312161446610</v>
      </c>
      <c r="B6730" t="str">
        <f>"1552378486602740"</f>
        <v>1552378486602740</v>
      </c>
      <c r="C6730" t="s">
        <v>40</v>
      </c>
      <c r="D6730">
        <v>4.6466409999999998</v>
      </c>
      <c r="E6730">
        <v>0.3231696</v>
      </c>
      <c r="F6730" t="s">
        <v>59</v>
      </c>
      <c r="G6730">
        <v>-168.45060000000001</v>
      </c>
      <c r="H6730">
        <v>1.226874</v>
      </c>
      <c r="I6730">
        <v>-37.711170000000003</v>
      </c>
      <c r="J6730">
        <v>-204.4049</v>
      </c>
      <c r="K6730">
        <v>1.115273</v>
      </c>
      <c r="L6730">
        <v>-61.8949</v>
      </c>
      <c r="M6730">
        <v>0.98406059999999995</v>
      </c>
      <c r="N6730">
        <v>0</v>
      </c>
      <c r="O6730">
        <v>0.17723249999999999</v>
      </c>
      <c r="P6730">
        <v>0.98747569999999996</v>
      </c>
      <c r="Q6730">
        <v>-3.2024219999999999E-2</v>
      </c>
      <c r="R6730">
        <v>0.15448729999999999</v>
      </c>
      <c r="S6730">
        <v>2.7534640000000001</v>
      </c>
      <c r="T6730">
        <v>8.5185769999999994E-3</v>
      </c>
      <c r="U6730">
        <v>1.8470759999999999</v>
      </c>
      <c r="V6730">
        <v>2.3214439999999999E-2</v>
      </c>
      <c r="W6730">
        <v>-1.712996E-2</v>
      </c>
      <c r="X6730">
        <v>0.99958369999999996</v>
      </c>
      <c r="Y6730">
        <v>-0.40106419999999998</v>
      </c>
      <c r="Z6730" s="1">
        <v>-7.3871630000000001E-5</v>
      </c>
      <c r="AA6730">
        <v>0.91605000000000003</v>
      </c>
      <c r="AB6730">
        <v>31</v>
      </c>
      <c r="AC6730">
        <v>35.954299999999897</v>
      </c>
      <c r="AD6730">
        <v>0.11160100000000001</v>
      </c>
      <c r="AE6730">
        <v>24.183730000000001</v>
      </c>
      <c r="AF6730">
        <v>-17.427729218037101</v>
      </c>
      <c r="AG6730">
        <v>0.11160100000000001</v>
      </c>
      <c r="AH6730">
        <v>39.671322516234902</v>
      </c>
      <c r="AI6730">
        <v>89.852430974897402</v>
      </c>
      <c r="AJ6730">
        <v>113.71602600639</v>
      </c>
      <c r="AK6730">
        <v>43.330728480693097</v>
      </c>
      <c r="AL6730">
        <v>90.981522457203994</v>
      </c>
      <c r="AM6730">
        <v>88.669595771594999</v>
      </c>
      <c r="AN6730">
        <v>0.99999995952990095</v>
      </c>
    </row>
    <row r="6731" spans="1:40" x14ac:dyDescent="0.25">
      <c r="A6731" t="str">
        <f>"20190312161446621"</f>
        <v>20190312161446621</v>
      </c>
      <c r="B6731" t="str">
        <f>"1552378486613476"</f>
        <v>1552378486613476</v>
      </c>
      <c r="C6731" t="s">
        <v>40</v>
      </c>
      <c r="D6731">
        <v>4.6348349999999998</v>
      </c>
      <c r="E6731">
        <v>0.32327889999999998</v>
      </c>
      <c r="F6731" t="s">
        <v>58</v>
      </c>
      <c r="G6731">
        <v>-146.29069999999999</v>
      </c>
      <c r="H6731">
        <v>1.389877</v>
      </c>
      <c r="I6731">
        <v>-22.650010000000002</v>
      </c>
      <c r="J6731">
        <v>-204.25470000000001</v>
      </c>
      <c r="K6731">
        <v>1.1153569999999999</v>
      </c>
      <c r="L6731">
        <v>-61.86459</v>
      </c>
      <c r="M6731">
        <v>0.98346160000000005</v>
      </c>
      <c r="N6731">
        <v>0</v>
      </c>
      <c r="O6731">
        <v>0.18052689999999999</v>
      </c>
      <c r="P6731">
        <v>0.98695739999999998</v>
      </c>
      <c r="Q6731">
        <v>-3.1923960000000001E-2</v>
      </c>
      <c r="R6731">
        <v>0.1577856</v>
      </c>
      <c r="S6731">
        <v>2.748138</v>
      </c>
      <c r="T6731">
        <v>1.2985470000000001E-2</v>
      </c>
      <c r="U6731">
        <v>1.8558349999999999</v>
      </c>
      <c r="V6731">
        <v>2.3224370000000001E-2</v>
      </c>
      <c r="W6731">
        <v>-1.7017350000000001E-2</v>
      </c>
      <c r="X6731">
        <v>0.99958539999999996</v>
      </c>
      <c r="Y6731">
        <v>-0.40082440000000003</v>
      </c>
      <c r="Z6731" s="1">
        <v>-9.8672110000000001E-5</v>
      </c>
      <c r="AA6731">
        <v>0.91615489999999999</v>
      </c>
      <c r="AB6731">
        <v>31</v>
      </c>
      <c r="AC6731">
        <v>57.963999999999999</v>
      </c>
      <c r="AD6731">
        <v>0.27451999999999999</v>
      </c>
      <c r="AE6731">
        <v>39.214579999999998</v>
      </c>
      <c r="AF6731">
        <v>-28.104537735907702</v>
      </c>
      <c r="AG6731">
        <v>0.27451999999999999</v>
      </c>
      <c r="AH6731">
        <v>64.090504914888101</v>
      </c>
      <c r="AI6731">
        <v>89.775245166108206</v>
      </c>
      <c r="AJ6731">
        <v>113.678089281209</v>
      </c>
      <c r="AK6731">
        <v>69.982377944913793</v>
      </c>
      <c r="AL6731">
        <v>90.975069431561707</v>
      </c>
      <c r="AM6731">
        <v>88.669029157292002</v>
      </c>
      <c r="AN6731">
        <v>0.99999996672803904</v>
      </c>
    </row>
    <row r="6732" spans="1:40" x14ac:dyDescent="0.25">
      <c r="A6732" t="str">
        <f>"20190312161446632"</f>
        <v>20190312161446632</v>
      </c>
      <c r="B6732" t="str">
        <f>"1552378486623236"</f>
        <v>1552378486623236</v>
      </c>
      <c r="C6732" t="s">
        <v>40</v>
      </c>
      <c r="D6732">
        <v>4.633775</v>
      </c>
      <c r="E6732">
        <v>0.32348779999999999</v>
      </c>
      <c r="F6732" t="s">
        <v>58</v>
      </c>
      <c r="G6732">
        <v>-146.56700000000001</v>
      </c>
      <c r="H6732">
        <v>1.459673</v>
      </c>
      <c r="I6732">
        <v>-22.650010000000002</v>
      </c>
      <c r="J6732">
        <v>-204.11089999999999</v>
      </c>
      <c r="K6732">
        <v>1.1154360000000001</v>
      </c>
      <c r="L6732">
        <v>-61.83511</v>
      </c>
      <c r="M6732">
        <v>0.98287049999999998</v>
      </c>
      <c r="N6732">
        <v>0</v>
      </c>
      <c r="O6732">
        <v>0.1837173</v>
      </c>
      <c r="P6732">
        <v>0.98645649999999996</v>
      </c>
      <c r="Q6732">
        <v>-3.1454379999999997E-2</v>
      </c>
      <c r="R6732">
        <v>0.16097910000000001</v>
      </c>
      <c r="S6732">
        <v>2.7421570000000002</v>
      </c>
      <c r="T6732">
        <v>1.636696E-2</v>
      </c>
      <c r="U6732">
        <v>1.864044</v>
      </c>
      <c r="V6732">
        <v>2.3232079999999999E-2</v>
      </c>
      <c r="W6732">
        <v>-1.6535689999999999E-2</v>
      </c>
      <c r="X6732">
        <v>0.99959330000000002</v>
      </c>
      <c r="Y6732">
        <v>-0.40065529999999999</v>
      </c>
      <c r="Z6732">
        <v>-1.075524E-4</v>
      </c>
      <c r="AA6732">
        <v>0.91622890000000001</v>
      </c>
      <c r="AB6732">
        <v>31</v>
      </c>
      <c r="AC6732">
        <v>57.543899999999901</v>
      </c>
      <c r="AD6732">
        <v>0.34423699999999902</v>
      </c>
      <c r="AE6732">
        <v>39.185099999999998</v>
      </c>
      <c r="AF6732">
        <v>-27.9443694435274</v>
      </c>
      <c r="AG6732">
        <v>0.34423699999999902</v>
      </c>
      <c r="AH6732">
        <v>63.762431855212398</v>
      </c>
      <c r="AI6732">
        <v>89.716690627576995</v>
      </c>
      <c r="AJ6732">
        <v>113.665800559171</v>
      </c>
      <c r="AK6732">
        <v>69.617914352550997</v>
      </c>
      <c r="AL6732">
        <v>90.947468465258495</v>
      </c>
      <c r="AM6732">
        <v>88.668597980771807</v>
      </c>
      <c r="AN6732">
        <v>0.99999996199489505</v>
      </c>
    </row>
    <row r="6733" spans="1:40" x14ac:dyDescent="0.25">
      <c r="A6733" t="str">
        <f>"20190312161446643"</f>
        <v>20190312161446643</v>
      </c>
      <c r="B6733" t="str">
        <f>"1552378486633505"</f>
        <v>1552378486633505</v>
      </c>
      <c r="C6733" t="s">
        <v>40</v>
      </c>
      <c r="D6733">
        <v>4.637785</v>
      </c>
      <c r="E6733">
        <v>0.3238202</v>
      </c>
      <c r="F6733" t="s">
        <v>58</v>
      </c>
      <c r="G6733">
        <v>-146.80789999999999</v>
      </c>
      <c r="H6733">
        <v>1.5311159999999999</v>
      </c>
      <c r="I6733">
        <v>-22.650010000000002</v>
      </c>
      <c r="J6733">
        <v>-203.96119999999999</v>
      </c>
      <c r="K6733">
        <v>1.1155170000000001</v>
      </c>
      <c r="L6733">
        <v>-61.803829999999998</v>
      </c>
      <c r="M6733">
        <v>0.98223380000000005</v>
      </c>
      <c r="N6733">
        <v>0</v>
      </c>
      <c r="O6733">
        <v>0.18709049999999999</v>
      </c>
      <c r="P6733">
        <v>0.98592420000000003</v>
      </c>
      <c r="Q6733">
        <v>-3.1099209999999999E-2</v>
      </c>
      <c r="R6733">
        <v>0.164275</v>
      </c>
      <c r="S6733">
        <v>2.73645</v>
      </c>
      <c r="T6733">
        <v>1.9850489999999998E-2</v>
      </c>
      <c r="U6733">
        <v>1.871246</v>
      </c>
      <c r="V6733">
        <v>2.3323279999999998E-2</v>
      </c>
      <c r="W6733">
        <v>-1.6166509999999999E-2</v>
      </c>
      <c r="X6733">
        <v>0.99959730000000002</v>
      </c>
      <c r="Y6733">
        <v>-0.40004139999999999</v>
      </c>
      <c r="Z6733">
        <v>-1.07415E-4</v>
      </c>
      <c r="AA6733">
        <v>0.91649709999999995</v>
      </c>
      <c r="AB6733">
        <v>31</v>
      </c>
      <c r="AC6733">
        <v>57.153300000000002</v>
      </c>
      <c r="AD6733">
        <v>0.415598999999999</v>
      </c>
      <c r="AE6733">
        <v>39.153820000000003</v>
      </c>
      <c r="AF6733">
        <v>-27.767336732683599</v>
      </c>
      <c r="AG6733">
        <v>0.415598999999999</v>
      </c>
      <c r="AH6733">
        <v>63.467715461052997</v>
      </c>
      <c r="AI6733">
        <v>89.656277008814797</v>
      </c>
      <c r="AJ6733">
        <v>113.629537775343</v>
      </c>
      <c r="AK6733">
        <v>69.277331195711</v>
      </c>
      <c r="AL6733">
        <v>90.926313101677906</v>
      </c>
      <c r="AM6733">
        <v>88.663378659671807</v>
      </c>
      <c r="AN6733">
        <v>1.0000000468014101</v>
      </c>
    </row>
    <row r="6734" spans="1:40" x14ac:dyDescent="0.25">
      <c r="A6734" t="str">
        <f>"20190312161446654"</f>
        <v>20190312161446654</v>
      </c>
      <c r="B6734" t="str">
        <f>"1552378486653025"</f>
        <v>1552378486653025</v>
      </c>
      <c r="C6734" t="s">
        <v>40</v>
      </c>
      <c r="D6734">
        <v>4.6396569999999997</v>
      </c>
      <c r="E6734">
        <v>0.32445390000000002</v>
      </c>
      <c r="F6734" t="s">
        <v>58</v>
      </c>
      <c r="G6734">
        <v>-147.02180000000001</v>
      </c>
      <c r="H6734">
        <v>1.569286</v>
      </c>
      <c r="I6734">
        <v>-22.65</v>
      </c>
      <c r="J6734">
        <v>-203.80719999999999</v>
      </c>
      <c r="K6734">
        <v>1.1156060000000001</v>
      </c>
      <c r="L6734">
        <v>-61.771000000000001</v>
      </c>
      <c r="M6734">
        <v>0.98155519999999996</v>
      </c>
      <c r="N6734">
        <v>0</v>
      </c>
      <c r="O6734">
        <v>0.19061790000000001</v>
      </c>
      <c r="P6734">
        <v>0.98528780000000005</v>
      </c>
      <c r="Q6734">
        <v>-3.1039480000000001E-2</v>
      </c>
      <c r="R6734">
        <v>0.16806099999999999</v>
      </c>
      <c r="S6734">
        <v>2.730667</v>
      </c>
      <c r="T6734">
        <v>2.1761300000000001E-2</v>
      </c>
      <c r="U6734">
        <v>1.8777159999999999</v>
      </c>
      <c r="V6734">
        <v>2.3077130000000001E-2</v>
      </c>
      <c r="W6734">
        <v>-1.6096510000000001E-2</v>
      </c>
      <c r="X6734">
        <v>0.9996041</v>
      </c>
      <c r="Y6734">
        <v>-0.39912760000000003</v>
      </c>
      <c r="Z6734" s="1">
        <v>-9.0346210000000007E-5</v>
      </c>
      <c r="AA6734">
        <v>0.91689540000000003</v>
      </c>
      <c r="AB6734">
        <v>31</v>
      </c>
      <c r="AC6734">
        <v>56.785399999999903</v>
      </c>
      <c r="AD6734">
        <v>0.45368000000000003</v>
      </c>
      <c r="AE6734">
        <v>39.121000000000002</v>
      </c>
      <c r="AF6734">
        <v>-27.576867438415299</v>
      </c>
      <c r="AG6734">
        <v>0.45368000000000003</v>
      </c>
      <c r="AH6734">
        <v>63.199201356391299</v>
      </c>
      <c r="AI6734">
        <v>89.623028973974797</v>
      </c>
      <c r="AJ6734">
        <v>113.573970606117</v>
      </c>
      <c r="AK6734">
        <v>68.9552644498158</v>
      </c>
      <c r="AL6734">
        <v>90.922301914693904</v>
      </c>
      <c r="AM6734">
        <v>88.6774890947285</v>
      </c>
      <c r="AN6734">
        <v>1.0000000041500099</v>
      </c>
    </row>
    <row r="6735" spans="1:40" x14ac:dyDescent="0.25">
      <c r="A6735" t="str">
        <f>"20190312161446666"</f>
        <v>20190312161446666</v>
      </c>
      <c r="B6735" t="str">
        <f>"1552378486662793"</f>
        <v>1552378486662793</v>
      </c>
      <c r="C6735" t="s">
        <v>40</v>
      </c>
      <c r="D6735">
        <v>4.6323210000000001</v>
      </c>
      <c r="E6735">
        <v>0.32489449999999997</v>
      </c>
      <c r="F6735" t="s">
        <v>58</v>
      </c>
      <c r="G6735">
        <v>-147.21029999999999</v>
      </c>
      <c r="H6735">
        <v>1.6022670000000001</v>
      </c>
      <c r="I6735">
        <v>-22.65</v>
      </c>
      <c r="J6735">
        <v>-203.65180000000001</v>
      </c>
      <c r="K6735">
        <v>1.115693</v>
      </c>
      <c r="L6735">
        <v>-61.737430000000003</v>
      </c>
      <c r="M6735">
        <v>0.98084959999999999</v>
      </c>
      <c r="N6735">
        <v>0</v>
      </c>
      <c r="O6735">
        <v>0.19421569999999999</v>
      </c>
      <c r="P6735">
        <v>0.98462519999999998</v>
      </c>
      <c r="Q6735">
        <v>-3.082727E-2</v>
      </c>
      <c r="R6735">
        <v>0.17193900000000001</v>
      </c>
      <c r="S6735">
        <v>2.724335</v>
      </c>
      <c r="T6735">
        <v>2.3425580000000001E-2</v>
      </c>
      <c r="U6735">
        <v>1.8831180000000001</v>
      </c>
      <c r="V6735">
        <v>2.280809E-2</v>
      </c>
      <c r="W6735">
        <v>-1.5874220000000001E-2</v>
      </c>
      <c r="X6735">
        <v>0.9996138</v>
      </c>
      <c r="Y6735">
        <v>-0.39799050000000002</v>
      </c>
      <c r="Z6735" s="1">
        <v>-6.6341019999999995E-5</v>
      </c>
      <c r="AA6735">
        <v>0.91738960000000003</v>
      </c>
      <c r="AB6735">
        <v>31</v>
      </c>
      <c r="AC6735">
        <v>56.441499999999998</v>
      </c>
      <c r="AD6735">
        <v>0.48657400000000001</v>
      </c>
      <c r="AE6735">
        <v>39.087429999999998</v>
      </c>
      <c r="AF6735">
        <v>-27.378623693546601</v>
      </c>
      <c r="AG6735">
        <v>0.48657400000000001</v>
      </c>
      <c r="AH6735">
        <v>62.955600212059899</v>
      </c>
      <c r="AI6735">
        <v>89.593916171969994</v>
      </c>
      <c r="AJ6735">
        <v>113.503635241786</v>
      </c>
      <c r="AK6735">
        <v>68.652992561657697</v>
      </c>
      <c r="AL6735">
        <v>90.909564035297606</v>
      </c>
      <c r="AM6735">
        <v>88.692914616481104</v>
      </c>
      <c r="AN6735">
        <v>0.99999997449024802</v>
      </c>
    </row>
    <row r="6736" spans="1:40" x14ac:dyDescent="0.25">
      <c r="A6736" t="str">
        <f>"20190312161446679"</f>
        <v>20190312161446679</v>
      </c>
      <c r="B6736" t="str">
        <f>"1552378486673520"</f>
        <v>1552378486673520</v>
      </c>
      <c r="C6736" t="s">
        <v>40</v>
      </c>
      <c r="D6736">
        <v>4.5758000000000001</v>
      </c>
      <c r="E6736">
        <v>0.32441500000000001</v>
      </c>
      <c r="F6736" t="s">
        <v>58</v>
      </c>
      <c r="G6736">
        <v>-147.4615</v>
      </c>
      <c r="H6736">
        <v>1.601075</v>
      </c>
      <c r="I6736">
        <v>-22.650010000000002</v>
      </c>
      <c r="J6736">
        <v>-203.49289999999999</v>
      </c>
      <c r="K6736">
        <v>1.115785</v>
      </c>
      <c r="L6736">
        <v>-61.702060000000003</v>
      </c>
      <c r="M6736">
        <v>0.98009429999999997</v>
      </c>
      <c r="N6736">
        <v>0</v>
      </c>
      <c r="O6736">
        <v>0.197991</v>
      </c>
      <c r="P6736">
        <v>0.98391839999999997</v>
      </c>
      <c r="Q6736">
        <v>-3.076506E-2</v>
      </c>
      <c r="R6736">
        <v>0.17594889999999999</v>
      </c>
      <c r="S6736">
        <v>2.7174839999999998</v>
      </c>
      <c r="T6736">
        <v>2.3474220000000001E-2</v>
      </c>
      <c r="U6736">
        <v>1.89035</v>
      </c>
      <c r="V6736">
        <v>2.2587590000000001E-2</v>
      </c>
      <c r="W6736">
        <v>-1.579972E-2</v>
      </c>
      <c r="X6736">
        <v>0.99961999999999995</v>
      </c>
      <c r="Y6736">
        <v>-0.39718629999999999</v>
      </c>
      <c r="Z6736" s="1">
        <v>-3.5446140000000002E-5</v>
      </c>
      <c r="AA6736">
        <v>0.91773800000000005</v>
      </c>
      <c r="AB6736">
        <v>31</v>
      </c>
      <c r="AC6736">
        <v>56.031399999999898</v>
      </c>
      <c r="AD6736">
        <v>0.485289999999999</v>
      </c>
      <c r="AE6736">
        <v>39.052050000000001</v>
      </c>
      <c r="AF6736">
        <v>-27.182525008898399</v>
      </c>
      <c r="AG6736">
        <v>0.485289999999999</v>
      </c>
      <c r="AH6736">
        <v>62.6515742196747</v>
      </c>
      <c r="AI6736">
        <v>89.592870754824901</v>
      </c>
      <c r="AJ6736">
        <v>113.454488003397</v>
      </c>
      <c r="AK6736">
        <v>68.296009579234493</v>
      </c>
      <c r="AL6736">
        <v>90.905294952541993</v>
      </c>
      <c r="AM6736">
        <v>88.705554729790506</v>
      </c>
      <c r="AN6736">
        <v>0.99999998738704299</v>
      </c>
    </row>
    <row r="6737" spans="1:40" x14ac:dyDescent="0.25">
      <c r="A6737" t="str">
        <f>"20190312161447213"</f>
        <v>20190312161447213</v>
      </c>
      <c r="B6737" t="str">
        <f>"1552378487203021"</f>
        <v>1552378487203021</v>
      </c>
      <c r="C6737" t="s">
        <v>40</v>
      </c>
      <c r="D6737">
        <v>4.9577390000000001</v>
      </c>
      <c r="E6737">
        <v>0.32448919999999998</v>
      </c>
      <c r="F6737" t="s">
        <v>58</v>
      </c>
      <c r="G6737">
        <v>-147.9624</v>
      </c>
      <c r="H6737">
        <v>1.643283</v>
      </c>
      <c r="I6737">
        <v>-22.650010000000002</v>
      </c>
      <c r="J6737">
        <v>-196.77760000000001</v>
      </c>
      <c r="K6737">
        <v>1.120406</v>
      </c>
      <c r="L6737">
        <v>-59.33466</v>
      </c>
      <c r="M6737">
        <v>0.90232880000000004</v>
      </c>
      <c r="N6737">
        <v>0</v>
      </c>
      <c r="O6737">
        <v>0.43076920000000002</v>
      </c>
      <c r="P6737">
        <v>0.89857039999999999</v>
      </c>
      <c r="Q6737">
        <v>-2.38447E-2</v>
      </c>
      <c r="R6737">
        <v>0.43818119999999999</v>
      </c>
      <c r="S6737">
        <v>2.7091370000000001</v>
      </c>
      <c r="T6737">
        <v>2.5734779999999999E-2</v>
      </c>
      <c r="U6737">
        <v>1.9052119999999999</v>
      </c>
      <c r="V6737">
        <v>-8.0970929999999997E-3</v>
      </c>
      <c r="W6737">
        <v>-8.537523E-3</v>
      </c>
      <c r="X6737">
        <v>0.99993080000000001</v>
      </c>
      <c r="Y6737">
        <v>-0.16672899999999999</v>
      </c>
      <c r="Z6737">
        <v>2.7588320000000001E-3</v>
      </c>
      <c r="AA6737">
        <v>0.98599890000000001</v>
      </c>
      <c r="AB6737">
        <v>30</v>
      </c>
      <c r="AC6737">
        <v>48.815199999999997</v>
      </c>
      <c r="AD6737">
        <v>0.52287700000000004</v>
      </c>
      <c r="AE6737">
        <v>36.684649999999998</v>
      </c>
      <c r="AF6737">
        <v>-12.07409915343</v>
      </c>
      <c r="AG6737">
        <v>0.52287700000000004</v>
      </c>
      <c r="AH6737">
        <v>59.852791795500202</v>
      </c>
      <c r="AI6737">
        <v>89.509357215335001</v>
      </c>
      <c r="AJ6737">
        <v>101.405205841664</v>
      </c>
      <c r="AK6737">
        <v>61.060739894301101</v>
      </c>
      <c r="AL6737">
        <v>90.489169964119</v>
      </c>
      <c r="AM6737">
        <v>90.463951220793504</v>
      </c>
      <c r="AN6737">
        <v>1.00000002850133</v>
      </c>
    </row>
    <row r="6738" spans="1:40" x14ac:dyDescent="0.25">
      <c r="A6738" t="str">
        <f>"20190312161447225"</f>
        <v>20190312161447225</v>
      </c>
      <c r="B6738" t="str">
        <f>"1552378487223517"</f>
        <v>1552378487223517</v>
      </c>
      <c r="C6738" t="s">
        <v>40</v>
      </c>
      <c r="D6738">
        <v>5.1281509999999999</v>
      </c>
      <c r="E6738">
        <v>0.32548949999999999</v>
      </c>
      <c r="F6738" t="s">
        <v>58</v>
      </c>
      <c r="G6738">
        <v>-157.3501</v>
      </c>
      <c r="H6738">
        <v>2.0007769999999998</v>
      </c>
      <c r="I6738">
        <v>-10.707890000000001</v>
      </c>
      <c r="J6738">
        <v>-196.64060000000001</v>
      </c>
      <c r="K6738">
        <v>1.1204769999999999</v>
      </c>
      <c r="L6738">
        <v>-59.262120000000003</v>
      </c>
      <c r="M6738">
        <v>0.89928819999999998</v>
      </c>
      <c r="N6738">
        <v>0</v>
      </c>
      <c r="O6738">
        <v>0.43708049999999998</v>
      </c>
      <c r="P6738">
        <v>0.89501980000000003</v>
      </c>
      <c r="Q6738">
        <v>-2.3417460000000001E-2</v>
      </c>
      <c r="R6738">
        <v>0.44541120000000001</v>
      </c>
      <c r="S6738">
        <v>2.0855709999999998</v>
      </c>
      <c r="T6738">
        <v>4.6568159999999997E-2</v>
      </c>
      <c r="U6738">
        <v>2.572174</v>
      </c>
      <c r="V6738">
        <v>-9.1565759999999996E-3</v>
      </c>
      <c r="W6738">
        <v>-8.11658E-3</v>
      </c>
      <c r="X6738">
        <v>0.99992510000000001</v>
      </c>
      <c r="Y6738">
        <v>-0.4232979</v>
      </c>
      <c r="Z6738">
        <v>3.3381420000000001E-3</v>
      </c>
      <c r="AA6738">
        <v>0.90598440000000002</v>
      </c>
      <c r="AB6738">
        <v>30</v>
      </c>
      <c r="AC6738">
        <v>39.290500000000002</v>
      </c>
      <c r="AD6738">
        <v>0.88029999999999997</v>
      </c>
      <c r="AE6738">
        <v>48.554229999999997</v>
      </c>
      <c r="AF6738">
        <v>-26.489070703473502</v>
      </c>
      <c r="AG6738">
        <v>0.88029999999999997</v>
      </c>
      <c r="AH6738">
        <v>56.551183717864802</v>
      </c>
      <c r="AI6738">
        <v>89.192377207216694</v>
      </c>
      <c r="AJ6738">
        <v>115.098803996093</v>
      </c>
      <c r="AK6738">
        <v>62.453840352017799</v>
      </c>
      <c r="AL6738">
        <v>90.465050901236594</v>
      </c>
      <c r="AM6738">
        <v>90.524657792748101</v>
      </c>
      <c r="AN6738">
        <v>0.99999996368247401</v>
      </c>
    </row>
    <row r="6739" spans="1:40" x14ac:dyDescent="0.25">
      <c r="A6739" t="str">
        <f>"20190312161447236"</f>
        <v>20190312161447236</v>
      </c>
      <c r="B6739" t="str">
        <f>"1552378487233277"</f>
        <v>1552378487233277</v>
      </c>
      <c r="C6739" t="s">
        <v>40</v>
      </c>
      <c r="D6739">
        <v>5.1456629999999999</v>
      </c>
      <c r="E6739">
        <v>0.32610709999999998</v>
      </c>
      <c r="F6739" t="s">
        <v>58</v>
      </c>
      <c r="G6739">
        <v>-157.3501</v>
      </c>
      <c r="H6739">
        <v>1.9633670000000001</v>
      </c>
      <c r="I6739">
        <v>-10.214130000000001</v>
      </c>
      <c r="J6739">
        <v>-196.524</v>
      </c>
      <c r="K6739">
        <v>1.12053799999999</v>
      </c>
      <c r="L6739">
        <v>-59.198970000000003</v>
      </c>
      <c r="M6739">
        <v>0.89662350000000002</v>
      </c>
      <c r="N6739">
        <v>0</v>
      </c>
      <c r="O6739">
        <v>0.44252039999999998</v>
      </c>
      <c r="P6739">
        <v>0.89198920000000004</v>
      </c>
      <c r="Q6739">
        <v>-2.3027019999999999E-2</v>
      </c>
      <c r="R6739">
        <v>0.45147009999999999</v>
      </c>
      <c r="S6739">
        <v>2.0681759999999998</v>
      </c>
      <c r="T6739">
        <v>4.4367789999999997E-2</v>
      </c>
      <c r="U6739">
        <v>2.5817869999999998</v>
      </c>
      <c r="V6739">
        <v>-9.8842050000000001E-3</v>
      </c>
      <c r="W6739">
        <v>-7.7270689999999996E-3</v>
      </c>
      <c r="X6739">
        <v>0.99992130000000001</v>
      </c>
      <c r="Y6739">
        <v>-0.4231683</v>
      </c>
      <c r="Z6739">
        <v>3.2655330000000002E-3</v>
      </c>
      <c r="AA6739">
        <v>0.9060452</v>
      </c>
      <c r="AB6739">
        <v>30</v>
      </c>
      <c r="AC6739">
        <v>39.173900000000003</v>
      </c>
      <c r="AD6739">
        <v>0.84282900000000005</v>
      </c>
      <c r="AE6739">
        <v>48.984839999999899</v>
      </c>
      <c r="AF6739">
        <v>-26.584126024742499</v>
      </c>
      <c r="AG6739">
        <v>0.84282900000000005</v>
      </c>
      <c r="AH6739">
        <v>56.797648699528501</v>
      </c>
      <c r="AI6739">
        <v>89.229999205378604</v>
      </c>
      <c r="AJ6739">
        <v>115.081932915229</v>
      </c>
      <c r="AK6739">
        <v>62.716816046557099</v>
      </c>
      <c r="AL6739">
        <v>90.442732845032197</v>
      </c>
      <c r="AM6739">
        <v>90.566349357425096</v>
      </c>
      <c r="AN6739">
        <v>1.0000000056487499</v>
      </c>
    </row>
    <row r="6740" spans="1:40" x14ac:dyDescent="0.25">
      <c r="A6740" t="str">
        <f>"20190312161447246"</f>
        <v>20190312161447246</v>
      </c>
      <c r="B6740" t="str">
        <f>"1552378487243037"</f>
        <v>1552378487243037</v>
      </c>
      <c r="C6740" t="s">
        <v>40</v>
      </c>
      <c r="D6740">
        <v>5.2524759999999997</v>
      </c>
      <c r="E6740">
        <v>0.32712920000000001</v>
      </c>
      <c r="F6740" t="s">
        <v>58</v>
      </c>
      <c r="G6740">
        <v>-165.7217</v>
      </c>
      <c r="H6740">
        <v>1.7981339999999999</v>
      </c>
      <c r="I6740">
        <v>-20.31495</v>
      </c>
      <c r="J6740">
        <v>-196.39670000000001</v>
      </c>
      <c r="K6740">
        <v>1.1206069999999999</v>
      </c>
      <c r="L6740">
        <v>-59.129579999999997</v>
      </c>
      <c r="M6740">
        <v>0.89366039999999902</v>
      </c>
      <c r="N6740">
        <v>0</v>
      </c>
      <c r="O6740">
        <v>0.44847350000000002</v>
      </c>
      <c r="P6740">
        <v>0.88862369999999902</v>
      </c>
      <c r="Q6740">
        <v>-2.291553E-2</v>
      </c>
      <c r="R6740">
        <v>0.45806429999999998</v>
      </c>
      <c r="S6740">
        <v>2.052826</v>
      </c>
      <c r="T6740">
        <v>4.515839E-2</v>
      </c>
      <c r="U6740">
        <v>2.591431</v>
      </c>
      <c r="V6740">
        <v>-1.0640409999999999E-2</v>
      </c>
      <c r="W6740">
        <v>-7.61669199999999E-3</v>
      </c>
      <c r="X6740">
        <v>0.99991439999999998</v>
      </c>
      <c r="Y6740">
        <v>-0.42207850000000002</v>
      </c>
      <c r="Z6740">
        <v>3.4237590000000002E-3</v>
      </c>
      <c r="AA6740">
        <v>0.90655289999999999</v>
      </c>
      <c r="AB6740">
        <v>30</v>
      </c>
      <c r="AC6740">
        <v>30.675000000000001</v>
      </c>
      <c r="AD6740">
        <v>0.67752699999999999</v>
      </c>
      <c r="AE6740">
        <v>38.814630000000001</v>
      </c>
      <c r="AF6740">
        <v>-20.928787282581101</v>
      </c>
      <c r="AG6740">
        <v>0.67752699999999999</v>
      </c>
      <c r="AH6740">
        <v>44.8173979885769</v>
      </c>
      <c r="AI6740">
        <v>89.215235382145806</v>
      </c>
      <c r="AJ6740">
        <v>115.03159059695599</v>
      </c>
      <c r="AK6740">
        <v>49.467892035357202</v>
      </c>
      <c r="AL6740">
        <v>90.436408516502397</v>
      </c>
      <c r="AM6740">
        <v>90.609679763627696</v>
      </c>
      <c r="AN6740">
        <v>1.0000000198246699</v>
      </c>
    </row>
    <row r="6741" spans="1:40" x14ac:dyDescent="0.25">
      <c r="A6741" t="str">
        <f>"20190312161447258"</f>
        <v>20190312161447258</v>
      </c>
      <c r="B6741" t="str">
        <f>"1552378487252801"</f>
        <v>1552378487252801</v>
      </c>
      <c r="C6741" t="s">
        <v>40</v>
      </c>
      <c r="D6741">
        <v>5.2201019999999998</v>
      </c>
      <c r="E6741">
        <v>0.32815480000000002</v>
      </c>
      <c r="F6741" t="s">
        <v>58</v>
      </c>
      <c r="G6741">
        <v>-165.97149999999999</v>
      </c>
      <c r="H6741">
        <v>1.7938909999999999</v>
      </c>
      <c r="I6741">
        <v>-20.31495</v>
      </c>
      <c r="J6741">
        <v>-196.26140000000001</v>
      </c>
      <c r="K6741">
        <v>1.1206849999999999</v>
      </c>
      <c r="L6741">
        <v>-59.053769999999901</v>
      </c>
      <c r="M6741">
        <v>0.89040490000000005</v>
      </c>
      <c r="N6741">
        <v>0</v>
      </c>
      <c r="O6741">
        <v>0.45490219999999998</v>
      </c>
      <c r="P6741">
        <v>0.88492780000000004</v>
      </c>
      <c r="Q6741">
        <v>-2.261316E-2</v>
      </c>
      <c r="R6741">
        <v>0.46517910000000001</v>
      </c>
      <c r="S6741">
        <v>2.037369</v>
      </c>
      <c r="T6741">
        <v>4.5085189999999997E-2</v>
      </c>
      <c r="U6741">
        <v>2.5991520000000001</v>
      </c>
      <c r="V6741">
        <v>-1.1459570000000001E-2</v>
      </c>
      <c r="W6741">
        <v>-7.3150699999999999E-3</v>
      </c>
      <c r="X6741">
        <v>0.99990760000000001</v>
      </c>
      <c r="Y6741">
        <v>-0.42018670000000002</v>
      </c>
      <c r="Z6741">
        <v>3.5327380000000001E-3</v>
      </c>
      <c r="AA6741">
        <v>0.90743079999999998</v>
      </c>
      <c r="AB6741">
        <v>30</v>
      </c>
      <c r="AC6741">
        <v>30.289899999999999</v>
      </c>
      <c r="AD6741">
        <v>0.67320599999999997</v>
      </c>
      <c r="AE6741">
        <v>38.738819999999897</v>
      </c>
      <c r="AF6741">
        <v>-20.7129293581078</v>
      </c>
      <c r="AG6741">
        <v>0.67320599999999997</v>
      </c>
      <c r="AH6741">
        <v>44.5897142458128</v>
      </c>
      <c r="AI6741">
        <v>89.215521465918599</v>
      </c>
      <c r="AJ6741">
        <v>114.91593279179099</v>
      </c>
      <c r="AK6741">
        <v>49.170329116608997</v>
      </c>
      <c r="AL6741">
        <v>90.419126367331501</v>
      </c>
      <c r="AM6741">
        <v>90.656616923095797</v>
      </c>
      <c r="AN6741">
        <v>1.00000002026572</v>
      </c>
    </row>
    <row r="6742" spans="1:40" x14ac:dyDescent="0.25">
      <c r="A6742" t="str">
        <f>"20190312161447270"</f>
        <v>20190312161447270</v>
      </c>
      <c r="B6742" t="str">
        <f>"1552378487263533"</f>
        <v>1552378487263533</v>
      </c>
      <c r="C6742" t="s">
        <v>40</v>
      </c>
      <c r="D6742">
        <v>5.2342930000000001</v>
      </c>
      <c r="E6742">
        <v>0.32815480000000002</v>
      </c>
      <c r="F6742" t="s">
        <v>58</v>
      </c>
      <c r="G6742">
        <v>-166.2561</v>
      </c>
      <c r="H6742">
        <v>1.772043</v>
      </c>
      <c r="I6742">
        <v>-20.31495</v>
      </c>
      <c r="J6742">
        <v>-196.13059999999999</v>
      </c>
      <c r="K6742">
        <v>1.1207560000000001</v>
      </c>
      <c r="L6742">
        <v>-58.979889999999997</v>
      </c>
      <c r="M6742">
        <v>0.88719359999999903</v>
      </c>
      <c r="N6742">
        <v>0</v>
      </c>
      <c r="O6742">
        <v>0.46113290000000001</v>
      </c>
      <c r="P6742">
        <v>0.88139650000000003</v>
      </c>
      <c r="Q6742">
        <v>-2.2319619999999998E-2</v>
      </c>
      <c r="R6742">
        <v>0.47184979999999999</v>
      </c>
      <c r="S6742">
        <v>2.020203</v>
      </c>
      <c r="T6742">
        <v>4.3854709999999998E-2</v>
      </c>
      <c r="U6742">
        <v>2.608215</v>
      </c>
      <c r="V6742">
        <v>-1.200505E-2</v>
      </c>
      <c r="W6742">
        <v>-7.0165990000000001E-3</v>
      </c>
      <c r="X6742">
        <v>0.99990330000000005</v>
      </c>
      <c r="Y6742">
        <v>-0.41907949999999999</v>
      </c>
      <c r="Z6742">
        <v>3.5396519999999999E-3</v>
      </c>
      <c r="AA6742">
        <v>0.90794269999999999</v>
      </c>
      <c r="AB6742">
        <v>30</v>
      </c>
      <c r="AC6742">
        <v>29.874499999999902</v>
      </c>
      <c r="AD6742">
        <v>0.65128699999999995</v>
      </c>
      <c r="AE6742">
        <v>38.664940000000001</v>
      </c>
      <c r="AF6742">
        <v>-20.526030092444799</v>
      </c>
      <c r="AG6742">
        <v>0.65128699999999995</v>
      </c>
      <c r="AH6742">
        <v>44.331673785428301</v>
      </c>
      <c r="AI6742">
        <v>89.236202711018706</v>
      </c>
      <c r="AJ6742">
        <v>114.844631622519</v>
      </c>
      <c r="AK6742">
        <v>48.857337081854403</v>
      </c>
      <c r="AL6742">
        <v>90.402024815463307</v>
      </c>
      <c r="AM6742">
        <v>90.687872167496593</v>
      </c>
      <c r="AN6742">
        <v>0.99999998161895898</v>
      </c>
    </row>
    <row r="6743" spans="1:40" x14ac:dyDescent="0.25">
      <c r="A6743" t="str">
        <f>"20190312161447281"</f>
        <v>20190312161447281</v>
      </c>
      <c r="B6743" t="str">
        <f>"1552378487273293"</f>
        <v>1552378487273293</v>
      </c>
      <c r="C6743" t="s">
        <v>40</v>
      </c>
      <c r="D6743">
        <v>5.1628189999999998</v>
      </c>
      <c r="E6743">
        <v>0.34774250000000001</v>
      </c>
      <c r="F6743" t="s">
        <v>58</v>
      </c>
      <c r="G6743">
        <v>-166.6499</v>
      </c>
      <c r="H6743">
        <v>1.776057</v>
      </c>
      <c r="I6743">
        <v>-20.31495</v>
      </c>
      <c r="J6743">
        <v>-196.0119</v>
      </c>
      <c r="K6743">
        <v>1.1208199999999999</v>
      </c>
      <c r="L6743">
        <v>-58.911219999999901</v>
      </c>
      <c r="M6743">
        <v>0.88419119999999995</v>
      </c>
      <c r="N6743">
        <v>0</v>
      </c>
      <c r="O6743">
        <v>0.46686329999999998</v>
      </c>
      <c r="P6743">
        <v>0.87809020000000004</v>
      </c>
      <c r="Q6743">
        <v>-2.1860339999999999E-2</v>
      </c>
      <c r="R6743">
        <v>0.47799570000000002</v>
      </c>
      <c r="S6743">
        <v>2.0003359999999999</v>
      </c>
      <c r="T6743">
        <v>4.4463629999999997E-2</v>
      </c>
      <c r="U6743">
        <v>2.6235050000000002</v>
      </c>
      <c r="V6743">
        <v>-1.2527170000000001E-2</v>
      </c>
      <c r="W6743">
        <v>-6.5526909999999898E-3</v>
      </c>
      <c r="X6743">
        <v>0.99990000000000001</v>
      </c>
      <c r="Y6743">
        <v>-0.42010429999999999</v>
      </c>
      <c r="Z6743">
        <v>3.6678470000000001E-3</v>
      </c>
      <c r="AA6743">
        <v>0.90746839999999995</v>
      </c>
      <c r="AB6743">
        <v>30</v>
      </c>
      <c r="AC6743">
        <v>29.361999999999899</v>
      </c>
      <c r="AD6743">
        <v>0.65523699999999896</v>
      </c>
      <c r="AE6743">
        <v>38.596269999999897</v>
      </c>
      <c r="AF6743">
        <v>-20.417212222547899</v>
      </c>
      <c r="AG6743">
        <v>0.65523699999999896</v>
      </c>
      <c r="AH6743">
        <v>43.978154929423397</v>
      </c>
      <c r="AI6743">
        <v>89.2257632598822</v>
      </c>
      <c r="AJ6743">
        <v>114.903464587428</v>
      </c>
      <c r="AK6743">
        <v>48.490927001482497</v>
      </c>
      <c r="AL6743">
        <v>90.375444248524801</v>
      </c>
      <c r="AM6743">
        <v>90.717788199381403</v>
      </c>
      <c r="AN6743">
        <v>0.99999993887377303</v>
      </c>
    </row>
    <row r="6744" spans="1:40" x14ac:dyDescent="0.25">
      <c r="A6744" t="str">
        <f>"20190312161447291"</f>
        <v>20190312161447291</v>
      </c>
      <c r="B6744" t="str">
        <f>"1552378487283053"</f>
        <v>1552378487283053</v>
      </c>
      <c r="C6744" t="s">
        <v>40</v>
      </c>
      <c r="D6744">
        <v>5.2553900000000002</v>
      </c>
      <c r="E6744">
        <v>0.35100989999999999</v>
      </c>
      <c r="F6744" t="s">
        <v>58</v>
      </c>
      <c r="G6744">
        <v>-157.3501</v>
      </c>
      <c r="H6744">
        <v>1.8116410000000001</v>
      </c>
      <c r="I6744">
        <v>-11.90522</v>
      </c>
      <c r="J6744">
        <v>-195.88839999999999</v>
      </c>
      <c r="K6744">
        <v>1.1208830000000001</v>
      </c>
      <c r="L6744">
        <v>-58.839019999999998</v>
      </c>
      <c r="M6744">
        <v>0.88100309999999904</v>
      </c>
      <c r="N6744">
        <v>0</v>
      </c>
      <c r="O6744">
        <v>0.47285129999999997</v>
      </c>
      <c r="P6744">
        <v>0.87446089999999999</v>
      </c>
      <c r="Q6744">
        <v>-2.1689E-2</v>
      </c>
      <c r="R6744">
        <v>0.48461090000000001</v>
      </c>
      <c r="S6744">
        <v>2.0563959999999999</v>
      </c>
      <c r="T6744">
        <v>3.6744119999999998E-2</v>
      </c>
      <c r="U6744">
        <v>2.5002140000000002</v>
      </c>
      <c r="V6744">
        <v>-1.329291E-2</v>
      </c>
      <c r="W6744">
        <v>-6.3830659999999997E-3</v>
      </c>
      <c r="X6744">
        <v>0.99989130000000004</v>
      </c>
      <c r="Y6744">
        <v>-0.380102</v>
      </c>
      <c r="Z6744">
        <v>3.392768E-3</v>
      </c>
      <c r="AA6744">
        <v>0.92493829999999999</v>
      </c>
      <c r="AB6744">
        <v>30</v>
      </c>
      <c r="AC6744">
        <v>38.5382999999999</v>
      </c>
      <c r="AD6744">
        <v>0.69075799999999998</v>
      </c>
      <c r="AE6744">
        <v>46.933799999999998</v>
      </c>
      <c r="AF6744">
        <v>-23.125781652843798</v>
      </c>
      <c r="AG6744">
        <v>0.69075799999999998</v>
      </c>
      <c r="AH6744">
        <v>56.144690436512803</v>
      </c>
      <c r="AI6744">
        <v>89.348234148755495</v>
      </c>
      <c r="AJ6744">
        <v>112.38657398910399</v>
      </c>
      <c r="AK6744">
        <v>60.724831723780198</v>
      </c>
      <c r="AL6744">
        <v>90.365725215284201</v>
      </c>
      <c r="AM6744">
        <v>90.761665568260099</v>
      </c>
      <c r="AN6744">
        <v>1.0000000284017501</v>
      </c>
    </row>
    <row r="6745" spans="1:40" x14ac:dyDescent="0.25">
      <c r="A6745" t="str">
        <f>"20190312161447302"</f>
        <v>20190312161447302</v>
      </c>
      <c r="B6745" t="str">
        <f>"1552378487292813"</f>
        <v>1552378487292813</v>
      </c>
      <c r="C6745" t="s">
        <v>40</v>
      </c>
      <c r="D6745">
        <v>5.2512400000000001</v>
      </c>
      <c r="E6745">
        <v>0.3509987</v>
      </c>
      <c r="F6745" t="s">
        <v>58</v>
      </c>
      <c r="G6745">
        <v>-157.3501</v>
      </c>
      <c r="H6745">
        <v>1.476707</v>
      </c>
      <c r="I6745">
        <v>-11.96674</v>
      </c>
      <c r="J6745">
        <v>-195.76679999999999</v>
      </c>
      <c r="K6745">
        <v>1.120949</v>
      </c>
      <c r="L6745">
        <v>-58.766570000000002</v>
      </c>
      <c r="M6745">
        <v>0.87778369999999994</v>
      </c>
      <c r="N6745">
        <v>0</v>
      </c>
      <c r="O6745">
        <v>0.47880070000000002</v>
      </c>
      <c r="P6745">
        <v>0.87086390000000002</v>
      </c>
      <c r="Q6745">
        <v>-2.1396749999999999E-2</v>
      </c>
      <c r="R6745">
        <v>0.4910583</v>
      </c>
      <c r="S6745">
        <v>2.049652</v>
      </c>
      <c r="T6745">
        <v>1.8924239999999998E-2</v>
      </c>
      <c r="U6745">
        <v>2.4928889999999999</v>
      </c>
      <c r="V6745">
        <v>-1.391847E-2</v>
      </c>
      <c r="W6745">
        <v>-6.0888409999999898E-3</v>
      </c>
      <c r="X6745">
        <v>0.99988460000000001</v>
      </c>
      <c r="Y6745">
        <v>-0.37399320000000003</v>
      </c>
      <c r="Z6745">
        <v>1.809047E-3</v>
      </c>
      <c r="AA6745">
        <v>0.92742970000000002</v>
      </c>
      <c r="AB6745">
        <v>30</v>
      </c>
      <c r="AC6745">
        <v>38.416699999999899</v>
      </c>
      <c r="AD6745">
        <v>0.35575800000000002</v>
      </c>
      <c r="AE6745">
        <v>46.799829999999901</v>
      </c>
      <c r="AF6745">
        <v>-22.688188942189299</v>
      </c>
      <c r="AG6745">
        <v>0.35575800000000002</v>
      </c>
      <c r="AH6745">
        <v>56.134302302965999</v>
      </c>
      <c r="AI6745">
        <v>89.6633434196292</v>
      </c>
      <c r="AJ6745">
        <v>112.007421709985</v>
      </c>
      <c r="AK6745">
        <v>60.547009639385301</v>
      </c>
      <c r="AL6745">
        <v>90.348867045159594</v>
      </c>
      <c r="AM6745">
        <v>90.7975101187657</v>
      </c>
      <c r="AN6745">
        <v>1.00000000555451</v>
      </c>
    </row>
    <row r="6746" spans="1:40" x14ac:dyDescent="0.25">
      <c r="A6746" t="str">
        <f>"20190312161447314"</f>
        <v>20190312161447314</v>
      </c>
      <c r="B6746" t="str">
        <f>"1552378487303549"</f>
        <v>1552378487303549</v>
      </c>
      <c r="C6746" t="s">
        <v>40</v>
      </c>
      <c r="D6746">
        <v>5.1448070000000001</v>
      </c>
      <c r="E6746">
        <v>0.35158610000000001</v>
      </c>
      <c r="F6746" t="s">
        <v>58</v>
      </c>
      <c r="G6746">
        <v>-157.3501</v>
      </c>
      <c r="H6746">
        <v>1.6020669999999999</v>
      </c>
      <c r="I6746">
        <v>-11.33197</v>
      </c>
      <c r="J6746">
        <v>-195.6455</v>
      </c>
      <c r="K6746">
        <v>1.1210100000000001</v>
      </c>
      <c r="L6746">
        <v>-58.693150000000003</v>
      </c>
      <c r="M6746">
        <v>0.87449469999999996</v>
      </c>
      <c r="N6746">
        <v>0</v>
      </c>
      <c r="O6746">
        <v>0.48478090000000001</v>
      </c>
      <c r="P6746">
        <v>0.8671065</v>
      </c>
      <c r="Q6746">
        <v>-2.1213119999999999E-2</v>
      </c>
      <c r="R6746">
        <v>0.49767080000000002</v>
      </c>
      <c r="S6746">
        <v>2.03125</v>
      </c>
      <c r="T6746">
        <v>2.5438550000000001E-2</v>
      </c>
      <c r="U6746">
        <v>2.508057</v>
      </c>
      <c r="V6746">
        <v>-1.470422E-2</v>
      </c>
      <c r="W6746">
        <v>-5.9080080000000002E-3</v>
      </c>
      <c r="X6746">
        <v>0.99987440000000005</v>
      </c>
      <c r="Y6746">
        <v>-0.37451640000000003</v>
      </c>
      <c r="Z6746">
        <v>2.4818230000000002E-3</v>
      </c>
      <c r="AA6746">
        <v>0.92721690000000001</v>
      </c>
      <c r="AB6746">
        <v>30</v>
      </c>
      <c r="AC6746">
        <v>38.295400000000001</v>
      </c>
      <c r="AD6746">
        <v>0.48105699999999901</v>
      </c>
      <c r="AE6746">
        <v>47.361179999999997</v>
      </c>
      <c r="AF6746">
        <v>-22.8536137910626</v>
      </c>
      <c r="AG6746">
        <v>0.48105699999999901</v>
      </c>
      <c r="AH6746">
        <v>56.452356730895097</v>
      </c>
      <c r="AI6746">
        <v>89.547443741356503</v>
      </c>
      <c r="AJ6746">
        <v>112.039584628314</v>
      </c>
      <c r="AK6746">
        <v>60.9047425051657</v>
      </c>
      <c r="AL6746">
        <v>90.338505904081899</v>
      </c>
      <c r="AM6746">
        <v>90.842534842648703</v>
      </c>
      <c r="AN6746">
        <v>0.99999996720984696</v>
      </c>
    </row>
    <row r="6747" spans="1:40" x14ac:dyDescent="0.25">
      <c r="A6747" t="str">
        <f>"20190312161447472"</f>
        <v>20190312161447472</v>
      </c>
      <c r="B6747" t="str">
        <f>"1552378487463613"</f>
        <v>1552378487463613</v>
      </c>
      <c r="C6747" t="s">
        <v>40</v>
      </c>
      <c r="D6747">
        <v>5.2870309999999998</v>
      </c>
      <c r="E6747">
        <v>0.35158610000000001</v>
      </c>
      <c r="F6747" t="s">
        <v>58</v>
      </c>
      <c r="G6747">
        <v>-157.3501</v>
      </c>
      <c r="H6747">
        <v>1.3505860000000001</v>
      </c>
      <c r="I6747">
        <v>-10.789440000000001</v>
      </c>
      <c r="J6747">
        <v>-193.96639999999999</v>
      </c>
      <c r="K6747">
        <v>1.1217980000000001</v>
      </c>
      <c r="L6747">
        <v>-57.543239999999997</v>
      </c>
      <c r="M6747">
        <v>0.81986759999999903</v>
      </c>
      <c r="N6747">
        <v>0</v>
      </c>
      <c r="O6747">
        <v>0.57233009999999995</v>
      </c>
      <c r="P6747">
        <v>0.81068779999999996</v>
      </c>
      <c r="Q6747">
        <v>-2.1666999999999999E-2</v>
      </c>
      <c r="R6747">
        <v>0.58507759999999998</v>
      </c>
      <c r="S6747">
        <v>2.014084</v>
      </c>
      <c r="T6747">
        <v>1.2074110000000001E-2</v>
      </c>
      <c r="U6747">
        <v>2.519409</v>
      </c>
      <c r="V6747">
        <v>-1.553855E-2</v>
      </c>
      <c r="W6747">
        <v>-6.1335959999999998E-3</v>
      </c>
      <c r="X6747">
        <v>0.99986050000000004</v>
      </c>
      <c r="Y6747">
        <v>-0.28304990000000002</v>
      </c>
      <c r="Z6747">
        <v>1.69921E-3</v>
      </c>
      <c r="AA6747">
        <v>0.9591037</v>
      </c>
      <c r="AB6747">
        <v>29</v>
      </c>
      <c r="AC6747">
        <v>36.616300000000003</v>
      </c>
      <c r="AD6747">
        <v>0.22878799999999999</v>
      </c>
      <c r="AE6747">
        <v>46.753799999999998</v>
      </c>
      <c r="AF6747">
        <v>-17.377276273806601</v>
      </c>
      <c r="AG6747">
        <v>0.22878799999999999</v>
      </c>
      <c r="AH6747">
        <v>56.7855335791307</v>
      </c>
      <c r="AI6747">
        <v>89.779261705179195</v>
      </c>
      <c r="AJ6747">
        <v>107.01494380832401</v>
      </c>
      <c r="AK6747">
        <v>59.385342455118703</v>
      </c>
      <c r="AL6747">
        <v>90.351431352308197</v>
      </c>
      <c r="AM6747">
        <v>90.890345875644201</v>
      </c>
      <c r="AN6747">
        <v>1.00000004349812</v>
      </c>
    </row>
    <row r="6748" spans="1:40" x14ac:dyDescent="0.25">
      <c r="A6748" t="str">
        <f>"20190312161447483"</f>
        <v>20190312161447483</v>
      </c>
      <c r="B6748" t="str">
        <f>"1552378487473374"</f>
        <v>1552378487473374</v>
      </c>
      <c r="C6748" t="s">
        <v>40</v>
      </c>
      <c r="D6748">
        <v>5.2103229999999998</v>
      </c>
      <c r="E6748">
        <v>0.3541764</v>
      </c>
      <c r="F6748" t="s">
        <v>58</v>
      </c>
      <c r="G6748">
        <v>-168.45050000000001</v>
      </c>
      <c r="H6748">
        <v>1.388765</v>
      </c>
      <c r="I6748">
        <v>-17.7746</v>
      </c>
      <c r="J6748">
        <v>-193.85679999999999</v>
      </c>
      <c r="K6748">
        <v>1.1218410000000001</v>
      </c>
      <c r="L6748">
        <v>-57.458399999999997</v>
      </c>
      <c r="M6748">
        <v>0.81563330000000001</v>
      </c>
      <c r="N6748">
        <v>0</v>
      </c>
      <c r="O6748">
        <v>0.57834799999999997</v>
      </c>
      <c r="P6748">
        <v>0.80653900000000001</v>
      </c>
      <c r="Q6748">
        <v>-2.1758679999999999E-2</v>
      </c>
      <c r="R6748">
        <v>0.59078039999999998</v>
      </c>
      <c r="S6748">
        <v>1.741806</v>
      </c>
      <c r="T6748">
        <v>1.8224000000000001E-2</v>
      </c>
      <c r="U6748">
        <v>2.7147519999999998</v>
      </c>
      <c r="V6748">
        <v>-1.523103E-2</v>
      </c>
      <c r="W6748">
        <v>-6.2001649999999997E-3</v>
      </c>
      <c r="X6748">
        <v>0.9998648</v>
      </c>
      <c r="Y6748">
        <v>-0.37421720000000003</v>
      </c>
      <c r="Z6748">
        <v>2.3731799999999999E-3</v>
      </c>
      <c r="AA6748">
        <v>0.92733810000000005</v>
      </c>
      <c r="AB6748">
        <v>29</v>
      </c>
      <c r="AC6748">
        <v>25.406299999999899</v>
      </c>
      <c r="AD6748">
        <v>0.266923999999999</v>
      </c>
      <c r="AE6748">
        <v>39.683799999999998</v>
      </c>
      <c r="AF6748">
        <v>-17.675440642793799</v>
      </c>
      <c r="AG6748">
        <v>0.266923999999999</v>
      </c>
      <c r="AH6748">
        <v>43.6774583764699</v>
      </c>
      <c r="AI6748">
        <v>89.675424842478506</v>
      </c>
      <c r="AJ6748">
        <v>112.032247369448</v>
      </c>
      <c r="AK6748">
        <v>47.119134335925203</v>
      </c>
      <c r="AL6748">
        <v>90.355245554948496</v>
      </c>
      <c r="AM6748">
        <v>90.872724237904904</v>
      </c>
      <c r="AN6748">
        <v>1.0000000222999601</v>
      </c>
    </row>
    <row r="6749" spans="1:40" x14ac:dyDescent="0.25">
      <c r="A6749" t="str">
        <f>"20190312161447493"</f>
        <v>20190312161447493</v>
      </c>
      <c r="B6749" t="str">
        <f>"1552378487483134"</f>
        <v>1552378487483134</v>
      </c>
      <c r="C6749" t="s">
        <v>40</v>
      </c>
      <c r="D6749">
        <v>5.1937819999999997</v>
      </c>
      <c r="E6749">
        <v>0.35403069999999998</v>
      </c>
      <c r="F6749" t="s">
        <v>77</v>
      </c>
      <c r="G6749">
        <v>-183.53049999999999</v>
      </c>
      <c r="H6749" s="1">
        <v>-6.7076879999999998E-6</v>
      </c>
      <c r="I6749">
        <v>-41.259210000000003</v>
      </c>
      <c r="J6749">
        <v>-193.7492</v>
      </c>
      <c r="K6749">
        <v>1.121885</v>
      </c>
      <c r="L6749">
        <v>-57.373690000000003</v>
      </c>
      <c r="M6749">
        <v>0.81138279999999996</v>
      </c>
      <c r="N6749">
        <v>0</v>
      </c>
      <c r="O6749">
        <v>0.58429569999999997</v>
      </c>
      <c r="P6749">
        <v>0.80234519999999998</v>
      </c>
      <c r="Q6749">
        <v>-2.1749460000000002E-2</v>
      </c>
      <c r="R6749">
        <v>0.59646390000000005</v>
      </c>
      <c r="S6749">
        <v>1.728424</v>
      </c>
      <c r="T6749">
        <v>-0.1877751</v>
      </c>
      <c r="U6749">
        <v>2.7114259999999999</v>
      </c>
      <c r="V6749">
        <v>-1.498502E-2</v>
      </c>
      <c r="W6749">
        <v>-6.1679259999999998E-3</v>
      </c>
      <c r="X6749">
        <v>0.99986870000000005</v>
      </c>
      <c r="Y6749">
        <v>-0.37036849999999999</v>
      </c>
      <c r="Z6749">
        <v>-2.4997399999999999E-2</v>
      </c>
      <c r="AA6749">
        <v>0.9285485</v>
      </c>
      <c r="AB6749">
        <v>29</v>
      </c>
      <c r="AC6749">
        <v>10.2187</v>
      </c>
      <c r="AD6749">
        <v>-1.121891707688</v>
      </c>
      <c r="AE6749">
        <v>16.11448</v>
      </c>
      <c r="AF6749">
        <v>-7.0807036022497396</v>
      </c>
      <c r="AG6749">
        <v>-1.121891707688</v>
      </c>
      <c r="AH6749">
        <v>17.648162590662398</v>
      </c>
      <c r="AI6749">
        <v>93.376446075139</v>
      </c>
      <c r="AJ6749">
        <v>111.86138567139901</v>
      </c>
      <c r="AK6749">
        <v>19.0486914861138</v>
      </c>
      <c r="AL6749">
        <v>90.353398366903804</v>
      </c>
      <c r="AM6749">
        <v>90.858626866579698</v>
      </c>
      <c r="AN6749">
        <v>1.0000000056876099</v>
      </c>
    </row>
    <row r="6750" spans="1:40" x14ac:dyDescent="0.25">
      <c r="A6750" t="str">
        <f>"20190312161447504"</f>
        <v>20190312161447504</v>
      </c>
      <c r="B6750" t="str">
        <f>"1552378487492893"</f>
        <v>1552378487492893</v>
      </c>
      <c r="C6750" t="s">
        <v>40</v>
      </c>
      <c r="D6750">
        <v>5.2937830000000003</v>
      </c>
      <c r="E6750">
        <v>0.35331200000000001</v>
      </c>
      <c r="F6750" t="s">
        <v>77</v>
      </c>
      <c r="G6750">
        <v>-183.6832</v>
      </c>
      <c r="H6750" s="1">
        <v>-6.7047229999999999E-6</v>
      </c>
      <c r="I6750">
        <v>-41.319380000000002</v>
      </c>
      <c r="J6750">
        <v>-193.6379</v>
      </c>
      <c r="K6750">
        <v>1.1219269999999999</v>
      </c>
      <c r="L6750">
        <v>-57.285060000000001</v>
      </c>
      <c r="M6750">
        <v>0.80690509999999904</v>
      </c>
      <c r="N6750">
        <v>0</v>
      </c>
      <c r="O6750">
        <v>0.59046350000000003</v>
      </c>
      <c r="P6750">
        <v>0.79775359999999995</v>
      </c>
      <c r="Q6750">
        <v>-2.1439759999999999E-2</v>
      </c>
      <c r="R6750">
        <v>0.60260239999999998</v>
      </c>
      <c r="S6750">
        <v>1.708359</v>
      </c>
      <c r="T6750">
        <v>-0.19040270000000001</v>
      </c>
      <c r="U6750">
        <v>2.7246700000000001</v>
      </c>
      <c r="V6750">
        <v>-1.503845E-2</v>
      </c>
      <c r="W6750">
        <v>-5.8434079999999996E-3</v>
      </c>
      <c r="X6750">
        <v>0.99986980000000003</v>
      </c>
      <c r="Y6750">
        <v>-0.3702416</v>
      </c>
      <c r="Z6750">
        <v>-2.576148E-2</v>
      </c>
      <c r="AA6750">
        <v>0.92857820000000002</v>
      </c>
      <c r="AB6750">
        <v>29</v>
      </c>
      <c r="AC6750">
        <v>9.9547000000000008</v>
      </c>
      <c r="AD6750">
        <v>-1.121933704723</v>
      </c>
      <c r="AE6750">
        <v>15.965680000000001</v>
      </c>
      <c r="AF6750">
        <v>-6.9809792858846196</v>
      </c>
      <c r="AG6750">
        <v>-1.121933704723</v>
      </c>
      <c r="AH6750">
        <v>17.400023321498299</v>
      </c>
      <c r="AI6750">
        <v>93.424622537632601</v>
      </c>
      <c r="AJ6750">
        <v>111.860911512976</v>
      </c>
      <c r="AK6750">
        <v>18.781736304623902</v>
      </c>
      <c r="AL6750">
        <v>90.334804535567798</v>
      </c>
      <c r="AM6750">
        <v>90.861686944254402</v>
      </c>
      <c r="AN6750">
        <v>0.99999995867374702</v>
      </c>
    </row>
    <row r="6751" spans="1:40" x14ac:dyDescent="0.25">
      <c r="A6751" t="str">
        <f>"20190312161447517"</f>
        <v>20190312161447517</v>
      </c>
      <c r="B6751" t="str">
        <f>"1552378487513391"</f>
        <v>1552378487513391</v>
      </c>
      <c r="C6751" t="s">
        <v>40</v>
      </c>
      <c r="D6751">
        <v>5.2977179999999997</v>
      </c>
      <c r="E6751">
        <v>0.35373209999999999</v>
      </c>
      <c r="F6751" t="s">
        <v>42</v>
      </c>
      <c r="G6751">
        <v>-182.56309999999999</v>
      </c>
      <c r="H6751" s="1">
        <v>-2.3514059999999998E-6</v>
      </c>
      <c r="I6751">
        <v>-39.256950000000003</v>
      </c>
      <c r="J6751">
        <v>-193.52440000000001</v>
      </c>
      <c r="K6751">
        <v>1.121969</v>
      </c>
      <c r="L6751">
        <v>-57.192599999999999</v>
      </c>
      <c r="M6751">
        <v>0.80221430000000005</v>
      </c>
      <c r="N6751">
        <v>0</v>
      </c>
      <c r="O6751">
        <v>0.59682019999999902</v>
      </c>
      <c r="P6751">
        <v>0.79296420000000001</v>
      </c>
      <c r="Q6751">
        <v>-2.147659E-2</v>
      </c>
      <c r="R6751">
        <v>0.60888980000000004</v>
      </c>
      <c r="S6751">
        <v>1.6845699999999999</v>
      </c>
      <c r="T6751">
        <v>-0.17065420000000001</v>
      </c>
      <c r="U6751">
        <v>2.7422179999999998</v>
      </c>
      <c r="V6751">
        <v>-1.5041779999999999E-2</v>
      </c>
      <c r="W6751">
        <v>-5.8639520000000004E-3</v>
      </c>
      <c r="X6751">
        <v>0.99986960000000003</v>
      </c>
      <c r="Y6751">
        <v>-0.371369</v>
      </c>
      <c r="Z6751">
        <v>-2.3435620000000001E-2</v>
      </c>
      <c r="AA6751">
        <v>0.92818959999999995</v>
      </c>
      <c r="AB6751">
        <v>29</v>
      </c>
      <c r="AC6751">
        <v>10.9613</v>
      </c>
      <c r="AD6751">
        <v>-1.1219713514059999</v>
      </c>
      <c r="AE6751">
        <v>17.9356499999999</v>
      </c>
      <c r="AF6751">
        <v>-7.82502756093887</v>
      </c>
      <c r="AG6751">
        <v>-1.1219713514059999</v>
      </c>
      <c r="AH6751">
        <v>19.444784942730699</v>
      </c>
      <c r="AI6751">
        <v>93.064039310332802</v>
      </c>
      <c r="AJ6751">
        <v>111.920985565663</v>
      </c>
      <c r="AK6751">
        <v>20.990224808512099</v>
      </c>
      <c r="AL6751">
        <v>90.335981650234004</v>
      </c>
      <c r="AM6751">
        <v>90.861877893251105</v>
      </c>
      <c r="AN6751">
        <v>0.99999992904139001</v>
      </c>
    </row>
    <row r="6752" spans="1:40" x14ac:dyDescent="0.25">
      <c r="A6752" t="str">
        <f>"20190312161447529"</f>
        <v>20190312161447529</v>
      </c>
      <c r="B6752" t="str">
        <f>"1552378487523149"</f>
        <v>1552378487523149</v>
      </c>
      <c r="C6752" t="s">
        <v>40</v>
      </c>
      <c r="D6752">
        <v>5.3129169999999997</v>
      </c>
      <c r="E6752">
        <v>0.35372389999999998</v>
      </c>
      <c r="F6752" t="s">
        <v>42</v>
      </c>
      <c r="G6752">
        <v>-181.85380000000001</v>
      </c>
      <c r="H6752" s="1">
        <v>-3.002091E-6</v>
      </c>
      <c r="I6752">
        <v>-37.899439999999998</v>
      </c>
      <c r="J6752">
        <v>-193.4136</v>
      </c>
      <c r="K6752">
        <v>1.1220019999999999</v>
      </c>
      <c r="L6752">
        <v>-57.101779999999998</v>
      </c>
      <c r="M6752">
        <v>0.79756879999999997</v>
      </c>
      <c r="N6752">
        <v>0</v>
      </c>
      <c r="O6752">
        <v>0.60301389999999999</v>
      </c>
      <c r="P6752">
        <v>0.78825269999999903</v>
      </c>
      <c r="Q6752">
        <v>-2.122042E-2</v>
      </c>
      <c r="R6752">
        <v>0.61498589999999997</v>
      </c>
      <c r="S6752">
        <v>1.66517599999999</v>
      </c>
      <c r="T6752">
        <v>-0.16008459999999999</v>
      </c>
      <c r="U6752">
        <v>2.752777</v>
      </c>
      <c r="V6752">
        <v>-1.501272E-2</v>
      </c>
      <c r="W6752">
        <v>-5.5912899999999996E-3</v>
      </c>
      <c r="X6752">
        <v>0.99987170000000003</v>
      </c>
      <c r="Y6752">
        <v>-0.37052610000000002</v>
      </c>
      <c r="Z6752">
        <v>-2.2365039999999999E-2</v>
      </c>
      <c r="AA6752">
        <v>0.92855270000000001</v>
      </c>
      <c r="AB6752">
        <v>29</v>
      </c>
      <c r="AC6752">
        <v>11.5597999999999</v>
      </c>
      <c r="AD6752">
        <v>-1.122005002091</v>
      </c>
      <c r="AE6752">
        <v>19.20234</v>
      </c>
      <c r="AF6752">
        <v>-8.3246834685114006</v>
      </c>
      <c r="AG6752">
        <v>-1.122005002091</v>
      </c>
      <c r="AH6752">
        <v>20.749701803761901</v>
      </c>
      <c r="AI6752">
        <v>92.872983750231</v>
      </c>
      <c r="AJ6752">
        <v>111.86042598518701</v>
      </c>
      <c r="AK6752">
        <v>22.385472410039998</v>
      </c>
      <c r="AL6752">
        <v>90.320358978523103</v>
      </c>
      <c r="AM6752">
        <v>90.860211230397596</v>
      </c>
      <c r="AN6752">
        <v>1.0000000303732699</v>
      </c>
    </row>
    <row r="6753" spans="1:40" x14ac:dyDescent="0.25">
      <c r="A6753" t="str">
        <f>"20190312161447540"</f>
        <v>20190312161447540</v>
      </c>
      <c r="B6753" t="str">
        <f>"1552378487532909"</f>
        <v>1552378487532909</v>
      </c>
      <c r="C6753" t="s">
        <v>40</v>
      </c>
      <c r="D6753">
        <v>5.3346600000000004</v>
      </c>
      <c r="E6753">
        <v>0.35380709999999999</v>
      </c>
      <c r="F6753" t="s">
        <v>42</v>
      </c>
      <c r="G6753">
        <v>-181.2201</v>
      </c>
      <c r="H6753" s="1">
        <v>-3.6162370000000002E-6</v>
      </c>
      <c r="I6753">
        <v>-36.590229999999998</v>
      </c>
      <c r="J6753">
        <v>-193.2971</v>
      </c>
      <c r="K6753">
        <v>1.122042</v>
      </c>
      <c r="L6753">
        <v>-57.003419999999998</v>
      </c>
      <c r="M6753">
        <v>0.79252679999999998</v>
      </c>
      <c r="N6753">
        <v>0</v>
      </c>
      <c r="O6753">
        <v>0.60962479999999997</v>
      </c>
      <c r="P6753">
        <v>0.78312019999999904</v>
      </c>
      <c r="Q6753">
        <v>-2.095526E-2</v>
      </c>
      <c r="R6753">
        <v>0.62151719999999999</v>
      </c>
      <c r="S6753">
        <v>1.6440889999999999</v>
      </c>
      <c r="T6753">
        <v>-0.1512829</v>
      </c>
      <c r="U6753">
        <v>2.765625</v>
      </c>
      <c r="V6753">
        <v>-1.50137E-2</v>
      </c>
      <c r="W6753">
        <v>-5.3095310000000001E-3</v>
      </c>
      <c r="X6753">
        <v>0.99987320000000002</v>
      </c>
      <c r="Y6753">
        <v>-0.36991740000000001</v>
      </c>
      <c r="Z6753">
        <v>-2.1504889999999999E-2</v>
      </c>
      <c r="AA6753">
        <v>0.92881570000000002</v>
      </c>
      <c r="AB6753">
        <v>29</v>
      </c>
      <c r="AC6753">
        <v>12.0769999999999</v>
      </c>
      <c r="AD6753">
        <v>-1.1220456162369901</v>
      </c>
      <c r="AE6753">
        <v>20.41319</v>
      </c>
      <c r="AF6753">
        <v>-8.7970150900568207</v>
      </c>
      <c r="AG6753">
        <v>-1.1220456162369901</v>
      </c>
      <c r="AH6753">
        <v>21.969415909302001</v>
      </c>
      <c r="AI6753">
        <v>92.714547553993299</v>
      </c>
      <c r="AJ6753">
        <v>111.82219998962</v>
      </c>
      <c r="AK6753">
        <v>23.691806521569799</v>
      </c>
      <c r="AL6753">
        <v>90.304215144069602</v>
      </c>
      <c r="AM6753">
        <v>90.860266084437697</v>
      </c>
      <c r="AN6753">
        <v>1.00000000919268</v>
      </c>
    </row>
    <row r="6754" spans="1:40" x14ac:dyDescent="0.25">
      <c r="A6754" t="str">
        <f>"20190312161447551"</f>
        <v>20190312161447551</v>
      </c>
      <c r="B6754" t="str">
        <f>"1552378487543645"</f>
        <v>1552378487543645</v>
      </c>
      <c r="C6754" t="s">
        <v>40</v>
      </c>
      <c r="D6754">
        <v>5.338711</v>
      </c>
      <c r="E6754">
        <v>0.35429860000000002</v>
      </c>
      <c r="F6754" t="s">
        <v>42</v>
      </c>
      <c r="G6754">
        <v>-180.56890000000001</v>
      </c>
      <c r="H6754" s="1">
        <v>-4.2639510000000003E-6</v>
      </c>
      <c r="I6754">
        <v>-35.196060000000003</v>
      </c>
      <c r="J6754">
        <v>-193.19069999999999</v>
      </c>
      <c r="K6754">
        <v>1.122077</v>
      </c>
      <c r="L6754">
        <v>-56.912869999999998</v>
      </c>
      <c r="M6754">
        <v>0.7878501</v>
      </c>
      <c r="N6754">
        <v>0</v>
      </c>
      <c r="O6754">
        <v>0.61565649999999905</v>
      </c>
      <c r="P6754">
        <v>0.77836329999999998</v>
      </c>
      <c r="Q6754">
        <v>-2.0849320000000001E-2</v>
      </c>
      <c r="R6754">
        <v>0.62746789999999997</v>
      </c>
      <c r="S6754">
        <v>1.621796</v>
      </c>
      <c r="T6754">
        <v>-0.1429676</v>
      </c>
      <c r="U6754">
        <v>2.7786249999999999</v>
      </c>
      <c r="V6754">
        <v>-1.5003219999999999E-2</v>
      </c>
      <c r="W6754">
        <v>-5.1886520000000002E-3</v>
      </c>
      <c r="X6754">
        <v>0.99987400000000004</v>
      </c>
      <c r="Y6754">
        <v>-0.37026379999999998</v>
      </c>
      <c r="Z6754">
        <v>-2.0626120000000001E-2</v>
      </c>
      <c r="AA6754">
        <v>0.92869760000000001</v>
      </c>
      <c r="AB6754">
        <v>29</v>
      </c>
      <c r="AC6754">
        <v>12.621799999999901</v>
      </c>
      <c r="AD6754">
        <v>-1.1220812639510001</v>
      </c>
      <c r="AE6754">
        <v>21.716809999999999</v>
      </c>
      <c r="AF6754">
        <v>-9.3215069640126895</v>
      </c>
      <c r="AG6754">
        <v>-1.1220812639510001</v>
      </c>
      <c r="AH6754">
        <v>23.270766310576299</v>
      </c>
      <c r="AI6754">
        <v>92.562904823566001</v>
      </c>
      <c r="AJ6754">
        <v>111.829422341921</v>
      </c>
      <c r="AK6754">
        <v>25.093388035984699</v>
      </c>
      <c r="AL6754">
        <v>90.297289189771703</v>
      </c>
      <c r="AM6754">
        <v>90.859664996081307</v>
      </c>
      <c r="AN6754">
        <v>1.0000000172979699</v>
      </c>
    </row>
    <row r="6755" spans="1:40" x14ac:dyDescent="0.25">
      <c r="A6755" t="str">
        <f>"20190312161447561"</f>
        <v>20190312161447561</v>
      </c>
      <c r="B6755" t="str">
        <f>"1552378487553405"</f>
        <v>1552378487553405</v>
      </c>
      <c r="C6755" t="s">
        <v>40</v>
      </c>
      <c r="D6755">
        <v>5.2389549999999998</v>
      </c>
      <c r="E6755">
        <v>0.35534250000000001</v>
      </c>
      <c r="F6755" t="s">
        <v>42</v>
      </c>
      <c r="G6755">
        <v>-180.29480000000001</v>
      </c>
      <c r="H6755" s="1">
        <v>-4.5784460000000001E-6</v>
      </c>
      <c r="I6755">
        <v>-34.486199999999997</v>
      </c>
      <c r="J6755">
        <v>-193.08770000000001</v>
      </c>
      <c r="K6755">
        <v>1.1221129999999999</v>
      </c>
      <c r="L6755">
        <v>-56.823329999999999</v>
      </c>
      <c r="M6755">
        <v>0.78320939999999994</v>
      </c>
      <c r="N6755">
        <v>0</v>
      </c>
      <c r="O6755">
        <v>0.62154900000000002</v>
      </c>
      <c r="P6755">
        <v>0.77355390000000002</v>
      </c>
      <c r="Q6755">
        <v>-2.0542069999999999E-2</v>
      </c>
      <c r="R6755">
        <v>0.63339749999999995</v>
      </c>
      <c r="S6755">
        <v>1.6031040000000001</v>
      </c>
      <c r="T6755">
        <v>-0.13948659999999999</v>
      </c>
      <c r="U6755">
        <v>2.7878720000000001</v>
      </c>
      <c r="V6755">
        <v>-1.5147229999999999E-2</v>
      </c>
      <c r="W6755">
        <v>-4.8713439999999997E-3</v>
      </c>
      <c r="X6755">
        <v>0.99987340000000002</v>
      </c>
      <c r="Y6755">
        <v>-0.36930099999999999</v>
      </c>
      <c r="Z6755">
        <v>-2.0445350000000001E-2</v>
      </c>
      <c r="AA6755">
        <v>0.92908489999999999</v>
      </c>
      <c r="AB6755">
        <v>29</v>
      </c>
      <c r="AC6755">
        <v>12.792899999999999</v>
      </c>
      <c r="AD6755">
        <v>-1.122117578446</v>
      </c>
      <c r="AE6755">
        <v>22.337129999999998</v>
      </c>
      <c r="AF6755">
        <v>-9.5263733124163394</v>
      </c>
      <c r="AG6755">
        <v>-1.122117578446</v>
      </c>
      <c r="AH6755">
        <v>23.8609040684</v>
      </c>
      <c r="AI6755">
        <v>92.500817593821495</v>
      </c>
      <c r="AJ6755">
        <v>111.764163362449</v>
      </c>
      <c r="AK6755">
        <v>25.7167976099039</v>
      </c>
      <c r="AL6755">
        <v>90.279108557787396</v>
      </c>
      <c r="AM6755">
        <v>90.867915846325701</v>
      </c>
      <c r="AN6755">
        <v>0.99999999229829895</v>
      </c>
    </row>
    <row r="6756" spans="1:40" x14ac:dyDescent="0.25">
      <c r="A6756" t="str">
        <f>"20190312161447695"</f>
        <v>20190312161447695</v>
      </c>
      <c r="B6756" t="str">
        <f>"1552378487692973"</f>
        <v>1552378487692973</v>
      </c>
      <c r="C6756" t="s">
        <v>40</v>
      </c>
      <c r="D6756">
        <v>5.393535</v>
      </c>
      <c r="E6756">
        <v>0.24046329999999999</v>
      </c>
      <c r="F6756" t="s">
        <v>42</v>
      </c>
      <c r="G6756">
        <v>-180.95910000000001</v>
      </c>
      <c r="H6756" s="1">
        <v>-4.0664700000000004E-6</v>
      </c>
      <c r="I6756">
        <v>-35.471209999999999</v>
      </c>
      <c r="J6756">
        <v>-191.87989999999999</v>
      </c>
      <c r="K6756">
        <v>1.1223829999999999</v>
      </c>
      <c r="L6756">
        <v>-55.661499999999997</v>
      </c>
      <c r="M6756">
        <v>0.72129109999999996</v>
      </c>
      <c r="N6756">
        <v>0</v>
      </c>
      <c r="O6756">
        <v>0.69244090000000003</v>
      </c>
      <c r="P6756">
        <v>0.71262159999999997</v>
      </c>
      <c r="Q6756">
        <v>-1.981627E-2</v>
      </c>
      <c r="R6756">
        <v>0.70126869999999997</v>
      </c>
      <c r="S6756">
        <v>1.586838</v>
      </c>
      <c r="T6756">
        <v>-0.14681240000000001</v>
      </c>
      <c r="U6756">
        <v>2.7936100000000001</v>
      </c>
      <c r="V6756">
        <v>-1.226034E-2</v>
      </c>
      <c r="W6756">
        <v>-3.9175679999999997E-3</v>
      </c>
      <c r="X6756">
        <v>0.9999171</v>
      </c>
      <c r="Y6756">
        <v>-0.28544550000000002</v>
      </c>
      <c r="Z6756">
        <v>-2.6819699999999998E-2</v>
      </c>
      <c r="AA6756">
        <v>0.95801959999999997</v>
      </c>
      <c r="AB6756">
        <v>29</v>
      </c>
      <c r="AC6756">
        <v>10.9207999999999</v>
      </c>
      <c r="AD6756">
        <v>-1.12238706647</v>
      </c>
      <c r="AE6756">
        <v>20.190290000000001</v>
      </c>
      <c r="AF6756">
        <v>-6.9852942456417697</v>
      </c>
      <c r="AG6756">
        <v>-1.12238706647</v>
      </c>
      <c r="AH6756">
        <v>21.808412335452399</v>
      </c>
      <c r="AI6756">
        <v>92.805989564143701</v>
      </c>
      <c r="AJ6756">
        <v>107.76040479906101</v>
      </c>
      <c r="AK6756">
        <v>22.927296766481</v>
      </c>
      <c r="AL6756">
        <v>90.224460701077007</v>
      </c>
      <c r="AM6756">
        <v>90.702488773788303</v>
      </c>
      <c r="AN6756">
        <v>0.99999993507417795</v>
      </c>
    </row>
    <row r="6757" spans="1:40" x14ac:dyDescent="0.25">
      <c r="A6757" t="str">
        <f>"20190312161447705"</f>
        <v>20190312161447705</v>
      </c>
      <c r="B6757" t="str">
        <f>"1552378487703709"</f>
        <v>1552378487703709</v>
      </c>
      <c r="C6757" t="s">
        <v>40</v>
      </c>
      <c r="D6757">
        <v>5.4598820000000003</v>
      </c>
      <c r="E6757">
        <v>0.24303910000000001</v>
      </c>
      <c r="F6757" t="s">
        <v>60</v>
      </c>
      <c r="G6757">
        <v>-167.53639999999999</v>
      </c>
      <c r="H6757">
        <v>13.953609999999999</v>
      </c>
      <c r="I6757">
        <v>68.591070000000002</v>
      </c>
      <c r="J6757">
        <v>-191.78800000000001</v>
      </c>
      <c r="K6757">
        <v>1.1223939999999999</v>
      </c>
      <c r="L6757">
        <v>-55.563690000000001</v>
      </c>
      <c r="M6757">
        <v>0.71596119999999996</v>
      </c>
      <c r="N6757">
        <v>0</v>
      </c>
      <c r="O6757">
        <v>0.69795039999999997</v>
      </c>
      <c r="P6757">
        <v>0.70766229999999997</v>
      </c>
      <c r="Q6757">
        <v>-2.0044570000000001E-2</v>
      </c>
      <c r="R6757">
        <v>0.70626650000000002</v>
      </c>
      <c r="S6757">
        <v>0.70068359999999996</v>
      </c>
      <c r="T6757">
        <v>0.36932369999999998</v>
      </c>
      <c r="U6757">
        <v>3.5763850000000001</v>
      </c>
      <c r="V6757">
        <v>-1.1629520000000001E-2</v>
      </c>
      <c r="W6757">
        <v>-4.1188020000000004E-3</v>
      </c>
      <c r="X6757">
        <v>0.99992389999999998</v>
      </c>
      <c r="Y6757">
        <v>-0.56838540000000004</v>
      </c>
      <c r="Z6757">
        <v>4.7925250000000003E-2</v>
      </c>
      <c r="AA6757">
        <v>0.82136549999999997</v>
      </c>
      <c r="AB6757">
        <v>29</v>
      </c>
      <c r="AC6757">
        <v>24.2516</v>
      </c>
      <c r="AD6757">
        <v>12.831216</v>
      </c>
      <c r="AE6757">
        <v>124.15476</v>
      </c>
      <c r="AF6757">
        <v>-71.240161712835899</v>
      </c>
      <c r="AG6757">
        <v>12.831216</v>
      </c>
      <c r="AH6757">
        <v>102.971435339637</v>
      </c>
      <c r="AI6757">
        <v>84.149028877711601</v>
      </c>
      <c r="AJ6757">
        <v>124.67718691791301</v>
      </c>
      <c r="AK6757">
        <v>125.868650746779</v>
      </c>
      <c r="AL6757">
        <v>90.235990636603603</v>
      </c>
      <c r="AM6757">
        <v>90.666343081248698</v>
      </c>
      <c r="AN6757">
        <v>1.00000000802827</v>
      </c>
    </row>
    <row r="6758" spans="1:40" x14ac:dyDescent="0.25">
      <c r="A6758" t="str">
        <f>"20190312161447717"</f>
        <v>20190312161447717</v>
      </c>
      <c r="B6758" t="str">
        <f>"1552378487713470"</f>
        <v>1552378487713470</v>
      </c>
      <c r="C6758" t="s">
        <v>40</v>
      </c>
      <c r="D6758">
        <v>5.4205759999999996</v>
      </c>
      <c r="E6758">
        <v>0.24303910000000001</v>
      </c>
      <c r="F6758" t="s">
        <v>60</v>
      </c>
      <c r="G6758">
        <v>-167.75479999999999</v>
      </c>
      <c r="H6758">
        <v>14.108180000000001</v>
      </c>
      <c r="I6758">
        <v>68.591130000000007</v>
      </c>
      <c r="J6758">
        <v>-191.6934</v>
      </c>
      <c r="K6758">
        <v>1.122398</v>
      </c>
      <c r="L6758">
        <v>-55.460569999999997</v>
      </c>
      <c r="M6758">
        <v>0.71034379999999997</v>
      </c>
      <c r="N6758">
        <v>0</v>
      </c>
      <c r="O6758">
        <v>0.70366640000000003</v>
      </c>
      <c r="P6758">
        <v>0.70245760000000002</v>
      </c>
      <c r="Q6758">
        <v>-2.0274940000000002E-2</v>
      </c>
      <c r="R6758">
        <v>0.71143679999999998</v>
      </c>
      <c r="S6758">
        <v>0.69038389999999905</v>
      </c>
      <c r="T6758">
        <v>0.3730329</v>
      </c>
      <c r="U6758">
        <v>3.5664980000000002</v>
      </c>
      <c r="V6758">
        <v>-1.094578E-2</v>
      </c>
      <c r="W6758">
        <v>-4.321068E-3</v>
      </c>
      <c r="X6758">
        <v>0.99993069999999895</v>
      </c>
      <c r="Y6758">
        <v>-0.56365810000000005</v>
      </c>
      <c r="Z6758">
        <v>4.9547899999999999E-2</v>
      </c>
      <c r="AA6758">
        <v>0.82452080000000005</v>
      </c>
      <c r="AB6758">
        <v>29</v>
      </c>
      <c r="AC6758">
        <v>23.938600000000001</v>
      </c>
      <c r="AD6758">
        <v>12.985782</v>
      </c>
      <c r="AE6758">
        <v>124.0517</v>
      </c>
      <c r="AF6758">
        <v>-70.538810587620205</v>
      </c>
      <c r="AG6758">
        <v>12.985782</v>
      </c>
      <c r="AH6758">
        <v>103.219020557227</v>
      </c>
      <c r="AI6758">
        <v>84.069952541349707</v>
      </c>
      <c r="AJ6758">
        <v>124.348297050222</v>
      </c>
      <c r="AK6758">
        <v>125.69216577838399</v>
      </c>
      <c r="AL6758">
        <v>90.247579743892302</v>
      </c>
      <c r="AM6758">
        <v>90.627165412189299</v>
      </c>
      <c r="AN6758">
        <v>0.99999994326547703</v>
      </c>
    </row>
    <row r="6759" spans="1:40" x14ac:dyDescent="0.25">
      <c r="A6759" t="str">
        <f>"20190312161447729"</f>
        <v>20190312161447729</v>
      </c>
      <c r="B6759" t="str">
        <f>"1552378487723229"</f>
        <v>1552378487723229</v>
      </c>
      <c r="C6759" t="s">
        <v>40</v>
      </c>
      <c r="D6759">
        <v>5.5057799999999997</v>
      </c>
      <c r="E6759">
        <v>0.29276980000000002</v>
      </c>
      <c r="F6759" t="s">
        <v>60</v>
      </c>
      <c r="G6759">
        <v>-168.60910000000001</v>
      </c>
      <c r="H6759">
        <v>14.100860000000001</v>
      </c>
      <c r="I6759">
        <v>68.591119999999904</v>
      </c>
      <c r="J6759">
        <v>-191.59479999999999</v>
      </c>
      <c r="K6759">
        <v>1.1224050000000001</v>
      </c>
      <c r="L6759">
        <v>-55.352420000000002</v>
      </c>
      <c r="M6759">
        <v>0.7044184</v>
      </c>
      <c r="N6759">
        <v>0</v>
      </c>
      <c r="O6759">
        <v>0.7095979</v>
      </c>
      <c r="P6759">
        <v>0.69680489999999995</v>
      </c>
      <c r="Q6759">
        <v>-2.046042E-2</v>
      </c>
      <c r="R6759">
        <v>0.71696879999999996</v>
      </c>
      <c r="S6759">
        <v>0.66456599999999999</v>
      </c>
      <c r="T6759">
        <v>0.37363360000000001</v>
      </c>
      <c r="U6759">
        <v>3.5712890000000002</v>
      </c>
      <c r="V6759">
        <v>-1.046658E-2</v>
      </c>
      <c r="W6759">
        <v>-4.4846030000000002E-3</v>
      </c>
      <c r="X6759">
        <v>0.99993520000000002</v>
      </c>
      <c r="Y6759">
        <v>-0.56270600000000004</v>
      </c>
      <c r="Z6759">
        <v>5.0467659999999998E-2</v>
      </c>
      <c r="AA6759">
        <v>0.82511509999999999</v>
      </c>
      <c r="AB6759">
        <v>29</v>
      </c>
      <c r="AC6759">
        <v>22.985699999999898</v>
      </c>
      <c r="AD6759">
        <v>12.978455</v>
      </c>
      <c r="AE6759">
        <v>123.943539999999</v>
      </c>
      <c r="AF6759">
        <v>-70.2621433842301</v>
      </c>
      <c r="AG6759">
        <v>12.978455</v>
      </c>
      <c r="AH6759">
        <v>103.06297056144901</v>
      </c>
      <c r="AI6759">
        <v>84.059836232510193</v>
      </c>
      <c r="AJ6759">
        <v>124.28381659570201</v>
      </c>
      <c r="AK6759">
        <v>125.408073855247</v>
      </c>
      <c r="AL6759">
        <v>90.256949677606002</v>
      </c>
      <c r="AM6759">
        <v>90.599707821033405</v>
      </c>
      <c r="AN6759">
        <v>1.00000003258</v>
      </c>
    </row>
    <row r="6760" spans="1:40" x14ac:dyDescent="0.25">
      <c r="A6760" t="str">
        <f>"20190312161447739"</f>
        <v>20190312161447739</v>
      </c>
      <c r="B6760" t="str">
        <f>"1552378487732989"</f>
        <v>1552378487732989</v>
      </c>
      <c r="C6760" t="s">
        <v>40</v>
      </c>
      <c r="D6760">
        <v>5.4650109999999996</v>
      </c>
      <c r="E6760">
        <v>0.29474860000000003</v>
      </c>
      <c r="F6760" t="s">
        <v>61</v>
      </c>
      <c r="G6760">
        <v>-169.08189999999999</v>
      </c>
      <c r="H6760">
        <v>0.19282830000000001</v>
      </c>
      <c r="I6760">
        <v>26.768380000000001</v>
      </c>
      <c r="J6760">
        <v>-191.5018</v>
      </c>
      <c r="K6760">
        <v>1.1224069999999999</v>
      </c>
      <c r="L6760">
        <v>-55.247439999999997</v>
      </c>
      <c r="M6760">
        <v>0.69867480000000004</v>
      </c>
      <c r="N6760">
        <v>0</v>
      </c>
      <c r="O6760">
        <v>0.71525369999999899</v>
      </c>
      <c r="P6760">
        <v>0.69145909999999999</v>
      </c>
      <c r="Q6760">
        <v>-2.0537070000000001E-2</v>
      </c>
      <c r="R6760">
        <v>0.72212369999999904</v>
      </c>
      <c r="S6760">
        <v>0.90553280000000003</v>
      </c>
      <c r="T6760">
        <v>-3.7390230000000003E-2</v>
      </c>
      <c r="U6760">
        <v>3.303131</v>
      </c>
      <c r="V6760">
        <v>-9.8309950000000004E-3</v>
      </c>
      <c r="W6760">
        <v>-4.5358270000000001E-3</v>
      </c>
      <c r="X6760">
        <v>0.99994139999999998</v>
      </c>
      <c r="Y6760">
        <v>-0.48477559999999897</v>
      </c>
      <c r="Z6760">
        <v>-5.8364119999999896E-3</v>
      </c>
      <c r="AA6760">
        <v>0.87461909999999898</v>
      </c>
      <c r="AB6760">
        <v>29</v>
      </c>
      <c r="AC6760">
        <v>22.419899999999998</v>
      </c>
      <c r="AD6760">
        <v>-0.92957869999999998</v>
      </c>
      <c r="AE6760">
        <v>82.015819999999906</v>
      </c>
      <c r="AF6760">
        <v>-41.267020225595999</v>
      </c>
      <c r="AG6760">
        <v>-0.92957869999999998</v>
      </c>
      <c r="AH6760">
        <v>74.327328518382203</v>
      </c>
      <c r="AI6760">
        <v>90.626465092545502</v>
      </c>
      <c r="AJ6760">
        <v>119.039321802695</v>
      </c>
      <c r="AK6760">
        <v>85.019896727405893</v>
      </c>
      <c r="AL6760">
        <v>90.259884631509607</v>
      </c>
      <c r="AM6760">
        <v>90.563289383058702</v>
      </c>
      <c r="AN6760">
        <v>1.00000001281161</v>
      </c>
    </row>
    <row r="6761" spans="1:40" x14ac:dyDescent="0.25">
      <c r="A6761" t="str">
        <f>"20190312161447752"</f>
        <v>20190312161447752</v>
      </c>
      <c r="B6761" t="str">
        <f>"1552378487743725"</f>
        <v>1552378487743725</v>
      </c>
      <c r="C6761" t="s">
        <v>40</v>
      </c>
      <c r="D6761">
        <v>5.4055090000000003</v>
      </c>
      <c r="E6761">
        <v>0.2931743</v>
      </c>
      <c r="F6761" t="s">
        <v>41</v>
      </c>
      <c r="G6761">
        <v>-169.2364</v>
      </c>
      <c r="H6761">
        <v>-0.05</v>
      </c>
      <c r="I6761">
        <v>27.09834</v>
      </c>
      <c r="J6761">
        <v>-191.40710000000001</v>
      </c>
      <c r="K6761">
        <v>1.1224069999999999</v>
      </c>
      <c r="L6761">
        <v>-55.139650000000003</v>
      </c>
      <c r="M6761">
        <v>0.69275109999999995</v>
      </c>
      <c r="N6761">
        <v>0</v>
      </c>
      <c r="O6761">
        <v>0.72099239999999998</v>
      </c>
      <c r="P6761">
        <v>0.68589449999999996</v>
      </c>
      <c r="Q6761">
        <v>-2.0675700000000002E-2</v>
      </c>
      <c r="R6761">
        <v>0.72740719999999903</v>
      </c>
      <c r="S6761">
        <v>0.89199830000000002</v>
      </c>
      <c r="T6761">
        <v>-4.6969179999999999E-2</v>
      </c>
      <c r="U6761">
        <v>3.29895</v>
      </c>
      <c r="V6761">
        <v>-9.2530960000000006E-3</v>
      </c>
      <c r="W6761">
        <v>-4.6510839999999998E-3</v>
      </c>
      <c r="X6761">
        <v>0.99994640000000001</v>
      </c>
      <c r="Y6761">
        <v>-0.48061530000000002</v>
      </c>
      <c r="Z6761">
        <v>-7.4717589999999997E-3</v>
      </c>
      <c r="AA6761">
        <v>0.87689969999999995</v>
      </c>
      <c r="AB6761">
        <v>29</v>
      </c>
      <c r="AC6761">
        <v>22.1707</v>
      </c>
      <c r="AD6761">
        <v>-1.172407</v>
      </c>
      <c r="AE6761">
        <v>82.237989999999996</v>
      </c>
      <c r="AF6761">
        <v>-40.983236269311703</v>
      </c>
      <c r="AG6761">
        <v>-1.172407</v>
      </c>
      <c r="AH6761">
        <v>74.647524991675098</v>
      </c>
      <c r="AI6761">
        <v>90.788766277107698</v>
      </c>
      <c r="AJ6761">
        <v>118.767815285675</v>
      </c>
      <c r="AK6761">
        <v>85.166033021754899</v>
      </c>
      <c r="AL6761">
        <v>90.266488436811599</v>
      </c>
      <c r="AM6761">
        <v>90.530176634028095</v>
      </c>
      <c r="AN6761">
        <v>1.0000000276204499</v>
      </c>
    </row>
    <row r="6762" spans="1:40" x14ac:dyDescent="0.25">
      <c r="A6762" t="str">
        <f>"20190312161447762"</f>
        <v>20190312161447762</v>
      </c>
      <c r="B6762" t="str">
        <f>"1552378487753486"</f>
        <v>1552378487753486</v>
      </c>
      <c r="C6762" t="s">
        <v>40</v>
      </c>
      <c r="D6762">
        <v>5.5590020000000004</v>
      </c>
      <c r="E6762">
        <v>0.29328789999999999</v>
      </c>
      <c r="F6762" t="s">
        <v>61</v>
      </c>
      <c r="G6762">
        <v>-168.5001</v>
      </c>
      <c r="H6762">
        <v>0.35972789999999999</v>
      </c>
      <c r="I6762">
        <v>33.323520000000002</v>
      </c>
      <c r="J6762">
        <v>-191.31890000000001</v>
      </c>
      <c r="K6762">
        <v>1.122406</v>
      </c>
      <c r="L6762">
        <v>-55.037260000000003</v>
      </c>
      <c r="M6762">
        <v>0.68712169999999995</v>
      </c>
      <c r="N6762">
        <v>0</v>
      </c>
      <c r="O6762">
        <v>0.72635919999999998</v>
      </c>
      <c r="P6762">
        <v>0.68063269999999998</v>
      </c>
      <c r="Q6762">
        <v>-2.0772559999999999E-2</v>
      </c>
      <c r="R6762">
        <v>0.73233040000000005</v>
      </c>
      <c r="S6762">
        <v>0.85820010000000002</v>
      </c>
      <c r="T6762">
        <v>-2.857351E-2</v>
      </c>
      <c r="U6762">
        <v>3.3142399999999999</v>
      </c>
      <c r="V6762">
        <v>-8.6794869999999996E-3</v>
      </c>
      <c r="W6762">
        <v>-4.7257590000000004E-3</v>
      </c>
      <c r="X6762">
        <v>0.99995120000000004</v>
      </c>
      <c r="Y6762">
        <v>-0.48316819999999999</v>
      </c>
      <c r="Z6762">
        <v>-4.585408E-3</v>
      </c>
      <c r="AA6762">
        <v>0.8755155</v>
      </c>
      <c r="AB6762">
        <v>28</v>
      </c>
      <c r="AC6762">
        <v>22.8188</v>
      </c>
      <c r="AD6762">
        <v>-0.76267810000000003</v>
      </c>
      <c r="AE6762">
        <v>88.360780000000005</v>
      </c>
      <c r="AF6762">
        <v>-44.142754573717902</v>
      </c>
      <c r="AG6762">
        <v>-0.76267810000000003</v>
      </c>
      <c r="AH6762">
        <v>79.866006914031104</v>
      </c>
      <c r="AI6762">
        <v>90.478856397230999</v>
      </c>
      <c r="AJ6762">
        <v>118.929875357292</v>
      </c>
      <c r="AK6762">
        <v>91.256471110994497</v>
      </c>
      <c r="AL6762">
        <v>90.270767044235896</v>
      </c>
      <c r="AM6762">
        <v>90.497309753768803</v>
      </c>
      <c r="AN6762">
        <v>1.0000000343370701</v>
      </c>
    </row>
    <row r="6763" spans="1:40" x14ac:dyDescent="0.25">
      <c r="A6763" t="str">
        <f>"20190312161447773"</f>
        <v>20190312161447773</v>
      </c>
      <c r="B6763" t="str">
        <f>"1552378487763245"</f>
        <v>1552378487763245</v>
      </c>
      <c r="C6763" t="s">
        <v>40</v>
      </c>
      <c r="D6763">
        <v>5.4348900000000002</v>
      </c>
      <c r="E6763">
        <v>0.29304920000000001</v>
      </c>
      <c r="F6763" t="s">
        <v>61</v>
      </c>
      <c r="G6763">
        <v>-168.5001</v>
      </c>
      <c r="H6763">
        <v>0.25234139999999999</v>
      </c>
      <c r="I6763">
        <v>35.668289999999999</v>
      </c>
      <c r="J6763">
        <v>-191.2296</v>
      </c>
      <c r="K6763">
        <v>1.122401</v>
      </c>
      <c r="L6763">
        <v>-54.931980000000003</v>
      </c>
      <c r="M6763">
        <v>0.68132190000000004</v>
      </c>
      <c r="N6763">
        <v>0</v>
      </c>
      <c r="O6763">
        <v>0.73180219999999996</v>
      </c>
      <c r="P6763">
        <v>0.67501719999999998</v>
      </c>
      <c r="Q6763">
        <v>-2.085157E-2</v>
      </c>
      <c r="R6763">
        <v>0.73750729999999998</v>
      </c>
      <c r="S6763">
        <v>0.83508300000000002</v>
      </c>
      <c r="T6763">
        <v>-3.184116E-2</v>
      </c>
      <c r="U6763">
        <v>3.3194889999999999</v>
      </c>
      <c r="V6763">
        <v>-8.3624010000000002E-3</v>
      </c>
      <c r="W6763">
        <v>-4.7907590000000003E-3</v>
      </c>
      <c r="X6763">
        <v>0.9999536</v>
      </c>
      <c r="Y6763">
        <v>-0.48226449999999998</v>
      </c>
      <c r="Z6763">
        <v>-5.1787229999999997E-3</v>
      </c>
      <c r="AA6763">
        <v>0.87601039999999997</v>
      </c>
      <c r="AB6763">
        <v>28</v>
      </c>
      <c r="AC6763">
        <v>22.729500000000002</v>
      </c>
      <c r="AD6763">
        <v>-0.87005959999999904</v>
      </c>
      <c r="AE6763">
        <v>90.600269999999995</v>
      </c>
      <c r="AF6763">
        <v>-45.096536270554502</v>
      </c>
      <c r="AG6763">
        <v>-0.87005959999999904</v>
      </c>
      <c r="AH6763">
        <v>81.791366905814101</v>
      </c>
      <c r="AI6763">
        <v>90.533719489286</v>
      </c>
      <c r="AJ6763">
        <v>118.870610436672</v>
      </c>
      <c r="AK6763">
        <v>93.403866556104106</v>
      </c>
      <c r="AL6763">
        <v>90.274491309933893</v>
      </c>
      <c r="AM6763">
        <v>90.479141346999498</v>
      </c>
      <c r="AN6763">
        <v>1.00000004163761</v>
      </c>
    </row>
    <row r="6764" spans="1:40" x14ac:dyDescent="0.25">
      <c r="A6764" t="str">
        <f>"20190312161447784"</f>
        <v>20190312161447784</v>
      </c>
      <c r="B6764" t="str">
        <f>"1552378487773005"</f>
        <v>1552378487773005</v>
      </c>
      <c r="C6764" t="s">
        <v>40</v>
      </c>
      <c r="D6764">
        <v>5.420725</v>
      </c>
      <c r="E6764">
        <v>0.29324729999999999</v>
      </c>
      <c r="F6764" t="s">
        <v>61</v>
      </c>
      <c r="G6764">
        <v>-168.50020000000001</v>
      </c>
      <c r="H6764">
        <v>0.50340429999999903</v>
      </c>
      <c r="I6764">
        <v>38.608449999999998</v>
      </c>
      <c r="J6764">
        <v>-191.1405</v>
      </c>
      <c r="K6764">
        <v>1.122395</v>
      </c>
      <c r="L6764">
        <v>-54.825499999999998</v>
      </c>
      <c r="M6764">
        <v>0.67544320000000002</v>
      </c>
      <c r="N6764">
        <v>0</v>
      </c>
      <c r="O6764">
        <v>0.73723139999999998</v>
      </c>
      <c r="P6764">
        <v>0.66929819999999995</v>
      </c>
      <c r="Q6764">
        <v>-2.0944669999999999E-2</v>
      </c>
      <c r="R6764">
        <v>0.74269869999999905</v>
      </c>
      <c r="S6764">
        <v>0.80847170000000002</v>
      </c>
      <c r="T6764">
        <v>-2.201736E-2</v>
      </c>
      <c r="U6764">
        <v>3.3271790000000001</v>
      </c>
      <c r="V6764">
        <v>-8.0820319999999994E-3</v>
      </c>
      <c r="W6764">
        <v>-4.8714470000000001E-3</v>
      </c>
      <c r="X6764">
        <v>0.9999555</v>
      </c>
      <c r="Y6764">
        <v>-0.48233500000000001</v>
      </c>
      <c r="Z6764">
        <v>-3.624342E-3</v>
      </c>
      <c r="AA6764">
        <v>0.87597939999999996</v>
      </c>
      <c r="AB6764">
        <v>28</v>
      </c>
      <c r="AC6764">
        <v>22.6403</v>
      </c>
      <c r="AD6764">
        <v>-0.6189907</v>
      </c>
      <c r="AE6764">
        <v>93.433949999999996</v>
      </c>
      <c r="AF6764">
        <v>-46.4224445517726</v>
      </c>
      <c r="AG6764">
        <v>-0.6189907</v>
      </c>
      <c r="AH6764">
        <v>84.182400697561107</v>
      </c>
      <c r="AI6764">
        <v>90.368913334195199</v>
      </c>
      <c r="AJ6764">
        <v>118.874570006653</v>
      </c>
      <c r="AK6764">
        <v>96.135857487484003</v>
      </c>
      <c r="AL6764">
        <v>90.279114449885697</v>
      </c>
      <c r="AM6764">
        <v>90.463076847526807</v>
      </c>
      <c r="AN6764">
        <v>1.0000000261086801</v>
      </c>
    </row>
    <row r="6765" spans="1:40" x14ac:dyDescent="0.25">
      <c r="A6765" t="str">
        <f>"20190312161447797"</f>
        <v>20190312161447797</v>
      </c>
      <c r="B6765" t="str">
        <f>"1552378487793501"</f>
        <v>1552378487793501</v>
      </c>
      <c r="C6765" t="s">
        <v>40</v>
      </c>
      <c r="D6765">
        <v>5.411448</v>
      </c>
      <c r="E6765">
        <v>0.29387940000000001</v>
      </c>
      <c r="F6765" t="s">
        <v>61</v>
      </c>
      <c r="G6765">
        <v>-168.50030000000001</v>
      </c>
      <c r="H6765">
        <v>0.62683739999999999</v>
      </c>
      <c r="I6765">
        <v>41.398440000000001</v>
      </c>
      <c r="J6765">
        <v>-191.04740000000001</v>
      </c>
      <c r="K6765">
        <v>1.1223860000000001</v>
      </c>
      <c r="L6765">
        <v>-54.711669999999998</v>
      </c>
      <c r="M6765">
        <v>0.66916039999999999</v>
      </c>
      <c r="N6765">
        <v>0</v>
      </c>
      <c r="O6765">
        <v>0.74293869999999995</v>
      </c>
      <c r="P6765">
        <v>0.66346000000000005</v>
      </c>
      <c r="Q6765">
        <v>-2.1215979999999999E-2</v>
      </c>
      <c r="R6765">
        <v>0.74791090000000005</v>
      </c>
      <c r="S6765">
        <v>0.78404240000000003</v>
      </c>
      <c r="T6765">
        <v>-1.7161369999999999E-2</v>
      </c>
      <c r="U6765">
        <v>3.3322750000000001</v>
      </c>
      <c r="V6765">
        <v>-7.4130469999999999E-3</v>
      </c>
      <c r="W6765">
        <v>-5.1193719999999996E-3</v>
      </c>
      <c r="X6765">
        <v>0.99995940000000005</v>
      </c>
      <c r="Y6765">
        <v>-0.48128029999999999</v>
      </c>
      <c r="Z6765">
        <v>-2.864466E-3</v>
      </c>
      <c r="AA6765">
        <v>0.87656209999999901</v>
      </c>
      <c r="AB6765">
        <v>28</v>
      </c>
      <c r="AC6765">
        <v>22.5471</v>
      </c>
      <c r="AD6765">
        <v>-0.49554860000000001</v>
      </c>
      <c r="AE6765">
        <v>96.110110000000006</v>
      </c>
      <c r="AF6765">
        <v>-47.567105530514503</v>
      </c>
      <c r="AG6765">
        <v>-0.49554860000000001</v>
      </c>
      <c r="AH6765">
        <v>86.500891994267803</v>
      </c>
      <c r="AI6765">
        <v>90.287616344411305</v>
      </c>
      <c r="AJ6765">
        <v>118.806529434694</v>
      </c>
      <c r="AK6765">
        <v>98.718181774028096</v>
      </c>
      <c r="AL6765">
        <v>90.2933196960293</v>
      </c>
      <c r="AM6765">
        <v>90.424745770519394</v>
      </c>
      <c r="AN6765">
        <v>0.99999998144192903</v>
      </c>
    </row>
    <row r="6766" spans="1:40" x14ac:dyDescent="0.25">
      <c r="A6766" t="str">
        <f>"20190312161447808"</f>
        <v>20190312161447808</v>
      </c>
      <c r="B6766" t="str">
        <f>"1552378487803261"</f>
        <v>1552378487803261</v>
      </c>
      <c r="C6766" t="s">
        <v>40</v>
      </c>
      <c r="D6766">
        <v>5.324948</v>
      </c>
      <c r="E6766">
        <v>0.29393069999999999</v>
      </c>
      <c r="F6766" t="s">
        <v>61</v>
      </c>
      <c r="G6766">
        <v>-168.50030000000001</v>
      </c>
      <c r="H6766">
        <v>0.79315599999999997</v>
      </c>
      <c r="I6766">
        <v>43.941200000000002</v>
      </c>
      <c r="J6766">
        <v>-190.9597</v>
      </c>
      <c r="K6766">
        <v>1.1223780000000001</v>
      </c>
      <c r="L6766">
        <v>-54.603760000000001</v>
      </c>
      <c r="M6766">
        <v>0.66317559999999998</v>
      </c>
      <c r="N6766">
        <v>0</v>
      </c>
      <c r="O6766">
        <v>0.7482858</v>
      </c>
      <c r="P6766">
        <v>0.65741740000000004</v>
      </c>
      <c r="Q6766">
        <v>-2.1551609999999999E-2</v>
      </c>
      <c r="R6766">
        <v>0.75321839999999995</v>
      </c>
      <c r="S6766">
        <v>0.76216130000000004</v>
      </c>
      <c r="T6766">
        <v>-1.112902E-2</v>
      </c>
      <c r="U6766">
        <v>3.334778</v>
      </c>
      <c r="V6766">
        <v>-7.421141E-3</v>
      </c>
      <c r="W6766">
        <v>-5.452391E-3</v>
      </c>
      <c r="X6766">
        <v>0.9999576</v>
      </c>
      <c r="Y6766">
        <v>-0.47984830000000001</v>
      </c>
      <c r="Z6766">
        <v>-1.8832269999999999E-3</v>
      </c>
      <c r="AA6766">
        <v>0.8773495</v>
      </c>
      <c r="AB6766">
        <v>28</v>
      </c>
      <c r="AC6766">
        <v>22.459399999999899</v>
      </c>
      <c r="AD6766">
        <v>-0.32922199999999902</v>
      </c>
      <c r="AE6766">
        <v>98.544960000000003</v>
      </c>
      <c r="AF6766">
        <v>-48.552517495282302</v>
      </c>
      <c r="AG6766">
        <v>-0.32922199999999902</v>
      </c>
      <c r="AH6766">
        <v>88.645191995004794</v>
      </c>
      <c r="AI6766">
        <v>90.186631102173806</v>
      </c>
      <c r="AJ6766">
        <v>118.71028918995</v>
      </c>
      <c r="AK6766">
        <v>101.071387672705</v>
      </c>
      <c r="AL6766">
        <v>90.312400539860406</v>
      </c>
      <c r="AM6766">
        <v>90.425210281255104</v>
      </c>
      <c r="AN6766">
        <v>1.0000000018495501</v>
      </c>
    </row>
    <row r="6767" spans="1:40" x14ac:dyDescent="0.25">
      <c r="A6767" t="str">
        <f>"20190312161447820"</f>
        <v>20190312161447820</v>
      </c>
      <c r="B6767" t="str">
        <f>"1552378487813365"</f>
        <v>1552378487813365</v>
      </c>
      <c r="C6767" t="s">
        <v>40</v>
      </c>
      <c r="D6767">
        <v>5.3244930000000004</v>
      </c>
      <c r="E6767">
        <v>0.2941646</v>
      </c>
      <c r="F6767" t="s">
        <v>61</v>
      </c>
      <c r="G6767">
        <v>-168.50040000000001</v>
      </c>
      <c r="H6767">
        <v>0.85137129999999905</v>
      </c>
      <c r="I6767">
        <v>47.36018</v>
      </c>
      <c r="J6767">
        <v>-190.86930000000001</v>
      </c>
      <c r="K6767">
        <v>1.122366</v>
      </c>
      <c r="L6767">
        <v>-54.488979999999998</v>
      </c>
      <c r="M6767">
        <v>0.65683069999999999</v>
      </c>
      <c r="N6767">
        <v>0</v>
      </c>
      <c r="O6767">
        <v>0.75386140000000001</v>
      </c>
      <c r="P6767">
        <v>0.6513042</v>
      </c>
      <c r="Q6767">
        <v>-2.205472E-2</v>
      </c>
      <c r="R6767">
        <v>0.75849619999999995</v>
      </c>
      <c r="S6767">
        <v>0.73579410000000001</v>
      </c>
      <c r="T6767">
        <v>-8.8784689999999999E-3</v>
      </c>
      <c r="U6767">
        <v>3.3404539999999998</v>
      </c>
      <c r="V6767">
        <v>-7.0368059999999996E-3</v>
      </c>
      <c r="W6767">
        <v>-5.9420499999999999E-3</v>
      </c>
      <c r="X6767">
        <v>0.9999576</v>
      </c>
      <c r="Y6767">
        <v>-0.47935410000000001</v>
      </c>
      <c r="Z6767">
        <v>-1.521695E-3</v>
      </c>
      <c r="AA6767">
        <v>0.87762030000000002</v>
      </c>
      <c r="AB6767">
        <v>28</v>
      </c>
      <c r="AC6767">
        <v>22.3689</v>
      </c>
      <c r="AD6767">
        <v>-0.27099469999999998</v>
      </c>
      <c r="AE6767">
        <v>101.84916</v>
      </c>
      <c r="AF6767">
        <v>-50.040933290861901</v>
      </c>
      <c r="AG6767">
        <v>-0.27099469999999998</v>
      </c>
      <c r="AH6767">
        <v>91.484300295341299</v>
      </c>
      <c r="AI6767">
        <v>90.1489012445046</v>
      </c>
      <c r="AJ6767">
        <v>118.67818742297</v>
      </c>
      <c r="AK6767">
        <v>104.27629473315601</v>
      </c>
      <c r="AL6767">
        <v>90.340456385652601</v>
      </c>
      <c r="AM6767">
        <v>90.403189725235706</v>
      </c>
      <c r="AN6767">
        <v>1.0000000131973199</v>
      </c>
    </row>
    <row r="6768" spans="1:40" x14ac:dyDescent="0.25">
      <c r="A6768" t="str">
        <f>"20190312161447832"</f>
        <v>20190312161447832</v>
      </c>
      <c r="B6768" t="str">
        <f>"1552378487823758"</f>
        <v>1552378487823758</v>
      </c>
      <c r="C6768" t="s">
        <v>40</v>
      </c>
      <c r="D6768">
        <v>5.2241960000000001</v>
      </c>
      <c r="E6768">
        <v>0.29419770000000001</v>
      </c>
      <c r="F6768" t="s">
        <v>61</v>
      </c>
      <c r="G6768">
        <v>-168.7011</v>
      </c>
      <c r="H6768">
        <v>0.89063429999999999</v>
      </c>
      <c r="I6768">
        <v>49.938830000000003</v>
      </c>
      <c r="J6768">
        <v>-190.78030000000001</v>
      </c>
      <c r="K6768">
        <v>1.1223510000000001</v>
      </c>
      <c r="L6768">
        <v>-54.375120000000003</v>
      </c>
      <c r="M6768">
        <v>0.65051099999999995</v>
      </c>
      <c r="N6768">
        <v>0</v>
      </c>
      <c r="O6768">
        <v>0.75932129999999998</v>
      </c>
      <c r="P6768">
        <v>0.64510719999999899</v>
      </c>
      <c r="Q6768">
        <v>-2.227929E-2</v>
      </c>
      <c r="R6768">
        <v>0.76376719999999998</v>
      </c>
      <c r="S6768">
        <v>0.7101288</v>
      </c>
      <c r="T6768">
        <v>-7.4232819999999998E-3</v>
      </c>
      <c r="U6768">
        <v>3.345215</v>
      </c>
      <c r="V6768">
        <v>-6.8155530000000002E-3</v>
      </c>
      <c r="W6768">
        <v>-6.158045E-3</v>
      </c>
      <c r="X6768">
        <v>0.99995780000000001</v>
      </c>
      <c r="Y6768">
        <v>-0.4787187</v>
      </c>
      <c r="Z6768">
        <v>-1.2884769999999999E-3</v>
      </c>
      <c r="AA6768">
        <v>0.87796739999999995</v>
      </c>
      <c r="AB6768">
        <v>28</v>
      </c>
      <c r="AC6768">
        <v>22.0792</v>
      </c>
      <c r="AD6768">
        <v>-0.2317167</v>
      </c>
      <c r="AE6768">
        <v>104.31395000000001</v>
      </c>
      <c r="AF6768">
        <v>-51.098735759112202</v>
      </c>
      <c r="AG6768">
        <v>-0.2317167</v>
      </c>
      <c r="AH6768">
        <v>93.582600180618698</v>
      </c>
      <c r="AI6768">
        <v>90.124515173700701</v>
      </c>
      <c r="AJ6768">
        <v>118.63578353330099</v>
      </c>
      <c r="AK6768">
        <v>106.624751091733</v>
      </c>
      <c r="AL6768">
        <v>90.352832222963997</v>
      </c>
      <c r="AM6768">
        <v>90.390512854739697</v>
      </c>
      <c r="AN6768">
        <v>0.99999998753087804</v>
      </c>
    </row>
    <row r="6769" spans="1:40" x14ac:dyDescent="0.25">
      <c r="A6769" t="str">
        <f>"20190312161447846"</f>
        <v>20190312161447846</v>
      </c>
      <c r="B6769" t="str">
        <f>"1552378487843278"</f>
        <v>1552378487843278</v>
      </c>
      <c r="C6769" t="s">
        <v>40</v>
      </c>
      <c r="D6769">
        <v>5.2459930000000004</v>
      </c>
      <c r="E6769">
        <v>0.29486770000000001</v>
      </c>
      <c r="F6769" t="s">
        <v>61</v>
      </c>
      <c r="G6769">
        <v>-169.08240000000001</v>
      </c>
      <c r="H6769">
        <v>0.98171010000000003</v>
      </c>
      <c r="I6769">
        <v>51.999049999999997</v>
      </c>
      <c r="J6769">
        <v>-190.67400000000001</v>
      </c>
      <c r="K6769">
        <v>1.1223339999999999</v>
      </c>
      <c r="L6769">
        <v>-54.236269999999998</v>
      </c>
      <c r="M6769">
        <v>0.64279830000000004</v>
      </c>
      <c r="N6769">
        <v>0</v>
      </c>
      <c r="O6769">
        <v>0.76586140000000003</v>
      </c>
      <c r="P6769">
        <v>0.63740869999999905</v>
      </c>
      <c r="Q6769">
        <v>-2.2682600000000001E-2</v>
      </c>
      <c r="R6769">
        <v>0.77019199999999999</v>
      </c>
      <c r="S6769">
        <v>0.68342590000000003</v>
      </c>
      <c r="T6769">
        <v>-4.429817E-3</v>
      </c>
      <c r="U6769">
        <v>3.3504939999999999</v>
      </c>
      <c r="V6769">
        <v>-6.7196969999999898E-3</v>
      </c>
      <c r="W6769">
        <v>-6.5569419999999996E-3</v>
      </c>
      <c r="X6769">
        <v>0.99995599999999996</v>
      </c>
      <c r="Y6769">
        <v>-0.47682609999999997</v>
      </c>
      <c r="Z6769">
        <v>-7.8093189999999999E-4</v>
      </c>
      <c r="AA6769">
        <v>0.87899729999999998</v>
      </c>
      <c r="AB6769">
        <v>28</v>
      </c>
      <c r="AC6769">
        <v>21.5916</v>
      </c>
      <c r="AD6769">
        <v>-0.140623899999999</v>
      </c>
      <c r="AE6769">
        <v>106.23532</v>
      </c>
      <c r="AF6769">
        <v>-51.758524473531899</v>
      </c>
      <c r="AG6769">
        <v>-0.140623899999999</v>
      </c>
      <c r="AH6769">
        <v>95.253115436307397</v>
      </c>
      <c r="AI6769">
        <v>90.074323092550998</v>
      </c>
      <c r="AJ6769">
        <v>118.518719566958</v>
      </c>
      <c r="AK6769">
        <v>108.407198243848</v>
      </c>
      <c r="AL6769">
        <v>90.375687767035899</v>
      </c>
      <c r="AM6769">
        <v>90.385021423336198</v>
      </c>
      <c r="AN6769">
        <v>1.00000007487607</v>
      </c>
    </row>
    <row r="6770" spans="1:40" x14ac:dyDescent="0.25">
      <c r="A6770" t="str">
        <f>"20190312161447858"</f>
        <v>20190312161447858</v>
      </c>
      <c r="B6770" t="str">
        <f>"1552378487853037"</f>
        <v>1552378487853037</v>
      </c>
      <c r="C6770" t="s">
        <v>40</v>
      </c>
      <c r="D6770">
        <v>5.3724360000000004</v>
      </c>
      <c r="E6770">
        <v>0.29561929999999997</v>
      </c>
      <c r="F6770" t="s">
        <v>60</v>
      </c>
      <c r="G6770">
        <v>-166.58760000000001</v>
      </c>
      <c r="H6770">
        <v>1.0098339999999999</v>
      </c>
      <c r="I6770">
        <v>69.300319999999999</v>
      </c>
      <c r="J6770">
        <v>-190.5823</v>
      </c>
      <c r="K6770">
        <v>1.12232</v>
      </c>
      <c r="L6770">
        <v>-54.113430000000001</v>
      </c>
      <c r="M6770">
        <v>0.63597819999999905</v>
      </c>
      <c r="N6770">
        <v>0</v>
      </c>
      <c r="O6770">
        <v>0.77153430000000001</v>
      </c>
      <c r="P6770">
        <v>0.63082079999999996</v>
      </c>
      <c r="Q6770">
        <v>-2.3056279999999998E-2</v>
      </c>
      <c r="R6770">
        <v>0.77558590000000005</v>
      </c>
      <c r="S6770">
        <v>0.65391540000000004</v>
      </c>
      <c r="T6770">
        <v>-3.0540229999999999E-3</v>
      </c>
      <c r="U6770">
        <v>3.3538510000000001</v>
      </c>
      <c r="V6770">
        <v>-6.3530089999999997E-3</v>
      </c>
      <c r="W6770">
        <v>-6.918993E-3</v>
      </c>
      <c r="X6770">
        <v>0.99995590000000001</v>
      </c>
      <c r="Y6770">
        <v>-0.47663820000000001</v>
      </c>
      <c r="Z6770">
        <v>-5.4546710000000003E-4</v>
      </c>
      <c r="AA6770">
        <v>0.87909939999999998</v>
      </c>
      <c r="AB6770">
        <v>28</v>
      </c>
      <c r="AC6770">
        <v>23.994699999999899</v>
      </c>
      <c r="AD6770">
        <v>-0.112485999999999</v>
      </c>
      <c r="AE6770">
        <v>123.41374999999999</v>
      </c>
      <c r="AF6770">
        <v>-59.983667449638602</v>
      </c>
      <c r="AG6770">
        <v>-0.112485999999999</v>
      </c>
      <c r="AH6770">
        <v>110.492685958273</v>
      </c>
      <c r="AI6770">
        <v>90.051262613246905</v>
      </c>
      <c r="AJ6770">
        <v>118.496409066499</v>
      </c>
      <c r="AK6770">
        <v>125.72464620782399</v>
      </c>
      <c r="AL6770">
        <v>90.396432253491099</v>
      </c>
      <c r="AM6770">
        <v>90.364011758404601</v>
      </c>
      <c r="AN6770">
        <v>1.0000000175661401</v>
      </c>
    </row>
    <row r="6771" spans="1:40" x14ac:dyDescent="0.25">
      <c r="A6771" t="str">
        <f>"20190312161447874"</f>
        <v>20190312161447874</v>
      </c>
      <c r="B6771" t="str">
        <f>"1552378487863773"</f>
        <v>1552378487863773</v>
      </c>
      <c r="C6771" t="s">
        <v>40</v>
      </c>
      <c r="D6771">
        <v>5.3796489999999997</v>
      </c>
      <c r="E6771">
        <v>0.29649520000000001</v>
      </c>
      <c r="F6771" t="s">
        <v>60</v>
      </c>
      <c r="G6771">
        <v>-167.41470000000001</v>
      </c>
      <c r="H6771">
        <v>1.006281</v>
      </c>
      <c r="I6771">
        <v>69.300319999999999</v>
      </c>
      <c r="J6771">
        <v>-190.4633</v>
      </c>
      <c r="K6771">
        <v>1.122293</v>
      </c>
      <c r="L6771">
        <v>-53.951349999999998</v>
      </c>
      <c r="M6771">
        <v>0.62695419999999902</v>
      </c>
      <c r="N6771">
        <v>0</v>
      </c>
      <c r="O6771">
        <v>0.77888489999999999</v>
      </c>
      <c r="P6771">
        <v>0.62222540000000004</v>
      </c>
      <c r="Q6771">
        <v>-2.337086E-2</v>
      </c>
      <c r="R6771">
        <v>0.7824892</v>
      </c>
      <c r="S6771">
        <v>0.62992859999999995</v>
      </c>
      <c r="T6771">
        <v>-3.1548739999999998E-3</v>
      </c>
      <c r="U6771">
        <v>3.3556210000000002</v>
      </c>
      <c r="V6771">
        <v>-5.7312279999999997E-3</v>
      </c>
      <c r="W6771">
        <v>-7.214463E-3</v>
      </c>
      <c r="X6771">
        <v>0.9999576</v>
      </c>
      <c r="Y6771">
        <v>-0.4725492</v>
      </c>
      <c r="Z6771">
        <v>-5.7427710000000002E-4</v>
      </c>
      <c r="AA6771">
        <v>0.88130409999999904</v>
      </c>
      <c r="AB6771">
        <v>28</v>
      </c>
      <c r="AC6771">
        <v>23.0486</v>
      </c>
      <c r="AD6771">
        <v>-0.116011999999999</v>
      </c>
      <c r="AE6771">
        <v>123.25167</v>
      </c>
      <c r="AF6771">
        <v>-59.328808195830398</v>
      </c>
      <c r="AG6771">
        <v>-0.116011999999999</v>
      </c>
      <c r="AH6771">
        <v>110.463920445897</v>
      </c>
      <c r="AI6771">
        <v>90.053011362728498</v>
      </c>
      <c r="AJ6771">
        <v>118.23969656204901</v>
      </c>
      <c r="AK6771">
        <v>125.388191872278</v>
      </c>
      <c r="AL6771">
        <v>90.413361847115596</v>
      </c>
      <c r="AM6771">
        <v>90.328385503761496</v>
      </c>
      <c r="AN6771">
        <v>1.00000004862426</v>
      </c>
    </row>
    <row r="6772" spans="1:40" x14ac:dyDescent="0.25">
      <c r="A6772" t="str">
        <f>"20190312161447885"</f>
        <v>20190312161447885</v>
      </c>
      <c r="B6772" t="str">
        <f>"1552378487883294"</f>
        <v>1552378487883294</v>
      </c>
      <c r="C6772" t="s">
        <v>40</v>
      </c>
      <c r="D6772">
        <v>5.3703149999999997</v>
      </c>
      <c r="E6772">
        <v>0.29822939999999998</v>
      </c>
      <c r="F6772" t="s">
        <v>60</v>
      </c>
      <c r="G6772">
        <v>-168.60550000000001</v>
      </c>
      <c r="H6772">
        <v>0.97214509999999998</v>
      </c>
      <c r="I6772">
        <v>68.71866</v>
      </c>
      <c r="J6772">
        <v>-190.38130000000001</v>
      </c>
      <c r="K6772">
        <v>1.122279</v>
      </c>
      <c r="L6772">
        <v>-53.83755</v>
      </c>
      <c r="M6772">
        <v>0.62060760000000004</v>
      </c>
      <c r="N6772">
        <v>0</v>
      </c>
      <c r="O6772">
        <v>0.78395130000000002</v>
      </c>
      <c r="P6772">
        <v>0.61620790000000003</v>
      </c>
      <c r="Q6772">
        <v>-2.3518919999999999E-2</v>
      </c>
      <c r="R6772">
        <v>0.7872323</v>
      </c>
      <c r="S6772">
        <v>0.59834290000000001</v>
      </c>
      <c r="T6772">
        <v>-4.1099789999999997E-3</v>
      </c>
      <c r="U6772">
        <v>3.3580019999999902</v>
      </c>
      <c r="V6772">
        <v>-5.269663E-3</v>
      </c>
      <c r="W6772">
        <v>-7.3486569999999998E-3</v>
      </c>
      <c r="X6772">
        <v>0.99995909999999999</v>
      </c>
      <c r="Y6772">
        <v>-0.47352559999999999</v>
      </c>
      <c r="Z6772">
        <v>-7.5645240000000004E-4</v>
      </c>
      <c r="AA6772">
        <v>0.88077969999999906</v>
      </c>
      <c r="AB6772">
        <v>28</v>
      </c>
      <c r="AC6772">
        <v>21.7758</v>
      </c>
      <c r="AD6772">
        <v>-0.15013389999999999</v>
      </c>
      <c r="AE6772">
        <v>122.55620999999999</v>
      </c>
      <c r="AF6772">
        <v>-58.995926501470997</v>
      </c>
      <c r="AG6772">
        <v>-0.15013389999999999</v>
      </c>
      <c r="AH6772">
        <v>109.606777396106</v>
      </c>
      <c r="AI6772">
        <v>90.069106213881099</v>
      </c>
      <c r="AJ6772">
        <v>118.291390798881</v>
      </c>
      <c r="AK6772">
        <v>124.47565037032101</v>
      </c>
      <c r="AL6772">
        <v>90.421050826418195</v>
      </c>
      <c r="AM6772">
        <v>90.301939003684694</v>
      </c>
      <c r="AN6772">
        <v>0.99999998689032299</v>
      </c>
    </row>
    <row r="6773" spans="1:40" x14ac:dyDescent="0.25">
      <c r="A6773" t="str">
        <f>"20190312161447897"</f>
        <v>20190312161447897</v>
      </c>
      <c r="B6773" t="str">
        <f>"1552378487893054"</f>
        <v>1552378487893054</v>
      </c>
      <c r="C6773" t="s">
        <v>40</v>
      </c>
      <c r="D6773">
        <v>5.3752449999999996</v>
      </c>
      <c r="E6773">
        <v>0.29921569999999997</v>
      </c>
      <c r="F6773" t="s">
        <v>60</v>
      </c>
      <c r="G6773">
        <v>-169.06020000000001</v>
      </c>
      <c r="H6773">
        <v>0.88766859999999903</v>
      </c>
      <c r="I6773">
        <v>68.718639999999994</v>
      </c>
      <c r="J6773">
        <v>-190.30009999999999</v>
      </c>
      <c r="K6773">
        <v>1.1222639999999999</v>
      </c>
      <c r="L6773">
        <v>-53.722019999999901</v>
      </c>
      <c r="M6773">
        <v>0.61417159999999904</v>
      </c>
      <c r="N6773">
        <v>0</v>
      </c>
      <c r="O6773">
        <v>0.78900340000000002</v>
      </c>
      <c r="P6773">
        <v>0.61008509999999905</v>
      </c>
      <c r="Q6773">
        <v>-2.3599530000000001E-2</v>
      </c>
      <c r="R6773">
        <v>0.79198429999999997</v>
      </c>
      <c r="S6773">
        <v>0.58348080000000002</v>
      </c>
      <c r="T6773">
        <v>-6.4202549999999997E-3</v>
      </c>
      <c r="U6773">
        <v>3.3539119999999998</v>
      </c>
      <c r="V6773">
        <v>-4.8371859999999899E-3</v>
      </c>
      <c r="W6773">
        <v>-7.4167950000000003E-3</v>
      </c>
      <c r="X6773">
        <v>0.99996079999999998</v>
      </c>
      <c r="Y6773">
        <v>-0.4699142</v>
      </c>
      <c r="Z6773">
        <v>-1.199063E-3</v>
      </c>
      <c r="AA6773">
        <v>0.88271129999999998</v>
      </c>
      <c r="AB6773">
        <v>28</v>
      </c>
      <c r="AC6773">
        <v>21.239899999999899</v>
      </c>
      <c r="AD6773">
        <v>-0.23459539999999901</v>
      </c>
      <c r="AE6773">
        <v>122.44065999999999</v>
      </c>
      <c r="AF6773">
        <v>-58.448814416428903</v>
      </c>
      <c r="AG6773">
        <v>-0.23459539999999901</v>
      </c>
      <c r="AH6773">
        <v>109.66528437543199</v>
      </c>
      <c r="AI6773">
        <v>90.108163180702505</v>
      </c>
      <c r="AJ6773">
        <v>118.0564837364</v>
      </c>
      <c r="AK6773">
        <v>124.269036927274</v>
      </c>
      <c r="AL6773">
        <v>90.424954945261604</v>
      </c>
      <c r="AM6773">
        <v>90.277159045393205</v>
      </c>
      <c r="AN6773">
        <v>1.00000000437655</v>
      </c>
    </row>
    <row r="6774" spans="1:40" x14ac:dyDescent="0.25">
      <c r="A6774" t="str">
        <f>"20190312161447909"</f>
        <v>20190312161447909</v>
      </c>
      <c r="B6774" t="str">
        <f>"1552378487903789"</f>
        <v>1552378487903789</v>
      </c>
      <c r="C6774" t="s">
        <v>40</v>
      </c>
      <c r="D6774">
        <v>5.3717560000000004</v>
      </c>
      <c r="E6774">
        <v>0.29921569999999997</v>
      </c>
      <c r="F6774" t="s">
        <v>60</v>
      </c>
      <c r="G6774">
        <v>-169.67160000000001</v>
      </c>
      <c r="H6774">
        <v>0.81892200000000004</v>
      </c>
      <c r="I6774">
        <v>69.008359999999996</v>
      </c>
      <c r="J6774">
        <v>-190.21770000000001</v>
      </c>
      <c r="K6774">
        <v>1.1222449999999999</v>
      </c>
      <c r="L6774">
        <v>-53.603879999999997</v>
      </c>
      <c r="M6774">
        <v>0.60756460000000001</v>
      </c>
      <c r="N6774">
        <v>0</v>
      </c>
      <c r="O6774">
        <v>0.79410239999999999</v>
      </c>
      <c r="P6774">
        <v>0.60374269999999997</v>
      </c>
      <c r="Q6774">
        <v>-2.3564350000000001E-2</v>
      </c>
      <c r="R6774">
        <v>0.79683090000000001</v>
      </c>
      <c r="S6774">
        <v>0.56365969999999999</v>
      </c>
      <c r="T6774">
        <v>-8.2883829999999999E-3</v>
      </c>
      <c r="U6774">
        <v>3.3535159999999999</v>
      </c>
      <c r="V6774">
        <v>-4.4767130000000002E-3</v>
      </c>
      <c r="W6774">
        <v>-7.3712229999999997E-3</v>
      </c>
      <c r="X6774">
        <v>0.99996280000000004</v>
      </c>
      <c r="Y6774">
        <v>-0.46759600000000001</v>
      </c>
      <c r="Z6774">
        <v>-1.56817E-3</v>
      </c>
      <c r="AA6774">
        <v>0.88394089999999903</v>
      </c>
      <c r="AB6774">
        <v>28</v>
      </c>
      <c r="AC6774">
        <v>20.546099999999999</v>
      </c>
      <c r="AD6774">
        <v>-0.30332300000000001</v>
      </c>
      <c r="AE6774">
        <v>122.61223999999901</v>
      </c>
      <c r="AF6774">
        <v>-58.186560715352101</v>
      </c>
      <c r="AG6774">
        <v>-0.30332300000000001</v>
      </c>
      <c r="AH6774">
        <v>109.863750924063</v>
      </c>
      <c r="AI6774">
        <v>90.139792057850599</v>
      </c>
      <c r="AJ6774">
        <v>117.906801480346</v>
      </c>
      <c r="AK6774">
        <v>124.321404511967</v>
      </c>
      <c r="AL6774">
        <v>90.422343797278202</v>
      </c>
      <c r="AM6774">
        <v>90.256504589374799</v>
      </c>
      <c r="AN6774">
        <v>0.99999998863581996</v>
      </c>
    </row>
    <row r="6775" spans="1:40" x14ac:dyDescent="0.25">
      <c r="A6775" t="str">
        <f>"20190312161447924"</f>
        <v>20190312161447924</v>
      </c>
      <c r="B6775" t="str">
        <f>"1552378487913550"</f>
        <v>1552378487913550</v>
      </c>
      <c r="C6775" t="s">
        <v>40</v>
      </c>
      <c r="D6775">
        <v>5.3635400000000004</v>
      </c>
      <c r="E6775">
        <v>0.319243099999999</v>
      </c>
      <c r="F6775" t="s">
        <v>60</v>
      </c>
      <c r="G6775">
        <v>-168.85849999999999</v>
      </c>
      <c r="H6775">
        <v>0.76583480000000004</v>
      </c>
      <c r="I6775">
        <v>79.986040000000003</v>
      </c>
      <c r="J6775">
        <v>-190.11009999999999</v>
      </c>
      <c r="K6775">
        <v>1.1222259999999999</v>
      </c>
      <c r="L6775">
        <v>-53.445010000000003</v>
      </c>
      <c r="M6775">
        <v>0.59869259999999902</v>
      </c>
      <c r="N6775">
        <v>0</v>
      </c>
      <c r="O6775">
        <v>0.80081239999999998</v>
      </c>
      <c r="P6775">
        <v>0.59525479999999997</v>
      </c>
      <c r="Q6775">
        <v>-2.4155860000000001E-2</v>
      </c>
      <c r="R6775">
        <v>0.8031739</v>
      </c>
      <c r="S6775">
        <v>0.53688049999999998</v>
      </c>
      <c r="T6775">
        <v>-8.9584590000000002E-3</v>
      </c>
      <c r="U6775">
        <v>3.3578800000000002</v>
      </c>
      <c r="V6775">
        <v>-3.933598E-3</v>
      </c>
      <c r="W6775">
        <v>-7.9483639999999994E-3</v>
      </c>
      <c r="X6775">
        <v>0.99996070000000004</v>
      </c>
      <c r="Y6775">
        <v>-0.46481250000000002</v>
      </c>
      <c r="Z6775">
        <v>-1.7210769999999999E-3</v>
      </c>
      <c r="AA6775">
        <v>0.88540750000000001</v>
      </c>
      <c r="AB6775">
        <v>28</v>
      </c>
      <c r="AC6775">
        <v>21.2516</v>
      </c>
      <c r="AD6775">
        <v>-0.35639119999999902</v>
      </c>
      <c r="AE6775">
        <v>133.43105</v>
      </c>
      <c r="AF6775">
        <v>-62.873583883771403</v>
      </c>
      <c r="AG6775">
        <v>-0.35639119999999902</v>
      </c>
      <c r="AH6775">
        <v>119.591529923941</v>
      </c>
      <c r="AI6775">
        <v>90.151131517372704</v>
      </c>
      <c r="AJ6775">
        <v>117.732525102777</v>
      </c>
      <c r="AK6775">
        <v>135.11235544770199</v>
      </c>
      <c r="AL6775">
        <v>90.4554124948816</v>
      </c>
      <c r="AM6775">
        <v>90.225386258858407</v>
      </c>
      <c r="AN6775">
        <v>1.00000002561399</v>
      </c>
    </row>
    <row r="6776" spans="1:40" x14ac:dyDescent="0.25">
      <c r="A6776" t="str">
        <f>"20190312161447944"</f>
        <v>20190312161447944</v>
      </c>
      <c r="B6776" t="str">
        <f>"1552378487933073"</f>
        <v>1552378487933073</v>
      </c>
      <c r="C6776" t="s">
        <v>40</v>
      </c>
      <c r="D6776">
        <v>5.3437549999999998</v>
      </c>
      <c r="E6776">
        <v>0.321994</v>
      </c>
      <c r="F6776" t="s">
        <v>42</v>
      </c>
      <c r="G6776">
        <v>-175.39959999999999</v>
      </c>
      <c r="H6776">
        <v>7.9986589999999996E-2</v>
      </c>
      <c r="I6776">
        <v>23.109860000000001</v>
      </c>
      <c r="J6776">
        <v>-189.97550000000001</v>
      </c>
      <c r="K6776">
        <v>1.122196</v>
      </c>
      <c r="L6776">
        <v>-53.241239999999998</v>
      </c>
      <c r="M6776">
        <v>0.58729290000000001</v>
      </c>
      <c r="N6776">
        <v>0</v>
      </c>
      <c r="O6776">
        <v>0.80920979999999998</v>
      </c>
      <c r="P6776">
        <v>0.5848913</v>
      </c>
      <c r="Q6776">
        <v>-2.5479580000000002E-2</v>
      </c>
      <c r="R6776">
        <v>0.81071139999999997</v>
      </c>
      <c r="S6776">
        <v>0.6280365</v>
      </c>
      <c r="T6776">
        <v>-4.4496540000000001E-2</v>
      </c>
      <c r="U6776">
        <v>3.2683719999999998</v>
      </c>
      <c r="V6776">
        <v>-2.5531769999999998E-3</v>
      </c>
      <c r="W6776">
        <v>-9.2344019999999992E-3</v>
      </c>
      <c r="X6776">
        <v>0.99995409999999996</v>
      </c>
      <c r="Y6776">
        <v>-0.42410409999999998</v>
      </c>
      <c r="Z6776">
        <v>-9.0719110000000002E-3</v>
      </c>
      <c r="AA6776">
        <v>0.90556800000000004</v>
      </c>
      <c r="AB6776">
        <v>28</v>
      </c>
      <c r="AC6776">
        <v>14.575900000000001</v>
      </c>
      <c r="AD6776">
        <v>-1.0422094099999999</v>
      </c>
      <c r="AE6776">
        <v>76.351100000000002</v>
      </c>
      <c r="AF6776">
        <v>-33.043962289818197</v>
      </c>
      <c r="AG6776">
        <v>-1.0422094099999999</v>
      </c>
      <c r="AH6776">
        <v>70.341112252936398</v>
      </c>
      <c r="AI6776">
        <v>90.768318324259994</v>
      </c>
      <c r="AJ6776">
        <v>115.162608413597</v>
      </c>
      <c r="AK6776">
        <v>77.722980625072694</v>
      </c>
      <c r="AL6776">
        <v>90.529099782190002</v>
      </c>
      <c r="AM6776">
        <v>90.146292663389104</v>
      </c>
      <c r="AN6776">
        <v>0.99999999749995006</v>
      </c>
    </row>
    <row r="6777" spans="1:40" x14ac:dyDescent="0.25">
      <c r="A6777" t="str">
        <f>"20190312161447962"</f>
        <v>20190312161447962</v>
      </c>
      <c r="B6777" t="str">
        <f>"1552378487953566"</f>
        <v>1552378487953566</v>
      </c>
      <c r="C6777" t="s">
        <v>40</v>
      </c>
      <c r="D6777">
        <v>5.3243999999999998</v>
      </c>
      <c r="E6777">
        <v>0.32371919999999998</v>
      </c>
      <c r="F6777" t="s">
        <v>42</v>
      </c>
      <c r="G6777">
        <v>-179.0513</v>
      </c>
      <c r="H6777">
        <v>7.9985749999999994E-2</v>
      </c>
      <c r="I6777">
        <v>5.8228980000000004</v>
      </c>
      <c r="J6777">
        <v>-189.85849999999999</v>
      </c>
      <c r="K6777">
        <v>1.1221699999999999</v>
      </c>
      <c r="L6777">
        <v>-53.05856</v>
      </c>
      <c r="M6777">
        <v>0.57705960000000001</v>
      </c>
      <c r="N6777">
        <v>0</v>
      </c>
      <c r="O6777">
        <v>0.81653889999999996</v>
      </c>
      <c r="P6777">
        <v>0.57526619999999995</v>
      </c>
      <c r="Q6777">
        <v>-2.6164030000000001E-2</v>
      </c>
      <c r="R6777">
        <v>0.81754769999999999</v>
      </c>
      <c r="S6777">
        <v>0.60354609999999997</v>
      </c>
      <c r="T6777">
        <v>-5.758071E-2</v>
      </c>
      <c r="U6777">
        <v>3.2632140000000001</v>
      </c>
      <c r="V6777">
        <v>-1.7554529999999999E-3</v>
      </c>
      <c r="W6777">
        <v>-9.8983460000000006E-3</v>
      </c>
      <c r="X6777">
        <v>0.99994950000000005</v>
      </c>
      <c r="Y6777">
        <v>-0.41899900000000001</v>
      </c>
      <c r="Z6777">
        <v>-1.19691E-2</v>
      </c>
      <c r="AA6777">
        <v>0.90790780000000004</v>
      </c>
      <c r="AB6777">
        <v>28</v>
      </c>
      <c r="AC6777">
        <v>10.8071999999999</v>
      </c>
      <c r="AD6777">
        <v>-1.04218425</v>
      </c>
      <c r="AE6777">
        <v>58.881457999999903</v>
      </c>
      <c r="AF6777">
        <v>-25.1493410653359</v>
      </c>
      <c r="AG6777">
        <v>-1.04218425</v>
      </c>
      <c r="AH6777">
        <v>54.306178314628703</v>
      </c>
      <c r="AI6777">
        <v>90.997657908250304</v>
      </c>
      <c r="AJ6777">
        <v>114.848984779774</v>
      </c>
      <c r="AK6777">
        <v>59.855964674974501</v>
      </c>
      <c r="AL6777">
        <v>90.567142693980898</v>
      </c>
      <c r="AM6777">
        <v>90.100585024250705</v>
      </c>
      <c r="AN6777">
        <v>1.00000003070951</v>
      </c>
    </row>
    <row r="6778" spans="1:40" x14ac:dyDescent="0.25">
      <c r="A6778" t="str">
        <f>"20190312161447976"</f>
        <v>20190312161447976</v>
      </c>
      <c r="B6778" t="str">
        <f>"1552378487973085"</f>
        <v>1552378487973085</v>
      </c>
      <c r="C6778" t="s">
        <v>40</v>
      </c>
      <c r="D6778">
        <v>5.3384309999999999</v>
      </c>
      <c r="E6778">
        <v>0.32588979999999901</v>
      </c>
      <c r="F6778" t="s">
        <v>42</v>
      </c>
      <c r="G6778">
        <v>-178.90459999999999</v>
      </c>
      <c r="H6778">
        <v>7.9986669999999996E-2</v>
      </c>
      <c r="I6778">
        <v>8.9338169999999995</v>
      </c>
      <c r="J6778">
        <v>-189.76900000000001</v>
      </c>
      <c r="K6778">
        <v>1.122153</v>
      </c>
      <c r="L6778">
        <v>-52.915500000000002</v>
      </c>
      <c r="M6778">
        <v>0.56903719999999902</v>
      </c>
      <c r="N6778">
        <v>0</v>
      </c>
      <c r="O6778">
        <v>0.82214979999999904</v>
      </c>
      <c r="P6778">
        <v>0.56831489999999996</v>
      </c>
      <c r="Q6778">
        <v>-2.693742E-2</v>
      </c>
      <c r="R6778">
        <v>0.82237019999999905</v>
      </c>
      <c r="S6778">
        <v>0.57641600000000004</v>
      </c>
      <c r="T6778">
        <v>-5.4842000000000002E-2</v>
      </c>
      <c r="U6778">
        <v>3.2621769999999999</v>
      </c>
      <c r="V6778">
        <v>-4.0654420000000002E-4</v>
      </c>
      <c r="W6778">
        <v>-1.063485E-2</v>
      </c>
      <c r="X6778">
        <v>0.99994340000000004</v>
      </c>
      <c r="Y6778">
        <v>-0.41736719999999999</v>
      </c>
      <c r="Z6778">
        <v>-1.1550980000000001E-2</v>
      </c>
      <c r="AA6778">
        <v>0.90866449999999999</v>
      </c>
      <c r="AB6778">
        <v>28</v>
      </c>
      <c r="AC6778">
        <v>10.8644</v>
      </c>
      <c r="AD6778">
        <v>-1.0421663299999999</v>
      </c>
      <c r="AE6778">
        <v>61.849316999999999</v>
      </c>
      <c r="AF6778">
        <v>-26.258664015154402</v>
      </c>
      <c r="AG6778">
        <v>-1.0421663299999999</v>
      </c>
      <c r="AH6778">
        <v>57.023542863009098</v>
      </c>
      <c r="AI6778">
        <v>90.951054578463797</v>
      </c>
      <c r="AJ6778">
        <v>114.725508800489</v>
      </c>
      <c r="AK6778">
        <v>62.787641994022898</v>
      </c>
      <c r="AL6778">
        <v>90.609343486375593</v>
      </c>
      <c r="AM6778">
        <v>90.023294584035497</v>
      </c>
      <c r="AN6778">
        <v>1.0000000342581301</v>
      </c>
    </row>
    <row r="6779" spans="1:40" x14ac:dyDescent="0.25">
      <c r="A6779" t="str">
        <f>"20190312161447991"</f>
        <v>20190312161447991</v>
      </c>
      <c r="B6779" t="str">
        <f>"1552378487983821"</f>
        <v>1552378487983821</v>
      </c>
      <c r="C6779" t="s">
        <v>40</v>
      </c>
      <c r="D6779">
        <v>5.4241440000000001</v>
      </c>
      <c r="E6779">
        <v>0.32570830000000001</v>
      </c>
      <c r="F6779" t="s">
        <v>42</v>
      </c>
      <c r="G6779">
        <v>-179.26339999999999</v>
      </c>
      <c r="H6779">
        <v>7.9986340000000003E-2</v>
      </c>
      <c r="I6779">
        <v>7.8694100000000002</v>
      </c>
      <c r="J6779">
        <v>-189.68170000000001</v>
      </c>
      <c r="K6779">
        <v>1.1221350000000001</v>
      </c>
      <c r="L6779">
        <v>-52.773440000000001</v>
      </c>
      <c r="M6779">
        <v>0.56105229999999995</v>
      </c>
      <c r="N6779">
        <v>0</v>
      </c>
      <c r="O6779">
        <v>0.82761949999999995</v>
      </c>
      <c r="P6779">
        <v>0.56069820000000004</v>
      </c>
      <c r="Q6779">
        <v>-2.6949130000000002E-2</v>
      </c>
      <c r="R6779">
        <v>0.82758159999999903</v>
      </c>
      <c r="S6779">
        <v>0.56294250000000001</v>
      </c>
      <c r="T6779">
        <v>-5.5844190000000002E-2</v>
      </c>
      <c r="U6779">
        <v>3.2571409999999998</v>
      </c>
      <c r="V6779" s="1">
        <v>4.1067189999999998E-5</v>
      </c>
      <c r="W6779">
        <v>-1.06359E-2</v>
      </c>
      <c r="X6779">
        <v>0.99994340000000004</v>
      </c>
      <c r="Y6779">
        <v>-0.41197070000000002</v>
      </c>
      <c r="Z6779">
        <v>-1.193925E-2</v>
      </c>
      <c r="AA6779">
        <v>0.91111889999999995</v>
      </c>
      <c r="AB6779">
        <v>28</v>
      </c>
      <c r="AC6779">
        <v>10.4183</v>
      </c>
      <c r="AD6779">
        <v>-1.0421486600000001</v>
      </c>
      <c r="AE6779">
        <v>60.642850000000003</v>
      </c>
      <c r="AF6779">
        <v>-25.3975193597208</v>
      </c>
      <c r="AG6779">
        <v>-1.0421486600000001</v>
      </c>
      <c r="AH6779">
        <v>56.025806803803803</v>
      </c>
      <c r="AI6779">
        <v>90.970598241777196</v>
      </c>
      <c r="AJ6779">
        <v>114.385653081089</v>
      </c>
      <c r="AK6779">
        <v>61.522443802843902</v>
      </c>
      <c r="AL6779">
        <v>90.609403693387804</v>
      </c>
      <c r="AM6779">
        <v>89.997646890151799</v>
      </c>
      <c r="AN6779">
        <v>0.99999996362944099</v>
      </c>
    </row>
    <row r="6780" spans="1:40" x14ac:dyDescent="0.25">
      <c r="A6780" t="str">
        <f>"20190312161448004"</f>
        <v>20190312161448004</v>
      </c>
      <c r="B6780" t="str">
        <f>"1552378487993582"</f>
        <v>1552378487993582</v>
      </c>
      <c r="C6780" t="s">
        <v>40</v>
      </c>
      <c r="D6780">
        <v>5.4003579999999998</v>
      </c>
      <c r="E6780">
        <v>0.32570830000000001</v>
      </c>
      <c r="F6780" t="s">
        <v>42</v>
      </c>
      <c r="G6780">
        <v>-179.39080000000001</v>
      </c>
      <c r="H6780">
        <v>7.9985600000000004E-2</v>
      </c>
      <c r="I6780">
        <v>10.3687</v>
      </c>
      <c r="J6780">
        <v>-189.58879999999999</v>
      </c>
      <c r="K6780">
        <v>1.1221139999999901</v>
      </c>
      <c r="L6780">
        <v>-52.617649999999998</v>
      </c>
      <c r="M6780">
        <v>0.55230190000000001</v>
      </c>
      <c r="N6780">
        <v>0</v>
      </c>
      <c r="O6780">
        <v>0.83348449999999996</v>
      </c>
      <c r="P6780">
        <v>0.5521393</v>
      </c>
      <c r="Q6780">
        <v>-2.6677849999999999E-2</v>
      </c>
      <c r="R6780">
        <v>0.83332499999999998</v>
      </c>
      <c r="S6780">
        <v>0.53179929999999997</v>
      </c>
      <c r="T6780">
        <v>-5.3854699999999998E-2</v>
      </c>
      <c r="U6780">
        <v>3.2629700000000001</v>
      </c>
      <c r="V6780">
        <v>2.569572E-4</v>
      </c>
      <c r="W6780">
        <v>-1.03613E-2</v>
      </c>
      <c r="X6780">
        <v>0.99994629999999995</v>
      </c>
      <c r="Y6780">
        <v>-0.4111013</v>
      </c>
      <c r="Z6780">
        <v>-1.1642700000000001E-2</v>
      </c>
      <c r="AA6780">
        <v>0.91151530000000003</v>
      </c>
      <c r="AB6780">
        <v>28</v>
      </c>
      <c r="AC6780">
        <v>10.197999999999899</v>
      </c>
      <c r="AD6780">
        <v>-1.04212839999999</v>
      </c>
      <c r="AE6780">
        <v>62.986350000000002</v>
      </c>
      <c r="AF6780">
        <v>-26.284094023762901</v>
      </c>
      <c r="AG6780">
        <v>-1.04212839999999</v>
      </c>
      <c r="AH6780">
        <v>58.122755417051003</v>
      </c>
      <c r="AI6780">
        <v>90.935956375284107</v>
      </c>
      <c r="AJ6780">
        <v>114.33328818957</v>
      </c>
      <c r="AK6780">
        <v>63.798074638051801</v>
      </c>
      <c r="AL6780">
        <v>90.593669375419296</v>
      </c>
      <c r="AM6780">
        <v>89.985276646604405</v>
      </c>
      <c r="AN6780">
        <v>1.0000000127241899</v>
      </c>
    </row>
    <row r="6781" spans="1:40" x14ac:dyDescent="0.25">
      <c r="A6781" t="str">
        <f>"20190312161448023"</f>
        <v>20190312161448023</v>
      </c>
      <c r="B6781" t="str">
        <f>"1552378488013101"</f>
        <v>1552378488013101</v>
      </c>
      <c r="C6781" t="s">
        <v>40</v>
      </c>
      <c r="D6781">
        <v>5.4092789999999997</v>
      </c>
      <c r="E6781">
        <v>0.30487509999999901</v>
      </c>
      <c r="F6781" t="s">
        <v>42</v>
      </c>
      <c r="G6781">
        <v>-179.75219999999999</v>
      </c>
      <c r="H6781">
        <v>7.9986039999999994E-2</v>
      </c>
      <c r="I6781">
        <v>11.92231</v>
      </c>
      <c r="J6781">
        <v>-189.47540000000001</v>
      </c>
      <c r="K6781">
        <v>1.1220909999999999</v>
      </c>
      <c r="L6781">
        <v>-52.422730000000001</v>
      </c>
      <c r="M6781">
        <v>0.54134069999999901</v>
      </c>
      <c r="N6781">
        <v>0</v>
      </c>
      <c r="O6781">
        <v>0.84064509999999903</v>
      </c>
      <c r="P6781">
        <v>0.54113900000000004</v>
      </c>
      <c r="Q6781">
        <v>-2.557945E-2</v>
      </c>
      <c r="R6781">
        <v>0.84054399999999996</v>
      </c>
      <c r="S6781">
        <v>0.49812319999999999</v>
      </c>
      <c r="T6781">
        <v>-5.2773479999999998E-2</v>
      </c>
      <c r="U6781">
        <v>3.2683110000000002</v>
      </c>
      <c r="V6781">
        <v>1.5682160000000001E-4</v>
      </c>
      <c r="W6781">
        <v>-9.2694360000000007E-3</v>
      </c>
      <c r="X6781">
        <v>0.99995699999999998</v>
      </c>
      <c r="Y6781">
        <v>-0.40856360000000003</v>
      </c>
      <c r="Z6781">
        <v>-1.1573399999999999E-2</v>
      </c>
      <c r="AA6781">
        <v>0.91265649999999998</v>
      </c>
      <c r="AB6781">
        <v>28</v>
      </c>
      <c r="AC6781">
        <v>9.7232000000000198</v>
      </c>
      <c r="AD6781">
        <v>-1.0421049600000001</v>
      </c>
      <c r="AE6781">
        <v>64.345039999999997</v>
      </c>
      <c r="AF6781">
        <v>-26.655540148551001</v>
      </c>
      <c r="AG6781">
        <v>-1.0421049600000001</v>
      </c>
      <c r="AH6781">
        <v>59.347584954412604</v>
      </c>
      <c r="AI6781">
        <v>90.917678570135493</v>
      </c>
      <c r="AJ6781">
        <v>114.186888757745</v>
      </c>
      <c r="AK6781">
        <v>65.067193294930902</v>
      </c>
      <c r="AL6781">
        <v>90.531107180696694</v>
      </c>
      <c r="AM6781">
        <v>89.991014397876199</v>
      </c>
      <c r="AN6781">
        <v>0.99999997444288502</v>
      </c>
    </row>
    <row r="6782" spans="1:40" x14ac:dyDescent="0.25">
      <c r="A6782" t="str">
        <f>"20190312161448046"</f>
        <v>20190312161448046</v>
      </c>
      <c r="B6782" t="str">
        <f>"1552378488043357"</f>
        <v>1552378488043357</v>
      </c>
      <c r="C6782" t="s">
        <v>40</v>
      </c>
      <c r="D6782">
        <v>5.3527889999999996</v>
      </c>
      <c r="E6782">
        <v>0.30712080000000003</v>
      </c>
      <c r="F6782" t="s">
        <v>81</v>
      </c>
      <c r="G6782">
        <v>-168.22499999999999</v>
      </c>
      <c r="H6782">
        <v>1.357847</v>
      </c>
      <c r="I6782">
        <v>172.69099999999901</v>
      </c>
      <c r="J6782">
        <v>-189.33789999999999</v>
      </c>
      <c r="K6782">
        <v>1.1220589999999999</v>
      </c>
      <c r="L6782">
        <v>-52.1785</v>
      </c>
      <c r="M6782">
        <v>0.52758309999999997</v>
      </c>
      <c r="N6782">
        <v>0</v>
      </c>
      <c r="O6782">
        <v>0.84934690000000002</v>
      </c>
      <c r="P6782">
        <v>0.52727630000000003</v>
      </c>
      <c r="Q6782">
        <v>-2.5628410000000001E-2</v>
      </c>
      <c r="R6782">
        <v>0.84930740000000005</v>
      </c>
      <c r="S6782">
        <v>0.31762699999999999</v>
      </c>
      <c r="T6782">
        <v>3.5243029999999999E-3</v>
      </c>
      <c r="U6782">
        <v>3.3647459999999998</v>
      </c>
      <c r="V6782" s="1">
        <v>3.2593099999999998E-5</v>
      </c>
      <c r="W6782">
        <v>-9.3281600000000003E-3</v>
      </c>
      <c r="X6782">
        <v>0.99995650000000003</v>
      </c>
      <c r="Y6782">
        <v>-0.44548510000000002</v>
      </c>
      <c r="Z6782">
        <v>7.5647270000000003E-4</v>
      </c>
      <c r="AA6782">
        <v>0.895288999999999</v>
      </c>
      <c r="AB6782">
        <v>28</v>
      </c>
      <c r="AC6782">
        <v>21.1129</v>
      </c>
      <c r="AD6782">
        <v>0.235788</v>
      </c>
      <c r="AE6782">
        <v>224.86949999999999</v>
      </c>
      <c r="AF6782">
        <v>-100.71845420339</v>
      </c>
      <c r="AG6782">
        <v>0.235788</v>
      </c>
      <c r="AH6782">
        <v>202.15768194100201</v>
      </c>
      <c r="AI6782">
        <v>89.940185252621305</v>
      </c>
      <c r="AJ6782">
        <v>116.483279913494</v>
      </c>
      <c r="AK6782">
        <v>225.858342730262</v>
      </c>
      <c r="AL6782">
        <v>90.534471945271804</v>
      </c>
      <c r="AM6782">
        <v>89.998132471691903</v>
      </c>
      <c r="AN6782">
        <v>1.00000000876177</v>
      </c>
    </row>
    <row r="6783" spans="1:40" x14ac:dyDescent="0.25">
      <c r="A6783" t="str">
        <f>"20190312161448066"</f>
        <v>20190312161448066</v>
      </c>
      <c r="B6783" t="str">
        <f>"1552378488063854"</f>
        <v>1552378488063854</v>
      </c>
      <c r="C6783" t="s">
        <v>40</v>
      </c>
      <c r="D6783">
        <v>5.355677</v>
      </c>
      <c r="E6783">
        <v>0.30936520000000001</v>
      </c>
      <c r="F6783" t="s">
        <v>81</v>
      </c>
      <c r="G6783">
        <v>-168.4128</v>
      </c>
      <c r="H6783">
        <v>1.4667939999999999</v>
      </c>
      <c r="I6783">
        <v>200.90610000000001</v>
      </c>
      <c r="J6783">
        <v>-189.22200000000001</v>
      </c>
      <c r="K6783">
        <v>1.1220239999999999</v>
      </c>
      <c r="L6783">
        <v>-51.964750000000002</v>
      </c>
      <c r="M6783">
        <v>0.51554129999999998</v>
      </c>
      <c r="N6783">
        <v>0</v>
      </c>
      <c r="O6783">
        <v>0.85670970000000002</v>
      </c>
      <c r="P6783">
        <v>0.51515480000000002</v>
      </c>
      <c r="Q6783">
        <v>-2.6167900000000001E-2</v>
      </c>
      <c r="R6783">
        <v>0.85669759999999995</v>
      </c>
      <c r="S6783">
        <v>0.27780149999999998</v>
      </c>
      <c r="T6783">
        <v>4.5771600000000003E-3</v>
      </c>
      <c r="U6783">
        <v>3.3599549999999998</v>
      </c>
      <c r="V6783" s="1">
        <v>-3.746081E-5</v>
      </c>
      <c r="W6783">
        <v>-9.8765520000000002E-3</v>
      </c>
      <c r="X6783">
        <v>0.99995120000000004</v>
      </c>
      <c r="Y6783">
        <v>-0.44325500000000001</v>
      </c>
      <c r="Z6783">
        <v>9.996362E-4</v>
      </c>
      <c r="AA6783">
        <v>0.89639500000000005</v>
      </c>
      <c r="AB6783">
        <v>28</v>
      </c>
      <c r="AC6783">
        <v>20.809200000000001</v>
      </c>
      <c r="AD6783">
        <v>0.34477000000000002</v>
      </c>
      <c r="AE6783">
        <v>252.87084999999999</v>
      </c>
      <c r="AF6783">
        <v>-112.552666706792</v>
      </c>
      <c r="AG6783">
        <v>0.34477000000000002</v>
      </c>
      <c r="AH6783">
        <v>227.394698859724</v>
      </c>
      <c r="AI6783">
        <v>89.922144676127402</v>
      </c>
      <c r="AJ6783">
        <v>116.33384980122899</v>
      </c>
      <c r="AK6783">
        <v>253.72538445860701</v>
      </c>
      <c r="AL6783">
        <v>90.565893960266905</v>
      </c>
      <c r="AM6783">
        <v>90.002146451055907</v>
      </c>
      <c r="AN6783">
        <v>0.99999997503208005</v>
      </c>
    </row>
    <row r="6784" spans="1:40" x14ac:dyDescent="0.25">
      <c r="A6784" t="str">
        <f>"20190312161448079"</f>
        <v>20190312161448079</v>
      </c>
      <c r="B6784" t="str">
        <f>"1552378488073614"</f>
        <v>1552378488073614</v>
      </c>
      <c r="C6784" t="s">
        <v>40</v>
      </c>
      <c r="D6784">
        <v>5.3538920000000001</v>
      </c>
      <c r="E6784">
        <v>0.31063289999999999</v>
      </c>
      <c r="F6784" t="s">
        <v>59</v>
      </c>
      <c r="G6784">
        <v>-167.18729999999999</v>
      </c>
      <c r="H6784">
        <v>1.1317330000000001</v>
      </c>
      <c r="I6784">
        <v>249.3853</v>
      </c>
      <c r="J6784">
        <v>-189.14789999999999</v>
      </c>
      <c r="K6784">
        <v>1.121996</v>
      </c>
      <c r="L6784">
        <v>-51.823729999999998</v>
      </c>
      <c r="M6784">
        <v>0.50760419999999995</v>
      </c>
      <c r="N6784">
        <v>0</v>
      </c>
      <c r="O6784">
        <v>0.86143630000000004</v>
      </c>
      <c r="P6784">
        <v>0.5071985</v>
      </c>
      <c r="Q6784">
        <v>-2.603215E-2</v>
      </c>
      <c r="R6784">
        <v>0.86143599999999998</v>
      </c>
      <c r="S6784">
        <v>0.24526980000000001</v>
      </c>
      <c r="T6784">
        <v>1.0871889999999999E-4</v>
      </c>
      <c r="U6784">
        <v>3.3543400000000001</v>
      </c>
      <c r="V6784" s="1">
        <v>-6.6300749999999997E-5</v>
      </c>
      <c r="W6784">
        <v>-9.74679E-3</v>
      </c>
      <c r="X6784">
        <v>0.99995250000000002</v>
      </c>
      <c r="Y6784">
        <v>-0.44349090000000002</v>
      </c>
      <c r="Z6784" s="1">
        <v>2.4011720000000001E-5</v>
      </c>
      <c r="AA6784">
        <v>0.89627889999999999</v>
      </c>
      <c r="AB6784">
        <v>28</v>
      </c>
      <c r="AC6784">
        <v>21.960599999999999</v>
      </c>
      <c r="AD6784">
        <v>9.7370000000000997E-3</v>
      </c>
      <c r="AE6784">
        <v>301.20902999999998</v>
      </c>
      <c r="AF6784">
        <v>-133.99509805819801</v>
      </c>
      <c r="AG6784">
        <v>9.7370000000000997E-3</v>
      </c>
      <c r="AH6784">
        <v>270.655613672904</v>
      </c>
      <c r="AI6784">
        <v>89.998152737542696</v>
      </c>
      <c r="AJ6784">
        <v>116.338907310436</v>
      </c>
      <c r="AK6784">
        <v>302.00852241466902</v>
      </c>
      <c r="AL6784">
        <v>90.558458771460494</v>
      </c>
      <c r="AM6784">
        <v>90.003798933597295</v>
      </c>
      <c r="AN6784">
        <v>1.00000000328367</v>
      </c>
    </row>
    <row r="6785" spans="1:40" x14ac:dyDescent="0.25">
      <c r="A6785" t="str">
        <f>"20190312161448092"</f>
        <v>20190312161448092</v>
      </c>
      <c r="B6785" t="str">
        <f>"1552378488083375"</f>
        <v>1552378488083375</v>
      </c>
      <c r="C6785" t="s">
        <v>40</v>
      </c>
      <c r="D6785">
        <v>5.3621619999999997</v>
      </c>
      <c r="E6785">
        <v>0.31063289999999999</v>
      </c>
      <c r="F6785" t="s">
        <v>58</v>
      </c>
      <c r="G6785">
        <v>-167.7741</v>
      </c>
      <c r="H6785">
        <v>1.0473629999999901</v>
      </c>
      <c r="I6785">
        <v>269.69009999999997</v>
      </c>
      <c r="J6785">
        <v>-189.07669999999999</v>
      </c>
      <c r="K6785">
        <v>1.121972</v>
      </c>
      <c r="L6785">
        <v>-51.686</v>
      </c>
      <c r="M6785">
        <v>0.49984220000000001</v>
      </c>
      <c r="N6785">
        <v>0</v>
      </c>
      <c r="O6785">
        <v>0.86596329999999999</v>
      </c>
      <c r="P6785">
        <v>0.49957370000000001</v>
      </c>
      <c r="Q6785">
        <v>-2.5898250000000001E-2</v>
      </c>
      <c r="R6785">
        <v>0.86588419999999899</v>
      </c>
      <c r="S6785">
        <v>0.22279360000000001</v>
      </c>
      <c r="T6785">
        <v>-7.7712539999999996E-4</v>
      </c>
      <c r="U6785">
        <v>3.3513489999999999</v>
      </c>
      <c r="V6785" s="1">
        <v>8.5636029999999993E-5</v>
      </c>
      <c r="W6785">
        <v>-9.6138109999999999E-3</v>
      </c>
      <c r="X6785">
        <v>0.9999538</v>
      </c>
      <c r="Y6785">
        <v>-0.44135849999999999</v>
      </c>
      <c r="Z6785">
        <v>-1.7348139999999999E-4</v>
      </c>
      <c r="AA6785">
        <v>0.89733090000000004</v>
      </c>
      <c r="AB6785">
        <v>28</v>
      </c>
      <c r="AC6785">
        <v>21.302599999999899</v>
      </c>
      <c r="AD6785">
        <v>-7.4609000000000106E-2</v>
      </c>
      <c r="AE6785">
        <v>321.37609999999898</v>
      </c>
      <c r="AF6785">
        <v>-142.20892740560899</v>
      </c>
      <c r="AG6785">
        <v>-7.4609000000000106E-2</v>
      </c>
      <c r="AH6785">
        <v>288.98617311406298</v>
      </c>
      <c r="AI6785">
        <v>90.013272364007307</v>
      </c>
      <c r="AJ6785">
        <v>116.201612335707</v>
      </c>
      <c r="AK6785">
        <v>322.08134508454202</v>
      </c>
      <c r="AL6785">
        <v>90.550839271218805</v>
      </c>
      <c r="AM6785">
        <v>89.995093190224097</v>
      </c>
      <c r="AN6785">
        <v>1.0000000174149499</v>
      </c>
    </row>
    <row r="6786" spans="1:40" x14ac:dyDescent="0.25">
      <c r="A6786" t="str">
        <f>"20190312161448112"</f>
        <v>20190312161448112</v>
      </c>
      <c r="B6786" t="str">
        <f>"1552378488102897"</f>
        <v>1552378488102897</v>
      </c>
      <c r="C6786" t="s">
        <v>40</v>
      </c>
      <c r="D6786">
        <v>5.3269060000000001</v>
      </c>
      <c r="E6786">
        <v>0.32646839999999999</v>
      </c>
      <c r="F6786" t="s">
        <v>45</v>
      </c>
      <c r="G6786">
        <v>-167.976</v>
      </c>
      <c r="H6786">
        <v>1.114363</v>
      </c>
      <c r="I6786">
        <v>314.49709999999999</v>
      </c>
      <c r="J6786">
        <v>-188.96789999999999</v>
      </c>
      <c r="K6786">
        <v>1.121926</v>
      </c>
      <c r="L6786">
        <v>-51.46893</v>
      </c>
      <c r="M6786">
        <v>0.48762820000000001</v>
      </c>
      <c r="N6786">
        <v>0</v>
      </c>
      <c r="O6786">
        <v>0.87289969999999995</v>
      </c>
      <c r="P6786">
        <v>0.48766870000000001</v>
      </c>
      <c r="Q6786">
        <v>-2.5079279999999999E-2</v>
      </c>
      <c r="R6786">
        <v>0.87266849999999996</v>
      </c>
      <c r="S6786">
        <v>0.193222</v>
      </c>
      <c r="T6786" s="1">
        <v>-6.9618229999999999E-5</v>
      </c>
      <c r="U6786">
        <v>3.35318</v>
      </c>
      <c r="V6786">
        <v>4.0183280000000003E-4</v>
      </c>
      <c r="W6786">
        <v>-8.7954580000000008E-3</v>
      </c>
      <c r="X6786">
        <v>0.99996130000000005</v>
      </c>
      <c r="Y6786">
        <v>-0.4366622</v>
      </c>
      <c r="Z6786" s="1">
        <v>-1.577175E-5</v>
      </c>
      <c r="AA6786">
        <v>0.89962549999999997</v>
      </c>
      <c r="AB6786">
        <v>28</v>
      </c>
      <c r="AC6786">
        <v>20.991899999999902</v>
      </c>
      <c r="AD6786">
        <v>-7.5629999999999803E-3</v>
      </c>
      <c r="AE6786">
        <v>365.96602999999999</v>
      </c>
      <c r="AF6786">
        <v>-160.152743005454</v>
      </c>
      <c r="AG6786">
        <v>-7.5629999999999803E-3</v>
      </c>
      <c r="AH6786">
        <v>329.731548040223</v>
      </c>
      <c r="AI6786">
        <v>90.001182123017202</v>
      </c>
      <c r="AJ6786">
        <v>115.906145215069</v>
      </c>
      <c r="AK6786">
        <v>366.56758574971099</v>
      </c>
      <c r="AL6786">
        <v>90.503949089011897</v>
      </c>
      <c r="AM6786">
        <v>89.976975786692293</v>
      </c>
      <c r="AN6786">
        <v>1.0000000615243501</v>
      </c>
    </row>
    <row r="6787" spans="1:40" x14ac:dyDescent="0.25">
      <c r="A6787" t="str">
        <f>"20190312161448125"</f>
        <v>20190312161448125</v>
      </c>
      <c r="B6787" t="str">
        <f>"1552378488113630"</f>
        <v>1552378488113630</v>
      </c>
      <c r="C6787" t="s">
        <v>40</v>
      </c>
      <c r="D6787">
        <v>5.3077800000000002</v>
      </c>
      <c r="E6787">
        <v>0.32753290000000002</v>
      </c>
      <c r="F6787" t="s">
        <v>84</v>
      </c>
      <c r="G6787">
        <v>-173.67</v>
      </c>
      <c r="H6787" s="1">
        <v>-6.945497E-6</v>
      </c>
      <c r="I6787">
        <v>144.87139999999999</v>
      </c>
      <c r="J6787">
        <v>-188.8954</v>
      </c>
      <c r="K6787">
        <v>1.1218889999999999</v>
      </c>
      <c r="L6787">
        <v>-51.319980000000001</v>
      </c>
      <c r="M6787">
        <v>0.47925259999999997</v>
      </c>
      <c r="N6787">
        <v>0</v>
      </c>
      <c r="O6787">
        <v>0.87752619999999903</v>
      </c>
      <c r="P6787">
        <v>0.4796241</v>
      </c>
      <c r="Q6787">
        <v>-2.5008900000000001E-2</v>
      </c>
      <c r="R6787">
        <v>0.87711759999999905</v>
      </c>
      <c r="S6787">
        <v>0.25663760000000002</v>
      </c>
      <c r="T6787">
        <v>-1.8821480000000002E-2</v>
      </c>
      <c r="U6787">
        <v>3.293793</v>
      </c>
      <c r="V6787">
        <v>7.7296119999999905E-4</v>
      </c>
      <c r="W6787">
        <v>-8.7226019999999994E-3</v>
      </c>
      <c r="X6787">
        <v>0.99996169999999995</v>
      </c>
      <c r="Y6787">
        <v>-0.40969290000000003</v>
      </c>
      <c r="Z6787">
        <v>-4.41479E-3</v>
      </c>
      <c r="AA6787">
        <v>0.91221280000000005</v>
      </c>
      <c r="AB6787">
        <v>28</v>
      </c>
      <c r="AC6787">
        <v>15.2254</v>
      </c>
      <c r="AD6787">
        <v>-1.1218959454969999</v>
      </c>
      <c r="AE6787">
        <v>196.19138000000001</v>
      </c>
      <c r="AF6787">
        <v>-80.672597995153694</v>
      </c>
      <c r="AG6787">
        <v>-1.1218959454969999</v>
      </c>
      <c r="AH6787">
        <v>179.477812405545</v>
      </c>
      <c r="AI6787">
        <v>90.326663679834397</v>
      </c>
      <c r="AJ6787">
        <v>114.20320585383401</v>
      </c>
      <c r="AK6787">
        <v>196.77807770094699</v>
      </c>
      <c r="AL6787">
        <v>90.499774597894898</v>
      </c>
      <c r="AM6787">
        <v>89.955710898060801</v>
      </c>
      <c r="AN6787">
        <v>1.0000000413607699</v>
      </c>
    </row>
    <row r="6788" spans="1:40" x14ac:dyDescent="0.25">
      <c r="A6788" t="str">
        <f>"20190312161448147"</f>
        <v>20190312161448147</v>
      </c>
      <c r="B6788" t="str">
        <f>"1552378488143885"</f>
        <v>1552378488143885</v>
      </c>
      <c r="C6788" t="s">
        <v>40</v>
      </c>
      <c r="D6788">
        <v>5.0884549999999997</v>
      </c>
      <c r="E6788">
        <v>0.33696880000000001</v>
      </c>
      <c r="F6788" t="s">
        <v>42</v>
      </c>
      <c r="G6788">
        <v>-178.80699999999999</v>
      </c>
      <c r="H6788">
        <v>7.9985799999999996E-2</v>
      </c>
      <c r="I6788">
        <v>90.982290000000006</v>
      </c>
      <c r="J6788">
        <v>-188.7885</v>
      </c>
      <c r="K6788">
        <v>1.1218250000000001</v>
      </c>
      <c r="L6788">
        <v>-51.093510000000002</v>
      </c>
      <c r="M6788">
        <v>0.46654230000000002</v>
      </c>
      <c r="N6788">
        <v>0</v>
      </c>
      <c r="O6788">
        <v>0.88434950000000001</v>
      </c>
      <c r="P6788">
        <v>0.46762110000000001</v>
      </c>
      <c r="Q6788">
        <v>-2.4959789999999999E-2</v>
      </c>
      <c r="R6788">
        <v>0.88357659999999905</v>
      </c>
      <c r="S6788">
        <v>0.23338320000000001</v>
      </c>
      <c r="T6788">
        <v>-2.4103159999999998E-2</v>
      </c>
      <c r="U6788">
        <v>3.291992</v>
      </c>
      <c r="V6788">
        <v>1.563156E-3</v>
      </c>
      <c r="W6788">
        <v>-8.6652309999999903E-3</v>
      </c>
      <c r="X6788">
        <v>0.99996130000000005</v>
      </c>
      <c r="Y6788">
        <v>-0.40289000000000003</v>
      </c>
      <c r="Z6788">
        <v>-5.7426300000000003E-3</v>
      </c>
      <c r="AA6788">
        <v>0.9152304</v>
      </c>
      <c r="AB6788">
        <v>28</v>
      </c>
      <c r="AC6788">
        <v>9.9814999999999792</v>
      </c>
      <c r="AD6788">
        <v>-1.0418392000000001</v>
      </c>
      <c r="AE6788">
        <v>142.07579999999999</v>
      </c>
      <c r="AF6788">
        <v>-57.4617541534381</v>
      </c>
      <c r="AG6788">
        <v>-1.0418392000000001</v>
      </c>
      <c r="AH6788">
        <v>130.311700986093</v>
      </c>
      <c r="AI6788">
        <v>90.419130787657096</v>
      </c>
      <c r="AJ6788">
        <v>113.795378911668</v>
      </c>
      <c r="AK6788">
        <v>142.42218237759801</v>
      </c>
      <c r="AL6788">
        <v>90.496487345599405</v>
      </c>
      <c r="AM6788">
        <v>89.910434365241997</v>
      </c>
      <c r="AN6788">
        <v>1.0000000655913199</v>
      </c>
    </row>
    <row r="6789" spans="1:40" x14ac:dyDescent="0.25">
      <c r="A6789" t="str">
        <f>"20190312161448168"</f>
        <v>20190312161448168</v>
      </c>
      <c r="B6789" t="str">
        <f>"1552378488163406"</f>
        <v>1552378488163406</v>
      </c>
      <c r="C6789" t="s">
        <v>40</v>
      </c>
      <c r="D6789">
        <v>5.1282649999999999</v>
      </c>
      <c r="E6789">
        <v>0.31675569999999997</v>
      </c>
      <c r="F6789" t="s">
        <v>42</v>
      </c>
      <c r="G6789">
        <v>-183.96559999999999</v>
      </c>
      <c r="H6789" s="1">
        <v>-2.02251E-6</v>
      </c>
      <c r="I6789">
        <v>10.873189999999999</v>
      </c>
      <c r="J6789">
        <v>-188.6797</v>
      </c>
      <c r="K6789">
        <v>1.1217429999999999</v>
      </c>
      <c r="L6789">
        <v>-50.854280000000003</v>
      </c>
      <c r="M6789">
        <v>0.4531559</v>
      </c>
      <c r="N6789">
        <v>0</v>
      </c>
      <c r="O6789">
        <v>0.89128339999999995</v>
      </c>
      <c r="P6789">
        <v>0.45520060000000001</v>
      </c>
      <c r="Q6789">
        <v>-2.60471E-2</v>
      </c>
      <c r="R6789">
        <v>0.89000789999999996</v>
      </c>
      <c r="S6789">
        <v>0.2536774</v>
      </c>
      <c r="T6789">
        <v>-5.9006690000000001E-2</v>
      </c>
      <c r="U6789">
        <v>3.259369</v>
      </c>
      <c r="V6789">
        <v>2.6783929999999998E-3</v>
      </c>
      <c r="W6789">
        <v>-9.7391700000000001E-3</v>
      </c>
      <c r="X6789">
        <v>0.99994899999999998</v>
      </c>
      <c r="Y6789">
        <v>-0.38268649999999999</v>
      </c>
      <c r="Z6789">
        <v>-1.4459680000000001E-2</v>
      </c>
      <c r="AA6789">
        <v>0.92376510000000001</v>
      </c>
      <c r="AB6789">
        <v>28</v>
      </c>
      <c r="AC6789">
        <v>4.7141000000000002</v>
      </c>
      <c r="AD6789">
        <v>-1.1217450225100001</v>
      </c>
      <c r="AE6789">
        <v>61.727469999999997</v>
      </c>
      <c r="AF6789">
        <v>-23.765899126361099</v>
      </c>
      <c r="AG6789">
        <v>-1.1217450225100001</v>
      </c>
      <c r="AH6789">
        <v>57.141665579540501</v>
      </c>
      <c r="AI6789">
        <v>91.038413983160396</v>
      </c>
      <c r="AJ6789">
        <v>112.583007677374</v>
      </c>
      <c r="AK6789">
        <v>61.897061468085397</v>
      </c>
      <c r="AL6789">
        <v>90.558022150968</v>
      </c>
      <c r="AM6789">
        <v>89.8465319253513</v>
      </c>
      <c r="AN6789">
        <v>1.00000001391117</v>
      </c>
    </row>
    <row r="6790" spans="1:40" x14ac:dyDescent="0.25">
      <c r="A6790" t="str">
        <f>"20190312161448190"</f>
        <v>20190312161448190</v>
      </c>
      <c r="B6790" t="str">
        <f>"1552378488182926"</f>
        <v>1552378488182926</v>
      </c>
      <c r="C6790" t="s">
        <v>40</v>
      </c>
      <c r="D6790">
        <v>5.1802390000000003</v>
      </c>
      <c r="E6790">
        <v>0.32000859999999998</v>
      </c>
      <c r="F6790" t="s">
        <v>110</v>
      </c>
      <c r="G6790">
        <v>-179.51830000000001</v>
      </c>
      <c r="H6790">
        <v>7.1026100000000003</v>
      </c>
      <c r="I6790">
        <v>390.11860000000001</v>
      </c>
      <c r="J6790">
        <v>-188.57069999999999</v>
      </c>
      <c r="K6790">
        <v>1.1216459999999999</v>
      </c>
      <c r="L6790">
        <v>-50.603490000000001</v>
      </c>
      <c r="M6790">
        <v>0.43920720000000002</v>
      </c>
      <c r="N6790">
        <v>0</v>
      </c>
      <c r="O6790">
        <v>0.89823940000000002</v>
      </c>
      <c r="P6790">
        <v>0.4425249</v>
      </c>
      <c r="Q6790">
        <v>-2.636119E-2</v>
      </c>
      <c r="R6790">
        <v>0.89636870000000002</v>
      </c>
      <c r="S6790">
        <v>6.9320679999999996E-2</v>
      </c>
      <c r="T6790">
        <v>4.5254469999999998E-2</v>
      </c>
      <c r="U6790">
        <v>3.3366389999999999</v>
      </c>
      <c r="V6790">
        <v>4.0864810000000003E-3</v>
      </c>
      <c r="W6790">
        <v>-1.003661E-2</v>
      </c>
      <c r="X6790">
        <v>0.99994130000000003</v>
      </c>
      <c r="Y6790">
        <v>-0.42050969999999999</v>
      </c>
      <c r="Z6790">
        <v>1.086752E-2</v>
      </c>
      <c r="AA6790">
        <v>0.90722290000000005</v>
      </c>
      <c r="AB6790">
        <v>28</v>
      </c>
      <c r="AC6790">
        <v>9.0523999999999702</v>
      </c>
      <c r="AD6790">
        <v>5.9809640000000002</v>
      </c>
      <c r="AE6790">
        <v>440.72208999999998</v>
      </c>
      <c r="AF6790">
        <v>-185.42734876259999</v>
      </c>
      <c r="AG6790">
        <v>5.9809640000000002</v>
      </c>
      <c r="AH6790">
        <v>399.82881434527599</v>
      </c>
      <c r="AI6790">
        <v>89.222517372600507</v>
      </c>
      <c r="AJ6790">
        <v>114.880307046482</v>
      </c>
      <c r="AK6790">
        <v>440.774493795007</v>
      </c>
      <c r="AL6790">
        <v>90.575065038175893</v>
      </c>
      <c r="AM6790">
        <v>89.765849444458198</v>
      </c>
      <c r="AN6790">
        <v>1.0000000181564701</v>
      </c>
    </row>
    <row r="6791" spans="1:40" x14ac:dyDescent="0.25">
      <c r="A6791" t="str">
        <f>"20190312161448216"</f>
        <v>20190312161448216</v>
      </c>
      <c r="B6791" t="str">
        <f>"1552378488203422"</f>
        <v>1552378488203422</v>
      </c>
      <c r="C6791" t="s">
        <v>40</v>
      </c>
      <c r="D6791">
        <v>5.2063439999999996</v>
      </c>
      <c r="E6791">
        <v>0.32245230000000003</v>
      </c>
      <c r="F6791" t="s">
        <v>110</v>
      </c>
      <c r="G6791">
        <v>-182.61240000000001</v>
      </c>
      <c r="H6791">
        <v>5.7075310000000004</v>
      </c>
      <c r="I6791">
        <v>391.87</v>
      </c>
      <c r="J6791">
        <v>-188.4589</v>
      </c>
      <c r="K6791">
        <v>1.1215310000000001</v>
      </c>
      <c r="L6791">
        <v>-50.334989999999998</v>
      </c>
      <c r="M6791">
        <v>0.42436259999999998</v>
      </c>
      <c r="N6791">
        <v>0</v>
      </c>
      <c r="O6791">
        <v>0.90534760000000003</v>
      </c>
      <c r="P6791">
        <v>0.4292649</v>
      </c>
      <c r="Q6791">
        <v>-2.651247E-2</v>
      </c>
      <c r="R6791">
        <v>0.90278939999999996</v>
      </c>
      <c r="S6791">
        <v>4.4784549999999999E-2</v>
      </c>
      <c r="T6791">
        <v>3.4468650000000003E-2</v>
      </c>
      <c r="U6791">
        <v>3.3257449999999902</v>
      </c>
      <c r="V6791">
        <v>5.8102340000000001E-3</v>
      </c>
      <c r="W6791">
        <v>-1.0169549999999999E-2</v>
      </c>
      <c r="X6791">
        <v>0.99993140000000003</v>
      </c>
      <c r="Y6791">
        <v>-0.41218729999999998</v>
      </c>
      <c r="Z6791">
        <v>8.4345059999999996E-3</v>
      </c>
      <c r="AA6791">
        <v>0.91106010000000004</v>
      </c>
      <c r="AB6791">
        <v>28</v>
      </c>
      <c r="AC6791">
        <v>5.84649999999999</v>
      </c>
      <c r="AD6791">
        <v>4.5859999999999896</v>
      </c>
      <c r="AE6791">
        <v>442.20499000000001</v>
      </c>
      <c r="AF6791">
        <v>-182.36643788039001</v>
      </c>
      <c r="AG6791">
        <v>4.5859999999999896</v>
      </c>
      <c r="AH6791">
        <v>402.83974613951801</v>
      </c>
      <c r="AI6791">
        <v>89.405808795910403</v>
      </c>
      <c r="AJ6791">
        <v>114.35636717840799</v>
      </c>
      <c r="AK6791">
        <v>442.21986627800197</v>
      </c>
      <c r="AL6791">
        <v>90.582682343191905</v>
      </c>
      <c r="AM6791">
        <v>89.667079022000394</v>
      </c>
      <c r="AN6791">
        <v>0.99999999163614794</v>
      </c>
    </row>
    <row r="6792" spans="1:40" x14ac:dyDescent="0.25">
      <c r="A6792" t="str">
        <f>"20190312161448236"</f>
        <v>20190312161448236</v>
      </c>
      <c r="B6792" t="str">
        <f>"1552378488233678"</f>
        <v>1552378488233678</v>
      </c>
      <c r="C6792" t="s">
        <v>40</v>
      </c>
      <c r="D6792">
        <v>5.2611460000000001</v>
      </c>
      <c r="E6792">
        <v>0.33961059999999998</v>
      </c>
      <c r="F6792" t="s">
        <v>110</v>
      </c>
      <c r="G6792">
        <v>-186.7261</v>
      </c>
      <c r="H6792">
        <v>4.7577930000000004</v>
      </c>
      <c r="I6792">
        <v>391.87</v>
      </c>
      <c r="J6792">
        <v>-188.36359999999999</v>
      </c>
      <c r="K6792">
        <v>1.121426</v>
      </c>
      <c r="L6792">
        <v>-50.096499999999999</v>
      </c>
      <c r="M6792">
        <v>0.41124850000000002</v>
      </c>
      <c r="N6792">
        <v>0</v>
      </c>
      <c r="O6792">
        <v>0.91137999999999997</v>
      </c>
      <c r="P6792">
        <v>0.41746800000000001</v>
      </c>
      <c r="Q6792">
        <v>-2.6848859999999999E-2</v>
      </c>
      <c r="R6792">
        <v>0.90829490000000002</v>
      </c>
      <c r="S6792">
        <v>1.300049E-2</v>
      </c>
      <c r="T6792">
        <v>2.728117E-2</v>
      </c>
      <c r="U6792">
        <v>3.3176570000000001</v>
      </c>
      <c r="V6792">
        <v>7.23054199999999E-3</v>
      </c>
      <c r="W6792">
        <v>-1.049579E-2</v>
      </c>
      <c r="X6792">
        <v>0.9999188</v>
      </c>
      <c r="Y6792">
        <v>-0.4077268</v>
      </c>
      <c r="Z6792">
        <v>6.7741930000000004E-3</v>
      </c>
      <c r="AA6792">
        <v>0.91307879999999997</v>
      </c>
      <c r="AB6792">
        <v>28</v>
      </c>
      <c r="AC6792">
        <v>1.63749999999998</v>
      </c>
      <c r="AD6792">
        <v>3.6363669999999999</v>
      </c>
      <c r="AE6792">
        <v>441.9665</v>
      </c>
      <c r="AF6792">
        <v>-180.27701605777901</v>
      </c>
      <c r="AG6792">
        <v>3.6363669999999999</v>
      </c>
      <c r="AH6792">
        <v>403.49823093172699</v>
      </c>
      <c r="AI6792">
        <v>89.528569577874194</v>
      </c>
      <c r="AJ6792">
        <v>114.074382334044</v>
      </c>
      <c r="AK6792">
        <v>441.95457690659703</v>
      </c>
      <c r="AL6792">
        <v>90.601375496699902</v>
      </c>
      <c r="AM6792">
        <v>89.585694038723204</v>
      </c>
      <c r="AN6792">
        <v>1.0000000244693801</v>
      </c>
    </row>
    <row r="6793" spans="1:40" x14ac:dyDescent="0.25">
      <c r="A6793" t="str">
        <f>"20190312161448262"</f>
        <v>20190312161448262</v>
      </c>
      <c r="B6793" t="str">
        <f>"1552378488253197"</f>
        <v>1552378488253197</v>
      </c>
      <c r="C6793" t="s">
        <v>40</v>
      </c>
      <c r="D6793">
        <v>5.2817540000000003</v>
      </c>
      <c r="E6793">
        <v>0.34226580000000001</v>
      </c>
      <c r="F6793" t="s">
        <v>42</v>
      </c>
      <c r="G6793">
        <v>-184.5926</v>
      </c>
      <c r="H6793" s="1">
        <v>-2.8356399999999998E-6</v>
      </c>
      <c r="I6793">
        <v>83.752809999999997</v>
      </c>
      <c r="J6793">
        <v>-188.25210000000001</v>
      </c>
      <c r="K6793">
        <v>1.121297</v>
      </c>
      <c r="L6793">
        <v>-49.804139999999997</v>
      </c>
      <c r="M6793">
        <v>0.39528210000000003</v>
      </c>
      <c r="N6793">
        <v>0</v>
      </c>
      <c r="O6793">
        <v>0.91841819999999996</v>
      </c>
      <c r="P6793">
        <v>0.40327010000000002</v>
      </c>
      <c r="Q6793">
        <v>-2.7769729999999999E-2</v>
      </c>
      <c r="R6793">
        <v>0.91465960000000002</v>
      </c>
      <c r="S6793">
        <v>9.1842649999999998E-2</v>
      </c>
      <c r="T6793">
        <v>-2.7312039999999999E-2</v>
      </c>
      <c r="U6793">
        <v>3.2598569999999998</v>
      </c>
      <c r="V6793">
        <v>9.1377469999999999E-3</v>
      </c>
      <c r="W6793">
        <v>-1.140212E-2</v>
      </c>
      <c r="X6793">
        <v>0.99989320000000004</v>
      </c>
      <c r="Y6793">
        <v>-0.36930849999999998</v>
      </c>
      <c r="Z6793">
        <v>-7.0587169999999999E-3</v>
      </c>
      <c r="AA6793">
        <v>0.92927999999999999</v>
      </c>
      <c r="AB6793">
        <v>27</v>
      </c>
      <c r="AC6793">
        <v>3.6595</v>
      </c>
      <c r="AD6793">
        <v>-1.1212998356399999</v>
      </c>
      <c r="AE6793">
        <v>133.55695</v>
      </c>
      <c r="AF6793">
        <v>-49.434667503969798</v>
      </c>
      <c r="AG6793">
        <v>-1.1212998356399999</v>
      </c>
      <c r="AH6793">
        <v>124.11506806721999</v>
      </c>
      <c r="AI6793">
        <v>90.480878456598802</v>
      </c>
      <c r="AJ6793">
        <v>111.717247272164</v>
      </c>
      <c r="AK6793">
        <v>133.602371932089</v>
      </c>
      <c r="AL6793">
        <v>90.653307536659597</v>
      </c>
      <c r="AM6793">
        <v>89.476404316992102</v>
      </c>
      <c r="AN6793">
        <v>0.99999995908348405</v>
      </c>
    </row>
    <row r="6794" spans="1:40" x14ac:dyDescent="0.25">
      <c r="A6794" t="str">
        <f>"20190312161448283"</f>
        <v>20190312161448283</v>
      </c>
      <c r="B6794" t="str">
        <f>"1552378488273694"</f>
        <v>1552378488273694</v>
      </c>
      <c r="C6794" t="s">
        <v>40</v>
      </c>
      <c r="D6794">
        <v>5.3270569999999999</v>
      </c>
      <c r="E6794">
        <v>0.34419440000000001</v>
      </c>
      <c r="F6794" t="s">
        <v>42</v>
      </c>
      <c r="G6794">
        <v>-186.80099999999999</v>
      </c>
      <c r="H6794" s="1">
        <v>-4.721866E-6</v>
      </c>
      <c r="I6794">
        <v>29.31683</v>
      </c>
      <c r="J6794">
        <v>-188.16579999999999</v>
      </c>
      <c r="K6794">
        <v>1.1211789999999999</v>
      </c>
      <c r="L6794">
        <v>-49.566989999999997</v>
      </c>
      <c r="M6794">
        <v>0.38244280000000003</v>
      </c>
      <c r="N6794">
        <v>0</v>
      </c>
      <c r="O6794">
        <v>0.92383899999999997</v>
      </c>
      <c r="P6794">
        <v>0.39127400000000001</v>
      </c>
      <c r="Q6794">
        <v>-2.856974E-2</v>
      </c>
      <c r="R6794">
        <v>0.9198307</v>
      </c>
      <c r="S6794">
        <v>5.9646610000000003E-2</v>
      </c>
      <c r="T6794">
        <v>-4.609013E-2</v>
      </c>
      <c r="U6794">
        <v>3.2521969999999998</v>
      </c>
      <c r="V6794">
        <v>1.0026230000000001E-2</v>
      </c>
      <c r="W6794">
        <v>-1.2211130000000001E-2</v>
      </c>
      <c r="X6794">
        <v>0.99987519999999996</v>
      </c>
      <c r="Y6794">
        <v>-0.36548520000000001</v>
      </c>
      <c r="Z6794">
        <v>-1.2065070000000001E-2</v>
      </c>
      <c r="AA6794">
        <v>0.93073890000000004</v>
      </c>
      <c r="AB6794">
        <v>27</v>
      </c>
      <c r="AC6794">
        <v>1.3648</v>
      </c>
      <c r="AD6794">
        <v>-1.1211837218659999</v>
      </c>
      <c r="AE6794">
        <v>78.88382</v>
      </c>
      <c r="AF6794">
        <v>-28.905600362477799</v>
      </c>
      <c r="AG6794">
        <v>-1.1211837218659999</v>
      </c>
      <c r="AH6794">
        <v>73.392592678198994</v>
      </c>
      <c r="AI6794">
        <v>90.814338457268207</v>
      </c>
      <c r="AJ6794">
        <v>111.496951531191</v>
      </c>
      <c r="AK6794">
        <v>78.887663454316396</v>
      </c>
      <c r="AL6794">
        <v>90.699663582436898</v>
      </c>
      <c r="AM6794">
        <v>89.425486890255002</v>
      </c>
      <c r="AN6794">
        <v>1.0000000262794599</v>
      </c>
    </row>
    <row r="6795" spans="1:40" x14ac:dyDescent="0.25">
      <c r="A6795" t="str">
        <f>"20190312161448306"</f>
        <v>20190312161448306</v>
      </c>
      <c r="B6795" t="str">
        <f>"1552378488302974"</f>
        <v>1552378488302974</v>
      </c>
      <c r="C6795" t="s">
        <v>40</v>
      </c>
      <c r="D6795">
        <v>5.3074579999999996</v>
      </c>
      <c r="E6795">
        <v>0.3537633</v>
      </c>
      <c r="F6795" t="s">
        <v>42</v>
      </c>
      <c r="G6795">
        <v>-187.5505</v>
      </c>
      <c r="H6795" s="1">
        <v>-2.704098E-6</v>
      </c>
      <c r="I6795">
        <v>14.923249999999999</v>
      </c>
      <c r="J6795">
        <v>-188.07470000000001</v>
      </c>
      <c r="K6795">
        <v>1.12104</v>
      </c>
      <c r="L6795">
        <v>-49.305660000000003</v>
      </c>
      <c r="M6795">
        <v>0.36841839999999998</v>
      </c>
      <c r="N6795">
        <v>0</v>
      </c>
      <c r="O6795">
        <v>0.92952140000000005</v>
      </c>
      <c r="P6795">
        <v>0.37790869999999999</v>
      </c>
      <c r="Q6795">
        <v>-2.8890800000000001E-2</v>
      </c>
      <c r="R6795">
        <v>0.92539199999999999</v>
      </c>
      <c r="S6795">
        <v>3.0975340000000001E-2</v>
      </c>
      <c r="T6795">
        <v>-5.6442260000000001E-2</v>
      </c>
      <c r="U6795">
        <v>3.2465519999999999</v>
      </c>
      <c r="V6795">
        <v>1.0682830000000001E-2</v>
      </c>
      <c r="W6795">
        <v>-1.2554279999999999E-2</v>
      </c>
      <c r="X6795">
        <v>0.99986410000000003</v>
      </c>
      <c r="Y6795">
        <v>-0.35957909999999998</v>
      </c>
      <c r="Z6795">
        <v>-1.4967680000000001E-2</v>
      </c>
      <c r="AA6795">
        <v>0.93299449999999995</v>
      </c>
      <c r="AB6795">
        <v>27</v>
      </c>
      <c r="AC6795">
        <v>0.52420000000000699</v>
      </c>
      <c r="AD6795">
        <v>-1.121042704098</v>
      </c>
      <c r="AE6795">
        <v>64.228909999999999</v>
      </c>
      <c r="AF6795">
        <v>-23.171787134762599</v>
      </c>
      <c r="AG6795">
        <v>-1.121042704098</v>
      </c>
      <c r="AH6795">
        <v>59.884752825112002</v>
      </c>
      <c r="AI6795">
        <v>91.000202482521601</v>
      </c>
      <c r="AJ6795">
        <v>111.153431561058</v>
      </c>
      <c r="AK6795">
        <v>64.221274330924899</v>
      </c>
      <c r="AL6795">
        <v>90.719326172688696</v>
      </c>
      <c r="AM6795">
        <v>89.387859026667599</v>
      </c>
      <c r="AN6795">
        <v>0.99999997563596799</v>
      </c>
    </row>
    <row r="6796" spans="1:40" x14ac:dyDescent="0.25">
      <c r="A6796" t="str">
        <f>"20190312161448326"</f>
        <v>20190312161448326</v>
      </c>
      <c r="B6796" t="str">
        <f>"1552378488313710"</f>
        <v>1552378488313710</v>
      </c>
      <c r="C6796" t="s">
        <v>40</v>
      </c>
      <c r="D6796">
        <v>5.3036539999999999</v>
      </c>
      <c r="E6796">
        <v>0.35526029999999997</v>
      </c>
      <c r="F6796" t="s">
        <v>42</v>
      </c>
      <c r="G6796">
        <v>-187.3777</v>
      </c>
      <c r="H6796" s="1">
        <v>-1.8017480000000001E-6</v>
      </c>
      <c r="I6796">
        <v>-7.2515929999999997</v>
      </c>
      <c r="J6796">
        <v>-188.00280000000001</v>
      </c>
      <c r="K6796">
        <v>1.120914</v>
      </c>
      <c r="L6796">
        <v>-49.089480000000002</v>
      </c>
      <c r="M6796">
        <v>0.3569388</v>
      </c>
      <c r="N6796">
        <v>0</v>
      </c>
      <c r="O6796">
        <v>0.93399019999999999</v>
      </c>
      <c r="P6796">
        <v>0.36708849999999998</v>
      </c>
      <c r="Q6796">
        <v>-2.895675E-2</v>
      </c>
      <c r="R6796">
        <v>0.92973519999999998</v>
      </c>
      <c r="S6796">
        <v>5.3329469999999997E-2</v>
      </c>
      <c r="T6796">
        <v>-8.5766910000000002E-2</v>
      </c>
      <c r="U6796">
        <v>3.2174070000000001</v>
      </c>
      <c r="V6796">
        <v>1.13372E-2</v>
      </c>
      <c r="W6796">
        <v>-1.2638999999999999E-2</v>
      </c>
      <c r="X6796">
        <v>0.99985590000000002</v>
      </c>
      <c r="Y6796">
        <v>-0.34145550000000002</v>
      </c>
      <c r="Z6796">
        <v>-2.3214579999999999E-2</v>
      </c>
      <c r="AA6796">
        <v>0.93961119999999998</v>
      </c>
      <c r="AB6796">
        <v>27</v>
      </c>
      <c r="AC6796">
        <v>0.62510000000000299</v>
      </c>
      <c r="AD6796">
        <v>-1.1209158017480001</v>
      </c>
      <c r="AE6796">
        <v>41.837887000000002</v>
      </c>
      <c r="AF6796">
        <v>-14.3412802516164</v>
      </c>
      <c r="AG6796">
        <v>-1.1209158017480001</v>
      </c>
      <c r="AH6796">
        <v>39.276163475872302</v>
      </c>
      <c r="AI6796">
        <v>91.535624254878201</v>
      </c>
      <c r="AJ6796">
        <v>110.059136945329</v>
      </c>
      <c r="AK6796">
        <v>41.827572113062701</v>
      </c>
      <c r="AL6796">
        <v>90.724180603569295</v>
      </c>
      <c r="AM6796">
        <v>89.350360511687697</v>
      </c>
      <c r="AN6796">
        <v>1.0000000485948199</v>
      </c>
    </row>
    <row r="6797" spans="1:40" x14ac:dyDescent="0.25">
      <c r="A6797" t="str">
        <f>"20190312161448347"</f>
        <v>20190312161448347</v>
      </c>
      <c r="B6797" t="str">
        <f>"1552378488343527"</f>
        <v>1552378488343527</v>
      </c>
      <c r="C6797" t="s">
        <v>40</v>
      </c>
      <c r="D6797">
        <v>5.3615890000000004</v>
      </c>
      <c r="E6797">
        <v>0.35762440000000001</v>
      </c>
      <c r="F6797" t="s">
        <v>42</v>
      </c>
      <c r="G6797">
        <v>-187.66640000000001</v>
      </c>
      <c r="H6797" s="1">
        <v>-1.1624479999999999E-6</v>
      </c>
      <c r="I6797">
        <v>-8.7606330000000003</v>
      </c>
      <c r="J6797">
        <v>-187.92590000000001</v>
      </c>
      <c r="K6797">
        <v>1.120773</v>
      </c>
      <c r="L6797">
        <v>-48.84863</v>
      </c>
      <c r="M6797">
        <v>0.34426240000000002</v>
      </c>
      <c r="N6797">
        <v>0</v>
      </c>
      <c r="O6797">
        <v>0.9387373</v>
      </c>
      <c r="P6797">
        <v>0.35533350000000002</v>
      </c>
      <c r="Q6797">
        <v>-2.9167129999999999E-2</v>
      </c>
      <c r="R6797">
        <v>0.93428440000000001</v>
      </c>
      <c r="S6797">
        <v>2.6809690000000001E-2</v>
      </c>
      <c r="T6797">
        <v>-8.9313030000000002E-2</v>
      </c>
      <c r="U6797">
        <v>3.2133479999999999</v>
      </c>
      <c r="V6797">
        <v>1.226646E-2</v>
      </c>
      <c r="W6797">
        <v>-1.286753E-2</v>
      </c>
      <c r="X6797">
        <v>0.99984200000000001</v>
      </c>
      <c r="Y6797">
        <v>-0.33646019999999999</v>
      </c>
      <c r="Z6797">
        <v>-2.4426730000000001E-2</v>
      </c>
      <c r="AA6797">
        <v>0.94138089999999996</v>
      </c>
      <c r="AB6797">
        <v>27</v>
      </c>
      <c r="AC6797">
        <v>0.25950000000000201</v>
      </c>
      <c r="AD6797">
        <v>-1.1207741624480001</v>
      </c>
      <c r="AE6797">
        <v>40.087996999999902</v>
      </c>
      <c r="AF6797">
        <v>-13.548331730678701</v>
      </c>
      <c r="AG6797">
        <v>-1.1207741624480001</v>
      </c>
      <c r="AH6797">
        <v>37.696793284594897</v>
      </c>
      <c r="AI6797">
        <v>91.602667073213993</v>
      </c>
      <c r="AJ6797">
        <v>109.768577516542</v>
      </c>
      <c r="AK6797">
        <v>40.0732036571723</v>
      </c>
      <c r="AL6797">
        <v>90.737275484522101</v>
      </c>
      <c r="AM6797">
        <v>89.297107813425797</v>
      </c>
      <c r="AN6797">
        <v>1.00000003216661</v>
      </c>
    </row>
    <row r="6798" spans="1:40" x14ac:dyDescent="0.25">
      <c r="A6798" t="str">
        <f>"20190312161448369"</f>
        <v>20190312161448369</v>
      </c>
      <c r="B6798" t="str">
        <f>"1552378488363046"</f>
        <v>1552378488363046</v>
      </c>
      <c r="C6798" t="s">
        <v>40</v>
      </c>
      <c r="D6798">
        <v>5.3728339999999903</v>
      </c>
      <c r="E6798">
        <v>0.35947580000000001</v>
      </c>
      <c r="F6798" t="s">
        <v>42</v>
      </c>
      <c r="G6798">
        <v>-187.88239999999999</v>
      </c>
      <c r="H6798" s="1">
        <v>-4.5681109999999996E-6</v>
      </c>
      <c r="I6798">
        <v>-10.594429999999999</v>
      </c>
      <c r="J6798">
        <v>-187.84719999999999</v>
      </c>
      <c r="K6798">
        <v>1.1206259999999999</v>
      </c>
      <c r="L6798">
        <v>-48.590029999999999</v>
      </c>
      <c r="M6798">
        <v>0.33079899999999901</v>
      </c>
      <c r="N6798">
        <v>0</v>
      </c>
      <c r="O6798">
        <v>0.94356649999999997</v>
      </c>
      <c r="P6798">
        <v>0.34307769999999999</v>
      </c>
      <c r="Q6798">
        <v>-2.9350580000000001E-2</v>
      </c>
      <c r="R6798">
        <v>0.93884840000000003</v>
      </c>
      <c r="S6798">
        <v>3.646851E-3</v>
      </c>
      <c r="T6798">
        <v>-9.3950270000000002E-2</v>
      </c>
      <c r="U6798">
        <v>3.206696</v>
      </c>
      <c r="V6798">
        <v>1.3487900000000001E-2</v>
      </c>
      <c r="W6798">
        <v>-1.306648E-2</v>
      </c>
      <c r="X6798">
        <v>0.99982360000000003</v>
      </c>
      <c r="Y6798">
        <v>-0.329764</v>
      </c>
      <c r="Z6798">
        <v>-2.5993260000000001E-2</v>
      </c>
      <c r="AA6798">
        <v>0.94370549999999997</v>
      </c>
      <c r="AB6798">
        <v>27</v>
      </c>
      <c r="AC6798">
        <v>-3.5200000000003201E-2</v>
      </c>
      <c r="AD6798">
        <v>-1.120630568111</v>
      </c>
      <c r="AE6798">
        <v>37.995600000000003</v>
      </c>
      <c r="AF6798">
        <v>-12.592768412933699</v>
      </c>
      <c r="AG6798">
        <v>-1.120630568111</v>
      </c>
      <c r="AH6798">
        <v>35.813135715402801</v>
      </c>
      <c r="AI6798">
        <v>91.690842374885705</v>
      </c>
      <c r="AJ6798">
        <v>109.37291283652</v>
      </c>
      <c r="AK6798">
        <v>37.979130044563</v>
      </c>
      <c r="AL6798">
        <v>90.748675504174102</v>
      </c>
      <c r="AM6798">
        <v>89.2271107927331</v>
      </c>
      <c r="AN6798">
        <v>0.99999994373147805</v>
      </c>
    </row>
    <row r="6799" spans="1:40" x14ac:dyDescent="0.25">
      <c r="A6799" t="str">
        <f>"20190312161448392"</f>
        <v>20190312161448392</v>
      </c>
      <c r="B6799" t="str">
        <f>"1552378488383542"</f>
        <v>1552378488383542</v>
      </c>
      <c r="C6799" t="s">
        <v>40</v>
      </c>
      <c r="D6799">
        <v>5.2588900000000001</v>
      </c>
      <c r="E6799">
        <v>0.36086200000000002</v>
      </c>
      <c r="F6799" t="s">
        <v>42</v>
      </c>
      <c r="G6799">
        <v>-188.11840000000001</v>
      </c>
      <c r="H6799" s="1">
        <v>-3.4173700000000001E-6</v>
      </c>
      <c r="I6799">
        <v>-13.17924</v>
      </c>
      <c r="J6799">
        <v>-187.77189999999999</v>
      </c>
      <c r="K6799">
        <v>1.120484</v>
      </c>
      <c r="L6799">
        <v>-48.329009999999997</v>
      </c>
      <c r="M6799">
        <v>0.31735989999999997</v>
      </c>
      <c r="N6799">
        <v>0</v>
      </c>
      <c r="O6799">
        <v>0.94817180000000001</v>
      </c>
      <c r="P6799">
        <v>0.33051789999999998</v>
      </c>
      <c r="Q6799">
        <v>-2.897245E-2</v>
      </c>
      <c r="R6799">
        <v>0.94335500000000005</v>
      </c>
      <c r="S6799">
        <v>-2.452087E-2</v>
      </c>
      <c r="T6799">
        <v>-0.10130699999999999</v>
      </c>
      <c r="U6799">
        <v>3.2012019999999999</v>
      </c>
      <c r="V6799">
        <v>1.4332589999999999E-2</v>
      </c>
      <c r="W6799">
        <v>-1.271424E-2</v>
      </c>
      <c r="X6799">
        <v>0.99981640000000005</v>
      </c>
      <c r="Y6799">
        <v>-0.32464670000000001</v>
      </c>
      <c r="Z6799">
        <v>-2.8319690000000002E-2</v>
      </c>
      <c r="AA6799">
        <v>0.94541129999999995</v>
      </c>
      <c r="AB6799">
        <v>27</v>
      </c>
      <c r="AC6799">
        <v>-0.34650000000002001</v>
      </c>
      <c r="AD6799">
        <v>-1.1204874173699999</v>
      </c>
      <c r="AE6799">
        <v>35.149769999999997</v>
      </c>
      <c r="AF6799">
        <v>-11.4734636605004</v>
      </c>
      <c r="AG6799">
        <v>-1.1204874173699999</v>
      </c>
      <c r="AH6799">
        <v>33.188535109013699</v>
      </c>
      <c r="AI6799">
        <v>91.827594130443998</v>
      </c>
      <c r="AJ6799">
        <v>109.070556161672</v>
      </c>
      <c r="AK6799">
        <v>35.133669365774203</v>
      </c>
      <c r="AL6799">
        <v>90.728491952873895</v>
      </c>
      <c r="AM6799">
        <v>89.178708539063905</v>
      </c>
      <c r="AN6799">
        <v>0.99999995437192102</v>
      </c>
    </row>
    <row r="6800" spans="1:40" x14ac:dyDescent="0.25">
      <c r="A6800" t="str">
        <f>"20190312161448415"</f>
        <v>20190312161448415</v>
      </c>
      <c r="B6800" t="str">
        <f>"1552378488413798"</f>
        <v>1552378488413798</v>
      </c>
      <c r="C6800" t="s">
        <v>40</v>
      </c>
      <c r="D6800">
        <v>5.3812259999999998</v>
      </c>
      <c r="E6800">
        <v>0.36210969999999998</v>
      </c>
      <c r="F6800" t="s">
        <v>42</v>
      </c>
      <c r="G6800">
        <v>-188.3981</v>
      </c>
      <c r="H6800" s="1">
        <v>-3.3644509999999998E-6</v>
      </c>
      <c r="I6800">
        <v>-13.18694</v>
      </c>
      <c r="J6800">
        <v>-187.69890000000001</v>
      </c>
      <c r="K6800">
        <v>1.120355</v>
      </c>
      <c r="L6800">
        <v>-48.06259</v>
      </c>
      <c r="M6800">
        <v>0.30376419999999998</v>
      </c>
      <c r="N6800">
        <v>0</v>
      </c>
      <c r="O6800">
        <v>0.9526152</v>
      </c>
      <c r="P6800">
        <v>0.31860569999999999</v>
      </c>
      <c r="Q6800">
        <v>-2.8338729999999999E-2</v>
      </c>
      <c r="R6800">
        <v>0.94746359999999996</v>
      </c>
      <c r="S6800">
        <v>-5.6976319999999997E-2</v>
      </c>
      <c r="T6800">
        <v>-0.10193439999999999</v>
      </c>
      <c r="U6800">
        <v>3.1969910000000001</v>
      </c>
      <c r="V6800">
        <v>1.6011620000000001E-2</v>
      </c>
      <c r="W6800">
        <v>-1.208499E-2</v>
      </c>
      <c r="X6800">
        <v>0.99979879999999999</v>
      </c>
      <c r="Y6800">
        <v>-0.32071909999999998</v>
      </c>
      <c r="Z6800">
        <v>-2.8763170000000001E-2</v>
      </c>
      <c r="AA6800">
        <v>0.94673750000000001</v>
      </c>
      <c r="AB6800">
        <v>27</v>
      </c>
      <c r="AC6800">
        <v>-0.69919999999999005</v>
      </c>
      <c r="AD6800">
        <v>-1.120358364451</v>
      </c>
      <c r="AE6800">
        <v>34.87565</v>
      </c>
      <c r="AF6800">
        <v>-11.2498542952842</v>
      </c>
      <c r="AG6800">
        <v>-1.120358364451</v>
      </c>
      <c r="AH6800">
        <v>32.980814048256299</v>
      </c>
      <c r="AI6800">
        <v>91.841485128516993</v>
      </c>
      <c r="AJ6800">
        <v>108.834662330683</v>
      </c>
      <c r="AK6800">
        <v>34.864717406220002</v>
      </c>
      <c r="AL6800">
        <v>90.692435757267901</v>
      </c>
      <c r="AM6800">
        <v>89.082495566831099</v>
      </c>
      <c r="AN6800">
        <v>1.0000000297198799</v>
      </c>
    </row>
    <row r="6801" spans="1:40" x14ac:dyDescent="0.25">
      <c r="A6801" t="str">
        <f>"20190312161448438"</f>
        <v>20190312161448438</v>
      </c>
      <c r="B6801" t="str">
        <f>"1552378488432924"</f>
        <v>1552378488432924</v>
      </c>
      <c r="C6801" t="s">
        <v>40</v>
      </c>
      <c r="D6801">
        <v>5.4088000000000003</v>
      </c>
      <c r="E6801">
        <v>0.3743068</v>
      </c>
      <c r="F6801" t="s">
        <v>42</v>
      </c>
      <c r="G6801">
        <v>-188.67449999999999</v>
      </c>
      <c r="H6801" s="1">
        <v>-3.5739720000000001E-6</v>
      </c>
      <c r="I6801">
        <v>-12.58428</v>
      </c>
      <c r="J6801">
        <v>-187.6302</v>
      </c>
      <c r="K6801">
        <v>1.120234</v>
      </c>
      <c r="L6801">
        <v>-47.797669999999997</v>
      </c>
      <c r="M6801">
        <v>0.2903617</v>
      </c>
      <c r="N6801">
        <v>0</v>
      </c>
      <c r="O6801">
        <v>0.95678620000000003</v>
      </c>
      <c r="P6801">
        <v>0.30635990000000002</v>
      </c>
      <c r="Q6801">
        <v>-2.7847750000000001E-2</v>
      </c>
      <c r="R6801">
        <v>0.95150829999999997</v>
      </c>
      <c r="S6801">
        <v>-8.7799070000000007E-2</v>
      </c>
      <c r="T6801">
        <v>-0.1008257</v>
      </c>
      <c r="U6801">
        <v>3.192841</v>
      </c>
      <c r="V6801">
        <v>1.7132749999999999E-2</v>
      </c>
      <c r="W6801">
        <v>-1.1610260000000001E-2</v>
      </c>
      <c r="X6801">
        <v>0.99978579999999995</v>
      </c>
      <c r="Y6801">
        <v>-0.31657639999999998</v>
      </c>
      <c r="Z6801">
        <v>-2.8703090000000001E-2</v>
      </c>
      <c r="AA6801">
        <v>0.94813259999999999</v>
      </c>
      <c r="AB6801">
        <v>27</v>
      </c>
      <c r="AC6801">
        <v>-1.04429999999999</v>
      </c>
      <c r="AD6801">
        <v>-1.1202375739720001</v>
      </c>
      <c r="AE6801">
        <v>35.213389999999997</v>
      </c>
      <c r="AF6801">
        <v>-11.2138571759776</v>
      </c>
      <c r="AG6801">
        <v>-1.1202375739720001</v>
      </c>
      <c r="AH6801">
        <v>33.358907990011097</v>
      </c>
      <c r="AI6801">
        <v>91.823166546943199</v>
      </c>
      <c r="AJ6801">
        <v>108.58047230526201</v>
      </c>
      <c r="AK6801">
        <v>35.211109997717898</v>
      </c>
      <c r="AL6801">
        <v>90.665233851269605</v>
      </c>
      <c r="AM6801">
        <v>89.018251513990606</v>
      </c>
      <c r="AN6801">
        <v>0.99999998757073405</v>
      </c>
    </row>
    <row r="6802" spans="1:40" x14ac:dyDescent="0.25">
      <c r="A6802" t="str">
        <f>"20190312161448460"</f>
        <v>20190312161448460</v>
      </c>
      <c r="B6802" t="str">
        <f>"1552378488453408"</f>
        <v>1552378488453408</v>
      </c>
      <c r="C6802" t="s">
        <v>40</v>
      </c>
      <c r="D6802">
        <v>5.4198139999999997</v>
      </c>
      <c r="E6802">
        <v>0.37691229999999998</v>
      </c>
      <c r="F6802" t="s">
        <v>42</v>
      </c>
      <c r="G6802">
        <v>-187.98159999999999</v>
      </c>
      <c r="H6802" s="1">
        <v>-1.325284E-6</v>
      </c>
      <c r="I6802">
        <v>-18.11251</v>
      </c>
      <c r="J6802">
        <v>-187.56890000000001</v>
      </c>
      <c r="K6802">
        <v>1.1201289999999999</v>
      </c>
      <c r="L6802">
        <v>-47.547969999999999</v>
      </c>
      <c r="M6802">
        <v>0.27783980000000003</v>
      </c>
      <c r="N6802">
        <v>0</v>
      </c>
      <c r="O6802">
        <v>0.96049770000000001</v>
      </c>
      <c r="P6802">
        <v>0.29459600000000002</v>
      </c>
      <c r="Q6802">
        <v>-2.7440119999999998E-2</v>
      </c>
      <c r="R6802">
        <v>0.95522790000000002</v>
      </c>
      <c r="S6802">
        <v>-3.7429810000000001E-2</v>
      </c>
      <c r="T6802">
        <v>-0.1193039</v>
      </c>
      <c r="U6802">
        <v>3.161438</v>
      </c>
      <c r="V6802">
        <v>1.7839549999999999E-2</v>
      </c>
      <c r="W6802">
        <v>-1.122595E-2</v>
      </c>
      <c r="X6802">
        <v>0.9997779</v>
      </c>
      <c r="Y6802">
        <v>-0.28921570000000002</v>
      </c>
      <c r="Z6802">
        <v>-3.4674940000000001E-2</v>
      </c>
      <c r="AA6802">
        <v>0.95663569999999998</v>
      </c>
      <c r="AB6802">
        <v>27</v>
      </c>
      <c r="AC6802">
        <v>-0.41269999999997198</v>
      </c>
      <c r="AD6802">
        <v>-1.120130325284</v>
      </c>
      <c r="AE6802">
        <v>29.435459999999999</v>
      </c>
      <c r="AF6802">
        <v>-8.5634102429506296</v>
      </c>
      <c r="AG6802">
        <v>-1.120130325284</v>
      </c>
      <c r="AH6802">
        <v>28.120823013708801</v>
      </c>
      <c r="AI6802">
        <v>92.182206934427896</v>
      </c>
      <c r="AJ6802">
        <v>106.93664786605299</v>
      </c>
      <c r="AK6802">
        <v>29.417127220430999</v>
      </c>
      <c r="AL6802">
        <v>90.643213027474999</v>
      </c>
      <c r="AM6802">
        <v>88.977750493334597</v>
      </c>
      <c r="AN6802">
        <v>1.0000000604129999</v>
      </c>
    </row>
    <row r="6803" spans="1:40" x14ac:dyDescent="0.25">
      <c r="A6803" t="str">
        <f>"20190312161448483"</f>
        <v>20190312161448483</v>
      </c>
      <c r="B6803" t="str">
        <f>"1552378488473903"</f>
        <v>1552378488473903</v>
      </c>
      <c r="C6803" t="s">
        <v>40</v>
      </c>
      <c r="D6803">
        <v>5.4275330000000004</v>
      </c>
      <c r="E6803">
        <v>0.37892949999999997</v>
      </c>
      <c r="F6803" t="s">
        <v>42</v>
      </c>
      <c r="G6803">
        <v>-188.0471</v>
      </c>
      <c r="H6803" s="1">
        <v>-4.2766870000000003E-6</v>
      </c>
      <c r="I6803">
        <v>-21.205639999999999</v>
      </c>
      <c r="J6803">
        <v>-187.50790000000001</v>
      </c>
      <c r="K6803">
        <v>1.1200139999999901</v>
      </c>
      <c r="L6803">
        <v>-47.284910000000004</v>
      </c>
      <c r="M6803">
        <v>0.264760099999999</v>
      </c>
      <c r="N6803">
        <v>0</v>
      </c>
      <c r="O6803">
        <v>0.96418570000000003</v>
      </c>
      <c r="P6803">
        <v>0.28185690000000002</v>
      </c>
      <c r="Q6803">
        <v>-2.6521490000000002E-2</v>
      </c>
      <c r="R6803">
        <v>0.95908979999999999</v>
      </c>
      <c r="S6803">
        <v>-5.7266240000000003E-2</v>
      </c>
      <c r="T6803">
        <v>-0.13413269999999999</v>
      </c>
      <c r="U6803">
        <v>3.1544189999999999</v>
      </c>
      <c r="V6803">
        <v>1.8090160000000001E-2</v>
      </c>
      <c r="W6803">
        <v>-1.034407E-2</v>
      </c>
      <c r="X6803">
        <v>0.99978290000000003</v>
      </c>
      <c r="Y6803">
        <v>-0.28223310000000001</v>
      </c>
      <c r="Z6803">
        <v>-3.934108E-2</v>
      </c>
      <c r="AA6803">
        <v>0.95853880000000002</v>
      </c>
      <c r="AB6803">
        <v>27</v>
      </c>
      <c r="AC6803">
        <v>-0.53919999999999302</v>
      </c>
      <c r="AD6803">
        <v>-1.1200182766869999</v>
      </c>
      <c r="AE6803">
        <v>26.079270000000001</v>
      </c>
      <c r="AF6803">
        <v>-7.4118951915167504</v>
      </c>
      <c r="AG6803">
        <v>-1.1200182766869999</v>
      </c>
      <c r="AH6803">
        <v>24.959585519819601</v>
      </c>
      <c r="AI6803">
        <v>92.463155242660207</v>
      </c>
      <c r="AJ6803">
        <v>106.53909546731001</v>
      </c>
      <c r="AK6803">
        <v>26.060919795573799</v>
      </c>
      <c r="AL6803">
        <v>90.592682093910994</v>
      </c>
      <c r="AM6803">
        <v>88.963398227040798</v>
      </c>
      <c r="AN6803">
        <v>1.00000005040269</v>
      </c>
    </row>
    <row r="6804" spans="1:40" x14ac:dyDescent="0.25">
      <c r="A6804" t="str">
        <f>"20190312161448508"</f>
        <v>20190312161448508</v>
      </c>
      <c r="B6804" t="str">
        <f>"1552378488503183"</f>
        <v>1552378488503183</v>
      </c>
      <c r="C6804" t="s">
        <v>40</v>
      </c>
      <c r="D6804">
        <v>5.4277939999999996</v>
      </c>
      <c r="E6804">
        <v>0.38849549999999999</v>
      </c>
      <c r="F6804" t="s">
        <v>42</v>
      </c>
      <c r="G6804">
        <v>-188.18199999999999</v>
      </c>
      <c r="H6804" s="1">
        <v>-3.8986890000000004E-6</v>
      </c>
      <c r="I6804">
        <v>-22.030999999999999</v>
      </c>
      <c r="J6804">
        <v>-187.44569999999999</v>
      </c>
      <c r="K6804">
        <v>1.1198939999999999</v>
      </c>
      <c r="L6804">
        <v>-46.999690000000001</v>
      </c>
      <c r="M6804">
        <v>0.25070290000000001</v>
      </c>
      <c r="N6804">
        <v>0</v>
      </c>
      <c r="O6804">
        <v>0.96793660000000004</v>
      </c>
      <c r="P6804">
        <v>0.26856580000000002</v>
      </c>
      <c r="Q6804">
        <v>-2.6302019999999999E-2</v>
      </c>
      <c r="R6804">
        <v>0.96290220000000004</v>
      </c>
      <c r="S6804">
        <v>-8.4045410000000001E-2</v>
      </c>
      <c r="T6804">
        <v>-0.1396503</v>
      </c>
      <c r="U6804">
        <v>3.1488040000000002</v>
      </c>
      <c r="V6804">
        <v>1.880103E-2</v>
      </c>
      <c r="W6804">
        <v>-1.0155040000000001E-2</v>
      </c>
      <c r="X6804">
        <v>0.99977169999999904</v>
      </c>
      <c r="Y6804">
        <v>-0.27644560000000001</v>
      </c>
      <c r="Z6804">
        <v>-4.1311279999999999E-2</v>
      </c>
      <c r="AA6804">
        <v>0.96014120000000003</v>
      </c>
      <c r="AB6804">
        <v>27</v>
      </c>
      <c r="AC6804">
        <v>-0.73630000000002804</v>
      </c>
      <c r="AD6804">
        <v>-1.119897898689</v>
      </c>
      <c r="AE6804">
        <v>24.968689999999999</v>
      </c>
      <c r="AF6804">
        <v>-6.9592873430776603</v>
      </c>
      <c r="AG6804">
        <v>-1.119897898689</v>
      </c>
      <c r="AH6804">
        <v>23.938361208930999</v>
      </c>
      <c r="AI6804">
        <v>92.572152465681896</v>
      </c>
      <c r="AJ6804">
        <v>106.21004324152899</v>
      </c>
      <c r="AK6804">
        <v>24.954578517704199</v>
      </c>
      <c r="AL6804">
        <v>90.581850917424404</v>
      </c>
      <c r="AM6804">
        <v>88.922661329866102</v>
      </c>
      <c r="AN6804">
        <v>1.00000002784367</v>
      </c>
    </row>
    <row r="6805" spans="1:40" x14ac:dyDescent="0.25">
      <c r="A6805" t="str">
        <f>"20190312161448527"</f>
        <v>20190312161448527</v>
      </c>
      <c r="B6805" t="str">
        <f>"1552378488523679"</f>
        <v>1552378488523679</v>
      </c>
      <c r="C6805" t="s">
        <v>40</v>
      </c>
      <c r="D6805">
        <v>5.4187209999999997</v>
      </c>
      <c r="E6805">
        <v>0.39029849999999999</v>
      </c>
      <c r="F6805" t="s">
        <v>42</v>
      </c>
      <c r="G6805">
        <v>-187.7868</v>
      </c>
      <c r="H6805" s="1">
        <v>-1.41276E-6</v>
      </c>
      <c r="I6805">
        <v>-27.989149999999999</v>
      </c>
      <c r="J6805">
        <v>-187.39949999999999</v>
      </c>
      <c r="K6805">
        <v>1.119788</v>
      </c>
      <c r="L6805">
        <v>-46.772799999999997</v>
      </c>
      <c r="M6805">
        <v>0.23962600000000001</v>
      </c>
      <c r="N6805">
        <v>0</v>
      </c>
      <c r="O6805">
        <v>0.97073869999999896</v>
      </c>
      <c r="P6805">
        <v>0.25846710000000001</v>
      </c>
      <c r="Q6805">
        <v>-2.534556E-2</v>
      </c>
      <c r="R6805">
        <v>0.96568750000000003</v>
      </c>
      <c r="S6805">
        <v>-5.6091309999999998E-2</v>
      </c>
      <c r="T6805">
        <v>-0.1841612</v>
      </c>
      <c r="U6805">
        <v>3.1261899999999998</v>
      </c>
      <c r="V6805">
        <v>1.9724309999999998E-2</v>
      </c>
      <c r="W6805">
        <v>-9.214603E-3</v>
      </c>
      <c r="X6805">
        <v>0.99976299999999996</v>
      </c>
      <c r="Y6805">
        <v>-0.25699840000000002</v>
      </c>
      <c r="Z6805">
        <v>-5.5244000000000001E-2</v>
      </c>
      <c r="AA6805">
        <v>0.96483149999999995</v>
      </c>
      <c r="AB6805">
        <v>27</v>
      </c>
      <c r="AC6805">
        <v>-0.38730000000001003</v>
      </c>
      <c r="AD6805">
        <v>-1.1197894127600001</v>
      </c>
      <c r="AE6805">
        <v>18.783650000000002</v>
      </c>
      <c r="AF6805">
        <v>-4.8603512417734596</v>
      </c>
      <c r="AG6805">
        <v>-1.1197894127600001</v>
      </c>
      <c r="AH6805">
        <v>18.079212878371901</v>
      </c>
      <c r="AI6805">
        <v>93.423021682732497</v>
      </c>
      <c r="AJ6805">
        <v>105.047419716504</v>
      </c>
      <c r="AK6805">
        <v>18.7545962586196</v>
      </c>
      <c r="AL6805">
        <v>90.527965329902401</v>
      </c>
      <c r="AM6805">
        <v>88.869759008427494</v>
      </c>
      <c r="AN6805">
        <v>1.00000000674121</v>
      </c>
    </row>
    <row r="6806" spans="1:40" x14ac:dyDescent="0.25">
      <c r="A6806" t="str">
        <f>"20190312161448550"</f>
        <v>20190312161448550</v>
      </c>
      <c r="B6806" t="str">
        <f>"1552378488543444"</f>
        <v>1552378488543444</v>
      </c>
      <c r="C6806" t="s">
        <v>40</v>
      </c>
      <c r="D6806">
        <v>5.4498920000000002</v>
      </c>
      <c r="E6806">
        <v>0.39164510000000002</v>
      </c>
      <c r="F6806" t="s">
        <v>42</v>
      </c>
      <c r="G6806">
        <v>-187.869</v>
      </c>
      <c r="H6806" s="1">
        <v>-1.7183130000000001E-6</v>
      </c>
      <c r="I6806">
        <v>-27.242899999999999</v>
      </c>
      <c r="J6806">
        <v>-187.35120000000001</v>
      </c>
      <c r="K6806">
        <v>1.1196710000000001</v>
      </c>
      <c r="L6806">
        <v>-46.521239999999999</v>
      </c>
      <c r="M6806">
        <v>0.22744449999999999</v>
      </c>
      <c r="N6806">
        <v>0</v>
      </c>
      <c r="O6806">
        <v>0.97366549999999996</v>
      </c>
      <c r="P6806">
        <v>0.24706980000000001</v>
      </c>
      <c r="Q6806">
        <v>-2.4961980000000002E-2</v>
      </c>
      <c r="R6806">
        <v>0.96867610000000004</v>
      </c>
      <c r="S6806">
        <v>-7.5057979999999996E-2</v>
      </c>
      <c r="T6806">
        <v>-0.17900559999999999</v>
      </c>
      <c r="U6806">
        <v>3.1219790000000001</v>
      </c>
      <c r="V6806">
        <v>2.0456490000000001E-2</v>
      </c>
      <c r="W6806">
        <v>-8.8561279999999996E-3</v>
      </c>
      <c r="X6806">
        <v>0.99975150000000002</v>
      </c>
      <c r="Y6806">
        <v>-0.25076929999999997</v>
      </c>
      <c r="Z6806">
        <v>-5.4068919999999999E-2</v>
      </c>
      <c r="AA6806">
        <v>0.9665357</v>
      </c>
      <c r="AB6806">
        <v>27</v>
      </c>
      <c r="AC6806">
        <v>-0.51780000000002202</v>
      </c>
      <c r="AD6806">
        <v>-1.119672718313</v>
      </c>
      <c r="AE6806">
        <v>19.27834</v>
      </c>
      <c r="AF6806">
        <v>-4.8730880797280802</v>
      </c>
      <c r="AG6806">
        <v>-1.119672718313</v>
      </c>
      <c r="AH6806">
        <v>18.592493359403001</v>
      </c>
      <c r="AI6806">
        <v>93.333944761948203</v>
      </c>
      <c r="AJ6806">
        <v>104.686848120946</v>
      </c>
      <c r="AK6806">
        <v>19.2530897195325</v>
      </c>
      <c r="AL6806">
        <v>90.507425400316805</v>
      </c>
      <c r="AM6806">
        <v>88.827801699609907</v>
      </c>
      <c r="AN6806">
        <v>0.99999998036926097</v>
      </c>
    </row>
    <row r="6807" spans="1:40" x14ac:dyDescent="0.25">
      <c r="A6807" t="str">
        <f>"20190312161448574"</f>
        <v>20190312161448574</v>
      </c>
      <c r="B6807" t="str">
        <f>"1552378488564268"</f>
        <v>1552378488564268</v>
      </c>
      <c r="C6807" t="s">
        <v>40</v>
      </c>
      <c r="D6807">
        <v>5.4201180000000004</v>
      </c>
      <c r="E6807">
        <v>0.3975592</v>
      </c>
      <c r="F6807" t="s">
        <v>42</v>
      </c>
      <c r="G6807">
        <v>-187.99160000000001</v>
      </c>
      <c r="H6807" s="1">
        <v>-1.8648140000000001E-6</v>
      </c>
      <c r="I6807">
        <v>-26.850729999999999</v>
      </c>
      <c r="J6807">
        <v>-187.3006</v>
      </c>
      <c r="K6807">
        <v>1.119542</v>
      </c>
      <c r="L6807">
        <v>-46.236660000000001</v>
      </c>
      <c r="M6807">
        <v>0.21380189999999999</v>
      </c>
      <c r="N6807">
        <v>0</v>
      </c>
      <c r="O6807">
        <v>0.97675250000000002</v>
      </c>
      <c r="P6807">
        <v>0.2342843</v>
      </c>
      <c r="Q6807">
        <v>-2.4366530000000001E-2</v>
      </c>
      <c r="R6807">
        <v>0.97186269999999997</v>
      </c>
      <c r="S6807">
        <v>-0.1015167</v>
      </c>
      <c r="T6807">
        <v>-0.17750060000000001</v>
      </c>
      <c r="U6807">
        <v>3.118347</v>
      </c>
      <c r="V6807">
        <v>2.1249069999999998E-2</v>
      </c>
      <c r="W6807">
        <v>-8.2902259999999995E-3</v>
      </c>
      <c r="X6807">
        <v>0.99973979999999996</v>
      </c>
      <c r="Y6807">
        <v>-0.24544569999999999</v>
      </c>
      <c r="Z6807">
        <v>-5.3972939999999997E-2</v>
      </c>
      <c r="AA6807">
        <v>0.96790670000000001</v>
      </c>
      <c r="AB6807">
        <v>27</v>
      </c>
      <c r="AC6807">
        <v>-0.69100000000000195</v>
      </c>
      <c r="AD6807">
        <v>-1.1195438648139999</v>
      </c>
      <c r="AE6807">
        <v>19.385929999999998</v>
      </c>
      <c r="AF6807">
        <v>-4.8042686812444302</v>
      </c>
      <c r="AG6807">
        <v>-1.1195438648139999</v>
      </c>
      <c r="AH6807">
        <v>18.727425813430099</v>
      </c>
      <c r="AI6807">
        <v>93.314063751818395</v>
      </c>
      <c r="AJ6807">
        <v>104.388182564103</v>
      </c>
      <c r="AK6807">
        <v>19.366229721459899</v>
      </c>
      <c r="AL6807">
        <v>90.475000421424994</v>
      </c>
      <c r="AM6807">
        <v>88.7823844329385</v>
      </c>
      <c r="AN6807">
        <v>0.99999995926351704</v>
      </c>
    </row>
    <row r="6808" spans="1:40" x14ac:dyDescent="0.25">
      <c r="A6808" t="str">
        <f>"20190312161448597"</f>
        <v>20190312161448597</v>
      </c>
      <c r="B6808" t="str">
        <f>"1552378488593547"</f>
        <v>1552378488593547</v>
      </c>
      <c r="C6808" t="s">
        <v>40</v>
      </c>
      <c r="D6808">
        <v>5.4326699999999999</v>
      </c>
      <c r="E6808">
        <v>0.39283299999999999</v>
      </c>
      <c r="F6808" t="s">
        <v>42</v>
      </c>
      <c r="G6808">
        <v>-187.80590000000001</v>
      </c>
      <c r="H6808" s="1">
        <v>-5.8860639999999999E-7</v>
      </c>
      <c r="I6808">
        <v>-30.337810000000001</v>
      </c>
      <c r="J6808">
        <v>-187.25540000000001</v>
      </c>
      <c r="K6808">
        <v>1.1194269999999999</v>
      </c>
      <c r="L6808">
        <v>-45.961849999999998</v>
      </c>
      <c r="M6808">
        <v>0.20073440000000001</v>
      </c>
      <c r="N6808">
        <v>0</v>
      </c>
      <c r="O6808">
        <v>0.97952209999999995</v>
      </c>
      <c r="P6808">
        <v>0.2227229</v>
      </c>
      <c r="Q6808">
        <v>-2.4278210000000001E-2</v>
      </c>
      <c r="R6808">
        <v>0.97457950000000004</v>
      </c>
      <c r="S6808">
        <v>-9.8678589999999997E-2</v>
      </c>
      <c r="T6808">
        <v>-0.21865490000000001</v>
      </c>
      <c r="U6808">
        <v>3.1051639999999998</v>
      </c>
      <c r="V6808">
        <v>2.272397E-2</v>
      </c>
      <c r="W6808">
        <v>-8.2133320000000003E-3</v>
      </c>
      <c r="X6808">
        <v>0.99970809999999999</v>
      </c>
      <c r="Y6808">
        <v>-0.2316937</v>
      </c>
      <c r="Z6808">
        <v>-6.7124110000000001E-2</v>
      </c>
      <c r="AA6808">
        <v>0.97047019999999995</v>
      </c>
      <c r="AB6808">
        <v>27</v>
      </c>
      <c r="AC6808">
        <v>-0.55049999999999899</v>
      </c>
      <c r="AD6808">
        <v>-1.11942758860639</v>
      </c>
      <c r="AE6808">
        <v>15.6240399999999</v>
      </c>
      <c r="AF6808">
        <v>-3.6572036945347102</v>
      </c>
      <c r="AG6808">
        <v>-1.11942758860639</v>
      </c>
      <c r="AH6808">
        <v>15.1179179944321</v>
      </c>
      <c r="AI6808">
        <v>94.116505264586195</v>
      </c>
      <c r="AJ6808">
        <v>103.599263926416</v>
      </c>
      <c r="AK6808">
        <v>15.594220130414501</v>
      </c>
      <c r="AL6808">
        <v>90.470594521495102</v>
      </c>
      <c r="AM6808">
        <v>88.697856497196398</v>
      </c>
      <c r="AN6808">
        <v>1.0000000614203499</v>
      </c>
    </row>
    <row r="6809" spans="1:40" x14ac:dyDescent="0.25">
      <c r="A6809" t="str">
        <f>"20190312161448618"</f>
        <v>20190312161448618</v>
      </c>
      <c r="B6809" t="str">
        <f>"1552378488613068"</f>
        <v>1552378488613068</v>
      </c>
      <c r="C6809" t="s">
        <v>40</v>
      </c>
      <c r="D6809">
        <v>5.4278089999999999</v>
      </c>
      <c r="E6809">
        <v>0.39333050000000003</v>
      </c>
      <c r="F6809" t="s">
        <v>42</v>
      </c>
      <c r="G6809">
        <v>-189.31700000000001</v>
      </c>
      <c r="H6809" s="1">
        <v>-1.3863409999999901E-6</v>
      </c>
      <c r="I6809">
        <v>-7.4180199999999896</v>
      </c>
      <c r="J6809">
        <v>-187.21700000000001</v>
      </c>
      <c r="K6809">
        <v>1.119327</v>
      </c>
      <c r="L6809">
        <v>-45.709499999999998</v>
      </c>
      <c r="M6809">
        <v>0.18883449999999999</v>
      </c>
      <c r="N6809">
        <v>0</v>
      </c>
      <c r="O6809">
        <v>0.98188609999999998</v>
      </c>
      <c r="P6809">
        <v>0.21212500000000001</v>
      </c>
      <c r="Q6809">
        <v>-2.347115E-2</v>
      </c>
      <c r="R6809">
        <v>0.97696059999999996</v>
      </c>
      <c r="S6809">
        <v>-0.16656489999999999</v>
      </c>
      <c r="T6809">
        <v>-9.0442060000000005E-2</v>
      </c>
      <c r="U6809">
        <v>3.1140750000000001</v>
      </c>
      <c r="V6809">
        <v>2.3972779999999999E-2</v>
      </c>
      <c r="W6809">
        <v>-7.4173199999999998E-3</v>
      </c>
      <c r="X6809">
        <v>0.99968509999999999</v>
      </c>
      <c r="Y6809">
        <v>-0.2410158</v>
      </c>
      <c r="Z6809">
        <v>-2.7798119999999999E-2</v>
      </c>
      <c r="AA6809">
        <v>0.97012299999999996</v>
      </c>
      <c r="AB6809">
        <v>27</v>
      </c>
      <c r="AC6809">
        <v>-2.0999999999999899</v>
      </c>
      <c r="AD6809">
        <v>-1.119328386341</v>
      </c>
      <c r="AE6809">
        <v>38.29148</v>
      </c>
      <c r="AF6809">
        <v>-9.2859232757187193</v>
      </c>
      <c r="AG6809">
        <v>-1.119328386341</v>
      </c>
      <c r="AH6809">
        <v>37.1741371918623</v>
      </c>
      <c r="AI6809">
        <v>91.673293803230294</v>
      </c>
      <c r="AJ6809">
        <v>104.02520225705</v>
      </c>
      <c r="AK6809">
        <v>38.332724180240596</v>
      </c>
      <c r="AL6809">
        <v>90.424985026112594</v>
      </c>
      <c r="AM6809">
        <v>88.626291498629797</v>
      </c>
      <c r="AN6809">
        <v>1.00000000498946</v>
      </c>
    </row>
    <row r="6810" spans="1:40" x14ac:dyDescent="0.25">
      <c r="A6810" t="str">
        <f>"20190312161448641"</f>
        <v>20190312161448641</v>
      </c>
      <c r="B6810" t="str">
        <f>"1552378488633564"</f>
        <v>1552378488633564</v>
      </c>
      <c r="C6810" t="s">
        <v>40</v>
      </c>
      <c r="D6810">
        <v>5.4297760000000004</v>
      </c>
      <c r="E6810">
        <v>0.39476620000000001</v>
      </c>
      <c r="F6810" t="s">
        <v>42</v>
      </c>
      <c r="G6810">
        <v>-190.93899999999999</v>
      </c>
      <c r="H6810" s="1">
        <v>-1.973561E-6</v>
      </c>
      <c r="I6810">
        <v>13.607150000000001</v>
      </c>
      <c r="J6810">
        <v>-187.18119999999999</v>
      </c>
      <c r="K6810">
        <v>1.1192219999999999</v>
      </c>
      <c r="L6810">
        <v>-45.453429999999997</v>
      </c>
      <c r="M6810">
        <v>0.17687020000000001</v>
      </c>
      <c r="N6810">
        <v>0</v>
      </c>
      <c r="O6810">
        <v>0.98411219999999999</v>
      </c>
      <c r="P6810">
        <v>0.201375</v>
      </c>
      <c r="Q6810">
        <v>-2.2689930000000001E-2</v>
      </c>
      <c r="R6810">
        <v>0.97925139999999999</v>
      </c>
      <c r="S6810">
        <v>-0.19525149999999999</v>
      </c>
      <c r="T6810">
        <v>-5.8719519999999997E-2</v>
      </c>
      <c r="U6810">
        <v>3.1117249999999999</v>
      </c>
      <c r="V6810">
        <v>2.5130639999999999E-2</v>
      </c>
      <c r="W6810">
        <v>-6.6503029999999998E-3</v>
      </c>
      <c r="X6810">
        <v>0.99966200000000005</v>
      </c>
      <c r="Y6810">
        <v>-0.23816960000000001</v>
      </c>
      <c r="Z6810">
        <v>-1.8130650000000002E-2</v>
      </c>
      <c r="AA6810">
        <v>0.97105430000000004</v>
      </c>
      <c r="AB6810">
        <v>27</v>
      </c>
      <c r="AC6810">
        <v>-3.7578000000000298</v>
      </c>
      <c r="AD6810">
        <v>-1.1192239735609999</v>
      </c>
      <c r="AE6810">
        <v>59.060580000000002</v>
      </c>
      <c r="AF6810">
        <v>-14.140794050224001</v>
      </c>
      <c r="AG6810">
        <v>-1.1192239735609999</v>
      </c>
      <c r="AH6810">
        <v>57.443947751548102</v>
      </c>
      <c r="AI6810">
        <v>91.0838473685276</v>
      </c>
      <c r="AJ6810">
        <v>103.829351947113</v>
      </c>
      <c r="AK6810">
        <v>59.169433426021797</v>
      </c>
      <c r="AL6810">
        <v>90.381037124064207</v>
      </c>
      <c r="AM6810">
        <v>88.559936858451096</v>
      </c>
      <c r="AN6810">
        <v>0.99999994492039901</v>
      </c>
    </row>
    <row r="6811" spans="1:40" x14ac:dyDescent="0.25">
      <c r="A6811" t="str">
        <f>"20190312161448663"</f>
        <v>20190312161448663</v>
      </c>
      <c r="B6811" t="str">
        <f>"1552378488653084"</f>
        <v>1552378488653084</v>
      </c>
      <c r="C6811" t="s">
        <v>40</v>
      </c>
      <c r="D6811">
        <v>5.4531970000000003</v>
      </c>
      <c r="E6811">
        <v>0.39658959999999999</v>
      </c>
      <c r="F6811" t="s">
        <v>42</v>
      </c>
      <c r="G6811">
        <v>-192.2045</v>
      </c>
      <c r="H6811" s="1">
        <v>-3.4378240000000002E-6</v>
      </c>
      <c r="I6811">
        <v>26.23545</v>
      </c>
      <c r="J6811">
        <v>-187.14779999999999</v>
      </c>
      <c r="K6811">
        <v>1.119108</v>
      </c>
      <c r="L6811">
        <v>-45.193240000000003</v>
      </c>
      <c r="M6811">
        <v>0.16484379999999901</v>
      </c>
      <c r="N6811">
        <v>0</v>
      </c>
      <c r="O6811">
        <v>0.98619849999999998</v>
      </c>
      <c r="P6811">
        <v>0.19020870000000001</v>
      </c>
      <c r="Q6811">
        <v>-2.2253519999999999E-2</v>
      </c>
      <c r="R6811">
        <v>0.98149140000000001</v>
      </c>
      <c r="S6811">
        <v>-0.2177277</v>
      </c>
      <c r="T6811">
        <v>-4.851055E-2</v>
      </c>
      <c r="U6811">
        <v>3.107208</v>
      </c>
      <c r="V6811">
        <v>2.5935380000000001E-2</v>
      </c>
      <c r="W6811">
        <v>-6.2392480000000002E-3</v>
      </c>
      <c r="X6811">
        <v>0.99964419999999998</v>
      </c>
      <c r="Y6811">
        <v>-0.23339589999999999</v>
      </c>
      <c r="Z6811">
        <v>-1.5055320000000001E-2</v>
      </c>
      <c r="AA6811">
        <v>0.97226520000000005</v>
      </c>
      <c r="AB6811">
        <v>27</v>
      </c>
      <c r="AC6811">
        <v>-5.0567000000000002</v>
      </c>
      <c r="AD6811">
        <v>-1.1191114378239999</v>
      </c>
      <c r="AE6811">
        <v>71.428690000000003</v>
      </c>
      <c r="AF6811">
        <v>-16.759396896243</v>
      </c>
      <c r="AG6811">
        <v>-1.1191114378239999</v>
      </c>
      <c r="AH6811">
        <v>69.6006227145662</v>
      </c>
      <c r="AI6811">
        <v>90.895588283603402</v>
      </c>
      <c r="AJ6811">
        <v>103.538728677145</v>
      </c>
      <c r="AK6811">
        <v>71.598718403275001</v>
      </c>
      <c r="AL6811">
        <v>90.357484879485696</v>
      </c>
      <c r="AM6811">
        <v>88.513816684762801</v>
      </c>
      <c r="AN6811">
        <v>1.0000000493724901</v>
      </c>
    </row>
    <row r="6812" spans="1:40" x14ac:dyDescent="0.25">
      <c r="A6812" t="str">
        <f>"20190312161448684"</f>
        <v>20190312161448684</v>
      </c>
      <c r="B6812" t="str">
        <f>"1552378488673580"</f>
        <v>1552378488673580</v>
      </c>
      <c r="C6812" t="s">
        <v>40</v>
      </c>
      <c r="D6812">
        <v>5.4512150000000004</v>
      </c>
      <c r="E6812">
        <v>0.39850000000000002</v>
      </c>
      <c r="F6812" t="s">
        <v>42</v>
      </c>
      <c r="G6812">
        <v>-192.70830000000001</v>
      </c>
      <c r="H6812" s="1">
        <v>-3.8879279999999996E-6</v>
      </c>
      <c r="I6812">
        <v>26.999929999999999</v>
      </c>
      <c r="J6812">
        <v>-187.11940000000001</v>
      </c>
      <c r="K6812">
        <v>1.118986</v>
      </c>
      <c r="L6812">
        <v>-44.949399999999997</v>
      </c>
      <c r="M6812">
        <v>0.15370249999999999</v>
      </c>
      <c r="N6812">
        <v>0</v>
      </c>
      <c r="O6812">
        <v>0.98799680000000001</v>
      </c>
      <c r="P6812">
        <v>0.18045539999999999</v>
      </c>
      <c r="Q6812">
        <v>-2.1877359999999998E-2</v>
      </c>
      <c r="R6812">
        <v>0.98333979999999999</v>
      </c>
      <c r="S6812">
        <v>-0.23890690000000001</v>
      </c>
      <c r="T6812">
        <v>-4.8082590000000001E-2</v>
      </c>
      <c r="U6812">
        <v>3.1017760000000001</v>
      </c>
      <c r="V6812">
        <v>2.7282819999999999E-2</v>
      </c>
      <c r="W6812">
        <v>-5.8774919999999998E-3</v>
      </c>
      <c r="X6812">
        <v>0.99961049999999996</v>
      </c>
      <c r="Y6812">
        <v>-0.22914029999999999</v>
      </c>
      <c r="Z6812">
        <v>-1.4994489999999999E-2</v>
      </c>
      <c r="AA6812">
        <v>0.97327790000000003</v>
      </c>
      <c r="AB6812">
        <v>27</v>
      </c>
      <c r="AC6812">
        <v>-5.58889999999999</v>
      </c>
      <c r="AD6812">
        <v>-1.118989887928</v>
      </c>
      <c r="AE6812">
        <v>71.949330000000003</v>
      </c>
      <c r="AF6812">
        <v>-16.578593563504</v>
      </c>
      <c r="AG6812">
        <v>-1.118989887928</v>
      </c>
      <c r="AH6812">
        <v>70.218151159346206</v>
      </c>
      <c r="AI6812">
        <v>90.888557045866094</v>
      </c>
      <c r="AJ6812">
        <v>103.284331551802</v>
      </c>
      <c r="AK6812">
        <v>72.157401942904897</v>
      </c>
      <c r="AL6812">
        <v>90.3367574163847</v>
      </c>
      <c r="AM6812">
        <v>88.436588595742606</v>
      </c>
      <c r="AN6812">
        <v>1.0000000244448</v>
      </c>
    </row>
    <row r="6813" spans="1:40" x14ac:dyDescent="0.25">
      <c r="A6813" t="str">
        <f>"20190312161448706"</f>
        <v>20190312161448706</v>
      </c>
      <c r="B6813" t="str">
        <f>"1552378488702860"</f>
        <v>1552378488702860</v>
      </c>
      <c r="C6813" t="s">
        <v>40</v>
      </c>
      <c r="D6813">
        <v>5.4868990000000002</v>
      </c>
      <c r="E6813">
        <v>0.41108620000000001</v>
      </c>
      <c r="F6813" t="s">
        <v>42</v>
      </c>
      <c r="G6813">
        <v>-192.70150000000001</v>
      </c>
      <c r="H6813" s="1">
        <v>-2.122555E-6</v>
      </c>
      <c r="I6813">
        <v>22.8613</v>
      </c>
      <c r="J6813">
        <v>-187.09200000000001</v>
      </c>
      <c r="K6813">
        <v>1.1188389999999999</v>
      </c>
      <c r="L6813">
        <v>-44.690219999999997</v>
      </c>
      <c r="M6813">
        <v>0.1420148</v>
      </c>
      <c r="N6813">
        <v>0</v>
      </c>
      <c r="O6813">
        <v>0.98974499999999999</v>
      </c>
      <c r="P6813">
        <v>0.1699282</v>
      </c>
      <c r="Q6813">
        <v>-2.2239720000000001E-2</v>
      </c>
      <c r="R6813">
        <v>0.98520549999999996</v>
      </c>
      <c r="S6813">
        <v>-0.25489810000000002</v>
      </c>
      <c r="T6813">
        <v>-5.1096799999999998E-2</v>
      </c>
      <c r="U6813">
        <v>3.0964659999999999</v>
      </c>
      <c r="V6813">
        <v>2.8413259999999999E-2</v>
      </c>
      <c r="W6813">
        <v>-6.2652690000000004E-3</v>
      </c>
      <c r="X6813">
        <v>0.99957660000000004</v>
      </c>
      <c r="Y6813">
        <v>-0.2227518</v>
      </c>
      <c r="Z6813">
        <v>-1.6013670000000001E-2</v>
      </c>
      <c r="AA6813">
        <v>0.97474369999999999</v>
      </c>
      <c r="AB6813">
        <v>27</v>
      </c>
      <c r="AC6813">
        <v>-5.6094999999999899</v>
      </c>
      <c r="AD6813">
        <v>-1.1188411225549999</v>
      </c>
      <c r="AE6813">
        <v>67.551519999999996</v>
      </c>
      <c r="AF6813">
        <v>-15.1429567710124</v>
      </c>
      <c r="AG6813">
        <v>-1.1188411225549999</v>
      </c>
      <c r="AH6813">
        <v>66.051969059651498</v>
      </c>
      <c r="AI6813">
        <v>90.945894136978595</v>
      </c>
      <c r="AJ6813">
        <v>102.912392382829</v>
      </c>
      <c r="AK6813">
        <v>67.774800345581497</v>
      </c>
      <c r="AL6813">
        <v>90.358975829410795</v>
      </c>
      <c r="AM6813">
        <v>88.371788985261404</v>
      </c>
      <c r="AN6813">
        <v>0.99999997310351396</v>
      </c>
    </row>
    <row r="6814" spans="1:40" x14ac:dyDescent="0.25">
      <c r="A6814" t="str">
        <f>"20190312161448729"</f>
        <v>20190312161448729</v>
      </c>
      <c r="B6814" t="str">
        <f>"1552378488723356"</f>
        <v>1552378488723356</v>
      </c>
      <c r="C6814" t="s">
        <v>40</v>
      </c>
      <c r="D6814">
        <v>5.4163379999999997</v>
      </c>
      <c r="E6814">
        <v>0.41295280000000001</v>
      </c>
      <c r="F6814" t="s">
        <v>42</v>
      </c>
      <c r="G6814">
        <v>-189.38740000000001</v>
      </c>
      <c r="H6814" s="1">
        <v>-1.2554859999999999E-6</v>
      </c>
      <c r="I6814">
        <v>-7.6939440000000001</v>
      </c>
      <c r="J6814">
        <v>-187.0675</v>
      </c>
      <c r="K6814">
        <v>1.1186700000000001</v>
      </c>
      <c r="L6814">
        <v>-44.430819999999997</v>
      </c>
      <c r="M6814">
        <v>0.13050510000000001</v>
      </c>
      <c r="N6814">
        <v>0</v>
      </c>
      <c r="O6814">
        <v>0.99132889999999996</v>
      </c>
      <c r="P6814">
        <v>0.15935429999999901</v>
      </c>
      <c r="Q6814">
        <v>-2.1835219999999999E-2</v>
      </c>
      <c r="R6814">
        <v>0.98697999999999997</v>
      </c>
      <c r="S6814">
        <v>-0.1908417</v>
      </c>
      <c r="T6814">
        <v>-9.3020320000000004E-2</v>
      </c>
      <c r="U6814">
        <v>3.0758670000000001</v>
      </c>
      <c r="V6814">
        <v>2.9297900000000002E-2</v>
      </c>
      <c r="W6814">
        <v>-5.8949249999999996E-3</v>
      </c>
      <c r="X6814">
        <v>0.99955329999999998</v>
      </c>
      <c r="Y6814">
        <v>-0.19163820000000001</v>
      </c>
      <c r="Z6814">
        <v>-2.95313E-2</v>
      </c>
      <c r="AA6814">
        <v>0.98102120000000004</v>
      </c>
      <c r="AB6814">
        <v>27</v>
      </c>
      <c r="AC6814">
        <v>-2.3199000000000098</v>
      </c>
      <c r="AD6814">
        <v>-1.1186712554860001</v>
      </c>
      <c r="AE6814">
        <v>36.736876000000002</v>
      </c>
      <c r="AF6814">
        <v>-7.0884221397211604</v>
      </c>
      <c r="AG6814">
        <v>-1.1186712554860001</v>
      </c>
      <c r="AH6814">
        <v>36.086491629870601</v>
      </c>
      <c r="AI6814">
        <v>91.742311060386996</v>
      </c>
      <c r="AJ6814">
        <v>101.11304686649299</v>
      </c>
      <c r="AK6814">
        <v>36.793097613023299</v>
      </c>
      <c r="AL6814">
        <v>90.337756293325299</v>
      </c>
      <c r="AM6814">
        <v>88.321084489661999</v>
      </c>
      <c r="AN6814">
        <v>0.99999995831302602</v>
      </c>
    </row>
    <row r="6815" spans="1:40" x14ac:dyDescent="0.25">
      <c r="A6815" t="str">
        <f>"20190312161448752"</f>
        <v>20190312161448752</v>
      </c>
      <c r="B6815" t="str">
        <f>"1552378488742876"</f>
        <v>1552378488742876</v>
      </c>
      <c r="C6815" t="s">
        <v>40</v>
      </c>
      <c r="D6815">
        <v>5.3764370000000001</v>
      </c>
      <c r="E6815">
        <v>0.41426879999999999</v>
      </c>
      <c r="F6815" t="s">
        <v>42</v>
      </c>
      <c r="G6815">
        <v>-190.14660000000001</v>
      </c>
      <c r="H6815" s="1">
        <v>-6.1838829999999999E-7</v>
      </c>
      <c r="I6815">
        <v>0.93968260000000003</v>
      </c>
      <c r="J6815">
        <v>-187.04470000000001</v>
      </c>
      <c r="K6815">
        <v>1.1184810000000001</v>
      </c>
      <c r="L6815">
        <v>-44.152799999999999</v>
      </c>
      <c r="M6815">
        <v>0.1184159</v>
      </c>
      <c r="N6815">
        <v>0</v>
      </c>
      <c r="O6815">
        <v>0.99284629999999996</v>
      </c>
      <c r="P6815">
        <v>0.14735109999999901</v>
      </c>
      <c r="Q6815">
        <v>-2.14624E-2</v>
      </c>
      <c r="R6815">
        <v>0.98885140000000005</v>
      </c>
      <c r="S6815">
        <v>-0.20845030000000001</v>
      </c>
      <c r="T6815">
        <v>-7.5733540000000002E-2</v>
      </c>
      <c r="U6815">
        <v>3.071564</v>
      </c>
      <c r="V6815">
        <v>2.9323180000000001E-2</v>
      </c>
      <c r="W6815">
        <v>-5.5815999999999999E-3</v>
      </c>
      <c r="X6815">
        <v>0.99955439999999995</v>
      </c>
      <c r="Y6815">
        <v>-0.18537010000000001</v>
      </c>
      <c r="Z6815">
        <v>-2.4146959999999999E-2</v>
      </c>
      <c r="AA6815">
        <v>0.98237200000000002</v>
      </c>
      <c r="AB6815">
        <v>27</v>
      </c>
      <c r="AC6815">
        <v>-3.1019000000000001</v>
      </c>
      <c r="AD6815">
        <v>-1.1184816183883</v>
      </c>
      <c r="AE6815">
        <v>45.092482599999997</v>
      </c>
      <c r="AF6815">
        <v>-8.4152086174548995</v>
      </c>
      <c r="AG6815">
        <v>-1.1184816183883</v>
      </c>
      <c r="AH6815">
        <v>44.380607573335602</v>
      </c>
      <c r="AI6815">
        <v>91.418402018858899</v>
      </c>
      <c r="AJ6815">
        <v>100.73665000825901</v>
      </c>
      <c r="AK6815">
        <v>45.185230615593497</v>
      </c>
      <c r="AL6815">
        <v>90.319803783214098</v>
      </c>
      <c r="AM6815">
        <v>88.319638498175706</v>
      </c>
      <c r="AN6815">
        <v>1.0000000008516099</v>
      </c>
    </row>
    <row r="6816" spans="1:40" x14ac:dyDescent="0.25">
      <c r="A6816" t="str">
        <f>"20190312161448774"</f>
        <v>20190312161448774</v>
      </c>
      <c r="B6816" t="str">
        <f>"1552378488763372"</f>
        <v>1552378488763372</v>
      </c>
      <c r="C6816" t="s">
        <v>40</v>
      </c>
      <c r="D6816">
        <v>5.3421440000000002</v>
      </c>
      <c r="E6816">
        <v>0.41586659999999998</v>
      </c>
      <c r="F6816" t="s">
        <v>42</v>
      </c>
      <c r="G6816">
        <v>-191.23050000000001</v>
      </c>
      <c r="H6816" s="1">
        <v>-7.3711749999999996E-7</v>
      </c>
      <c r="I6816">
        <v>10.544180000000001</v>
      </c>
      <c r="J6816">
        <v>-187.02690000000001</v>
      </c>
      <c r="K6816">
        <v>1.1183160000000001</v>
      </c>
      <c r="L6816">
        <v>-43.905029999999996</v>
      </c>
      <c r="M6816">
        <v>0.10781499999999999</v>
      </c>
      <c r="N6816">
        <v>0</v>
      </c>
      <c r="O6816">
        <v>0.99405390000000005</v>
      </c>
      <c r="P6816">
        <v>0.13664000000000001</v>
      </c>
      <c r="Q6816">
        <v>-2.1195550000000001E-2</v>
      </c>
      <c r="R6816">
        <v>0.990394</v>
      </c>
      <c r="S6816">
        <v>-0.23474120000000001</v>
      </c>
      <c r="T6816">
        <v>-6.272519E-2</v>
      </c>
      <c r="U6816">
        <v>3.0674440000000001</v>
      </c>
      <c r="V6816">
        <v>2.9163379999999999E-2</v>
      </c>
      <c r="W6816">
        <v>-5.3710559999999999E-3</v>
      </c>
      <c r="X6816">
        <v>0.99956020000000001</v>
      </c>
      <c r="Y6816">
        <v>-0.1833563</v>
      </c>
      <c r="Z6816">
        <v>-2.0062750000000001E-2</v>
      </c>
      <c r="AA6816">
        <v>0.98284179999999999</v>
      </c>
      <c r="AB6816">
        <v>27</v>
      </c>
      <c r="AC6816">
        <v>-4.20359999999999</v>
      </c>
      <c r="AD6816">
        <v>-1.1183167371175</v>
      </c>
      <c r="AE6816">
        <v>54.449210000000001</v>
      </c>
      <c r="AF6816">
        <v>-10.046003625677001</v>
      </c>
      <c r="AG6816">
        <v>-1.1183167371175</v>
      </c>
      <c r="AH6816">
        <v>53.655986073569103</v>
      </c>
      <c r="AI6816">
        <v>91.173618134988303</v>
      </c>
      <c r="AJ6816">
        <v>100.60470321922099</v>
      </c>
      <c r="AK6816">
        <v>54.599795445575403</v>
      </c>
      <c r="AL6816">
        <v>90.307740328523707</v>
      </c>
      <c r="AM6816">
        <v>88.328800303587599</v>
      </c>
      <c r="AN6816">
        <v>0.99999997219980896</v>
      </c>
    </row>
    <row r="6817" spans="1:40" x14ac:dyDescent="0.25">
      <c r="A6817" t="str">
        <f>"20190312161448796"</f>
        <v>20190312161448796</v>
      </c>
      <c r="B6817" t="str">
        <f>"1552378488793628"</f>
        <v>1552378488793628</v>
      </c>
      <c r="C6817" t="s">
        <v>40</v>
      </c>
      <c r="D6817">
        <v>5.2562100000000003</v>
      </c>
      <c r="E6817">
        <v>0.41670420000000002</v>
      </c>
      <c r="F6817" t="s">
        <v>42</v>
      </c>
      <c r="G6817">
        <v>-192.39060000000001</v>
      </c>
      <c r="H6817" s="1">
        <v>-1.0505360000000001E-6</v>
      </c>
      <c r="I6817">
        <v>20.555199999999999</v>
      </c>
      <c r="J6817">
        <v>-187.011</v>
      </c>
      <c r="K6817">
        <v>1.1181479999999999</v>
      </c>
      <c r="L6817">
        <v>-43.648130000000002</v>
      </c>
      <c r="M6817">
        <v>9.7030149999999996E-2</v>
      </c>
      <c r="N6817">
        <v>0</v>
      </c>
      <c r="O6817">
        <v>0.99516519999999997</v>
      </c>
      <c r="P6817">
        <v>0.1253869</v>
      </c>
      <c r="Q6817">
        <v>-2.1053800000000001E-2</v>
      </c>
      <c r="R6817">
        <v>0.99188449999999995</v>
      </c>
      <c r="S6817">
        <v>-0.25488280000000002</v>
      </c>
      <c r="T6817">
        <v>-5.3141710000000002E-2</v>
      </c>
      <c r="U6817">
        <v>3.06311</v>
      </c>
      <c r="V6817">
        <v>2.8649009999999999E-2</v>
      </c>
      <c r="W6817">
        <v>-5.2933009999999898E-3</v>
      </c>
      <c r="X6817">
        <v>0.99957549999999995</v>
      </c>
      <c r="Y6817">
        <v>-0.17922739999999901</v>
      </c>
      <c r="Z6817">
        <v>-1.7053459999999999E-2</v>
      </c>
      <c r="AA6817">
        <v>0.98365990000000003</v>
      </c>
      <c r="AB6817">
        <v>27</v>
      </c>
      <c r="AC6817">
        <v>-5.3796000000000097</v>
      </c>
      <c r="AD6817">
        <v>-1.1181490505360001</v>
      </c>
      <c r="AE6817">
        <v>64.203329999999994</v>
      </c>
      <c r="AF6817">
        <v>-11.5811015636791</v>
      </c>
      <c r="AG6817">
        <v>-1.1181490505360001</v>
      </c>
      <c r="AH6817">
        <v>63.359185446764698</v>
      </c>
      <c r="AI6817">
        <v>90.994563982755295</v>
      </c>
      <c r="AJ6817">
        <v>100.35845304934099</v>
      </c>
      <c r="AK6817">
        <v>64.418619600275406</v>
      </c>
      <c r="AL6817">
        <v>90.303285228602903</v>
      </c>
      <c r="AM6817">
        <v>88.358284978602597</v>
      </c>
      <c r="AN6817">
        <v>0.999999982504853</v>
      </c>
    </row>
    <row r="6818" spans="1:40" x14ac:dyDescent="0.25">
      <c r="A6818" t="str">
        <f>"20190312161448819"</f>
        <v>20190312161448819</v>
      </c>
      <c r="B6818" t="str">
        <f>"1552378488813148"</f>
        <v>1552378488813148</v>
      </c>
      <c r="C6818" t="s">
        <v>40</v>
      </c>
      <c r="D6818">
        <v>5.2560949999999904</v>
      </c>
      <c r="E6818">
        <v>0.41741139999999999</v>
      </c>
      <c r="F6818" t="s">
        <v>42</v>
      </c>
      <c r="G6818">
        <v>-196.87389999999999</v>
      </c>
      <c r="H6818" s="1">
        <v>-3.3644400000000002E-6</v>
      </c>
      <c r="I6818">
        <v>63.290309999999998</v>
      </c>
      <c r="J6818">
        <v>-186.99690000000001</v>
      </c>
      <c r="K6818">
        <v>1.117955</v>
      </c>
      <c r="L6818">
        <v>-43.375309999999999</v>
      </c>
      <c r="M6818">
        <v>8.5837839999999999E-2</v>
      </c>
      <c r="N6818">
        <v>0</v>
      </c>
      <c r="O6818">
        <v>0.99619360000000001</v>
      </c>
      <c r="P6818">
        <v>0.1139743</v>
      </c>
      <c r="Q6818">
        <v>-2.0505639999999999E-2</v>
      </c>
      <c r="R6818">
        <v>0.99327209999999999</v>
      </c>
      <c r="S6818">
        <v>-0.28218080000000001</v>
      </c>
      <c r="T6818">
        <v>-3.1990650000000002E-2</v>
      </c>
      <c r="U6818">
        <v>3.0595400000000001</v>
      </c>
      <c r="V6818">
        <v>2.837922E-2</v>
      </c>
      <c r="W6818">
        <v>-4.8096370000000003E-3</v>
      </c>
      <c r="X6818">
        <v>0.99958559999999996</v>
      </c>
      <c r="Y6818">
        <v>-0.176981</v>
      </c>
      <c r="Z6818">
        <v>-1.0293119999999999E-2</v>
      </c>
      <c r="AA6818">
        <v>0.98416040000000005</v>
      </c>
      <c r="AB6818">
        <v>26</v>
      </c>
      <c r="AC6818">
        <v>-9.8769999999999794</v>
      </c>
      <c r="AD6818">
        <v>-1.11795836444</v>
      </c>
      <c r="AE6818">
        <v>106.66562</v>
      </c>
      <c r="AF6818">
        <v>-18.995468206366802</v>
      </c>
      <c r="AG6818">
        <v>-1.11795836444</v>
      </c>
      <c r="AH6818">
        <v>105.41244021992399</v>
      </c>
      <c r="AI6818">
        <v>90.598000256023298</v>
      </c>
      <c r="AJ6818">
        <v>100.215149978542</v>
      </c>
      <c r="AK6818">
        <v>107.11610614843499</v>
      </c>
      <c r="AL6818">
        <v>90.275572979469999</v>
      </c>
      <c r="AM6818">
        <v>88.373753220894798</v>
      </c>
      <c r="AN6818">
        <v>0.99999994223161803</v>
      </c>
    </row>
    <row r="6819" spans="1:40" x14ac:dyDescent="0.25">
      <c r="A6819" t="str">
        <f>"20190312161448842"</f>
        <v>20190312161448842</v>
      </c>
      <c r="B6819" t="str">
        <f>"1552378488833644"</f>
        <v>1552378488833644</v>
      </c>
      <c r="C6819" t="s">
        <v>40</v>
      </c>
      <c r="D6819">
        <v>5.2080869999999999</v>
      </c>
      <c r="E6819">
        <v>0.4180584</v>
      </c>
      <c r="F6819" t="s">
        <v>42</v>
      </c>
      <c r="G6819">
        <v>-200.3126</v>
      </c>
      <c r="H6819">
        <v>7.9986039999999994E-2</v>
      </c>
      <c r="I6819">
        <v>87.274850000000001</v>
      </c>
      <c r="J6819">
        <v>-186.98599999999999</v>
      </c>
      <c r="K6819">
        <v>1.1177490000000001</v>
      </c>
      <c r="L6819">
        <v>-43.115079999999999</v>
      </c>
      <c r="M6819">
        <v>7.5449050000000004E-2</v>
      </c>
      <c r="N6819">
        <v>0</v>
      </c>
      <c r="O6819">
        <v>0.997035</v>
      </c>
      <c r="P6819">
        <v>0.10357479999999999</v>
      </c>
      <c r="Q6819">
        <v>-2.0395190000000001E-2</v>
      </c>
      <c r="R6819">
        <v>0.99441250000000003</v>
      </c>
      <c r="S6819">
        <v>-0.31141659999999999</v>
      </c>
      <c r="T6819">
        <v>-2.427518E-2</v>
      </c>
      <c r="U6819">
        <v>3.055542</v>
      </c>
      <c r="V6819">
        <v>2.8335659999999999E-2</v>
      </c>
      <c r="W6819">
        <v>-4.7621970000000001E-3</v>
      </c>
      <c r="X6819">
        <v>0.99958709999999995</v>
      </c>
      <c r="Y6819">
        <v>-0.17616999999999999</v>
      </c>
      <c r="Z6819">
        <v>-7.8279739999999997E-3</v>
      </c>
      <c r="AA6819">
        <v>0.9843286</v>
      </c>
      <c r="AB6819">
        <v>26</v>
      </c>
      <c r="AC6819">
        <v>-13.326599999999999</v>
      </c>
      <c r="AD6819">
        <v>-1.03776295999999</v>
      </c>
      <c r="AE6819">
        <v>130.38992999999999</v>
      </c>
      <c r="AF6819">
        <v>-23.126077417228501</v>
      </c>
      <c r="AG6819">
        <v>-1.03776295999999</v>
      </c>
      <c r="AH6819">
        <v>129.00450749822201</v>
      </c>
      <c r="AI6819">
        <v>90.453668198699503</v>
      </c>
      <c r="AJ6819">
        <v>100.16321403366899</v>
      </c>
      <c r="AK6819">
        <v>131.065080641365</v>
      </c>
      <c r="AL6819">
        <v>90.272854826283805</v>
      </c>
      <c r="AM6819">
        <v>88.376250487201403</v>
      </c>
      <c r="AN6819">
        <v>0.99999997931715601</v>
      </c>
    </row>
    <row r="6820" spans="1:40" x14ac:dyDescent="0.25">
      <c r="A6820" t="str">
        <f>"20190312161448864"</f>
        <v>20190312161448864</v>
      </c>
      <c r="B6820" t="str">
        <f>"1552378488853164"</f>
        <v>1552378488853164</v>
      </c>
      <c r="C6820" t="s">
        <v>40</v>
      </c>
      <c r="D6820">
        <v>5.0797569999999999</v>
      </c>
      <c r="E6820">
        <v>0.43031520000000001</v>
      </c>
      <c r="F6820" t="s">
        <v>42</v>
      </c>
      <c r="G6820">
        <v>-202.38640000000001</v>
      </c>
      <c r="H6820">
        <v>7.9986559999999998E-2</v>
      </c>
      <c r="I6820">
        <v>95.857950000000002</v>
      </c>
      <c r="J6820">
        <v>-186.9776</v>
      </c>
      <c r="K6820">
        <v>1.1175090000000001</v>
      </c>
      <c r="L6820">
        <v>-42.85736</v>
      </c>
      <c r="M6820">
        <v>6.5462409999999999E-2</v>
      </c>
      <c r="N6820">
        <v>0</v>
      </c>
      <c r="O6820">
        <v>0.99774119999999999</v>
      </c>
      <c r="P6820">
        <v>9.3853309999999995E-2</v>
      </c>
      <c r="Q6820">
        <v>-2.0907800000000001E-2</v>
      </c>
      <c r="R6820">
        <v>0.99536650000000004</v>
      </c>
      <c r="S6820">
        <v>-0.3381653</v>
      </c>
      <c r="T6820">
        <v>-2.2787450000000001E-2</v>
      </c>
      <c r="U6820">
        <v>3.0516049999999999</v>
      </c>
      <c r="V6820">
        <v>2.858496E-2</v>
      </c>
      <c r="W6820">
        <v>-5.3380440000000001E-3</v>
      </c>
      <c r="X6820">
        <v>0.9995771</v>
      </c>
      <c r="Y6820">
        <v>-0.174973499999999</v>
      </c>
      <c r="Z6820">
        <v>-7.3629659999999899E-3</v>
      </c>
      <c r="AA6820">
        <v>0.98454560000000002</v>
      </c>
      <c r="AB6820">
        <v>26</v>
      </c>
      <c r="AC6820">
        <v>-15.408799999999999</v>
      </c>
      <c r="AD6820">
        <v>-1.03752244</v>
      </c>
      <c r="AE6820">
        <v>138.71530999999999</v>
      </c>
      <c r="AF6820">
        <v>-24.4560597898198</v>
      </c>
      <c r="AG6820">
        <v>-1.03752244</v>
      </c>
      <c r="AH6820">
        <v>137.40129824063101</v>
      </c>
      <c r="AI6820">
        <v>90.425940262704799</v>
      </c>
      <c r="AJ6820">
        <v>100.09238556707901</v>
      </c>
      <c r="AK6820">
        <v>139.56465194119701</v>
      </c>
      <c r="AL6820">
        <v>90.305848848632493</v>
      </c>
      <c r="AM6820">
        <v>88.361955945645803</v>
      </c>
      <c r="AN6820">
        <v>0.99999998674817803</v>
      </c>
    </row>
    <row r="6821" spans="1:40" x14ac:dyDescent="0.25">
      <c r="A6821" t="str">
        <f>"20190312161448886"</f>
        <v>20190312161448886</v>
      </c>
      <c r="B6821" t="str">
        <f>"1552378488883421"</f>
        <v>1552378488883421</v>
      </c>
      <c r="C6821" t="s">
        <v>40</v>
      </c>
      <c r="D6821">
        <v>5.0998099999999997</v>
      </c>
      <c r="E6821">
        <v>0.43344729999999998</v>
      </c>
      <c r="F6821" t="s">
        <v>110</v>
      </c>
      <c r="G6821">
        <v>-225.50569999999999</v>
      </c>
      <c r="H6821">
        <v>0.98098470000000004</v>
      </c>
      <c r="I6821">
        <v>391.87</v>
      </c>
      <c r="J6821">
        <v>-186.97149999999999</v>
      </c>
      <c r="K6821">
        <v>1.117251</v>
      </c>
      <c r="L6821">
        <v>-42.602939999999997</v>
      </c>
      <c r="M6821">
        <v>5.5926950000000003E-2</v>
      </c>
      <c r="N6821">
        <v>0</v>
      </c>
      <c r="O6821">
        <v>0.99832200000000004</v>
      </c>
      <c r="P6821">
        <v>8.547341E-2</v>
      </c>
      <c r="Q6821">
        <v>-2.09908E-2</v>
      </c>
      <c r="R6821">
        <v>0.99611930000000004</v>
      </c>
      <c r="S6821">
        <v>-0.26936339999999998</v>
      </c>
      <c r="T6821">
        <v>-9.5450880000000002E-4</v>
      </c>
      <c r="U6821">
        <v>3.0393370000000002</v>
      </c>
      <c r="V6821">
        <v>2.972172E-2</v>
      </c>
      <c r="W6821">
        <v>-5.4731669999999897E-3</v>
      </c>
      <c r="X6821">
        <v>0.99954319999999997</v>
      </c>
      <c r="Y6821">
        <v>-0.1438564</v>
      </c>
      <c r="Z6821">
        <v>-3.1107059999999998E-4</v>
      </c>
      <c r="AA6821">
        <v>0.98959850000000005</v>
      </c>
      <c r="AB6821">
        <v>26</v>
      </c>
      <c r="AC6821">
        <v>-38.534199999999998</v>
      </c>
      <c r="AD6821">
        <v>-0.13626630000000001</v>
      </c>
      <c r="AE6821">
        <v>434.47293999999999</v>
      </c>
      <c r="AF6821">
        <v>-62.7753538216</v>
      </c>
      <c r="AG6821">
        <v>-0.13626630000000001</v>
      </c>
      <c r="AH6821">
        <v>431.63739177398998</v>
      </c>
      <c r="AI6821">
        <v>90.017899749058898</v>
      </c>
      <c r="AJ6821">
        <v>98.274818220081201</v>
      </c>
      <c r="AK6821">
        <v>436.17840569357003</v>
      </c>
      <c r="AL6821">
        <v>90.313590943960705</v>
      </c>
      <c r="AM6821">
        <v>88.296794497063203</v>
      </c>
      <c r="AN6821">
        <v>0.99999997243150296</v>
      </c>
    </row>
    <row r="6822" spans="1:40" x14ac:dyDescent="0.25">
      <c r="A6822" t="str">
        <f>"20190312161448907"</f>
        <v>20190312161448907</v>
      </c>
      <c r="B6822" t="str">
        <f>"1552378488902941"</f>
        <v>1552378488902941</v>
      </c>
      <c r="C6822" t="s">
        <v>40</v>
      </c>
      <c r="D6822">
        <v>5.0434570000000001</v>
      </c>
      <c r="E6822">
        <v>0.43557669999999998</v>
      </c>
      <c r="F6822" t="s">
        <v>110</v>
      </c>
      <c r="G6822">
        <v>-225.65889999999999</v>
      </c>
      <c r="H6822">
        <v>0.67905740000000003</v>
      </c>
      <c r="I6822">
        <v>391.87</v>
      </c>
      <c r="J6822">
        <v>-186.96770000000001</v>
      </c>
      <c r="K6822">
        <v>1.116987</v>
      </c>
      <c r="L6822">
        <v>-42.358249999999998</v>
      </c>
      <c r="M6822">
        <v>4.7096369999999999E-2</v>
      </c>
      <c r="N6822">
        <v>0</v>
      </c>
      <c r="O6822">
        <v>0.99877830000000001</v>
      </c>
      <c r="P6822">
        <v>7.7601279999999995E-2</v>
      </c>
      <c r="Q6822">
        <v>-2.089715E-2</v>
      </c>
      <c r="R6822">
        <v>0.99676540000000002</v>
      </c>
      <c r="S6822">
        <v>-0.27023320000000001</v>
      </c>
      <c r="T6822">
        <v>-3.0608179999999999E-3</v>
      </c>
      <c r="U6822">
        <v>3.034821</v>
      </c>
      <c r="V6822">
        <v>3.0659740000000001E-2</v>
      </c>
      <c r="W6822">
        <v>-5.4368250000000002E-3</v>
      </c>
      <c r="X6822">
        <v>0.99951509999999999</v>
      </c>
      <c r="Y6822">
        <v>-0.13551079999999999</v>
      </c>
      <c r="Z6822">
        <v>-1.000255E-3</v>
      </c>
      <c r="AA6822">
        <v>0.99077530000000003</v>
      </c>
      <c r="AB6822">
        <v>26</v>
      </c>
      <c r="AC6822">
        <v>-38.691199999999903</v>
      </c>
      <c r="AD6822">
        <v>-0.43792959999999997</v>
      </c>
      <c r="AE6822">
        <v>434.22825</v>
      </c>
      <c r="AF6822">
        <v>-59.101060597312603</v>
      </c>
      <c r="AG6822">
        <v>-0.43792959999999997</v>
      </c>
      <c r="AH6822">
        <v>431.923445911062</v>
      </c>
      <c r="AI6822">
        <v>90.057556176736796</v>
      </c>
      <c r="AJ6822">
        <v>97.791524269227097</v>
      </c>
      <c r="AK6822">
        <v>435.94838028572599</v>
      </c>
      <c r="AL6822">
        <v>90.311508658957493</v>
      </c>
      <c r="AM6822">
        <v>88.243024999145703</v>
      </c>
      <c r="AN6822">
        <v>1.00000000692547</v>
      </c>
    </row>
    <row r="6823" spans="1:40" x14ac:dyDescent="0.25">
      <c r="A6823" t="str">
        <f>"20190312161448930"</f>
        <v>20190312161448930</v>
      </c>
      <c r="B6823" t="str">
        <f>"1552378488923436"</f>
        <v>1552378488923436</v>
      </c>
      <c r="C6823" t="s">
        <v>40</v>
      </c>
      <c r="D6823">
        <v>4.9751609999999999</v>
      </c>
      <c r="E6823">
        <v>0.43650929999999999</v>
      </c>
      <c r="F6823" t="s">
        <v>110</v>
      </c>
      <c r="G6823">
        <v>-226.68819999999999</v>
      </c>
      <c r="H6823">
        <v>0.90067889999999995</v>
      </c>
      <c r="I6823">
        <v>391.87</v>
      </c>
      <c r="J6823">
        <v>-186.96549999999999</v>
      </c>
      <c r="K6823">
        <v>1.1166940000000001</v>
      </c>
      <c r="L6823">
        <v>-42.10577</v>
      </c>
      <c r="M6823">
        <v>3.8368619999999999E-2</v>
      </c>
      <c r="N6823">
        <v>0</v>
      </c>
      <c r="O6823">
        <v>0.9991525</v>
      </c>
      <c r="P6823">
        <v>6.938896E-2</v>
      </c>
      <c r="Q6823">
        <v>-2.0835059999999999E-2</v>
      </c>
      <c r="R6823">
        <v>0.99737209999999998</v>
      </c>
      <c r="S6823">
        <v>-0.27728269999999999</v>
      </c>
      <c r="T6823">
        <v>-1.510024E-3</v>
      </c>
      <c r="U6823">
        <v>3.0312809999999999</v>
      </c>
      <c r="V6823">
        <v>3.115557E-2</v>
      </c>
      <c r="W6823">
        <v>-5.4454859999999898E-3</v>
      </c>
      <c r="X6823">
        <v>0.99949969999999999</v>
      </c>
      <c r="Y6823">
        <v>-0.12923970000000001</v>
      </c>
      <c r="Z6823">
        <v>-4.944754E-4</v>
      </c>
      <c r="AA6823">
        <v>0.99161330000000003</v>
      </c>
      <c r="AB6823">
        <v>26</v>
      </c>
      <c r="AC6823">
        <v>-39.722700000000003</v>
      </c>
      <c r="AD6823">
        <v>-0.21601509999999999</v>
      </c>
      <c r="AE6823">
        <v>433.97577000000001</v>
      </c>
      <c r="AF6823">
        <v>-56.346331050815898</v>
      </c>
      <c r="AG6823">
        <v>-0.21601509999999999</v>
      </c>
      <c r="AH6823">
        <v>432.13176172839002</v>
      </c>
      <c r="AI6823">
        <v>90.028400737963494</v>
      </c>
      <c r="AJ6823">
        <v>97.428972458063598</v>
      </c>
      <c r="AK6823">
        <v>435.78987503141201</v>
      </c>
      <c r="AL6823">
        <v>90.312004911394396</v>
      </c>
      <c r="AM6823">
        <v>88.214601912672805</v>
      </c>
      <c r="AN6823">
        <v>0.99999998657994504</v>
      </c>
    </row>
    <row r="6824" spans="1:40" x14ac:dyDescent="0.25">
      <c r="A6824" t="str">
        <f>"20190312161448952"</f>
        <v>20190312161448952</v>
      </c>
      <c r="B6824" t="str">
        <f>"1552378488942957"</f>
        <v>1552378488942957</v>
      </c>
      <c r="C6824" t="s">
        <v>40</v>
      </c>
      <c r="D6824">
        <v>5.0147649999999997</v>
      </c>
      <c r="E6824">
        <v>0.44808920000000002</v>
      </c>
      <c r="F6824" t="s">
        <v>110</v>
      </c>
      <c r="G6824">
        <v>-229.23750000000001</v>
      </c>
      <c r="H6824">
        <v>0.77390740000000002</v>
      </c>
      <c r="I6824">
        <v>391.87</v>
      </c>
      <c r="J6824">
        <v>-186.96530000000001</v>
      </c>
      <c r="K6824">
        <v>1.1163670000000001</v>
      </c>
      <c r="L6824">
        <v>-41.833280000000002</v>
      </c>
      <c r="M6824">
        <v>2.9415500000000001E-2</v>
      </c>
      <c r="N6824">
        <v>0</v>
      </c>
      <c r="O6824">
        <v>0.99945709999999999</v>
      </c>
      <c r="P6824">
        <v>6.1382150000000003E-2</v>
      </c>
      <c r="Q6824">
        <v>-2.0524939999999998E-2</v>
      </c>
      <c r="R6824">
        <v>0.99790330000000005</v>
      </c>
      <c r="S6824">
        <v>-0.29498289999999999</v>
      </c>
      <c r="T6824">
        <v>-2.3920539999999998E-3</v>
      </c>
      <c r="U6824">
        <v>3.028381</v>
      </c>
      <c r="V6824">
        <v>3.2080110000000002E-2</v>
      </c>
      <c r="W6824">
        <v>-5.2089930000000003E-3</v>
      </c>
      <c r="X6824">
        <v>0.99947169999999996</v>
      </c>
      <c r="Y6824">
        <v>-0.12618550000000001</v>
      </c>
      <c r="Z6824">
        <v>-7.8435240000000002E-4</v>
      </c>
      <c r="AA6824">
        <v>0.99200639999999995</v>
      </c>
      <c r="AB6824">
        <v>26</v>
      </c>
      <c r="AC6824">
        <v>-42.272199999999998</v>
      </c>
      <c r="AD6824">
        <v>-0.34245959999999998</v>
      </c>
      <c r="AE6824">
        <v>433.70328000000001</v>
      </c>
      <c r="AF6824">
        <v>-55.012873457400701</v>
      </c>
      <c r="AG6824">
        <v>-0.34245959999999998</v>
      </c>
      <c r="AH6824">
        <v>432.27170063817499</v>
      </c>
      <c r="AI6824">
        <v>90.045028376093995</v>
      </c>
      <c r="AJ6824">
        <v>97.252734861429701</v>
      </c>
      <c r="AK6824">
        <v>435.75836962385199</v>
      </c>
      <c r="AL6824">
        <v>90.298454672149006</v>
      </c>
      <c r="AM6824">
        <v>88.161604677908898</v>
      </c>
      <c r="AN6824">
        <v>0.99999997308328703</v>
      </c>
    </row>
    <row r="6825" spans="1:40" x14ac:dyDescent="0.25">
      <c r="A6825" t="str">
        <f>"20190312161448976"</f>
        <v>20190312161448976</v>
      </c>
      <c r="B6825" t="str">
        <f>"1552378488963452"</f>
        <v>1552378488963452</v>
      </c>
      <c r="C6825" t="s">
        <v>40</v>
      </c>
      <c r="D6825">
        <v>4.9116400000000002</v>
      </c>
      <c r="E6825">
        <v>0.44926460000000001</v>
      </c>
      <c r="F6825" t="s">
        <v>42</v>
      </c>
      <c r="G6825">
        <v>-218.68610000000001</v>
      </c>
      <c r="H6825">
        <v>2.9843069999999999E-2</v>
      </c>
      <c r="I6825">
        <v>379.61649999999997</v>
      </c>
      <c r="J6825">
        <v>-186.96700000000001</v>
      </c>
      <c r="K6825">
        <v>1.1160829999999999</v>
      </c>
      <c r="L6825">
        <v>-41.568480000000001</v>
      </c>
      <c r="M6825">
        <v>2.1088719999999998E-2</v>
      </c>
      <c r="N6825">
        <v>0</v>
      </c>
      <c r="O6825">
        <v>0.99966820000000001</v>
      </c>
      <c r="P6825">
        <v>5.341709E-2</v>
      </c>
      <c r="Q6825">
        <v>-1.9994919999999999E-2</v>
      </c>
      <c r="R6825">
        <v>0.99837209999999998</v>
      </c>
      <c r="S6825">
        <v>-0.22731019999999999</v>
      </c>
      <c r="T6825">
        <v>-7.7860359999999997E-3</v>
      </c>
      <c r="U6825">
        <v>3.020111</v>
      </c>
      <c r="V6825">
        <v>3.2419610000000001E-2</v>
      </c>
      <c r="W6825">
        <v>-4.7553150000000004E-3</v>
      </c>
      <c r="X6825">
        <v>0.99946299999999999</v>
      </c>
      <c r="Y6825">
        <v>-9.6067819999999998E-2</v>
      </c>
      <c r="Z6825">
        <v>-2.5676010000000001E-3</v>
      </c>
      <c r="AA6825">
        <v>0.99537149999999996</v>
      </c>
      <c r="AB6825">
        <v>26</v>
      </c>
      <c r="AC6825">
        <v>-31.719100000000001</v>
      </c>
      <c r="AD6825">
        <v>-1.0862399300000001</v>
      </c>
      <c r="AE6825">
        <v>421.18498</v>
      </c>
      <c r="AF6825">
        <v>-40.594999695701397</v>
      </c>
      <c r="AG6825">
        <v>-1.0862399300000001</v>
      </c>
      <c r="AH6825">
        <v>420.41952246673299</v>
      </c>
      <c r="AI6825">
        <v>90.147349738531602</v>
      </c>
      <c r="AJ6825">
        <v>95.515285598520904</v>
      </c>
      <c r="AK6825">
        <v>422.37626447118799</v>
      </c>
      <c r="AL6825">
        <v>90.272460515816306</v>
      </c>
      <c r="AM6825">
        <v>88.142146560591996</v>
      </c>
      <c r="AN6825">
        <v>0.99999996625114995</v>
      </c>
    </row>
    <row r="6826" spans="1:40" x14ac:dyDescent="0.25">
      <c r="A6826" t="str">
        <f>"20190312161448999"</f>
        <v>20190312161448999</v>
      </c>
      <c r="B6826" t="str">
        <f>"1552378488993708"</f>
        <v>1552378488993708</v>
      </c>
      <c r="C6826" t="s">
        <v>40</v>
      </c>
      <c r="D6826">
        <v>4.9083230000000002</v>
      </c>
      <c r="E6826">
        <v>0.45193729999999999</v>
      </c>
      <c r="F6826" t="s">
        <v>110</v>
      </c>
      <c r="G6826">
        <v>-221.68799999999999</v>
      </c>
      <c r="H6826">
        <v>1.2391559999999999</v>
      </c>
      <c r="I6826">
        <v>391.87</v>
      </c>
      <c r="J6826">
        <v>-186.97059999999999</v>
      </c>
      <c r="K6826">
        <v>1.1158090000000001</v>
      </c>
      <c r="L6826">
        <v>-41.295070000000003</v>
      </c>
      <c r="M6826">
        <v>1.289625E-2</v>
      </c>
      <c r="N6826">
        <v>0</v>
      </c>
      <c r="O6826">
        <v>0.99980840000000004</v>
      </c>
      <c r="P6826">
        <v>4.5620349999999997E-2</v>
      </c>
      <c r="Q6826">
        <v>-2.0592050000000001E-2</v>
      </c>
      <c r="R6826">
        <v>0.99874660000000004</v>
      </c>
      <c r="S6826">
        <v>-0.24174499999999999</v>
      </c>
      <c r="T6826">
        <v>8.5687640000000004E-4</v>
      </c>
      <c r="U6826">
        <v>3.0178219999999998</v>
      </c>
      <c r="V6826">
        <v>3.2811729999999997E-2</v>
      </c>
      <c r="W6826">
        <v>-5.426724E-3</v>
      </c>
      <c r="X6826">
        <v>0.99944679999999997</v>
      </c>
      <c r="Y6826">
        <v>-9.2699829999999997E-2</v>
      </c>
      <c r="Z6826">
        <v>2.8283889999999997E-4</v>
      </c>
      <c r="AA6826">
        <v>0.99569399999999997</v>
      </c>
      <c r="AB6826">
        <v>26</v>
      </c>
      <c r="AC6826">
        <v>-34.717399999999998</v>
      </c>
      <c r="AD6826">
        <v>0.123346999999999</v>
      </c>
      <c r="AE6826">
        <v>433.16507000000001</v>
      </c>
      <c r="AF6826">
        <v>-40.3013198414831</v>
      </c>
      <c r="AG6826">
        <v>0.123346999999999</v>
      </c>
      <c r="AH6826">
        <v>432.68123245749598</v>
      </c>
      <c r="AI6826">
        <v>89.983736748289999</v>
      </c>
      <c r="AJ6826">
        <v>95.321359624061998</v>
      </c>
      <c r="AK6826">
        <v>434.55409388980098</v>
      </c>
      <c r="AL6826">
        <v>90.310929913351103</v>
      </c>
      <c r="AM6826">
        <v>88.119661125549499</v>
      </c>
      <c r="AN6826">
        <v>0.99999998249460198</v>
      </c>
    </row>
    <row r="6827" spans="1:40" x14ac:dyDescent="0.25">
      <c r="A6827" t="str">
        <f>"20190312161449021"</f>
        <v>20190312161449021</v>
      </c>
      <c r="B6827" t="str">
        <f>"1552378489013228"</f>
        <v>1552378489013228</v>
      </c>
      <c r="C6827" t="s">
        <v>40</v>
      </c>
      <c r="D6827">
        <v>4.8913760000000002</v>
      </c>
      <c r="E6827">
        <v>0.45349529999999899</v>
      </c>
      <c r="F6827" t="s">
        <v>110</v>
      </c>
      <c r="G6827">
        <v>-221.96539999999999</v>
      </c>
      <c r="H6827">
        <v>3.0921340000000002</v>
      </c>
      <c r="I6827">
        <v>391.87</v>
      </c>
      <c r="J6827">
        <v>-186.97540000000001</v>
      </c>
      <c r="K6827">
        <v>1.115551</v>
      </c>
      <c r="L6827">
        <v>-41.043149999999997</v>
      </c>
      <c r="M6827">
        <v>5.7404980000000001E-3</v>
      </c>
      <c r="N6827">
        <v>0</v>
      </c>
      <c r="O6827">
        <v>0.99987579999999998</v>
      </c>
      <c r="P6827">
        <v>3.945626E-2</v>
      </c>
      <c r="Q6827">
        <v>-2.033304E-2</v>
      </c>
      <c r="R6827">
        <v>0.99901439999999997</v>
      </c>
      <c r="S6827">
        <v>-0.24359130000000001</v>
      </c>
      <c r="T6827">
        <v>1.375675E-2</v>
      </c>
      <c r="U6827">
        <v>3.0151669999999999</v>
      </c>
      <c r="V6827">
        <v>3.3790550000000003E-2</v>
      </c>
      <c r="W6827">
        <v>-5.2288660000000004E-3</v>
      </c>
      <c r="X6827">
        <v>0.99941530000000001</v>
      </c>
      <c r="Y6827">
        <v>-8.6246600000000007E-2</v>
      </c>
      <c r="Z6827">
        <v>4.5464499999999996E-3</v>
      </c>
      <c r="AA6827">
        <v>0.99626340000000002</v>
      </c>
      <c r="AB6827">
        <v>26</v>
      </c>
      <c r="AC6827">
        <v>-34.989999999999903</v>
      </c>
      <c r="AD6827">
        <v>1.976583</v>
      </c>
      <c r="AE6827">
        <v>432.91314999999997</v>
      </c>
      <c r="AF6827">
        <v>-37.4740520313971</v>
      </c>
      <c r="AG6827">
        <v>1.976583</v>
      </c>
      <c r="AH6827">
        <v>432.69617221475102</v>
      </c>
      <c r="AI6827">
        <v>89.739247198663705</v>
      </c>
      <c r="AJ6827">
        <v>94.949803137019401</v>
      </c>
      <c r="AK6827">
        <v>434.32037588087599</v>
      </c>
      <c r="AL6827">
        <v>90.299593306038304</v>
      </c>
      <c r="AM6827">
        <v>88.063549075278104</v>
      </c>
      <c r="AN6827">
        <v>1.0000000420915101</v>
      </c>
    </row>
    <row r="6828" spans="1:40" x14ac:dyDescent="0.25">
      <c r="A6828" t="str">
        <f>"20190312161449043"</f>
        <v>20190312161449043</v>
      </c>
      <c r="B6828" t="str">
        <f>"1552378489033725"</f>
        <v>1552378489033725</v>
      </c>
      <c r="C6828" t="s">
        <v>40</v>
      </c>
      <c r="D6828">
        <v>4.8200599999999998</v>
      </c>
      <c r="E6828">
        <v>0.4548584</v>
      </c>
      <c r="F6828" t="s">
        <v>110</v>
      </c>
      <c r="G6828">
        <v>-222.84549999999999</v>
      </c>
      <c r="H6828">
        <v>3.6014900000000001</v>
      </c>
      <c r="I6828">
        <v>391.87</v>
      </c>
      <c r="J6828">
        <v>-186.98179999999999</v>
      </c>
      <c r="K6828">
        <v>1.115262</v>
      </c>
      <c r="L6828">
        <v>-40.788060000000002</v>
      </c>
      <c r="M6828">
        <v>-1.09578E-3</v>
      </c>
      <c r="N6828">
        <v>0</v>
      </c>
      <c r="O6828">
        <v>0.99989249999999996</v>
      </c>
      <c r="P6828">
        <v>3.3743219999999997E-2</v>
      </c>
      <c r="Q6828">
        <v>-2.021249E-2</v>
      </c>
      <c r="R6828">
        <v>0.99922619999999895</v>
      </c>
      <c r="S6828">
        <v>-0.24966430000000001</v>
      </c>
      <c r="T6828">
        <v>1.7302749999999999E-2</v>
      </c>
      <c r="U6828">
        <v>3.0131839999999999</v>
      </c>
      <c r="V6828">
        <v>3.4904039999999997E-2</v>
      </c>
      <c r="W6828">
        <v>-5.1739739999999996E-3</v>
      </c>
      <c r="X6828">
        <v>0.99937730000000002</v>
      </c>
      <c r="Y6828">
        <v>-8.1480789999999997E-2</v>
      </c>
      <c r="Z6828">
        <v>5.7228969999999898E-3</v>
      </c>
      <c r="AA6828">
        <v>0.9966585</v>
      </c>
      <c r="AB6828">
        <v>26</v>
      </c>
      <c r="AC6828">
        <v>-35.863699999999902</v>
      </c>
      <c r="AD6828">
        <v>2.4862280000000001</v>
      </c>
      <c r="AE6828">
        <v>432.65805999999998</v>
      </c>
      <c r="AF6828">
        <v>-35.388369138202499</v>
      </c>
      <c r="AG6828">
        <v>2.4862280000000001</v>
      </c>
      <c r="AH6828">
        <v>432.682912927232</v>
      </c>
      <c r="AI6828">
        <v>89.671873456653003</v>
      </c>
      <c r="AJ6828">
        <v>94.675713092910399</v>
      </c>
      <c r="AK6828">
        <v>434.13479604740701</v>
      </c>
      <c r="AL6828">
        <v>90.296448188796504</v>
      </c>
      <c r="AM6828">
        <v>87.999712794421498</v>
      </c>
      <c r="AN6828">
        <v>1.0000000248852801</v>
      </c>
    </row>
    <row r="6829" spans="1:40" x14ac:dyDescent="0.25">
      <c r="A6829" t="str">
        <f>"20190312161449067"</f>
        <v>20190312161449067</v>
      </c>
      <c r="B6829" t="str">
        <f>"1552378489063004"</f>
        <v>1552378489063004</v>
      </c>
      <c r="C6829" t="s">
        <v>40</v>
      </c>
      <c r="D6829">
        <v>4.7983209999999996</v>
      </c>
      <c r="E6829">
        <v>0.4668929</v>
      </c>
      <c r="F6829" t="s">
        <v>110</v>
      </c>
      <c r="G6829">
        <v>-223.7715</v>
      </c>
      <c r="H6829">
        <v>3.5300739999999999</v>
      </c>
      <c r="I6829">
        <v>391.87</v>
      </c>
      <c r="J6829">
        <v>-186.99019999999999</v>
      </c>
      <c r="K6829">
        <v>1.1149039999999999</v>
      </c>
      <c r="L6829">
        <v>-40.510590000000001</v>
      </c>
      <c r="M6829">
        <v>-8.0665960000000005E-3</v>
      </c>
      <c r="N6829">
        <v>0</v>
      </c>
      <c r="O6829">
        <v>0.99986140000000001</v>
      </c>
      <c r="P6829">
        <v>2.771231E-2</v>
      </c>
      <c r="Q6829">
        <v>-2.0464679999999999E-2</v>
      </c>
      <c r="R6829">
        <v>0.99940649999999998</v>
      </c>
      <c r="S6829">
        <v>-0.2560577</v>
      </c>
      <c r="T6829">
        <v>1.6807200000000001E-2</v>
      </c>
      <c r="U6829">
        <v>3.0113219999999998</v>
      </c>
      <c r="V6829">
        <v>3.5838920000000003E-2</v>
      </c>
      <c r="W6829">
        <v>-5.5061609999999999E-3</v>
      </c>
      <c r="X6829">
        <v>0.99934239999999996</v>
      </c>
      <c r="Y6829">
        <v>-7.6683409999999994E-2</v>
      </c>
      <c r="Z6829">
        <v>5.5627239999999998E-3</v>
      </c>
      <c r="AA6829">
        <v>0.99704000000000004</v>
      </c>
      <c r="AB6829">
        <v>26</v>
      </c>
      <c r="AC6829">
        <v>-36.781300000000002</v>
      </c>
      <c r="AD6829">
        <v>2.4151699999999998</v>
      </c>
      <c r="AE6829">
        <v>432.38058999999998</v>
      </c>
      <c r="AF6829">
        <v>-33.290862314016103</v>
      </c>
      <c r="AG6829">
        <v>2.4151699999999998</v>
      </c>
      <c r="AH6829">
        <v>432.64984869361501</v>
      </c>
      <c r="AI6829">
        <v>89.681105218004006</v>
      </c>
      <c r="AJ6829">
        <v>94.400035648474102</v>
      </c>
      <c r="AK6829">
        <v>433.93548614321401</v>
      </c>
      <c r="AL6829">
        <v>90.315481384152505</v>
      </c>
      <c r="AM6829">
        <v>87.946110138792207</v>
      </c>
      <c r="AN6829">
        <v>0.99999998921674205</v>
      </c>
    </row>
    <row r="6830" spans="1:40" x14ac:dyDescent="0.25">
      <c r="A6830" t="str">
        <f>"20190312161449091"</f>
        <v>20190312161449091</v>
      </c>
      <c r="B6830" t="str">
        <f>"1552378489083500"</f>
        <v>1552378489083500</v>
      </c>
      <c r="C6830" t="s">
        <v>40</v>
      </c>
      <c r="D6830">
        <v>4.8038040000000004</v>
      </c>
      <c r="E6830">
        <v>0.4679584</v>
      </c>
      <c r="F6830" t="s">
        <v>110</v>
      </c>
      <c r="G6830">
        <v>-212.43260000000001</v>
      </c>
      <c r="H6830">
        <v>6.7021879999999996</v>
      </c>
      <c r="I6830">
        <v>390.11860000000001</v>
      </c>
      <c r="J6830">
        <v>-186.99969999999999</v>
      </c>
      <c r="K6830">
        <v>1.114533</v>
      </c>
      <c r="L6830">
        <v>-40.241729999999997</v>
      </c>
      <c r="M6830">
        <v>-1.4282980000000001E-2</v>
      </c>
      <c r="N6830">
        <v>0</v>
      </c>
      <c r="O6830">
        <v>0.99979280000000004</v>
      </c>
      <c r="P6830">
        <v>2.2540000000000001E-2</v>
      </c>
      <c r="Q6830">
        <v>-2.0415900000000001E-2</v>
      </c>
      <c r="R6830">
        <v>0.99953749999999997</v>
      </c>
      <c r="S6830">
        <v>-0.1776886</v>
      </c>
      <c r="T6830">
        <v>3.9021489999999999E-2</v>
      </c>
      <c r="U6830">
        <v>3.0075069999999999</v>
      </c>
      <c r="V6830">
        <v>3.6875459999999999E-2</v>
      </c>
      <c r="W6830">
        <v>-5.5368489999999999E-3</v>
      </c>
      <c r="X6830">
        <v>0.99930450000000004</v>
      </c>
      <c r="Y6830">
        <v>-4.4708249999999998E-2</v>
      </c>
      <c r="Z6830">
        <v>1.2953839999999999E-2</v>
      </c>
      <c r="AA6830">
        <v>0.99891609999999997</v>
      </c>
      <c r="AB6830">
        <v>26</v>
      </c>
      <c r="AC6830">
        <v>-25.4329</v>
      </c>
      <c r="AD6830">
        <v>5.5876549999999998</v>
      </c>
      <c r="AE6830">
        <v>430.36032999999998</v>
      </c>
      <c r="AF6830">
        <v>-19.279591771988699</v>
      </c>
      <c r="AG6830">
        <v>5.5876549999999998</v>
      </c>
      <c r="AH6830">
        <v>430.60737956483598</v>
      </c>
      <c r="AI6830">
        <v>89.257303188074602</v>
      </c>
      <c r="AJ6830">
        <v>92.563592845231099</v>
      </c>
      <c r="AK6830">
        <v>431.07498174098299</v>
      </c>
      <c r="AL6830">
        <v>90.317239709958002</v>
      </c>
      <c r="AM6830">
        <v>87.886680176431597</v>
      </c>
      <c r="AN6830">
        <v>0.99999996998365404</v>
      </c>
    </row>
    <row r="6831" spans="1:40" x14ac:dyDescent="0.25">
      <c r="A6831" t="str">
        <f>"20190312161449110"</f>
        <v>20190312161449110</v>
      </c>
      <c r="B6831" t="str">
        <f>"1552378489103020"</f>
        <v>1552378489103020</v>
      </c>
      <c r="C6831" t="s">
        <v>40</v>
      </c>
      <c r="D6831">
        <v>4.7799440000000004</v>
      </c>
      <c r="E6831">
        <v>0.46902640000000001</v>
      </c>
      <c r="F6831" t="s">
        <v>110</v>
      </c>
      <c r="G6831">
        <v>-213.47649999999999</v>
      </c>
      <c r="H6831">
        <v>6.1185349999999996</v>
      </c>
      <c r="I6831">
        <v>390.11860000000001</v>
      </c>
      <c r="J6831">
        <v>-187.0085</v>
      </c>
      <c r="K6831">
        <v>1.1142080000000001</v>
      </c>
      <c r="L6831">
        <v>-40.013309999999997</v>
      </c>
      <c r="M6831">
        <v>-1.916255E-2</v>
      </c>
      <c r="N6831">
        <v>0</v>
      </c>
      <c r="O6831">
        <v>0.99971189999999999</v>
      </c>
      <c r="P6831">
        <v>1.8971229999999999E-2</v>
      </c>
      <c r="Q6831">
        <v>-2.0551199999999999E-2</v>
      </c>
      <c r="R6831">
        <v>0.99960879999999996</v>
      </c>
      <c r="S6831">
        <v>-0.1849518</v>
      </c>
      <c r="T6831">
        <v>3.4955140000000003E-2</v>
      </c>
      <c r="U6831">
        <v>3.006256</v>
      </c>
      <c r="V6831">
        <v>3.8181970000000003E-2</v>
      </c>
      <c r="W6831">
        <v>-5.7365150000000002E-3</v>
      </c>
      <c r="X6831">
        <v>0.99925430000000004</v>
      </c>
      <c r="Y6831">
        <v>-4.2262399999999999E-2</v>
      </c>
      <c r="Z6831">
        <v>1.1607320000000001E-2</v>
      </c>
      <c r="AA6831">
        <v>0.99903909999999996</v>
      </c>
      <c r="AB6831">
        <v>26</v>
      </c>
      <c r="AC6831">
        <v>-26.4679999999999</v>
      </c>
      <c r="AD6831">
        <v>5.004327</v>
      </c>
      <c r="AE6831">
        <v>430.13190999999898</v>
      </c>
      <c r="AF6831">
        <v>-18.217397033098901</v>
      </c>
      <c r="AG6831">
        <v>5.004327</v>
      </c>
      <c r="AH6831">
        <v>430.50210803372602</v>
      </c>
      <c r="AI6831">
        <v>89.334596612272094</v>
      </c>
      <c r="AJ6831">
        <v>92.423118450763894</v>
      </c>
      <c r="AK6831">
        <v>430.91644418015198</v>
      </c>
      <c r="AL6831">
        <v>90.328679913386395</v>
      </c>
      <c r="AM6831">
        <v>87.811766260693503</v>
      </c>
      <c r="AN6831">
        <v>0.99999996325295704</v>
      </c>
    </row>
    <row r="6832" spans="1:40" x14ac:dyDescent="0.25">
      <c r="A6832" t="str">
        <f>"20190312161449131"</f>
        <v>20190312161449131</v>
      </c>
      <c r="B6832" t="str">
        <f>"1552378489123516"</f>
        <v>1552378489123516</v>
      </c>
      <c r="C6832" t="s">
        <v>40</v>
      </c>
      <c r="D6832">
        <v>4.7782660000000003</v>
      </c>
      <c r="E6832">
        <v>0.46998020000000001</v>
      </c>
      <c r="F6832" t="s">
        <v>110</v>
      </c>
      <c r="G6832">
        <v>-213.9229</v>
      </c>
      <c r="H6832">
        <v>5.3125640000000001</v>
      </c>
      <c r="I6832">
        <v>391.87</v>
      </c>
      <c r="J6832">
        <v>-187.01840000000001</v>
      </c>
      <c r="K6832">
        <v>1.1139049999999999</v>
      </c>
      <c r="L6832">
        <v>-39.779110000000003</v>
      </c>
      <c r="M6832">
        <v>-2.3828990000000001E-2</v>
      </c>
      <c r="N6832">
        <v>0</v>
      </c>
      <c r="O6832">
        <v>0.99961219999999995</v>
      </c>
      <c r="P6832">
        <v>1.542167E-2</v>
      </c>
      <c r="Q6832">
        <v>-2.0589429999999999E-2</v>
      </c>
      <c r="R6832">
        <v>0.99966909999999998</v>
      </c>
      <c r="S6832">
        <v>-0.18728639999999999</v>
      </c>
      <c r="T6832">
        <v>2.9214739999999999E-2</v>
      </c>
      <c r="U6832">
        <v>3.0053100000000001</v>
      </c>
      <c r="V6832">
        <v>3.9294500000000003E-2</v>
      </c>
      <c r="W6832">
        <v>-5.8392019999999999E-3</v>
      </c>
      <c r="X6832">
        <v>0.99921059999999995</v>
      </c>
      <c r="Y6832">
        <v>-3.8391910000000001E-2</v>
      </c>
      <c r="Z6832">
        <v>9.7034459999999993E-3</v>
      </c>
      <c r="AA6832">
        <v>0.99921570000000004</v>
      </c>
      <c r="AB6832">
        <v>26</v>
      </c>
      <c r="AC6832">
        <v>-26.904499999999899</v>
      </c>
      <c r="AD6832">
        <v>4.1986589999999904</v>
      </c>
      <c r="AE6832">
        <v>431.64910999999898</v>
      </c>
      <c r="AF6832">
        <v>-16.608463232513799</v>
      </c>
      <c r="AG6832">
        <v>4.1986589999999904</v>
      </c>
      <c r="AH6832">
        <v>432.12696368328102</v>
      </c>
      <c r="AI6832">
        <v>89.443727367906206</v>
      </c>
      <c r="AJ6832">
        <v>92.201035298158601</v>
      </c>
      <c r="AK6832">
        <v>432.46639468341999</v>
      </c>
      <c r="AL6832">
        <v>90.334563535391595</v>
      </c>
      <c r="AM6832">
        <v>87.7479727660196</v>
      </c>
      <c r="AN6832">
        <v>0.99999998858130301</v>
      </c>
    </row>
    <row r="6833" spans="1:40" x14ac:dyDescent="0.25">
      <c r="A6833" t="str">
        <f>"20190312161449154"</f>
        <v>20190312161449154</v>
      </c>
      <c r="B6833" t="str">
        <f>"1552378489143037"</f>
        <v>1552378489143037</v>
      </c>
      <c r="C6833" t="s">
        <v>40</v>
      </c>
      <c r="D6833">
        <v>4.736224</v>
      </c>
      <c r="E6833">
        <v>0.47129379999999998</v>
      </c>
      <c r="F6833" t="s">
        <v>110</v>
      </c>
      <c r="G6833">
        <v>-214.23390000000001</v>
      </c>
      <c r="H6833">
        <v>6.2013870000000004</v>
      </c>
      <c r="I6833">
        <v>390.11860000000001</v>
      </c>
      <c r="J6833">
        <v>-187.03100000000001</v>
      </c>
      <c r="K6833">
        <v>1.1135900000000001</v>
      </c>
      <c r="L6833">
        <v>-39.502659999999999</v>
      </c>
      <c r="M6833">
        <v>-2.8888799999999999E-2</v>
      </c>
      <c r="N6833">
        <v>0</v>
      </c>
      <c r="O6833">
        <v>0.99947949999999997</v>
      </c>
      <c r="P6833">
        <v>1.1832169999999999E-2</v>
      </c>
      <c r="Q6833">
        <v>-2.0753199999999999E-2</v>
      </c>
      <c r="R6833">
        <v>0.99971460000000001</v>
      </c>
      <c r="S6833">
        <v>-0.1902161</v>
      </c>
      <c r="T6833">
        <v>3.5557749999999999E-2</v>
      </c>
      <c r="U6833">
        <v>3.0046689999999998</v>
      </c>
      <c r="V6833">
        <v>4.076159E-2</v>
      </c>
      <c r="W6833">
        <v>-6.0719110000000001E-3</v>
      </c>
      <c r="X6833">
        <v>0.99915050000000005</v>
      </c>
      <c r="Y6833">
        <v>-3.431551E-2</v>
      </c>
      <c r="Z6833">
        <v>1.1810620000000001E-2</v>
      </c>
      <c r="AA6833">
        <v>0.99934120000000004</v>
      </c>
      <c r="AB6833">
        <v>26</v>
      </c>
      <c r="AC6833">
        <v>-27.2029</v>
      </c>
      <c r="AD6833">
        <v>5.0877970000000001</v>
      </c>
      <c r="AE6833">
        <v>429.62125999999898</v>
      </c>
      <c r="AF6833">
        <v>-14.7769576594642</v>
      </c>
      <c r="AG6833">
        <v>5.0877970000000001</v>
      </c>
      <c r="AH6833">
        <v>430.16776474256898</v>
      </c>
      <c r="AI6833">
        <v>89.322766818261996</v>
      </c>
      <c r="AJ6833">
        <v>91.967428954229305</v>
      </c>
      <c r="AK6833">
        <v>430.45156519590103</v>
      </c>
      <c r="AL6833">
        <v>90.347896994750002</v>
      </c>
      <c r="AM6833">
        <v>87.663842734379401</v>
      </c>
      <c r="AN6833">
        <v>1.00000004848638</v>
      </c>
    </row>
    <row r="6834" spans="1:40" x14ac:dyDescent="0.25">
      <c r="A6834" t="str">
        <f>"20190312161449178"</f>
        <v>20190312161449178</v>
      </c>
      <c r="B6834" t="str">
        <f>"1552378489173293"</f>
        <v>1552378489173293</v>
      </c>
      <c r="C6834" t="s">
        <v>40</v>
      </c>
      <c r="D6834">
        <v>4.6199529999999998</v>
      </c>
      <c r="E6834">
        <v>0.47233910000000001</v>
      </c>
      <c r="F6834" t="s">
        <v>110</v>
      </c>
      <c r="G6834">
        <v>-214.4265</v>
      </c>
      <c r="H6834">
        <v>5.8572360000000003</v>
      </c>
      <c r="I6834">
        <v>391.87</v>
      </c>
      <c r="J6834">
        <v>-187.0437</v>
      </c>
      <c r="K6834">
        <v>1.1133109999999999</v>
      </c>
      <c r="L6834">
        <v>-39.24109</v>
      </c>
      <c r="M6834">
        <v>-3.3252080000000003E-2</v>
      </c>
      <c r="N6834">
        <v>0</v>
      </c>
      <c r="O6834">
        <v>0.99934440000000002</v>
      </c>
      <c r="P6834">
        <v>9.0984900000000007E-3</v>
      </c>
      <c r="Q6834">
        <v>-2.1301339999999998E-2</v>
      </c>
      <c r="R6834">
        <v>0.9997317</v>
      </c>
      <c r="S6834">
        <v>-0.1907654</v>
      </c>
      <c r="T6834">
        <v>3.3031820000000003E-2</v>
      </c>
      <c r="U6834">
        <v>3.0038149999999999</v>
      </c>
      <c r="V6834">
        <v>4.2391180000000001E-2</v>
      </c>
      <c r="W6834">
        <v>-6.6806610000000001E-3</v>
      </c>
      <c r="X6834">
        <v>0.99907880000000004</v>
      </c>
      <c r="Y6834">
        <v>-3.015253E-2</v>
      </c>
      <c r="Z6834">
        <v>1.097329E-2</v>
      </c>
      <c r="AA6834">
        <v>0.99948510000000002</v>
      </c>
      <c r="AB6834">
        <v>26</v>
      </c>
      <c r="AC6834">
        <v>-27.3828</v>
      </c>
      <c r="AD6834">
        <v>4.7439249999999999</v>
      </c>
      <c r="AE6834">
        <v>431.11108999999999</v>
      </c>
      <c r="AF6834">
        <v>-13.029272229564899</v>
      </c>
      <c r="AG6834">
        <v>4.7439249999999999</v>
      </c>
      <c r="AH6834">
        <v>431.73119671173401</v>
      </c>
      <c r="AI6834">
        <v>89.370737473421897</v>
      </c>
      <c r="AJ6834">
        <v>91.728612153016599</v>
      </c>
      <c r="AK6834">
        <v>431.95380884231599</v>
      </c>
      <c r="AL6834">
        <v>90.3827765093869</v>
      </c>
      <c r="AM6834">
        <v>87.5703821275998</v>
      </c>
      <c r="AN6834">
        <v>1.0000000459913101</v>
      </c>
    </row>
    <row r="6835" spans="1:40" x14ac:dyDescent="0.25">
      <c r="A6835" t="str">
        <f>"20190312161449200"</f>
        <v>20190312161449200</v>
      </c>
      <c r="B6835" t="str">
        <f>"1552378489193789"</f>
        <v>1552378489193789</v>
      </c>
      <c r="C6835" t="s">
        <v>40</v>
      </c>
      <c r="D6835">
        <v>4.6147689999999999</v>
      </c>
      <c r="E6835">
        <v>0.47997010000000001</v>
      </c>
      <c r="F6835" t="s">
        <v>110</v>
      </c>
      <c r="G6835">
        <v>-214.39099999999999</v>
      </c>
      <c r="H6835">
        <v>5.6588310000000002</v>
      </c>
      <c r="I6835">
        <v>391.87</v>
      </c>
      <c r="J6835">
        <v>-187.05680000000001</v>
      </c>
      <c r="K6835">
        <v>1.1130519999999999</v>
      </c>
      <c r="L6835">
        <v>-38.986420000000003</v>
      </c>
      <c r="M6835">
        <v>-3.7109450000000002E-2</v>
      </c>
      <c r="N6835">
        <v>0</v>
      </c>
      <c r="O6835">
        <v>0.99920920000000002</v>
      </c>
      <c r="P6835">
        <v>7.1087199999999998E-3</v>
      </c>
      <c r="Q6835">
        <v>-2.138785E-2</v>
      </c>
      <c r="R6835">
        <v>0.99974600000000002</v>
      </c>
      <c r="S6835">
        <v>-0.19050600000000001</v>
      </c>
      <c r="T6835">
        <v>3.1664970000000001E-2</v>
      </c>
      <c r="U6835">
        <v>3.0032040000000002</v>
      </c>
      <c r="V6835">
        <v>4.4255320000000001E-2</v>
      </c>
      <c r="W6835">
        <v>-6.8244610000000004E-3</v>
      </c>
      <c r="X6835">
        <v>0.99899700000000002</v>
      </c>
      <c r="Y6835">
        <v>-2.6221100000000001E-2</v>
      </c>
      <c r="Z6835">
        <v>1.0519870000000001E-2</v>
      </c>
      <c r="AA6835">
        <v>0.99960079999999996</v>
      </c>
      <c r="AB6835">
        <v>26</v>
      </c>
      <c r="AC6835">
        <v>-27.3341999999999</v>
      </c>
      <c r="AD6835">
        <v>4.5457789999999996</v>
      </c>
      <c r="AE6835">
        <v>430.85642000000001</v>
      </c>
      <c r="AF6835">
        <v>-11.3236383321945</v>
      </c>
      <c r="AG6835">
        <v>4.5457789999999996</v>
      </c>
      <c r="AH6835">
        <v>431.526206641388</v>
      </c>
      <c r="AI6835">
        <v>89.396665375860096</v>
      </c>
      <c r="AJ6835">
        <v>91.503148173699103</v>
      </c>
      <c r="AK6835">
        <v>431.698686481788</v>
      </c>
      <c r="AL6835">
        <v>90.391015825919794</v>
      </c>
      <c r="AM6835">
        <v>87.463469558796803</v>
      </c>
      <c r="AN6835">
        <v>1.0000000563126199</v>
      </c>
    </row>
    <row r="6836" spans="1:40" x14ac:dyDescent="0.25">
      <c r="A6836" t="str">
        <f>"20190312161449222"</f>
        <v>20190312161449222</v>
      </c>
      <c r="B6836" t="str">
        <f>"1552378489213308"</f>
        <v>1552378489213308</v>
      </c>
      <c r="C6836" t="s">
        <v>40</v>
      </c>
      <c r="D6836">
        <v>4.6849449999999999</v>
      </c>
      <c r="E6836">
        <v>0.48132589999999997</v>
      </c>
      <c r="F6836" t="s">
        <v>110</v>
      </c>
      <c r="G6836">
        <v>-206.4751</v>
      </c>
      <c r="H6836">
        <v>8.0461880000000008</v>
      </c>
      <c r="I6836">
        <v>391.87</v>
      </c>
      <c r="J6836">
        <v>-187.07069999999999</v>
      </c>
      <c r="K6836">
        <v>1.112778</v>
      </c>
      <c r="L6836">
        <v>-38.728850000000001</v>
      </c>
      <c r="M6836">
        <v>-4.0628610000000003E-2</v>
      </c>
      <c r="N6836">
        <v>0</v>
      </c>
      <c r="O6836">
        <v>0.99907290000000004</v>
      </c>
      <c r="P6836">
        <v>4.9483309999999898E-3</v>
      </c>
      <c r="Q6836">
        <v>-2.0903620000000001E-2</v>
      </c>
      <c r="R6836">
        <v>0.99976929999999997</v>
      </c>
      <c r="S6836">
        <v>-0.13533020000000001</v>
      </c>
      <c r="T6836">
        <v>4.8318739999999999E-2</v>
      </c>
      <c r="U6836">
        <v>3.0027469999999998</v>
      </c>
      <c r="V6836">
        <v>4.560786E-2</v>
      </c>
      <c r="W6836">
        <v>-6.4028109999999996E-3</v>
      </c>
      <c r="X6836">
        <v>0.99893889999999996</v>
      </c>
      <c r="Y6836">
        <v>-4.3885900000000004E-3</v>
      </c>
      <c r="Z6836">
        <v>1.6061280000000001E-2</v>
      </c>
      <c r="AA6836">
        <v>0.99986140000000001</v>
      </c>
      <c r="AB6836">
        <v>26</v>
      </c>
      <c r="AC6836">
        <v>-19.404399999999999</v>
      </c>
      <c r="AD6836">
        <v>6.9334100000000003</v>
      </c>
      <c r="AE6836">
        <v>430.59885000000003</v>
      </c>
      <c r="AF6836">
        <v>-1.8914797520136499</v>
      </c>
      <c r="AG6836">
        <v>6.9334100000000003</v>
      </c>
      <c r="AH6836">
        <v>430.92019634565901</v>
      </c>
      <c r="AI6836">
        <v>89.078212084603507</v>
      </c>
      <c r="AJ6836">
        <v>90.251492298913504</v>
      </c>
      <c r="AK6836">
        <v>430.98012191800802</v>
      </c>
      <c r="AL6836">
        <v>90.366856554174106</v>
      </c>
      <c r="AM6836">
        <v>87.385901715979799</v>
      </c>
      <c r="AN6836">
        <v>0.99999999940784501</v>
      </c>
    </row>
    <row r="6837" spans="1:40" x14ac:dyDescent="0.25">
      <c r="A6837" t="str">
        <f>"20190312161449245"</f>
        <v>20190312161449245</v>
      </c>
      <c r="B6837" t="str">
        <f>"1552378489232829"</f>
        <v>1552378489232829</v>
      </c>
      <c r="C6837" t="s">
        <v>40</v>
      </c>
      <c r="D6837">
        <v>4.6894559999999998</v>
      </c>
      <c r="E6837">
        <v>0.48189650000000001</v>
      </c>
      <c r="F6837" t="s">
        <v>110</v>
      </c>
      <c r="G6837">
        <v>-205.89570000000001</v>
      </c>
      <c r="H6837">
        <v>7.9101470000000003</v>
      </c>
      <c r="I6837">
        <v>391.87</v>
      </c>
      <c r="J6837">
        <v>-187.0855</v>
      </c>
      <c r="K6837">
        <v>1.112482</v>
      </c>
      <c r="L6837">
        <v>-38.46255</v>
      </c>
      <c r="M6837">
        <v>-4.3882839999999999E-2</v>
      </c>
      <c r="N6837">
        <v>0</v>
      </c>
      <c r="O6837">
        <v>0.99893580000000004</v>
      </c>
      <c r="P6837">
        <v>3.1918070000000001E-3</v>
      </c>
      <c r="Q6837">
        <v>-2.114825E-2</v>
      </c>
      <c r="R6837">
        <v>0.99977119999999997</v>
      </c>
      <c r="S6837">
        <v>-0.13125609999999999</v>
      </c>
      <c r="T6837">
        <v>4.7394159999999998E-2</v>
      </c>
      <c r="U6837">
        <v>3.002319</v>
      </c>
      <c r="V6837">
        <v>4.7103010000000001E-2</v>
      </c>
      <c r="W6837">
        <v>-6.7121450000000001E-3</v>
      </c>
      <c r="X6837">
        <v>0.99886750000000002</v>
      </c>
      <c r="Y6837">
        <v>2.163737E-4</v>
      </c>
      <c r="Z6837">
        <v>1.575356E-2</v>
      </c>
      <c r="AA6837">
        <v>0.99987590000000004</v>
      </c>
      <c r="AB6837">
        <v>26</v>
      </c>
      <c r="AC6837">
        <v>-18.810199999999998</v>
      </c>
      <c r="AD6837">
        <v>6.7976649999999896</v>
      </c>
      <c r="AE6837">
        <v>430.33255000000003</v>
      </c>
      <c r="AF6837">
        <v>9.4018316441658797E-2</v>
      </c>
      <c r="AG6837">
        <v>6.7976649999999896</v>
      </c>
      <c r="AH6837">
        <v>430.636199579037</v>
      </c>
      <c r="AI6837">
        <v>89.095651591587099</v>
      </c>
      <c r="AJ6837">
        <v>89.987490943286403</v>
      </c>
      <c r="AK6837">
        <v>430.68985764326101</v>
      </c>
      <c r="AL6837">
        <v>90.384580462184203</v>
      </c>
      <c r="AM6837">
        <v>87.300136532326107</v>
      </c>
      <c r="AN6837">
        <v>1.0000000144989001</v>
      </c>
    </row>
    <row r="6838" spans="1:40" x14ac:dyDescent="0.25">
      <c r="A6838" t="str">
        <f>"20190312161449269"</f>
        <v>20190312161449269</v>
      </c>
      <c r="B6838" t="str">
        <f>"1552378489263086"</f>
        <v>1552378489263086</v>
      </c>
      <c r="C6838" t="s">
        <v>40</v>
      </c>
      <c r="D6838">
        <v>4.6724990000000002</v>
      </c>
      <c r="E6838">
        <v>0.48323519999999998</v>
      </c>
      <c r="F6838" t="s">
        <v>110</v>
      </c>
      <c r="G6838">
        <v>-205.90880000000001</v>
      </c>
      <c r="H6838">
        <v>7.5962459999999998</v>
      </c>
      <c r="I6838">
        <v>390.11860000000001</v>
      </c>
      <c r="J6838">
        <v>-187.1011</v>
      </c>
      <c r="K6838">
        <v>1.112185</v>
      </c>
      <c r="L6838">
        <v>-38.190060000000003</v>
      </c>
      <c r="M6838">
        <v>-4.6811999999999999E-2</v>
      </c>
      <c r="N6838">
        <v>0</v>
      </c>
      <c r="O6838">
        <v>0.99880329999999995</v>
      </c>
      <c r="P6838">
        <v>2.1888630000000001E-3</v>
      </c>
      <c r="Q6838">
        <v>-2.0934879999999999E-2</v>
      </c>
      <c r="R6838">
        <v>0.99977839999999996</v>
      </c>
      <c r="S6838">
        <v>-0.1318512</v>
      </c>
      <c r="T6838">
        <v>4.5416709999999999E-2</v>
      </c>
      <c r="U6838">
        <v>3.002075</v>
      </c>
      <c r="V6838">
        <v>4.9024039999999998E-2</v>
      </c>
      <c r="W6838">
        <v>-6.5615949999999999E-3</v>
      </c>
      <c r="X6838">
        <v>0.998776</v>
      </c>
      <c r="Y6838">
        <v>2.947009E-3</v>
      </c>
      <c r="Z6838">
        <v>1.509453E-2</v>
      </c>
      <c r="AA6838">
        <v>0.99988169999999998</v>
      </c>
      <c r="AB6838">
        <v>26</v>
      </c>
      <c r="AC6838">
        <v>-18.807700000000001</v>
      </c>
      <c r="AD6838">
        <v>6.4840609999999996</v>
      </c>
      <c r="AE6838">
        <v>428.30865999999997</v>
      </c>
      <c r="AF6838">
        <v>1.2646297745643</v>
      </c>
      <c r="AG6838">
        <v>6.4840609999999996</v>
      </c>
      <c r="AH6838">
        <v>428.62148951005003</v>
      </c>
      <c r="AI6838">
        <v>89.1333160234215</v>
      </c>
      <c r="AJ6838">
        <v>89.830951689894704</v>
      </c>
      <c r="AK6838">
        <v>428.67239659830301</v>
      </c>
      <c r="AL6838">
        <v>90.375954415231604</v>
      </c>
      <c r="AM6838">
        <v>87.189942405454104</v>
      </c>
      <c r="AN6838">
        <v>0.99999995460143098</v>
      </c>
    </row>
    <row r="6839" spans="1:40" x14ac:dyDescent="0.25">
      <c r="A6839" t="str">
        <f>"20190312161449290"</f>
        <v>20190312161449290</v>
      </c>
      <c r="B6839" t="str">
        <f>"1552378489283582"</f>
        <v>1552378489283582</v>
      </c>
      <c r="C6839" t="s">
        <v>40</v>
      </c>
      <c r="D6839">
        <v>4.6480350000000001</v>
      </c>
      <c r="E6839">
        <v>0.48389890000000002</v>
      </c>
      <c r="F6839" t="s">
        <v>110</v>
      </c>
      <c r="G6839">
        <v>-204.8091</v>
      </c>
      <c r="H6839">
        <v>7.9396209999999998</v>
      </c>
      <c r="I6839">
        <v>391.00349999999997</v>
      </c>
      <c r="J6839">
        <v>-187.11510000000001</v>
      </c>
      <c r="K6839">
        <v>1.1119410000000001</v>
      </c>
      <c r="L6839">
        <v>-37.950009999999999</v>
      </c>
      <c r="M6839">
        <v>-4.9051579999999997E-2</v>
      </c>
      <c r="N6839">
        <v>0</v>
      </c>
      <c r="O6839">
        <v>0.99869629999999998</v>
      </c>
      <c r="P6839">
        <v>6.9607849999999999E-4</v>
      </c>
      <c r="Q6839">
        <v>-2.0594290000000001E-2</v>
      </c>
      <c r="R6839">
        <v>0.99978769999999995</v>
      </c>
      <c r="S6839">
        <v>-0.1238556</v>
      </c>
      <c r="T6839">
        <v>4.7753329999999997E-2</v>
      </c>
      <c r="U6839">
        <v>3.0019230000000001</v>
      </c>
      <c r="V6839">
        <v>4.97673E-2</v>
      </c>
      <c r="W6839">
        <v>-6.2766180000000003E-3</v>
      </c>
      <c r="X6839">
        <v>0.99874110000000005</v>
      </c>
      <c r="Y6839">
        <v>7.8459250000000001E-3</v>
      </c>
      <c r="Z6839">
        <v>1.5869870000000001E-2</v>
      </c>
      <c r="AA6839">
        <v>0.99984329999999999</v>
      </c>
      <c r="AB6839">
        <v>26</v>
      </c>
      <c r="AC6839">
        <v>-17.6939999999999</v>
      </c>
      <c r="AD6839">
        <v>6.82768</v>
      </c>
      <c r="AE6839">
        <v>428.95350999999903</v>
      </c>
      <c r="AF6839">
        <v>3.36939932292601</v>
      </c>
      <c r="AG6839">
        <v>6.82768</v>
      </c>
      <c r="AH6839">
        <v>429.196504478853</v>
      </c>
      <c r="AI6839">
        <v>89.088640755322302</v>
      </c>
      <c r="AJ6839">
        <v>89.550209768982498</v>
      </c>
      <c r="AK6839">
        <v>429.26403241227399</v>
      </c>
      <c r="AL6839">
        <v>90.359626088652405</v>
      </c>
      <c r="AM6839">
        <v>87.147309075452497</v>
      </c>
      <c r="AN6839">
        <v>0.99999998245600796</v>
      </c>
    </row>
    <row r="6840" spans="1:40" x14ac:dyDescent="0.25">
      <c r="A6840" t="str">
        <f>"20190312161449311"</f>
        <v>20190312161449311</v>
      </c>
      <c r="B6840" t="str">
        <f>"1552378489303101"</f>
        <v>1552378489303101</v>
      </c>
      <c r="C6840" t="s">
        <v>40</v>
      </c>
      <c r="D6840">
        <v>4.5845219999999998</v>
      </c>
      <c r="E6840">
        <v>0.48401909999999998</v>
      </c>
      <c r="F6840" t="s">
        <v>110</v>
      </c>
      <c r="G6840">
        <v>-204.703</v>
      </c>
      <c r="H6840">
        <v>8.1844169999999998</v>
      </c>
      <c r="I6840">
        <v>391.00349999999997</v>
      </c>
      <c r="J6840">
        <v>-187.12950000000001</v>
      </c>
      <c r="K6840">
        <v>1.1117379999999999</v>
      </c>
      <c r="L6840">
        <v>-37.705959999999997</v>
      </c>
      <c r="M6840">
        <v>-5.1074040000000001E-2</v>
      </c>
      <c r="N6840">
        <v>0</v>
      </c>
      <c r="O6840">
        <v>0.99859520000000002</v>
      </c>
      <c r="P6840">
        <v>-2.1591430000000001E-3</v>
      </c>
      <c r="Q6840">
        <v>-2.0255039999999998E-2</v>
      </c>
      <c r="R6840">
        <v>0.99979249999999997</v>
      </c>
      <c r="S6840">
        <v>-0.1230774</v>
      </c>
      <c r="T6840">
        <v>4.9491880000000002E-2</v>
      </c>
      <c r="U6840">
        <v>3.0017399999999999</v>
      </c>
      <c r="V6840">
        <v>4.8933909999999997E-2</v>
      </c>
      <c r="W6840">
        <v>-5.9913049999999997E-3</v>
      </c>
      <c r="X6840">
        <v>0.99878409999999995</v>
      </c>
      <c r="Y6840">
        <v>1.012766E-2</v>
      </c>
      <c r="Z6840">
        <v>1.6445899999999999E-2</v>
      </c>
      <c r="AA6840">
        <v>0.99981339999999996</v>
      </c>
      <c r="AB6840">
        <v>26</v>
      </c>
      <c r="AC6840">
        <v>-17.5734999999999</v>
      </c>
      <c r="AD6840">
        <v>7.0726789999999902</v>
      </c>
      <c r="AE6840">
        <v>428.70945999999998</v>
      </c>
      <c r="AF6840">
        <v>4.3463631439653803</v>
      </c>
      <c r="AG6840">
        <v>7.0726789999999902</v>
      </c>
      <c r="AH6840">
        <v>428.93091903901399</v>
      </c>
      <c r="AI6840">
        <v>89.055379034101605</v>
      </c>
      <c r="AJ6840">
        <v>89.419440915512098</v>
      </c>
      <c r="AK6840">
        <v>429.011243405659</v>
      </c>
      <c r="AL6840">
        <v>90.343278526547195</v>
      </c>
      <c r="AM6840">
        <v>87.195123109581203</v>
      </c>
      <c r="AN6840">
        <v>1.0000000508481399</v>
      </c>
    </row>
    <row r="6841" spans="1:40" x14ac:dyDescent="0.25">
      <c r="A6841" t="str">
        <f>"20190312161449333"</f>
        <v>20190312161449333</v>
      </c>
      <c r="B6841" t="str">
        <f>"1552378489323596"</f>
        <v>1552378489323596</v>
      </c>
      <c r="C6841" t="s">
        <v>40</v>
      </c>
      <c r="D6841">
        <v>4.6975239999999996</v>
      </c>
      <c r="E6841">
        <v>0.48623179999999999</v>
      </c>
      <c r="F6841" t="s">
        <v>110</v>
      </c>
      <c r="G6841">
        <v>-205.84809999999999</v>
      </c>
      <c r="H6841">
        <v>8.5379450000000006</v>
      </c>
      <c r="I6841">
        <v>391.87</v>
      </c>
      <c r="J6841">
        <v>-187.1446</v>
      </c>
      <c r="K6841">
        <v>1.111561</v>
      </c>
      <c r="L6841">
        <v>-37.455660000000002</v>
      </c>
      <c r="M6841">
        <v>-5.289841E-2</v>
      </c>
      <c r="N6841">
        <v>0</v>
      </c>
      <c r="O6841">
        <v>0.99850059999999996</v>
      </c>
      <c r="P6841">
        <v>-5.3265739999999997E-3</v>
      </c>
      <c r="Q6841">
        <v>-2.0221949999999999E-2</v>
      </c>
      <c r="R6841">
        <v>0.99978129999999998</v>
      </c>
      <c r="S6841">
        <v>-0.13078310000000001</v>
      </c>
      <c r="T6841">
        <v>5.1885599999999997E-2</v>
      </c>
      <c r="U6841">
        <v>3.0013730000000001</v>
      </c>
      <c r="V6841">
        <v>4.7592099999999998E-2</v>
      </c>
      <c r="W6841">
        <v>-6.0070790000000002E-3</v>
      </c>
      <c r="X6841">
        <v>0.99884879999999998</v>
      </c>
      <c r="Y6841">
        <v>9.3878450000000006E-3</v>
      </c>
      <c r="Z6841">
        <v>1.7239859999999999E-2</v>
      </c>
      <c r="AA6841">
        <v>0.99980729999999995</v>
      </c>
      <c r="AB6841">
        <v>26</v>
      </c>
      <c r="AC6841">
        <v>-18.703499999999899</v>
      </c>
      <c r="AD6841">
        <v>7.4263839999999997</v>
      </c>
      <c r="AE6841">
        <v>429.32566000000003</v>
      </c>
      <c r="AF6841">
        <v>4.0343841275017001</v>
      </c>
      <c r="AG6841">
        <v>7.4263839999999997</v>
      </c>
      <c r="AH6841">
        <v>429.58563060842999</v>
      </c>
      <c r="AI6841">
        <v>89.009651875540698</v>
      </c>
      <c r="AJ6841">
        <v>89.461931750879103</v>
      </c>
      <c r="AK6841">
        <v>429.668757835436</v>
      </c>
      <c r="AL6841">
        <v>90.344182340753306</v>
      </c>
      <c r="AM6841">
        <v>87.272093869589497</v>
      </c>
      <c r="AN6841">
        <v>1.00000000912098</v>
      </c>
    </row>
    <row r="6842" spans="1:40" x14ac:dyDescent="0.25">
      <c r="A6842" t="str">
        <f>"20190312161449354"</f>
        <v>20190312161449354</v>
      </c>
      <c r="B6842" t="str">
        <f>"1552378489343122"</f>
        <v>1552378489343122</v>
      </c>
      <c r="C6842" t="s">
        <v>40</v>
      </c>
      <c r="D6842">
        <v>4.6877940000000002</v>
      </c>
      <c r="E6842">
        <v>0.48781960000000002</v>
      </c>
      <c r="F6842" t="s">
        <v>110</v>
      </c>
      <c r="G6842">
        <v>-204.7011</v>
      </c>
      <c r="H6842">
        <v>6.6557890000000004</v>
      </c>
      <c r="I6842">
        <v>390.11860000000001</v>
      </c>
      <c r="J6842">
        <v>-187.15960000000001</v>
      </c>
      <c r="K6842">
        <v>1.111407</v>
      </c>
      <c r="L6842">
        <v>-37.210209999999996</v>
      </c>
      <c r="M6842">
        <v>-5.445672E-2</v>
      </c>
      <c r="N6842">
        <v>0</v>
      </c>
      <c r="O6842">
        <v>0.99841709999999995</v>
      </c>
      <c r="P6842">
        <v>-8.3848529999999994E-3</v>
      </c>
      <c r="Q6842">
        <v>-2.0739259999999999E-2</v>
      </c>
      <c r="R6842">
        <v>0.99974980000000002</v>
      </c>
      <c r="S6842">
        <v>-0.1232147</v>
      </c>
      <c r="T6842">
        <v>3.8910390000000003E-2</v>
      </c>
      <c r="U6842">
        <v>3.0007929999999998</v>
      </c>
      <c r="V6842">
        <v>4.6094459999999997E-2</v>
      </c>
      <c r="W6842">
        <v>-6.5674640000000003E-3</v>
      </c>
      <c r="X6842">
        <v>0.99891549999999996</v>
      </c>
      <c r="Y6842">
        <v>1.345444E-2</v>
      </c>
      <c r="Z6842">
        <v>1.293073E-2</v>
      </c>
      <c r="AA6842">
        <v>0.99982590000000005</v>
      </c>
      <c r="AB6842">
        <v>26</v>
      </c>
      <c r="AC6842">
        <v>-17.5414999999999</v>
      </c>
      <c r="AD6842">
        <v>5.5443819999999997</v>
      </c>
      <c r="AE6842">
        <v>427.32880999999998</v>
      </c>
      <c r="AF6842">
        <v>5.7567936937933704</v>
      </c>
      <c r="AG6842">
        <v>5.5443819999999997</v>
      </c>
      <c r="AH6842">
        <v>427.57807539177099</v>
      </c>
      <c r="AI6842">
        <v>89.257157649942698</v>
      </c>
      <c r="AJ6842">
        <v>89.228631978364405</v>
      </c>
      <c r="AK6842">
        <v>427.65276966380799</v>
      </c>
      <c r="AL6842">
        <v>90.376290673028507</v>
      </c>
      <c r="AM6842">
        <v>87.357988850699996</v>
      </c>
      <c r="AN6842">
        <v>1.00000000348316</v>
      </c>
    </row>
    <row r="6843" spans="1:40" x14ac:dyDescent="0.25">
      <c r="A6843" t="str">
        <f>"20190312161449378"</f>
        <v>20190312161449378</v>
      </c>
      <c r="B6843" t="str">
        <f>"1552378489373373"</f>
        <v>1552378489373373</v>
      </c>
      <c r="C6843" t="s">
        <v>40</v>
      </c>
      <c r="D6843">
        <v>4.7420489999999997</v>
      </c>
      <c r="E6843">
        <v>0.48966609999999999</v>
      </c>
      <c r="F6843" t="s">
        <v>110</v>
      </c>
      <c r="G6843">
        <v>-204.26830000000001</v>
      </c>
      <c r="H6843">
        <v>5.0292459999999997</v>
      </c>
      <c r="I6843">
        <v>391.00349999999997</v>
      </c>
      <c r="J6843">
        <v>-187.17609999999999</v>
      </c>
      <c r="K6843">
        <v>1.1112439999999999</v>
      </c>
      <c r="L6843">
        <v>-36.943019999999997</v>
      </c>
      <c r="M6843">
        <v>-5.5906579999999997E-2</v>
      </c>
      <c r="N6843">
        <v>0</v>
      </c>
      <c r="O6843">
        <v>0.99833729999999998</v>
      </c>
      <c r="P6843">
        <v>-1.0908899999999999E-2</v>
      </c>
      <c r="Q6843">
        <v>-2.138748E-2</v>
      </c>
      <c r="R6843">
        <v>0.99971180000000004</v>
      </c>
      <c r="S6843">
        <v>-0.11987299999999999</v>
      </c>
      <c r="T6843">
        <v>2.7450559999999999E-2</v>
      </c>
      <c r="U6843">
        <v>3.000305</v>
      </c>
      <c r="V6843">
        <v>4.5021459999999999E-2</v>
      </c>
      <c r="W6843">
        <v>-7.258184E-3</v>
      </c>
      <c r="X6843">
        <v>0.99895970000000001</v>
      </c>
      <c r="Y6843">
        <v>1.6009869999999999E-2</v>
      </c>
      <c r="Z6843">
        <v>9.1231909999999992E-3</v>
      </c>
      <c r="AA6843">
        <v>0.9998302</v>
      </c>
      <c r="AB6843">
        <v>26</v>
      </c>
      <c r="AC6843">
        <v>-17.092199999999998</v>
      </c>
      <c r="AD6843">
        <v>3.918002</v>
      </c>
      <c r="AE6843">
        <v>427.94652000000002</v>
      </c>
      <c r="AF6843">
        <v>6.8613475918691904</v>
      </c>
      <c r="AG6843">
        <v>3.918002</v>
      </c>
      <c r="AH6843">
        <v>428.19690746708102</v>
      </c>
      <c r="AI6843">
        <v>89.475825493845207</v>
      </c>
      <c r="AJ6843">
        <v>89.081981652820502</v>
      </c>
      <c r="AK6843">
        <v>428.26979860225998</v>
      </c>
      <c r="AL6843">
        <v>90.415866941760896</v>
      </c>
      <c r="AM6843">
        <v>87.419520238248595</v>
      </c>
      <c r="AN6843">
        <v>1.0000000476597899</v>
      </c>
    </row>
    <row r="6844" spans="1:40" x14ac:dyDescent="0.25">
      <c r="A6844" t="str">
        <f>"20190312161449399"</f>
        <v>20190312161449399</v>
      </c>
      <c r="B6844" t="str">
        <f>"1552378489392892"</f>
        <v>1552378489392892</v>
      </c>
      <c r="C6844" t="s">
        <v>40</v>
      </c>
      <c r="D6844">
        <v>4.6934870000000002</v>
      </c>
      <c r="E6844">
        <v>0.4906471</v>
      </c>
      <c r="F6844" t="s">
        <v>110</v>
      </c>
      <c r="G6844">
        <v>-203.31440000000001</v>
      </c>
      <c r="H6844">
        <v>2.777863</v>
      </c>
      <c r="I6844">
        <v>391.00349999999997</v>
      </c>
      <c r="J6844">
        <v>-187.191</v>
      </c>
      <c r="K6844">
        <v>1.1110819999999999</v>
      </c>
      <c r="L6844">
        <v>-36.702480000000001</v>
      </c>
      <c r="M6844">
        <v>-5.7006849999999998E-2</v>
      </c>
      <c r="N6844">
        <v>0</v>
      </c>
      <c r="O6844">
        <v>0.99827529999999998</v>
      </c>
      <c r="P6844">
        <v>-1.3315759999999999E-2</v>
      </c>
      <c r="Q6844">
        <v>-2.039179E-2</v>
      </c>
      <c r="R6844">
        <v>0.99970340000000002</v>
      </c>
      <c r="S6844">
        <v>-0.1131287</v>
      </c>
      <c r="T6844">
        <v>1.168287E-2</v>
      </c>
      <c r="U6844">
        <v>2.9998779999999998</v>
      </c>
      <c r="V6844">
        <v>4.3714019999999999E-2</v>
      </c>
      <c r="W6844">
        <v>-6.2992539999999998E-3</v>
      </c>
      <c r="X6844">
        <v>0.99902420000000003</v>
      </c>
      <c r="Y6844">
        <v>1.9349229999999999E-2</v>
      </c>
      <c r="Z6844">
        <v>3.8831759999999999E-3</v>
      </c>
      <c r="AA6844">
        <v>0.99980530000000001</v>
      </c>
      <c r="AB6844">
        <v>26</v>
      </c>
      <c r="AC6844">
        <v>-16.1234</v>
      </c>
      <c r="AD6844">
        <v>1.6667810000000001</v>
      </c>
      <c r="AE6844">
        <v>427.70598000000001</v>
      </c>
      <c r="AF6844">
        <v>8.2872678705058291</v>
      </c>
      <c r="AG6844">
        <v>1.6667810000000001</v>
      </c>
      <c r="AH6844">
        <v>427.92304723530702</v>
      </c>
      <c r="AI6844">
        <v>89.776873129389202</v>
      </c>
      <c r="AJ6844">
        <v>88.890533875906399</v>
      </c>
      <c r="AK6844">
        <v>428.006531869328</v>
      </c>
      <c r="AL6844">
        <v>90.360923064572702</v>
      </c>
      <c r="AM6844">
        <v>87.494522966302597</v>
      </c>
      <c r="AN6844">
        <v>0.99999997416557795</v>
      </c>
    </row>
    <row r="6845" spans="1:40" x14ac:dyDescent="0.25">
      <c r="A6845" t="str">
        <f>"20190312161449422"</f>
        <v>20190312161449422</v>
      </c>
      <c r="B6845" t="str">
        <f>"1552378489413389"</f>
        <v>1552378489413389</v>
      </c>
      <c r="C6845" t="s">
        <v>40</v>
      </c>
      <c r="D6845">
        <v>4.7088260000000002</v>
      </c>
      <c r="E6845">
        <v>0.49171359999999997</v>
      </c>
      <c r="F6845" t="s">
        <v>110</v>
      </c>
      <c r="G6845">
        <v>-203.26519999999999</v>
      </c>
      <c r="H6845">
        <v>2.5935619999999999</v>
      </c>
      <c r="I6845">
        <v>391.00349999999997</v>
      </c>
      <c r="J6845">
        <v>-187.2073</v>
      </c>
      <c r="K6845">
        <v>1.1109020000000001</v>
      </c>
      <c r="L6845">
        <v>-36.440249999999999</v>
      </c>
      <c r="M6845">
        <v>-5.7983409999999999E-2</v>
      </c>
      <c r="N6845">
        <v>0</v>
      </c>
      <c r="O6845">
        <v>0.99821930000000003</v>
      </c>
      <c r="P6845">
        <v>-1.4469900000000001E-2</v>
      </c>
      <c r="Q6845">
        <v>-2.0441170000000002E-2</v>
      </c>
      <c r="R6845">
        <v>0.99968639999999998</v>
      </c>
      <c r="S6845">
        <v>-0.1127319</v>
      </c>
      <c r="T6845">
        <v>1.039696E-2</v>
      </c>
      <c r="U6845">
        <v>2.999603</v>
      </c>
      <c r="V6845">
        <v>4.3535249999999998E-2</v>
      </c>
      <c r="W6845">
        <v>-6.3856099999999999E-3</v>
      </c>
      <c r="X6845">
        <v>0.99903149999999996</v>
      </c>
      <c r="Y6845">
        <v>2.0455839999999999E-2</v>
      </c>
      <c r="Z6845">
        <v>3.4557630000000002E-3</v>
      </c>
      <c r="AA6845">
        <v>0.99978480000000003</v>
      </c>
      <c r="AB6845">
        <v>26</v>
      </c>
      <c r="AC6845">
        <v>-16.057899999999901</v>
      </c>
      <c r="AD6845">
        <v>1.4826600000000001</v>
      </c>
      <c r="AE6845">
        <v>427.44375000000002</v>
      </c>
      <c r="AF6845">
        <v>8.7560941296195498</v>
      </c>
      <c r="AG6845">
        <v>1.4826600000000001</v>
      </c>
      <c r="AH6845">
        <v>427.65049970735203</v>
      </c>
      <c r="AI6845">
        <v>89.801398526326494</v>
      </c>
      <c r="AJ6845">
        <v>88.827039485043798</v>
      </c>
      <c r="AK6845">
        <v>427.74269995527698</v>
      </c>
      <c r="AL6845">
        <v>90.365870983251398</v>
      </c>
      <c r="AM6845">
        <v>87.5047744342599</v>
      </c>
      <c r="AN6845">
        <v>1.00000001599994</v>
      </c>
    </row>
    <row r="6846" spans="1:40" x14ac:dyDescent="0.25">
      <c r="A6846" t="str">
        <f>"20190312161449445"</f>
        <v>20190312161449445</v>
      </c>
      <c r="B6846" t="str">
        <f>"1552378489432909"</f>
        <v>1552378489432909</v>
      </c>
      <c r="C6846" t="s">
        <v>40</v>
      </c>
      <c r="D6846">
        <v>4.6990319999999999</v>
      </c>
      <c r="E6846">
        <v>0.49263590000000002</v>
      </c>
      <c r="F6846" t="s">
        <v>110</v>
      </c>
      <c r="G6846">
        <v>-202.5829</v>
      </c>
      <c r="H6846">
        <v>2.0239159999999998</v>
      </c>
      <c r="I6846">
        <v>391.00349999999997</v>
      </c>
      <c r="J6846">
        <v>-187.2235</v>
      </c>
      <c r="K6846">
        <v>1.1107049999999901</v>
      </c>
      <c r="L6846">
        <v>-36.179499999999997</v>
      </c>
      <c r="M6846">
        <v>-5.8707349999999998E-2</v>
      </c>
      <c r="N6846">
        <v>0</v>
      </c>
      <c r="O6846">
        <v>0.99817719999999999</v>
      </c>
      <c r="P6846">
        <v>-1.4081659999999999E-2</v>
      </c>
      <c r="Q6846">
        <v>-2.1414519999999999E-2</v>
      </c>
      <c r="R6846">
        <v>0.99967150000000005</v>
      </c>
      <c r="S6846">
        <v>-0.1078949</v>
      </c>
      <c r="T6846">
        <v>6.4069030000000003E-3</v>
      </c>
      <c r="U6846">
        <v>2.9995120000000002</v>
      </c>
      <c r="V6846">
        <v>4.4644499999999997E-2</v>
      </c>
      <c r="W6846">
        <v>-7.3938889999999998E-3</v>
      </c>
      <c r="X6846">
        <v>0.99897559999999996</v>
      </c>
      <c r="Y6846">
        <v>2.2789670000000001E-2</v>
      </c>
      <c r="Z6846">
        <v>2.1294859999999999E-3</v>
      </c>
      <c r="AA6846">
        <v>0.99973800000000002</v>
      </c>
      <c r="AB6846">
        <v>26</v>
      </c>
      <c r="AC6846">
        <v>-15.3593999999999</v>
      </c>
      <c r="AD6846">
        <v>0.91321099999999999</v>
      </c>
      <c r="AE6846">
        <v>427.18299999999999</v>
      </c>
      <c r="AF6846">
        <v>9.7482885576760605</v>
      </c>
      <c r="AG6846">
        <v>0.91321099999999999</v>
      </c>
      <c r="AH6846">
        <v>427.34591331884002</v>
      </c>
      <c r="AI6846">
        <v>89.877594597337307</v>
      </c>
      <c r="AJ6846">
        <v>88.693239068951996</v>
      </c>
      <c r="AK6846">
        <v>427.45805959701801</v>
      </c>
      <c r="AL6846">
        <v>90.423642483338895</v>
      </c>
      <c r="AM6846">
        <v>87.441138160638204</v>
      </c>
      <c r="AN6846">
        <v>1.00000002518507</v>
      </c>
    </row>
    <row r="6847" spans="1:40" x14ac:dyDescent="0.25">
      <c r="A6847" t="str">
        <f>"20190312161449479"</f>
        <v>20190312161449479</v>
      </c>
      <c r="B6847" t="str">
        <f>"1552378489473900"</f>
        <v>1552378489473900</v>
      </c>
      <c r="C6847" t="s">
        <v>40</v>
      </c>
      <c r="D6847">
        <v>4.7201089999999999</v>
      </c>
      <c r="E6847">
        <v>0.49423089999999997</v>
      </c>
      <c r="F6847" t="s">
        <v>110</v>
      </c>
      <c r="G6847">
        <v>-201.4033</v>
      </c>
      <c r="H6847">
        <v>1.0436479999999999</v>
      </c>
      <c r="I6847">
        <v>391.87</v>
      </c>
      <c r="J6847">
        <v>-187.2467</v>
      </c>
      <c r="K6847">
        <v>1.11043</v>
      </c>
      <c r="L6847">
        <v>-35.800690000000003</v>
      </c>
      <c r="M6847">
        <v>-5.926559E-2</v>
      </c>
      <c r="N6847">
        <v>0</v>
      </c>
      <c r="O6847">
        <v>0.99814449999999999</v>
      </c>
      <c r="P6847">
        <v>-1.0747359999999999E-2</v>
      </c>
      <c r="Q6847">
        <v>-2.2817219999999999E-2</v>
      </c>
      <c r="R6847">
        <v>0.99968190000000001</v>
      </c>
      <c r="S6847">
        <v>-9.9365229999999999E-2</v>
      </c>
      <c r="T6847">
        <v>-4.6992300000000002E-4</v>
      </c>
      <c r="U6847">
        <v>2.9995729999999998</v>
      </c>
      <c r="V6847">
        <v>4.8527960000000002E-2</v>
      </c>
      <c r="W6847">
        <v>-8.8456650000000008E-3</v>
      </c>
      <c r="X6847">
        <v>0.99878259999999996</v>
      </c>
      <c r="Y6847">
        <v>2.618879E-2</v>
      </c>
      <c r="Z6847">
        <v>-1.561806E-4</v>
      </c>
      <c r="AA6847">
        <v>0.99965700000000002</v>
      </c>
      <c r="AB6847">
        <v>26</v>
      </c>
      <c r="AC6847">
        <v>-14.1565999999999</v>
      </c>
      <c r="AD6847">
        <v>-6.6782000000000105E-2</v>
      </c>
      <c r="AE6847">
        <v>427.67068999999998</v>
      </c>
      <c r="AF6847">
        <v>11.216917593768001</v>
      </c>
      <c r="AG6847">
        <v>-6.6782000000000105E-2</v>
      </c>
      <c r="AH6847">
        <v>427.75787572955301</v>
      </c>
      <c r="AI6847">
        <v>90.008942002180206</v>
      </c>
      <c r="AJ6847">
        <v>88.497900736361302</v>
      </c>
      <c r="AK6847">
        <v>427.90492395951799</v>
      </c>
      <c r="AL6847">
        <v>90.506825908816694</v>
      </c>
      <c r="AM6847">
        <v>87.218351171199501</v>
      </c>
      <c r="AN6847">
        <v>0.99999994537690495</v>
      </c>
    </row>
    <row r="6848" spans="1:40" x14ac:dyDescent="0.25">
      <c r="A6848" t="str">
        <f>"20190312161449500"</f>
        <v>20190312161449500</v>
      </c>
      <c r="B6848" t="str">
        <f>"1552378489493421"</f>
        <v>1552378489493421</v>
      </c>
      <c r="C6848" t="s">
        <v>40</v>
      </c>
      <c r="D6848">
        <v>4.7034520000000004</v>
      </c>
      <c r="E6848">
        <v>0.49501420000000002</v>
      </c>
      <c r="F6848" t="s">
        <v>53</v>
      </c>
      <c r="G6848">
        <v>-197.6122</v>
      </c>
      <c r="H6848" s="1">
        <v>-8.2184820000000001E-6</v>
      </c>
      <c r="I6848">
        <v>368.46600000000001</v>
      </c>
      <c r="J6848">
        <v>-187.26079999999999</v>
      </c>
      <c r="K6848">
        <v>1.110295</v>
      </c>
      <c r="L6848">
        <v>-35.567349999999998</v>
      </c>
      <c r="M6848">
        <v>-5.9378229999999997E-2</v>
      </c>
      <c r="N6848">
        <v>0</v>
      </c>
      <c r="O6848">
        <v>0.99813799999999997</v>
      </c>
      <c r="P6848">
        <v>-8.2681869999999998E-3</v>
      </c>
      <c r="Q6848">
        <v>-2.201347E-2</v>
      </c>
      <c r="R6848">
        <v>0.99972349999999999</v>
      </c>
      <c r="S6848">
        <v>-7.6919559999999998E-2</v>
      </c>
      <c r="T6848">
        <v>-8.2402229999999996E-3</v>
      </c>
      <c r="U6848">
        <v>2.9999389999999999</v>
      </c>
      <c r="V6848">
        <v>5.1114819999999998E-2</v>
      </c>
      <c r="W6848">
        <v>-8.0698469999999998E-3</v>
      </c>
      <c r="X6848">
        <v>0.9986602</v>
      </c>
      <c r="Y6848">
        <v>3.3777889999999998E-2</v>
      </c>
      <c r="Z6848">
        <v>-2.7382830000000002E-3</v>
      </c>
      <c r="AA6848">
        <v>0.99942560000000003</v>
      </c>
      <c r="AB6848">
        <v>25</v>
      </c>
      <c r="AC6848">
        <v>-10.3514</v>
      </c>
      <c r="AD6848">
        <v>-1.1103032184819901</v>
      </c>
      <c r="AE6848">
        <v>404.03334999999998</v>
      </c>
      <c r="AF6848">
        <v>13.6598866682049</v>
      </c>
      <c r="AG6848">
        <v>-1.1103032184819901</v>
      </c>
      <c r="AH6848">
        <v>403.93197616904502</v>
      </c>
      <c r="AI6848">
        <v>90.157400719990903</v>
      </c>
      <c r="AJ6848">
        <v>88.063149848697506</v>
      </c>
      <c r="AK6848">
        <v>404.16440546992197</v>
      </c>
      <c r="AL6848">
        <v>90.462373183202899</v>
      </c>
      <c r="AM6848">
        <v>87.069964314797602</v>
      </c>
      <c r="AN6848">
        <v>1.00000002115913</v>
      </c>
    </row>
    <row r="6849" spans="1:40" x14ac:dyDescent="0.25">
      <c r="A6849" t="str">
        <f>"20190312161449522"</f>
        <v>20190312161449522</v>
      </c>
      <c r="B6849" t="str">
        <f>"1552378489513917"</f>
        <v>1552378489513917</v>
      </c>
      <c r="C6849" t="s">
        <v>40</v>
      </c>
      <c r="D6849">
        <v>4.7335909999999997</v>
      </c>
      <c r="E6849">
        <v>0.49545260000000002</v>
      </c>
      <c r="F6849" t="s">
        <v>42</v>
      </c>
      <c r="G6849">
        <v>-192.15639999999999</v>
      </c>
      <c r="H6849" s="1">
        <v>-3.334362E-6</v>
      </c>
      <c r="I6849">
        <v>196.02420000000001</v>
      </c>
      <c r="J6849">
        <v>-187.27670000000001</v>
      </c>
      <c r="K6849">
        <v>1.110169</v>
      </c>
      <c r="L6849">
        <v>-35.300049999999999</v>
      </c>
      <c r="M6849">
        <v>-5.9317929999999998E-2</v>
      </c>
      <c r="N6849">
        <v>0</v>
      </c>
      <c r="O6849">
        <v>0.99814170000000002</v>
      </c>
      <c r="P6849">
        <v>-6.2019619999999897E-3</v>
      </c>
      <c r="Q6849">
        <v>-2.0475920000000002E-2</v>
      </c>
      <c r="R6849">
        <v>0.99977110000000002</v>
      </c>
      <c r="S6849">
        <v>-6.3415529999999998E-2</v>
      </c>
      <c r="T6849">
        <v>-1.438248E-2</v>
      </c>
      <c r="U6849">
        <v>2.9999690000000001</v>
      </c>
      <c r="V6849">
        <v>5.3117650000000002E-2</v>
      </c>
      <c r="W6849">
        <v>-6.5606279999999998E-3</v>
      </c>
      <c r="X6849">
        <v>0.99856670000000003</v>
      </c>
      <c r="Y6849">
        <v>3.8213909999999997E-2</v>
      </c>
      <c r="Z6849">
        <v>-4.7792069999999997E-3</v>
      </c>
      <c r="AA6849">
        <v>0.99925819999999999</v>
      </c>
      <c r="AB6849">
        <v>25</v>
      </c>
      <c r="AC6849">
        <v>-4.8796999999999802</v>
      </c>
      <c r="AD6849">
        <v>-1.110172334362</v>
      </c>
      <c r="AE6849">
        <v>231.32425000000001</v>
      </c>
      <c r="AF6849">
        <v>8.8517008523610006</v>
      </c>
      <c r="AG6849">
        <v>-1.110172334362</v>
      </c>
      <c r="AH6849">
        <v>231.20100047808899</v>
      </c>
      <c r="AI6849">
        <v>90.274917211378195</v>
      </c>
      <c r="AJ6849">
        <v>87.807459671320302</v>
      </c>
      <c r="AK6849">
        <v>231.373048803573</v>
      </c>
      <c r="AL6849">
        <v>90.375898995536403</v>
      </c>
      <c r="AM6849">
        <v>86.955084237097495</v>
      </c>
      <c r="AN6849">
        <v>0.99999999046508303</v>
      </c>
    </row>
    <row r="6850" spans="1:40" x14ac:dyDescent="0.25">
      <c r="A6850" t="str">
        <f>"20190312161449545"</f>
        <v>20190312161449545</v>
      </c>
      <c r="B6850" t="str">
        <f>"1552378489533440"</f>
        <v>1552378489533440</v>
      </c>
      <c r="C6850" t="s">
        <v>40</v>
      </c>
      <c r="D6850">
        <v>4.7499890000000002</v>
      </c>
      <c r="E6850">
        <v>0.49623420000000001</v>
      </c>
      <c r="F6850" t="s">
        <v>42</v>
      </c>
      <c r="G6850">
        <v>-192.64500000000001</v>
      </c>
      <c r="H6850" s="1">
        <v>-2.723407E-6</v>
      </c>
      <c r="I6850">
        <v>264.29700000000003</v>
      </c>
      <c r="J6850">
        <v>-187.2912</v>
      </c>
      <c r="K6850">
        <v>1.110069</v>
      </c>
      <c r="L6850">
        <v>-35.054720000000003</v>
      </c>
      <c r="M6850">
        <v>-5.9080210000000001E-2</v>
      </c>
      <c r="N6850">
        <v>0</v>
      </c>
      <c r="O6850">
        <v>0.99815589999999998</v>
      </c>
      <c r="P6850">
        <v>-4.5170890000000002E-3</v>
      </c>
      <c r="Q6850">
        <v>-1.9516450000000001E-2</v>
      </c>
      <c r="R6850">
        <v>0.99979929999999995</v>
      </c>
      <c r="S6850">
        <v>-5.3756709999999999E-2</v>
      </c>
      <c r="T6850">
        <v>-1.11171E-2</v>
      </c>
      <c r="U6850">
        <v>3.0001220000000002</v>
      </c>
      <c r="V6850">
        <v>5.4562230000000003E-2</v>
      </c>
      <c r="W6850">
        <v>-5.6253350000000004E-3</v>
      </c>
      <c r="X6850">
        <v>0.99849449999999995</v>
      </c>
      <c r="Y6850">
        <v>4.1192600000000003E-2</v>
      </c>
      <c r="Z6850">
        <v>-3.693946E-3</v>
      </c>
      <c r="AA6850">
        <v>0.99914440000000004</v>
      </c>
      <c r="AB6850">
        <v>25</v>
      </c>
      <c r="AC6850">
        <v>-5.3537999999999997</v>
      </c>
      <c r="AD6850">
        <v>-1.1100717234070001</v>
      </c>
      <c r="AE6850">
        <v>299.35172</v>
      </c>
      <c r="AF6850">
        <v>12.3428651073063</v>
      </c>
      <c r="AG6850">
        <v>-1.1100717234070001</v>
      </c>
      <c r="AH6850">
        <v>299.14094446380398</v>
      </c>
      <c r="AI6850">
        <v>90.212435184849795</v>
      </c>
      <c r="AJ6850">
        <v>87.637257038883703</v>
      </c>
      <c r="AK6850">
        <v>299.39753377906197</v>
      </c>
      <c r="AL6850">
        <v>90.322309662146296</v>
      </c>
      <c r="AM6850">
        <v>86.872211670500505</v>
      </c>
      <c r="AN6850">
        <v>0.99999997393334195</v>
      </c>
    </row>
    <row r="6851" spans="1:40" x14ac:dyDescent="0.25">
      <c r="A6851" t="str">
        <f>"20190312161449567"</f>
        <v>20190312161449567</v>
      </c>
      <c r="B6851" t="str">
        <f>"1552378489563693"</f>
        <v>1552378489563693</v>
      </c>
      <c r="C6851" t="s">
        <v>40</v>
      </c>
      <c r="D6851">
        <v>4.8048419999999998</v>
      </c>
      <c r="E6851">
        <v>0.49731199999999998</v>
      </c>
      <c r="F6851" t="s">
        <v>63</v>
      </c>
      <c r="G6851">
        <v>-191.6833</v>
      </c>
      <c r="H6851" s="1">
        <v>5.8311900000000003E-6</v>
      </c>
      <c r="I6851">
        <v>274.47620000000001</v>
      </c>
      <c r="J6851">
        <v>-187.3057</v>
      </c>
      <c r="K6851">
        <v>1.1099589999999999</v>
      </c>
      <c r="L6851">
        <v>-34.804200000000002</v>
      </c>
      <c r="M6851">
        <v>-5.8672660000000001E-2</v>
      </c>
      <c r="N6851">
        <v>0</v>
      </c>
      <c r="O6851">
        <v>0.99818010000000001</v>
      </c>
      <c r="P6851">
        <v>-2.6780939999999998E-3</v>
      </c>
      <c r="Q6851">
        <v>-1.9345379999999999E-2</v>
      </c>
      <c r="R6851">
        <v>0.99980930000000001</v>
      </c>
      <c r="S6851">
        <v>-4.2572020000000002E-2</v>
      </c>
      <c r="T6851">
        <v>-1.0759589999999999E-2</v>
      </c>
      <c r="U6851">
        <v>3.0002140000000002</v>
      </c>
      <c r="V6851">
        <v>5.5989629999999999E-2</v>
      </c>
      <c r="W6851">
        <v>-5.4787819999999997E-3</v>
      </c>
      <c r="X6851">
        <v>0.99841630000000003</v>
      </c>
      <c r="Y6851">
        <v>4.450875E-2</v>
      </c>
      <c r="Z6851">
        <v>-3.5750280000000001E-3</v>
      </c>
      <c r="AA6851">
        <v>0.99900259999999996</v>
      </c>
      <c r="AB6851">
        <v>25</v>
      </c>
      <c r="AC6851">
        <v>-4.3776000000000002</v>
      </c>
      <c r="AD6851">
        <v>-1.1099531688099999</v>
      </c>
      <c r="AE6851">
        <v>309.28039999999999</v>
      </c>
      <c r="AF6851">
        <v>13.777829709117499</v>
      </c>
      <c r="AG6851">
        <v>-1.1099531688099999</v>
      </c>
      <c r="AH6851">
        <v>309.00038296083898</v>
      </c>
      <c r="AI6851">
        <v>90.205605685018696</v>
      </c>
      <c r="AJ6851">
        <v>87.446964436317401</v>
      </c>
      <c r="AK6851">
        <v>309.30938759998099</v>
      </c>
      <c r="AL6851">
        <v>90.3139126616189</v>
      </c>
      <c r="AM6851">
        <v>86.790303776129093</v>
      </c>
      <c r="AN6851">
        <v>0.999999981912715</v>
      </c>
    </row>
    <row r="6852" spans="1:40" x14ac:dyDescent="0.25">
      <c r="A6852" t="str">
        <f>"20190312161449591"</f>
        <v>20190312161449591</v>
      </c>
      <c r="B6852" t="str">
        <f>"1552378489583213"</f>
        <v>1552378489583213</v>
      </c>
      <c r="C6852" t="s">
        <v>40</v>
      </c>
      <c r="D6852">
        <v>4.7415629999999904</v>
      </c>
      <c r="E6852">
        <v>0.49787680000000001</v>
      </c>
      <c r="F6852" t="s">
        <v>63</v>
      </c>
      <c r="G6852">
        <v>-189.5694</v>
      </c>
      <c r="H6852" s="1">
        <v>6.8604649999999999E-6</v>
      </c>
      <c r="I6852">
        <v>202.4384</v>
      </c>
      <c r="J6852">
        <v>-187.32069999999999</v>
      </c>
      <c r="K6852">
        <v>1.109839</v>
      </c>
      <c r="L6852">
        <v>-34.540559999999999</v>
      </c>
      <c r="M6852">
        <v>-5.8080499999999903E-2</v>
      </c>
      <c r="N6852">
        <v>0</v>
      </c>
      <c r="O6852">
        <v>0.99821479999999996</v>
      </c>
      <c r="P6852">
        <v>-1.2399990000000001E-3</v>
      </c>
      <c r="Q6852">
        <v>-1.978748E-2</v>
      </c>
      <c r="R6852">
        <v>0.99980340000000001</v>
      </c>
      <c r="S6852">
        <v>-2.862549E-2</v>
      </c>
      <c r="T6852">
        <v>-1.4036659999999999E-2</v>
      </c>
      <c r="U6852">
        <v>3.0002140000000002</v>
      </c>
      <c r="V6852">
        <v>5.6830659999999998E-2</v>
      </c>
      <c r="W6852">
        <v>-5.9458769999999996E-3</v>
      </c>
      <c r="X6852">
        <v>0.99836610000000003</v>
      </c>
      <c r="Y6852">
        <v>4.8558990000000003E-2</v>
      </c>
      <c r="Z6852">
        <v>-4.6637880000000003E-3</v>
      </c>
      <c r="AA6852">
        <v>0.99880950000000002</v>
      </c>
      <c r="AB6852">
        <v>25</v>
      </c>
      <c r="AC6852">
        <v>-2.2487000000000101</v>
      </c>
      <c r="AD6852">
        <v>-1.1098321395349999</v>
      </c>
      <c r="AE6852">
        <v>236.97896</v>
      </c>
      <c r="AF6852">
        <v>11.5200349861347</v>
      </c>
      <c r="AG6852">
        <v>-1.1098321395349999</v>
      </c>
      <c r="AH6852">
        <v>236.70426602528701</v>
      </c>
      <c r="AI6852">
        <v>90.268322405408199</v>
      </c>
      <c r="AJ6852">
        <v>87.213700455999103</v>
      </c>
      <c r="AK6852">
        <v>236.98703021057801</v>
      </c>
      <c r="AL6852">
        <v>90.340675673995804</v>
      </c>
      <c r="AM6852">
        <v>86.742029995407407</v>
      </c>
      <c r="AN6852">
        <v>0.99999997349927205</v>
      </c>
    </row>
    <row r="6853" spans="1:40" x14ac:dyDescent="0.25">
      <c r="A6853" t="str">
        <f>"20190312161449612"</f>
        <v>20190312161449612</v>
      </c>
      <c r="B6853" t="str">
        <f>"1552378489603709"</f>
        <v>1552378489603709</v>
      </c>
      <c r="C6853" t="s">
        <v>40</v>
      </c>
      <c r="D6853">
        <v>4.7392300000000001</v>
      </c>
      <c r="E6853">
        <v>0.49834980000000001</v>
      </c>
      <c r="F6853" t="s">
        <v>42</v>
      </c>
      <c r="G6853">
        <v>-188.6069</v>
      </c>
      <c r="H6853" s="1">
        <v>-1.1323900000000001E-6</v>
      </c>
      <c r="I6853">
        <v>161.50399999999999</v>
      </c>
      <c r="J6853">
        <v>-187.33459999999999</v>
      </c>
      <c r="K6853">
        <v>1.109731</v>
      </c>
      <c r="L6853">
        <v>-34.289729999999999</v>
      </c>
      <c r="M6853">
        <v>-5.7381269999999998E-2</v>
      </c>
      <c r="N6853">
        <v>0</v>
      </c>
      <c r="O6853">
        <v>0.99825529999999996</v>
      </c>
      <c r="P6853">
        <v>-3.6749720000000001E-4</v>
      </c>
      <c r="Q6853">
        <v>-1.951696E-2</v>
      </c>
      <c r="R6853">
        <v>0.99980939999999996</v>
      </c>
      <c r="S6853">
        <v>-1.9683840000000001E-2</v>
      </c>
      <c r="T6853">
        <v>-1.6984699999999998E-2</v>
      </c>
      <c r="U6853">
        <v>3.0002140000000002</v>
      </c>
      <c r="V6853">
        <v>5.7001599999999999E-2</v>
      </c>
      <c r="W6853">
        <v>-5.6966789999999996E-3</v>
      </c>
      <c r="X6853">
        <v>0.99835779999999996</v>
      </c>
      <c r="Y6853">
        <v>5.0835850000000002E-2</v>
      </c>
      <c r="Z6853">
        <v>-5.6433589999999997E-3</v>
      </c>
      <c r="AA6853">
        <v>0.99869110000000005</v>
      </c>
      <c r="AB6853">
        <v>25</v>
      </c>
      <c r="AC6853">
        <v>-1.2723</v>
      </c>
      <c r="AD6853">
        <v>-1.10973213239</v>
      </c>
      <c r="AE6853">
        <v>195.79373000000001</v>
      </c>
      <c r="AF6853">
        <v>9.9654580046185597</v>
      </c>
      <c r="AG6853">
        <v>-1.10973213239</v>
      </c>
      <c r="AH6853">
        <v>195.53779739279199</v>
      </c>
      <c r="AI6853">
        <v>90.324744754437702</v>
      </c>
      <c r="AJ6853">
        <v>87.082481676912906</v>
      </c>
      <c r="AK6853">
        <v>195.79471920323101</v>
      </c>
      <c r="AL6853">
        <v>90.326397440539793</v>
      </c>
      <c r="AM6853">
        <v>86.732224498322907</v>
      </c>
      <c r="AN6853">
        <v>0.99999996568751404</v>
      </c>
    </row>
    <row r="6854" spans="1:40" x14ac:dyDescent="0.25">
      <c r="A6854" t="str">
        <f>"20190312161449636"</f>
        <v>20190312161449636</v>
      </c>
      <c r="B6854" t="str">
        <f>"1552378489623228"</f>
        <v>1552378489623228</v>
      </c>
      <c r="C6854" t="s">
        <v>40</v>
      </c>
      <c r="D6854">
        <v>5.1161629999999896</v>
      </c>
      <c r="E6854">
        <v>0.49879319999999999</v>
      </c>
      <c r="F6854" t="s">
        <v>84</v>
      </c>
      <c r="G6854">
        <v>-188.1968</v>
      </c>
      <c r="H6854" s="1">
        <v>-1.41526399999999E-5</v>
      </c>
      <c r="I6854">
        <v>157.6936</v>
      </c>
      <c r="J6854">
        <v>-187.34880000000001</v>
      </c>
      <c r="K6854">
        <v>1.1096330000000001</v>
      </c>
      <c r="L6854">
        <v>-34.026209999999999</v>
      </c>
      <c r="M6854">
        <v>-5.6526470000000002E-2</v>
      </c>
      <c r="N6854">
        <v>0</v>
      </c>
      <c r="O6854">
        <v>0.99830410000000003</v>
      </c>
      <c r="P6854">
        <v>-3.7711940000000001E-4</v>
      </c>
      <c r="Q6854">
        <v>-1.8841409999999999E-2</v>
      </c>
      <c r="R6854">
        <v>0.9998224</v>
      </c>
      <c r="S6854">
        <v>-1.3473509999999999E-2</v>
      </c>
      <c r="T6854">
        <v>-1.7342690000000001E-2</v>
      </c>
      <c r="U6854">
        <v>3.0002439999999999</v>
      </c>
      <c r="V6854">
        <v>5.6137699999999999E-2</v>
      </c>
      <c r="W6854">
        <v>-5.0375419999999999E-3</v>
      </c>
      <c r="X6854">
        <v>0.99841029999999997</v>
      </c>
      <c r="Y6854">
        <v>5.2047870000000003E-2</v>
      </c>
      <c r="Z6854">
        <v>-5.7625169999999896E-3</v>
      </c>
      <c r="AA6854">
        <v>0.99862799999999996</v>
      </c>
      <c r="AB6854">
        <v>25</v>
      </c>
      <c r="AC6854">
        <v>-0.84799999999998399</v>
      </c>
      <c r="AD6854">
        <v>-1.10964715264</v>
      </c>
      <c r="AE6854">
        <v>191.71981</v>
      </c>
      <c r="AF6854">
        <v>9.9913151647646306</v>
      </c>
      <c r="AG6854">
        <v>-1.10964715264</v>
      </c>
      <c r="AH6854">
        <v>191.454735543011</v>
      </c>
      <c r="AI6854">
        <v>90.331624032309406</v>
      </c>
      <c r="AJ6854">
        <v>87.012654947951205</v>
      </c>
      <c r="AK6854">
        <v>191.71847448112399</v>
      </c>
      <c r="AL6854">
        <v>90.288631124374504</v>
      </c>
      <c r="AM6854">
        <v>86.781813942452601</v>
      </c>
      <c r="AN6854">
        <v>0.99999997266839002</v>
      </c>
    </row>
    <row r="6855" spans="1:40" x14ac:dyDescent="0.25">
      <c r="A6855" t="str">
        <f>"20190312161449659"</f>
        <v>20190312161449659</v>
      </c>
      <c r="B6855" t="str">
        <f>"1552378489653485"</f>
        <v>1552378489653485</v>
      </c>
      <c r="C6855" t="s">
        <v>40</v>
      </c>
      <c r="D6855">
        <v>4.8548770000000001</v>
      </c>
      <c r="E6855">
        <v>0.49915159999999997</v>
      </c>
      <c r="F6855" t="s">
        <v>42</v>
      </c>
      <c r="G6855">
        <v>-188.02529999999999</v>
      </c>
      <c r="H6855" s="1">
        <v>-4.655848E-6</v>
      </c>
      <c r="I6855">
        <v>168.7396</v>
      </c>
      <c r="J6855">
        <v>-187.36240000000001</v>
      </c>
      <c r="K6855">
        <v>1.1095520000000001</v>
      </c>
      <c r="L6855">
        <v>-33.76755</v>
      </c>
      <c r="M6855">
        <v>-5.5562180000000003E-2</v>
      </c>
      <c r="N6855">
        <v>0</v>
      </c>
      <c r="O6855">
        <v>0.99835839999999998</v>
      </c>
      <c r="P6855">
        <v>-1.0755300000000001E-4</v>
      </c>
      <c r="Q6855">
        <v>-1.8785550000000002E-2</v>
      </c>
      <c r="R6855">
        <v>0.99982349999999998</v>
      </c>
      <c r="S6855">
        <v>-1.0009769999999999E-2</v>
      </c>
      <c r="T6855">
        <v>-1.6418700000000001E-2</v>
      </c>
      <c r="U6855">
        <v>3.0002140000000002</v>
      </c>
      <c r="V6855">
        <v>5.5441850000000001E-2</v>
      </c>
      <c r="W6855">
        <v>-4.9949720000000003E-3</v>
      </c>
      <c r="X6855">
        <v>0.99844940000000004</v>
      </c>
      <c r="Y6855">
        <v>5.2236110000000002E-2</v>
      </c>
      <c r="Z6855">
        <v>-5.4559939999999996E-3</v>
      </c>
      <c r="AA6855">
        <v>0.9986199</v>
      </c>
      <c r="AB6855">
        <v>25</v>
      </c>
      <c r="AC6855">
        <v>-0.66289999999997895</v>
      </c>
      <c r="AD6855">
        <v>-1.1095566558479999</v>
      </c>
      <c r="AE6855">
        <v>202.50715</v>
      </c>
      <c r="AF6855">
        <v>10.590632929283</v>
      </c>
      <c r="AG6855">
        <v>-1.1095566558479999</v>
      </c>
      <c r="AH6855">
        <v>202.22502716186</v>
      </c>
      <c r="AI6855">
        <v>90.313933829818794</v>
      </c>
      <c r="AJ6855">
        <v>87.002128080627699</v>
      </c>
      <c r="AK6855">
        <v>202.50519556897899</v>
      </c>
      <c r="AL6855">
        <v>90.286192011212904</v>
      </c>
      <c r="AM6855">
        <v>86.821746603877401</v>
      </c>
      <c r="AN6855">
        <v>0.999999976418531</v>
      </c>
    </row>
    <row r="6856" spans="1:40" x14ac:dyDescent="0.25">
      <c r="A6856" t="str">
        <f>"20190312161449681"</f>
        <v>20190312161449681</v>
      </c>
      <c r="B6856" t="str">
        <f>"1552378489673981"</f>
        <v>1552378489673981</v>
      </c>
      <c r="C6856" t="s">
        <v>40</v>
      </c>
      <c r="D6856">
        <v>4.8713439999999997</v>
      </c>
      <c r="E6856">
        <v>0.50807119999999995</v>
      </c>
      <c r="F6856" t="s">
        <v>84</v>
      </c>
      <c r="G6856">
        <v>-187.74209999999999</v>
      </c>
      <c r="H6856" s="1">
        <v>-9.3899059999999994E-6</v>
      </c>
      <c r="I6856">
        <v>143.95769999999999</v>
      </c>
      <c r="J6856">
        <v>-187.375</v>
      </c>
      <c r="K6856">
        <v>1.1094790000000001</v>
      </c>
      <c r="L6856">
        <v>-33.521819999999998</v>
      </c>
      <c r="M6856">
        <v>-5.4528500000000001E-2</v>
      </c>
      <c r="N6856">
        <v>0</v>
      </c>
      <c r="O6856">
        <v>0.99841539999999995</v>
      </c>
      <c r="P6856" s="1">
        <v>9.3206849999999993E-5</v>
      </c>
      <c r="Q6856">
        <v>-2.0397499999999999E-2</v>
      </c>
      <c r="R6856">
        <v>0.99979189999999996</v>
      </c>
      <c r="S6856">
        <v>-6.4086909999999898E-3</v>
      </c>
      <c r="T6856">
        <v>-1.8730520000000001E-2</v>
      </c>
      <c r="U6856">
        <v>3.0001829999999998</v>
      </c>
      <c r="V6856">
        <v>5.4603230000000003E-2</v>
      </c>
      <c r="W6856">
        <v>-6.6174819999999896E-3</v>
      </c>
      <c r="X6856">
        <v>0.99848619999999999</v>
      </c>
      <c r="Y6856">
        <v>5.2400780000000001E-2</v>
      </c>
      <c r="Z6856">
        <v>-6.2247739999999998E-3</v>
      </c>
      <c r="AA6856">
        <v>0.99860669999999996</v>
      </c>
      <c r="AB6856">
        <v>25</v>
      </c>
      <c r="AC6856">
        <v>-0.36709999999999299</v>
      </c>
      <c r="AD6856">
        <v>-1.109488389906</v>
      </c>
      <c r="AE6856">
        <v>177.47951999999901</v>
      </c>
      <c r="AF6856">
        <v>9.3117100207305903</v>
      </c>
      <c r="AG6856">
        <v>-1.109488389906</v>
      </c>
      <c r="AH6856">
        <v>177.22851083745999</v>
      </c>
      <c r="AI6856">
        <v>90.3581851148341</v>
      </c>
      <c r="AJ6856">
        <v>86.992405116335803</v>
      </c>
      <c r="AK6856">
        <v>177.47643213018799</v>
      </c>
      <c r="AL6856">
        <v>90.379156557791404</v>
      </c>
      <c r="AM6856">
        <v>86.869840043291106</v>
      </c>
      <c r="AN6856">
        <v>0.99999999769244596</v>
      </c>
    </row>
    <row r="6857" spans="1:40" x14ac:dyDescent="0.25">
      <c r="A6857" t="str">
        <f>"20190312161449702"</f>
        <v>20190312161449702</v>
      </c>
      <c r="B6857" t="str">
        <f>"1552378489693502"</f>
        <v>1552378489693502</v>
      </c>
      <c r="C6857" t="s">
        <v>40</v>
      </c>
      <c r="D6857">
        <v>5.1940419999999996</v>
      </c>
      <c r="E6857">
        <v>0.50951250000000003</v>
      </c>
      <c r="F6857" t="s">
        <v>43</v>
      </c>
      <c r="G6857">
        <v>-187.35929999999999</v>
      </c>
      <c r="H6857">
        <v>1.0073179999999999</v>
      </c>
      <c r="I6857">
        <v>-32.724709999999902</v>
      </c>
      <c r="J6857">
        <v>-187.38679999999999</v>
      </c>
      <c r="K6857">
        <v>1.109416</v>
      </c>
      <c r="L6857">
        <v>-33.284640000000003</v>
      </c>
      <c r="M6857">
        <v>-5.3430749999999999E-2</v>
      </c>
      <c r="N6857">
        <v>0</v>
      </c>
      <c r="O6857">
        <v>0.9984748</v>
      </c>
      <c r="P6857">
        <v>7.6258259999999905E-4</v>
      </c>
      <c r="Q6857">
        <v>-2.1001769999999999E-2</v>
      </c>
      <c r="R6857">
        <v>0.99977919999999998</v>
      </c>
      <c r="S6857">
        <v>5.8151250000000002E-2</v>
      </c>
      <c r="T6857">
        <v>-0.38345289999999999</v>
      </c>
      <c r="U6857">
        <v>2.9927980000000001</v>
      </c>
      <c r="V6857">
        <v>5.4171150000000001E-2</v>
      </c>
      <c r="W6857">
        <v>-7.2319609999999899E-3</v>
      </c>
      <c r="X6857">
        <v>0.99850550000000005</v>
      </c>
      <c r="Y6857">
        <v>7.2667609999999994E-2</v>
      </c>
      <c r="Z6857">
        <v>-0.12663469999999999</v>
      </c>
      <c r="AA6857">
        <v>0.9892841</v>
      </c>
      <c r="AB6857">
        <v>25</v>
      </c>
      <c r="AC6857">
        <v>2.75000000000034E-2</v>
      </c>
      <c r="AD6857">
        <v>-0.10209799999999999</v>
      </c>
      <c r="AE6857">
        <v>0.55993000000000803</v>
      </c>
      <c r="AF6857">
        <v>5.55389588082979E-2</v>
      </c>
      <c r="AG6857">
        <v>-0.10209799999999999</v>
      </c>
      <c r="AH6857">
        <v>0.53975778562343402</v>
      </c>
      <c r="AI6857">
        <v>100.656278490761</v>
      </c>
      <c r="AJ6857">
        <v>84.125164304662206</v>
      </c>
      <c r="AK6857">
        <v>0.55212955426296695</v>
      </c>
      <c r="AL6857">
        <v>90.414364444917098</v>
      </c>
      <c r="AM6857">
        <v>86.894620499080503</v>
      </c>
      <c r="AN6857">
        <v>1.0000000241412299</v>
      </c>
    </row>
    <row r="6858" spans="1:40" x14ac:dyDescent="0.25">
      <c r="A6858" t="str">
        <f>"20190312161449723"</f>
        <v>20190312161449723</v>
      </c>
      <c r="B6858" t="str">
        <f>"1552378489713021"</f>
        <v>1552378489713021</v>
      </c>
      <c r="C6858" t="s">
        <v>40</v>
      </c>
      <c r="D6858">
        <v>4.8549360000000004</v>
      </c>
      <c r="E6858">
        <v>0.51027639999999996</v>
      </c>
      <c r="F6858" t="s">
        <v>43</v>
      </c>
      <c r="G6858">
        <v>-187.3683</v>
      </c>
      <c r="H6858">
        <v>1.0002869999999999</v>
      </c>
      <c r="I6858">
        <v>-32.503729999999997</v>
      </c>
      <c r="J6858">
        <v>-187.39840000000001</v>
      </c>
      <c r="K6858">
        <v>1.1093489999999999</v>
      </c>
      <c r="L6858">
        <v>-33.042479999999998</v>
      </c>
      <c r="M6858">
        <v>-5.222628E-2</v>
      </c>
      <c r="N6858">
        <v>0</v>
      </c>
      <c r="O6858">
        <v>0.99853860000000005</v>
      </c>
      <c r="P6858">
        <v>1.594207E-3</v>
      </c>
      <c r="Q6858">
        <v>-2.1253569999999999E-2</v>
      </c>
      <c r="R6858">
        <v>0.99977280000000002</v>
      </c>
      <c r="S6858">
        <v>7.0388790000000007E-2</v>
      </c>
      <c r="T6858">
        <v>-0.41804419999999998</v>
      </c>
      <c r="U6858">
        <v>2.9918209999999998</v>
      </c>
      <c r="V6858">
        <v>5.3795410000000002E-2</v>
      </c>
      <c r="W6858">
        <v>-7.4937569999999898E-3</v>
      </c>
      <c r="X6858">
        <v>0.99852379999999996</v>
      </c>
      <c r="Y6858">
        <v>7.5479640000000001E-2</v>
      </c>
      <c r="Z6858">
        <v>-0.1378856</v>
      </c>
      <c r="AA6858">
        <v>0.98756790000000005</v>
      </c>
      <c r="AB6858">
        <v>25</v>
      </c>
      <c r="AC6858">
        <v>3.0100000000004401E-2</v>
      </c>
      <c r="AD6858">
        <v>-0.10906199999999899</v>
      </c>
      <c r="AE6858">
        <v>0.53874999999999995</v>
      </c>
      <c r="AF6858">
        <v>5.5914299082557399E-2</v>
      </c>
      <c r="AG6858">
        <v>-0.10906199999999899</v>
      </c>
      <c r="AH6858">
        <v>0.51538757059368201</v>
      </c>
      <c r="AI6858">
        <v>101.88047506675299</v>
      </c>
      <c r="AJ6858">
        <v>83.8082085869667</v>
      </c>
      <c r="AK6858">
        <v>0.52975964041096102</v>
      </c>
      <c r="AL6858">
        <v>90.429364692853696</v>
      </c>
      <c r="AM6858">
        <v>86.916174610465703</v>
      </c>
      <c r="AN6858">
        <v>0.999999940848739</v>
      </c>
    </row>
    <row r="6859" spans="1:40" x14ac:dyDescent="0.25">
      <c r="A6859" t="str">
        <f>"20190312161449748"</f>
        <v>20190312161449748</v>
      </c>
      <c r="B6859" t="str">
        <f>"1552378489743277"</f>
        <v>1552378489743277</v>
      </c>
      <c r="C6859" t="s">
        <v>40</v>
      </c>
      <c r="D6859">
        <v>4.8832940000000002</v>
      </c>
      <c r="E6859">
        <v>0.51152819999999999</v>
      </c>
      <c r="F6859" t="s">
        <v>43</v>
      </c>
      <c r="G6859">
        <v>-187.37950000000001</v>
      </c>
      <c r="H6859">
        <v>0.96648990000000001</v>
      </c>
      <c r="I6859">
        <v>-32.296340000000001</v>
      </c>
      <c r="J6859">
        <v>-187.4109</v>
      </c>
      <c r="K6859">
        <v>1.109283</v>
      </c>
      <c r="L6859">
        <v>-32.77469</v>
      </c>
      <c r="M6859">
        <v>-5.0815720000000002E-2</v>
      </c>
      <c r="N6859">
        <v>0</v>
      </c>
      <c r="O6859">
        <v>0.99861149999999999</v>
      </c>
      <c r="P6859">
        <v>3.0792509999999999E-3</v>
      </c>
      <c r="Q6859">
        <v>-2.1366099999999999E-2</v>
      </c>
      <c r="R6859">
        <v>0.99976699999999996</v>
      </c>
      <c r="S6859">
        <v>7.5546260000000004E-2</v>
      </c>
      <c r="T6859">
        <v>-0.57213040000000004</v>
      </c>
      <c r="U6859">
        <v>2.9884029999999999</v>
      </c>
      <c r="V6859">
        <v>5.3866530000000003E-2</v>
      </c>
      <c r="W6859">
        <v>-7.6240830000000002E-3</v>
      </c>
      <c r="X6859">
        <v>0.99851909999999999</v>
      </c>
      <c r="Y6859">
        <v>7.5593960000000002E-2</v>
      </c>
      <c r="Z6859">
        <v>-0.18737390000000001</v>
      </c>
      <c r="AA6859">
        <v>0.97937560000000001</v>
      </c>
      <c r="AB6859">
        <v>25</v>
      </c>
      <c r="AC6859">
        <v>3.1399999999990699E-2</v>
      </c>
      <c r="AD6859">
        <v>-0.14279310000000001</v>
      </c>
      <c r="AE6859">
        <v>0.478349999999998</v>
      </c>
      <c r="AF6859">
        <v>5.1132626355064201E-2</v>
      </c>
      <c r="AG6859">
        <v>-0.14279310000000001</v>
      </c>
      <c r="AH6859">
        <v>0.43733289216188798</v>
      </c>
      <c r="AI6859">
        <v>107.96787139712001</v>
      </c>
      <c r="AJ6859">
        <v>83.331298700725</v>
      </c>
      <c r="AK6859">
        <v>0.462887106595397</v>
      </c>
      <c r="AL6859">
        <v>90.436831983743303</v>
      </c>
      <c r="AM6859">
        <v>86.912091030047307</v>
      </c>
      <c r="AN6859">
        <v>1.0000000613803099</v>
      </c>
    </row>
    <row r="6860" spans="1:40" x14ac:dyDescent="0.25">
      <c r="A6860" t="str">
        <f>"20190312161449768"</f>
        <v>20190312161449768</v>
      </c>
      <c r="B6860" t="str">
        <f>"1552378489763774"</f>
        <v>1552378489763774</v>
      </c>
      <c r="C6860" t="s">
        <v>40</v>
      </c>
      <c r="D6860">
        <v>4.9760960000000001</v>
      </c>
      <c r="E6860">
        <v>0.51176869999999997</v>
      </c>
      <c r="F6860" t="s">
        <v>43</v>
      </c>
      <c r="G6860">
        <v>-187.38910000000001</v>
      </c>
      <c r="H6860">
        <v>0.98167409999999999</v>
      </c>
      <c r="I6860">
        <v>-32.064909999999998</v>
      </c>
      <c r="J6860">
        <v>-187.42140000000001</v>
      </c>
      <c r="K6860">
        <v>1.1092379999999999</v>
      </c>
      <c r="L6860">
        <v>-32.540009999999903</v>
      </c>
      <c r="M6860">
        <v>-4.952339E-2</v>
      </c>
      <c r="N6860">
        <v>0</v>
      </c>
      <c r="O6860">
        <v>0.99867669999999997</v>
      </c>
      <c r="P6860">
        <v>4.5876629999999996E-3</v>
      </c>
      <c r="Q6860">
        <v>-2.236175E-2</v>
      </c>
      <c r="R6860">
        <v>0.99973939999999994</v>
      </c>
      <c r="S6860">
        <v>9.1842649999999998E-2</v>
      </c>
      <c r="T6860">
        <v>-0.53733920000000002</v>
      </c>
      <c r="U6860">
        <v>2.9889220000000001</v>
      </c>
      <c r="V6860">
        <v>5.4076600000000002E-2</v>
      </c>
      <c r="W6860">
        <v>-8.6463189999999995E-3</v>
      </c>
      <c r="X6860">
        <v>0.99849929999999998</v>
      </c>
      <c r="Y6860">
        <v>7.9697390000000007E-2</v>
      </c>
      <c r="Z6860">
        <v>-0.17629349999999999</v>
      </c>
      <c r="AA6860">
        <v>0.98110600000000003</v>
      </c>
      <c r="AB6860">
        <v>25</v>
      </c>
      <c r="AC6860">
        <v>3.2299999999992203E-2</v>
      </c>
      <c r="AD6860">
        <v>-0.12756389999999901</v>
      </c>
      <c r="AE6860">
        <v>0.47509999999999702</v>
      </c>
      <c r="AF6860">
        <v>5.20556662341587E-2</v>
      </c>
      <c r="AG6860">
        <v>-0.12756389999999901</v>
      </c>
      <c r="AH6860">
        <v>0.44125283288698303</v>
      </c>
      <c r="AI6860">
        <v>106.018974768172</v>
      </c>
      <c r="AJ6860">
        <v>83.2717763421429</v>
      </c>
      <c r="AK6860">
        <v>0.46226226700984402</v>
      </c>
      <c r="AL6860">
        <v>90.4954037871358</v>
      </c>
      <c r="AM6860">
        <v>86.900010818052493</v>
      </c>
      <c r="AN6860">
        <v>0.99999994480014798</v>
      </c>
    </row>
    <row r="6861" spans="1:40" x14ac:dyDescent="0.25">
      <c r="A6861" t="str">
        <f>"20190312161449791"</f>
        <v>20190312161449791</v>
      </c>
      <c r="B6861" t="str">
        <f>"1552378489783293"</f>
        <v>1552378489783293</v>
      </c>
      <c r="C6861" t="s">
        <v>40</v>
      </c>
      <c r="D6861">
        <v>4.9419719999999998</v>
      </c>
      <c r="E6861">
        <v>0.51177859999999997</v>
      </c>
      <c r="F6861" t="s">
        <v>43</v>
      </c>
      <c r="G6861">
        <v>-187.3912</v>
      </c>
      <c r="H6861">
        <v>0.94965089999999996</v>
      </c>
      <c r="I6861">
        <v>-31.63278</v>
      </c>
      <c r="J6861">
        <v>-187.43209999999999</v>
      </c>
      <c r="K6861">
        <v>1.109205</v>
      </c>
      <c r="L6861">
        <v>-32.292450000000002</v>
      </c>
      <c r="M6861">
        <v>-4.8120099999999999E-2</v>
      </c>
      <c r="N6861">
        <v>0</v>
      </c>
      <c r="O6861">
        <v>0.99874589999999996</v>
      </c>
      <c r="P6861">
        <v>6.7009900000000004E-3</v>
      </c>
      <c r="Q6861">
        <v>-2.304527E-2</v>
      </c>
      <c r="R6861">
        <v>0.99971200000000005</v>
      </c>
      <c r="S6861">
        <v>9.944153E-2</v>
      </c>
      <c r="T6861">
        <v>-0.52570039999999996</v>
      </c>
      <c r="U6861">
        <v>2.988556</v>
      </c>
      <c r="V6861">
        <v>5.4781110000000001E-2</v>
      </c>
      <c r="W6861">
        <v>-9.3801519999999992E-3</v>
      </c>
      <c r="X6861">
        <v>0.99845430000000002</v>
      </c>
      <c r="Y6861">
        <v>8.0814280000000002E-2</v>
      </c>
      <c r="Z6861">
        <v>-0.172614299999999</v>
      </c>
      <c r="AA6861">
        <v>0.98166869999999995</v>
      </c>
      <c r="AB6861">
        <v>25</v>
      </c>
      <c r="AC6861">
        <v>4.0899999999993497E-2</v>
      </c>
      <c r="AD6861">
        <v>-0.1595541</v>
      </c>
      <c r="AE6861">
        <v>0.65967000000000198</v>
      </c>
      <c r="AF6861">
        <v>6.8601168959361497E-2</v>
      </c>
      <c r="AG6861">
        <v>-0.1595541</v>
      </c>
      <c r="AH6861">
        <v>0.62076133703430403</v>
      </c>
      <c r="AI6861">
        <v>104.331071081773</v>
      </c>
      <c r="AJ6861">
        <v>83.693755598063007</v>
      </c>
      <c r="AK6861">
        <v>0.644599308691855</v>
      </c>
      <c r="AL6861">
        <v>90.537451016850298</v>
      </c>
      <c r="AM6861">
        <v>86.859563220595405</v>
      </c>
      <c r="AN6861">
        <v>0.99999997322643197</v>
      </c>
    </row>
    <row r="6862" spans="1:40" x14ac:dyDescent="0.25">
      <c r="A6862" t="str">
        <f>"20190312161449812"</f>
        <v>20190312161449812</v>
      </c>
      <c r="B6862" t="str">
        <f>"1552378489803789"</f>
        <v>1552378489803789</v>
      </c>
      <c r="C6862" t="s">
        <v>40</v>
      </c>
      <c r="D6862">
        <v>4.9416520000000004</v>
      </c>
      <c r="E6862">
        <v>0.51225189999999998</v>
      </c>
      <c r="F6862" t="s">
        <v>43</v>
      </c>
      <c r="G6862">
        <v>-187.4008</v>
      </c>
      <c r="H6862">
        <v>0.95296340000000002</v>
      </c>
      <c r="I6862">
        <v>-31.407810000000001</v>
      </c>
      <c r="J6862">
        <v>-187.44239999999999</v>
      </c>
      <c r="K6862">
        <v>1.109197</v>
      </c>
      <c r="L6862">
        <v>-32.04242</v>
      </c>
      <c r="M6862">
        <v>-4.6683139999999998E-2</v>
      </c>
      <c r="N6862">
        <v>0</v>
      </c>
      <c r="O6862">
        <v>0.99881489999999995</v>
      </c>
      <c r="P6862">
        <v>8.1150519999999993E-3</v>
      </c>
      <c r="Q6862">
        <v>-2.2884950000000001E-2</v>
      </c>
      <c r="R6862">
        <v>0.99970519999999996</v>
      </c>
      <c r="S6862">
        <v>0.10496519999999999</v>
      </c>
      <c r="T6862">
        <v>-0.52762449999999905</v>
      </c>
      <c r="U6862">
        <v>2.9880070000000001</v>
      </c>
      <c r="V6862">
        <v>5.4757159999999999E-2</v>
      </c>
      <c r="W6862">
        <v>-9.2784189999999996E-3</v>
      </c>
      <c r="X6862">
        <v>0.99845660000000003</v>
      </c>
      <c r="Y6862">
        <v>8.1194920000000004E-2</v>
      </c>
      <c r="Z6862">
        <v>-0.17326749999999999</v>
      </c>
      <c r="AA6862">
        <v>0.98152209999999995</v>
      </c>
      <c r="AB6862">
        <v>25</v>
      </c>
      <c r="AC6862">
        <v>4.1599999999988299E-2</v>
      </c>
      <c r="AD6862">
        <v>-0.156233599999999</v>
      </c>
      <c r="AE6862">
        <v>0.63461000000000201</v>
      </c>
      <c r="AF6862">
        <v>6.7131676044638197E-2</v>
      </c>
      <c r="AG6862">
        <v>-0.156233599999999</v>
      </c>
      <c r="AH6862">
        <v>0.59600711734660095</v>
      </c>
      <c r="AI6862">
        <v>104.60032891220899</v>
      </c>
      <c r="AJ6862">
        <v>83.573535789195205</v>
      </c>
      <c r="AK6862">
        <v>0.61979035457590603</v>
      </c>
      <c r="AL6862">
        <v>90.531621872535894</v>
      </c>
      <c r="AM6862">
        <v>86.860940672439099</v>
      </c>
      <c r="AN6862">
        <v>1.00000000885698</v>
      </c>
    </row>
    <row r="6863" spans="1:40" x14ac:dyDescent="0.25">
      <c r="A6863" t="str">
        <f>"20190312161449835"</f>
        <v>20190312161449835</v>
      </c>
      <c r="B6863" t="str">
        <f>"1552378489823309"</f>
        <v>1552378489823309</v>
      </c>
      <c r="C6863" t="s">
        <v>40</v>
      </c>
      <c r="D6863">
        <v>4.9512320000000001</v>
      </c>
      <c r="E6863">
        <v>0.51209919999999998</v>
      </c>
      <c r="F6863" t="s">
        <v>43</v>
      </c>
      <c r="G6863">
        <v>-187.40989999999999</v>
      </c>
      <c r="H6863">
        <v>0.95942260000000001</v>
      </c>
      <c r="I6863">
        <v>-31.181429999999999</v>
      </c>
      <c r="J6863">
        <v>-187.45230000000001</v>
      </c>
      <c r="K6863">
        <v>1.109194</v>
      </c>
      <c r="L6863">
        <v>-31.796970000000002</v>
      </c>
      <c r="M6863">
        <v>-4.5268490000000002E-2</v>
      </c>
      <c r="N6863">
        <v>0</v>
      </c>
      <c r="O6863">
        <v>0.99888089999999996</v>
      </c>
      <c r="P6863">
        <v>8.1073559999999996E-3</v>
      </c>
      <c r="Q6863">
        <v>-2.17094E-2</v>
      </c>
      <c r="R6863">
        <v>0.99973140000000005</v>
      </c>
      <c r="S6863">
        <v>0.1126099</v>
      </c>
      <c r="T6863">
        <v>-0.51977359999999995</v>
      </c>
      <c r="U6863">
        <v>2.9880680000000002</v>
      </c>
      <c r="V6863">
        <v>5.3339669999999999E-2</v>
      </c>
      <c r="W6863">
        <v>-8.1594359999999904E-3</v>
      </c>
      <c r="X6863">
        <v>0.99854310000000002</v>
      </c>
      <c r="Y6863">
        <v>8.2306939999999995E-2</v>
      </c>
      <c r="Z6863">
        <v>-0.17076329999999901</v>
      </c>
      <c r="AA6863">
        <v>0.98186830000000003</v>
      </c>
      <c r="AB6863">
        <v>25</v>
      </c>
      <c r="AC6863">
        <v>4.2400000000014801E-2</v>
      </c>
      <c r="AD6863">
        <v>-0.1497714</v>
      </c>
      <c r="AE6863">
        <v>0.61554000000000197</v>
      </c>
      <c r="AF6863">
        <v>6.6316121527914607E-2</v>
      </c>
      <c r="AG6863">
        <v>-0.1497714</v>
      </c>
      <c r="AH6863">
        <v>0.57887961595664505</v>
      </c>
      <c r="AI6863">
        <v>104.415520282787</v>
      </c>
      <c r="AJ6863">
        <v>83.464717904237105</v>
      </c>
      <c r="AK6863">
        <v>0.60160693978924296</v>
      </c>
      <c r="AL6863">
        <v>90.467506429064102</v>
      </c>
      <c r="AM6863">
        <v>86.942309135923495</v>
      </c>
      <c r="AN6863">
        <v>1.00000000967457</v>
      </c>
    </row>
    <row r="6864" spans="1:40" x14ac:dyDescent="0.25">
      <c r="A6864" t="str">
        <f>"20190312161449859"</f>
        <v>20190312161449859</v>
      </c>
      <c r="B6864" t="str">
        <f>"1552378489853565"</f>
        <v>1552378489853565</v>
      </c>
      <c r="C6864" t="s">
        <v>40</v>
      </c>
      <c r="D6864">
        <v>4.9926879999999896</v>
      </c>
      <c r="E6864">
        <v>0.51201960000000002</v>
      </c>
      <c r="F6864" t="s">
        <v>43</v>
      </c>
      <c r="G6864">
        <v>-187.4204</v>
      </c>
      <c r="H6864">
        <v>0.96700240000000004</v>
      </c>
      <c r="I6864">
        <v>-30.954709999999999</v>
      </c>
      <c r="J6864">
        <v>-187.46260000000001</v>
      </c>
      <c r="K6864">
        <v>1.1091899999999999</v>
      </c>
      <c r="L6864">
        <v>-31.53152</v>
      </c>
      <c r="M6864">
        <v>-4.3744989999999997E-2</v>
      </c>
      <c r="N6864">
        <v>0</v>
      </c>
      <c r="O6864">
        <v>0.9989498</v>
      </c>
      <c r="P6864">
        <v>7.8354329999999993E-3</v>
      </c>
      <c r="Q6864">
        <v>-2.1455780000000001E-2</v>
      </c>
      <c r="R6864">
        <v>0.99973909999999999</v>
      </c>
      <c r="S6864">
        <v>0.11270139999999999</v>
      </c>
      <c r="T6864">
        <v>-0.50450660000000003</v>
      </c>
      <c r="U6864">
        <v>2.9889220000000001</v>
      </c>
      <c r="V6864">
        <v>5.1546290000000002E-2</v>
      </c>
      <c r="W6864">
        <v>-7.9702179999999994E-3</v>
      </c>
      <c r="X6864">
        <v>0.99863880000000005</v>
      </c>
      <c r="Y6864">
        <v>8.0838049999999995E-2</v>
      </c>
      <c r="Z6864">
        <v>-0.1658693</v>
      </c>
      <c r="AA6864">
        <v>0.98282890000000001</v>
      </c>
      <c r="AB6864">
        <v>25</v>
      </c>
      <c r="AC6864">
        <v>4.2200000000008203E-2</v>
      </c>
      <c r="AD6864">
        <v>-0.142187599999999</v>
      </c>
      <c r="AE6864">
        <v>0.57681000000000104</v>
      </c>
      <c r="AF6864">
        <v>6.3553197780624099E-2</v>
      </c>
      <c r="AG6864">
        <v>-0.142187599999999</v>
      </c>
      <c r="AH6864">
        <v>0.54167174905742399</v>
      </c>
      <c r="AI6864">
        <v>104.612282332303</v>
      </c>
      <c r="AJ6864">
        <v>83.308201819245895</v>
      </c>
      <c r="AK6864">
        <v>0.56361742899668399</v>
      </c>
      <c r="AL6864">
        <v>90.456664688803201</v>
      </c>
      <c r="AM6864">
        <v>87.045211760709506</v>
      </c>
      <c r="AN6864">
        <v>0.99999999862658495</v>
      </c>
    </row>
    <row r="6865" spans="1:40" x14ac:dyDescent="0.25">
      <c r="A6865" t="str">
        <f>"20190312161449881"</f>
        <v>20190312161449881</v>
      </c>
      <c r="B6865" t="str">
        <f>"1552378489873085"</f>
        <v>1552378489873085</v>
      </c>
      <c r="C6865" t="s">
        <v>40</v>
      </c>
      <c r="D6865">
        <v>4.9987110000000001</v>
      </c>
      <c r="E6865">
        <v>0.51200869999999998</v>
      </c>
      <c r="F6865" t="s">
        <v>43</v>
      </c>
      <c r="G6865">
        <v>-187.4323</v>
      </c>
      <c r="H6865">
        <v>0.97679669999999996</v>
      </c>
      <c r="I6865">
        <v>-30.72711</v>
      </c>
      <c r="J6865">
        <v>-187.47190000000001</v>
      </c>
      <c r="K6865">
        <v>1.109183</v>
      </c>
      <c r="L6865">
        <v>-31.28192</v>
      </c>
      <c r="M6865">
        <v>-4.2325790000000002E-2</v>
      </c>
      <c r="N6865">
        <v>0</v>
      </c>
      <c r="O6865">
        <v>0.99901180000000001</v>
      </c>
      <c r="P6865">
        <v>8.3389309999999904E-3</v>
      </c>
      <c r="Q6865">
        <v>-2.2133690000000001E-2</v>
      </c>
      <c r="R6865">
        <v>0.99972019999999995</v>
      </c>
      <c r="S6865">
        <v>0.1122894</v>
      </c>
      <c r="T6865">
        <v>-0.49196240000000002</v>
      </c>
      <c r="U6865">
        <v>2.9893489999999998</v>
      </c>
      <c r="V6865">
        <v>5.06285E-2</v>
      </c>
      <c r="W6865">
        <v>-8.7109990000000005E-3</v>
      </c>
      <c r="X6865">
        <v>0.9986796</v>
      </c>
      <c r="Y6865">
        <v>7.9306600000000005E-2</v>
      </c>
      <c r="Z6865">
        <v>-0.1618578</v>
      </c>
      <c r="AA6865">
        <v>0.98362210000000005</v>
      </c>
      <c r="AB6865">
        <v>25</v>
      </c>
      <c r="AC6865">
        <v>3.9600000000007102E-2</v>
      </c>
      <c r="AD6865">
        <v>-0.13238630000000001</v>
      </c>
      <c r="AE6865">
        <v>0.55481000000000302</v>
      </c>
      <c r="AF6865">
        <v>5.9669247485404003E-2</v>
      </c>
      <c r="AG6865">
        <v>-0.13238630000000001</v>
      </c>
      <c r="AH6865">
        <v>0.52300865958796305</v>
      </c>
      <c r="AI6865">
        <v>104.11672811585601</v>
      </c>
      <c r="AJ6865">
        <v>83.491355168381006</v>
      </c>
      <c r="AK6865">
        <v>0.54279333961201304</v>
      </c>
      <c r="AL6865">
        <v>90.499109772916299</v>
      </c>
      <c r="AM6865">
        <v>87.097849847582793</v>
      </c>
      <c r="AN6865">
        <v>1.0000000349859901</v>
      </c>
    </row>
    <row r="6866" spans="1:40" x14ac:dyDescent="0.25">
      <c r="A6866" t="str">
        <f>"20190312161449904"</f>
        <v>20190312161449904</v>
      </c>
      <c r="B6866" t="str">
        <f>"1552378489893582"</f>
        <v>1552378489893582</v>
      </c>
      <c r="C6866" t="s">
        <v>40</v>
      </c>
      <c r="D6866">
        <v>4.9891769999999998</v>
      </c>
      <c r="E6866">
        <v>0.51192369999999998</v>
      </c>
      <c r="F6866" t="s">
        <v>43</v>
      </c>
      <c r="G6866">
        <v>-187.44200000000001</v>
      </c>
      <c r="H6866">
        <v>0.9810333</v>
      </c>
      <c r="I6866">
        <v>-30.502310000000001</v>
      </c>
      <c r="J6866">
        <v>-187.48089999999999</v>
      </c>
      <c r="K6866">
        <v>1.109183</v>
      </c>
      <c r="L6866">
        <v>-31.02936</v>
      </c>
      <c r="M6866">
        <v>-4.0904639999999999E-2</v>
      </c>
      <c r="N6866">
        <v>0</v>
      </c>
      <c r="O6866">
        <v>0.99907179999999995</v>
      </c>
      <c r="P6866">
        <v>9.1875610000000003E-3</v>
      </c>
      <c r="Q6866">
        <v>-2.3344009999999998E-2</v>
      </c>
      <c r="R6866">
        <v>0.9996853</v>
      </c>
      <c r="S6866">
        <v>0.1137543</v>
      </c>
      <c r="T6866">
        <v>-0.49121049999999999</v>
      </c>
      <c r="U6866">
        <v>2.9890140000000001</v>
      </c>
      <c r="V6866">
        <v>5.0051789999999999E-2</v>
      </c>
      <c r="W6866">
        <v>-9.9823459999999996E-3</v>
      </c>
      <c r="X6866">
        <v>0.99869669999999999</v>
      </c>
      <c r="Y6866">
        <v>7.8375410000000006E-2</v>
      </c>
      <c r="Z6866">
        <v>-0.16165350000000001</v>
      </c>
      <c r="AA6866">
        <v>0.9837304</v>
      </c>
      <c r="AB6866">
        <v>25</v>
      </c>
      <c r="AC6866">
        <v>3.8899999999983899E-2</v>
      </c>
      <c r="AD6866">
        <v>-0.12814969999999901</v>
      </c>
      <c r="AE6866">
        <v>0.52704999999999902</v>
      </c>
      <c r="AF6866">
        <v>5.7072377395929803E-2</v>
      </c>
      <c r="AG6866">
        <v>-0.12814969999999901</v>
      </c>
      <c r="AH6866">
        <v>0.49586118123024597</v>
      </c>
      <c r="AI6866">
        <v>104.399317302732</v>
      </c>
      <c r="AJ6866">
        <v>83.434290796985493</v>
      </c>
      <c r="AK6866">
        <v>0.51532311506740003</v>
      </c>
      <c r="AL6866">
        <v>90.571955815408799</v>
      </c>
      <c r="AM6866">
        <v>87.130901772871596</v>
      </c>
      <c r="AN6866">
        <v>0.99999996375237798</v>
      </c>
    </row>
    <row r="6867" spans="1:40" x14ac:dyDescent="0.25">
      <c r="A6867" t="str">
        <f>"20190312161449925"</f>
        <v>20190312161449925</v>
      </c>
      <c r="B6867" t="str">
        <f>"1552378489914077"</f>
        <v>1552378489914077</v>
      </c>
      <c r="C6867" t="s">
        <v>40</v>
      </c>
      <c r="D6867">
        <v>4.9237229999999998</v>
      </c>
      <c r="E6867">
        <v>0.50183169999999999</v>
      </c>
      <c r="F6867" t="s">
        <v>43</v>
      </c>
      <c r="G6867">
        <v>-187.452</v>
      </c>
      <c r="H6867">
        <v>0.98453040000000003</v>
      </c>
      <c r="I6867">
        <v>-30.278030000000001</v>
      </c>
      <c r="J6867">
        <v>-187.48910000000001</v>
      </c>
      <c r="K6867">
        <v>1.1091839999999999</v>
      </c>
      <c r="L6867">
        <v>-30.792760000000001</v>
      </c>
      <c r="M6867">
        <v>-3.9583760000000003E-2</v>
      </c>
      <c r="N6867">
        <v>0</v>
      </c>
      <c r="O6867">
        <v>0.99912579999999995</v>
      </c>
      <c r="P6867">
        <v>1.0068809999999999E-2</v>
      </c>
      <c r="Q6867">
        <v>-2.462025E-2</v>
      </c>
      <c r="R6867">
        <v>0.99964620000000004</v>
      </c>
      <c r="S6867">
        <v>0.1151123</v>
      </c>
      <c r="T6867">
        <v>-0.49579289999999998</v>
      </c>
      <c r="U6867">
        <v>2.9883120000000001</v>
      </c>
      <c r="V6867">
        <v>4.9607749999999999E-2</v>
      </c>
      <c r="W6867">
        <v>-1.131572E-2</v>
      </c>
      <c r="X6867">
        <v>0.9987047</v>
      </c>
      <c r="Y6867">
        <v>7.7503000000000002E-2</v>
      </c>
      <c r="Z6867">
        <v>-0.16317579999999901</v>
      </c>
      <c r="AA6867">
        <v>0.98354819999999998</v>
      </c>
      <c r="AB6867">
        <v>25</v>
      </c>
      <c r="AC6867">
        <v>3.7100000000009403E-2</v>
      </c>
      <c r="AD6867">
        <v>-0.124653599999999</v>
      </c>
      <c r="AE6867">
        <v>0.51473000000000002</v>
      </c>
      <c r="AF6867">
        <v>5.4280723562291501E-2</v>
      </c>
      <c r="AG6867">
        <v>-0.124653599999999</v>
      </c>
      <c r="AH6867">
        <v>0.48458492691188099</v>
      </c>
      <c r="AI6867">
        <v>104.339927897942</v>
      </c>
      <c r="AJ6867">
        <v>83.608662556273501</v>
      </c>
      <c r="AK6867">
        <v>0.50329660075704696</v>
      </c>
      <c r="AL6867">
        <v>90.648356818268198</v>
      </c>
      <c r="AM6867">
        <v>87.156336071495303</v>
      </c>
      <c r="AN6867">
        <v>1.0000000260906301</v>
      </c>
    </row>
    <row r="6868" spans="1:40" x14ac:dyDescent="0.25">
      <c r="A6868" t="str">
        <f>"20190312161449947"</f>
        <v>20190312161449947</v>
      </c>
      <c r="B6868" t="str">
        <f>"1552378489943358"</f>
        <v>1552378489943358</v>
      </c>
      <c r="C6868" t="s">
        <v>40</v>
      </c>
      <c r="D6868">
        <v>5.0841260000000004</v>
      </c>
      <c r="E6868">
        <v>0.49607899999999999</v>
      </c>
      <c r="F6868" t="s">
        <v>43</v>
      </c>
      <c r="G6868">
        <v>-187.47810000000001</v>
      </c>
      <c r="H6868">
        <v>1.0494460000000001</v>
      </c>
      <c r="I6868">
        <v>-30.020890000000001</v>
      </c>
      <c r="J6868">
        <v>-187.49709999999999</v>
      </c>
      <c r="K6868">
        <v>1.109183</v>
      </c>
      <c r="L6868">
        <v>-30.552980000000002</v>
      </c>
      <c r="M6868">
        <v>-3.8252910000000001E-2</v>
      </c>
      <c r="N6868">
        <v>0</v>
      </c>
      <c r="O6868">
        <v>0.99917849999999997</v>
      </c>
      <c r="P6868">
        <v>1.104109E-2</v>
      </c>
      <c r="Q6868">
        <v>-2.5603620000000001E-2</v>
      </c>
      <c r="R6868">
        <v>0.99961120000000003</v>
      </c>
      <c r="S6868">
        <v>4.2022709999999998E-2</v>
      </c>
      <c r="T6868">
        <v>-0.23165920000000001</v>
      </c>
      <c r="U6868">
        <v>2.9949340000000002</v>
      </c>
      <c r="V6868">
        <v>4.9245740000000003E-2</v>
      </c>
      <c r="W6868">
        <v>-1.235781E-2</v>
      </c>
      <c r="X6868">
        <v>0.99871019999999999</v>
      </c>
      <c r="Y6868">
        <v>5.2230440000000003E-2</v>
      </c>
      <c r="Z6868">
        <v>-7.6978950000000004E-2</v>
      </c>
      <c r="AA6868">
        <v>0.99566370000000004</v>
      </c>
      <c r="AB6868">
        <v>25</v>
      </c>
      <c r="AC6868">
        <v>1.8999999999977001E-2</v>
      </c>
      <c r="AD6868">
        <v>-5.9737000000000103E-2</v>
      </c>
      <c r="AE6868">
        <v>0.53208999999999596</v>
      </c>
      <c r="AF6868">
        <v>3.8852817856282397E-2</v>
      </c>
      <c r="AG6868">
        <v>-5.9737000000000103E-2</v>
      </c>
      <c r="AH6868">
        <v>0.52437271540452901</v>
      </c>
      <c r="AI6868">
        <v>96.481551422248302</v>
      </c>
      <c r="AJ6868">
        <v>85.762475642315707</v>
      </c>
      <c r="AK6868">
        <v>0.52919258808593705</v>
      </c>
      <c r="AL6868">
        <v>90.708068407600194</v>
      </c>
      <c r="AM6868">
        <v>87.177069393990905</v>
      </c>
      <c r="AN6868">
        <v>0.99999996098009103</v>
      </c>
    </row>
    <row r="6869" spans="1:40" x14ac:dyDescent="0.25">
      <c r="A6869" t="str">
        <f>"20190312161449969"</f>
        <v>20190312161449969</v>
      </c>
      <c r="B6869" t="str">
        <f>"1552378489963853"</f>
        <v>1552378489963853</v>
      </c>
      <c r="C6869" t="s">
        <v>40</v>
      </c>
      <c r="D6869">
        <v>5.0269079999999997</v>
      </c>
      <c r="E6869">
        <v>0.4948632</v>
      </c>
      <c r="F6869" t="s">
        <v>42</v>
      </c>
      <c r="G6869">
        <v>-187.49639999999999</v>
      </c>
      <c r="H6869" s="1">
        <v>-3.786181E-6</v>
      </c>
      <c r="I6869">
        <v>-12.57672</v>
      </c>
      <c r="J6869">
        <v>-187.505</v>
      </c>
      <c r="K6869">
        <v>1.1091759999999999</v>
      </c>
      <c r="L6869">
        <v>-30.304200000000002</v>
      </c>
      <c r="M6869">
        <v>-3.6880019999999999E-2</v>
      </c>
      <c r="N6869">
        <v>0</v>
      </c>
      <c r="O6869">
        <v>0.99923090000000003</v>
      </c>
      <c r="P6869">
        <v>1.1810319999999999E-2</v>
      </c>
      <c r="Q6869">
        <v>-2.5937370000000001E-2</v>
      </c>
      <c r="R6869">
        <v>0.99959379999999998</v>
      </c>
      <c r="S6869">
        <v>1.068115E-4</v>
      </c>
      <c r="T6869">
        <v>-0.18488840000000001</v>
      </c>
      <c r="U6869">
        <v>2.996429</v>
      </c>
      <c r="V6869">
        <v>4.8641200000000002E-2</v>
      </c>
      <c r="W6869">
        <v>-1.274818E-2</v>
      </c>
      <c r="X6869">
        <v>0.99873500000000004</v>
      </c>
      <c r="Y6869">
        <v>3.691883E-2</v>
      </c>
      <c r="Z6869">
        <v>-6.1501960000000001E-2</v>
      </c>
      <c r="AA6869">
        <v>0.99742390000000003</v>
      </c>
      <c r="AB6869">
        <v>25</v>
      </c>
      <c r="AC6869">
        <v>8.6000000000012698E-3</v>
      </c>
      <c r="AD6869">
        <v>-1.109179786181</v>
      </c>
      <c r="AE6869">
        <v>17.72748</v>
      </c>
      <c r="AF6869">
        <v>0.65985877162748596</v>
      </c>
      <c r="AG6869">
        <v>-1.109179786181</v>
      </c>
      <c r="AH6869">
        <v>17.646019997960899</v>
      </c>
      <c r="AI6869">
        <v>93.594216087992507</v>
      </c>
      <c r="AJ6869">
        <v>87.858468071830799</v>
      </c>
      <c r="AK6869">
        <v>17.693154471857302</v>
      </c>
      <c r="AL6869">
        <v>90.730436665814807</v>
      </c>
      <c r="AM6869">
        <v>87.211737750300998</v>
      </c>
      <c r="AN6869">
        <v>1.00000004132787</v>
      </c>
    </row>
    <row r="6870" spans="1:40" x14ac:dyDescent="0.25">
      <c r="A6870" t="str">
        <f>"20190312161449993"</f>
        <v>20190312161449993</v>
      </c>
      <c r="B6870" t="str">
        <f>"1552378489983374"</f>
        <v>1552378489983374</v>
      </c>
      <c r="C6870" t="s">
        <v>40</v>
      </c>
      <c r="D6870">
        <v>4.9776420000000003</v>
      </c>
      <c r="E6870">
        <v>0.49463659999999998</v>
      </c>
      <c r="F6870" t="s">
        <v>43</v>
      </c>
      <c r="G6870">
        <v>-187.50720000000001</v>
      </c>
      <c r="H6870">
        <v>1.049366</v>
      </c>
      <c r="I6870">
        <v>-29.34759</v>
      </c>
      <c r="J6870">
        <v>-187.51310000000001</v>
      </c>
      <c r="K6870">
        <v>1.1091789999999999</v>
      </c>
      <c r="L6870">
        <v>-30.037510000000001</v>
      </c>
      <c r="M6870">
        <v>-3.5416419999999997E-2</v>
      </c>
      <c r="N6870">
        <v>0</v>
      </c>
      <c r="O6870">
        <v>0.99928470000000003</v>
      </c>
      <c r="P6870">
        <v>1.3855009999999999E-2</v>
      </c>
      <c r="Q6870">
        <v>-2.6256649999999999E-2</v>
      </c>
      <c r="R6870">
        <v>0.99955919999999998</v>
      </c>
      <c r="S6870">
        <v>-7.125854E-3</v>
      </c>
      <c r="T6870">
        <v>-0.1873252</v>
      </c>
      <c r="U6870">
        <v>2.996429</v>
      </c>
      <c r="V6870">
        <v>4.9220220000000002E-2</v>
      </c>
      <c r="W6870">
        <v>-1.313068E-2</v>
      </c>
      <c r="X6870">
        <v>0.99870159999999997</v>
      </c>
      <c r="Y6870">
        <v>3.3047420000000001E-2</v>
      </c>
      <c r="Z6870">
        <v>-6.2318539999999999E-2</v>
      </c>
      <c r="AA6870">
        <v>0.99750899999999998</v>
      </c>
      <c r="AB6870">
        <v>25</v>
      </c>
      <c r="AC6870">
        <v>5.8999999999968999E-3</v>
      </c>
      <c r="AD6870">
        <v>-5.9813000000000102E-2</v>
      </c>
      <c r="AE6870">
        <v>0.68991999999999298</v>
      </c>
      <c r="AF6870">
        <v>3.0106673256966299E-2</v>
      </c>
      <c r="AG6870">
        <v>-5.9813000000000102E-2</v>
      </c>
      <c r="AH6870">
        <v>0.68413644611878899</v>
      </c>
      <c r="AI6870">
        <v>94.991770366039702</v>
      </c>
      <c r="AJ6870">
        <v>87.480220387671395</v>
      </c>
      <c r="AK6870">
        <v>0.687405763469909</v>
      </c>
      <c r="AL6870">
        <v>90.752354192773396</v>
      </c>
      <c r="AM6870">
        <v>87.178505664418793</v>
      </c>
      <c r="AN6870">
        <v>0.99999996532833402</v>
      </c>
    </row>
    <row r="6871" spans="1:40" x14ac:dyDescent="0.25">
      <c r="A6871" t="str">
        <f>"20190312161450014"</f>
        <v>20190312161450014</v>
      </c>
      <c r="B6871" t="str">
        <f>"1552378490003869"</f>
        <v>1552378490003869</v>
      </c>
      <c r="C6871" t="s">
        <v>40</v>
      </c>
      <c r="D6871">
        <v>4.9890400000000001</v>
      </c>
      <c r="E6871">
        <v>0.49491230000000003</v>
      </c>
      <c r="F6871" t="s">
        <v>42</v>
      </c>
      <c r="G6871">
        <v>-187.5291</v>
      </c>
      <c r="H6871" s="1">
        <v>-4.14736E-6</v>
      </c>
      <c r="I6871">
        <v>-11.721310000000001</v>
      </c>
      <c r="J6871">
        <v>-187.51990000000001</v>
      </c>
      <c r="K6871">
        <v>1.1091850000000001</v>
      </c>
      <c r="L6871">
        <v>-29.804079999999999</v>
      </c>
      <c r="M6871">
        <v>-3.414118E-2</v>
      </c>
      <c r="N6871">
        <v>0</v>
      </c>
      <c r="O6871">
        <v>0.99932980000000005</v>
      </c>
      <c r="P6871">
        <v>1.491722E-2</v>
      </c>
      <c r="Q6871">
        <v>-2.5672509999999999E-2</v>
      </c>
      <c r="R6871">
        <v>0.99955910000000003</v>
      </c>
      <c r="S6871">
        <v>-2.6092530000000002E-3</v>
      </c>
      <c r="T6871">
        <v>-0.1814656</v>
      </c>
      <c r="U6871">
        <v>2.9965820000000001</v>
      </c>
      <c r="V6871">
        <v>4.9009089999999998E-2</v>
      </c>
      <c r="W6871">
        <v>-1.259948E-2</v>
      </c>
      <c r="X6871">
        <v>0.99871889999999997</v>
      </c>
      <c r="Y6871">
        <v>3.3275480000000003E-2</v>
      </c>
      <c r="Z6871">
        <v>-6.0377210000000001E-2</v>
      </c>
      <c r="AA6871">
        <v>0.99762079999999997</v>
      </c>
      <c r="AB6871">
        <v>25</v>
      </c>
      <c r="AC6871">
        <v>-9.1999999999927695E-3</v>
      </c>
      <c r="AD6871">
        <v>-1.10918914736</v>
      </c>
      <c r="AE6871">
        <v>18.08277</v>
      </c>
      <c r="AF6871">
        <v>0.60594639196797195</v>
      </c>
      <c r="AG6871">
        <v>-1.10918914736</v>
      </c>
      <c r="AH6871">
        <v>18.004796615882899</v>
      </c>
      <c r="AI6871">
        <v>93.523273221885304</v>
      </c>
      <c r="AJ6871">
        <v>88.072454092091803</v>
      </c>
      <c r="AK6871">
        <v>18.049104486756999</v>
      </c>
      <c r="AL6871">
        <v>90.721916100719795</v>
      </c>
      <c r="AM6871">
        <v>87.190637612555506</v>
      </c>
      <c r="AN6871">
        <v>1.0000000395080499</v>
      </c>
    </row>
    <row r="6872" spans="1:40" x14ac:dyDescent="0.25">
      <c r="A6872" t="str">
        <f>"20190312161450037"</f>
        <v>20190312161450037</v>
      </c>
      <c r="B6872" t="str">
        <f>"1552378490033149"</f>
        <v>1552378490033149</v>
      </c>
      <c r="C6872" t="s">
        <v>40</v>
      </c>
      <c r="D6872">
        <v>5.1056800000000004</v>
      </c>
      <c r="E6872">
        <v>0.4952357</v>
      </c>
      <c r="F6872" t="s">
        <v>42</v>
      </c>
      <c r="G6872">
        <v>-187.50309999999999</v>
      </c>
      <c r="H6872" s="1">
        <v>-4.4965659999999998E-6</v>
      </c>
      <c r="I6872">
        <v>-10.918049999999999</v>
      </c>
      <c r="J6872">
        <v>-187.52699999999999</v>
      </c>
      <c r="K6872">
        <v>1.109194</v>
      </c>
      <c r="L6872">
        <v>-29.548249999999999</v>
      </c>
      <c r="M6872">
        <v>-3.2755670000000001E-2</v>
      </c>
      <c r="N6872">
        <v>0</v>
      </c>
      <c r="O6872">
        <v>0.99937710000000002</v>
      </c>
      <c r="P6872">
        <v>1.5354639999999999E-2</v>
      </c>
      <c r="Q6872">
        <v>-2.4779220000000001E-2</v>
      </c>
      <c r="R6872">
        <v>0.99957499999999999</v>
      </c>
      <c r="S6872">
        <v>2.6702879999999998E-3</v>
      </c>
      <c r="T6872">
        <v>-0.17600199999999999</v>
      </c>
      <c r="U6872">
        <v>2.9967649999999999</v>
      </c>
      <c r="V6872">
        <v>4.8064679999999999E-2</v>
      </c>
      <c r="W6872">
        <v>-1.176718E-2</v>
      </c>
      <c r="X6872">
        <v>0.99877490000000002</v>
      </c>
      <c r="Y6872">
        <v>3.364752E-2</v>
      </c>
      <c r="Z6872">
        <v>-5.8565859999999997E-2</v>
      </c>
      <c r="AA6872">
        <v>0.9977163</v>
      </c>
      <c r="AB6872">
        <v>25</v>
      </c>
      <c r="AC6872">
        <v>2.3900000000026001E-2</v>
      </c>
      <c r="AD6872">
        <v>-1.109198496566</v>
      </c>
      <c r="AE6872">
        <v>18.630199999999999</v>
      </c>
      <c r="AF6872">
        <v>0.63194441928702605</v>
      </c>
      <c r="AG6872">
        <v>-1.109198496566</v>
      </c>
      <c r="AH6872">
        <v>18.553650551503601</v>
      </c>
      <c r="AI6872">
        <v>93.419280779015594</v>
      </c>
      <c r="AJ6872">
        <v>88.049238013971205</v>
      </c>
      <c r="AK6872">
        <v>18.597516604137301</v>
      </c>
      <c r="AL6872">
        <v>90.674225317440303</v>
      </c>
      <c r="AM6872">
        <v>87.244844309187499</v>
      </c>
      <c r="AN6872">
        <v>0.99999999042933196</v>
      </c>
    </row>
    <row r="6873" spans="1:40" x14ac:dyDescent="0.25">
      <c r="A6873" t="str">
        <f>"20190312161450059"</f>
        <v>20190312161450059</v>
      </c>
      <c r="B6873" t="str">
        <f>"1552378490053644"</f>
        <v>1552378490053644</v>
      </c>
      <c r="C6873" t="s">
        <v>40</v>
      </c>
      <c r="D6873">
        <v>4.7486879999999996</v>
      </c>
      <c r="E6873">
        <v>0.49487300000000001</v>
      </c>
      <c r="F6873" t="s">
        <v>42</v>
      </c>
      <c r="G6873">
        <v>-187.47749999999999</v>
      </c>
      <c r="H6873" s="1">
        <v>-1.32067999999999E-6</v>
      </c>
      <c r="I6873">
        <v>-8.4433100000000003</v>
      </c>
      <c r="J6873">
        <v>-187.53360000000001</v>
      </c>
      <c r="K6873">
        <v>1.1092070000000001</v>
      </c>
      <c r="L6873">
        <v>-29.300319999999999</v>
      </c>
      <c r="M6873">
        <v>-3.1434360000000001E-2</v>
      </c>
      <c r="N6873">
        <v>0</v>
      </c>
      <c r="O6873">
        <v>0.99942050000000004</v>
      </c>
      <c r="P6873">
        <v>1.5244209999999999E-2</v>
      </c>
      <c r="Q6873">
        <v>-2.469872E-2</v>
      </c>
      <c r="R6873">
        <v>0.99957870000000004</v>
      </c>
      <c r="S6873">
        <v>7.0343019999999897E-3</v>
      </c>
      <c r="T6873">
        <v>-0.1575242</v>
      </c>
      <c r="U6873">
        <v>2.9972530000000002</v>
      </c>
      <c r="V6873">
        <v>4.663465E-2</v>
      </c>
      <c r="W6873">
        <v>-1.17556E-2</v>
      </c>
      <c r="X6873">
        <v>0.99884280000000003</v>
      </c>
      <c r="Y6873">
        <v>3.3779459999999997E-2</v>
      </c>
      <c r="Z6873">
        <v>-5.2429820000000002E-2</v>
      </c>
      <c r="AA6873">
        <v>0.99805310000000003</v>
      </c>
      <c r="AB6873">
        <v>25</v>
      </c>
      <c r="AC6873">
        <v>5.6100000000014902E-2</v>
      </c>
      <c r="AD6873">
        <v>-1.1092083206799901</v>
      </c>
      <c r="AE6873">
        <v>20.857009999999999</v>
      </c>
      <c r="AF6873">
        <v>0.709747597499502</v>
      </c>
      <c r="AG6873">
        <v>-1.1092083206799901</v>
      </c>
      <c r="AH6873">
        <v>20.786148884666499</v>
      </c>
      <c r="AI6873">
        <v>93.052793645274605</v>
      </c>
      <c r="AJ6873">
        <v>88.0443828629422</v>
      </c>
      <c r="AK6873">
        <v>20.8278196219946</v>
      </c>
      <c r="AL6873">
        <v>90.673561805621503</v>
      </c>
      <c r="AM6873">
        <v>87.326876984157096</v>
      </c>
      <c r="AN6873">
        <v>0.99999996191190998</v>
      </c>
    </row>
    <row r="6874" spans="1:40" x14ac:dyDescent="0.25">
      <c r="A6874" t="str">
        <f>"20190312161450105"</f>
        <v>20190312161450105</v>
      </c>
      <c r="B6874" t="str">
        <f>"1552378490093662"</f>
        <v>1552378490093662</v>
      </c>
      <c r="C6874" t="s">
        <v>40</v>
      </c>
      <c r="D6874">
        <v>3.4989729999999999</v>
      </c>
      <c r="E6874">
        <v>0.5069034</v>
      </c>
      <c r="F6874" t="s">
        <v>42</v>
      </c>
      <c r="G6874">
        <v>-187.5094</v>
      </c>
      <c r="H6874" s="1">
        <v>-1.1377449999999999E-6</v>
      </c>
      <c r="I6874">
        <v>-8.9559569999999997</v>
      </c>
      <c r="J6874">
        <v>-187.5461</v>
      </c>
      <c r="K6874">
        <v>1.109245</v>
      </c>
      <c r="L6874">
        <v>-28.798030000000001</v>
      </c>
      <c r="M6874">
        <v>-2.8869530000000001E-2</v>
      </c>
      <c r="N6874">
        <v>0</v>
      </c>
      <c r="O6874">
        <v>0.99950030000000001</v>
      </c>
      <c r="P6874">
        <v>1.535043E-2</v>
      </c>
      <c r="Q6874">
        <v>-2.2794519999999999E-2</v>
      </c>
      <c r="R6874">
        <v>0.99962229999999996</v>
      </c>
      <c r="S6874">
        <v>3.5705569999999998E-3</v>
      </c>
      <c r="T6874">
        <v>-0.16341020000000001</v>
      </c>
      <c r="U6874">
        <v>2.9971619999999999</v>
      </c>
      <c r="V6874">
        <v>4.4184460000000002E-2</v>
      </c>
      <c r="W6874">
        <v>-1.002874E-2</v>
      </c>
      <c r="X6874">
        <v>0.99897309999999995</v>
      </c>
      <c r="Y6874">
        <v>3.0060940000000001E-2</v>
      </c>
      <c r="Z6874">
        <v>-5.4394440000000002E-2</v>
      </c>
      <c r="AA6874">
        <v>0.99806689999999998</v>
      </c>
      <c r="AB6874">
        <v>25</v>
      </c>
      <c r="AC6874">
        <v>3.6699999999996097E-2</v>
      </c>
      <c r="AD6874">
        <v>-1.109246137745</v>
      </c>
      <c r="AE6874">
        <v>19.842072999999999</v>
      </c>
      <c r="AF6874">
        <v>0.60766440377222697</v>
      </c>
      <c r="AG6874">
        <v>-1.109246137745</v>
      </c>
      <c r="AH6874">
        <v>19.770953087423301</v>
      </c>
      <c r="AI6874">
        <v>93.209691450067695</v>
      </c>
      <c r="AJ6874">
        <v>88.239556355897193</v>
      </c>
      <c r="AK6874">
        <v>19.8113671665235</v>
      </c>
      <c r="AL6874">
        <v>90.5746140803668</v>
      </c>
      <c r="AM6874">
        <v>87.467465157265707</v>
      </c>
      <c r="AN6874">
        <v>1.00000004832754</v>
      </c>
    </row>
    <row r="6875" spans="1:40" x14ac:dyDescent="0.25">
      <c r="A6875" t="str">
        <f>"20190312161450125"</f>
        <v>20190312161450125</v>
      </c>
      <c r="B6875" t="str">
        <f>"1552378490123918"</f>
        <v>1552378490123918</v>
      </c>
      <c r="C6875" t="s">
        <v>40</v>
      </c>
      <c r="D6875">
        <v>5.1910360000000004</v>
      </c>
      <c r="E6875">
        <v>0.51111329999999999</v>
      </c>
      <c r="F6875" t="s">
        <v>43</v>
      </c>
      <c r="G6875">
        <v>-187.52520000000001</v>
      </c>
      <c r="H6875">
        <v>0.88485569999999902</v>
      </c>
      <c r="I6875">
        <v>-28.104109999999999</v>
      </c>
      <c r="J6875">
        <v>-187.5515</v>
      </c>
      <c r="K6875">
        <v>1.1092660000000001</v>
      </c>
      <c r="L6875">
        <v>-28.564640000000001</v>
      </c>
      <c r="M6875">
        <v>-2.774592E-2</v>
      </c>
      <c r="N6875">
        <v>0</v>
      </c>
      <c r="O6875">
        <v>0.99953349999999996</v>
      </c>
      <c r="P6875">
        <v>1.528032E-2</v>
      </c>
      <c r="Q6875">
        <v>-2.1906109999999999E-2</v>
      </c>
      <c r="R6875">
        <v>0.99964330000000001</v>
      </c>
      <c r="S6875">
        <v>8.9813229999999994E-2</v>
      </c>
      <c r="T6875">
        <v>-0.96289669999999905</v>
      </c>
      <c r="U6875">
        <v>2.9777830000000001</v>
      </c>
      <c r="V6875">
        <v>4.2994589999999999E-2</v>
      </c>
      <c r="W6875">
        <v>-9.2432220000000006E-3</v>
      </c>
      <c r="X6875">
        <v>0.99903260000000005</v>
      </c>
      <c r="Y6875">
        <v>5.6411940000000001E-2</v>
      </c>
      <c r="Z6875">
        <v>-0.30718849999999998</v>
      </c>
      <c r="AA6875">
        <v>0.94997520000000002</v>
      </c>
      <c r="AB6875">
        <v>25</v>
      </c>
      <c r="AC6875">
        <v>2.6299999999992E-2</v>
      </c>
      <c r="AD6875">
        <v>-0.22441030000000001</v>
      </c>
      <c r="AE6875">
        <v>0.46053000000000199</v>
      </c>
      <c r="AF6875">
        <v>3.1591717045931098E-2</v>
      </c>
      <c r="AG6875">
        <v>-0.22441030000000001</v>
      </c>
      <c r="AH6875">
        <v>0.37165967906277902</v>
      </c>
      <c r="AI6875">
        <v>121.032642579143</v>
      </c>
      <c r="AJ6875">
        <v>85.141438463007105</v>
      </c>
      <c r="AK6875">
        <v>0.43530326942609499</v>
      </c>
      <c r="AL6875">
        <v>90.529605122668499</v>
      </c>
      <c r="AM6875">
        <v>87.535726665131705</v>
      </c>
      <c r="AN6875">
        <v>1.00000005389248</v>
      </c>
    </row>
    <row r="6876" spans="1:40" x14ac:dyDescent="0.25">
      <c r="A6876" t="str">
        <f>"20190312161450149"</f>
        <v>20190312161450149</v>
      </c>
      <c r="B6876" t="str">
        <f>"1552378490143263"</f>
        <v>1552378490143263</v>
      </c>
      <c r="C6876" t="s">
        <v>40</v>
      </c>
      <c r="D6876">
        <v>5.2429880000000004</v>
      </c>
      <c r="E6876">
        <v>0.50887320000000003</v>
      </c>
      <c r="F6876" t="s">
        <v>42</v>
      </c>
      <c r="G6876">
        <v>-185.7578</v>
      </c>
      <c r="H6876" s="1">
        <v>-1.755924E-6</v>
      </c>
      <c r="I6876">
        <v>11.49109</v>
      </c>
      <c r="J6876">
        <v>-187.55719999999999</v>
      </c>
      <c r="K6876">
        <v>1.1092799999999901</v>
      </c>
      <c r="L6876">
        <v>-28.31354</v>
      </c>
      <c r="M6876">
        <v>-2.658568E-2</v>
      </c>
      <c r="N6876">
        <v>0</v>
      </c>
      <c r="O6876">
        <v>0.99956679999999998</v>
      </c>
      <c r="P6876">
        <v>1.6699080000000002E-2</v>
      </c>
      <c r="Q6876">
        <v>-2.1748429999999999E-2</v>
      </c>
      <c r="R6876">
        <v>0.99962399999999996</v>
      </c>
      <c r="S6876">
        <v>0.13421629999999901</v>
      </c>
      <c r="T6876">
        <v>-8.3001610000000003E-2</v>
      </c>
      <c r="U6876">
        <v>2.9971920000000001</v>
      </c>
      <c r="V6876">
        <v>4.325383E-2</v>
      </c>
      <c r="W6876">
        <v>-9.2148979999999991E-3</v>
      </c>
      <c r="X6876">
        <v>0.99902159999999995</v>
      </c>
      <c r="Y6876">
        <v>7.1264129999999995E-2</v>
      </c>
      <c r="Z6876">
        <v>-2.7618810000000001E-2</v>
      </c>
      <c r="AA6876">
        <v>0.99707500000000004</v>
      </c>
      <c r="AB6876">
        <v>25</v>
      </c>
      <c r="AC6876">
        <v>1.7993999999999899</v>
      </c>
      <c r="AD6876">
        <v>-1.10928175592399</v>
      </c>
      <c r="AE6876">
        <v>39.804629999999896</v>
      </c>
      <c r="AF6876">
        <v>2.85486872681882</v>
      </c>
      <c r="AG6876">
        <v>-1.10928175592399</v>
      </c>
      <c r="AH6876">
        <v>39.711937505997703</v>
      </c>
      <c r="AI6876">
        <v>91.595922300694994</v>
      </c>
      <c r="AJ6876">
        <v>85.888112616324193</v>
      </c>
      <c r="AK6876">
        <v>39.829872733184303</v>
      </c>
      <c r="AL6876">
        <v>90.527982245562995</v>
      </c>
      <c r="AM6876">
        <v>87.520859312934604</v>
      </c>
      <c r="AN6876">
        <v>0.99999998271068902</v>
      </c>
    </row>
    <row r="6877" spans="1:40" x14ac:dyDescent="0.25">
      <c r="A6877" t="str">
        <f>"20190312161450171"</f>
        <v>20190312161450171</v>
      </c>
      <c r="B6877" t="str">
        <f>"1552378490163748"</f>
        <v>1552378490163748</v>
      </c>
      <c r="C6877" t="s">
        <v>40</v>
      </c>
      <c r="D6877">
        <v>5.1734119999999999</v>
      </c>
      <c r="E6877">
        <v>0.50668539999999995</v>
      </c>
      <c r="F6877" t="s">
        <v>41</v>
      </c>
      <c r="G6877">
        <v>-170.64709999999999</v>
      </c>
      <c r="H6877">
        <v>-0.05</v>
      </c>
      <c r="I6877">
        <v>388.99419999999998</v>
      </c>
      <c r="J6877">
        <v>-187.5626</v>
      </c>
      <c r="K6877">
        <v>1.109299</v>
      </c>
      <c r="L6877">
        <v>-28.05939</v>
      </c>
      <c r="M6877">
        <v>-2.5464779999999999E-2</v>
      </c>
      <c r="N6877">
        <v>0</v>
      </c>
      <c r="O6877">
        <v>0.99959779999999998</v>
      </c>
      <c r="P6877">
        <v>1.8510059999999998E-2</v>
      </c>
      <c r="Q6877">
        <v>-2.2112570000000002E-2</v>
      </c>
      <c r="R6877">
        <v>0.99958409999999998</v>
      </c>
      <c r="S6877">
        <v>0.121521</v>
      </c>
      <c r="T6877">
        <v>-8.3309409999999997E-3</v>
      </c>
      <c r="U6877">
        <v>2.998901</v>
      </c>
      <c r="V6877">
        <v>4.3943000000000003E-2</v>
      </c>
      <c r="W6877">
        <v>-9.7196260000000003E-3</v>
      </c>
      <c r="X6877">
        <v>0.99898679999999995</v>
      </c>
      <c r="Y6877">
        <v>6.5921199999999999E-2</v>
      </c>
      <c r="Z6877">
        <v>-2.7724759999999998E-3</v>
      </c>
      <c r="AA6877">
        <v>0.99782099999999996</v>
      </c>
      <c r="AB6877">
        <v>25</v>
      </c>
      <c r="AC6877">
        <v>16.915500000000002</v>
      </c>
      <c r="AD6877">
        <v>-1.1592990000000001</v>
      </c>
      <c r="AE6877">
        <v>417.05358999999999</v>
      </c>
      <c r="AF6877">
        <v>27.530806642965398</v>
      </c>
      <c r="AG6877">
        <v>-1.1592990000000001</v>
      </c>
      <c r="AH6877">
        <v>416.48433084629397</v>
      </c>
      <c r="AI6877">
        <v>90.159137134244006</v>
      </c>
      <c r="AJ6877">
        <v>86.218087003091298</v>
      </c>
      <c r="AK6877">
        <v>417.39488153194799</v>
      </c>
      <c r="AL6877">
        <v>90.556902293356202</v>
      </c>
      <c r="AM6877">
        <v>87.481321622290594</v>
      </c>
      <c r="AN6877">
        <v>1.0000000424764</v>
      </c>
    </row>
    <row r="6878" spans="1:40" x14ac:dyDescent="0.25">
      <c r="A6878" t="str">
        <f>"20190312161450194"</f>
        <v>20190312161450194</v>
      </c>
      <c r="B6878" t="str">
        <f>"1552378490183268"</f>
        <v>1552378490183268</v>
      </c>
      <c r="C6878" t="s">
        <v>40</v>
      </c>
      <c r="D6878">
        <v>5.1877050000000002</v>
      </c>
      <c r="E6878">
        <v>0.50650169999999906</v>
      </c>
      <c r="F6878" t="s">
        <v>63</v>
      </c>
      <c r="G6878">
        <v>-178.5453</v>
      </c>
      <c r="H6878">
        <v>7.9980919999999997E-2</v>
      </c>
      <c r="I6878">
        <v>219.15219999999999</v>
      </c>
      <c r="J6878">
        <v>-187.56790000000001</v>
      </c>
      <c r="K6878">
        <v>1.109307</v>
      </c>
      <c r="L6878">
        <v>-27.801639999999999</v>
      </c>
      <c r="M6878">
        <v>-2.4368049999999999E-2</v>
      </c>
      <c r="N6878">
        <v>0</v>
      </c>
      <c r="O6878">
        <v>0.99962680000000004</v>
      </c>
      <c r="P6878">
        <v>2.0355209999999999E-2</v>
      </c>
      <c r="Q6878">
        <v>-2.2269899999999999E-2</v>
      </c>
      <c r="R6878">
        <v>0.99954469999999995</v>
      </c>
      <c r="S6878">
        <v>0.1093903</v>
      </c>
      <c r="T6878">
        <v>-1.2486819999999999E-2</v>
      </c>
      <c r="U6878">
        <v>2.9989620000000001</v>
      </c>
      <c r="V6878">
        <v>4.4690840000000003E-2</v>
      </c>
      <c r="W6878">
        <v>-1.001577E-2</v>
      </c>
      <c r="X6878">
        <v>0.99895069999999997</v>
      </c>
      <c r="Y6878">
        <v>6.0794359999999999E-2</v>
      </c>
      <c r="Z6878">
        <v>-4.1565889999999996E-3</v>
      </c>
      <c r="AA6878">
        <v>0.99814159999999996</v>
      </c>
      <c r="AB6878">
        <v>25</v>
      </c>
      <c r="AC6878">
        <v>9.0226000000000095</v>
      </c>
      <c r="AD6878">
        <v>-1.0293260799999999</v>
      </c>
      <c r="AE6878">
        <v>246.95384000000001</v>
      </c>
      <c r="AF6878">
        <v>15.0379017758265</v>
      </c>
      <c r="AG6878">
        <v>-1.0293260799999999</v>
      </c>
      <c r="AH6878">
        <v>246.656337730199</v>
      </c>
      <c r="AI6878">
        <v>90.238657552937696</v>
      </c>
      <c r="AJ6878">
        <v>86.511165451230795</v>
      </c>
      <c r="AK6878">
        <v>247.11646433305901</v>
      </c>
      <c r="AL6878">
        <v>90.573870919341701</v>
      </c>
      <c r="AM6878">
        <v>87.438421891039596</v>
      </c>
      <c r="AN6878">
        <v>1.00000004392954</v>
      </c>
    </row>
    <row r="6879" spans="1:40" x14ac:dyDescent="0.25">
      <c r="A6879" t="str">
        <f>"20190312161450217"</f>
        <v>20190312161450217</v>
      </c>
      <c r="B6879" t="str">
        <f>"1552378490213526"</f>
        <v>1552378490213526</v>
      </c>
      <c r="C6879" t="s">
        <v>40</v>
      </c>
      <c r="D6879">
        <v>5.1726830000000001</v>
      </c>
      <c r="E6879">
        <v>0.50672079999999997</v>
      </c>
      <c r="F6879" t="s">
        <v>57</v>
      </c>
      <c r="G6879">
        <v>-157.3964</v>
      </c>
      <c r="H6879">
        <v>-0.1</v>
      </c>
      <c r="I6879">
        <v>768.47879999999998</v>
      </c>
      <c r="J6879">
        <v>-187.5728</v>
      </c>
      <c r="K6879">
        <v>1.109305</v>
      </c>
      <c r="L6879">
        <v>-27.551300000000001</v>
      </c>
      <c r="M6879">
        <v>-2.3336320000000001E-2</v>
      </c>
      <c r="N6879">
        <v>0</v>
      </c>
      <c r="O6879">
        <v>0.99965300000000001</v>
      </c>
      <c r="P6879">
        <v>2.227672E-2</v>
      </c>
      <c r="Q6879">
        <v>-2.2377129999999999E-2</v>
      </c>
      <c r="R6879">
        <v>0.99950139999999998</v>
      </c>
      <c r="S6879">
        <v>0.1136322</v>
      </c>
      <c r="T6879">
        <v>-4.5545100000000003E-3</v>
      </c>
      <c r="U6879">
        <v>2.9989620000000001</v>
      </c>
      <c r="V6879">
        <v>4.5579939999999999E-2</v>
      </c>
      <c r="W6879">
        <v>-1.0253429999999999E-2</v>
      </c>
      <c r="X6879">
        <v>0.99890800000000002</v>
      </c>
      <c r="Y6879">
        <v>6.1174310000000003E-2</v>
      </c>
      <c r="Z6879">
        <v>-1.516107E-3</v>
      </c>
      <c r="AA6879">
        <v>0.99812599999999996</v>
      </c>
      <c r="AB6879">
        <v>25</v>
      </c>
      <c r="AC6879">
        <v>30.176400000000001</v>
      </c>
      <c r="AD6879">
        <v>-1.2093049999999901</v>
      </c>
      <c r="AE6879">
        <v>796.03009999999995</v>
      </c>
      <c r="AF6879">
        <v>48.745868514334603</v>
      </c>
      <c r="AG6879">
        <v>-1.2093049999999901</v>
      </c>
      <c r="AH6879">
        <v>795.10719447046699</v>
      </c>
      <c r="AI6879">
        <v>90.086979684491894</v>
      </c>
      <c r="AJ6879">
        <v>86.491741910014497</v>
      </c>
      <c r="AK6879">
        <v>796.60094954405895</v>
      </c>
      <c r="AL6879">
        <v>90.587488601130602</v>
      </c>
      <c r="AM6879">
        <v>87.387419081719699</v>
      </c>
      <c r="AN6879">
        <v>0.99999992811058103</v>
      </c>
    </row>
    <row r="6880" spans="1:40" x14ac:dyDescent="0.25">
      <c r="A6880" t="str">
        <f>"20190312161450238"</f>
        <v>20190312161450238</v>
      </c>
      <c r="B6880" t="str">
        <f>"1552378490233046"</f>
        <v>1552378490233046</v>
      </c>
      <c r="C6880" t="s">
        <v>40</v>
      </c>
      <c r="D6880">
        <v>4.955082</v>
      </c>
      <c r="E6880">
        <v>0.50496109999999905</v>
      </c>
      <c r="F6880" t="s">
        <v>84</v>
      </c>
      <c r="G6880">
        <v>-180.29310000000001</v>
      </c>
      <c r="H6880" s="1">
        <v>-1.2340610000000001E-5</v>
      </c>
      <c r="I6880">
        <v>152.85980000000001</v>
      </c>
      <c r="J6880">
        <v>-187.5772</v>
      </c>
      <c r="K6880">
        <v>1.1093040000000001</v>
      </c>
      <c r="L6880">
        <v>-27.314579999999999</v>
      </c>
      <c r="M6880">
        <v>-2.2386139999999999E-2</v>
      </c>
      <c r="N6880">
        <v>0</v>
      </c>
      <c r="O6880">
        <v>0.99967620000000001</v>
      </c>
      <c r="P6880">
        <v>2.3542850000000001E-2</v>
      </c>
      <c r="Q6880">
        <v>-2.2479059999999999E-2</v>
      </c>
      <c r="R6880">
        <v>0.99947010000000003</v>
      </c>
      <c r="S6880">
        <v>0.12098689999999999</v>
      </c>
      <c r="T6880">
        <v>-1.8436549999999999E-2</v>
      </c>
      <c r="U6880">
        <v>2.998383</v>
      </c>
      <c r="V6880">
        <v>4.589563E-2</v>
      </c>
      <c r="W6880">
        <v>-1.0470810000000001E-2</v>
      </c>
      <c r="X6880">
        <v>0.99889139999999998</v>
      </c>
      <c r="Y6880">
        <v>6.267665E-2</v>
      </c>
      <c r="Z6880">
        <v>-6.1378630000000003E-3</v>
      </c>
      <c r="AA6880">
        <v>0.99801499999999999</v>
      </c>
      <c r="AB6880">
        <v>25</v>
      </c>
      <c r="AC6880">
        <v>7.2840999999999898</v>
      </c>
      <c r="AD6880">
        <v>-1.10931634061</v>
      </c>
      <c r="AE6880">
        <v>180.17438000000001</v>
      </c>
      <c r="AF6880">
        <v>11.315550169963201</v>
      </c>
      <c r="AG6880">
        <v>-1.10931634061</v>
      </c>
      <c r="AH6880">
        <v>179.95933601724499</v>
      </c>
      <c r="AI6880">
        <v>90.3524855691075</v>
      </c>
      <c r="AJ6880">
        <v>86.402071340439406</v>
      </c>
      <c r="AK6880">
        <v>180.31814905372099</v>
      </c>
      <c r="AL6880">
        <v>90.599944161478703</v>
      </c>
      <c r="AM6880">
        <v>87.369305831308793</v>
      </c>
      <c r="AN6880">
        <v>1.0000000378545499</v>
      </c>
    </row>
    <row r="6881" spans="1:40" x14ac:dyDescent="0.25">
      <c r="A6881" t="str">
        <f>"20190312161450261"</f>
        <v>20190312161450261</v>
      </c>
      <c r="B6881" t="str">
        <f>"1552378490253122"</f>
        <v>1552378490253122</v>
      </c>
      <c r="C6881" t="s">
        <v>40</v>
      </c>
      <c r="D6881">
        <v>5.2131049999999997</v>
      </c>
      <c r="E6881">
        <v>0.50503180000000003</v>
      </c>
      <c r="F6881" t="s">
        <v>42</v>
      </c>
      <c r="G6881">
        <v>-183.17429999999999</v>
      </c>
      <c r="H6881" s="1">
        <v>-2.6567330000000002E-6</v>
      </c>
      <c r="I6881">
        <v>92.118189999999998</v>
      </c>
      <c r="J6881">
        <v>-187.58189999999999</v>
      </c>
      <c r="K6881">
        <v>1.1092919999999999</v>
      </c>
      <c r="L6881">
        <v>-27.05237</v>
      </c>
      <c r="M6881">
        <v>-2.1353279999999999E-2</v>
      </c>
      <c r="N6881">
        <v>0</v>
      </c>
      <c r="O6881">
        <v>0.99970020000000004</v>
      </c>
      <c r="P6881">
        <v>2.4766739999999999E-2</v>
      </c>
      <c r="Q6881">
        <v>-2.298998E-2</v>
      </c>
      <c r="R6881">
        <v>0.99942889999999995</v>
      </c>
      <c r="S6881">
        <v>0.1105347</v>
      </c>
      <c r="T6881">
        <v>-2.7849079999999998E-2</v>
      </c>
      <c r="U6881">
        <v>2.9983520000000001</v>
      </c>
      <c r="V6881">
        <v>4.6085719999999997E-2</v>
      </c>
      <c r="W6881">
        <v>-1.1098500000000001E-2</v>
      </c>
      <c r="X6881">
        <v>0.99887590000000004</v>
      </c>
      <c r="Y6881">
        <v>5.817046E-2</v>
      </c>
      <c r="Z6881">
        <v>-9.2735370000000001E-3</v>
      </c>
      <c r="AA6881">
        <v>0.99826360000000003</v>
      </c>
      <c r="AB6881">
        <v>25</v>
      </c>
      <c r="AC6881">
        <v>4.4076000000000004</v>
      </c>
      <c r="AD6881">
        <v>-1.109294656733</v>
      </c>
      <c r="AE6881">
        <v>119.17055999999999</v>
      </c>
      <c r="AF6881">
        <v>6.9508584358491001</v>
      </c>
      <c r="AG6881">
        <v>-1.109294656733</v>
      </c>
      <c r="AH6881">
        <v>119.03896053646299</v>
      </c>
      <c r="AI6881">
        <v>90.533001930208599</v>
      </c>
      <c r="AJ6881">
        <v>86.658210476959994</v>
      </c>
      <c r="AK6881">
        <v>119.246882949754</v>
      </c>
      <c r="AL6881">
        <v>90.635910221696705</v>
      </c>
      <c r="AM6881">
        <v>87.3583845212938</v>
      </c>
      <c r="AN6881">
        <v>1.00000006694548</v>
      </c>
    </row>
    <row r="6882" spans="1:40" x14ac:dyDescent="0.25">
      <c r="A6882" t="str">
        <f>"20190312161450283"</f>
        <v>20190312161450283</v>
      </c>
      <c r="B6882" t="str">
        <f>"1552378490273616"</f>
        <v>1552378490273616</v>
      </c>
      <c r="C6882" t="s">
        <v>40</v>
      </c>
      <c r="D6882">
        <v>5.181082</v>
      </c>
      <c r="E6882">
        <v>0.50483849999999997</v>
      </c>
      <c r="F6882" t="s">
        <v>42</v>
      </c>
      <c r="G6882">
        <v>-183.39349999999999</v>
      </c>
      <c r="H6882" s="1">
        <v>-2.6500629999999999E-6</v>
      </c>
      <c r="I6882">
        <v>82.269930000000002</v>
      </c>
      <c r="J6882">
        <v>-187.58590000000001</v>
      </c>
      <c r="K6882">
        <v>1.109291</v>
      </c>
      <c r="L6882">
        <v>-26.81561</v>
      </c>
      <c r="M6882">
        <v>-2.043172E-2</v>
      </c>
      <c r="N6882">
        <v>0</v>
      </c>
      <c r="O6882">
        <v>0.99972059999999996</v>
      </c>
      <c r="P6882">
        <v>2.4562839999999999E-2</v>
      </c>
      <c r="Q6882">
        <v>-2.3272939999999999E-2</v>
      </c>
      <c r="R6882">
        <v>0.99942739999999997</v>
      </c>
      <c r="S6882">
        <v>0.1148682</v>
      </c>
      <c r="T6882">
        <v>-3.042245E-2</v>
      </c>
      <c r="U6882">
        <v>2.9981689999999999</v>
      </c>
      <c r="V6882">
        <v>4.496079E-2</v>
      </c>
      <c r="W6882">
        <v>-1.147312E-2</v>
      </c>
      <c r="X6882">
        <v>0.99892289999999995</v>
      </c>
      <c r="Y6882">
        <v>5.8692920000000003E-2</v>
      </c>
      <c r="Z6882">
        <v>-1.013085E-2</v>
      </c>
      <c r="AA6882">
        <v>0.99822469999999996</v>
      </c>
      <c r="AB6882">
        <v>25</v>
      </c>
      <c r="AC6882">
        <v>4.1924000000000197</v>
      </c>
      <c r="AD6882">
        <v>-1.109293650063</v>
      </c>
      <c r="AE6882">
        <v>109.08553999999999</v>
      </c>
      <c r="AF6882">
        <v>6.4198244804448903</v>
      </c>
      <c r="AG6882">
        <v>-1.109293650063</v>
      </c>
      <c r="AH6882">
        <v>108.96584981000601</v>
      </c>
      <c r="AI6882">
        <v>90.582252506803499</v>
      </c>
      <c r="AJ6882">
        <v>86.628263404429802</v>
      </c>
      <c r="AK6882">
        <v>109.160437446809</v>
      </c>
      <c r="AL6882">
        <v>90.657375754933398</v>
      </c>
      <c r="AM6882">
        <v>87.422898140939793</v>
      </c>
      <c r="AN6882">
        <v>1.0000000326321801</v>
      </c>
    </row>
    <row r="6883" spans="1:40" x14ac:dyDescent="0.25">
      <c r="A6883" t="str">
        <f>"20190312161450327"</f>
        <v>20190312161450327</v>
      </c>
      <c r="B6883" t="str">
        <f>"1552378490323393"</f>
        <v>1552378490323393</v>
      </c>
      <c r="C6883" t="s">
        <v>40</v>
      </c>
      <c r="D6883">
        <v>5.2431279999999996</v>
      </c>
      <c r="E6883">
        <v>0.50391300000000006</v>
      </c>
      <c r="F6883" t="s">
        <v>42</v>
      </c>
      <c r="G6883">
        <v>-184.24170000000001</v>
      </c>
      <c r="H6883" s="1">
        <v>-2.3946930000000001E-6</v>
      </c>
      <c r="I6883">
        <v>62.182720000000003</v>
      </c>
      <c r="J6883">
        <v>-187.59360000000001</v>
      </c>
      <c r="K6883">
        <v>1.109305</v>
      </c>
      <c r="L6883">
        <v>-26.325959999999998</v>
      </c>
      <c r="M6883">
        <v>-1.8549699999999999E-2</v>
      </c>
      <c r="N6883">
        <v>0</v>
      </c>
      <c r="O6883">
        <v>0.99975930000000002</v>
      </c>
      <c r="P6883">
        <v>2.3595359999999999E-2</v>
      </c>
      <c r="Q6883">
        <v>-2.2392200000000001E-2</v>
      </c>
      <c r="R6883">
        <v>0.99947079999999999</v>
      </c>
      <c r="S6883">
        <v>0.11265559999999999</v>
      </c>
      <c r="T6883">
        <v>-3.7368659999999998E-2</v>
      </c>
      <c r="U6883">
        <v>2.9980769999999999</v>
      </c>
      <c r="V6883">
        <v>4.2115600000000003E-2</v>
      </c>
      <c r="W6883">
        <v>-1.0750620000000001E-2</v>
      </c>
      <c r="X6883">
        <v>0.99905489999999997</v>
      </c>
      <c r="Y6883">
        <v>5.6077979999999999E-2</v>
      </c>
      <c r="Z6883">
        <v>-1.244582E-2</v>
      </c>
      <c r="AA6883">
        <v>0.99834880000000004</v>
      </c>
      <c r="AB6883">
        <v>25</v>
      </c>
      <c r="AC6883">
        <v>3.3519000000000001</v>
      </c>
      <c r="AD6883">
        <v>-1.1093073946930001</v>
      </c>
      <c r="AE6883">
        <v>88.508679999999998</v>
      </c>
      <c r="AF6883">
        <v>4.9924622209766998</v>
      </c>
      <c r="AG6883">
        <v>-1.1093073946930001</v>
      </c>
      <c r="AH6883">
        <v>88.417398983946995</v>
      </c>
      <c r="AI6883">
        <v>90.717666825327399</v>
      </c>
      <c r="AJ6883">
        <v>86.768242444839302</v>
      </c>
      <c r="AK6883">
        <v>88.565183255104699</v>
      </c>
      <c r="AL6883">
        <v>90.615977021095304</v>
      </c>
      <c r="AM6883">
        <v>87.586100362618794</v>
      </c>
      <c r="AN6883">
        <v>0.99999999640387705</v>
      </c>
    </row>
    <row r="6884" spans="1:40" x14ac:dyDescent="0.25">
      <c r="A6884" t="str">
        <f>"20190312161450349"</f>
        <v>20190312161450349</v>
      </c>
      <c r="B6884" t="str">
        <f>"1552378490343464"</f>
        <v>1552378490343464</v>
      </c>
      <c r="C6884" t="s">
        <v>40</v>
      </c>
      <c r="D6884">
        <v>5.2695589999999903</v>
      </c>
      <c r="E6884">
        <v>0.50353429999999999</v>
      </c>
      <c r="F6884" t="s">
        <v>42</v>
      </c>
      <c r="G6884">
        <v>-183.24289999999999</v>
      </c>
      <c r="H6884" s="1">
        <v>-2.27016E-6</v>
      </c>
      <c r="I6884">
        <v>101.03579999999999</v>
      </c>
      <c r="J6884">
        <v>-187.59710000000001</v>
      </c>
      <c r="K6884">
        <v>1.109308</v>
      </c>
      <c r="L6884">
        <v>-26.079039999999999</v>
      </c>
      <c r="M6884">
        <v>-1.76142E-2</v>
      </c>
      <c r="N6884">
        <v>0</v>
      </c>
      <c r="O6884">
        <v>0.99977700000000003</v>
      </c>
      <c r="P6884">
        <v>2.2920320000000001E-2</v>
      </c>
      <c r="Q6884">
        <v>-2.1697669999999999E-2</v>
      </c>
      <c r="R6884">
        <v>0.9995018</v>
      </c>
      <c r="S6884">
        <v>0.1024323</v>
      </c>
      <c r="T6884">
        <v>-2.6117439999999999E-2</v>
      </c>
      <c r="U6884">
        <v>2.998596</v>
      </c>
      <c r="V6884">
        <v>4.0507660000000001E-2</v>
      </c>
      <c r="W6884">
        <v>-1.012125E-2</v>
      </c>
      <c r="X6884">
        <v>0.99912800000000002</v>
      </c>
      <c r="Y6884">
        <v>5.1738689999999997E-2</v>
      </c>
      <c r="Z6884">
        <v>-8.6991619999999999E-3</v>
      </c>
      <c r="AA6884">
        <v>0.99862280000000003</v>
      </c>
      <c r="AB6884">
        <v>25</v>
      </c>
      <c r="AC6884">
        <v>4.3542000000000201</v>
      </c>
      <c r="AD6884">
        <v>-1.1093102701599999</v>
      </c>
      <c r="AE6884">
        <v>127.11484</v>
      </c>
      <c r="AF6884">
        <v>6.5922010677744796</v>
      </c>
      <c r="AG6884">
        <v>-1.1093102701599999</v>
      </c>
      <c r="AH6884">
        <v>127.008754159666</v>
      </c>
      <c r="AI6884">
        <v>90.499743085775506</v>
      </c>
      <c r="AJ6884">
        <v>87.0288137038728</v>
      </c>
      <c r="AK6884">
        <v>127.184556127636</v>
      </c>
      <c r="AL6884">
        <v>90.579914789261196</v>
      </c>
      <c r="AM6884">
        <v>87.678327952087201</v>
      </c>
      <c r="AN6884">
        <v>1.0000000353021099</v>
      </c>
    </row>
    <row r="6885" spans="1:40" x14ac:dyDescent="0.25">
      <c r="A6885" t="str">
        <f>"20190312161450371"</f>
        <v>20190312161450371</v>
      </c>
      <c r="B6885" t="str">
        <f>"1552378490363928"</f>
        <v>1552378490363928</v>
      </c>
      <c r="C6885" t="s">
        <v>40</v>
      </c>
      <c r="D6885">
        <v>5.3297819999999998</v>
      </c>
      <c r="E6885">
        <v>0.50316609999999995</v>
      </c>
      <c r="F6885" t="s">
        <v>84</v>
      </c>
      <c r="G6885">
        <v>-182.18260000000001</v>
      </c>
      <c r="H6885" s="1">
        <v>-8.9941170000000007E-6</v>
      </c>
      <c r="I6885">
        <v>140.60509999999999</v>
      </c>
      <c r="J6885">
        <v>-187.60040000000001</v>
      </c>
      <c r="K6885">
        <v>1.1093059999999999</v>
      </c>
      <c r="L6885">
        <v>-25.823429999999998</v>
      </c>
      <c r="M6885">
        <v>-1.6656549999999999E-2</v>
      </c>
      <c r="N6885">
        <v>0</v>
      </c>
      <c r="O6885">
        <v>0.99979410000000002</v>
      </c>
      <c r="P6885">
        <v>2.2560609999999998E-2</v>
      </c>
      <c r="Q6885">
        <v>-2.1370110000000001E-2</v>
      </c>
      <c r="R6885">
        <v>0.99951699999999999</v>
      </c>
      <c r="S6885">
        <v>9.7412109999999996E-2</v>
      </c>
      <c r="T6885">
        <v>-1.9957900000000001E-2</v>
      </c>
      <c r="U6885">
        <v>2.99884</v>
      </c>
      <c r="V6885">
        <v>3.9191900000000002E-2</v>
      </c>
      <c r="W6885">
        <v>-9.8525890000000001E-3</v>
      </c>
      <c r="X6885">
        <v>0.99918309999999999</v>
      </c>
      <c r="Y6885">
        <v>4.9109809999999997E-2</v>
      </c>
      <c r="Z6885">
        <v>-6.6479060000000003E-3</v>
      </c>
      <c r="AA6885">
        <v>0.99877130000000003</v>
      </c>
      <c r="AB6885">
        <v>25</v>
      </c>
      <c r="AC6885">
        <v>5.4177999999999997</v>
      </c>
      <c r="AD6885">
        <v>-1.109314994117</v>
      </c>
      <c r="AE6885">
        <v>166.42852999999999</v>
      </c>
      <c r="AF6885">
        <v>8.18899617626451</v>
      </c>
      <c r="AG6885">
        <v>-1.109314994117</v>
      </c>
      <c r="AH6885">
        <v>166.30780950017299</v>
      </c>
      <c r="AI6885">
        <v>90.381709170549101</v>
      </c>
      <c r="AJ6885">
        <v>87.181032738950194</v>
      </c>
      <c r="AK6885">
        <v>166.51299570567099</v>
      </c>
      <c r="AL6885">
        <v>90.564520915847496</v>
      </c>
      <c r="AM6885">
        <v>87.753785140165505</v>
      </c>
      <c r="AN6885">
        <v>0.99999997293061105</v>
      </c>
    </row>
    <row r="6886" spans="1:40" x14ac:dyDescent="0.25">
      <c r="A6886" t="str">
        <f>"20190312161450395"</f>
        <v>20190312161450395</v>
      </c>
      <c r="B6886" t="str">
        <f>"1552378490383448"</f>
        <v>1552378490383448</v>
      </c>
      <c r="C6886" t="s">
        <v>40</v>
      </c>
      <c r="D6886">
        <v>5.3837199999999896</v>
      </c>
      <c r="E6886">
        <v>0.50288540000000004</v>
      </c>
      <c r="F6886" t="s">
        <v>42</v>
      </c>
      <c r="G6886">
        <v>-181.15459999999999</v>
      </c>
      <c r="H6886" s="1">
        <v>-2.9683450000000002E-6</v>
      </c>
      <c r="I6886">
        <v>181.4547</v>
      </c>
      <c r="J6886">
        <v>-187.6036</v>
      </c>
      <c r="K6886">
        <v>1.1093059999999999</v>
      </c>
      <c r="L6886">
        <v>-25.57001</v>
      </c>
      <c r="M6886">
        <v>-1.571519E-2</v>
      </c>
      <c r="N6886">
        <v>0</v>
      </c>
      <c r="O6886">
        <v>0.99980999999999998</v>
      </c>
      <c r="P6886">
        <v>2.3155120000000001E-2</v>
      </c>
      <c r="Q6886">
        <v>-2.1016509999999999E-2</v>
      </c>
      <c r="R6886">
        <v>0.99951089999999998</v>
      </c>
      <c r="S6886">
        <v>9.3261720000000006E-2</v>
      </c>
      <c r="T6886">
        <v>-1.6049979999999998E-2</v>
      </c>
      <c r="U6886">
        <v>2.998993</v>
      </c>
      <c r="V6886">
        <v>3.8846150000000003E-2</v>
      </c>
      <c r="W6886">
        <v>-9.5514680000000005E-3</v>
      </c>
      <c r="X6886">
        <v>0.99919959999999997</v>
      </c>
      <c r="Y6886">
        <v>4.6787009999999997E-2</v>
      </c>
      <c r="Z6886">
        <v>-5.3464999999999997E-3</v>
      </c>
      <c r="AA6886">
        <v>0.99889059999999996</v>
      </c>
      <c r="AB6886">
        <v>25</v>
      </c>
      <c r="AC6886">
        <v>6.4490000000000096</v>
      </c>
      <c r="AD6886">
        <v>-1.1093089683449999</v>
      </c>
      <c r="AE6886">
        <v>207.02471</v>
      </c>
      <c r="AF6886">
        <v>9.7015742412090606</v>
      </c>
      <c r="AG6886">
        <v>-1.1093089683449999</v>
      </c>
      <c r="AH6886">
        <v>206.891852381722</v>
      </c>
      <c r="AI6886">
        <v>90.306867336341696</v>
      </c>
      <c r="AJ6886">
        <v>87.315252534252707</v>
      </c>
      <c r="AK6886">
        <v>207.122161274658</v>
      </c>
      <c r="AL6886">
        <v>90.547267100142193</v>
      </c>
      <c r="AM6886">
        <v>87.773617891671904</v>
      </c>
      <c r="AN6886">
        <v>1.00000004727546</v>
      </c>
    </row>
    <row r="6887" spans="1:40" x14ac:dyDescent="0.25">
      <c r="A6887" t="str">
        <f>"20190312161450416"</f>
        <v>20190312161450416</v>
      </c>
      <c r="B6887" t="str">
        <f>"1552378490413705"</f>
        <v>1552378490413705</v>
      </c>
      <c r="C6887" t="s">
        <v>40</v>
      </c>
      <c r="D6887">
        <v>5.3789949999999997</v>
      </c>
      <c r="E6887">
        <v>0.50270269999999995</v>
      </c>
      <c r="F6887" t="s">
        <v>63</v>
      </c>
      <c r="G6887">
        <v>-179.95779999999999</v>
      </c>
      <c r="H6887">
        <v>7.6891099999999999E-3</v>
      </c>
      <c r="I6887">
        <v>221.26669999999999</v>
      </c>
      <c r="J6887">
        <v>-187.6063</v>
      </c>
      <c r="K6887">
        <v>1.1093090000000001</v>
      </c>
      <c r="L6887">
        <v>-25.336670000000002</v>
      </c>
      <c r="M6887">
        <v>-1.485769E-2</v>
      </c>
      <c r="N6887">
        <v>0</v>
      </c>
      <c r="O6887">
        <v>0.99982360000000003</v>
      </c>
      <c r="P6887">
        <v>2.4458549999999999E-2</v>
      </c>
      <c r="Q6887">
        <v>-2.118225E-2</v>
      </c>
      <c r="R6887">
        <v>0.99947640000000004</v>
      </c>
      <c r="S6887">
        <v>9.2895510000000001E-2</v>
      </c>
      <c r="T6887">
        <v>-1.3384460000000001E-2</v>
      </c>
      <c r="U6887">
        <v>2.9990230000000002</v>
      </c>
      <c r="V6887">
        <v>3.9291850000000003E-2</v>
      </c>
      <c r="W6887">
        <v>-9.7609340000000006E-3</v>
      </c>
      <c r="X6887">
        <v>0.99918010000000002</v>
      </c>
      <c r="Y6887">
        <v>4.5808229999999998E-2</v>
      </c>
      <c r="Z6887">
        <v>-4.4587450000000001E-3</v>
      </c>
      <c r="AA6887">
        <v>0.9989403</v>
      </c>
      <c r="AB6887">
        <v>25</v>
      </c>
      <c r="AC6887">
        <v>7.6485000000000101</v>
      </c>
      <c r="AD6887">
        <v>-1.10161989</v>
      </c>
      <c r="AE6887">
        <v>246.60337000000001</v>
      </c>
      <c r="AF6887">
        <v>11.3116284236576</v>
      </c>
      <c r="AG6887">
        <v>-1.10161989</v>
      </c>
      <c r="AH6887">
        <v>246.45758590440701</v>
      </c>
      <c r="AI6887">
        <v>90.255830535829105</v>
      </c>
      <c r="AJ6887">
        <v>87.372148010047397</v>
      </c>
      <c r="AK6887">
        <v>246.71949285333201</v>
      </c>
      <c r="AL6887">
        <v>90.5592692040385</v>
      </c>
      <c r="AM6887">
        <v>87.748055817376297</v>
      </c>
      <c r="AN6887">
        <v>0.99999999877249202</v>
      </c>
    </row>
    <row r="6888" spans="1:40" x14ac:dyDescent="0.25">
      <c r="A6888" t="str">
        <f>"20190312161450438"</f>
        <v>20190312161450438</v>
      </c>
      <c r="B6888" t="str">
        <f>"1552378490433225"</f>
        <v>1552378490433225</v>
      </c>
      <c r="C6888" t="s">
        <v>40</v>
      </c>
      <c r="D6888">
        <v>5.3833349999999998</v>
      </c>
      <c r="E6888">
        <v>0.50253820000000005</v>
      </c>
      <c r="F6888" t="s">
        <v>63</v>
      </c>
      <c r="G6888">
        <v>-179.87350000000001</v>
      </c>
      <c r="H6888">
        <v>7.9980739999999995E-2</v>
      </c>
      <c r="I6888">
        <v>217.8698</v>
      </c>
      <c r="J6888">
        <v>-187.60900000000001</v>
      </c>
      <c r="K6888">
        <v>1.109318</v>
      </c>
      <c r="L6888">
        <v>-25.082789999999999</v>
      </c>
      <c r="M6888">
        <v>-1.394111E-2</v>
      </c>
      <c r="N6888">
        <v>0</v>
      </c>
      <c r="O6888">
        <v>0.99983730000000004</v>
      </c>
      <c r="P6888">
        <v>2.6168980000000001E-2</v>
      </c>
      <c r="Q6888">
        <v>-2.094447E-2</v>
      </c>
      <c r="R6888">
        <v>0.9994381</v>
      </c>
      <c r="S6888">
        <v>9.535217E-2</v>
      </c>
      <c r="T6888">
        <v>-1.269257E-2</v>
      </c>
      <c r="U6888">
        <v>2.9989620000000001</v>
      </c>
      <c r="V6888">
        <v>4.008623E-2</v>
      </c>
      <c r="W6888">
        <v>-9.5648599999999997E-3</v>
      </c>
      <c r="X6888">
        <v>0.99915050000000005</v>
      </c>
      <c r="Y6888">
        <v>4.5710609999999999E-2</v>
      </c>
      <c r="Z6888">
        <v>-4.2283859999999998E-3</v>
      </c>
      <c r="AA6888">
        <v>0.99894579999999999</v>
      </c>
      <c r="AB6888">
        <v>25</v>
      </c>
      <c r="AC6888">
        <v>7.7355</v>
      </c>
      <c r="AD6888">
        <v>-1.0293372599999999</v>
      </c>
      <c r="AE6888">
        <v>242.95258999999999</v>
      </c>
      <c r="AF6888">
        <v>11.121799398732101</v>
      </c>
      <c r="AG6888">
        <v>-1.0293372599999999</v>
      </c>
      <c r="AH6888">
        <v>242.816773540669</v>
      </c>
      <c r="AI6888">
        <v>90.2426297002322</v>
      </c>
      <c r="AJ6888">
        <v>87.377499534631696</v>
      </c>
      <c r="AK6888">
        <v>243.073526879751</v>
      </c>
      <c r="AL6888">
        <v>90.548034434898995</v>
      </c>
      <c r="AM6888">
        <v>87.702507620671497</v>
      </c>
      <c r="AN6888">
        <v>1.0000000570163301</v>
      </c>
    </row>
    <row r="6889" spans="1:40" x14ac:dyDescent="0.25">
      <c r="A6889" t="str">
        <f>"20190312161450461"</f>
        <v>20190312161450461</v>
      </c>
      <c r="B6889" t="str">
        <f>"1552378490453447"</f>
        <v>1552378490453447</v>
      </c>
      <c r="C6889" t="s">
        <v>40</v>
      </c>
      <c r="D6889">
        <v>5.3990049999999998</v>
      </c>
      <c r="E6889">
        <v>0.50233930000000004</v>
      </c>
      <c r="F6889" t="s">
        <v>63</v>
      </c>
      <c r="G6889">
        <v>-177.80260000000001</v>
      </c>
      <c r="H6889">
        <v>8.0001180000000005E-2</v>
      </c>
      <c r="I6889">
        <v>271.28739999999999</v>
      </c>
      <c r="J6889">
        <v>-187.61160000000001</v>
      </c>
      <c r="K6889">
        <v>1.109332</v>
      </c>
      <c r="L6889">
        <v>-24.824010000000001</v>
      </c>
      <c r="M6889">
        <v>-1.303238E-2</v>
      </c>
      <c r="N6889">
        <v>0</v>
      </c>
      <c r="O6889">
        <v>0.99984989999999996</v>
      </c>
      <c r="P6889">
        <v>2.701104E-2</v>
      </c>
      <c r="Q6889">
        <v>-2.0480419999999999E-2</v>
      </c>
      <c r="R6889">
        <v>0.99942529999999996</v>
      </c>
      <c r="S6889">
        <v>9.9227910000000002E-2</v>
      </c>
      <c r="T6889">
        <v>-1.041532E-2</v>
      </c>
      <c r="U6889">
        <v>2.9988709999999998</v>
      </c>
      <c r="V6889">
        <v>4.0021040000000001E-2</v>
      </c>
      <c r="W6889">
        <v>-9.1352659999999995E-3</v>
      </c>
      <c r="X6889">
        <v>0.99915710000000002</v>
      </c>
      <c r="Y6889">
        <v>4.6093429999999998E-2</v>
      </c>
      <c r="Z6889">
        <v>-3.4698210000000001E-3</v>
      </c>
      <c r="AA6889">
        <v>0.99893109999999996</v>
      </c>
      <c r="AB6889">
        <v>25</v>
      </c>
      <c r="AC6889">
        <v>9.8089999999999904</v>
      </c>
      <c r="AD6889">
        <v>-1.02933082</v>
      </c>
      <c r="AE6889">
        <v>296.11140999999998</v>
      </c>
      <c r="AF6889">
        <v>13.6672898160045</v>
      </c>
      <c r="AG6889">
        <v>-1.02933082</v>
      </c>
      <c r="AH6889">
        <v>295.95484418533403</v>
      </c>
      <c r="AI6889">
        <v>90.199061745870097</v>
      </c>
      <c r="AJ6889">
        <v>87.355941013970295</v>
      </c>
      <c r="AK6889">
        <v>296.27204412434401</v>
      </c>
      <c r="AL6889">
        <v>90.523419454507902</v>
      </c>
      <c r="AM6889">
        <v>87.7062550457415</v>
      </c>
      <c r="AN6889">
        <v>1.0000000236039901</v>
      </c>
    </row>
    <row r="6890" spans="1:40" x14ac:dyDescent="0.25">
      <c r="A6890" t="str">
        <f>"20190312161450485"</f>
        <v>20190312161450485</v>
      </c>
      <c r="B6890" t="str">
        <f>"1552378490473942"</f>
        <v>1552378490473942</v>
      </c>
      <c r="C6890" t="s">
        <v>40</v>
      </c>
      <c r="D6890">
        <v>5.3959469999999996</v>
      </c>
      <c r="E6890">
        <v>0.5022373</v>
      </c>
      <c r="F6890" t="s">
        <v>110</v>
      </c>
      <c r="G6890">
        <v>-173.7362</v>
      </c>
      <c r="H6890">
        <v>1.0795589999999999E-3</v>
      </c>
      <c r="I6890">
        <v>391.00349999999997</v>
      </c>
      <c r="J6890">
        <v>-187.614</v>
      </c>
      <c r="K6890">
        <v>1.109353</v>
      </c>
      <c r="L6890">
        <v>-24.562439999999999</v>
      </c>
      <c r="M6890">
        <v>-1.214961E-2</v>
      </c>
      <c r="N6890">
        <v>0</v>
      </c>
      <c r="O6890">
        <v>0.99986140000000001</v>
      </c>
      <c r="P6890">
        <v>2.7821370000000002E-2</v>
      </c>
      <c r="Q6890">
        <v>-2.0698250000000001E-2</v>
      </c>
      <c r="R6890">
        <v>0.99939860000000003</v>
      </c>
      <c r="S6890">
        <v>0.10006710000000001</v>
      </c>
      <c r="T6890">
        <v>-7.9925059999999999E-3</v>
      </c>
      <c r="U6890">
        <v>2.9988709999999998</v>
      </c>
      <c r="V6890">
        <v>3.9949110000000003E-2</v>
      </c>
      <c r="W6890">
        <v>-9.3822669999999997E-3</v>
      </c>
      <c r="X6890">
        <v>0.99915770000000004</v>
      </c>
      <c r="Y6890">
        <v>4.5490780000000001E-2</v>
      </c>
      <c r="Z6890">
        <v>-2.662747E-3</v>
      </c>
      <c r="AA6890">
        <v>0.99896119999999999</v>
      </c>
      <c r="AB6890">
        <v>25</v>
      </c>
      <c r="AC6890">
        <v>13.877800000000001</v>
      </c>
      <c r="AD6890">
        <v>-1.1082734409999999</v>
      </c>
      <c r="AE6890">
        <v>415.56594000000001</v>
      </c>
      <c r="AF6890">
        <v>18.925932322861598</v>
      </c>
      <c r="AG6890">
        <v>-1.1082734409999999</v>
      </c>
      <c r="AH6890">
        <v>415.36369171218098</v>
      </c>
      <c r="AI6890">
        <v>90.152717792330293</v>
      </c>
      <c r="AJ6890">
        <v>87.391138031143399</v>
      </c>
      <c r="AK6890">
        <v>415.79612260948397</v>
      </c>
      <c r="AL6890">
        <v>90.537572170144401</v>
      </c>
      <c r="AM6890">
        <v>87.710374586128495</v>
      </c>
      <c r="AN6890">
        <v>1.00000003389657</v>
      </c>
    </row>
    <row r="6891" spans="1:40" x14ac:dyDescent="0.25">
      <c r="A6891" t="str">
        <f>"20190312161450529"</f>
        <v>20190312161450529</v>
      </c>
      <c r="B6891" t="str">
        <f>"1552378490523717"</f>
        <v>1552378490523717</v>
      </c>
      <c r="C6891" t="s">
        <v>40</v>
      </c>
      <c r="D6891">
        <v>5.4142679999999999</v>
      </c>
      <c r="E6891">
        <v>0.50195149999999999</v>
      </c>
      <c r="F6891" t="s">
        <v>42</v>
      </c>
      <c r="G6891">
        <v>-175.4727</v>
      </c>
      <c r="H6891">
        <v>7.9986699999999994E-2</v>
      </c>
      <c r="I6891">
        <v>333.49790000000002</v>
      </c>
      <c r="J6891">
        <v>-187.61799999999999</v>
      </c>
      <c r="K6891">
        <v>1.109416</v>
      </c>
      <c r="L6891">
        <v>-24.06354</v>
      </c>
      <c r="M6891">
        <v>-1.0615339999999999E-2</v>
      </c>
      <c r="N6891">
        <v>0</v>
      </c>
      <c r="O6891">
        <v>0.99987939999999997</v>
      </c>
      <c r="P6891">
        <v>2.953248E-2</v>
      </c>
      <c r="Q6891">
        <v>-2.1307889999999999E-2</v>
      </c>
      <c r="R6891">
        <v>0.99933669999999997</v>
      </c>
      <c r="S6891">
        <v>0.1016846</v>
      </c>
      <c r="T6891">
        <v>-8.6210969999999994E-3</v>
      </c>
      <c r="U6891">
        <v>2.9988100000000002</v>
      </c>
      <c r="V6891">
        <v>4.0127240000000002E-2</v>
      </c>
      <c r="W6891">
        <v>-1.003367E-2</v>
      </c>
      <c r="X6891">
        <v>0.99914420000000004</v>
      </c>
      <c r="Y6891">
        <v>4.4496719999999997E-2</v>
      </c>
      <c r="Z6891">
        <v>-2.8723360000000001E-3</v>
      </c>
      <c r="AA6891">
        <v>0.99900540000000004</v>
      </c>
      <c r="AB6891">
        <v>25</v>
      </c>
      <c r="AC6891">
        <v>12.145299999999899</v>
      </c>
      <c r="AD6891">
        <v>-1.0294293000000001</v>
      </c>
      <c r="AE6891">
        <v>357.56144</v>
      </c>
      <c r="AF6891">
        <v>15.940363768931901</v>
      </c>
      <c r="AG6891">
        <v>-1.0294293000000001</v>
      </c>
      <c r="AH6891">
        <v>357.40939700409501</v>
      </c>
      <c r="AI6891">
        <v>90.164861970263303</v>
      </c>
      <c r="AJ6891">
        <v>87.446315828467903</v>
      </c>
      <c r="AK6891">
        <v>357.76616942997902</v>
      </c>
      <c r="AL6891">
        <v>90.574896589877099</v>
      </c>
      <c r="AM6891">
        <v>87.700145220317495</v>
      </c>
      <c r="AN6891">
        <v>1.0000000011586601</v>
      </c>
    </row>
    <row r="6892" spans="1:40" x14ac:dyDescent="0.25">
      <c r="A6892" t="str">
        <f>"20190312161450551"</f>
        <v>20190312161450551</v>
      </c>
      <c r="B6892" t="str">
        <f>"1552378490543759"</f>
        <v>1552378490543759</v>
      </c>
      <c r="C6892" t="s">
        <v>40</v>
      </c>
      <c r="D6892">
        <v>5.4269949999999998</v>
      </c>
      <c r="E6892">
        <v>0.5018222</v>
      </c>
      <c r="F6892" t="s">
        <v>42</v>
      </c>
      <c r="G6892">
        <v>-175.5052</v>
      </c>
      <c r="H6892">
        <v>7.9986650000000006E-2</v>
      </c>
      <c r="I6892">
        <v>323.34800000000001</v>
      </c>
      <c r="J6892">
        <v>-187.6199</v>
      </c>
      <c r="K6892">
        <v>1.1094580000000001</v>
      </c>
      <c r="L6892">
        <v>-23.814910000000001</v>
      </c>
      <c r="M6892">
        <v>-9.9447300000000006E-3</v>
      </c>
      <c r="N6892">
        <v>0</v>
      </c>
      <c r="O6892">
        <v>0.99988650000000001</v>
      </c>
      <c r="P6892">
        <v>2.952714E-2</v>
      </c>
      <c r="Q6892">
        <v>-2.0892730000000002E-2</v>
      </c>
      <c r="R6892">
        <v>0.99934559999999995</v>
      </c>
      <c r="S6892">
        <v>0.1045532</v>
      </c>
      <c r="T6892">
        <v>-8.8856219999999993E-3</v>
      </c>
      <c r="U6892">
        <v>2.9987180000000002</v>
      </c>
      <c r="V6892">
        <v>3.9453500000000002E-2</v>
      </c>
      <c r="W6892">
        <v>-9.6320899999999994E-3</v>
      </c>
      <c r="X6892">
        <v>0.99917500000000004</v>
      </c>
      <c r="Y6892">
        <v>4.4782250000000003E-2</v>
      </c>
      <c r="Z6892">
        <v>-2.9605220000000002E-3</v>
      </c>
      <c r="AA6892">
        <v>0.9989924</v>
      </c>
      <c r="AB6892">
        <v>25</v>
      </c>
      <c r="AC6892">
        <v>12.114699999999999</v>
      </c>
      <c r="AD6892">
        <v>-1.0294713499999999</v>
      </c>
      <c r="AE6892">
        <v>347.16291000000001</v>
      </c>
      <c r="AF6892">
        <v>15.5666266699424</v>
      </c>
      <c r="AG6892">
        <v>-1.0294713499999999</v>
      </c>
      <c r="AH6892">
        <v>347.02220761109697</v>
      </c>
      <c r="AI6892">
        <v>90.169801627870598</v>
      </c>
      <c r="AJ6892">
        <v>87.431563519233805</v>
      </c>
      <c r="AK6892">
        <v>347.37269934815203</v>
      </c>
      <c r="AL6892">
        <v>90.551886628803004</v>
      </c>
      <c r="AM6892">
        <v>87.738789195816906</v>
      </c>
      <c r="AN6892">
        <v>1.0000000182225</v>
      </c>
    </row>
    <row r="6893" spans="1:40" x14ac:dyDescent="0.25">
      <c r="A6893" t="str">
        <f>"20190312161450572"</f>
        <v>20190312161450572</v>
      </c>
      <c r="B6893" t="str">
        <f>"1552378490563267"</f>
        <v>1552378490563267</v>
      </c>
      <c r="C6893" t="s">
        <v>40</v>
      </c>
      <c r="D6893">
        <v>5.5214080000000001</v>
      </c>
      <c r="E6893">
        <v>0.50169459999999999</v>
      </c>
      <c r="F6893" t="s">
        <v>57</v>
      </c>
      <c r="G6893">
        <v>-168.99799999999999</v>
      </c>
      <c r="H6893">
        <v>-0.1</v>
      </c>
      <c r="I6893">
        <v>515.64790000000005</v>
      </c>
      <c r="J6893">
        <v>-187.6215</v>
      </c>
      <c r="K6893">
        <v>1.109491</v>
      </c>
      <c r="L6893">
        <v>-23.580780000000001</v>
      </c>
      <c r="M6893">
        <v>-9.3617700000000002E-3</v>
      </c>
      <c r="N6893">
        <v>0</v>
      </c>
      <c r="O6893">
        <v>0.99989229999999996</v>
      </c>
      <c r="P6893">
        <v>3.024292E-2</v>
      </c>
      <c r="Q6893">
        <v>-2.124552E-2</v>
      </c>
      <c r="R6893">
        <v>0.99931680000000001</v>
      </c>
      <c r="S6893">
        <v>0.1035156</v>
      </c>
      <c r="T6893">
        <v>-6.723166E-3</v>
      </c>
      <c r="U6893">
        <v>2.9987789999999999</v>
      </c>
      <c r="V6893">
        <v>3.9587020000000001E-2</v>
      </c>
      <c r="W6893">
        <v>-9.9969540000000006E-3</v>
      </c>
      <c r="X6893">
        <v>0.99916609999999995</v>
      </c>
      <c r="Y6893">
        <v>4.3853900000000001E-2</v>
      </c>
      <c r="Z6893">
        <v>-2.2400689999999999E-3</v>
      </c>
      <c r="AA6893">
        <v>0.99903540000000002</v>
      </c>
      <c r="AB6893">
        <v>25</v>
      </c>
      <c r="AC6893">
        <v>18.6235</v>
      </c>
      <c r="AD6893">
        <v>-1.2094910000000001</v>
      </c>
      <c r="AE6893">
        <v>539.22867999999903</v>
      </c>
      <c r="AF6893">
        <v>23.671022171314199</v>
      </c>
      <c r="AG6893">
        <v>-1.2094910000000001</v>
      </c>
      <c r="AH6893">
        <v>539.02797801343502</v>
      </c>
      <c r="AI6893">
        <v>90.128438398327702</v>
      </c>
      <c r="AJ6893">
        <v>87.485512990270706</v>
      </c>
      <c r="AK6893">
        <v>539.54883119173303</v>
      </c>
      <c r="AL6893">
        <v>90.572792822745697</v>
      </c>
      <c r="AM6893">
        <v>87.731124517511006</v>
      </c>
      <c r="AN6893">
        <v>0.99999998331548401</v>
      </c>
    </row>
    <row r="6894" spans="1:40" x14ac:dyDescent="0.25">
      <c r="A6894" t="str">
        <f>"20190312161450594"</f>
        <v>20190312161450594</v>
      </c>
      <c r="B6894" t="str">
        <f>"1552378490583763"</f>
        <v>1552378490583763</v>
      </c>
      <c r="C6894" t="s">
        <v>40</v>
      </c>
      <c r="D6894">
        <v>5.4600929999999996</v>
      </c>
      <c r="E6894">
        <v>0.50166860000000002</v>
      </c>
      <c r="F6894" t="s">
        <v>63</v>
      </c>
      <c r="G6894">
        <v>-176.3603</v>
      </c>
      <c r="H6894">
        <v>7.9999929999999997E-2</v>
      </c>
      <c r="I6894">
        <v>298.50900000000001</v>
      </c>
      <c r="J6894">
        <v>-187.6232</v>
      </c>
      <c r="K6894">
        <v>1.1095189999999999</v>
      </c>
      <c r="L6894">
        <v>-23.32837</v>
      </c>
      <c r="M6894">
        <v>-8.7859840000000002E-3</v>
      </c>
      <c r="N6894">
        <v>0</v>
      </c>
      <c r="O6894">
        <v>0.9998977</v>
      </c>
      <c r="P6894">
        <v>3.1447410000000002E-2</v>
      </c>
      <c r="Q6894">
        <v>-2.170368E-2</v>
      </c>
      <c r="R6894">
        <v>0.99926970000000004</v>
      </c>
      <c r="S6894">
        <v>0.10484309999999999</v>
      </c>
      <c r="T6894">
        <v>-9.5846649999999992E-3</v>
      </c>
      <c r="U6894">
        <v>2.998688</v>
      </c>
      <c r="V6894">
        <v>4.0216210000000002E-2</v>
      </c>
      <c r="W6894">
        <v>-1.0468470000000001E-2</v>
      </c>
      <c r="X6894">
        <v>0.99913609999999997</v>
      </c>
      <c r="Y6894">
        <v>4.3721309999999999E-2</v>
      </c>
      <c r="Z6894">
        <v>-3.193581E-3</v>
      </c>
      <c r="AA6894">
        <v>0.9990386</v>
      </c>
      <c r="AB6894">
        <v>25</v>
      </c>
      <c r="AC6894">
        <v>11.2629</v>
      </c>
      <c r="AD6894">
        <v>-1.0295190700000001</v>
      </c>
      <c r="AE6894">
        <v>321.83737000000002</v>
      </c>
      <c r="AF6894">
        <v>14.0901593357491</v>
      </c>
      <c r="AG6894">
        <v>-1.0295190700000001</v>
      </c>
      <c r="AH6894">
        <v>321.722696228112</v>
      </c>
      <c r="AI6894">
        <v>90.183171431823396</v>
      </c>
      <c r="AJ6894">
        <v>87.4922779658434</v>
      </c>
      <c r="AK6894">
        <v>322.03274021115999</v>
      </c>
      <c r="AL6894">
        <v>90.599810141087104</v>
      </c>
      <c r="AM6894">
        <v>87.695032816674299</v>
      </c>
      <c r="AN6894">
        <v>0.999999939367055</v>
      </c>
    </row>
    <row r="6895" spans="1:40" x14ac:dyDescent="0.25">
      <c r="A6895" t="str">
        <f>"20190312161450617"</f>
        <v>20190312161450617</v>
      </c>
      <c r="B6895" t="str">
        <f>"1552378490613043"</f>
        <v>1552378490613043</v>
      </c>
      <c r="C6895" t="s">
        <v>40</v>
      </c>
      <c r="D6895">
        <v>5.4868550000000003</v>
      </c>
      <c r="E6895">
        <v>0.50160249999999995</v>
      </c>
      <c r="F6895" t="s">
        <v>42</v>
      </c>
      <c r="G6895">
        <v>-178.1968</v>
      </c>
      <c r="H6895">
        <v>7.9986089999999996E-2</v>
      </c>
      <c r="I6895">
        <v>238.12719999999999</v>
      </c>
      <c r="J6895">
        <v>-187.62479999999999</v>
      </c>
      <c r="K6895">
        <v>1.1095429999999999</v>
      </c>
      <c r="L6895">
        <v>-23.075589999999998</v>
      </c>
      <c r="M6895">
        <v>-8.2634309999999999E-3</v>
      </c>
      <c r="N6895">
        <v>0</v>
      </c>
      <c r="O6895">
        <v>0.99990239999999997</v>
      </c>
      <c r="P6895">
        <v>3.1581329999999998E-2</v>
      </c>
      <c r="Q6895">
        <v>-2.1761260000000001E-2</v>
      </c>
      <c r="R6895">
        <v>0.99926420000000005</v>
      </c>
      <c r="S6895">
        <v>0.1081085</v>
      </c>
      <c r="T6895">
        <v>-1.180732E-2</v>
      </c>
      <c r="U6895">
        <v>2.998535</v>
      </c>
      <c r="V6895">
        <v>3.9828759999999998E-2</v>
      </c>
      <c r="W6895">
        <v>-1.0541780000000001E-2</v>
      </c>
      <c r="X6895">
        <v>0.99915089999999995</v>
      </c>
      <c r="Y6895">
        <v>4.4287460000000001E-2</v>
      </c>
      <c r="Z6895">
        <v>-3.9342550000000002E-3</v>
      </c>
      <c r="AA6895">
        <v>0.99901110000000004</v>
      </c>
      <c r="AB6895">
        <v>25</v>
      </c>
      <c r="AC6895">
        <v>9.4279999999999902</v>
      </c>
      <c r="AD6895">
        <v>-1.0295569099999999</v>
      </c>
      <c r="AE6895">
        <v>261.20278999999999</v>
      </c>
      <c r="AF6895">
        <v>11.5860664964799</v>
      </c>
      <c r="AG6895">
        <v>-1.0295569099999999</v>
      </c>
      <c r="AH6895">
        <v>261.11190670936497</v>
      </c>
      <c r="AI6895">
        <v>90.225692408856702</v>
      </c>
      <c r="AJ6895">
        <v>87.459336246685993</v>
      </c>
      <c r="AK6895">
        <v>261.37085673366897</v>
      </c>
      <c r="AL6895">
        <v>90.604010696078305</v>
      </c>
      <c r="AM6895">
        <v>87.717249444885695</v>
      </c>
      <c r="AN6895">
        <v>0.99999999010975804</v>
      </c>
    </row>
    <row r="6896" spans="1:40" x14ac:dyDescent="0.25">
      <c r="A6896" t="str">
        <f>"20190312161450640"</f>
        <v>20190312161450640</v>
      </c>
      <c r="B6896" t="str">
        <f>"1552378490633540"</f>
        <v>1552378490633540</v>
      </c>
      <c r="C6896" t="s">
        <v>40</v>
      </c>
      <c r="D6896">
        <v>5.4375249999999999</v>
      </c>
      <c r="E6896">
        <v>0.50153130000000001</v>
      </c>
      <c r="F6896" t="s">
        <v>63</v>
      </c>
      <c r="G6896">
        <v>-178.92910000000001</v>
      </c>
      <c r="H6896">
        <v>7.9980809999999999E-2</v>
      </c>
      <c r="I6896">
        <v>218.2791</v>
      </c>
      <c r="J6896">
        <v>-187.62639999999999</v>
      </c>
      <c r="K6896">
        <v>1.109559</v>
      </c>
      <c r="L6896">
        <v>-22.818390000000001</v>
      </c>
      <c r="M6896">
        <v>-7.7825960000000001E-3</v>
      </c>
      <c r="N6896">
        <v>0</v>
      </c>
      <c r="O6896">
        <v>0.99990650000000003</v>
      </c>
      <c r="P6896">
        <v>3.1415980000000003E-2</v>
      </c>
      <c r="Q6896">
        <v>-2.1635749999999999E-2</v>
      </c>
      <c r="R6896">
        <v>0.99927220000000005</v>
      </c>
      <c r="S6896">
        <v>0.10803219999999999</v>
      </c>
      <c r="T6896">
        <v>-1.2790920000000001E-2</v>
      </c>
      <c r="U6896">
        <v>2.9985050000000002</v>
      </c>
      <c r="V6896">
        <v>3.9183999999999997E-2</v>
      </c>
      <c r="W6896">
        <v>-1.043345E-2</v>
      </c>
      <c r="X6896">
        <v>0.99917750000000005</v>
      </c>
      <c r="Y6896">
        <v>4.3781960000000002E-2</v>
      </c>
      <c r="Z6896">
        <v>-4.2621050000000004E-3</v>
      </c>
      <c r="AA6896">
        <v>0.99903200000000003</v>
      </c>
      <c r="AB6896">
        <v>25</v>
      </c>
      <c r="AC6896">
        <v>8.6972999999999807</v>
      </c>
      <c r="AD6896">
        <v>-1.0295781900000001</v>
      </c>
      <c r="AE6896">
        <v>241.09748999999999</v>
      </c>
      <c r="AF6896">
        <v>10.5733269837745</v>
      </c>
      <c r="AG6896">
        <v>-1.0295781900000001</v>
      </c>
      <c r="AH6896">
        <v>241.018106090603</v>
      </c>
      <c r="AI6896">
        <v>90.244518744050296</v>
      </c>
      <c r="AJ6896">
        <v>87.488077394213605</v>
      </c>
      <c r="AK6896">
        <v>241.252114474167</v>
      </c>
      <c r="AL6896">
        <v>90.597803521072294</v>
      </c>
      <c r="AM6896">
        <v>87.754224877401498</v>
      </c>
      <c r="AN6896">
        <v>0.99999995962057497</v>
      </c>
    </row>
    <row r="6897" spans="1:40" x14ac:dyDescent="0.25">
      <c r="A6897" t="str">
        <f>"20190312161450664"</f>
        <v>20190312161450664</v>
      </c>
      <c r="B6897" t="str">
        <f>"1552378490653566"</f>
        <v>1552378490653566</v>
      </c>
      <c r="C6897" t="s">
        <v>40</v>
      </c>
      <c r="D6897">
        <v>5.4187159999999999</v>
      </c>
      <c r="E6897">
        <v>0.50143899999999997</v>
      </c>
      <c r="F6897" t="s">
        <v>42</v>
      </c>
      <c r="G6897">
        <v>-178.32579999999999</v>
      </c>
      <c r="H6897">
        <v>7.9986130000000003E-2</v>
      </c>
      <c r="I6897">
        <v>238.31790000000001</v>
      </c>
      <c r="J6897">
        <v>-187.62780000000001</v>
      </c>
      <c r="K6897">
        <v>1.1095930000000001</v>
      </c>
      <c r="L6897">
        <v>-22.555050000000001</v>
      </c>
      <c r="M6897">
        <v>-7.3348529999999997E-3</v>
      </c>
      <c r="N6897">
        <v>0</v>
      </c>
      <c r="O6897">
        <v>0.99991010000000002</v>
      </c>
      <c r="P6897">
        <v>3.17121E-2</v>
      </c>
      <c r="Q6897">
        <v>-2.1685630000000001E-2</v>
      </c>
      <c r="R6897">
        <v>0.99926170000000003</v>
      </c>
      <c r="S6897">
        <v>0.1067963</v>
      </c>
      <c r="T6897">
        <v>-1.1822340000000001E-2</v>
      </c>
      <c r="U6897">
        <v>2.9985659999999998</v>
      </c>
      <c r="V6897">
        <v>3.9033440000000003E-2</v>
      </c>
      <c r="W6897">
        <v>-1.049959E-2</v>
      </c>
      <c r="X6897">
        <v>0.99918280000000004</v>
      </c>
      <c r="Y6897">
        <v>4.292265E-2</v>
      </c>
      <c r="Z6897">
        <v>-3.9394110000000003E-3</v>
      </c>
      <c r="AA6897">
        <v>0.99907060000000003</v>
      </c>
      <c r="AB6897">
        <v>25</v>
      </c>
      <c r="AC6897">
        <v>9.3020000000000191</v>
      </c>
      <c r="AD6897">
        <v>-1.0296068700000001</v>
      </c>
      <c r="AE6897">
        <v>260.87295</v>
      </c>
      <c r="AF6897">
        <v>11.2151605556836</v>
      </c>
      <c r="AG6897">
        <v>-1.0296068700000001</v>
      </c>
      <c r="AH6897">
        <v>260.793641196012</v>
      </c>
      <c r="AI6897">
        <v>90.225992280938399</v>
      </c>
      <c r="AJ6897">
        <v>87.537571525675801</v>
      </c>
      <c r="AK6897">
        <v>261.036708538992</v>
      </c>
      <c r="AL6897">
        <v>90.601593211686605</v>
      </c>
      <c r="AM6897">
        <v>87.762857079139593</v>
      </c>
      <c r="AN6897">
        <v>1.0000000593221099</v>
      </c>
    </row>
    <row r="6898" spans="1:40" x14ac:dyDescent="0.25">
      <c r="A6898" t="str">
        <f>"20190312161450709"</f>
        <v>20190312161450709</v>
      </c>
      <c r="B6898" t="str">
        <f>"1552378490703343"</f>
        <v>1552378490703343</v>
      </c>
      <c r="C6898" t="s">
        <v>40</v>
      </c>
      <c r="D6898">
        <v>5.4573330000000002</v>
      </c>
      <c r="E6898">
        <v>0.48468600000000001</v>
      </c>
      <c r="F6898" t="s">
        <v>42</v>
      </c>
      <c r="G6898">
        <v>-177.28229999999999</v>
      </c>
      <c r="H6898">
        <v>7.9986349999999998E-2</v>
      </c>
      <c r="I6898">
        <v>267.5915</v>
      </c>
      <c r="J6898">
        <v>-187.63059999999999</v>
      </c>
      <c r="K6898">
        <v>1.1096379999999999</v>
      </c>
      <c r="L6898">
        <v>-22.049040000000002</v>
      </c>
      <c r="M6898">
        <v>-6.5743609999999999E-3</v>
      </c>
      <c r="N6898">
        <v>0</v>
      </c>
      <c r="O6898">
        <v>0.99991589999999997</v>
      </c>
      <c r="P6898">
        <v>3.211659E-2</v>
      </c>
      <c r="Q6898">
        <v>-2.1663330000000001E-2</v>
      </c>
      <c r="R6898">
        <v>0.99924930000000001</v>
      </c>
      <c r="S6898">
        <v>0.10691829999999999</v>
      </c>
      <c r="T6898">
        <v>-1.0640739999999999E-2</v>
      </c>
      <c r="U6898">
        <v>2.998596</v>
      </c>
      <c r="V6898">
        <v>3.8679280000000003E-2</v>
      </c>
      <c r="W6898">
        <v>-1.051677E-2</v>
      </c>
      <c r="X6898">
        <v>0.99919639999999998</v>
      </c>
      <c r="Y6898">
        <v>4.2203089999999999E-2</v>
      </c>
      <c r="Z6898">
        <v>-3.5457290000000001E-3</v>
      </c>
      <c r="AA6898">
        <v>0.99910279999999996</v>
      </c>
      <c r="AB6898">
        <v>25</v>
      </c>
      <c r="AC6898">
        <v>10.348299999999901</v>
      </c>
      <c r="AD6898">
        <v>-1.0296516499999999</v>
      </c>
      <c r="AE6898">
        <v>289.64053999999999</v>
      </c>
      <c r="AF6898">
        <v>12.2522421568281</v>
      </c>
      <c r="AG6898">
        <v>-1.0296516499999999</v>
      </c>
      <c r="AH6898">
        <v>289.562587296103</v>
      </c>
      <c r="AI6898">
        <v>90.203554284090302</v>
      </c>
      <c r="AJ6898">
        <v>87.577092848150102</v>
      </c>
      <c r="AK6898">
        <v>289.82351454290801</v>
      </c>
      <c r="AL6898">
        <v>90.602577602565603</v>
      </c>
      <c r="AM6898">
        <v>87.783165025924603</v>
      </c>
      <c r="AN6898">
        <v>1.0000000674627501</v>
      </c>
    </row>
    <row r="6899" spans="1:40" x14ac:dyDescent="0.25">
      <c r="A6899" t="str">
        <f>"20190312161450729"</f>
        <v>20190312161450729</v>
      </c>
      <c r="B6899" t="str">
        <f>"1552378490723838"</f>
        <v>1552378490723838</v>
      </c>
      <c r="C6899" t="s">
        <v>40</v>
      </c>
      <c r="D6899">
        <v>5.2966449999999998</v>
      </c>
      <c r="E6899">
        <v>0.48436410000000002</v>
      </c>
      <c r="F6899" t="s">
        <v>42</v>
      </c>
      <c r="G6899">
        <v>-187.9984</v>
      </c>
      <c r="H6899" s="1">
        <v>-9.2832590000000001E-7</v>
      </c>
      <c r="I6899">
        <v>20.810980000000001</v>
      </c>
      <c r="J6899">
        <v>-187.6318</v>
      </c>
      <c r="K6899">
        <v>1.109645</v>
      </c>
      <c r="L6899">
        <v>-21.806149999999999</v>
      </c>
      <c r="M6899">
        <v>-6.2415469999999897E-3</v>
      </c>
      <c r="N6899">
        <v>0</v>
      </c>
      <c r="O6899">
        <v>0.99991830000000004</v>
      </c>
      <c r="P6899">
        <v>3.1610480000000003E-2</v>
      </c>
      <c r="Q6899">
        <v>-2.1547239999999999E-2</v>
      </c>
      <c r="R6899">
        <v>0.99926800000000005</v>
      </c>
      <c r="S6899">
        <v>-2.575684E-2</v>
      </c>
      <c r="T6899">
        <v>-7.7705860000000002E-2</v>
      </c>
      <c r="U6899">
        <v>3.001404</v>
      </c>
      <c r="V6899">
        <v>3.7841189999999997E-2</v>
      </c>
      <c r="W6899">
        <v>-1.042679E-2</v>
      </c>
      <c r="X6899">
        <v>0.99922940000000005</v>
      </c>
      <c r="Y6899">
        <v>-2.3365339999999999E-3</v>
      </c>
      <c r="Z6899">
        <v>-2.5879900000000001E-2</v>
      </c>
      <c r="AA6899">
        <v>0.9996623</v>
      </c>
      <c r="AB6899">
        <v>25</v>
      </c>
      <c r="AC6899">
        <v>-0.36660000000000498</v>
      </c>
      <c r="AD6899">
        <v>-1.1096459283258999</v>
      </c>
      <c r="AE6899">
        <v>42.617130000000003</v>
      </c>
      <c r="AF6899">
        <v>-0.100511349885506</v>
      </c>
      <c r="AG6899">
        <v>-1.1096459283258999</v>
      </c>
      <c r="AH6899">
        <v>42.589716319439702</v>
      </c>
      <c r="AI6899">
        <v>91.492460544418407</v>
      </c>
      <c r="AJ6899">
        <v>90.135217276559899</v>
      </c>
      <c r="AK6899">
        <v>42.604287962458102</v>
      </c>
      <c r="AL6899">
        <v>90.597421866138902</v>
      </c>
      <c r="AM6899">
        <v>87.831223861869603</v>
      </c>
      <c r="AN6899">
        <v>1.00000003371733</v>
      </c>
    </row>
    <row r="6900" spans="1:40" x14ac:dyDescent="0.25">
      <c r="A6900" t="str">
        <f>"20190312161450750"</f>
        <v>20190312161450750</v>
      </c>
      <c r="B6900" t="str">
        <f>"1552378490743897"</f>
        <v>1552378490743897</v>
      </c>
      <c r="C6900" t="s">
        <v>40</v>
      </c>
      <c r="D6900">
        <v>5.5131930000000002</v>
      </c>
      <c r="E6900">
        <v>0.48485279999999997</v>
      </c>
      <c r="F6900" t="s">
        <v>42</v>
      </c>
      <c r="G6900">
        <v>-188.15860000000001</v>
      </c>
      <c r="H6900" s="1">
        <v>-1.0192750000000001E-6</v>
      </c>
      <c r="I6900">
        <v>31.203479999999999</v>
      </c>
      <c r="J6900">
        <v>-187.63290000000001</v>
      </c>
      <c r="K6900">
        <v>1.109648</v>
      </c>
      <c r="L6900">
        <v>-21.570920000000001</v>
      </c>
      <c r="M6900">
        <v>-5.9283629999999999E-3</v>
      </c>
      <c r="N6900">
        <v>0</v>
      </c>
      <c r="O6900">
        <v>0.99992049999999999</v>
      </c>
      <c r="P6900">
        <v>3.1818859999999997E-2</v>
      </c>
      <c r="Q6900">
        <v>-2.1831219999999998E-2</v>
      </c>
      <c r="R6900">
        <v>0.99925520000000001</v>
      </c>
      <c r="S6900">
        <v>-2.9830929999999999E-2</v>
      </c>
      <c r="T6900">
        <v>-6.2836409999999995E-2</v>
      </c>
      <c r="U6900">
        <v>3.0018009999999999</v>
      </c>
      <c r="V6900">
        <v>3.7736560000000002E-2</v>
      </c>
      <c r="W6900">
        <v>-1.0738910000000001E-2</v>
      </c>
      <c r="X6900">
        <v>0.99922999999999995</v>
      </c>
      <c r="Y6900">
        <v>-4.0064009999999997E-3</v>
      </c>
      <c r="Z6900">
        <v>-2.0927169999999998E-2</v>
      </c>
      <c r="AA6900">
        <v>0.99977300000000002</v>
      </c>
      <c r="AB6900">
        <v>25</v>
      </c>
      <c r="AC6900">
        <v>-0.52569999999999995</v>
      </c>
      <c r="AD6900">
        <v>-1.1096490192749999</v>
      </c>
      <c r="AE6900">
        <v>52.7744</v>
      </c>
      <c r="AF6900">
        <v>-0.21271155339974701</v>
      </c>
      <c r="AG6900">
        <v>-1.1096490192749999</v>
      </c>
      <c r="AH6900">
        <v>52.753269090603801</v>
      </c>
      <c r="AI6900">
        <v>91.2050118525882</v>
      </c>
      <c r="AJ6900">
        <v>90.231026596526704</v>
      </c>
      <c r="AK6900">
        <v>52.765367116097899</v>
      </c>
      <c r="AL6900">
        <v>90.6153060573223</v>
      </c>
      <c r="AM6900">
        <v>87.837216071694598</v>
      </c>
      <c r="AN6900">
        <v>0.99999998252430999</v>
      </c>
    </row>
    <row r="6901" spans="1:40" x14ac:dyDescent="0.25">
      <c r="A6901" t="str">
        <f>"20190312161450774"</f>
        <v>20190312161450774</v>
      </c>
      <c r="B6901" t="str">
        <f>"1552378490763385"</f>
        <v>1552378490763385</v>
      </c>
      <c r="C6901" t="s">
        <v>40</v>
      </c>
      <c r="D6901">
        <v>5.4454330000000004</v>
      </c>
      <c r="E6901">
        <v>0.48477369999999997</v>
      </c>
      <c r="F6901" t="s">
        <v>42</v>
      </c>
      <c r="G6901">
        <v>-188.2158</v>
      </c>
      <c r="H6901" s="1">
        <v>-3.9160149999999996E-6</v>
      </c>
      <c r="I6901">
        <v>48.02337</v>
      </c>
      <c r="J6901">
        <v>-187.63399999999999</v>
      </c>
      <c r="K6901">
        <v>1.109648</v>
      </c>
      <c r="L6901">
        <v>-21.310639999999999</v>
      </c>
      <c r="M6901">
        <v>-5.586443E-3</v>
      </c>
      <c r="N6901">
        <v>0</v>
      </c>
      <c r="O6901">
        <v>0.99992289999999995</v>
      </c>
      <c r="P6901">
        <v>3.2028559999999998E-2</v>
      </c>
      <c r="Q6901">
        <v>-2.1097390000000001E-2</v>
      </c>
      <c r="R6901">
        <v>0.99926420000000005</v>
      </c>
      <c r="S6901">
        <v>-2.5146479999999999E-2</v>
      </c>
      <c r="T6901">
        <v>-4.7865390000000001E-2</v>
      </c>
      <c r="U6901">
        <v>3.0019840000000002</v>
      </c>
      <c r="V6901">
        <v>3.7605109999999997E-2</v>
      </c>
      <c r="W6901">
        <v>-1.003428E-2</v>
      </c>
      <c r="X6901">
        <v>0.99924230000000003</v>
      </c>
      <c r="Y6901">
        <v>-2.788544E-3</v>
      </c>
      <c r="Z6901">
        <v>-1.5941879999999999E-2</v>
      </c>
      <c r="AA6901">
        <v>0.99986900000000001</v>
      </c>
      <c r="AB6901">
        <v>25</v>
      </c>
      <c r="AC6901">
        <v>-0.58179999999998699</v>
      </c>
      <c r="AD6901">
        <v>-1.109651916015</v>
      </c>
      <c r="AE6901">
        <v>69.334009999999907</v>
      </c>
      <c r="AF6901">
        <v>-0.19438681808892999</v>
      </c>
      <c r="AG6901">
        <v>-1.109651916015</v>
      </c>
      <c r="AH6901">
        <v>69.318424237212696</v>
      </c>
      <c r="AI6901">
        <v>90.917111032512196</v>
      </c>
      <c r="AJ6901">
        <v>90.160671786720997</v>
      </c>
      <c r="AK6901">
        <v>69.327577862925196</v>
      </c>
      <c r="AL6901">
        <v>90.574931541238399</v>
      </c>
      <c r="AM6901">
        <v>87.844769212939696</v>
      </c>
      <c r="AN6901">
        <v>1.0000000025912601</v>
      </c>
    </row>
    <row r="6902" spans="1:40" x14ac:dyDescent="0.25">
      <c r="A6902" t="str">
        <f>"20190312161450795"</f>
        <v>20190312161450795</v>
      </c>
      <c r="B6902" t="str">
        <f>"1552378490782904"</f>
        <v>1552378490782904</v>
      </c>
      <c r="C6902" t="s">
        <v>40</v>
      </c>
      <c r="D6902">
        <v>5.7267749999999999</v>
      </c>
      <c r="E6902">
        <v>0.4856741</v>
      </c>
      <c r="F6902" t="s">
        <v>42</v>
      </c>
      <c r="G6902">
        <v>-188.36369999999999</v>
      </c>
      <c r="H6902" s="1">
        <v>-3.030385E-6</v>
      </c>
      <c r="I6902">
        <v>66.020089999999996</v>
      </c>
      <c r="J6902">
        <v>-187.63499999999999</v>
      </c>
      <c r="K6902">
        <v>1.109645</v>
      </c>
      <c r="L6902">
        <v>-21.065429999999999</v>
      </c>
      <c r="M6902">
        <v>-5.2639119999999999E-3</v>
      </c>
      <c r="N6902">
        <v>0</v>
      </c>
      <c r="O6902">
        <v>0.99992490000000001</v>
      </c>
      <c r="P6902">
        <v>3.1991600000000002E-2</v>
      </c>
      <c r="Q6902">
        <v>-2.050511E-2</v>
      </c>
      <c r="R6902">
        <v>0.99927779999999999</v>
      </c>
      <c r="S6902">
        <v>-2.5085449999999999E-2</v>
      </c>
      <c r="T6902">
        <v>-3.8146850000000003E-2</v>
      </c>
      <c r="U6902">
        <v>3.0021969999999998</v>
      </c>
      <c r="V6902">
        <v>3.7246219999999997E-2</v>
      </c>
      <c r="W6902">
        <v>-9.4687309999999993E-3</v>
      </c>
      <c r="X6902">
        <v>0.99926130000000002</v>
      </c>
      <c r="Y6902">
        <v>-3.0905659999999999E-3</v>
      </c>
      <c r="Z6902">
        <v>-1.2704770000000001E-2</v>
      </c>
      <c r="AA6902">
        <v>0.99991450000000004</v>
      </c>
      <c r="AB6902">
        <v>25</v>
      </c>
      <c r="AC6902">
        <v>-0.72870000000000301</v>
      </c>
      <c r="AD6902">
        <v>-1.109648030385</v>
      </c>
      <c r="AE6902">
        <v>87.085519999999903</v>
      </c>
      <c r="AF6902">
        <v>-0.27020744456447099</v>
      </c>
      <c r="AG6902">
        <v>-1.109648030385</v>
      </c>
      <c r="AH6902">
        <v>87.074013042772705</v>
      </c>
      <c r="AI6902">
        <v>90.730119115609597</v>
      </c>
      <c r="AJ6902">
        <v>90.177799275931406</v>
      </c>
      <c r="AK6902">
        <v>87.081502503042501</v>
      </c>
      <c r="AL6902">
        <v>90.542526408083305</v>
      </c>
      <c r="AM6902">
        <v>87.8653594115586</v>
      </c>
      <c r="AN6902">
        <v>1.00000004172436</v>
      </c>
    </row>
    <row r="6903" spans="1:40" x14ac:dyDescent="0.25">
      <c r="A6903" t="str">
        <f>"20190312161450819"</f>
        <v>20190312161450819</v>
      </c>
      <c r="B6903" t="str">
        <f>"1552378490813160"</f>
        <v>1552378490813160</v>
      </c>
      <c r="C6903" t="s">
        <v>40</v>
      </c>
      <c r="D6903">
        <v>5.3378209999999999</v>
      </c>
      <c r="E6903">
        <v>0.48591899999999899</v>
      </c>
      <c r="F6903" t="s">
        <v>42</v>
      </c>
      <c r="G6903">
        <v>-188.18960000000001</v>
      </c>
      <c r="H6903" s="1">
        <v>-1.0537679999999999E-6</v>
      </c>
      <c r="I6903">
        <v>71.329130000000006</v>
      </c>
      <c r="J6903">
        <v>-187.636</v>
      </c>
      <c r="K6903">
        <v>1.1096330000000001</v>
      </c>
      <c r="L6903">
        <v>-20.805109999999999</v>
      </c>
      <c r="M6903">
        <v>-4.9172959999999998E-3</v>
      </c>
      <c r="N6903">
        <v>0</v>
      </c>
      <c r="O6903">
        <v>0.99992700000000001</v>
      </c>
      <c r="P6903">
        <v>3.208097E-2</v>
      </c>
      <c r="Q6903">
        <v>-2.0381489999999999E-2</v>
      </c>
      <c r="R6903">
        <v>0.99927739999999998</v>
      </c>
      <c r="S6903">
        <v>-1.8020629999999999E-2</v>
      </c>
      <c r="T6903">
        <v>-3.6053780000000001E-2</v>
      </c>
      <c r="U6903">
        <v>3.002014</v>
      </c>
      <c r="V6903">
        <v>3.6989210000000002E-2</v>
      </c>
      <c r="W6903">
        <v>-9.3772500000000002E-3</v>
      </c>
      <c r="X6903">
        <v>0.99927169999999998</v>
      </c>
      <c r="Y6903">
        <v>-1.084727E-3</v>
      </c>
      <c r="Z6903">
        <v>-1.2008670000000001E-2</v>
      </c>
      <c r="AA6903">
        <v>0.99992729999999996</v>
      </c>
      <c r="AB6903">
        <v>25</v>
      </c>
      <c r="AC6903">
        <v>-0.55360000000001697</v>
      </c>
      <c r="AD6903">
        <v>-1.1096340537680001</v>
      </c>
      <c r="AE6903">
        <v>92.134240000000005</v>
      </c>
      <c r="AF6903">
        <v>-0.100499802684357</v>
      </c>
      <c r="AG6903">
        <v>-1.1096340537680001</v>
      </c>
      <c r="AH6903">
        <v>92.122486469549102</v>
      </c>
      <c r="AI6903">
        <v>90.690105512934394</v>
      </c>
      <c r="AJ6903">
        <v>90.062506044637104</v>
      </c>
      <c r="AK6903">
        <v>92.129223926373498</v>
      </c>
      <c r="AL6903">
        <v>90.537284705361103</v>
      </c>
      <c r="AM6903">
        <v>87.880097623938397</v>
      </c>
      <c r="AN6903">
        <v>1.0000000324474301</v>
      </c>
    </row>
    <row r="6904" spans="1:40" x14ac:dyDescent="0.25">
      <c r="A6904" t="str">
        <f>"20190312161450841"</f>
        <v>20190312161450841</v>
      </c>
      <c r="B6904" t="str">
        <f>"1552378490833657"</f>
        <v>1552378490833657</v>
      </c>
      <c r="C6904" t="s">
        <v>40</v>
      </c>
      <c r="D6904">
        <v>5.4790830000000001</v>
      </c>
      <c r="E6904">
        <v>0.48617680000000002</v>
      </c>
      <c r="F6904" t="s">
        <v>42</v>
      </c>
      <c r="G6904">
        <v>-188.2081</v>
      </c>
      <c r="H6904" s="1">
        <v>-3.8878999999999997E-6</v>
      </c>
      <c r="I6904">
        <v>87.954639999999998</v>
      </c>
      <c r="J6904">
        <v>-187.63679999999999</v>
      </c>
      <c r="K6904">
        <v>1.1096250000000001</v>
      </c>
      <c r="L6904">
        <v>-20.557860000000002</v>
      </c>
      <c r="M6904">
        <v>-4.5827089999999999E-3</v>
      </c>
      <c r="N6904">
        <v>0</v>
      </c>
      <c r="O6904">
        <v>0.99992899999999996</v>
      </c>
      <c r="P6904">
        <v>3.2610229999999997E-2</v>
      </c>
      <c r="Q6904">
        <v>-1.998076E-2</v>
      </c>
      <c r="R6904">
        <v>0.99926839999999995</v>
      </c>
      <c r="S6904">
        <v>-1.5792850000000001E-2</v>
      </c>
      <c r="T6904">
        <v>-3.0628800000000001E-2</v>
      </c>
      <c r="U6904">
        <v>3.0020449999999999</v>
      </c>
      <c r="V6904">
        <v>3.7184229999999999E-2</v>
      </c>
      <c r="W6904">
        <v>-9.0080779999999992E-3</v>
      </c>
      <c r="X6904">
        <v>0.99926780000000004</v>
      </c>
      <c r="Y6904">
        <v>-6.7737190000000005E-4</v>
      </c>
      <c r="Z6904">
        <v>-1.020188E-2</v>
      </c>
      <c r="AA6904">
        <v>0.99994769999999999</v>
      </c>
      <c r="AB6904">
        <v>25</v>
      </c>
      <c r="AC6904">
        <v>-0.57130000000000702</v>
      </c>
      <c r="AD6904">
        <v>-1.1096288879</v>
      </c>
      <c r="AE6904">
        <v>108.5125</v>
      </c>
      <c r="AF6904">
        <v>-7.3974968045145695E-2</v>
      </c>
      <c r="AG6904">
        <v>-1.1096288879</v>
      </c>
      <c r="AH6904">
        <v>108.502633153742</v>
      </c>
      <c r="AI6904">
        <v>90.585928831299299</v>
      </c>
      <c r="AJ6904">
        <v>90.039063133111995</v>
      </c>
      <c r="AK6904">
        <v>108.508332167904</v>
      </c>
      <c r="AL6904">
        <v>90.516131844657096</v>
      </c>
      <c r="AM6904">
        <v>87.868922728831194</v>
      </c>
      <c r="AN6904">
        <v>0.99999997427339304</v>
      </c>
    </row>
    <row r="6905" spans="1:40" x14ac:dyDescent="0.25">
      <c r="A6905" t="str">
        <f>"20190312161450862"</f>
        <v>20190312161450862</v>
      </c>
      <c r="B6905" t="str">
        <f>"1552378490853176"</f>
        <v>1552378490853176</v>
      </c>
      <c r="C6905" t="s">
        <v>40</v>
      </c>
      <c r="D6905">
        <v>5.4623369999999998</v>
      </c>
      <c r="E6905">
        <v>0.48646590000000001</v>
      </c>
      <c r="F6905" t="s">
        <v>42</v>
      </c>
      <c r="G6905">
        <v>-188.06989999999999</v>
      </c>
      <c r="H6905" s="1">
        <v>-3.4591909999999998E-6</v>
      </c>
      <c r="I6905">
        <v>86.898179999999996</v>
      </c>
      <c r="J6905">
        <v>-187.63759999999999</v>
      </c>
      <c r="K6905">
        <v>1.1096200000000001</v>
      </c>
      <c r="L6905">
        <v>-20.306979999999999</v>
      </c>
      <c r="M6905">
        <v>-4.2382660000000001E-3</v>
      </c>
      <c r="N6905">
        <v>0</v>
      </c>
      <c r="O6905">
        <v>0.99993080000000001</v>
      </c>
      <c r="P6905">
        <v>3.3238740000000003E-2</v>
      </c>
      <c r="Q6905">
        <v>-1.962829E-2</v>
      </c>
      <c r="R6905">
        <v>0.99925469999999905</v>
      </c>
      <c r="S6905">
        <v>-1.210022E-2</v>
      </c>
      <c r="T6905">
        <v>-3.0999539999999999E-2</v>
      </c>
      <c r="U6905">
        <v>3.0019840000000002</v>
      </c>
      <c r="V6905">
        <v>3.7468620000000001E-2</v>
      </c>
      <c r="W6905">
        <v>-8.6848619999999998E-3</v>
      </c>
      <c r="X6905">
        <v>0.99926009999999998</v>
      </c>
      <c r="Y6905">
        <v>2.0802829999999999E-4</v>
      </c>
      <c r="Z6905">
        <v>-1.0325620000000001E-2</v>
      </c>
      <c r="AA6905">
        <v>0.99994669999999997</v>
      </c>
      <c r="AB6905">
        <v>25</v>
      </c>
      <c r="AC6905">
        <v>-0.43229999999999702</v>
      </c>
      <c r="AD6905">
        <v>-1.1096234591909999</v>
      </c>
      <c r="AE6905">
        <v>107.20516000000001</v>
      </c>
      <c r="AF6905">
        <v>2.2092863524656201E-2</v>
      </c>
      <c r="AG6905">
        <v>-1.1096234591909999</v>
      </c>
      <c r="AH6905">
        <v>107.194545537726</v>
      </c>
      <c r="AI6905">
        <v>90.593075596489797</v>
      </c>
      <c r="AJ6905">
        <v>89.988191303829396</v>
      </c>
      <c r="AK6905">
        <v>107.200290789509</v>
      </c>
      <c r="AL6905">
        <v>90.497612176082797</v>
      </c>
      <c r="AM6905">
        <v>87.852622631844199</v>
      </c>
      <c r="AN6905">
        <v>1.00000003588233</v>
      </c>
    </row>
    <row r="6906" spans="1:40" x14ac:dyDescent="0.25">
      <c r="A6906" t="str">
        <f>"20190312161450886"</f>
        <v>20190312161450886</v>
      </c>
      <c r="B6906" t="str">
        <f>"1552378490873672"</f>
        <v>1552378490873672</v>
      </c>
      <c r="C6906" t="s">
        <v>40</v>
      </c>
      <c r="D6906">
        <v>5.482386</v>
      </c>
      <c r="E6906">
        <v>0.4866161</v>
      </c>
      <c r="F6906" t="s">
        <v>42</v>
      </c>
      <c r="G6906">
        <v>-187.9042</v>
      </c>
      <c r="H6906" s="1">
        <v>-4.0861809999999996E-6</v>
      </c>
      <c r="I6906">
        <v>78.291179999999997</v>
      </c>
      <c r="J6906">
        <v>-187.63829999999999</v>
      </c>
      <c r="K6906">
        <v>1.1096140000000001</v>
      </c>
      <c r="L6906">
        <v>-20.03781</v>
      </c>
      <c r="M6906">
        <v>-3.8648350000000001E-3</v>
      </c>
      <c r="N6906">
        <v>0</v>
      </c>
      <c r="O6906">
        <v>0.99993259999999995</v>
      </c>
      <c r="P6906">
        <v>3.3210199999999898E-2</v>
      </c>
      <c r="Q6906">
        <v>-1.9482719999999999E-2</v>
      </c>
      <c r="R6906">
        <v>0.99925850000000005</v>
      </c>
      <c r="S6906">
        <v>-8.1176759999999903E-3</v>
      </c>
      <c r="T6906">
        <v>-3.3782960000000001E-2</v>
      </c>
      <c r="U6906">
        <v>3.001862</v>
      </c>
      <c r="V6906">
        <v>3.7066969999999998E-2</v>
      </c>
      <c r="W6906">
        <v>-8.5705880000000005E-3</v>
      </c>
      <c r="X6906">
        <v>0.99927600000000005</v>
      </c>
      <c r="Y6906">
        <v>1.161039E-3</v>
      </c>
      <c r="Z6906">
        <v>-1.125314E-2</v>
      </c>
      <c r="AA6906">
        <v>0.99993600000000005</v>
      </c>
      <c r="AB6906">
        <v>25</v>
      </c>
      <c r="AC6906">
        <v>-0.26590000000001601</v>
      </c>
      <c r="AD6906">
        <v>-1.1096180861810001</v>
      </c>
      <c r="AE6906">
        <v>98.328990000000005</v>
      </c>
      <c r="AF6906">
        <v>0.114135550308756</v>
      </c>
      <c r="AG6906">
        <v>-1.1096180861810001</v>
      </c>
      <c r="AH6906">
        <v>98.316763148571098</v>
      </c>
      <c r="AI6906">
        <v>90.646621076078304</v>
      </c>
      <c r="AJ6906">
        <v>89.933485580912503</v>
      </c>
      <c r="AK6906">
        <v>98.3230908547593</v>
      </c>
      <c r="AL6906">
        <v>90.491064547201105</v>
      </c>
      <c r="AM6906">
        <v>87.875654303489199</v>
      </c>
      <c r="AN6906">
        <v>0.99999996970982297</v>
      </c>
    </row>
    <row r="6907" spans="1:40" x14ac:dyDescent="0.25">
      <c r="A6907" t="str">
        <f>"20190312161450910"</f>
        <v>20190312161450910</v>
      </c>
      <c r="B6907" t="str">
        <f>"1552378490902953"</f>
        <v>1552378490902953</v>
      </c>
      <c r="C6907" t="s">
        <v>40</v>
      </c>
      <c r="D6907">
        <v>5.4530810000000001</v>
      </c>
      <c r="E6907">
        <v>0.48701990000000001</v>
      </c>
      <c r="F6907" t="s">
        <v>42</v>
      </c>
      <c r="G6907">
        <v>-187.83949999999999</v>
      </c>
      <c r="H6907" s="1">
        <v>-3.9484479999999998E-6</v>
      </c>
      <c r="I6907">
        <v>67.943380000000005</v>
      </c>
      <c r="J6907">
        <v>-187.63890000000001</v>
      </c>
      <c r="K6907">
        <v>1.1096029999999999</v>
      </c>
      <c r="L6907">
        <v>-19.773250000000001</v>
      </c>
      <c r="M6907">
        <v>-3.4957780000000002E-3</v>
      </c>
      <c r="N6907">
        <v>0</v>
      </c>
      <c r="O6907">
        <v>0.9999344</v>
      </c>
      <c r="P6907">
        <v>3.335569E-2</v>
      </c>
      <c r="Q6907">
        <v>-1.9657629999999999E-2</v>
      </c>
      <c r="R6907">
        <v>0.99925019999999998</v>
      </c>
      <c r="S6907">
        <v>-6.8664549999999996E-3</v>
      </c>
      <c r="T6907">
        <v>-3.785753E-2</v>
      </c>
      <c r="U6907">
        <v>3.001709</v>
      </c>
      <c r="V6907">
        <v>3.684349E-2</v>
      </c>
      <c r="W6907">
        <v>-8.7795649999999996E-3</v>
      </c>
      <c r="X6907">
        <v>0.99928249999999996</v>
      </c>
      <c r="Y6907">
        <v>1.2086639999999999E-3</v>
      </c>
      <c r="Z6907">
        <v>-1.261086E-2</v>
      </c>
      <c r="AA6907">
        <v>0.99991980000000003</v>
      </c>
      <c r="AB6907">
        <v>25</v>
      </c>
      <c r="AC6907">
        <v>-0.20059999999997999</v>
      </c>
      <c r="AD6907">
        <v>-1.109606948448</v>
      </c>
      <c r="AE6907">
        <v>87.716629999999995</v>
      </c>
      <c r="AF6907">
        <v>0.10604036553574001</v>
      </c>
      <c r="AG6907">
        <v>-1.109606948448</v>
      </c>
      <c r="AH6907">
        <v>87.702761131744793</v>
      </c>
      <c r="AI6907">
        <v>90.724861519749098</v>
      </c>
      <c r="AJ6907">
        <v>89.930724388101794</v>
      </c>
      <c r="AK6907">
        <v>87.709844272299605</v>
      </c>
      <c r="AL6907">
        <v>90.503038473394199</v>
      </c>
      <c r="AM6907">
        <v>87.888464262868894</v>
      </c>
      <c r="AN6907">
        <v>1.0000000191616001</v>
      </c>
    </row>
    <row r="6908" spans="1:40" x14ac:dyDescent="0.25">
      <c r="A6908" t="str">
        <f>"20190312161450930"</f>
        <v>20190312161450930</v>
      </c>
      <c r="B6908" t="str">
        <f>"1552378490923448"</f>
        <v>1552378490923448</v>
      </c>
      <c r="C6908" t="s">
        <v>40</v>
      </c>
      <c r="D6908">
        <v>5.1155780000000002</v>
      </c>
      <c r="E6908">
        <v>0.48743249999999999</v>
      </c>
      <c r="F6908" t="s">
        <v>42</v>
      </c>
      <c r="G6908">
        <v>-187.72200000000001</v>
      </c>
      <c r="H6908" s="1">
        <v>-2.7964929999999998E-6</v>
      </c>
      <c r="I6908">
        <v>55.20955</v>
      </c>
      <c r="J6908">
        <v>-187.63939999999999</v>
      </c>
      <c r="K6908">
        <v>1.1095930000000001</v>
      </c>
      <c r="L6908">
        <v>-19.541049999999998</v>
      </c>
      <c r="M6908">
        <v>-3.1715480000000002E-3</v>
      </c>
      <c r="N6908">
        <v>0</v>
      </c>
      <c r="O6908">
        <v>0.99993580000000004</v>
      </c>
      <c r="P6908">
        <v>3.390141E-2</v>
      </c>
      <c r="Q6908">
        <v>-1.9775620000000001E-2</v>
      </c>
      <c r="R6908">
        <v>0.99922949999999999</v>
      </c>
      <c r="S6908">
        <v>-3.326416E-3</v>
      </c>
      <c r="T6908">
        <v>-4.4416549999999999E-2</v>
      </c>
      <c r="U6908">
        <v>3.0014949999999998</v>
      </c>
      <c r="V6908">
        <v>3.7065050000000002E-2</v>
      </c>
      <c r="W6908">
        <v>-8.9313929999999993E-3</v>
      </c>
      <c r="X6908">
        <v>0.99927290000000002</v>
      </c>
      <c r="Y6908">
        <v>2.0636080000000002E-3</v>
      </c>
      <c r="Z6908">
        <v>-1.479639E-2</v>
      </c>
      <c r="AA6908">
        <v>0.99988840000000001</v>
      </c>
      <c r="AB6908">
        <v>25</v>
      </c>
      <c r="AC6908">
        <v>-8.2600000000013496E-2</v>
      </c>
      <c r="AD6908">
        <v>-1.1095957964929899</v>
      </c>
      <c r="AE6908">
        <v>74.750599999999906</v>
      </c>
      <c r="AF6908">
        <v>0.154455526817737</v>
      </c>
      <c r="AG6908">
        <v>-1.1095957964929899</v>
      </c>
      <c r="AH6908">
        <v>74.734018857342406</v>
      </c>
      <c r="AI6908">
        <v>90.850621315666999</v>
      </c>
      <c r="AJ6908">
        <v>89.881584888055798</v>
      </c>
      <c r="AK6908">
        <v>74.742415226636695</v>
      </c>
      <c r="AL6908">
        <v>90.511737949158103</v>
      </c>
      <c r="AM6908">
        <v>87.875757655944795</v>
      </c>
      <c r="AN6908">
        <v>0.99999995819341503</v>
      </c>
    </row>
    <row r="6909" spans="1:40" x14ac:dyDescent="0.25">
      <c r="A6909" t="str">
        <f>"20190312161451040"</f>
        <v>20190312161451040</v>
      </c>
      <c r="B6909" t="str">
        <f>"1552378491033737"</f>
        <v>1552378491033737</v>
      </c>
      <c r="C6909" t="s">
        <v>40</v>
      </c>
      <c r="D6909">
        <v>5.4765350000000002</v>
      </c>
      <c r="E6909">
        <v>0.55099330000000002</v>
      </c>
      <c r="F6909" t="s">
        <v>60</v>
      </c>
      <c r="G6909">
        <v>-168.86340000000001</v>
      </c>
      <c r="H6909">
        <v>15.58062</v>
      </c>
      <c r="I6909">
        <v>81.984089999999995</v>
      </c>
      <c r="J6909">
        <v>-187.6405</v>
      </c>
      <c r="K6909">
        <v>1.1095729999999999</v>
      </c>
      <c r="L6909">
        <v>-18.279019999999999</v>
      </c>
      <c r="M6909">
        <v>-1.4149060000000001E-3</v>
      </c>
      <c r="N6909">
        <v>0</v>
      </c>
      <c r="O6909">
        <v>0.99994159999999999</v>
      </c>
      <c r="P6909">
        <v>3.7596230000000001E-2</v>
      </c>
      <c r="Q6909">
        <v>-1.911989E-2</v>
      </c>
      <c r="R6909">
        <v>0.9991101</v>
      </c>
      <c r="S6909">
        <v>0.55867</v>
      </c>
      <c r="T6909">
        <v>0.43055300000000002</v>
      </c>
      <c r="U6909">
        <v>2.990265</v>
      </c>
      <c r="V6909">
        <v>3.9004610000000002E-2</v>
      </c>
      <c r="W6909">
        <v>-8.4415859999999992E-3</v>
      </c>
      <c r="X6909">
        <v>0.99920339999999996</v>
      </c>
      <c r="Y6909">
        <v>0.1832307</v>
      </c>
      <c r="Z6909">
        <v>0.14012060000000001</v>
      </c>
      <c r="AA6909">
        <v>0.97303269999999997</v>
      </c>
      <c r="AB6909">
        <v>26</v>
      </c>
      <c r="AC6909">
        <v>18.777099999999901</v>
      </c>
      <c r="AD6909">
        <v>14.471047</v>
      </c>
      <c r="AE6909">
        <v>100.26311</v>
      </c>
      <c r="AF6909">
        <v>18.545710654381001</v>
      </c>
      <c r="AG6909">
        <v>14.471047</v>
      </c>
      <c r="AH6909">
        <v>98.258930860370796</v>
      </c>
      <c r="AI6909">
        <v>81.765357481209904</v>
      </c>
      <c r="AJ6909">
        <v>79.311546109673898</v>
      </c>
      <c r="AK6909">
        <v>101.03549910192601</v>
      </c>
      <c r="AL6909">
        <v>90.483672981574003</v>
      </c>
      <c r="AM6909">
        <v>87.764553791311499</v>
      </c>
      <c r="AN6909">
        <v>1.0000000272734999</v>
      </c>
    </row>
    <row r="6910" spans="1:40" x14ac:dyDescent="0.25">
      <c r="A6910" t="str">
        <f>"20190312161451063"</f>
        <v>20190312161451063</v>
      </c>
      <c r="B6910" t="str">
        <f>"1552378491053256"</f>
        <v>1552378491053256</v>
      </c>
      <c r="C6910" t="s">
        <v>40</v>
      </c>
      <c r="D6910">
        <v>5.4411659999999999</v>
      </c>
      <c r="E6910">
        <v>0.54753660000000004</v>
      </c>
      <c r="F6910" t="s">
        <v>60</v>
      </c>
      <c r="G6910">
        <v>-168.86340000000001</v>
      </c>
      <c r="H6910">
        <v>15.61205</v>
      </c>
      <c r="I6910">
        <v>89.526079999999993</v>
      </c>
      <c r="J6910">
        <v>-187.6405</v>
      </c>
      <c r="K6910">
        <v>1.109567</v>
      </c>
      <c r="L6910">
        <v>-18.021730000000002</v>
      </c>
      <c r="M6910">
        <v>-1.057927E-3</v>
      </c>
      <c r="N6910">
        <v>0</v>
      </c>
      <c r="O6910">
        <v>0.99994240000000001</v>
      </c>
      <c r="P6910">
        <v>3.7416060000000001E-2</v>
      </c>
      <c r="Q6910">
        <v>-1.9025879999999998E-2</v>
      </c>
      <c r="R6910">
        <v>0.99911859999999997</v>
      </c>
      <c r="S6910">
        <v>0.52091980000000004</v>
      </c>
      <c r="T6910">
        <v>0.4023311</v>
      </c>
      <c r="U6910">
        <v>2.9907530000000002</v>
      </c>
      <c r="V6910">
        <v>3.8467800000000003E-2</v>
      </c>
      <c r="W6910">
        <v>-8.3796140000000005E-3</v>
      </c>
      <c r="X6910">
        <v>0.99922469999999997</v>
      </c>
      <c r="Y6910">
        <v>0.17114840000000001</v>
      </c>
      <c r="Z6910">
        <v>0.13136879999999901</v>
      </c>
      <c r="AA6910">
        <v>0.97644790000000004</v>
      </c>
      <c r="AB6910">
        <v>26</v>
      </c>
      <c r="AC6910">
        <v>18.777099999999901</v>
      </c>
      <c r="AD6910">
        <v>14.5024829999999</v>
      </c>
      <c r="AE6910">
        <v>107.54781</v>
      </c>
      <c r="AF6910">
        <v>18.5633096291965</v>
      </c>
      <c r="AG6910">
        <v>14.5024829999999</v>
      </c>
      <c r="AH6910">
        <v>105.663371235639</v>
      </c>
      <c r="AI6910">
        <v>82.301342763768801</v>
      </c>
      <c r="AJ6910">
        <v>80.035761589328203</v>
      </c>
      <c r="AK6910">
        <v>108.257408515238</v>
      </c>
      <c r="AL6910">
        <v>90.480122137367104</v>
      </c>
      <c r="AM6910">
        <v>87.795336017251202</v>
      </c>
      <c r="AN6910">
        <v>0.99999999532885897</v>
      </c>
    </row>
    <row r="6911" spans="1:40" x14ac:dyDescent="0.25">
      <c r="A6911" t="str">
        <f>"20190312161451088"</f>
        <v>20190312161451088</v>
      </c>
      <c r="B6911" t="str">
        <f>"1552378491083513"</f>
        <v>1552378491083513</v>
      </c>
      <c r="C6911" t="s">
        <v>40</v>
      </c>
      <c r="D6911">
        <v>5.4485890000000001</v>
      </c>
      <c r="E6911">
        <v>0.54694279999999995</v>
      </c>
      <c r="F6911" t="s">
        <v>60</v>
      </c>
      <c r="G6911">
        <v>-169.51390000000001</v>
      </c>
      <c r="H6911">
        <v>15.18201</v>
      </c>
      <c r="I6911">
        <v>91.969719999999995</v>
      </c>
      <c r="J6911">
        <v>-187.6403</v>
      </c>
      <c r="K6911">
        <v>1.109559</v>
      </c>
      <c r="L6911">
        <v>-17.739319999999999</v>
      </c>
      <c r="M6911">
        <v>-6.6590929999999903E-4</v>
      </c>
      <c r="N6911">
        <v>0</v>
      </c>
      <c r="O6911">
        <v>0.99994309999999997</v>
      </c>
      <c r="P6911">
        <v>3.7016529999999999E-2</v>
      </c>
      <c r="Q6911">
        <v>-1.8988310000000001E-2</v>
      </c>
      <c r="R6911">
        <v>0.99913419999999997</v>
      </c>
      <c r="S6911">
        <v>0.4929962</v>
      </c>
      <c r="T6911">
        <v>0.38273479999999999</v>
      </c>
      <c r="U6911">
        <v>2.9914860000000001</v>
      </c>
      <c r="V6911">
        <v>3.7676580000000001E-2</v>
      </c>
      <c r="W6911">
        <v>-8.3776240000000002E-3</v>
      </c>
      <c r="X6911">
        <v>0.99925489999999995</v>
      </c>
      <c r="Y6911">
        <v>0.1619833</v>
      </c>
      <c r="Z6911">
        <v>0.12523770000000001</v>
      </c>
      <c r="AA6911">
        <v>0.97881410000000002</v>
      </c>
      <c r="AB6911">
        <v>26</v>
      </c>
      <c r="AC6911">
        <v>18.126399999999901</v>
      </c>
      <c r="AD6911">
        <v>14.072450999999999</v>
      </c>
      <c r="AE6911">
        <v>109.70903999999901</v>
      </c>
      <c r="AF6911">
        <v>17.912566116945801</v>
      </c>
      <c r="AG6911">
        <v>14.072450999999999</v>
      </c>
      <c r="AH6911">
        <v>107.967717717282</v>
      </c>
      <c r="AI6911">
        <v>82.673006789227301</v>
      </c>
      <c r="AJ6911">
        <v>80.580049898859201</v>
      </c>
      <c r="AK6911">
        <v>110.34456022441699</v>
      </c>
      <c r="AL6911">
        <v>90.480008097054906</v>
      </c>
      <c r="AM6911">
        <v>87.840704187282796</v>
      </c>
      <c r="AN6911">
        <v>1.00000003221919</v>
      </c>
    </row>
    <row r="6912" spans="1:40" x14ac:dyDescent="0.25">
      <c r="A6912" t="str">
        <f>"20190312161451111"</f>
        <v>20190312161451111</v>
      </c>
      <c r="B6912" t="str">
        <f>"1552378491103033"</f>
        <v>1552378491103033</v>
      </c>
      <c r="C6912" t="s">
        <v>40</v>
      </c>
      <c r="D6912">
        <v>5.8316720000000002</v>
      </c>
      <c r="E6912">
        <v>0.54599140000000002</v>
      </c>
      <c r="F6912" t="s">
        <v>60</v>
      </c>
      <c r="G6912">
        <v>-169.6763</v>
      </c>
      <c r="H6912">
        <v>14.89156</v>
      </c>
      <c r="I6912">
        <v>92.51746</v>
      </c>
      <c r="J6912">
        <v>-187.64009999999999</v>
      </c>
      <c r="K6912">
        <v>1.10955</v>
      </c>
      <c r="L6912">
        <v>-17.479710000000001</v>
      </c>
      <c r="M6912">
        <v>-3.0542219999999998E-4</v>
      </c>
      <c r="N6912">
        <v>0</v>
      </c>
      <c r="O6912">
        <v>0.99994369999999999</v>
      </c>
      <c r="P6912">
        <v>3.7384849999999997E-2</v>
      </c>
      <c r="Q6912">
        <v>-1.860788E-2</v>
      </c>
      <c r="R6912">
        <v>0.99912769999999995</v>
      </c>
      <c r="S6912">
        <v>0.48742679999999999</v>
      </c>
      <c r="T6912">
        <v>0.37395240000000002</v>
      </c>
      <c r="U6912">
        <v>2.991638</v>
      </c>
      <c r="V6912">
        <v>3.768494E-2</v>
      </c>
      <c r="W6912">
        <v>-8.0320319999999997E-3</v>
      </c>
      <c r="X6912">
        <v>0.99925739999999996</v>
      </c>
      <c r="Y6912">
        <v>0.15990070000000001</v>
      </c>
      <c r="Z6912">
        <v>0.12244099999999999</v>
      </c>
      <c r="AA6912">
        <v>0.97951010000000005</v>
      </c>
      <c r="AB6912">
        <v>26</v>
      </c>
      <c r="AC6912">
        <v>17.9637999999999</v>
      </c>
      <c r="AD6912">
        <v>13.78201</v>
      </c>
      <c r="AE6912">
        <v>109.99717</v>
      </c>
      <c r="AF6912">
        <v>17.726346148919198</v>
      </c>
      <c r="AG6912">
        <v>13.78201</v>
      </c>
      <c r="AH6912">
        <v>108.335144140545</v>
      </c>
      <c r="AI6912">
        <v>82.844133616518903</v>
      </c>
      <c r="AJ6912">
        <v>80.707321292718603</v>
      </c>
      <c r="AK6912">
        <v>110.63756416056999</v>
      </c>
      <c r="AL6912">
        <v>90.460206478330406</v>
      </c>
      <c r="AM6912">
        <v>87.8402309163816</v>
      </c>
      <c r="AN6912">
        <v>1.0000000098477999</v>
      </c>
    </row>
    <row r="6913" spans="1:40" x14ac:dyDescent="0.25">
      <c r="A6913" t="str">
        <f>"20190312161451130"</f>
        <v>20190312161451130</v>
      </c>
      <c r="B6913" t="str">
        <f>"1552378491123529"</f>
        <v>1552378491123529</v>
      </c>
      <c r="C6913" t="s">
        <v>40</v>
      </c>
      <c r="D6913">
        <v>5.4679120000000001</v>
      </c>
      <c r="E6913">
        <v>0.54633889999999996</v>
      </c>
      <c r="F6913" t="s">
        <v>60</v>
      </c>
      <c r="G6913">
        <v>-168.86359999999999</v>
      </c>
      <c r="H6913">
        <v>16.128160000000001</v>
      </c>
      <c r="I6913">
        <v>99.293809999999993</v>
      </c>
      <c r="J6913">
        <v>-187.63980000000001</v>
      </c>
      <c r="K6913">
        <v>1.1095440000000001</v>
      </c>
      <c r="L6913">
        <v>-17.25235</v>
      </c>
      <c r="M6913" s="1">
        <v>1.001118E-5</v>
      </c>
      <c r="N6913">
        <v>0</v>
      </c>
      <c r="O6913">
        <v>0.99994400000000006</v>
      </c>
      <c r="P6913">
        <v>3.8267580000000002E-2</v>
      </c>
      <c r="Q6913">
        <v>-1.8622099999999999E-2</v>
      </c>
      <c r="R6913">
        <v>0.99909400000000004</v>
      </c>
      <c r="S6913">
        <v>0.48106379999999999</v>
      </c>
      <c r="T6913">
        <v>0.3847836</v>
      </c>
      <c r="U6913">
        <v>2.9917910000000001</v>
      </c>
      <c r="V6913">
        <v>3.8252460000000002E-2</v>
      </c>
      <c r="W6913">
        <v>-8.0756979999999992E-3</v>
      </c>
      <c r="X6913">
        <v>0.99923550000000005</v>
      </c>
      <c r="Y6913">
        <v>0.15748090000000001</v>
      </c>
      <c r="Z6913">
        <v>0.12597059999999999</v>
      </c>
      <c r="AA6913">
        <v>0.97945450000000001</v>
      </c>
      <c r="AB6913">
        <v>26</v>
      </c>
      <c r="AC6913">
        <v>18.776199999999999</v>
      </c>
      <c r="AD6913">
        <v>15.018616</v>
      </c>
      <c r="AE6913">
        <v>116.54616</v>
      </c>
      <c r="AF6913">
        <v>18.4759835978133</v>
      </c>
      <c r="AG6913">
        <v>15.018616</v>
      </c>
      <c r="AH6913">
        <v>114.68999251309999</v>
      </c>
      <c r="AI6913">
        <v>82.633497766511198</v>
      </c>
      <c r="AJ6913">
        <v>80.848561060366904</v>
      </c>
      <c r="AK6913">
        <v>117.13545654120701</v>
      </c>
      <c r="AL6913">
        <v>90.462708429473395</v>
      </c>
      <c r="AM6913">
        <v>87.807689164718496</v>
      </c>
      <c r="AN6913">
        <v>1.0000000260272399</v>
      </c>
    </row>
    <row r="6914" spans="1:40" x14ac:dyDescent="0.25">
      <c r="A6914" t="str">
        <f>"20190312161451154"</f>
        <v>20190312161451154</v>
      </c>
      <c r="B6914" t="str">
        <f>"1552378491143049"</f>
        <v>1552378491143049</v>
      </c>
      <c r="C6914" t="s">
        <v>40</v>
      </c>
      <c r="D6914">
        <v>5.4584510000000002</v>
      </c>
      <c r="E6914">
        <v>0.54657909999999998</v>
      </c>
      <c r="F6914" t="s">
        <v>60</v>
      </c>
      <c r="G6914">
        <v>-169.6764</v>
      </c>
      <c r="H6914">
        <v>15.45401</v>
      </c>
      <c r="I6914">
        <v>93.196330000000003</v>
      </c>
      <c r="J6914">
        <v>-187.63939999999999</v>
      </c>
      <c r="K6914">
        <v>1.1095410000000001</v>
      </c>
      <c r="L6914">
        <v>-16.978089999999899</v>
      </c>
      <c r="M6914">
        <v>3.9031999999999999E-4</v>
      </c>
      <c r="N6914">
        <v>0</v>
      </c>
      <c r="O6914">
        <v>0.99994430000000001</v>
      </c>
      <c r="P6914">
        <v>3.925377E-2</v>
      </c>
      <c r="Q6914">
        <v>-1.8326930000000002E-2</v>
      </c>
      <c r="R6914">
        <v>0.99906119999999998</v>
      </c>
      <c r="S6914">
        <v>0.48651119999999998</v>
      </c>
      <c r="T6914">
        <v>0.38849810000000001</v>
      </c>
      <c r="U6914">
        <v>2.991333</v>
      </c>
      <c r="V6914">
        <v>3.8858829999999997E-2</v>
      </c>
      <c r="W6914">
        <v>-7.8120589999999997E-3</v>
      </c>
      <c r="X6914">
        <v>0.99921420000000005</v>
      </c>
      <c r="Y6914">
        <v>0.1588427</v>
      </c>
      <c r="Z6914">
        <v>0.12715370000000001</v>
      </c>
      <c r="AA6914">
        <v>0.97908170000000005</v>
      </c>
      <c r="AB6914">
        <v>26</v>
      </c>
      <c r="AC6914">
        <v>17.962999999999901</v>
      </c>
      <c r="AD6914">
        <v>14.344469</v>
      </c>
      <c r="AE6914">
        <v>110.17442</v>
      </c>
      <c r="AF6914">
        <v>17.628895349490701</v>
      </c>
      <c r="AG6914">
        <v>14.344469</v>
      </c>
      <c r="AH6914">
        <v>108.391604027656</v>
      </c>
      <c r="AI6914">
        <v>82.557991143702296</v>
      </c>
      <c r="AJ6914">
        <v>80.762255180009703</v>
      </c>
      <c r="AK6914">
        <v>110.748731666884</v>
      </c>
      <c r="AL6914">
        <v>90.447602550641903</v>
      </c>
      <c r="AM6914">
        <v>87.772924405462106</v>
      </c>
      <c r="AN6914">
        <v>1.0000000272082099</v>
      </c>
    </row>
    <row r="6915" spans="1:40" x14ac:dyDescent="0.25">
      <c r="A6915" t="str">
        <f>"20190312161451177"</f>
        <v>20190312161451177</v>
      </c>
      <c r="B6915" t="str">
        <f>"1552378491173305"</f>
        <v>1552378491173305</v>
      </c>
      <c r="C6915" t="s">
        <v>40</v>
      </c>
      <c r="D6915">
        <v>5.480105</v>
      </c>
      <c r="E6915">
        <v>0.54660149999999996</v>
      </c>
      <c r="F6915" t="s">
        <v>60</v>
      </c>
      <c r="G6915">
        <v>-169.6764</v>
      </c>
      <c r="H6915">
        <v>15.402240000000001</v>
      </c>
      <c r="I6915">
        <v>92.452420000000004</v>
      </c>
      <c r="J6915">
        <v>-187.63890000000001</v>
      </c>
      <c r="K6915">
        <v>1.109532</v>
      </c>
      <c r="L6915">
        <v>-16.72064</v>
      </c>
      <c r="M6915">
        <v>7.4745210000000005E-4</v>
      </c>
      <c r="N6915">
        <v>0</v>
      </c>
      <c r="O6915">
        <v>0.99994430000000001</v>
      </c>
      <c r="P6915">
        <v>3.9941200000000003E-2</v>
      </c>
      <c r="Q6915">
        <v>-1.8601300000000001E-2</v>
      </c>
      <c r="R6915">
        <v>0.9990289</v>
      </c>
      <c r="S6915">
        <v>0.490921</v>
      </c>
      <c r="T6915">
        <v>0.39061400000000002</v>
      </c>
      <c r="U6915">
        <v>2.9906920000000001</v>
      </c>
      <c r="V6915">
        <v>3.9189250000000002E-2</v>
      </c>
      <c r="W6915">
        <v>-8.1125959999999997E-3</v>
      </c>
      <c r="X6915">
        <v>0.9991989</v>
      </c>
      <c r="Y6915">
        <v>0.15991520000000001</v>
      </c>
      <c r="Z6915">
        <v>0.12783539999999999</v>
      </c>
      <c r="AA6915">
        <v>0.97881830000000003</v>
      </c>
      <c r="AB6915">
        <v>26</v>
      </c>
      <c r="AC6915">
        <v>17.962499999999999</v>
      </c>
      <c r="AD6915">
        <v>14.292707999999999</v>
      </c>
      <c r="AE6915">
        <v>109.17306000000001</v>
      </c>
      <c r="AF6915">
        <v>17.5873948660353</v>
      </c>
      <c r="AG6915">
        <v>14.292707999999999</v>
      </c>
      <c r="AH6915">
        <v>107.394287865994</v>
      </c>
      <c r="AI6915">
        <v>82.517780951128202</v>
      </c>
      <c r="AJ6915">
        <v>80.6995293782293</v>
      </c>
      <c r="AK6915">
        <v>109.75942340587901</v>
      </c>
      <c r="AL6915">
        <v>90.464822598059897</v>
      </c>
      <c r="AM6915">
        <v>87.753972344576198</v>
      </c>
      <c r="AN6915">
        <v>1.00000002664531</v>
      </c>
    </row>
    <row r="6916" spans="1:40" x14ac:dyDescent="0.25">
      <c r="A6916" t="str">
        <f>"20190312161451199"</f>
        <v>20190312161451199</v>
      </c>
      <c r="B6916" t="str">
        <f>"1552378491193801"</f>
        <v>1552378491193801</v>
      </c>
      <c r="C6916" t="s">
        <v>40</v>
      </c>
      <c r="D6916">
        <v>5.4772059999999998</v>
      </c>
      <c r="E6916">
        <v>0.54653289999999999</v>
      </c>
      <c r="F6916" t="s">
        <v>60</v>
      </c>
      <c r="G6916">
        <v>-169.6764</v>
      </c>
      <c r="H6916">
        <v>15.442030000000001</v>
      </c>
      <c r="I6916">
        <v>92.331569999999999</v>
      </c>
      <c r="J6916">
        <v>-187.63829999999999</v>
      </c>
      <c r="K6916">
        <v>1.1095280000000001</v>
      </c>
      <c r="L6916">
        <v>-16.463379999999901</v>
      </c>
      <c r="M6916">
        <v>1.104233E-3</v>
      </c>
      <c r="N6916">
        <v>0</v>
      </c>
      <c r="O6916">
        <v>0.99994430000000001</v>
      </c>
      <c r="P6916">
        <v>4.087623E-2</v>
      </c>
      <c r="Q6916">
        <v>-1.9465739999999999E-2</v>
      </c>
      <c r="R6916">
        <v>0.99897460000000005</v>
      </c>
      <c r="S6916">
        <v>0.49258420000000003</v>
      </c>
      <c r="T6916">
        <v>0.39304030000000001</v>
      </c>
      <c r="U6916">
        <v>2.9905400000000002</v>
      </c>
      <c r="V6916">
        <v>3.9767299999999998E-2</v>
      </c>
      <c r="W6916">
        <v>-9.0007980000000008E-3</v>
      </c>
      <c r="X6916">
        <v>0.99916850000000001</v>
      </c>
      <c r="Y6916">
        <v>0.1600848</v>
      </c>
      <c r="Z6916">
        <v>0.12861510000000001</v>
      </c>
      <c r="AA6916">
        <v>0.97868840000000001</v>
      </c>
      <c r="AB6916">
        <v>26</v>
      </c>
      <c r="AC6916">
        <v>17.961899999999901</v>
      </c>
      <c r="AD6916">
        <v>14.3325019999999</v>
      </c>
      <c r="AE6916">
        <v>108.79495</v>
      </c>
      <c r="AF6916">
        <v>17.545326666959699</v>
      </c>
      <c r="AG6916">
        <v>14.3325019999999</v>
      </c>
      <c r="AH6916">
        <v>107.006883361093</v>
      </c>
      <c r="AI6916">
        <v>82.4705712533937</v>
      </c>
      <c r="AJ6916">
        <v>80.688383632543605</v>
      </c>
      <c r="AK6916">
        <v>109.378847077874</v>
      </c>
      <c r="AL6916">
        <v>90.515714664084499</v>
      </c>
      <c r="AM6916">
        <v>87.720808358717306</v>
      </c>
      <c r="AN6916">
        <v>1.0000000719530799</v>
      </c>
    </row>
    <row r="6917" spans="1:40" x14ac:dyDescent="0.25">
      <c r="A6917" t="str">
        <f>"20190312161451222"</f>
        <v>20190312161451222</v>
      </c>
      <c r="B6917" t="str">
        <f>"1552378491213321"</f>
        <v>1552378491213321</v>
      </c>
      <c r="C6917" t="s">
        <v>40</v>
      </c>
      <c r="D6917">
        <v>5.4935039999999997</v>
      </c>
      <c r="E6917">
        <v>0.54642679999999999</v>
      </c>
      <c r="F6917" t="s">
        <v>60</v>
      </c>
      <c r="G6917">
        <v>-169.672</v>
      </c>
      <c r="H6917">
        <v>15.257199999999999</v>
      </c>
      <c r="I6917">
        <v>91.969750000000005</v>
      </c>
      <c r="J6917">
        <v>-187.63759999999999</v>
      </c>
      <c r="K6917">
        <v>1.109526</v>
      </c>
      <c r="L6917">
        <v>-16.19821</v>
      </c>
      <c r="M6917">
        <v>1.4718089999999999E-3</v>
      </c>
      <c r="N6917">
        <v>0</v>
      </c>
      <c r="O6917">
        <v>0.99994400000000006</v>
      </c>
      <c r="P6917">
        <v>4.218044E-2</v>
      </c>
      <c r="Q6917">
        <v>-2.004684E-2</v>
      </c>
      <c r="R6917">
        <v>0.99890889999999999</v>
      </c>
      <c r="S6917">
        <v>0.49548340000000002</v>
      </c>
      <c r="T6917">
        <v>0.39017089999999999</v>
      </c>
      <c r="U6917">
        <v>2.9904169999999999</v>
      </c>
      <c r="V6917">
        <v>4.0703969999999999E-2</v>
      </c>
      <c r="W6917">
        <v>-9.6039369999999999E-3</v>
      </c>
      <c r="X6917">
        <v>0.99912509999999999</v>
      </c>
      <c r="Y6917">
        <v>0.1606717</v>
      </c>
      <c r="Z6917">
        <v>0.12768070000000001</v>
      </c>
      <c r="AA6917">
        <v>0.97871459999999999</v>
      </c>
      <c r="AB6917">
        <v>26</v>
      </c>
      <c r="AC6917">
        <v>17.965599999999899</v>
      </c>
      <c r="AD6917">
        <v>14.147674</v>
      </c>
      <c r="AE6917">
        <v>108.16795999999999</v>
      </c>
      <c r="AF6917">
        <v>17.514787975137001</v>
      </c>
      <c r="AG6917">
        <v>14.147674</v>
      </c>
      <c r="AH6917">
        <v>106.422592942458</v>
      </c>
      <c r="AI6917">
        <v>82.526949150840693</v>
      </c>
      <c r="AJ6917">
        <v>80.6541699718681</v>
      </c>
      <c r="AK6917">
        <v>108.778181479653</v>
      </c>
      <c r="AL6917">
        <v>90.550273512250499</v>
      </c>
      <c r="AM6917">
        <v>87.667082200742996</v>
      </c>
      <c r="AN6917">
        <v>1.0000000071148301</v>
      </c>
    </row>
    <row r="6918" spans="1:40" x14ac:dyDescent="0.25">
      <c r="A6918" t="str">
        <f>"20190312161451242"</f>
        <v>20190312161451242</v>
      </c>
      <c r="B6918" t="str">
        <f>"1552378491233817"</f>
        <v>1552378491233817</v>
      </c>
      <c r="C6918" t="s">
        <v>40</v>
      </c>
      <c r="D6918">
        <v>5.4139860000000004</v>
      </c>
      <c r="E6918">
        <v>0.54622599999999999</v>
      </c>
      <c r="F6918" t="s">
        <v>60</v>
      </c>
      <c r="G6918">
        <v>-169.56200000000001</v>
      </c>
      <c r="H6918">
        <v>15.03961</v>
      </c>
      <c r="I6918">
        <v>91.969669999999994</v>
      </c>
      <c r="J6918">
        <v>-187.63679999999999</v>
      </c>
      <c r="K6918">
        <v>1.109524</v>
      </c>
      <c r="L6918">
        <v>-15.961399999999999</v>
      </c>
      <c r="M6918">
        <v>1.800011E-3</v>
      </c>
      <c r="N6918">
        <v>0</v>
      </c>
      <c r="O6918">
        <v>0.99994369999999999</v>
      </c>
      <c r="P6918">
        <v>4.2975779999999998E-2</v>
      </c>
      <c r="Q6918">
        <v>-1.935889E-2</v>
      </c>
      <c r="R6918">
        <v>0.99888860000000002</v>
      </c>
      <c r="S6918">
        <v>0.49963380000000002</v>
      </c>
      <c r="T6918">
        <v>0.38504549999999998</v>
      </c>
      <c r="U6918">
        <v>2.9898989999999999</v>
      </c>
      <c r="V6918">
        <v>4.1171880000000001E-2</v>
      </c>
      <c r="W6918">
        <v>-8.9326800000000001E-3</v>
      </c>
      <c r="X6918">
        <v>0.99911209999999995</v>
      </c>
      <c r="Y6918">
        <v>0.16173199999999999</v>
      </c>
      <c r="Z6918">
        <v>0.12602669999999999</v>
      </c>
      <c r="AA6918">
        <v>0.97875429999999997</v>
      </c>
      <c r="AB6918">
        <v>26</v>
      </c>
      <c r="AC6918">
        <v>18.0747999999999</v>
      </c>
      <c r="AD6918">
        <v>13.930085999999999</v>
      </c>
      <c r="AE6918">
        <v>107.93107000000001</v>
      </c>
      <c r="AF6918">
        <v>17.5953803619749</v>
      </c>
      <c r="AG6918">
        <v>13.930085999999999</v>
      </c>
      <c r="AH6918">
        <v>106.24196500127501</v>
      </c>
      <c r="AI6918">
        <v>82.629455337970995</v>
      </c>
      <c r="AJ6918">
        <v>80.596253705444695</v>
      </c>
      <c r="AK6918">
        <v>108.586370384971</v>
      </c>
      <c r="AL6918">
        <v>90.511811694725793</v>
      </c>
      <c r="AM6918">
        <v>87.6402637609945</v>
      </c>
      <c r="AN6918">
        <v>0.99999995242056205</v>
      </c>
    </row>
    <row r="6919" spans="1:40" x14ac:dyDescent="0.25">
      <c r="A6919" t="str">
        <f>"20190312161451265"</f>
        <v>20190312161451265</v>
      </c>
      <c r="B6919" t="str">
        <f>"1552378491253337"</f>
        <v>1552378491253337</v>
      </c>
      <c r="C6919" t="s">
        <v>40</v>
      </c>
      <c r="D6919">
        <v>5.5388330000000003</v>
      </c>
      <c r="E6919">
        <v>0.5464734</v>
      </c>
      <c r="F6919" t="s">
        <v>60</v>
      </c>
      <c r="G6919">
        <v>-169.58369999999999</v>
      </c>
      <c r="H6919">
        <v>14.98184</v>
      </c>
      <c r="I6919">
        <v>91.969660000000005</v>
      </c>
      <c r="J6919">
        <v>-187.636</v>
      </c>
      <c r="K6919">
        <v>1.1095139999999999</v>
      </c>
      <c r="L6919">
        <v>-15.70459</v>
      </c>
      <c r="M6919">
        <v>2.1557429999999999E-3</v>
      </c>
      <c r="N6919">
        <v>0</v>
      </c>
      <c r="O6919">
        <v>0.99994309999999997</v>
      </c>
      <c r="P6919">
        <v>4.3651889999999999E-2</v>
      </c>
      <c r="Q6919">
        <v>-1.952984E-2</v>
      </c>
      <c r="R6919">
        <v>0.99885590000000002</v>
      </c>
      <c r="S6919">
        <v>0.5</v>
      </c>
      <c r="T6919">
        <v>0.3842081</v>
      </c>
      <c r="U6919">
        <v>2.989258</v>
      </c>
      <c r="V6919">
        <v>4.1492540000000001E-2</v>
      </c>
      <c r="W6919">
        <v>-9.1193379999999994E-3</v>
      </c>
      <c r="X6919">
        <v>0.99909720000000002</v>
      </c>
      <c r="Y6919">
        <v>0.16153689999999901</v>
      </c>
      <c r="Z6919">
        <v>0.1257838</v>
      </c>
      <c r="AA6919">
        <v>0.97881779999999996</v>
      </c>
      <c r="AB6919">
        <v>26</v>
      </c>
      <c r="AC6919">
        <v>18.052299999999999</v>
      </c>
      <c r="AD6919">
        <v>13.872325999999999</v>
      </c>
      <c r="AE6919">
        <v>107.67425</v>
      </c>
      <c r="AF6919">
        <v>17.536994059694099</v>
      </c>
      <c r="AG6919">
        <v>13.872325999999999</v>
      </c>
      <c r="AH6919">
        <v>106.00153210856401</v>
      </c>
      <c r="AI6919">
        <v>82.643010261721898</v>
      </c>
      <c r="AJ6919">
        <v>80.606021731035597</v>
      </c>
      <c r="AK6919">
        <v>108.33426234882</v>
      </c>
      <c r="AL6919">
        <v>90.522506819515797</v>
      </c>
      <c r="AM6919">
        <v>87.621870960804898</v>
      </c>
      <c r="AN6919">
        <v>1.0000000041245201</v>
      </c>
    </row>
    <row r="6920" spans="1:40" x14ac:dyDescent="0.25">
      <c r="A6920" t="str">
        <f>"20190312161451289"</f>
        <v>20190312161451289</v>
      </c>
      <c r="B6920" t="str">
        <f>"1552378491283593"</f>
        <v>1552378491283593</v>
      </c>
      <c r="C6920" t="s">
        <v>40</v>
      </c>
      <c r="D6920">
        <v>5.5260150000000001</v>
      </c>
      <c r="E6920">
        <v>0.54656539999999998</v>
      </c>
      <c r="F6920" t="s">
        <v>60</v>
      </c>
      <c r="G6920">
        <v>-169.49610000000001</v>
      </c>
      <c r="H6920">
        <v>15.01402</v>
      </c>
      <c r="I6920">
        <v>91.969669999999994</v>
      </c>
      <c r="J6920">
        <v>-187.63499999999999</v>
      </c>
      <c r="K6920">
        <v>1.10951</v>
      </c>
      <c r="L6920">
        <v>-15.42587</v>
      </c>
      <c r="M6920">
        <v>2.5419219999999998E-3</v>
      </c>
      <c r="N6920">
        <v>0</v>
      </c>
      <c r="O6920">
        <v>0.99994240000000001</v>
      </c>
      <c r="P6920">
        <v>4.3954790000000001E-2</v>
      </c>
      <c r="Q6920">
        <v>-2.015697E-2</v>
      </c>
      <c r="R6920">
        <v>0.99883010000000005</v>
      </c>
      <c r="S6920">
        <v>0.50355530000000004</v>
      </c>
      <c r="T6920">
        <v>0.3859823</v>
      </c>
      <c r="U6920">
        <v>2.9889830000000002</v>
      </c>
      <c r="V6920">
        <v>4.140928E-2</v>
      </c>
      <c r="W6920">
        <v>-9.7607900000000001E-3</v>
      </c>
      <c r="X6920">
        <v>0.99909460000000005</v>
      </c>
      <c r="Y6920">
        <v>0.16229089999999999</v>
      </c>
      <c r="Z6920">
        <v>0.1263464</v>
      </c>
      <c r="AA6920">
        <v>0.97862059999999995</v>
      </c>
      <c r="AB6920">
        <v>26</v>
      </c>
      <c r="AC6920">
        <v>18.1388999999999</v>
      </c>
      <c r="AD6920">
        <v>13.90451</v>
      </c>
      <c r="AE6920">
        <v>107.39554</v>
      </c>
      <c r="AF6920">
        <v>17.5793346833862</v>
      </c>
      <c r="AG6920">
        <v>13.90451</v>
      </c>
      <c r="AH6920">
        <v>105.718348924316</v>
      </c>
      <c r="AI6920">
        <v>82.607591421441398</v>
      </c>
      <c r="AJ6920">
        <v>80.558977578683496</v>
      </c>
      <c r="AK6920">
        <v>108.068208579276</v>
      </c>
      <c r="AL6920">
        <v>90.559260946426903</v>
      </c>
      <c r="AM6920">
        <v>87.6266313441904</v>
      </c>
      <c r="AN6920">
        <v>1.0000000106203499</v>
      </c>
    </row>
    <row r="6921" spans="1:40" x14ac:dyDescent="0.25">
      <c r="A6921" t="str">
        <f>"20190312161451310"</f>
        <v>20190312161451310</v>
      </c>
      <c r="B6921" t="str">
        <f>"1552378491303113"</f>
        <v>1552378491303113</v>
      </c>
      <c r="C6921" t="s">
        <v>40</v>
      </c>
      <c r="D6921">
        <v>5.3500310000000004</v>
      </c>
      <c r="E6921">
        <v>0.54635719999999899</v>
      </c>
      <c r="F6921" t="s">
        <v>60</v>
      </c>
      <c r="G6921">
        <v>-169.494</v>
      </c>
      <c r="H6921">
        <v>14.83675</v>
      </c>
      <c r="I6921">
        <v>91.9696</v>
      </c>
      <c r="J6921">
        <v>-187.63399999999999</v>
      </c>
      <c r="K6921">
        <v>1.109504</v>
      </c>
      <c r="L6921">
        <v>-15.176299999999999</v>
      </c>
      <c r="M6921">
        <v>2.8878520000000002E-3</v>
      </c>
      <c r="N6921">
        <v>0</v>
      </c>
      <c r="O6921">
        <v>0.99994159999999999</v>
      </c>
      <c r="P6921">
        <v>4.4410709999999999E-2</v>
      </c>
      <c r="Q6921">
        <v>-2.0163E-2</v>
      </c>
      <c r="R6921">
        <v>0.99880990000000003</v>
      </c>
      <c r="S6921">
        <v>0.50489810000000002</v>
      </c>
      <c r="T6921">
        <v>0.38205460000000002</v>
      </c>
      <c r="U6921">
        <v>2.9890140000000001</v>
      </c>
      <c r="V6921">
        <v>4.1519639999999997E-2</v>
      </c>
      <c r="W6921">
        <v>-9.7830439999999994E-3</v>
      </c>
      <c r="X6921">
        <v>0.99908980000000003</v>
      </c>
      <c r="Y6921">
        <v>0.1624023</v>
      </c>
      <c r="Z6921">
        <v>0.12507409999999999</v>
      </c>
      <c r="AA6921">
        <v>0.97876549999999995</v>
      </c>
      <c r="AB6921">
        <v>26</v>
      </c>
      <c r="AC6921">
        <v>18.139999999999901</v>
      </c>
      <c r="AD6921">
        <v>13.727245999999999</v>
      </c>
      <c r="AE6921">
        <v>107.1459</v>
      </c>
      <c r="AF6921">
        <v>17.5504393153312</v>
      </c>
      <c r="AG6921">
        <v>13.727245999999999</v>
      </c>
      <c r="AH6921">
        <v>105.514185498248</v>
      </c>
      <c r="AI6921">
        <v>82.686897319495401</v>
      </c>
      <c r="AJ6921">
        <v>80.556307113914002</v>
      </c>
      <c r="AK6921">
        <v>107.84108004032799</v>
      </c>
      <c r="AL6921">
        <v>90.560536068784103</v>
      </c>
      <c r="AM6921">
        <v>87.620301914292497</v>
      </c>
      <c r="AN6921">
        <v>1.0000000084598299</v>
      </c>
    </row>
    <row r="6922" spans="1:40" x14ac:dyDescent="0.25">
      <c r="A6922" t="str">
        <f>"20190312161451332"</f>
        <v>20190312161451332</v>
      </c>
      <c r="B6922" t="str">
        <f>"1552378491323609"</f>
        <v>1552378491323609</v>
      </c>
      <c r="C6922" t="s">
        <v>40</v>
      </c>
      <c r="D6922">
        <v>5.5927769999999999</v>
      </c>
      <c r="E6922">
        <v>0.54636409999999902</v>
      </c>
      <c r="F6922" t="s">
        <v>60</v>
      </c>
      <c r="G6922">
        <v>-169.54</v>
      </c>
      <c r="H6922">
        <v>14.927429999999999</v>
      </c>
      <c r="I6922">
        <v>91.969639999999998</v>
      </c>
      <c r="J6922">
        <v>-187.6328</v>
      </c>
      <c r="K6922">
        <v>1.1095090000000001</v>
      </c>
      <c r="L6922">
        <v>-14.92773</v>
      </c>
      <c r="M6922">
        <v>3.2326059999999998E-3</v>
      </c>
      <c r="N6922">
        <v>0</v>
      </c>
      <c r="O6922">
        <v>0.99994070000000002</v>
      </c>
      <c r="P6922">
        <v>4.35918E-2</v>
      </c>
      <c r="Q6922">
        <v>-1.9842240000000001E-2</v>
      </c>
      <c r="R6922">
        <v>0.99885239999999997</v>
      </c>
      <c r="S6922">
        <v>0.50474549999999996</v>
      </c>
      <c r="T6922">
        <v>0.38546249999999999</v>
      </c>
      <c r="U6922">
        <v>2.9889220000000001</v>
      </c>
      <c r="V6922">
        <v>4.0356370000000003E-2</v>
      </c>
      <c r="W6922">
        <v>-9.4792539999999995E-3</v>
      </c>
      <c r="X6922">
        <v>0.99914040000000004</v>
      </c>
      <c r="Y6922">
        <v>0.16199520000000001</v>
      </c>
      <c r="Z6922">
        <v>0.12618019999999999</v>
      </c>
      <c r="AA6922">
        <v>0.97869099999999998</v>
      </c>
      <c r="AB6922">
        <v>26</v>
      </c>
      <c r="AC6922">
        <v>18.0928</v>
      </c>
      <c r="AD6922">
        <v>13.817920999999901</v>
      </c>
      <c r="AE6922">
        <v>106.89737</v>
      </c>
      <c r="AF6922">
        <v>17.463458450648201</v>
      </c>
      <c r="AG6922">
        <v>13.817920999999901</v>
      </c>
      <c r="AH6922">
        <v>105.24572118876701</v>
      </c>
      <c r="AI6922">
        <v>82.620074654816506</v>
      </c>
      <c r="AJ6922">
        <v>80.578730790296405</v>
      </c>
      <c r="AK6922">
        <v>107.575876247249</v>
      </c>
      <c r="AL6922">
        <v>90.543129372641005</v>
      </c>
      <c r="AM6922">
        <v>87.687018286360299</v>
      </c>
      <c r="AN6922">
        <v>1.0000000158840601</v>
      </c>
    </row>
    <row r="6923" spans="1:40" x14ac:dyDescent="0.25">
      <c r="A6923" t="str">
        <f>"20190312161451353"</f>
        <v>20190312161451353</v>
      </c>
      <c r="B6923" t="str">
        <f>"1552378491344104"</f>
        <v>1552378491344104</v>
      </c>
      <c r="C6923" t="s">
        <v>40</v>
      </c>
      <c r="D6923">
        <v>5.4721669999999998</v>
      </c>
      <c r="E6923">
        <v>0.54658070000000003</v>
      </c>
      <c r="F6923" t="s">
        <v>60</v>
      </c>
      <c r="G6923">
        <v>-169.66970000000001</v>
      </c>
      <c r="H6923">
        <v>15.006539999999999</v>
      </c>
      <c r="I6923">
        <v>91.969669999999994</v>
      </c>
      <c r="J6923">
        <v>-187.63159999999999</v>
      </c>
      <c r="K6923">
        <v>1.109505</v>
      </c>
      <c r="L6923">
        <v>-14.673310000000001</v>
      </c>
      <c r="M6923">
        <v>3.5853489999999998E-3</v>
      </c>
      <c r="N6923">
        <v>0</v>
      </c>
      <c r="O6923">
        <v>0.99993969999999999</v>
      </c>
      <c r="P6923">
        <v>4.3101559999999997E-2</v>
      </c>
      <c r="Q6923">
        <v>-1.973099E-2</v>
      </c>
      <c r="R6923">
        <v>0.99887590000000004</v>
      </c>
      <c r="S6923">
        <v>0.50231930000000002</v>
      </c>
      <c r="T6923">
        <v>0.38861410000000002</v>
      </c>
      <c r="U6923">
        <v>2.989258</v>
      </c>
      <c r="V6923">
        <v>3.9513680000000002E-2</v>
      </c>
      <c r="W6923">
        <v>-9.384613E-3</v>
      </c>
      <c r="X6923">
        <v>0.99917500000000004</v>
      </c>
      <c r="Y6923">
        <v>0.16083510000000001</v>
      </c>
      <c r="Z6923">
        <v>0.12720139999999999</v>
      </c>
      <c r="AA6923">
        <v>0.97875020000000001</v>
      </c>
      <c r="AB6923">
        <v>26</v>
      </c>
      <c r="AC6923">
        <v>17.961899999999901</v>
      </c>
      <c r="AD6923">
        <v>13.897035000000001</v>
      </c>
      <c r="AE6923">
        <v>106.64297999999999</v>
      </c>
      <c r="AF6923">
        <v>17.293835306499599</v>
      </c>
      <c r="AG6923">
        <v>13.897035000000001</v>
      </c>
      <c r="AH6923">
        <v>104.973254682209</v>
      </c>
      <c r="AI6923">
        <v>82.557839362730206</v>
      </c>
      <c r="AJ6923">
        <v>80.6448299343038</v>
      </c>
      <c r="AK6923">
        <v>107.292071095563</v>
      </c>
      <c r="AL6923">
        <v>90.537706588004298</v>
      </c>
      <c r="AM6923">
        <v>87.735343669099606</v>
      </c>
      <c r="AN6923">
        <v>1.0000000412466501</v>
      </c>
    </row>
    <row r="6924" spans="1:40" x14ac:dyDescent="0.25">
      <c r="A6924" t="str">
        <f>"20190312161451376"</f>
        <v>20190312161451376</v>
      </c>
      <c r="B6924" t="str">
        <f>"1552378491373386"</f>
        <v>1552378491373386</v>
      </c>
      <c r="C6924" t="s">
        <v>40</v>
      </c>
      <c r="D6924">
        <v>5.4061050000000002</v>
      </c>
      <c r="E6924">
        <v>0.50679640000000004</v>
      </c>
      <c r="F6924" t="s">
        <v>60</v>
      </c>
      <c r="G6924">
        <v>-169.6763</v>
      </c>
      <c r="H6924">
        <v>15.02983</v>
      </c>
      <c r="I6924">
        <v>92.155910000000006</v>
      </c>
      <c r="J6924">
        <v>-187.63030000000001</v>
      </c>
      <c r="K6924">
        <v>1.1094999999999999</v>
      </c>
      <c r="L6924">
        <v>-14.40732</v>
      </c>
      <c r="M6924">
        <v>3.9541539999999997E-3</v>
      </c>
      <c r="N6924">
        <v>0</v>
      </c>
      <c r="O6924">
        <v>0.99993849999999995</v>
      </c>
      <c r="P6924">
        <v>4.3098730000000002E-2</v>
      </c>
      <c r="Q6924">
        <v>-2.027725E-2</v>
      </c>
      <c r="R6924">
        <v>0.998865</v>
      </c>
      <c r="S6924">
        <v>0.50244140000000004</v>
      </c>
      <c r="T6924">
        <v>0.38952979999999998</v>
      </c>
      <c r="U6924">
        <v>2.9893800000000001</v>
      </c>
      <c r="V6924">
        <v>3.9142049999999998E-2</v>
      </c>
      <c r="W6924">
        <v>-9.9483339999999996E-3</v>
      </c>
      <c r="X6924">
        <v>0.99918410000000002</v>
      </c>
      <c r="Y6924">
        <v>0.16049720000000001</v>
      </c>
      <c r="Z6924">
        <v>0.127494</v>
      </c>
      <c r="AA6924">
        <v>0.97876759999999996</v>
      </c>
      <c r="AB6924">
        <v>26</v>
      </c>
      <c r="AC6924">
        <v>17.954000000000001</v>
      </c>
      <c r="AD6924">
        <v>13.9203299999999</v>
      </c>
      <c r="AE6924">
        <v>106.56323</v>
      </c>
      <c r="AF6924">
        <v>17.2462996602105</v>
      </c>
      <c r="AG6924">
        <v>13.9203299999999</v>
      </c>
      <c r="AH6924">
        <v>104.89289314354799</v>
      </c>
      <c r="AI6924">
        <v>82.539471304043403</v>
      </c>
      <c r="AJ6924">
        <v>80.663069677779603</v>
      </c>
      <c r="AK6924">
        <v>107.208812470349</v>
      </c>
      <c r="AL6924">
        <v>90.570006972344501</v>
      </c>
      <c r="AM6924">
        <v>87.756641527237605</v>
      </c>
      <c r="AN6924">
        <v>0.99999996756019305</v>
      </c>
    </row>
    <row r="6925" spans="1:40" x14ac:dyDescent="0.25">
      <c r="A6925" t="str">
        <f>"20190312161451397"</f>
        <v>20190312161451397</v>
      </c>
      <c r="B6925" t="str">
        <f>"1552378491393881"</f>
        <v>1552378491393881</v>
      </c>
      <c r="C6925" t="s">
        <v>40</v>
      </c>
      <c r="D6925">
        <v>5.330705</v>
      </c>
      <c r="E6925">
        <v>0.4934017</v>
      </c>
      <c r="F6925" t="s">
        <v>45</v>
      </c>
      <c r="G6925">
        <v>-167.2439</v>
      </c>
      <c r="H6925">
        <v>57.53078</v>
      </c>
      <c r="I6925">
        <v>314.49709999999999</v>
      </c>
      <c r="J6925">
        <v>-187.62889999999999</v>
      </c>
      <c r="K6925">
        <v>1.1094949999999999</v>
      </c>
      <c r="L6925">
        <v>-14.16019</v>
      </c>
      <c r="M6925">
        <v>4.2967910000000003E-3</v>
      </c>
      <c r="N6925">
        <v>0</v>
      </c>
      <c r="O6925">
        <v>0.99993730000000003</v>
      </c>
      <c r="P6925">
        <v>4.2818620000000002E-2</v>
      </c>
      <c r="Q6925">
        <v>-1.977893E-2</v>
      </c>
      <c r="R6925">
        <v>0.99888710000000003</v>
      </c>
      <c r="S6925">
        <v>0.1863098</v>
      </c>
      <c r="T6925">
        <v>0.51562920000000001</v>
      </c>
      <c r="U6925">
        <v>3.0058289999999999</v>
      </c>
      <c r="V6925">
        <v>3.8519820000000003E-2</v>
      </c>
      <c r="W6925">
        <v>-9.4691270000000008E-3</v>
      </c>
      <c r="X6925">
        <v>0.99921300000000002</v>
      </c>
      <c r="Y6925">
        <v>5.6687300000000003E-2</v>
      </c>
      <c r="Z6925">
        <v>0.16877799999999901</v>
      </c>
      <c r="AA6925">
        <v>0.98402259999999997</v>
      </c>
      <c r="AB6925">
        <v>26</v>
      </c>
      <c r="AC6925">
        <v>20.384999999999899</v>
      </c>
      <c r="AD6925">
        <v>56.421284999999997</v>
      </c>
      <c r="AE6925">
        <v>328.65728999999999</v>
      </c>
      <c r="AF6925">
        <v>18.431447483628698</v>
      </c>
      <c r="AG6925">
        <v>56.421284999999997</v>
      </c>
      <c r="AH6925">
        <v>319.36579370731801</v>
      </c>
      <c r="AI6925">
        <v>79.997433536091194</v>
      </c>
      <c r="AJ6925">
        <v>86.696972448769202</v>
      </c>
      <c r="AK6925">
        <v>324.83471158067198</v>
      </c>
      <c r="AL6925">
        <v>90.542549104516795</v>
      </c>
      <c r="AM6925">
        <v>87.792331774217203</v>
      </c>
      <c r="AN6925">
        <v>1.00000003013398</v>
      </c>
    </row>
    <row r="6926" spans="1:40" x14ac:dyDescent="0.25">
      <c r="A6926" t="str">
        <f>"20190312161451420"</f>
        <v>20190312161451420</v>
      </c>
      <c r="B6926" t="str">
        <f>"1552378491413401"</f>
        <v>1552378491413401</v>
      </c>
      <c r="C6926" t="s">
        <v>40</v>
      </c>
      <c r="D6926">
        <v>5.2970790000000001</v>
      </c>
      <c r="E6926">
        <v>0.4851955</v>
      </c>
      <c r="F6926" t="s">
        <v>110</v>
      </c>
      <c r="G6926">
        <v>-177.00739999999999</v>
      </c>
      <c r="H6926">
        <v>83.636889999999994</v>
      </c>
      <c r="I6926">
        <v>391.00349999999997</v>
      </c>
      <c r="J6926">
        <v>-187.62739999999999</v>
      </c>
      <c r="K6926">
        <v>1.109494</v>
      </c>
      <c r="L6926">
        <v>-13.89789</v>
      </c>
      <c r="M6926">
        <v>4.6603039999999997E-3</v>
      </c>
      <c r="N6926">
        <v>0</v>
      </c>
      <c r="O6926">
        <v>0.99993589999999999</v>
      </c>
      <c r="P6926">
        <v>4.3089250000000003E-2</v>
      </c>
      <c r="Q6926">
        <v>-1.9871710000000001E-2</v>
      </c>
      <c r="R6926">
        <v>0.99887360000000003</v>
      </c>
      <c r="S6926">
        <v>7.8964229999999996E-2</v>
      </c>
      <c r="T6926">
        <v>0.61353489999999999</v>
      </c>
      <c r="U6926">
        <v>3.0121150000000001</v>
      </c>
      <c r="V6926">
        <v>3.842723E-2</v>
      </c>
      <c r="W6926">
        <v>-9.5870920000000002E-3</v>
      </c>
      <c r="X6926">
        <v>0.99921539999999998</v>
      </c>
      <c r="Y6926">
        <v>2.1020319999999999E-2</v>
      </c>
      <c r="Z6926">
        <v>0.1995326</v>
      </c>
      <c r="AA6926">
        <v>0.97966569999999997</v>
      </c>
      <c r="AB6926">
        <v>26</v>
      </c>
      <c r="AC6926">
        <v>10.62</v>
      </c>
      <c r="AD6926">
        <v>82.527395999999996</v>
      </c>
      <c r="AE6926">
        <v>404.90138999999999</v>
      </c>
      <c r="AF6926">
        <v>8.3847332047779695</v>
      </c>
      <c r="AG6926">
        <v>82.527395999999996</v>
      </c>
      <c r="AH6926">
        <v>388.80545085886303</v>
      </c>
      <c r="AI6926">
        <v>78.019026639293202</v>
      </c>
      <c r="AJ6926">
        <v>88.764586837111807</v>
      </c>
      <c r="AK6926">
        <v>397.55597525256701</v>
      </c>
      <c r="AL6926">
        <v>90.549308329835299</v>
      </c>
      <c r="AM6926">
        <v>87.7976383939302</v>
      </c>
      <c r="AN6926">
        <v>0.99999998996782402</v>
      </c>
    </row>
    <row r="6927" spans="1:40" x14ac:dyDescent="0.25">
      <c r="A6927" t="str">
        <f>"20190312161451443"</f>
        <v>20190312161451443</v>
      </c>
      <c r="B6927" t="str">
        <f>"1552378491433898"</f>
        <v>1552378491433898</v>
      </c>
      <c r="C6927" t="s">
        <v>40</v>
      </c>
      <c r="D6927">
        <v>5.2735919999999998</v>
      </c>
      <c r="E6927">
        <v>0.4814175</v>
      </c>
      <c r="F6927" t="s">
        <v>110</v>
      </c>
      <c r="G6927">
        <v>-185.71289999999999</v>
      </c>
      <c r="H6927">
        <v>99.427980000000005</v>
      </c>
      <c r="I6927">
        <v>391.87</v>
      </c>
      <c r="J6927">
        <v>-187.62569999999999</v>
      </c>
      <c r="K6927">
        <v>1.109483</v>
      </c>
      <c r="L6927">
        <v>-13.62955</v>
      </c>
      <c r="M6927">
        <v>5.0322489999999999E-3</v>
      </c>
      <c r="N6927">
        <v>0</v>
      </c>
      <c r="O6927">
        <v>0.99993449999999995</v>
      </c>
      <c r="P6927">
        <v>4.3662289999999999E-2</v>
      </c>
      <c r="Q6927">
        <v>-1.9274309999999999E-2</v>
      </c>
      <c r="R6927">
        <v>0.99886039999999998</v>
      </c>
      <c r="S6927">
        <v>1.4236449999999999E-2</v>
      </c>
      <c r="T6927">
        <v>0.73109939999999995</v>
      </c>
      <c r="U6927">
        <v>3.0173030000000001</v>
      </c>
      <c r="V6927">
        <v>3.8629070000000001E-2</v>
      </c>
      <c r="W6927">
        <v>-9.0261939999999995E-3</v>
      </c>
      <c r="X6927">
        <v>0.99921289999999996</v>
      </c>
      <c r="Y6927">
        <v>-4.469861E-4</v>
      </c>
      <c r="Z6927">
        <v>0.23548240000000001</v>
      </c>
      <c r="AA6927">
        <v>0.97187849999999998</v>
      </c>
      <c r="AB6927">
        <v>26</v>
      </c>
      <c r="AC6927">
        <v>1.9128000000000001</v>
      </c>
      <c r="AD6927">
        <v>98.318496999999994</v>
      </c>
      <c r="AE6927">
        <v>405.49955</v>
      </c>
      <c r="AF6927">
        <v>-0.120805008136028</v>
      </c>
      <c r="AG6927">
        <v>98.318496999999994</v>
      </c>
      <c r="AH6927">
        <v>382.989313468783</v>
      </c>
      <c r="AI6927">
        <v>75.602308778312903</v>
      </c>
      <c r="AJ6927">
        <v>90.018072611003106</v>
      </c>
      <c r="AK6927">
        <v>395.40783461823099</v>
      </c>
      <c r="AL6927">
        <v>90.517169818900996</v>
      </c>
      <c r="AM6927">
        <v>87.786076381095299</v>
      </c>
      <c r="AN6927">
        <v>1.0000000483767899</v>
      </c>
    </row>
    <row r="6928" spans="1:40" x14ac:dyDescent="0.25">
      <c r="A6928" t="str">
        <f>"20190312161451466"</f>
        <v>20190312161451466</v>
      </c>
      <c r="B6928" t="str">
        <f>"1552378491463178"</f>
        <v>1552378491463178</v>
      </c>
      <c r="C6928" t="s">
        <v>40</v>
      </c>
      <c r="D6928">
        <v>5.2968919999999997</v>
      </c>
      <c r="E6928">
        <v>0.47831960000000001</v>
      </c>
      <c r="F6928" t="s">
        <v>110</v>
      </c>
      <c r="G6928">
        <v>-189.49469999999999</v>
      </c>
      <c r="H6928">
        <v>108.5343</v>
      </c>
      <c r="I6928">
        <v>391.87</v>
      </c>
      <c r="J6928">
        <v>-187.624</v>
      </c>
      <c r="K6928">
        <v>1.10947</v>
      </c>
      <c r="L6928">
        <v>-13.36731</v>
      </c>
      <c r="M6928">
        <v>5.3956459999999996E-3</v>
      </c>
      <c r="N6928">
        <v>0</v>
      </c>
      <c r="O6928">
        <v>0.99993310000000002</v>
      </c>
      <c r="P6928">
        <v>4.4371010000000002E-2</v>
      </c>
      <c r="Q6928">
        <v>-1.9417090000000001E-2</v>
      </c>
      <c r="R6928">
        <v>0.9988264</v>
      </c>
      <c r="S6928">
        <v>-1.3916019999999999E-2</v>
      </c>
      <c r="T6928">
        <v>0.79991690000000004</v>
      </c>
      <c r="U6928">
        <v>3.0194700000000001</v>
      </c>
      <c r="V6928">
        <v>3.8974740000000001E-2</v>
      </c>
      <c r="W6928">
        <v>-9.2148760000000003E-3</v>
      </c>
      <c r="X6928">
        <v>0.99919769999999997</v>
      </c>
      <c r="Y6928">
        <v>-9.8508450000000004E-3</v>
      </c>
      <c r="Z6928">
        <v>0.25607259999999998</v>
      </c>
      <c r="AA6928">
        <v>0.96660729999999995</v>
      </c>
      <c r="AB6928">
        <v>26</v>
      </c>
      <c r="AC6928">
        <v>-1.8706999999999701</v>
      </c>
      <c r="AD6928">
        <v>107.42483</v>
      </c>
      <c r="AE6928">
        <v>405.23730999999998</v>
      </c>
      <c r="AF6928">
        <v>-3.79091010980031</v>
      </c>
      <c r="AG6928">
        <v>107.42483</v>
      </c>
      <c r="AH6928">
        <v>378.61532551538698</v>
      </c>
      <c r="AI6928">
        <v>74.160481405774306</v>
      </c>
      <c r="AJ6928">
        <v>90.573658479452305</v>
      </c>
      <c r="AK6928">
        <v>393.57849257182698</v>
      </c>
      <c r="AL6928">
        <v>90.527980979046006</v>
      </c>
      <c r="AM6928">
        <v>87.766251247080803</v>
      </c>
      <c r="AN6928">
        <v>0.99999999399152595</v>
      </c>
    </row>
    <row r="6929" spans="1:40" x14ac:dyDescent="0.25">
      <c r="A6929" t="str">
        <f>"20190312161451490"</f>
        <v>20190312161451490</v>
      </c>
      <c r="B6929" t="str">
        <f>"1552378491483674"</f>
        <v>1552378491483674</v>
      </c>
      <c r="C6929" t="s">
        <v>40</v>
      </c>
      <c r="D6929">
        <v>5.2664730000000004</v>
      </c>
      <c r="E6929">
        <v>0.47748069999999998</v>
      </c>
      <c r="F6929" t="s">
        <v>110</v>
      </c>
      <c r="G6929">
        <v>-192.29560000000001</v>
      </c>
      <c r="H6929">
        <v>116.95099999999999</v>
      </c>
      <c r="I6929">
        <v>391.87</v>
      </c>
      <c r="J6929">
        <v>-187.62200000000001</v>
      </c>
      <c r="K6929">
        <v>1.1094569999999999</v>
      </c>
      <c r="L6929">
        <v>-13.08066</v>
      </c>
      <c r="M6929">
        <v>5.7931229999999998E-3</v>
      </c>
      <c r="N6929">
        <v>0</v>
      </c>
      <c r="O6929">
        <v>0.99993140000000003</v>
      </c>
      <c r="P6929">
        <v>4.5124230000000001E-2</v>
      </c>
      <c r="Q6929">
        <v>-1.9285119999999999E-2</v>
      </c>
      <c r="R6929">
        <v>0.99879519999999999</v>
      </c>
      <c r="S6929">
        <v>-3.4835820000000003E-2</v>
      </c>
      <c r="T6929">
        <v>0.86382879999999995</v>
      </c>
      <c r="U6929">
        <v>3.0218509999999998</v>
      </c>
      <c r="V6929">
        <v>3.9331049999999999E-2</v>
      </c>
      <c r="W6929">
        <v>-9.1390410000000005E-3</v>
      </c>
      <c r="X6929">
        <v>0.99918439999999997</v>
      </c>
      <c r="Y6929">
        <v>-1.6876189999999999E-2</v>
      </c>
      <c r="Z6929">
        <v>0.27481640000000002</v>
      </c>
      <c r="AA6929">
        <v>0.9613486</v>
      </c>
      <c r="AB6929">
        <v>26</v>
      </c>
      <c r="AC6929">
        <v>-4.6735999999999898</v>
      </c>
      <c r="AD6929">
        <v>115.84154299999901</v>
      </c>
      <c r="AE6929">
        <v>404.95066000000003</v>
      </c>
      <c r="AF6929">
        <v>-6.4886611522715798</v>
      </c>
      <c r="AG6929">
        <v>115.84154299999901</v>
      </c>
      <c r="AH6929">
        <v>374.29173562952002</v>
      </c>
      <c r="AI6929">
        <v>72.805379243216606</v>
      </c>
      <c r="AJ6929">
        <v>90.993170906307498</v>
      </c>
      <c r="AK6929">
        <v>391.861798557513</v>
      </c>
      <c r="AL6929">
        <v>90.523635788728697</v>
      </c>
      <c r="AM6929">
        <v>87.745821144844697</v>
      </c>
      <c r="AN6929">
        <v>0.99999995938393005</v>
      </c>
    </row>
    <row r="6930" spans="1:40" x14ac:dyDescent="0.25">
      <c r="A6930" t="str">
        <f>"20190312161451511"</f>
        <v>20190312161451511</v>
      </c>
      <c r="B6930" t="str">
        <f>"1552378491503192"</f>
        <v>1552378491503192</v>
      </c>
      <c r="C6930" t="s">
        <v>40</v>
      </c>
      <c r="D6930">
        <v>5.2674729999999998</v>
      </c>
      <c r="E6930">
        <v>0.47706599999999999</v>
      </c>
      <c r="F6930" t="s">
        <v>110</v>
      </c>
      <c r="G6930">
        <v>-192.91890000000001</v>
      </c>
      <c r="H6930">
        <v>119.6186</v>
      </c>
      <c r="I6930">
        <v>391.87</v>
      </c>
      <c r="J6930">
        <v>-187.62020000000001</v>
      </c>
      <c r="K6930">
        <v>1.1094520000000001</v>
      </c>
      <c r="L6930">
        <v>-12.831910000000001</v>
      </c>
      <c r="M6930">
        <v>6.1379329999999999E-3</v>
      </c>
      <c r="N6930">
        <v>0</v>
      </c>
      <c r="O6930">
        <v>0.99992990000000004</v>
      </c>
      <c r="P6930">
        <v>4.5878530000000001E-2</v>
      </c>
      <c r="Q6930">
        <v>-1.9525150000000002E-2</v>
      </c>
      <c r="R6930">
        <v>0.99875619999999998</v>
      </c>
      <c r="S6930">
        <v>-3.9535519999999998E-2</v>
      </c>
      <c r="T6930">
        <v>0.884534499999999</v>
      </c>
      <c r="U6930">
        <v>3.022491</v>
      </c>
      <c r="V6930">
        <v>3.9740850000000001E-2</v>
      </c>
      <c r="W6930">
        <v>-9.4332289999999996E-3</v>
      </c>
      <c r="X6930">
        <v>0.99916550000000004</v>
      </c>
      <c r="Y6930">
        <v>-1.8690439999999999E-2</v>
      </c>
      <c r="Z6930">
        <v>0.28082669999999998</v>
      </c>
      <c r="AA6930">
        <v>0.95957650000000005</v>
      </c>
      <c r="AB6930">
        <v>26</v>
      </c>
      <c r="AC6930">
        <v>-5.2986999999999904</v>
      </c>
      <c r="AD6930">
        <v>118.509148</v>
      </c>
      <c r="AE6930">
        <v>404.70191</v>
      </c>
      <c r="AF6930">
        <v>-7.1681946404539296</v>
      </c>
      <c r="AG6930">
        <v>118.509148</v>
      </c>
      <c r="AH6930">
        <v>372.70762495727303</v>
      </c>
      <c r="AI6930">
        <v>72.364053396306602</v>
      </c>
      <c r="AJ6930">
        <v>91.101819880534805</v>
      </c>
      <c r="AK6930">
        <v>391.16080436999403</v>
      </c>
      <c r="AL6930">
        <v>90.540492220414393</v>
      </c>
      <c r="AM6930">
        <v>87.722315864490696</v>
      </c>
      <c r="AN6930">
        <v>1.0000000086791601</v>
      </c>
    </row>
    <row r="6931" spans="1:40" x14ac:dyDescent="0.25">
      <c r="A6931" t="str">
        <f>"20190312161451534"</f>
        <v>20190312161451534</v>
      </c>
      <c r="B6931" t="str">
        <f>"1552378491523689"</f>
        <v>1552378491523689</v>
      </c>
      <c r="C6931" t="s">
        <v>40</v>
      </c>
      <c r="D6931">
        <v>5.2384839999999997</v>
      </c>
      <c r="E6931">
        <v>0.476634</v>
      </c>
      <c r="F6931" t="s">
        <v>110</v>
      </c>
      <c r="G6931">
        <v>-193.13319999999999</v>
      </c>
      <c r="H6931">
        <v>121.83110000000001</v>
      </c>
      <c r="I6931">
        <v>391.87</v>
      </c>
      <c r="J6931">
        <v>-187.6181</v>
      </c>
      <c r="K6931">
        <v>1.1094409999999999</v>
      </c>
      <c r="L6931">
        <v>-12.560790000000001</v>
      </c>
      <c r="M6931">
        <v>6.513619E-3</v>
      </c>
      <c r="N6931">
        <v>0</v>
      </c>
      <c r="O6931">
        <v>0.99992809999999999</v>
      </c>
      <c r="P6931">
        <v>4.6560770000000001E-2</v>
      </c>
      <c r="Q6931">
        <v>-1.8901020000000001E-2</v>
      </c>
      <c r="R6931">
        <v>0.99873659999999997</v>
      </c>
      <c r="S6931">
        <v>-4.118347E-2</v>
      </c>
      <c r="T6931">
        <v>0.90183000000000002</v>
      </c>
      <c r="U6931">
        <v>3.0232540000000001</v>
      </c>
      <c r="V6931">
        <v>4.0048210000000001E-2</v>
      </c>
      <c r="W6931">
        <v>-8.8698879999999994E-3</v>
      </c>
      <c r="X6931">
        <v>0.9991584</v>
      </c>
      <c r="Y6931">
        <v>-1.9565840000000001E-2</v>
      </c>
      <c r="Z6931">
        <v>0.28580220000000001</v>
      </c>
      <c r="AA6931">
        <v>0.95808890000000002</v>
      </c>
      <c r="AB6931">
        <v>26</v>
      </c>
      <c r="AC6931">
        <v>-5.5150999999999897</v>
      </c>
      <c r="AD6931">
        <v>120.721659</v>
      </c>
      <c r="AE6931">
        <v>404.43079</v>
      </c>
      <c r="AF6931">
        <v>-7.4828225265842603</v>
      </c>
      <c r="AG6931">
        <v>120.721659</v>
      </c>
      <c r="AH6931">
        <v>371.30852165139601</v>
      </c>
      <c r="AI6931">
        <v>71.992784349015906</v>
      </c>
      <c r="AJ6931">
        <v>91.154501172737497</v>
      </c>
      <c r="AK6931">
        <v>390.512137885139</v>
      </c>
      <c r="AL6931">
        <v>90.508213800492399</v>
      </c>
      <c r="AM6931">
        <v>87.704702486737105</v>
      </c>
      <c r="AN6931">
        <v>1.0000000211639399</v>
      </c>
    </row>
    <row r="6932" spans="1:40" x14ac:dyDescent="0.25">
      <c r="A6932" t="str">
        <f>"20190312161451554"</f>
        <v>20190312161451554</v>
      </c>
      <c r="B6932" t="str">
        <f>"1552378491543208"</f>
        <v>1552378491543208</v>
      </c>
      <c r="C6932" t="s">
        <v>40</v>
      </c>
      <c r="D6932">
        <v>5.2079430000000002</v>
      </c>
      <c r="E6932">
        <v>0.47627710000000001</v>
      </c>
      <c r="F6932" t="s">
        <v>110</v>
      </c>
      <c r="G6932">
        <v>-193.346</v>
      </c>
      <c r="H6932">
        <v>124.14700000000001</v>
      </c>
      <c r="I6932">
        <v>391.87</v>
      </c>
      <c r="J6932">
        <v>-187.61609999999999</v>
      </c>
      <c r="K6932">
        <v>1.1094329999999999</v>
      </c>
      <c r="L6932">
        <v>-12.316649999999999</v>
      </c>
      <c r="M6932">
        <v>6.8518190000000003E-3</v>
      </c>
      <c r="N6932">
        <v>0</v>
      </c>
      <c r="O6932">
        <v>0.99992639999999999</v>
      </c>
      <c r="P6932">
        <v>4.7148019999999999E-2</v>
      </c>
      <c r="Q6932">
        <v>-1.9177139999999999E-2</v>
      </c>
      <c r="R6932">
        <v>0.99870380000000003</v>
      </c>
      <c r="S6932">
        <v>-4.2816159999999999E-2</v>
      </c>
      <c r="T6932">
        <v>0.91972770000000004</v>
      </c>
      <c r="U6932">
        <v>3.023193</v>
      </c>
      <c r="V6932">
        <v>4.0297550000000001E-2</v>
      </c>
      <c r="W6932">
        <v>-9.2039019999999999E-3</v>
      </c>
      <c r="X6932">
        <v>0.99914530000000001</v>
      </c>
      <c r="Y6932">
        <v>-2.039939E-2</v>
      </c>
      <c r="Z6932">
        <v>0.29099910000000001</v>
      </c>
      <c r="AA6932">
        <v>0.95650579999999996</v>
      </c>
      <c r="AB6932">
        <v>26</v>
      </c>
      <c r="AC6932">
        <v>-5.7298999999999802</v>
      </c>
      <c r="AD6932">
        <v>123.037567</v>
      </c>
      <c r="AE6932">
        <v>404.18664999999999</v>
      </c>
      <c r="AF6932">
        <v>-7.7786603031074302</v>
      </c>
      <c r="AG6932">
        <v>123.037567</v>
      </c>
      <c r="AH6932">
        <v>369.87101838329602</v>
      </c>
      <c r="AI6932">
        <v>71.604092910244205</v>
      </c>
      <c r="AJ6932">
        <v>91.204794897086501</v>
      </c>
      <c r="AK6932">
        <v>389.87603246325301</v>
      </c>
      <c r="AL6932">
        <v>90.527352202500197</v>
      </c>
      <c r="AM6932">
        <v>87.690397152143603</v>
      </c>
      <c r="AN6932">
        <v>0.99999996743005803</v>
      </c>
    </row>
    <row r="6933" spans="1:40" x14ac:dyDescent="0.25">
      <c r="A6933" t="str">
        <f>"20190312161451577"</f>
        <v>20190312161451577</v>
      </c>
      <c r="B6933" t="str">
        <f>"1552378491573465"</f>
        <v>1552378491573465</v>
      </c>
      <c r="C6933" t="s">
        <v>40</v>
      </c>
      <c r="D6933">
        <v>5.5389520000000001</v>
      </c>
      <c r="E6933">
        <v>0.47568319999999997</v>
      </c>
      <c r="F6933" t="s">
        <v>110</v>
      </c>
      <c r="G6933">
        <v>-193.40870000000001</v>
      </c>
      <c r="H6933">
        <v>125.51730000000001</v>
      </c>
      <c r="I6933">
        <v>391.87</v>
      </c>
      <c r="J6933">
        <v>-187.614</v>
      </c>
      <c r="K6933">
        <v>1.1094219999999999</v>
      </c>
      <c r="L6933">
        <v>-12.055020000000001</v>
      </c>
      <c r="M6933">
        <v>7.2140800000000003E-3</v>
      </c>
      <c r="N6933">
        <v>0</v>
      </c>
      <c r="O6933">
        <v>0.99992449999999999</v>
      </c>
      <c r="P6933">
        <v>4.7778609999999999E-2</v>
      </c>
      <c r="Q6933">
        <v>-1.9426929999999999E-2</v>
      </c>
      <c r="R6933">
        <v>0.99866900000000003</v>
      </c>
      <c r="S6933">
        <v>-4.3334959999999999E-2</v>
      </c>
      <c r="T6933">
        <v>0.93072120000000003</v>
      </c>
      <c r="U6933">
        <v>3.0238040000000002</v>
      </c>
      <c r="V6933">
        <v>4.056622E-2</v>
      </c>
      <c r="W6933">
        <v>-9.5192109999999996E-3</v>
      </c>
      <c r="X6933">
        <v>0.99913149999999995</v>
      </c>
      <c r="Y6933">
        <v>-2.0909239999999999E-2</v>
      </c>
      <c r="Z6933">
        <v>0.29412070000000001</v>
      </c>
      <c r="AA6933">
        <v>0.95553949999999999</v>
      </c>
      <c r="AB6933">
        <v>26</v>
      </c>
      <c r="AC6933">
        <v>-5.7946999999999997</v>
      </c>
      <c r="AD6933">
        <v>124.407878</v>
      </c>
      <c r="AE6933">
        <v>403.92502000000002</v>
      </c>
      <c r="AF6933">
        <v>-7.9542377122040797</v>
      </c>
      <c r="AG6933">
        <v>124.407878</v>
      </c>
      <c r="AH6933">
        <v>368.88643834046798</v>
      </c>
      <c r="AI6933">
        <v>71.367224322749905</v>
      </c>
      <c r="AJ6933">
        <v>91.235268063102893</v>
      </c>
      <c r="AK6933">
        <v>389.381296928295</v>
      </c>
      <c r="AL6933">
        <v>90.5454188553351</v>
      </c>
      <c r="AM6933">
        <v>87.674983437479796</v>
      </c>
      <c r="AN6933">
        <v>0.9999999939377</v>
      </c>
    </row>
    <row r="6934" spans="1:40" x14ac:dyDescent="0.25">
      <c r="A6934" t="str">
        <f>"20190312161451598"</f>
        <v>20190312161451598</v>
      </c>
      <c r="B6934" t="str">
        <f>"1552378491592985"</f>
        <v>1552378491592985</v>
      </c>
      <c r="C6934" t="s">
        <v>40</v>
      </c>
      <c r="D6934">
        <v>5.4185809999999996</v>
      </c>
      <c r="E6934">
        <v>0.47511880000000001</v>
      </c>
      <c r="F6934" t="s">
        <v>110</v>
      </c>
      <c r="G6934">
        <v>-193.73599999999999</v>
      </c>
      <c r="H6934">
        <v>125.1797</v>
      </c>
      <c r="I6934">
        <v>391.87</v>
      </c>
      <c r="J6934">
        <v>-187.61170000000001</v>
      </c>
      <c r="K6934">
        <v>1.109407</v>
      </c>
      <c r="L6934">
        <v>-11.80228</v>
      </c>
      <c r="M6934">
        <v>7.5641369999999899E-3</v>
      </c>
      <c r="N6934">
        <v>0</v>
      </c>
      <c r="O6934">
        <v>0.99992259999999999</v>
      </c>
      <c r="P6934">
        <v>4.7938889999999998E-2</v>
      </c>
      <c r="Q6934">
        <v>-1.9777670000000001E-2</v>
      </c>
      <c r="R6934">
        <v>0.99865440000000005</v>
      </c>
      <c r="S6934">
        <v>-4.58374E-2</v>
      </c>
      <c r="T6934">
        <v>0.92893680000000001</v>
      </c>
      <c r="U6934">
        <v>3.0242610000000001</v>
      </c>
      <c r="V6934">
        <v>4.0376580000000002E-2</v>
      </c>
      <c r="W6934">
        <v>-9.9335199999999995E-3</v>
      </c>
      <c r="X6934">
        <v>0.99913510000000005</v>
      </c>
      <c r="Y6934">
        <v>-2.2050259999999999E-2</v>
      </c>
      <c r="Z6934">
        <v>0.2935585</v>
      </c>
      <c r="AA6934">
        <v>0.9556867</v>
      </c>
      <c r="AB6934">
        <v>26</v>
      </c>
      <c r="AC6934">
        <v>-6.1242999999999697</v>
      </c>
      <c r="AD6934">
        <v>124.07029300000001</v>
      </c>
      <c r="AE6934">
        <v>403.67228</v>
      </c>
      <c r="AF6934">
        <v>-8.3857190709199099</v>
      </c>
      <c r="AG6934">
        <v>124.07029300000001</v>
      </c>
      <c r="AH6934">
        <v>368.78463175811902</v>
      </c>
      <c r="AI6934">
        <v>71.4099804402275</v>
      </c>
      <c r="AJ6934">
        <v>91.302612653627094</v>
      </c>
      <c r="AK6934">
        <v>389.18615405794401</v>
      </c>
      <c r="AL6934">
        <v>90.569158163229304</v>
      </c>
      <c r="AM6934">
        <v>87.685848968833298</v>
      </c>
      <c r="AN6934">
        <v>0.99999994554204696</v>
      </c>
    </row>
    <row r="6935" spans="1:40" x14ac:dyDescent="0.25">
      <c r="A6935" t="str">
        <f>"20190312161451621"</f>
        <v>20190312161451621</v>
      </c>
      <c r="B6935" t="str">
        <f>"1552378491613482"</f>
        <v>1552378491613482</v>
      </c>
      <c r="C6935" t="s">
        <v>40</v>
      </c>
      <c r="D6935">
        <v>5.0991299999999997</v>
      </c>
      <c r="E6935">
        <v>0.45005499999999998</v>
      </c>
      <c r="F6935" t="s">
        <v>110</v>
      </c>
      <c r="G6935">
        <v>-194.25239999999999</v>
      </c>
      <c r="H6935">
        <v>124.82170000000001</v>
      </c>
      <c r="I6935">
        <v>391.87</v>
      </c>
      <c r="J6935">
        <v>-187.60929999999999</v>
      </c>
      <c r="K6935">
        <v>1.109402</v>
      </c>
      <c r="L6935">
        <v>-11.53088</v>
      </c>
      <c r="M6935">
        <v>7.9400059999999995E-3</v>
      </c>
      <c r="N6935">
        <v>0</v>
      </c>
      <c r="O6935">
        <v>0.99992029999999998</v>
      </c>
      <c r="P6935">
        <v>4.8480519999999999E-2</v>
      </c>
      <c r="Q6935">
        <v>-1.9165850000000002E-2</v>
      </c>
      <c r="R6935">
        <v>0.99864019999999998</v>
      </c>
      <c r="S6935">
        <v>-4.9758910000000003E-2</v>
      </c>
      <c r="T6935">
        <v>0.92699580000000004</v>
      </c>
      <c r="U6935">
        <v>3.0247799999999998</v>
      </c>
      <c r="V6935">
        <v>4.0543139999999998E-2</v>
      </c>
      <c r="W6935">
        <v>-9.3896039999999993E-3</v>
      </c>
      <c r="X6935">
        <v>0.99913359999999996</v>
      </c>
      <c r="Y6935">
        <v>-2.366534E-2</v>
      </c>
      <c r="Z6935">
        <v>0.29294239999999999</v>
      </c>
      <c r="AA6935">
        <v>0.95583720000000005</v>
      </c>
      <c r="AB6935">
        <v>26</v>
      </c>
      <c r="AC6935">
        <v>-6.6430999999999996</v>
      </c>
      <c r="AD6935">
        <v>123.712298</v>
      </c>
      <c r="AE6935">
        <v>403.40087999999997</v>
      </c>
      <c r="AF6935">
        <v>-8.9998564033981694</v>
      </c>
      <c r="AG6935">
        <v>123.712298</v>
      </c>
      <c r="AH6935">
        <v>368.67177166255902</v>
      </c>
      <c r="AI6935">
        <v>71.455342515790406</v>
      </c>
      <c r="AJ6935">
        <v>91.398402140054401</v>
      </c>
      <c r="AK6935">
        <v>388.97892656612203</v>
      </c>
      <c r="AL6935">
        <v>90.537992623272601</v>
      </c>
      <c r="AM6935">
        <v>87.676309675204294</v>
      </c>
      <c r="AN6935">
        <v>0.99999993075664495</v>
      </c>
    </row>
    <row r="6936" spans="1:40" x14ac:dyDescent="0.25">
      <c r="A6936" t="str">
        <f>"20190312161451643"</f>
        <v>20190312161451643</v>
      </c>
      <c r="B6936" t="str">
        <f>"1552378491633977"</f>
        <v>1552378491633977</v>
      </c>
      <c r="C6936" t="s">
        <v>40</v>
      </c>
      <c r="D6936">
        <v>4.9504039999999998</v>
      </c>
      <c r="E6936">
        <v>0.45348309999999997</v>
      </c>
      <c r="F6936" t="s">
        <v>44</v>
      </c>
      <c r="G6936">
        <v>0</v>
      </c>
      <c r="H6936">
        <v>0</v>
      </c>
      <c r="I6936">
        <v>0</v>
      </c>
      <c r="J6936">
        <v>-187.60669999999999</v>
      </c>
      <c r="K6936">
        <v>1.109402</v>
      </c>
      <c r="L6936">
        <v>-11.263489999999999</v>
      </c>
      <c r="M6936">
        <v>8.3102249999999992E-3</v>
      </c>
      <c r="N6936">
        <v>0</v>
      </c>
      <c r="O6936">
        <v>0.99991790000000003</v>
      </c>
      <c r="P6936">
        <v>4.8884009999999999E-2</v>
      </c>
      <c r="Q6936">
        <v>-1.922724E-2</v>
      </c>
      <c r="R6936">
        <v>0.99861940000000005</v>
      </c>
      <c r="S6936">
        <v>-0.2466583</v>
      </c>
      <c r="T6936">
        <v>1.267631</v>
      </c>
      <c r="U6936">
        <v>3.040375</v>
      </c>
      <c r="V6936">
        <v>4.0576809999999998E-2</v>
      </c>
      <c r="W6936">
        <v>-9.5140799999999994E-3</v>
      </c>
      <c r="X6936">
        <v>0.99913110000000005</v>
      </c>
      <c r="Y6936">
        <v>-8.2955020000000004E-2</v>
      </c>
      <c r="Z6936">
        <v>0.3836</v>
      </c>
      <c r="AA6936">
        <v>0.91976599999999997</v>
      </c>
      <c r="AB6936">
        <v>26</v>
      </c>
      <c r="AC6936">
        <v>-0.2466583</v>
      </c>
      <c r="AD6936">
        <v>1.267631</v>
      </c>
      <c r="AE6936">
        <v>3.040375</v>
      </c>
      <c r="AF6936">
        <v>-0.23187354227252499</v>
      </c>
      <c r="AG6936">
        <v>1.267631</v>
      </c>
      <c r="AH6936">
        <v>2.5907993409308401</v>
      </c>
      <c r="AI6936">
        <v>64.018455221852605</v>
      </c>
      <c r="AJ6936">
        <v>95.114279794848002</v>
      </c>
      <c r="AK6936">
        <v>2.8935954998469802</v>
      </c>
      <c r="AL6936">
        <v>90.545124867640197</v>
      </c>
      <c r="AM6936">
        <v>87.674376217425902</v>
      </c>
      <c r="AN6936">
        <v>0.99999997510761596</v>
      </c>
    </row>
    <row r="6937" spans="1:40" x14ac:dyDescent="0.25">
      <c r="A6937" t="str">
        <f>"20190312161451666"</f>
        <v>20190312161451666</v>
      </c>
      <c r="B6937" t="str">
        <f>"1552378491663257"</f>
        <v>1552378491663257</v>
      </c>
      <c r="C6937" t="s">
        <v>40</v>
      </c>
      <c r="D6937">
        <v>3.788643</v>
      </c>
      <c r="E6937">
        <v>0.45436789999999999</v>
      </c>
      <c r="F6937" t="s">
        <v>44</v>
      </c>
      <c r="G6937">
        <v>0</v>
      </c>
      <c r="H6937">
        <v>0</v>
      </c>
      <c r="I6937">
        <v>0</v>
      </c>
      <c r="J6937">
        <v>-187.60419999999999</v>
      </c>
      <c r="K6937">
        <v>1.109394</v>
      </c>
      <c r="L6937">
        <v>-11.00113</v>
      </c>
      <c r="M6937">
        <v>8.6734109999999903E-3</v>
      </c>
      <c r="N6937">
        <v>0</v>
      </c>
      <c r="O6937">
        <v>0.99991540000000001</v>
      </c>
      <c r="P6937">
        <v>4.972302E-2</v>
      </c>
      <c r="Q6937">
        <v>-1.9611739999999999E-2</v>
      </c>
      <c r="R6937">
        <v>0.99857050000000003</v>
      </c>
      <c r="S6937">
        <v>-0.2181091</v>
      </c>
      <c r="T6937">
        <v>1.4386380000000001</v>
      </c>
      <c r="U6937">
        <v>3.0425110000000002</v>
      </c>
      <c r="V6937">
        <v>4.1053029999999997E-2</v>
      </c>
      <c r="W6937">
        <v>-9.9594320000000007E-3</v>
      </c>
      <c r="X6937">
        <v>0.99910730000000003</v>
      </c>
      <c r="Y6937">
        <v>-7.3324340000000002E-2</v>
      </c>
      <c r="Z6937">
        <v>0.42641499999999999</v>
      </c>
      <c r="AA6937">
        <v>0.90155079999999999</v>
      </c>
      <c r="AB6937">
        <v>27</v>
      </c>
      <c r="AC6937">
        <v>-0.2181091</v>
      </c>
      <c r="AD6937">
        <v>1.4386380000000001</v>
      </c>
      <c r="AE6937">
        <v>3.0425110000000002</v>
      </c>
      <c r="AF6937">
        <v>-0.20000254691444999</v>
      </c>
      <c r="AG6937">
        <v>1.4386380000000001</v>
      </c>
      <c r="AH6937">
        <v>2.4872427939691599</v>
      </c>
      <c r="AI6937">
        <v>60.034582555687599</v>
      </c>
      <c r="AJ6937">
        <v>94.597339141965605</v>
      </c>
      <c r="AK6937">
        <v>2.88028766444739</v>
      </c>
      <c r="AL6937">
        <v>90.570642871473297</v>
      </c>
      <c r="AM6937">
        <v>87.647056603513306</v>
      </c>
      <c r="AN6937">
        <v>0.99999996923561596</v>
      </c>
    </row>
    <row r="6938" spans="1:40" x14ac:dyDescent="0.25">
      <c r="A6938" t="str">
        <f>"20190312161451689"</f>
        <v>20190312161451689</v>
      </c>
      <c r="B6938" t="str">
        <f>"1552378491683753"</f>
        <v>1552378491683753</v>
      </c>
      <c r="C6938" t="s">
        <v>40</v>
      </c>
      <c r="D6938">
        <v>5.3630180000000003</v>
      </c>
      <c r="E6938">
        <v>0.45455250000000003</v>
      </c>
      <c r="F6938" t="s">
        <v>44</v>
      </c>
      <c r="G6938">
        <v>0</v>
      </c>
      <c r="H6938">
        <v>0</v>
      </c>
      <c r="I6938">
        <v>0</v>
      </c>
      <c r="J6938">
        <v>-187.60140000000001</v>
      </c>
      <c r="K6938">
        <v>1.109381</v>
      </c>
      <c r="L6938">
        <v>-10.72968</v>
      </c>
      <c r="M6938">
        <v>9.0490559999999998E-3</v>
      </c>
      <c r="N6938">
        <v>0</v>
      </c>
      <c r="O6938">
        <v>0.99991269999999999</v>
      </c>
      <c r="P6938">
        <v>5.0573140000000003E-2</v>
      </c>
      <c r="Q6938">
        <v>-1.9827460000000002E-2</v>
      </c>
      <c r="R6938">
        <v>0.99852350000000001</v>
      </c>
      <c r="S6938">
        <v>-0.20812990000000001</v>
      </c>
      <c r="T6938">
        <v>1.5283100000000001</v>
      </c>
      <c r="U6938">
        <v>3.0446780000000002</v>
      </c>
      <c r="V6938">
        <v>4.1528049999999997E-2</v>
      </c>
      <c r="W6938">
        <v>-1.023686E-2</v>
      </c>
      <c r="X6938">
        <v>0.99908490000000005</v>
      </c>
      <c r="Y6938">
        <v>-7.0009539999999995E-2</v>
      </c>
      <c r="Z6938">
        <v>0.44761400000000001</v>
      </c>
      <c r="AA6938">
        <v>0.89148209999999894</v>
      </c>
      <c r="AB6938">
        <v>27</v>
      </c>
      <c r="AC6938">
        <v>-0.20812990000000001</v>
      </c>
      <c r="AD6938">
        <v>1.5283100000000001</v>
      </c>
      <c r="AE6938">
        <v>3.0446780000000002</v>
      </c>
      <c r="AF6938">
        <v>-0.188419753288294</v>
      </c>
      <c r="AG6938">
        <v>1.5283100000000001</v>
      </c>
      <c r="AH6938">
        <v>2.4325925695216299</v>
      </c>
      <c r="AI6938">
        <v>57.937478477144097</v>
      </c>
      <c r="AJ6938">
        <v>94.429078955661595</v>
      </c>
      <c r="AK6938">
        <v>2.8790172053708001</v>
      </c>
      <c r="AL6938">
        <v>90.5865391151696</v>
      </c>
      <c r="AM6938">
        <v>87.619808789333206</v>
      </c>
      <c r="AN6938">
        <v>1.0000000048237301</v>
      </c>
    </row>
    <row r="6939" spans="1:40" x14ac:dyDescent="0.25">
      <c r="A6939" t="str">
        <f>"20190312161451712"</f>
        <v>20190312161451712</v>
      </c>
      <c r="B6939" t="str">
        <f>"1552378491703273"</f>
        <v>1552378491703273</v>
      </c>
      <c r="C6939" t="s">
        <v>40</v>
      </c>
      <c r="D6939">
        <v>5.903689</v>
      </c>
      <c r="E6939">
        <v>0.45503209999999999</v>
      </c>
      <c r="F6939" t="s">
        <v>44</v>
      </c>
      <c r="G6939">
        <v>0</v>
      </c>
      <c r="H6939">
        <v>0</v>
      </c>
      <c r="I6939">
        <v>0</v>
      </c>
      <c r="J6939">
        <v>-187.5985</v>
      </c>
      <c r="K6939">
        <v>1.109364</v>
      </c>
      <c r="L6939">
        <v>-10.45776</v>
      </c>
      <c r="M6939">
        <v>9.4244930000000008E-3</v>
      </c>
      <c r="N6939">
        <v>0</v>
      </c>
      <c r="O6939">
        <v>0.99990979999999996</v>
      </c>
      <c r="P6939">
        <v>5.1376539999999998E-2</v>
      </c>
      <c r="Q6939">
        <v>-2.008737E-2</v>
      </c>
      <c r="R6939">
        <v>0.99847730000000001</v>
      </c>
      <c r="S6939">
        <v>-0.2044067</v>
      </c>
      <c r="T6939">
        <v>1.5568660000000001</v>
      </c>
      <c r="U6939">
        <v>3.045715</v>
      </c>
      <c r="V6939">
        <v>4.1956550000000002E-2</v>
      </c>
      <c r="W6939">
        <v>-1.055297E-2</v>
      </c>
      <c r="X6939">
        <v>0.9990637</v>
      </c>
      <c r="Y6939">
        <v>-6.9056699999999999E-2</v>
      </c>
      <c r="Z6939">
        <v>0.45416479999999998</v>
      </c>
      <c r="AA6939">
        <v>0.88823730000000001</v>
      </c>
      <c r="AB6939">
        <v>27</v>
      </c>
      <c r="AC6939">
        <v>-0.2044067</v>
      </c>
      <c r="AD6939">
        <v>1.5568660000000001</v>
      </c>
      <c r="AE6939">
        <v>3.045715</v>
      </c>
      <c r="AF6939">
        <v>-0.18498510051538</v>
      </c>
      <c r="AG6939">
        <v>1.5568660000000001</v>
      </c>
      <c r="AH6939">
        <v>2.4153695049430199</v>
      </c>
      <c r="AI6939">
        <v>57.271781297761201</v>
      </c>
      <c r="AJ6939">
        <v>94.379543388729203</v>
      </c>
      <c r="AK6939">
        <v>2.8795939079629602</v>
      </c>
      <c r="AL6939">
        <v>90.604651867380298</v>
      </c>
      <c r="AM6939">
        <v>87.595226914253999</v>
      </c>
      <c r="AN6939">
        <v>0.99999999696070596</v>
      </c>
    </row>
    <row r="6940" spans="1:40" x14ac:dyDescent="0.25">
      <c r="A6940" t="str">
        <f>"20190312161451735"</f>
        <v>20190312161451735</v>
      </c>
      <c r="B6940" t="str">
        <f>"1552378491723769"</f>
        <v>1552378491723769</v>
      </c>
      <c r="C6940" t="s">
        <v>40</v>
      </c>
      <c r="D6940">
        <v>5.2550359999999996</v>
      </c>
      <c r="E6940">
        <v>0.45498119999999997</v>
      </c>
      <c r="F6940" t="s">
        <v>44</v>
      </c>
      <c r="G6940">
        <v>0</v>
      </c>
      <c r="H6940">
        <v>0</v>
      </c>
      <c r="I6940">
        <v>0</v>
      </c>
      <c r="J6940">
        <v>-187.59549999999999</v>
      </c>
      <c r="K6940">
        <v>1.1093580000000001</v>
      </c>
      <c r="L6940">
        <v>-10.17624</v>
      </c>
      <c r="M6940">
        <v>9.8119560000000001E-3</v>
      </c>
      <c r="N6940">
        <v>0</v>
      </c>
      <c r="O6940">
        <v>0.99990650000000003</v>
      </c>
      <c r="P6940">
        <v>5.1493799999999999E-2</v>
      </c>
      <c r="Q6940">
        <v>-1.99096E-2</v>
      </c>
      <c r="R6940">
        <v>0.9984748</v>
      </c>
      <c r="S6940">
        <v>-0.19911190000000001</v>
      </c>
      <c r="T6940">
        <v>1.59015</v>
      </c>
      <c r="U6940">
        <v>3.0468139999999999</v>
      </c>
      <c r="V6940">
        <v>4.1686809999999998E-2</v>
      </c>
      <c r="W6940">
        <v>-1.04257E-2</v>
      </c>
      <c r="X6940">
        <v>0.99907630000000003</v>
      </c>
      <c r="Y6940">
        <v>-6.7630659999999995E-2</v>
      </c>
      <c r="Z6940">
        <v>0.46172530000000001</v>
      </c>
      <c r="AA6940">
        <v>0.88444100000000003</v>
      </c>
      <c r="AB6940">
        <v>27</v>
      </c>
      <c r="AC6940">
        <v>-0.19911190000000001</v>
      </c>
      <c r="AD6940">
        <v>1.59015</v>
      </c>
      <c r="AE6940">
        <v>3.0468139999999999</v>
      </c>
      <c r="AF6940">
        <v>-0.18013998328393399</v>
      </c>
      <c r="AG6940">
        <v>1.59015</v>
      </c>
      <c r="AH6940">
        <v>2.3950975650075801</v>
      </c>
      <c r="AI6940">
        <v>56.493498269280302</v>
      </c>
      <c r="AJ6940">
        <v>94.301229645409904</v>
      </c>
      <c r="AK6940">
        <v>2.88054157789517</v>
      </c>
      <c r="AL6940">
        <v>90.597359448837096</v>
      </c>
      <c r="AM6940">
        <v>87.610699400047196</v>
      </c>
      <c r="AN6940">
        <v>0.99999996928507695</v>
      </c>
    </row>
    <row r="6941" spans="1:40" x14ac:dyDescent="0.25">
      <c r="A6941" t="str">
        <f>"20190312161451755"</f>
        <v>20190312161451755</v>
      </c>
      <c r="B6941" t="str">
        <f>"1552378491754025"</f>
        <v>1552378491754025</v>
      </c>
      <c r="C6941" t="s">
        <v>40</v>
      </c>
      <c r="D6941">
        <v>8.0654899999999898</v>
      </c>
      <c r="E6941">
        <v>0.45547159999999898</v>
      </c>
      <c r="F6941" t="s">
        <v>44</v>
      </c>
      <c r="G6941">
        <v>0</v>
      </c>
      <c r="H6941">
        <v>0</v>
      </c>
      <c r="I6941">
        <v>0</v>
      </c>
      <c r="J6941">
        <v>-187.5926</v>
      </c>
      <c r="K6941">
        <v>1.109356</v>
      </c>
      <c r="L6941">
        <v>-9.9261470000000003</v>
      </c>
      <c r="M6941">
        <v>1.015477E-2</v>
      </c>
      <c r="N6941">
        <v>0</v>
      </c>
      <c r="O6941">
        <v>0.99990349999999995</v>
      </c>
      <c r="P6941">
        <v>5.1688339999999999E-2</v>
      </c>
      <c r="Q6941">
        <v>-1.9867800000000001E-2</v>
      </c>
      <c r="R6941">
        <v>0.99846559999999995</v>
      </c>
      <c r="S6941">
        <v>-0.19869999999999999</v>
      </c>
      <c r="T6941">
        <v>1.602023</v>
      </c>
      <c r="U6941">
        <v>3.046783</v>
      </c>
      <c r="V6941">
        <v>4.1538949999999998E-2</v>
      </c>
      <c r="W6941">
        <v>-1.0423669999999999E-2</v>
      </c>
      <c r="X6941">
        <v>0.99908249999999998</v>
      </c>
      <c r="Y6941">
        <v>-6.7761940000000007E-2</v>
      </c>
      <c r="Z6941">
        <v>0.46443020000000002</v>
      </c>
      <c r="AA6941">
        <v>0.88301359999999995</v>
      </c>
      <c r="AB6941">
        <v>27</v>
      </c>
      <c r="AC6941">
        <v>-0.19869999999999999</v>
      </c>
      <c r="AD6941">
        <v>1.602023</v>
      </c>
      <c r="AE6941">
        <v>3.046783</v>
      </c>
      <c r="AF6941">
        <v>-0.18005955575562299</v>
      </c>
      <c r="AG6941">
        <v>1.602023</v>
      </c>
      <c r="AH6941">
        <v>2.3873601852317501</v>
      </c>
      <c r="AI6941">
        <v>56.211810219731802</v>
      </c>
      <c r="AJ6941">
        <v>94.313197954996298</v>
      </c>
      <c r="AK6941">
        <v>2.8806922414894802</v>
      </c>
      <c r="AL6941">
        <v>90.597243119986203</v>
      </c>
      <c r="AM6941">
        <v>87.619179059111303</v>
      </c>
      <c r="AN6941">
        <v>0.99999998953480995</v>
      </c>
    </row>
    <row r="6942" spans="1:40" x14ac:dyDescent="0.25">
      <c r="A6942" t="str">
        <f>"20190312161451778"</f>
        <v>20190312161451778</v>
      </c>
      <c r="B6942" t="str">
        <f>"1552378491773545"</f>
        <v>1552378491773545</v>
      </c>
      <c r="C6942" t="s">
        <v>40</v>
      </c>
      <c r="D6942">
        <v>5.0935199999999998</v>
      </c>
      <c r="E6942">
        <v>0.4550322</v>
      </c>
      <c r="F6942" t="s">
        <v>44</v>
      </c>
      <c r="G6942">
        <v>0</v>
      </c>
      <c r="H6942">
        <v>0</v>
      </c>
      <c r="I6942">
        <v>0</v>
      </c>
      <c r="J6942">
        <v>-187.58949999999999</v>
      </c>
      <c r="K6942">
        <v>1.109353</v>
      </c>
      <c r="L6942">
        <v>-9.6606749999999995</v>
      </c>
      <c r="M6942">
        <v>1.051468E-2</v>
      </c>
      <c r="N6942">
        <v>0</v>
      </c>
      <c r="O6942">
        <v>0.99990009999999996</v>
      </c>
      <c r="P6942">
        <v>5.1826909999999997E-2</v>
      </c>
      <c r="Q6942">
        <v>-1.9989179999999999E-2</v>
      </c>
      <c r="R6942">
        <v>0.99845600000000001</v>
      </c>
      <c r="S6942">
        <v>-0.1943512</v>
      </c>
      <c r="T6942">
        <v>1.6234040000000001</v>
      </c>
      <c r="U6942">
        <v>3.046967</v>
      </c>
      <c r="V6942">
        <v>4.1317979999999997E-2</v>
      </c>
      <c r="W6942">
        <v>-1.058216E-2</v>
      </c>
      <c r="X6942">
        <v>0.99909000000000003</v>
      </c>
      <c r="Y6942">
        <v>-6.6699380000000003E-2</v>
      </c>
      <c r="Z6942">
        <v>0.46927609999999997</v>
      </c>
      <c r="AA6942">
        <v>0.88052889999999995</v>
      </c>
      <c r="AB6942">
        <v>27</v>
      </c>
      <c r="AC6942">
        <v>-0.1943512</v>
      </c>
      <c r="AD6942">
        <v>1.6234040000000001</v>
      </c>
      <c r="AE6942">
        <v>3.046967</v>
      </c>
      <c r="AF6942">
        <v>-0.17648435907499499</v>
      </c>
      <c r="AG6942">
        <v>1.6234040000000001</v>
      </c>
      <c r="AH6942">
        <v>2.3736733421695302</v>
      </c>
      <c r="AI6942">
        <v>55.704526389969097</v>
      </c>
      <c r="AJ6942">
        <v>94.252159513141294</v>
      </c>
      <c r="AK6942">
        <v>2.8811304051605102</v>
      </c>
      <c r="AL6942">
        <v>90.606324427080196</v>
      </c>
      <c r="AM6942">
        <v>87.631847339273904</v>
      </c>
      <c r="AN6942">
        <v>0.99999999284077301</v>
      </c>
    </row>
    <row r="6943" spans="1:40" x14ac:dyDescent="0.25">
      <c r="A6943" t="str">
        <f>"20190312161451800"</f>
        <v>20190312161451800</v>
      </c>
      <c r="B6943" t="str">
        <f>"1552378491794041"</f>
        <v>1552378491794041</v>
      </c>
      <c r="C6943" t="s">
        <v>40</v>
      </c>
      <c r="D6943">
        <v>5.1963699999999999</v>
      </c>
      <c r="E6943">
        <v>0.45470070000000001</v>
      </c>
      <c r="F6943" t="s">
        <v>44</v>
      </c>
      <c r="G6943">
        <v>0</v>
      </c>
      <c r="H6943">
        <v>0</v>
      </c>
      <c r="I6943">
        <v>0</v>
      </c>
      <c r="J6943">
        <v>-187.58629999999999</v>
      </c>
      <c r="K6943">
        <v>1.1093580000000001</v>
      </c>
      <c r="L6943">
        <v>-9.3917540000000006</v>
      </c>
      <c r="M6943">
        <v>1.087158E-2</v>
      </c>
      <c r="N6943">
        <v>0</v>
      </c>
      <c r="O6943">
        <v>0.99989660000000002</v>
      </c>
      <c r="P6943">
        <v>5.1852820000000001E-2</v>
      </c>
      <c r="Q6943">
        <v>-1.958269E-2</v>
      </c>
      <c r="R6943">
        <v>0.99846270000000004</v>
      </c>
      <c r="S6943">
        <v>-0.1969147</v>
      </c>
      <c r="T6943">
        <v>1.61314</v>
      </c>
      <c r="U6943">
        <v>3.0471499999999998</v>
      </c>
      <c r="V6943">
        <v>4.0987599999999999E-2</v>
      </c>
      <c r="W6943">
        <v>-1.0210790000000001E-2</v>
      </c>
      <c r="X6943">
        <v>0.99910750000000004</v>
      </c>
      <c r="Y6943">
        <v>-6.7870479999999997E-2</v>
      </c>
      <c r="Z6943">
        <v>0.4669063</v>
      </c>
      <c r="AA6943">
        <v>0.88169839999999999</v>
      </c>
      <c r="AB6943">
        <v>27</v>
      </c>
      <c r="AC6943">
        <v>-0.1969147</v>
      </c>
      <c r="AD6943">
        <v>1.61314</v>
      </c>
      <c r="AE6943">
        <v>3.0471499999999998</v>
      </c>
      <c r="AF6943">
        <v>-0.179840040846419</v>
      </c>
      <c r="AG6943">
        <v>1.61314</v>
      </c>
      <c r="AH6943">
        <v>2.3804622880879198</v>
      </c>
      <c r="AI6943">
        <v>55.951821844716598</v>
      </c>
      <c r="AJ6943">
        <v>94.320395473241106</v>
      </c>
      <c r="AK6943">
        <v>2.8811740323868702</v>
      </c>
      <c r="AL6943">
        <v>90.5850453272122</v>
      </c>
      <c r="AM6943">
        <v>87.650802971332993</v>
      </c>
      <c r="AN6943">
        <v>1.00000002007121</v>
      </c>
    </row>
    <row r="6944" spans="1:40" x14ac:dyDescent="0.25">
      <c r="A6944" t="str">
        <f>"20190312161451823"</f>
        <v>20190312161451823</v>
      </c>
      <c r="B6944" t="str">
        <f>"1552378491813562"</f>
        <v>1552378491813562</v>
      </c>
      <c r="C6944" t="s">
        <v>40</v>
      </c>
      <c r="D6944">
        <v>5.012016</v>
      </c>
      <c r="E6944">
        <v>0.4545071</v>
      </c>
      <c r="F6944" t="s">
        <v>44</v>
      </c>
      <c r="G6944">
        <v>0</v>
      </c>
      <c r="H6944">
        <v>0</v>
      </c>
      <c r="I6944">
        <v>0</v>
      </c>
      <c r="J6944">
        <v>-187.583</v>
      </c>
      <c r="K6944">
        <v>1.109361</v>
      </c>
      <c r="L6944">
        <v>-9.1215519999999994</v>
      </c>
      <c r="M6944">
        <v>1.121816E-2</v>
      </c>
      <c r="N6944">
        <v>0</v>
      </c>
      <c r="O6944">
        <v>0.99989309999999998</v>
      </c>
      <c r="P6944">
        <v>5.198382E-2</v>
      </c>
      <c r="Q6944">
        <v>-1.9357059999999999E-2</v>
      </c>
      <c r="R6944">
        <v>0.99846029999999997</v>
      </c>
      <c r="S6944">
        <v>-0.19895940000000001</v>
      </c>
      <c r="T6944">
        <v>1.60978</v>
      </c>
      <c r="U6944">
        <v>3.0465390000000001</v>
      </c>
      <c r="V6944">
        <v>4.0772669999999997E-2</v>
      </c>
      <c r="W6944">
        <v>-1.002078E-2</v>
      </c>
      <c r="X6944">
        <v>0.99911819999999896</v>
      </c>
      <c r="Y6944">
        <v>-6.8841100000000002E-2</v>
      </c>
      <c r="Z6944">
        <v>0.46619240000000001</v>
      </c>
      <c r="AA6944">
        <v>0.88200089999999998</v>
      </c>
      <c r="AB6944">
        <v>27</v>
      </c>
      <c r="AC6944">
        <v>-0.19895940000000001</v>
      </c>
      <c r="AD6944">
        <v>1.60978</v>
      </c>
      <c r="AE6944">
        <v>3.0465390000000001</v>
      </c>
      <c r="AF6944">
        <v>-0.18241146640771799</v>
      </c>
      <c r="AG6944">
        <v>1.60978</v>
      </c>
      <c r="AH6944">
        <v>2.3819052210074201</v>
      </c>
      <c r="AI6944">
        <v>56.0253893573299</v>
      </c>
      <c r="AJ6944">
        <v>94.379287119567493</v>
      </c>
      <c r="AK6944">
        <v>2.8806488979636899</v>
      </c>
      <c r="AL6944">
        <v>90.574158009601902</v>
      </c>
      <c r="AM6944">
        <v>87.663132952164801</v>
      </c>
      <c r="AN6944">
        <v>1.0000000021109801</v>
      </c>
    </row>
    <row r="6945" spans="1:40" x14ac:dyDescent="0.25">
      <c r="A6945" t="str">
        <f>"20190312161451844"</f>
        <v>20190312161451844</v>
      </c>
      <c r="B6945" t="str">
        <f>"1552378491834057"</f>
        <v>1552378491834057</v>
      </c>
      <c r="C6945" t="s">
        <v>40</v>
      </c>
      <c r="D6945">
        <v>5.065798</v>
      </c>
      <c r="E6945">
        <v>0.45430860000000001</v>
      </c>
      <c r="F6945" t="s">
        <v>44</v>
      </c>
      <c r="G6945">
        <v>0</v>
      </c>
      <c r="H6945">
        <v>0</v>
      </c>
      <c r="I6945">
        <v>0</v>
      </c>
      <c r="J6945">
        <v>-187.5797</v>
      </c>
      <c r="K6945">
        <v>1.1093740000000001</v>
      </c>
      <c r="L6945">
        <v>-8.8542480000000001</v>
      </c>
      <c r="M6945">
        <v>1.1543579999999999E-2</v>
      </c>
      <c r="N6945">
        <v>0</v>
      </c>
      <c r="O6945">
        <v>0.99988980000000005</v>
      </c>
      <c r="P6945">
        <v>5.2451060000000001E-2</v>
      </c>
      <c r="Q6945">
        <v>-1.9477419999999999E-2</v>
      </c>
      <c r="R6945">
        <v>0.99843349999999997</v>
      </c>
      <c r="S6945">
        <v>-0.19987489999999999</v>
      </c>
      <c r="T6945">
        <v>1.6094710000000001</v>
      </c>
      <c r="U6945">
        <v>3.0462340000000001</v>
      </c>
      <c r="V6945">
        <v>4.0915220000000002E-2</v>
      </c>
      <c r="W6945">
        <v>-1.017415E-2</v>
      </c>
      <c r="X6945">
        <v>0.99911079999999997</v>
      </c>
      <c r="Y6945">
        <v>-6.9436869999999998E-2</v>
      </c>
      <c r="Z6945">
        <v>0.46614260000000002</v>
      </c>
      <c r="AA6945">
        <v>0.88198049999999995</v>
      </c>
      <c r="AB6945">
        <v>27</v>
      </c>
      <c r="AC6945">
        <v>-0.19987489999999999</v>
      </c>
      <c r="AD6945">
        <v>1.6094710000000001</v>
      </c>
      <c r="AE6945">
        <v>3.0462340000000001</v>
      </c>
      <c r="AF6945">
        <v>-0.18390914091687599</v>
      </c>
      <c r="AG6945">
        <v>1.6094710000000001</v>
      </c>
      <c r="AH6945">
        <v>2.3817147306563302</v>
      </c>
      <c r="AI6945">
        <v>56.029651758982901</v>
      </c>
      <c r="AJ6945">
        <v>94.415453033783507</v>
      </c>
      <c r="AK6945">
        <v>2.88041395118465</v>
      </c>
      <c r="AL6945">
        <v>90.582945924422901</v>
      </c>
      <c r="AM6945">
        <v>87.654954519665793</v>
      </c>
      <c r="AN6945">
        <v>0.99999997961625497</v>
      </c>
    </row>
    <row r="6946" spans="1:40" x14ac:dyDescent="0.25">
      <c r="A6946" t="str">
        <f>"20190312161451867"</f>
        <v>20190312161451867</v>
      </c>
      <c r="B6946" t="str">
        <f>"1552378491863337"</f>
        <v>1552378491863337</v>
      </c>
      <c r="C6946" t="s">
        <v>40</v>
      </c>
      <c r="D6946">
        <v>4.7270059999999896</v>
      </c>
      <c r="E6946">
        <v>0.45385809999999999</v>
      </c>
      <c r="F6946" t="s">
        <v>44</v>
      </c>
      <c r="G6946">
        <v>0</v>
      </c>
      <c r="H6946">
        <v>0</v>
      </c>
      <c r="I6946">
        <v>0</v>
      </c>
      <c r="J6946">
        <v>-187.5762</v>
      </c>
      <c r="K6946">
        <v>1.1093850000000001</v>
      </c>
      <c r="L6946">
        <v>-8.5881349999999994</v>
      </c>
      <c r="M6946">
        <v>1.184529E-2</v>
      </c>
      <c r="N6946">
        <v>0</v>
      </c>
      <c r="O6946">
        <v>0.99988650000000001</v>
      </c>
      <c r="P6946">
        <v>5.3563340000000001E-2</v>
      </c>
      <c r="Q6946">
        <v>-1.9401100000000001E-2</v>
      </c>
      <c r="R6946">
        <v>0.99837600000000004</v>
      </c>
      <c r="S6946">
        <v>-0.19949339999999999</v>
      </c>
      <c r="T6946">
        <v>1.606951</v>
      </c>
      <c r="U6946">
        <v>3.0465390000000001</v>
      </c>
      <c r="V6946">
        <v>4.1727090000000001E-2</v>
      </c>
      <c r="W6946">
        <v>-1.012683E-2</v>
      </c>
      <c r="X6946">
        <v>0.99907769999999996</v>
      </c>
      <c r="Y6946">
        <v>-6.964294E-2</v>
      </c>
      <c r="Z6946">
        <v>0.46553070000000002</v>
      </c>
      <c r="AA6946">
        <v>0.88228739999999894</v>
      </c>
      <c r="AB6946">
        <v>27</v>
      </c>
      <c r="AC6946">
        <v>-0.19949339999999999</v>
      </c>
      <c r="AD6946">
        <v>1.606951</v>
      </c>
      <c r="AE6946">
        <v>3.0465390000000001</v>
      </c>
      <c r="AF6946">
        <v>-0.184464977099387</v>
      </c>
      <c r="AG6946">
        <v>1.606951</v>
      </c>
      <c r="AH6946">
        <v>2.3836180901711801</v>
      </c>
      <c r="AI6946">
        <v>56.092787067496801</v>
      </c>
      <c r="AJ6946">
        <v>94.425222652020693</v>
      </c>
      <c r="AK6946">
        <v>2.88061695544003</v>
      </c>
      <c r="AL6946">
        <v>90.5802345501003</v>
      </c>
      <c r="AM6946">
        <v>87.608396758362105</v>
      </c>
      <c r="AN6946">
        <v>0.99999997668150298</v>
      </c>
    </row>
    <row r="6947" spans="1:40" x14ac:dyDescent="0.25">
      <c r="A6947" t="str">
        <f>"20190312161451891"</f>
        <v>20190312161451891</v>
      </c>
      <c r="B6947" t="str">
        <f>"1552378491883833"</f>
        <v>1552378491883833</v>
      </c>
      <c r="C6947" t="s">
        <v>40</v>
      </c>
      <c r="D6947">
        <v>5.2553739999999998</v>
      </c>
      <c r="E6947">
        <v>0.45428560000000001</v>
      </c>
      <c r="F6947" t="s">
        <v>44</v>
      </c>
      <c r="G6947">
        <v>0</v>
      </c>
      <c r="H6947">
        <v>0</v>
      </c>
      <c r="I6947">
        <v>0</v>
      </c>
      <c r="J6947">
        <v>-187.57249999999999</v>
      </c>
      <c r="K6947">
        <v>1.1093949999999999</v>
      </c>
      <c r="L6947">
        <v>-8.3021849999999997</v>
      </c>
      <c r="M6947">
        <v>1.21388E-2</v>
      </c>
      <c r="N6947">
        <v>0</v>
      </c>
      <c r="O6947">
        <v>0.99988330000000003</v>
      </c>
      <c r="P6947">
        <v>5.3614269999999999E-2</v>
      </c>
      <c r="Q6947">
        <v>-1.8839620000000001E-2</v>
      </c>
      <c r="R6947">
        <v>0.99838400000000005</v>
      </c>
      <c r="S6947">
        <v>-0.1984863</v>
      </c>
      <c r="T6947">
        <v>1.5996349999999999</v>
      </c>
      <c r="U6947">
        <v>3.0466000000000002</v>
      </c>
      <c r="V6947">
        <v>4.1485460000000002E-2</v>
      </c>
      <c r="W6947">
        <v>-9.5960790000000004E-3</v>
      </c>
      <c r="X6947">
        <v>0.99909300000000001</v>
      </c>
      <c r="Y6947">
        <v>-6.9700890000000001E-2</v>
      </c>
      <c r="Z6947">
        <v>0.46386260000000001</v>
      </c>
      <c r="AA6947">
        <v>0.88316099999999997</v>
      </c>
      <c r="AB6947">
        <v>27</v>
      </c>
      <c r="AC6947">
        <v>-0.1984863</v>
      </c>
      <c r="AD6947">
        <v>1.5996349999999999</v>
      </c>
      <c r="AE6947">
        <v>3.0466000000000002</v>
      </c>
      <c r="AF6947">
        <v>-0.18474063271358401</v>
      </c>
      <c r="AG6947">
        <v>1.5996349999999999</v>
      </c>
      <c r="AH6947">
        <v>2.3883264835051201</v>
      </c>
      <c r="AI6947">
        <v>56.265889610975002</v>
      </c>
      <c r="AJ6947">
        <v>94.423106916984906</v>
      </c>
      <c r="AK6947">
        <v>2.8804625716041499</v>
      </c>
      <c r="AL6947">
        <v>90.549823278715905</v>
      </c>
      <c r="AM6947">
        <v>87.622266298489095</v>
      </c>
      <c r="AN6947">
        <v>0.99999997538629204</v>
      </c>
    </row>
    <row r="6948" spans="1:40" x14ac:dyDescent="0.25">
      <c r="A6948" t="str">
        <f>"20190312161451957"</f>
        <v>20190312161451957</v>
      </c>
      <c r="B6948" t="str">
        <f>"1552378491953130"</f>
        <v>1552378491953130</v>
      </c>
      <c r="C6948" t="s">
        <v>40</v>
      </c>
      <c r="D6948">
        <v>4.0875719999999998</v>
      </c>
      <c r="E6948">
        <v>0.45428560000000001</v>
      </c>
      <c r="F6948" t="s">
        <v>44</v>
      </c>
      <c r="G6948">
        <v>0</v>
      </c>
      <c r="H6948">
        <v>0</v>
      </c>
      <c r="I6948">
        <v>0</v>
      </c>
      <c r="J6948">
        <v>-187.56180000000001</v>
      </c>
      <c r="K6948">
        <v>1.1094059999999999</v>
      </c>
      <c r="L6948">
        <v>-7.4992369999999999</v>
      </c>
      <c r="M6948">
        <v>1.281971E-2</v>
      </c>
      <c r="N6948">
        <v>0</v>
      </c>
      <c r="O6948">
        <v>0.99987559999999998</v>
      </c>
      <c r="P6948">
        <v>5.3273389999999997E-2</v>
      </c>
      <c r="Q6948">
        <v>-2.0214530000000001E-2</v>
      </c>
      <c r="R6948">
        <v>0.99837540000000002</v>
      </c>
      <c r="S6948">
        <v>-0.19726560000000001</v>
      </c>
      <c r="T6948">
        <v>1.6044799999999999</v>
      </c>
      <c r="U6948">
        <v>3.045715</v>
      </c>
      <c r="V6948">
        <v>4.046491E-2</v>
      </c>
      <c r="W6948">
        <v>-1.1051480000000001E-2</v>
      </c>
      <c r="X6948">
        <v>0.9991198</v>
      </c>
      <c r="Y6948">
        <v>-7.0003109999999993E-2</v>
      </c>
      <c r="Z6948">
        <v>0.46506239999999999</v>
      </c>
      <c r="AA6948">
        <v>0.88250580000000001</v>
      </c>
      <c r="AB6948">
        <v>27</v>
      </c>
      <c r="AC6948">
        <v>-0.19726560000000001</v>
      </c>
      <c r="AD6948">
        <v>1.6044799999999999</v>
      </c>
      <c r="AE6948">
        <v>3.045715</v>
      </c>
      <c r="AF6948">
        <v>-0.18513318085809399</v>
      </c>
      <c r="AG6948">
        <v>1.6044799999999999</v>
      </c>
      <c r="AH6948">
        <v>2.3840769260123098</v>
      </c>
      <c r="AI6948">
        <v>56.139241751099597</v>
      </c>
      <c r="AJ6948">
        <v>94.440337184278903</v>
      </c>
      <c r="AK6948">
        <v>2.8796619861016599</v>
      </c>
      <c r="AL6948">
        <v>90.633216077158707</v>
      </c>
      <c r="AM6948">
        <v>87.680756451965706</v>
      </c>
      <c r="AN6948">
        <v>0.99999995945176801</v>
      </c>
    </row>
    <row r="6949" spans="1:40" x14ac:dyDescent="0.25">
      <c r="A6949" t="str">
        <f>"20190312161451978"</f>
        <v>20190312161451978</v>
      </c>
      <c r="B6949" t="str">
        <f>"1552378491973625"</f>
        <v>1552378491973625</v>
      </c>
      <c r="C6949" t="s">
        <v>40</v>
      </c>
      <c r="D6949">
        <v>5.0888289999999996</v>
      </c>
      <c r="E6949">
        <v>0.48028530000000003</v>
      </c>
      <c r="F6949" t="s">
        <v>44</v>
      </c>
      <c r="G6949">
        <v>0</v>
      </c>
      <c r="H6949">
        <v>0</v>
      </c>
      <c r="I6949">
        <v>0</v>
      </c>
      <c r="J6949">
        <v>-187.5582</v>
      </c>
      <c r="K6949">
        <v>1.109407</v>
      </c>
      <c r="L6949">
        <v>-7.2323000000000004</v>
      </c>
      <c r="M6949">
        <v>1.3015570000000001E-2</v>
      </c>
      <c r="N6949">
        <v>0</v>
      </c>
      <c r="O6949">
        <v>0.99987329999999996</v>
      </c>
      <c r="P6949">
        <v>5.3202909999999999E-2</v>
      </c>
      <c r="Q6949">
        <v>-2.068685E-2</v>
      </c>
      <c r="R6949">
        <v>0.99836939999999996</v>
      </c>
      <c r="S6949">
        <v>-0.197937</v>
      </c>
      <c r="T6949">
        <v>1.6003400000000001</v>
      </c>
      <c r="U6949">
        <v>3.0478519999999998</v>
      </c>
      <c r="V6949">
        <v>4.0198810000000001E-2</v>
      </c>
      <c r="W6949">
        <v>-1.1547379999999999E-2</v>
      </c>
      <c r="X6949">
        <v>0.99912489999999998</v>
      </c>
      <c r="Y6949">
        <v>-7.0393020000000001E-2</v>
      </c>
      <c r="Z6949">
        <v>0.46385660000000001</v>
      </c>
      <c r="AA6949">
        <v>0.88310919999999904</v>
      </c>
      <c r="AB6949">
        <v>27</v>
      </c>
      <c r="AC6949">
        <v>-0.197937</v>
      </c>
      <c r="AD6949">
        <v>1.6003400000000001</v>
      </c>
      <c r="AE6949">
        <v>3.0478519999999998</v>
      </c>
      <c r="AF6949">
        <v>-0.18641316776148301</v>
      </c>
      <c r="AG6949">
        <v>1.6003400000000001</v>
      </c>
      <c r="AH6949">
        <v>2.38910699972591</v>
      </c>
      <c r="AI6949">
        <v>56.264255154637702</v>
      </c>
      <c r="AJ6949">
        <v>94.461537951813995</v>
      </c>
      <c r="AK6949">
        <v>2.8816089673746901</v>
      </c>
      <c r="AL6949">
        <v>90.661630891777307</v>
      </c>
      <c r="AM6949">
        <v>87.696003212722104</v>
      </c>
      <c r="AN6949">
        <v>0.99999992605514199</v>
      </c>
    </row>
    <row r="6950" spans="1:40" x14ac:dyDescent="0.25">
      <c r="A6950" t="str">
        <f>"20190312161452002"</f>
        <v>20190312161452002</v>
      </c>
      <c r="B6950" t="str">
        <f>"1552378491993146"</f>
        <v>1552378491993146</v>
      </c>
      <c r="C6950" t="s">
        <v>40</v>
      </c>
      <c r="D6950">
        <v>5.1927180000000002</v>
      </c>
      <c r="E6950">
        <v>0.48296430000000001</v>
      </c>
      <c r="F6950" t="s">
        <v>43</v>
      </c>
      <c r="G6950">
        <v>-187.55770000000001</v>
      </c>
      <c r="H6950">
        <v>1.0332410000000001</v>
      </c>
      <c r="I6950">
        <v>-6.3845140000000002</v>
      </c>
      <c r="J6950">
        <v>-187.554</v>
      </c>
      <c r="K6950">
        <v>1.109399</v>
      </c>
      <c r="L6950">
        <v>-6.9299009999999903</v>
      </c>
      <c r="M6950">
        <v>1.3229599999999999E-2</v>
      </c>
      <c r="N6950">
        <v>0</v>
      </c>
      <c r="O6950">
        <v>0.99987079999999995</v>
      </c>
      <c r="P6950">
        <v>5.3400169999999997E-2</v>
      </c>
      <c r="Q6950">
        <v>-2.0663689999999998E-2</v>
      </c>
      <c r="R6950">
        <v>0.99835940000000001</v>
      </c>
      <c r="S6950">
        <v>1.922607E-3</v>
      </c>
      <c r="T6950">
        <v>-0.26945269999999999</v>
      </c>
      <c r="U6950">
        <v>2.9992070000000002</v>
      </c>
      <c r="V6950">
        <v>4.0182460000000003E-2</v>
      </c>
      <c r="W6950">
        <v>-1.155397E-2</v>
      </c>
      <c r="X6950">
        <v>0.9991255</v>
      </c>
      <c r="Y6950">
        <v>-1.2591740000000001E-2</v>
      </c>
      <c r="Z6950">
        <v>-8.9465649999999994E-2</v>
      </c>
      <c r="AA6950">
        <v>0.99591030000000003</v>
      </c>
      <c r="AB6950">
        <v>27</v>
      </c>
      <c r="AC6950">
        <v>-3.70000000000914E-3</v>
      </c>
      <c r="AD6950">
        <v>-7.6157999999999906E-2</v>
      </c>
      <c r="AE6950">
        <v>0.54538699999999896</v>
      </c>
      <c r="AF6950">
        <v>-1.07064685523937E-2</v>
      </c>
      <c r="AG6950">
        <v>-7.6157999999999906E-2</v>
      </c>
      <c r="AH6950">
        <v>0.53486131422610905</v>
      </c>
      <c r="AI6950">
        <v>98.102174355902406</v>
      </c>
      <c r="AJ6950">
        <v>91.146752498508903</v>
      </c>
      <c r="AK6950">
        <v>0.54036218861847096</v>
      </c>
      <c r="AL6950">
        <v>90.662008483950103</v>
      </c>
      <c r="AM6950">
        <v>87.696940686066199</v>
      </c>
      <c r="AN6950">
        <v>0.99999994453232899</v>
      </c>
    </row>
    <row r="6951" spans="1:40" x14ac:dyDescent="0.25">
      <c r="A6951" t="str">
        <f>"20190312161452023"</f>
        <v>20190312161452023</v>
      </c>
      <c r="B6951" t="str">
        <f>"1552378492013641"</f>
        <v>1552378492013641</v>
      </c>
      <c r="C6951" t="s">
        <v>40</v>
      </c>
      <c r="D6951">
        <v>5.123672</v>
      </c>
      <c r="E6951">
        <v>0.48365619999999998</v>
      </c>
      <c r="F6951" t="s">
        <v>43</v>
      </c>
      <c r="G6951">
        <v>-187.54750000000001</v>
      </c>
      <c r="H6951">
        <v>1.0422499999999999</v>
      </c>
      <c r="I6951">
        <v>-6.1259690000000004</v>
      </c>
      <c r="J6951">
        <v>-187.5505</v>
      </c>
      <c r="K6951">
        <v>1.1093980000000001</v>
      </c>
      <c r="L6951">
        <v>-6.67807</v>
      </c>
      <c r="M6951">
        <v>1.3405800000000001E-2</v>
      </c>
      <c r="N6951">
        <v>0</v>
      </c>
      <c r="O6951">
        <v>0.9998686</v>
      </c>
      <c r="P6951">
        <v>5.3817599999999903E-2</v>
      </c>
      <c r="Q6951">
        <v>-2.1044509999999999E-2</v>
      </c>
      <c r="R6951">
        <v>0.99832900000000002</v>
      </c>
      <c r="S6951">
        <v>2.4169920000000001E-2</v>
      </c>
      <c r="T6951">
        <v>-0.25043649999999901</v>
      </c>
      <c r="U6951">
        <v>2.9984440000000001</v>
      </c>
      <c r="V6951">
        <v>4.0424090000000003E-2</v>
      </c>
      <c r="W6951">
        <v>-1.195937E-2</v>
      </c>
      <c r="X6951">
        <v>0.99911110000000003</v>
      </c>
      <c r="Y6951">
        <v>-5.3740430000000002E-3</v>
      </c>
      <c r="Z6951">
        <v>-8.3219249999999995E-2</v>
      </c>
      <c r="AA6951">
        <v>0.99651679999999998</v>
      </c>
      <c r="AB6951">
        <v>27</v>
      </c>
      <c r="AC6951">
        <v>2.9999999999858998E-3</v>
      </c>
      <c r="AD6951">
        <v>-6.7147999999999902E-2</v>
      </c>
      <c r="AE6951">
        <v>0.55210099999999895</v>
      </c>
      <c r="AF6951">
        <v>-4.3377698953155396E-3</v>
      </c>
      <c r="AG6951">
        <v>-6.7147999999999902E-2</v>
      </c>
      <c r="AH6951">
        <v>0.54404429582840297</v>
      </c>
      <c r="AI6951">
        <v>97.035856052463501</v>
      </c>
      <c r="AJ6951">
        <v>90.456820598951495</v>
      </c>
      <c r="AK6951">
        <v>0.54818962592800602</v>
      </c>
      <c r="AL6951">
        <v>90.685237719434298</v>
      </c>
      <c r="AM6951">
        <v>87.683073343512007</v>
      </c>
      <c r="AN6951">
        <v>1.0000000618631599</v>
      </c>
    </row>
    <row r="6952" spans="1:40" x14ac:dyDescent="0.25">
      <c r="A6952" t="str">
        <f>"20190312161452047"</f>
        <v>20190312161452047</v>
      </c>
      <c r="B6952" t="str">
        <f>"1552378492043897"</f>
        <v>1552378492043897</v>
      </c>
      <c r="C6952" t="s">
        <v>40</v>
      </c>
      <c r="D6952">
        <v>5.1886659999999996</v>
      </c>
      <c r="E6952">
        <v>0.48668440000000002</v>
      </c>
      <c r="F6952" t="s">
        <v>42</v>
      </c>
      <c r="G6952">
        <v>-187.3981</v>
      </c>
      <c r="H6952" s="1">
        <v>-4.0867030000000001E-6</v>
      </c>
      <c r="I6952">
        <v>8.0831440000000008</v>
      </c>
      <c r="J6952">
        <v>-187.5463</v>
      </c>
      <c r="K6952">
        <v>1.1093930000000001</v>
      </c>
      <c r="L6952">
        <v>-6.3844909999999997</v>
      </c>
      <c r="M6952">
        <v>1.3612320000000001E-2</v>
      </c>
      <c r="N6952">
        <v>0</v>
      </c>
      <c r="O6952">
        <v>0.99986609999999998</v>
      </c>
      <c r="P6952">
        <v>5.4142570000000001E-2</v>
      </c>
      <c r="Q6952">
        <v>-2.0826250000000001E-2</v>
      </c>
      <c r="R6952">
        <v>0.99831599999999998</v>
      </c>
      <c r="S6952">
        <v>3.0960080000000001E-2</v>
      </c>
      <c r="T6952">
        <v>-0.22536410000000001</v>
      </c>
      <c r="U6952">
        <v>2.998596</v>
      </c>
      <c r="V6952">
        <v>4.0542960000000003E-2</v>
      </c>
      <c r="W6952">
        <v>-1.1766469999999999E-2</v>
      </c>
      <c r="X6952">
        <v>0.99910849999999995</v>
      </c>
      <c r="Y6952">
        <v>-3.3178359999999998E-3</v>
      </c>
      <c r="Z6952">
        <v>-7.4932579999999999E-2</v>
      </c>
      <c r="AA6952">
        <v>0.99718309999999999</v>
      </c>
      <c r="AB6952">
        <v>27</v>
      </c>
      <c r="AC6952">
        <v>0.148200000000002</v>
      </c>
      <c r="AD6952">
        <v>-1.1093970867030001</v>
      </c>
      <c r="AE6952">
        <v>14.467635</v>
      </c>
      <c r="AF6952">
        <v>-4.8474928566864299E-2</v>
      </c>
      <c r="AG6952">
        <v>-1.1093970867030001</v>
      </c>
      <c r="AH6952">
        <v>14.383744006026101</v>
      </c>
      <c r="AI6952">
        <v>94.410382793738606</v>
      </c>
      <c r="AJ6952">
        <v>90.193092862539402</v>
      </c>
      <c r="AK6952">
        <v>14.4265450938739</v>
      </c>
      <c r="AL6952">
        <v>90.674184636192393</v>
      </c>
      <c r="AM6952">
        <v>87.676261668000393</v>
      </c>
      <c r="AN6952">
        <v>0.99999998809703605</v>
      </c>
    </row>
    <row r="6953" spans="1:40" x14ac:dyDescent="0.25">
      <c r="A6953" t="str">
        <f>"20190312161452070"</f>
        <v>20190312161452070</v>
      </c>
      <c r="B6953" t="str">
        <f>"1552378492063417"</f>
        <v>1552378492063417</v>
      </c>
      <c r="C6953" t="s">
        <v>40</v>
      </c>
      <c r="D6953">
        <v>5.1911389999999997</v>
      </c>
      <c r="E6953">
        <v>0.4881509</v>
      </c>
      <c r="F6953" t="s">
        <v>42</v>
      </c>
      <c r="G6953">
        <v>-187.24719999999999</v>
      </c>
      <c r="H6953" s="1">
        <v>-4.7644179999999997E-6</v>
      </c>
      <c r="I6953">
        <v>9.6005020000000005</v>
      </c>
      <c r="J6953">
        <v>-187.54230000000001</v>
      </c>
      <c r="K6953">
        <v>1.1093919999999999</v>
      </c>
      <c r="L6953">
        <v>-6.104584</v>
      </c>
      <c r="M6953">
        <v>1.3812090000000001E-2</v>
      </c>
      <c r="N6953">
        <v>0</v>
      </c>
      <c r="O6953">
        <v>0.99986350000000002</v>
      </c>
      <c r="P6953">
        <v>5.3920990000000002E-2</v>
      </c>
      <c r="Q6953">
        <v>-2.0515169999999999E-2</v>
      </c>
      <c r="R6953">
        <v>0.99833450000000001</v>
      </c>
      <c r="S6953">
        <v>5.6106570000000001E-2</v>
      </c>
      <c r="T6953">
        <v>-0.20804629999999999</v>
      </c>
      <c r="U6953">
        <v>2.997681</v>
      </c>
      <c r="V6953">
        <v>4.0121660000000003E-2</v>
      </c>
      <c r="W6953">
        <v>-1.147571E-2</v>
      </c>
      <c r="X6953">
        <v>0.99912889999999999</v>
      </c>
      <c r="Y6953">
        <v>4.8564709999999898E-3</v>
      </c>
      <c r="Z6953">
        <v>-6.9219569999999994E-2</v>
      </c>
      <c r="AA6953">
        <v>0.99758959999999997</v>
      </c>
      <c r="AB6953">
        <v>27</v>
      </c>
      <c r="AC6953">
        <v>0.29510000000001901</v>
      </c>
      <c r="AD6953">
        <v>-1.1093967644179901</v>
      </c>
      <c r="AE6953">
        <v>15.7050859999999</v>
      </c>
      <c r="AF6953">
        <v>7.7755015608875197E-2</v>
      </c>
      <c r="AG6953">
        <v>-1.1093967644179901</v>
      </c>
      <c r="AH6953">
        <v>15.6297005095196</v>
      </c>
      <c r="AI6953">
        <v>94.059997377791603</v>
      </c>
      <c r="AJ6953">
        <v>89.714965908922593</v>
      </c>
      <c r="AK6953">
        <v>15.6692164781979</v>
      </c>
      <c r="AL6953">
        <v>90.657524182771894</v>
      </c>
      <c r="AM6953">
        <v>87.700429513630198</v>
      </c>
      <c r="AN6953">
        <v>0.99999999916818405</v>
      </c>
    </row>
    <row r="6954" spans="1:40" x14ac:dyDescent="0.25">
      <c r="A6954" t="str">
        <f>"20190312161452091"</f>
        <v>20190312161452091</v>
      </c>
      <c r="B6954" t="str">
        <f>"1552378492083914"</f>
        <v>1552378492083914</v>
      </c>
      <c r="C6954" t="s">
        <v>40</v>
      </c>
      <c r="D6954">
        <v>5.1754439999999997</v>
      </c>
      <c r="E6954">
        <v>0.48869010000000002</v>
      </c>
      <c r="F6954" t="s">
        <v>43</v>
      </c>
      <c r="G6954">
        <v>-187.5205</v>
      </c>
      <c r="H6954">
        <v>1.046292</v>
      </c>
      <c r="I6954">
        <v>-5.1409779999999996</v>
      </c>
      <c r="J6954">
        <v>-187.5385</v>
      </c>
      <c r="K6954">
        <v>1.1093850000000001</v>
      </c>
      <c r="L6954">
        <v>-5.840363</v>
      </c>
      <c r="M6954">
        <v>1.4003160000000001E-2</v>
      </c>
      <c r="N6954">
        <v>0</v>
      </c>
      <c r="O6954">
        <v>0.999861</v>
      </c>
      <c r="P6954">
        <v>5.3594650000000001E-2</v>
      </c>
      <c r="Q6954">
        <v>-2.0097110000000001E-2</v>
      </c>
      <c r="R6954">
        <v>0.99836049999999998</v>
      </c>
      <c r="S6954">
        <v>6.7306519999999995E-2</v>
      </c>
      <c r="T6954">
        <v>-0.19624710000000001</v>
      </c>
      <c r="U6954">
        <v>2.9973450000000001</v>
      </c>
      <c r="V6954">
        <v>3.9604199999999999E-2</v>
      </c>
      <c r="W6954">
        <v>-1.10743E-2</v>
      </c>
      <c r="X6954">
        <v>0.99915410000000004</v>
      </c>
      <c r="Y6954">
        <v>8.3993699999999998E-3</v>
      </c>
      <c r="Z6954">
        <v>-6.5314810000000001E-2</v>
      </c>
      <c r="AA6954">
        <v>0.99782939999999998</v>
      </c>
      <c r="AB6954">
        <v>28</v>
      </c>
      <c r="AC6954">
        <v>1.8000000000000599E-2</v>
      </c>
      <c r="AD6954">
        <v>-6.3092999999999996E-2</v>
      </c>
      <c r="AE6954">
        <v>0.69938500000000003</v>
      </c>
      <c r="AF6954">
        <v>8.1380484471860696E-3</v>
      </c>
      <c r="AG6954">
        <v>-6.3092999999999996E-2</v>
      </c>
      <c r="AH6954">
        <v>0.69392490827883901</v>
      </c>
      <c r="AI6954">
        <v>95.194803894608</v>
      </c>
      <c r="AJ6954">
        <v>89.328090908444693</v>
      </c>
      <c r="AK6954">
        <v>0.69683479592463304</v>
      </c>
      <c r="AL6954">
        <v>90.634523605855705</v>
      </c>
      <c r="AM6954">
        <v>87.730113666341495</v>
      </c>
      <c r="AN6954">
        <v>1.00000002416246</v>
      </c>
    </row>
    <row r="6955" spans="1:40" x14ac:dyDescent="0.25">
      <c r="A6955" t="str">
        <f>"20190312161452115"</f>
        <v>20190312161452115</v>
      </c>
      <c r="B6955" t="str">
        <f>"1552378492103434"</f>
        <v>1552378492103434</v>
      </c>
      <c r="C6955" t="s">
        <v>40</v>
      </c>
      <c r="D6955">
        <v>5.2001010000000001</v>
      </c>
      <c r="E6955">
        <v>0.48914000000000002</v>
      </c>
      <c r="F6955" t="s">
        <v>42</v>
      </c>
      <c r="G6955">
        <v>-187.12039999999999</v>
      </c>
      <c r="H6955" s="1">
        <v>-1.5257390000000001E-6</v>
      </c>
      <c r="I6955">
        <v>11.88</v>
      </c>
      <c r="J6955">
        <v>-187.5342</v>
      </c>
      <c r="K6955">
        <v>1.109375</v>
      </c>
      <c r="L6955">
        <v>-5.5539249999999996</v>
      </c>
      <c r="M6955">
        <v>1.421186E-2</v>
      </c>
      <c r="N6955">
        <v>0</v>
      </c>
      <c r="O6955">
        <v>0.99985820000000003</v>
      </c>
      <c r="P6955">
        <v>5.3450780000000003E-2</v>
      </c>
      <c r="Q6955">
        <v>-2.0380229999999999E-2</v>
      </c>
      <c r="R6955">
        <v>0.99836250000000004</v>
      </c>
      <c r="S6955">
        <v>7.0724490000000001E-2</v>
      </c>
      <c r="T6955">
        <v>-0.18764939999999999</v>
      </c>
      <c r="U6955">
        <v>2.9973450000000001</v>
      </c>
      <c r="V6955">
        <v>3.9251670000000002E-2</v>
      </c>
      <c r="W6955">
        <v>-1.137326E-2</v>
      </c>
      <c r="X6955">
        <v>0.99916459999999996</v>
      </c>
      <c r="Y6955">
        <v>9.3322149999999996E-3</v>
      </c>
      <c r="Z6955">
        <v>-6.2463400000000002E-2</v>
      </c>
      <c r="AA6955">
        <v>0.99800359999999999</v>
      </c>
      <c r="AB6955">
        <v>28</v>
      </c>
      <c r="AC6955">
        <v>0.41380000000000899</v>
      </c>
      <c r="AD6955">
        <v>-1.109376525739</v>
      </c>
      <c r="AE6955">
        <v>17.433924999999999</v>
      </c>
      <c r="AF6955">
        <v>0.16531059788843</v>
      </c>
      <c r="AG6955">
        <v>-1.109376525739</v>
      </c>
      <c r="AH6955">
        <v>17.367759577944501</v>
      </c>
      <c r="AI6955">
        <v>93.654673419142</v>
      </c>
      <c r="AJ6955">
        <v>89.454661177913493</v>
      </c>
      <c r="AK6955">
        <v>17.403939686947901</v>
      </c>
      <c r="AL6955">
        <v>90.651653865228695</v>
      </c>
      <c r="AM6955">
        <v>87.750321434310806</v>
      </c>
      <c r="AN6955">
        <v>0.99999997126698703</v>
      </c>
    </row>
    <row r="6956" spans="1:40" x14ac:dyDescent="0.25">
      <c r="A6956" t="str">
        <f>"20190312161452138"</f>
        <v>20190312161452138</v>
      </c>
      <c r="B6956" t="str">
        <f>"1552378492133690"</f>
        <v>1552378492133690</v>
      </c>
      <c r="C6956" t="s">
        <v>40</v>
      </c>
      <c r="D6956">
        <v>5.2424410000000004</v>
      </c>
      <c r="E6956">
        <v>0.48971389999999998</v>
      </c>
      <c r="F6956" t="s">
        <v>42</v>
      </c>
      <c r="G6956">
        <v>-187.09229999999999</v>
      </c>
      <c r="H6956" s="1">
        <v>-1.718212E-6</v>
      </c>
      <c r="I6956">
        <v>12.423640000000001</v>
      </c>
      <c r="J6956">
        <v>-187.52979999999999</v>
      </c>
      <c r="K6956">
        <v>1.109375</v>
      </c>
      <c r="L6956">
        <v>-5.2569269999999904</v>
      </c>
      <c r="M6956">
        <v>1.4429610000000001E-2</v>
      </c>
      <c r="N6956">
        <v>0</v>
      </c>
      <c r="O6956">
        <v>0.99985520000000006</v>
      </c>
      <c r="P6956">
        <v>5.3442480000000001E-2</v>
      </c>
      <c r="Q6956">
        <v>-2.0382399999999998E-2</v>
      </c>
      <c r="R6956">
        <v>0.99836290000000005</v>
      </c>
      <c r="S6956">
        <v>7.3684689999999997E-2</v>
      </c>
      <c r="T6956">
        <v>-0.1849536</v>
      </c>
      <c r="U6956">
        <v>2.9971920000000001</v>
      </c>
      <c r="V6956">
        <v>3.902576E-2</v>
      </c>
      <c r="W6956">
        <v>-1.138927E-2</v>
      </c>
      <c r="X6956">
        <v>0.99917330000000004</v>
      </c>
      <c r="Y6956">
        <v>1.0102119999999999E-2</v>
      </c>
      <c r="Z6956">
        <v>-6.1571340000000002E-2</v>
      </c>
      <c r="AA6956">
        <v>0.99805160000000004</v>
      </c>
      <c r="AB6956">
        <v>28</v>
      </c>
      <c r="AC6956">
        <v>0.4375</v>
      </c>
      <c r="AD6956">
        <v>-1.109376718212</v>
      </c>
      <c r="AE6956">
        <v>17.6805669999999</v>
      </c>
      <c r="AF6956">
        <v>0.18160583588659299</v>
      </c>
      <c r="AG6956">
        <v>-1.109376718212</v>
      </c>
      <c r="AH6956">
        <v>17.615728565070999</v>
      </c>
      <c r="AI6956">
        <v>93.603337113093602</v>
      </c>
      <c r="AJ6956">
        <v>89.409341527529406</v>
      </c>
      <c r="AK6956">
        <v>17.651560561627299</v>
      </c>
      <c r="AL6956">
        <v>90.652571208463499</v>
      </c>
      <c r="AM6956">
        <v>87.7632755550258</v>
      </c>
      <c r="AN6956">
        <v>1.0000000044238</v>
      </c>
    </row>
    <row r="6957" spans="1:40" x14ac:dyDescent="0.25">
      <c r="A6957" t="str">
        <f>"20190312161452161"</f>
        <v>20190312161452161</v>
      </c>
      <c r="B6957" t="str">
        <f>"1552378492153209"</f>
        <v>1552378492153209</v>
      </c>
      <c r="C6957" t="s">
        <v>40</v>
      </c>
      <c r="D6957">
        <v>5.2410779999999999</v>
      </c>
      <c r="E6957">
        <v>0.48992429999999898</v>
      </c>
      <c r="F6957" t="s">
        <v>42</v>
      </c>
      <c r="G6957">
        <v>-187.05889999999999</v>
      </c>
      <c r="H6957" s="1">
        <v>-1.8612719999999999E-6</v>
      </c>
      <c r="I6957">
        <v>12.75536</v>
      </c>
      <c r="J6957">
        <v>-187.5256</v>
      </c>
      <c r="K6957">
        <v>1.109375</v>
      </c>
      <c r="L6957">
        <v>-4.9814449999999999</v>
      </c>
      <c r="M6957">
        <v>1.463214E-2</v>
      </c>
      <c r="N6957">
        <v>0</v>
      </c>
      <c r="O6957">
        <v>0.99985239999999997</v>
      </c>
      <c r="P6957">
        <v>5.3641300000000003E-2</v>
      </c>
      <c r="Q6957">
        <v>-1.978953E-2</v>
      </c>
      <c r="R6957">
        <v>0.99836420000000003</v>
      </c>
      <c r="S6957">
        <v>7.8338619999999998E-2</v>
      </c>
      <c r="T6957">
        <v>-0.1845821</v>
      </c>
      <c r="U6957">
        <v>2.9969480000000002</v>
      </c>
      <c r="V6957">
        <v>3.9022389999999997E-2</v>
      </c>
      <c r="W6957">
        <v>-1.080705E-2</v>
      </c>
      <c r="X6957">
        <v>0.99917990000000001</v>
      </c>
      <c r="Y6957">
        <v>1.145062E-2</v>
      </c>
      <c r="Z6957">
        <v>-6.1451209999999999E-2</v>
      </c>
      <c r="AA6957">
        <v>0.99804440000000005</v>
      </c>
      <c r="AB6957">
        <v>28</v>
      </c>
      <c r="AC6957">
        <v>0.466700000000003</v>
      </c>
      <c r="AD6957">
        <v>-1.1093768612720001</v>
      </c>
      <c r="AE6957">
        <v>17.736805</v>
      </c>
      <c r="AF6957">
        <v>0.20630557258228799</v>
      </c>
      <c r="AG6957">
        <v>-1.1093768612720001</v>
      </c>
      <c r="AH6957">
        <v>17.672646196420398</v>
      </c>
      <c r="AI6957">
        <v>93.591709152714103</v>
      </c>
      <c r="AJ6957">
        <v>89.331175333623804</v>
      </c>
      <c r="AK6957">
        <v>17.708633560877999</v>
      </c>
      <c r="AL6957">
        <v>90.619210403898606</v>
      </c>
      <c r="AM6957">
        <v>87.763483265451796</v>
      </c>
      <c r="AN6957">
        <v>1.00000000590751</v>
      </c>
    </row>
    <row r="6958" spans="1:40" x14ac:dyDescent="0.25">
      <c r="A6958" t="str">
        <f>"20190312161452181"</f>
        <v>20190312161452181</v>
      </c>
      <c r="B6958" t="str">
        <f>"1552378492173706"</f>
        <v>1552378492173706</v>
      </c>
      <c r="C6958" t="s">
        <v>40</v>
      </c>
      <c r="D6958">
        <v>5.284052</v>
      </c>
      <c r="E6958">
        <v>0.49030240000000003</v>
      </c>
      <c r="F6958" t="s">
        <v>42</v>
      </c>
      <c r="G6958">
        <v>-187.0265</v>
      </c>
      <c r="H6958" s="1">
        <v>-2.2083040000000002E-6</v>
      </c>
      <c r="I6958">
        <v>13.55087</v>
      </c>
      <c r="J6958">
        <v>-187.52160000000001</v>
      </c>
      <c r="K6958">
        <v>1.109372</v>
      </c>
      <c r="L6958">
        <v>-4.721222</v>
      </c>
      <c r="M6958">
        <v>1.4823650000000001E-2</v>
      </c>
      <c r="N6958">
        <v>0</v>
      </c>
      <c r="O6958">
        <v>0.99984969999999995</v>
      </c>
      <c r="P6958">
        <v>5.3485680000000001E-2</v>
      </c>
      <c r="Q6958">
        <v>-1.944997E-2</v>
      </c>
      <c r="R6958">
        <v>0.99837920000000002</v>
      </c>
      <c r="S6958">
        <v>8.0718990000000004E-2</v>
      </c>
      <c r="T6958">
        <v>-0.17940639999999999</v>
      </c>
      <c r="U6958">
        <v>2.9970089999999998</v>
      </c>
      <c r="V6958">
        <v>3.8675309999999997E-2</v>
      </c>
      <c r="W6958">
        <v>-1.047853E-2</v>
      </c>
      <c r="X6958">
        <v>0.99919690000000005</v>
      </c>
      <c r="Y6958">
        <v>1.205351E-2</v>
      </c>
      <c r="Z6958">
        <v>-5.9732059999999997E-2</v>
      </c>
      <c r="AA6958">
        <v>0.99814159999999996</v>
      </c>
      <c r="AB6958">
        <v>28</v>
      </c>
      <c r="AC6958">
        <v>0.49510000000000698</v>
      </c>
      <c r="AD6958">
        <v>-1.1093742083039999</v>
      </c>
      <c r="AE6958">
        <v>18.272092000000001</v>
      </c>
      <c r="AF6958">
        <v>0.22335283042148599</v>
      </c>
      <c r="AG6958">
        <v>-1.1093742083039999</v>
      </c>
      <c r="AH6958">
        <v>18.210345817758999</v>
      </c>
      <c r="AI6958">
        <v>93.485888766617606</v>
      </c>
      <c r="AJ6958">
        <v>89.297293252934693</v>
      </c>
      <c r="AK6958">
        <v>18.245473203599801</v>
      </c>
      <c r="AL6958">
        <v>90.600386524621399</v>
      </c>
      <c r="AM6958">
        <v>87.783393440612102</v>
      </c>
      <c r="AN6958">
        <v>1.00000001208208</v>
      </c>
    </row>
    <row r="6959" spans="1:40" x14ac:dyDescent="0.25">
      <c r="A6959" t="str">
        <f>"20190312161452203"</f>
        <v>20190312161452203</v>
      </c>
      <c r="B6959" t="str">
        <f>"1552378492193226"</f>
        <v>1552378492193226</v>
      </c>
      <c r="C6959" t="s">
        <v>40</v>
      </c>
      <c r="D6959">
        <v>5.2893189999999999</v>
      </c>
      <c r="E6959">
        <v>0.49055979999999999</v>
      </c>
      <c r="F6959" t="s">
        <v>42</v>
      </c>
      <c r="G6959">
        <v>-187.00040000000001</v>
      </c>
      <c r="H6959" s="1">
        <v>-2.4336869999999999E-6</v>
      </c>
      <c r="I6959">
        <v>14.06546</v>
      </c>
      <c r="J6959">
        <v>-187.51730000000001</v>
      </c>
      <c r="K6959">
        <v>1.10937</v>
      </c>
      <c r="L6959">
        <v>-4.4487610000000002</v>
      </c>
      <c r="M6959">
        <v>1.50239E-2</v>
      </c>
      <c r="N6959">
        <v>0</v>
      </c>
      <c r="O6959">
        <v>0.99984680000000004</v>
      </c>
      <c r="P6959">
        <v>5.4048199999999998E-2</v>
      </c>
      <c r="Q6959">
        <v>-1.9084259999999999E-2</v>
      </c>
      <c r="R6959">
        <v>0.99835589999999996</v>
      </c>
      <c r="S6959">
        <v>8.3145140000000006E-2</v>
      </c>
      <c r="T6959">
        <v>-0.17697489999999999</v>
      </c>
      <c r="U6959">
        <v>2.9969790000000001</v>
      </c>
      <c r="V6959">
        <v>3.9038150000000001E-2</v>
      </c>
      <c r="W6959">
        <v>-1.012774E-2</v>
      </c>
      <c r="X6959">
        <v>0.99918640000000003</v>
      </c>
      <c r="Y6959">
        <v>1.266227E-2</v>
      </c>
      <c r="Z6959">
        <v>-5.8924799999999999E-2</v>
      </c>
      <c r="AA6959">
        <v>0.99818209999999996</v>
      </c>
      <c r="AB6959">
        <v>28</v>
      </c>
      <c r="AC6959">
        <v>0.51689999999999203</v>
      </c>
      <c r="AD6959">
        <v>-1.1093724336869999</v>
      </c>
      <c r="AE6959">
        <v>18.514220999999999</v>
      </c>
      <c r="AF6959">
        <v>0.237821420881517</v>
      </c>
      <c r="AG6959">
        <v>-1.1093724336869999</v>
      </c>
      <c r="AH6959">
        <v>18.453692699466298</v>
      </c>
      <c r="AI6959">
        <v>93.439999504030595</v>
      </c>
      <c r="AJ6959">
        <v>89.261643205203697</v>
      </c>
      <c r="AK6959">
        <v>18.488538083666601</v>
      </c>
      <c r="AL6959">
        <v>90.580286675438202</v>
      </c>
      <c r="AM6959">
        <v>87.762595459954099</v>
      </c>
      <c r="AN6959">
        <v>1.0000000051089399</v>
      </c>
    </row>
    <row r="6960" spans="1:40" x14ac:dyDescent="0.25">
      <c r="A6960" t="str">
        <f>"20190312161452227"</f>
        <v>20190312161452227</v>
      </c>
      <c r="B6960" t="str">
        <f>"1552378492213721"</f>
        <v>1552378492213721</v>
      </c>
      <c r="C6960" t="s">
        <v>40</v>
      </c>
      <c r="D6960">
        <v>5.2996339999999904</v>
      </c>
      <c r="E6960">
        <v>0.4906355</v>
      </c>
      <c r="F6960" t="s">
        <v>42</v>
      </c>
      <c r="G6960">
        <v>-186.96199999999999</v>
      </c>
      <c r="H6960" s="1">
        <v>-2.7284209999999999E-6</v>
      </c>
      <c r="I6960">
        <v>14.73662</v>
      </c>
      <c r="J6960">
        <v>-187.51259999999999</v>
      </c>
      <c r="K6960">
        <v>1.1093649999999999</v>
      </c>
      <c r="L6960">
        <v>-4.1526489999999896</v>
      </c>
      <c r="M6960">
        <v>1.524094E-2</v>
      </c>
      <c r="N6960">
        <v>0</v>
      </c>
      <c r="O6960">
        <v>0.9998437</v>
      </c>
      <c r="P6960">
        <v>5.4378999999999997E-2</v>
      </c>
      <c r="Q6960">
        <v>-1.8534169999999999E-2</v>
      </c>
      <c r="R6960">
        <v>0.99834840000000002</v>
      </c>
      <c r="S6960">
        <v>8.6746219999999999E-2</v>
      </c>
      <c r="T6960">
        <v>-0.17329339999999999</v>
      </c>
      <c r="U6960">
        <v>2.996918</v>
      </c>
      <c r="V6960">
        <v>3.9152359999999997E-2</v>
      </c>
      <c r="W6960">
        <v>-9.5938369999999992E-3</v>
      </c>
      <c r="X6960">
        <v>0.99918720000000005</v>
      </c>
      <c r="Y6960">
        <v>1.364628E-2</v>
      </c>
      <c r="Z6960">
        <v>-5.7702660000000003E-2</v>
      </c>
      <c r="AA6960">
        <v>0.99824049999999998</v>
      </c>
      <c r="AB6960">
        <v>28</v>
      </c>
      <c r="AC6960">
        <v>0.550599999999974</v>
      </c>
      <c r="AD6960">
        <v>-1.109367728421</v>
      </c>
      <c r="AE6960">
        <v>18.889268999999999</v>
      </c>
      <c r="AF6960">
        <v>0.26173226385118598</v>
      </c>
      <c r="AG6960">
        <v>-1.109367728421</v>
      </c>
      <c r="AH6960">
        <v>18.830571213386001</v>
      </c>
      <c r="AI6960">
        <v>93.371251298722797</v>
      </c>
      <c r="AJ6960">
        <v>89.203678512228194</v>
      </c>
      <c r="AK6960">
        <v>18.865036781231101</v>
      </c>
      <c r="AL6960">
        <v>90.549694799479894</v>
      </c>
      <c r="AM6960">
        <v>87.756058186280697</v>
      </c>
      <c r="AN6960">
        <v>1.0000000048228901</v>
      </c>
    </row>
    <row r="6961" spans="1:40" x14ac:dyDescent="0.25">
      <c r="A6961" t="str">
        <f>"20190312161452248"</f>
        <v>20190312161452248</v>
      </c>
      <c r="B6961" t="str">
        <f>"1552378492243977"</f>
        <v>1552378492243977</v>
      </c>
      <c r="C6961" t="s">
        <v>40</v>
      </c>
      <c r="D6961">
        <v>5.3475219999999997</v>
      </c>
      <c r="E6961">
        <v>0.49049549999999997</v>
      </c>
      <c r="F6961" t="s">
        <v>42</v>
      </c>
      <c r="G6961">
        <v>-186.935</v>
      </c>
      <c r="H6961" s="1">
        <v>-3.026646E-6</v>
      </c>
      <c r="I6961">
        <v>15.42065</v>
      </c>
      <c r="J6961">
        <v>-187.50829999999999</v>
      </c>
      <c r="K6961">
        <v>1.109367</v>
      </c>
      <c r="L6961">
        <v>-3.8837890000000002</v>
      </c>
      <c r="M6961">
        <v>1.5437050000000001E-2</v>
      </c>
      <c r="N6961">
        <v>0</v>
      </c>
      <c r="O6961">
        <v>0.99984079999999997</v>
      </c>
      <c r="P6961">
        <v>5.4869519999999998E-2</v>
      </c>
      <c r="Q6961">
        <v>-1.8265449999999999E-2</v>
      </c>
      <c r="R6961">
        <v>0.99832650000000001</v>
      </c>
      <c r="S6961">
        <v>8.8439939999999995E-2</v>
      </c>
      <c r="T6961">
        <v>-0.1698617</v>
      </c>
      <c r="U6961">
        <v>2.9969790000000001</v>
      </c>
      <c r="V6961">
        <v>3.9447299999999998E-2</v>
      </c>
      <c r="W6961">
        <v>-9.3380860000000006E-3</v>
      </c>
      <c r="X6961">
        <v>0.99917800000000001</v>
      </c>
      <c r="Y6961">
        <v>1.401517E-2</v>
      </c>
      <c r="Z6961">
        <v>-5.6561670000000001E-2</v>
      </c>
      <c r="AA6961">
        <v>0.99830070000000004</v>
      </c>
      <c r="AB6961">
        <v>28</v>
      </c>
      <c r="AC6961">
        <v>0.57329999999998904</v>
      </c>
      <c r="AD6961">
        <v>-1.109370026646</v>
      </c>
      <c r="AE6961">
        <v>19.304438999999999</v>
      </c>
      <c r="AF6961">
        <v>0.27431105443514098</v>
      </c>
      <c r="AG6961">
        <v>-1.109370026646</v>
      </c>
      <c r="AH6961">
        <v>19.247480787514</v>
      </c>
      <c r="AI6961">
        <v>93.298381894193497</v>
      </c>
      <c r="AJ6961">
        <v>89.183487860388297</v>
      </c>
      <c r="AK6961">
        <v>19.281376119881202</v>
      </c>
      <c r="AL6961">
        <v>90.535040701994106</v>
      </c>
      <c r="AM6961">
        <v>87.739150950692604</v>
      </c>
      <c r="AN6961">
        <v>0.99999998250571598</v>
      </c>
    </row>
    <row r="6962" spans="1:40" x14ac:dyDescent="0.25">
      <c r="A6962" t="str">
        <f>"20190312161452281"</f>
        <v>20190312161452281</v>
      </c>
      <c r="B6962" t="str">
        <f>"1552378492273258"</f>
        <v>1552378492273258</v>
      </c>
      <c r="C6962" t="s">
        <v>40</v>
      </c>
      <c r="D6962">
        <v>5.2740859999999996</v>
      </c>
      <c r="E6962">
        <v>0.47311350000000002</v>
      </c>
      <c r="F6962" t="s">
        <v>42</v>
      </c>
      <c r="G6962">
        <v>-186.9143</v>
      </c>
      <c r="H6962" s="1">
        <v>-3.3348970000000002E-6</v>
      </c>
      <c r="I6962">
        <v>16.130600000000001</v>
      </c>
      <c r="J6962">
        <v>-187.5018</v>
      </c>
      <c r="K6962">
        <v>1.109361</v>
      </c>
      <c r="L6962">
        <v>-3.483368</v>
      </c>
      <c r="M6962">
        <v>1.5725320000000001E-2</v>
      </c>
      <c r="N6962">
        <v>0</v>
      </c>
      <c r="O6962">
        <v>0.99983639999999996</v>
      </c>
      <c r="P6962">
        <v>5.5415109999999997E-2</v>
      </c>
      <c r="Q6962">
        <v>-1.7977409999999999E-2</v>
      </c>
      <c r="R6962">
        <v>0.99830160000000001</v>
      </c>
      <c r="S6962">
        <v>8.8958739999999994E-2</v>
      </c>
      <c r="T6962">
        <v>-0.1661252</v>
      </c>
      <c r="U6962">
        <v>2.9971009999999998</v>
      </c>
      <c r="V6962">
        <v>3.9705310000000001E-2</v>
      </c>
      <c r="W6962">
        <v>-9.0659610000000009E-3</v>
      </c>
      <c r="X6962">
        <v>0.99917029999999996</v>
      </c>
      <c r="Y6962">
        <v>1.39004E-2</v>
      </c>
      <c r="Z6962">
        <v>-5.5318609999999997E-2</v>
      </c>
      <c r="AA6962">
        <v>0.99837200000000004</v>
      </c>
      <c r="AB6962">
        <v>28</v>
      </c>
      <c r="AC6962">
        <v>0.58750000000000502</v>
      </c>
      <c r="AD6962">
        <v>-1.1093643348969999</v>
      </c>
      <c r="AE6962">
        <v>19.613968</v>
      </c>
      <c r="AF6962">
        <v>0.27809028542389103</v>
      </c>
      <c r="AG6962">
        <v>-1.1093643348969999</v>
      </c>
      <c r="AH6962">
        <v>19.558270236155099</v>
      </c>
      <c r="AI6962">
        <v>93.246067065022103</v>
      </c>
      <c r="AJ6962">
        <v>89.185391863433594</v>
      </c>
      <c r="AK6962">
        <v>19.591680838173598</v>
      </c>
      <c r="AL6962">
        <v>90.519448420573795</v>
      </c>
      <c r="AM6962">
        <v>87.724361561807001</v>
      </c>
      <c r="AN6962">
        <v>0.99999999584656896</v>
      </c>
    </row>
    <row r="6963" spans="1:40" x14ac:dyDescent="0.25">
      <c r="A6963" t="str">
        <f>"20190312161452304"</f>
        <v>20190312161452304</v>
      </c>
      <c r="B6963" t="str">
        <f>"1552378492293754"</f>
        <v>1552378492293754</v>
      </c>
      <c r="C6963" t="s">
        <v>40</v>
      </c>
      <c r="D6963">
        <v>5.2710910000000002</v>
      </c>
      <c r="E6963">
        <v>0.47236929999999999</v>
      </c>
      <c r="F6963" t="s">
        <v>42</v>
      </c>
      <c r="G6963">
        <v>-188.42859999999999</v>
      </c>
      <c r="H6963" s="1">
        <v>-2.4914640000000001E-6</v>
      </c>
      <c r="I6963">
        <v>54.790700000000001</v>
      </c>
      <c r="J6963">
        <v>-187.49690000000001</v>
      </c>
      <c r="K6963">
        <v>1.1093569999999999</v>
      </c>
      <c r="L6963">
        <v>-3.184418</v>
      </c>
      <c r="M6963">
        <v>1.5936579999999999E-2</v>
      </c>
      <c r="N6963">
        <v>0</v>
      </c>
      <c r="O6963">
        <v>0.99983319999999998</v>
      </c>
      <c r="P6963">
        <v>5.538862E-2</v>
      </c>
      <c r="Q6963">
        <v>-1.7644070000000001E-2</v>
      </c>
      <c r="R6963">
        <v>0.998309</v>
      </c>
      <c r="S6963">
        <v>-4.7821040000000002E-2</v>
      </c>
      <c r="T6963">
        <v>-5.7239409999999998E-2</v>
      </c>
      <c r="U6963">
        <v>3.0067439999999999</v>
      </c>
      <c r="V6963">
        <v>3.9467790000000003E-2</v>
      </c>
      <c r="W6963">
        <v>-8.7422519999999903E-3</v>
      </c>
      <c r="X6963">
        <v>0.99918260000000003</v>
      </c>
      <c r="Y6963">
        <v>-3.1832880000000001E-2</v>
      </c>
      <c r="Z6963">
        <v>-1.9023910000000002E-2</v>
      </c>
      <c r="AA6963">
        <v>0.99931219999999998</v>
      </c>
      <c r="AB6963">
        <v>28</v>
      </c>
      <c r="AC6963">
        <v>-0.93169999999997799</v>
      </c>
      <c r="AD6963">
        <v>-1.1093594914639999</v>
      </c>
      <c r="AE6963">
        <v>57.975118000000002</v>
      </c>
      <c r="AF6963">
        <v>-1.8548645614544701</v>
      </c>
      <c r="AG6963">
        <v>-1.1093594914639999</v>
      </c>
      <c r="AH6963">
        <v>57.931699813983499</v>
      </c>
      <c r="AI6963">
        <v>91.096486136166803</v>
      </c>
      <c r="AJ6963">
        <v>91.833877082507897</v>
      </c>
      <c r="AK6963">
        <v>57.9720022455679</v>
      </c>
      <c r="AL6963">
        <v>90.500900523172007</v>
      </c>
      <c r="AM6963">
        <v>87.737988226798095</v>
      </c>
      <c r="AN6963">
        <v>1.00000000078013</v>
      </c>
    </row>
    <row r="6964" spans="1:40" x14ac:dyDescent="0.25">
      <c r="A6964" t="str">
        <f>"20190312161452327"</f>
        <v>20190312161452327</v>
      </c>
      <c r="B6964" t="str">
        <f>"1552378492324009"</f>
        <v>1552378492324009</v>
      </c>
      <c r="C6964" t="s">
        <v>40</v>
      </c>
      <c r="D6964">
        <v>5.2640710000000004</v>
      </c>
      <c r="E6964">
        <v>0.47262409999999999</v>
      </c>
      <c r="F6964" t="s">
        <v>42</v>
      </c>
      <c r="G6964">
        <v>-188.5873</v>
      </c>
      <c r="H6964" s="1">
        <v>-3.73065E-6</v>
      </c>
      <c r="I6964">
        <v>57.744889999999998</v>
      </c>
      <c r="J6964">
        <v>-187.49209999999999</v>
      </c>
      <c r="K6964">
        <v>1.109362</v>
      </c>
      <c r="L6964">
        <v>-2.8947449999999999</v>
      </c>
      <c r="M6964">
        <v>1.6131510000000002E-2</v>
      </c>
      <c r="N6964">
        <v>0</v>
      </c>
      <c r="O6964">
        <v>0.99983010000000005</v>
      </c>
      <c r="P6964">
        <v>5.61151999999999E-2</v>
      </c>
      <c r="Q6964">
        <v>-1.7989709999999999E-2</v>
      </c>
      <c r="R6964">
        <v>0.99826219999999999</v>
      </c>
      <c r="S6964">
        <v>-5.3817749999999998E-2</v>
      </c>
      <c r="T6964">
        <v>-5.4751519999999998E-2</v>
      </c>
      <c r="U6964">
        <v>3.0071110000000001</v>
      </c>
      <c r="V6964">
        <v>4.0000210000000001E-2</v>
      </c>
      <c r="W6964">
        <v>-9.0959290000000009E-3</v>
      </c>
      <c r="X6964">
        <v>0.99915830000000005</v>
      </c>
      <c r="Y6964">
        <v>-3.4018239999999998E-2</v>
      </c>
      <c r="Z6964">
        <v>-1.8194060000000001E-2</v>
      </c>
      <c r="AA6964">
        <v>0.99925560000000002</v>
      </c>
      <c r="AB6964">
        <v>28</v>
      </c>
      <c r="AC6964">
        <v>-1.0952</v>
      </c>
      <c r="AD6964">
        <v>-1.10936573065</v>
      </c>
      <c r="AE6964">
        <v>60.639634999999998</v>
      </c>
      <c r="AF6964">
        <v>-2.07261182060217</v>
      </c>
      <c r="AG6964">
        <v>-1.10936573065</v>
      </c>
      <c r="AH6964">
        <v>60.5938027053502</v>
      </c>
      <c r="AI6964">
        <v>91.048254654883095</v>
      </c>
      <c r="AJ6964">
        <v>91.959039117934495</v>
      </c>
      <c r="AK6964">
        <v>60.6393876814248</v>
      </c>
      <c r="AL6964">
        <v>90.521165513194006</v>
      </c>
      <c r="AM6964">
        <v>87.707450361755505</v>
      </c>
      <c r="AN6964">
        <v>1.0000000305916501</v>
      </c>
    </row>
    <row r="6965" spans="1:40" x14ac:dyDescent="0.25">
      <c r="A6965" t="str">
        <f>"20190312161452350"</f>
        <v>20190312161452350</v>
      </c>
      <c r="B6965" t="str">
        <f>"1552378492343530"</f>
        <v>1552378492343530</v>
      </c>
      <c r="C6965" t="s">
        <v>40</v>
      </c>
      <c r="D6965">
        <v>5.2844800000000003</v>
      </c>
      <c r="E6965">
        <v>0.47257440000000001</v>
      </c>
      <c r="F6965" t="s">
        <v>42</v>
      </c>
      <c r="G6965">
        <v>-188.51230000000001</v>
      </c>
      <c r="H6965" s="1">
        <v>-4.2134360000000003E-6</v>
      </c>
      <c r="I6965">
        <v>58.8392699999999</v>
      </c>
      <c r="J6965">
        <v>-187.4872</v>
      </c>
      <c r="K6965">
        <v>1.1093740000000001</v>
      </c>
      <c r="L6965">
        <v>-2.6057130000000002</v>
      </c>
      <c r="M6965">
        <v>1.6304610000000001E-2</v>
      </c>
      <c r="N6965">
        <v>0</v>
      </c>
      <c r="O6965">
        <v>0.99982740000000003</v>
      </c>
      <c r="P6965">
        <v>5.6643480000000003E-2</v>
      </c>
      <c r="Q6965">
        <v>-1.795453E-2</v>
      </c>
      <c r="R6965">
        <v>0.99823300000000004</v>
      </c>
      <c r="S6965">
        <v>-4.969788E-2</v>
      </c>
      <c r="T6965">
        <v>-5.4036969999999997E-2</v>
      </c>
      <c r="U6965">
        <v>3.00705</v>
      </c>
      <c r="V6965">
        <v>4.035619E-2</v>
      </c>
      <c r="W6965">
        <v>-9.0661470000000001E-3</v>
      </c>
      <c r="X6965">
        <v>0.99914420000000004</v>
      </c>
      <c r="Y6965">
        <v>-3.2823030000000003E-2</v>
      </c>
      <c r="Z6965">
        <v>-1.7957549999999999E-2</v>
      </c>
      <c r="AA6965">
        <v>0.99929979999999996</v>
      </c>
      <c r="AB6965">
        <v>28</v>
      </c>
      <c r="AC6965">
        <v>-1.0250999999999999</v>
      </c>
      <c r="AD6965">
        <v>-1.109378213436</v>
      </c>
      <c r="AE6965">
        <v>61.444982999999901</v>
      </c>
      <c r="AF6965">
        <v>-2.02617964476971</v>
      </c>
      <c r="AG6965">
        <v>-1.109378213436</v>
      </c>
      <c r="AH6965">
        <v>61.400090591030498</v>
      </c>
      <c r="AI6965">
        <v>91.034545778953998</v>
      </c>
      <c r="AJ6965">
        <v>91.890053065348695</v>
      </c>
      <c r="AK6965">
        <v>61.443528939670102</v>
      </c>
      <c r="AL6965">
        <v>90.519459088989393</v>
      </c>
      <c r="AM6965">
        <v>87.687037378926703</v>
      </c>
      <c r="AN6965">
        <v>0.99999997474319002</v>
      </c>
    </row>
    <row r="6966" spans="1:40" x14ac:dyDescent="0.25">
      <c r="A6966" t="str">
        <f>"20190312161452370"</f>
        <v>20190312161452370</v>
      </c>
      <c r="B6966" t="str">
        <f>"1552378492363417"</f>
        <v>1552378492363417</v>
      </c>
      <c r="C6966" t="s">
        <v>40</v>
      </c>
      <c r="D6966">
        <v>5.2590640000000004</v>
      </c>
      <c r="E6966">
        <v>0.47233579999999997</v>
      </c>
      <c r="F6966" t="s">
        <v>42</v>
      </c>
      <c r="G6966">
        <v>-188.4025</v>
      </c>
      <c r="H6966" s="1">
        <v>-2.220993E-6</v>
      </c>
      <c r="I6966">
        <v>54.149389999999997</v>
      </c>
      <c r="J6966">
        <v>-187.4829</v>
      </c>
      <c r="K6966">
        <v>1.109389</v>
      </c>
      <c r="L6966">
        <v>-2.3524479999999999</v>
      </c>
      <c r="M6966">
        <v>1.643153E-2</v>
      </c>
      <c r="N6966">
        <v>0</v>
      </c>
      <c r="O6966">
        <v>0.99982530000000003</v>
      </c>
      <c r="P6966">
        <v>5.7150470000000002E-2</v>
      </c>
      <c r="Q6966">
        <v>-1.771031E-2</v>
      </c>
      <c r="R6966">
        <v>0.99820850000000005</v>
      </c>
      <c r="S6966">
        <v>-4.8492430000000003E-2</v>
      </c>
      <c r="T6966">
        <v>-5.8776740000000001E-2</v>
      </c>
      <c r="U6966">
        <v>3.0069889999999999</v>
      </c>
      <c r="V6966">
        <v>4.0737160000000001E-2</v>
      </c>
      <c r="W6966">
        <v>-8.8248089999999994E-3</v>
      </c>
      <c r="X6966">
        <v>0.99913090000000004</v>
      </c>
      <c r="Y6966">
        <v>-3.2549269999999998E-2</v>
      </c>
      <c r="Z6966">
        <v>-1.9532580000000001E-2</v>
      </c>
      <c r="AA6966">
        <v>0.99927929999999998</v>
      </c>
      <c r="AB6966">
        <v>28</v>
      </c>
      <c r="AC6966">
        <v>-0.91960000000000197</v>
      </c>
      <c r="AD6966">
        <v>-1.1093912209929999</v>
      </c>
      <c r="AE6966">
        <v>56.501837999999999</v>
      </c>
      <c r="AF6966">
        <v>-1.8472123878973301</v>
      </c>
      <c r="AG6966">
        <v>-1.1093912209929999</v>
      </c>
      <c r="AH6966">
        <v>56.457338694701797</v>
      </c>
      <c r="AI6966">
        <v>91.125119862025798</v>
      </c>
      <c r="AJ6966">
        <v>91.873976590106693</v>
      </c>
      <c r="AK6966">
        <v>56.498442765933703</v>
      </c>
      <c r="AL6966">
        <v>90.5056308866573</v>
      </c>
      <c r="AM6966">
        <v>87.665195583628602</v>
      </c>
      <c r="AN6966">
        <v>0.99999997439678001</v>
      </c>
    </row>
    <row r="6967" spans="1:40" x14ac:dyDescent="0.25">
      <c r="A6967" t="str">
        <f>"20190312161452392"</f>
        <v>20190312161452392</v>
      </c>
      <c r="B6967" t="str">
        <f>"1552378492383913"</f>
        <v>1552378492383913</v>
      </c>
      <c r="C6967" t="s">
        <v>40</v>
      </c>
      <c r="D6967">
        <v>5.2571649999999996</v>
      </c>
      <c r="E6967">
        <v>0.4720895</v>
      </c>
      <c r="F6967" t="s">
        <v>42</v>
      </c>
      <c r="G6967">
        <v>-188.43700000000001</v>
      </c>
      <c r="H6967" s="1">
        <v>-3.145018E-6</v>
      </c>
      <c r="I6967">
        <v>56.317619999999998</v>
      </c>
      <c r="J6967">
        <v>-187.47790000000001</v>
      </c>
      <c r="K6967">
        <v>1.109418</v>
      </c>
      <c r="L6967">
        <v>-2.057404</v>
      </c>
      <c r="M6967">
        <v>1.655098E-2</v>
      </c>
      <c r="N6967">
        <v>0</v>
      </c>
      <c r="O6967">
        <v>0.99982340000000003</v>
      </c>
      <c r="P6967">
        <v>5.747265E-2</v>
      </c>
      <c r="Q6967">
        <v>-1.7178519999999999E-2</v>
      </c>
      <c r="R6967">
        <v>0.99819930000000001</v>
      </c>
      <c r="S6967">
        <v>-4.8904419999999997E-2</v>
      </c>
      <c r="T6967">
        <v>-5.6862589999999998E-2</v>
      </c>
      <c r="U6967">
        <v>3.0071720000000002</v>
      </c>
      <c r="V6967">
        <v>4.0940749999999998E-2</v>
      </c>
      <c r="W6967">
        <v>-8.2943909999999999E-3</v>
      </c>
      <c r="X6967">
        <v>0.99912710000000005</v>
      </c>
      <c r="Y6967">
        <v>-3.2804760000000002E-2</v>
      </c>
      <c r="Z6967">
        <v>-1.88954E-2</v>
      </c>
      <c r="AA6967">
        <v>0.99928309999999998</v>
      </c>
      <c r="AB6967">
        <v>28</v>
      </c>
      <c r="AC6967">
        <v>-0.95910000000000595</v>
      </c>
      <c r="AD6967">
        <v>-1.109421145018</v>
      </c>
      <c r="AE6967">
        <v>58.375024000000003</v>
      </c>
      <c r="AF6967">
        <v>-1.9244758298789399</v>
      </c>
      <c r="AG6967">
        <v>-1.109421145018</v>
      </c>
      <c r="AH6967">
        <v>58.3300899598051</v>
      </c>
      <c r="AI6967">
        <v>91.089025074814899</v>
      </c>
      <c r="AJ6967">
        <v>91.889665529445907</v>
      </c>
      <c r="AK6967">
        <v>58.372372036912701</v>
      </c>
      <c r="AL6967">
        <v>90.475239070040303</v>
      </c>
      <c r="AM6967">
        <v>87.653531147965197</v>
      </c>
      <c r="AN6967">
        <v>0.99999995194351499</v>
      </c>
    </row>
    <row r="6968" spans="1:40" x14ac:dyDescent="0.25">
      <c r="A6968" t="str">
        <f>"20190312161452415"</f>
        <v>20190312161452415</v>
      </c>
      <c r="B6968" t="str">
        <f>"1552378492403433"</f>
        <v>1552378492403433</v>
      </c>
      <c r="C6968" t="s">
        <v>40</v>
      </c>
      <c r="D6968">
        <v>5.2022040000000001</v>
      </c>
      <c r="E6968">
        <v>0.47218840000000001</v>
      </c>
      <c r="F6968" t="s">
        <v>42</v>
      </c>
      <c r="G6968">
        <v>-188.48480000000001</v>
      </c>
      <c r="H6968" s="1">
        <v>-4.2079900000000003E-6</v>
      </c>
      <c r="I6968">
        <v>58.815190000000001</v>
      </c>
      <c r="J6968">
        <v>-187.47309999999999</v>
      </c>
      <c r="K6968">
        <v>1.1094440000000001</v>
      </c>
      <c r="L6968">
        <v>-1.7750549999999901</v>
      </c>
      <c r="M6968">
        <v>1.6632109999999999E-2</v>
      </c>
      <c r="N6968">
        <v>0</v>
      </c>
      <c r="O6968">
        <v>0.99982210000000005</v>
      </c>
      <c r="P6968">
        <v>5.7346179999999997E-2</v>
      </c>
      <c r="Q6968">
        <v>-1.6700400000000001E-2</v>
      </c>
      <c r="R6968">
        <v>0.99821470000000001</v>
      </c>
      <c r="S6968">
        <v>-4.974365E-2</v>
      </c>
      <c r="T6968">
        <v>-5.4809450000000003E-2</v>
      </c>
      <c r="U6968">
        <v>3.0073240000000001</v>
      </c>
      <c r="V6968">
        <v>4.0733560000000002E-2</v>
      </c>
      <c r="W6968">
        <v>-7.8159860000000005E-3</v>
      </c>
      <c r="X6968">
        <v>0.99913949999999996</v>
      </c>
      <c r="Y6968">
        <v>-3.3164029999999997E-2</v>
      </c>
      <c r="Z6968">
        <v>-1.8212260000000001E-2</v>
      </c>
      <c r="AA6968">
        <v>0.99928399999999995</v>
      </c>
      <c r="AB6968">
        <v>28</v>
      </c>
      <c r="AC6968">
        <v>-1.01170000000001</v>
      </c>
      <c r="AD6968">
        <v>-1.1094482079899901</v>
      </c>
      <c r="AE6968">
        <v>60.590244999999904</v>
      </c>
      <c r="AF6968">
        <v>-2.0186669150668402</v>
      </c>
      <c r="AG6968">
        <v>-1.1094482079899901</v>
      </c>
      <c r="AH6968">
        <v>60.544742104100997</v>
      </c>
      <c r="AI6968">
        <v>91.049212414653098</v>
      </c>
      <c r="AJ6968">
        <v>91.909633437616094</v>
      </c>
      <c r="AK6968">
        <v>60.588544196838797</v>
      </c>
      <c r="AL6968">
        <v>90.447827558346802</v>
      </c>
      <c r="AM6968">
        <v>87.665421757864394</v>
      </c>
      <c r="AN6968">
        <v>1.00000002650383</v>
      </c>
    </row>
    <row r="6969" spans="1:40" x14ac:dyDescent="0.25">
      <c r="A6969" t="str">
        <f>"20190312161452437"</f>
        <v>20190312161452437</v>
      </c>
      <c r="B6969" t="str">
        <f>"1552378492433691"</f>
        <v>1552378492433691</v>
      </c>
      <c r="C6969" t="s">
        <v>40</v>
      </c>
      <c r="D6969">
        <v>5.2847140000000001</v>
      </c>
      <c r="E6969">
        <v>0.47217969999999998</v>
      </c>
      <c r="F6969" t="s">
        <v>42</v>
      </c>
      <c r="G6969">
        <v>-188.5067</v>
      </c>
      <c r="H6969" s="1">
        <v>-8.7738140000000003E-7</v>
      </c>
      <c r="I6969">
        <v>61.05874</v>
      </c>
      <c r="J6969">
        <v>-187.4683</v>
      </c>
      <c r="K6969">
        <v>1.109467</v>
      </c>
      <c r="L6969">
        <v>-1.489166</v>
      </c>
      <c r="M6969">
        <v>1.668122E-2</v>
      </c>
      <c r="N6969">
        <v>0</v>
      </c>
      <c r="O6969">
        <v>0.99982119999999997</v>
      </c>
      <c r="P6969">
        <v>5.7221750000000002E-2</v>
      </c>
      <c r="Q6969">
        <v>-1.710654E-2</v>
      </c>
      <c r="R6969">
        <v>0.99821490000000002</v>
      </c>
      <c r="S6969">
        <v>-4.9468989999999997E-2</v>
      </c>
      <c r="T6969">
        <v>-5.3099750000000001E-2</v>
      </c>
      <c r="U6969">
        <v>3.0073240000000001</v>
      </c>
      <c r="V6969">
        <v>4.056046E-2</v>
      </c>
      <c r="W6969">
        <v>-8.2210119999999998E-3</v>
      </c>
      <c r="X6969">
        <v>0.99914320000000001</v>
      </c>
      <c r="Y6969">
        <v>-3.3122060000000002E-2</v>
      </c>
      <c r="Z6969">
        <v>-1.7644340000000001E-2</v>
      </c>
      <c r="AA6969">
        <v>0.9992955</v>
      </c>
      <c r="AB6969">
        <v>28</v>
      </c>
      <c r="AC6969">
        <v>-1.03839999999999</v>
      </c>
      <c r="AD6969">
        <v>-1.1094678773814</v>
      </c>
      <c r="AE6969">
        <v>62.547905999999998</v>
      </c>
      <c r="AF6969">
        <v>-2.08101768378903</v>
      </c>
      <c r="AG6969">
        <v>-1.1094678773814</v>
      </c>
      <c r="AH6969">
        <v>62.502220025034703</v>
      </c>
      <c r="AI6969">
        <v>91.016379216359496</v>
      </c>
      <c r="AJ6969">
        <v>91.906964269213006</v>
      </c>
      <c r="AK6969">
        <v>62.546695049611003</v>
      </c>
      <c r="AL6969">
        <v>90.471034627446997</v>
      </c>
      <c r="AM6969">
        <v>87.675340396801602</v>
      </c>
      <c r="AN6969">
        <v>0.99999993502997497</v>
      </c>
    </row>
    <row r="6970" spans="1:40" x14ac:dyDescent="0.25">
      <c r="A6970" t="str">
        <f>"20190312161452459"</f>
        <v>20190312161452459</v>
      </c>
      <c r="B6970" t="str">
        <f>"1552378492453209"</f>
        <v>1552378492453209</v>
      </c>
      <c r="C6970" t="s">
        <v>40</v>
      </c>
      <c r="D6970">
        <v>5.2707420000000003</v>
      </c>
      <c r="E6970">
        <v>0.4720742</v>
      </c>
      <c r="F6970" t="s">
        <v>42</v>
      </c>
      <c r="G6970">
        <v>-188.4409</v>
      </c>
      <c r="H6970" s="1">
        <v>-3.4991819999999998E-6</v>
      </c>
      <c r="I6970">
        <v>57.144779999999997</v>
      </c>
      <c r="J6970">
        <v>-187.46379999999999</v>
      </c>
      <c r="K6970">
        <v>1.109477</v>
      </c>
      <c r="L6970">
        <v>-1.2179869999999999</v>
      </c>
      <c r="M6970">
        <v>1.6704050000000002E-2</v>
      </c>
      <c r="N6970">
        <v>0</v>
      </c>
      <c r="O6970">
        <v>0.99982090000000001</v>
      </c>
      <c r="P6970">
        <v>5.67625E-2</v>
      </c>
      <c r="Q6970">
        <v>-1.7063439999999999E-2</v>
      </c>
      <c r="R6970">
        <v>0.99824190000000002</v>
      </c>
      <c r="S6970">
        <v>-4.9880979999999998E-2</v>
      </c>
      <c r="T6970">
        <v>-5.690336E-2</v>
      </c>
      <c r="U6970">
        <v>3.007263</v>
      </c>
      <c r="V6970">
        <v>4.0078370000000002E-2</v>
      </c>
      <c r="W6970">
        <v>-8.1761839999999995E-3</v>
      </c>
      <c r="X6970">
        <v>0.99916309999999997</v>
      </c>
      <c r="Y6970">
        <v>-3.3281690000000003E-2</v>
      </c>
      <c r="Z6970">
        <v>-1.8908089999999999E-2</v>
      </c>
      <c r="AA6970">
        <v>0.99926720000000002</v>
      </c>
      <c r="AB6970">
        <v>29</v>
      </c>
      <c r="AC6970">
        <v>-0.97710000000000696</v>
      </c>
      <c r="AD6970">
        <v>-1.109480499182</v>
      </c>
      <c r="AE6970">
        <v>58.362766999999998</v>
      </c>
      <c r="AF6970">
        <v>-1.95119189035509</v>
      </c>
      <c r="AG6970">
        <v>-1.109480499182</v>
      </c>
      <c r="AH6970">
        <v>58.317232325191803</v>
      </c>
      <c r="AI6970">
        <v>91.0893065629365</v>
      </c>
      <c r="AJ6970">
        <v>91.916301021373101</v>
      </c>
      <c r="AK6970">
        <v>58.360411948866997</v>
      </c>
      <c r="AL6970">
        <v>90.468466049192401</v>
      </c>
      <c r="AM6970">
        <v>87.702986560138498</v>
      </c>
      <c r="AN6970">
        <v>1.00000001306413</v>
      </c>
    </row>
    <row r="6971" spans="1:40" x14ac:dyDescent="0.25">
      <c r="A6971" t="str">
        <f>"20190312161452481"</f>
        <v>20190312161452481</v>
      </c>
      <c r="B6971" t="str">
        <f>"1552378492473705"</f>
        <v>1552378492473705</v>
      </c>
      <c r="C6971" t="s">
        <v>40</v>
      </c>
      <c r="D6971">
        <v>5.2763799999999996</v>
      </c>
      <c r="E6971">
        <v>0.4721128</v>
      </c>
      <c r="F6971" t="s">
        <v>42</v>
      </c>
      <c r="G6971">
        <v>-188.46510000000001</v>
      </c>
      <c r="H6971" s="1">
        <v>-3.2053500000000002E-6</v>
      </c>
      <c r="I6971">
        <v>56.469869999999901</v>
      </c>
      <c r="J6971">
        <v>-187.4589</v>
      </c>
      <c r="K6971">
        <v>1.109491</v>
      </c>
      <c r="L6971">
        <v>-0.92797850000000004</v>
      </c>
      <c r="M6971">
        <v>1.6707820000000002E-2</v>
      </c>
      <c r="N6971">
        <v>0</v>
      </c>
      <c r="O6971">
        <v>0.99982079999999995</v>
      </c>
      <c r="P6971">
        <v>5.6301780000000003E-2</v>
      </c>
      <c r="Q6971">
        <v>-1.7545370000000001E-2</v>
      </c>
      <c r="R6971">
        <v>0.99825960000000002</v>
      </c>
      <c r="S6971">
        <v>-5.2200320000000001E-2</v>
      </c>
      <c r="T6971">
        <v>-5.783713E-2</v>
      </c>
      <c r="U6971">
        <v>3.007263</v>
      </c>
      <c r="V6971">
        <v>3.9613919999999997E-2</v>
      </c>
      <c r="W6971">
        <v>-8.6562940000000001E-3</v>
      </c>
      <c r="X6971">
        <v>0.9991776</v>
      </c>
      <c r="Y6971">
        <v>-3.4055799999999997E-2</v>
      </c>
      <c r="Z6971">
        <v>-1.9217870000000001E-2</v>
      </c>
      <c r="AA6971">
        <v>0.99923519999999999</v>
      </c>
      <c r="AB6971">
        <v>29</v>
      </c>
      <c r="AC6971">
        <v>-1.0062</v>
      </c>
      <c r="AD6971">
        <v>-1.1094942053499901</v>
      </c>
      <c r="AE6971">
        <v>57.397848500000002</v>
      </c>
      <c r="AF6971">
        <v>-1.9643566995352999</v>
      </c>
      <c r="AG6971">
        <v>-1.1094942053499901</v>
      </c>
      <c r="AH6971">
        <v>57.351601351457802</v>
      </c>
      <c r="AI6971">
        <v>91.107626714537005</v>
      </c>
      <c r="AJ6971">
        <v>91.9616778715896</v>
      </c>
      <c r="AK6971">
        <v>57.395956758392401</v>
      </c>
      <c r="AL6971">
        <v>90.495975289113602</v>
      </c>
      <c r="AM6971">
        <v>87.729610497890405</v>
      </c>
      <c r="AN6971">
        <v>1.0000000352126699</v>
      </c>
    </row>
    <row r="6972" spans="1:40" x14ac:dyDescent="0.25">
      <c r="A6972" t="str">
        <f>"20190312161452504"</f>
        <v>20190312161452504</v>
      </c>
      <c r="B6972" t="str">
        <f>"1552378492493226"</f>
        <v>1552378492493226</v>
      </c>
      <c r="C6972" t="s">
        <v>40</v>
      </c>
      <c r="D6972">
        <v>5.2875489999999896</v>
      </c>
      <c r="E6972">
        <v>0.47202719999999998</v>
      </c>
      <c r="F6972" t="s">
        <v>42</v>
      </c>
      <c r="G6972">
        <v>-188.42339999999999</v>
      </c>
      <c r="H6972" s="1">
        <v>-1.9612220000000001E-6</v>
      </c>
      <c r="I6972">
        <v>53.55254</v>
      </c>
      <c r="J6972">
        <v>-187.4539</v>
      </c>
      <c r="K6972">
        <v>1.109497</v>
      </c>
      <c r="L6972">
        <v>-0.62765499999999996</v>
      </c>
      <c r="M6972">
        <v>1.6691279999999999E-2</v>
      </c>
      <c r="N6972">
        <v>0</v>
      </c>
      <c r="O6972">
        <v>0.99982110000000002</v>
      </c>
      <c r="P6972">
        <v>5.5722019999999997E-2</v>
      </c>
      <c r="Q6972">
        <v>-1.75979E-2</v>
      </c>
      <c r="R6972">
        <v>0.99829129999999999</v>
      </c>
      <c r="S6972">
        <v>-5.3237920000000001E-2</v>
      </c>
      <c r="T6972">
        <v>-6.1240910000000003E-2</v>
      </c>
      <c r="U6972">
        <v>3.0071720000000002</v>
      </c>
      <c r="V6972">
        <v>3.9050509999999997E-2</v>
      </c>
      <c r="W6972">
        <v>-8.7064919999999997E-3</v>
      </c>
      <c r="X6972">
        <v>0.99919930000000001</v>
      </c>
      <c r="Y6972">
        <v>-3.4384079999999997E-2</v>
      </c>
      <c r="Z6972">
        <v>-2.0348870000000002E-2</v>
      </c>
      <c r="AA6972">
        <v>0.99920149999999996</v>
      </c>
      <c r="AB6972">
        <v>29</v>
      </c>
      <c r="AC6972">
        <v>-0.96949999999998204</v>
      </c>
      <c r="AD6972">
        <v>-1.1094989612220001</v>
      </c>
      <c r="AE6972">
        <v>54.180194999999998</v>
      </c>
      <c r="AF6972">
        <v>-1.8729523702551201</v>
      </c>
      <c r="AG6972">
        <v>-1.1094989612220001</v>
      </c>
      <c r="AH6972">
        <v>54.133770248214702</v>
      </c>
      <c r="AI6972">
        <v>91.173439617064602</v>
      </c>
      <c r="AJ6972">
        <v>91.981563014042095</v>
      </c>
      <c r="AK6972">
        <v>54.177523197472702</v>
      </c>
      <c r="AL6972">
        <v>90.498851551885906</v>
      </c>
      <c r="AM6972">
        <v>87.761916653453099</v>
      </c>
      <c r="AN6972">
        <v>0.99999999322734801</v>
      </c>
    </row>
    <row r="6973" spans="1:40" x14ac:dyDescent="0.25">
      <c r="A6973" t="str">
        <f>"20190312161452528"</f>
        <v>20190312161452528</v>
      </c>
      <c r="B6973" t="str">
        <f>"1552378492523480"</f>
        <v>1552378492523480</v>
      </c>
      <c r="C6973" t="s">
        <v>40</v>
      </c>
      <c r="D6973">
        <v>5.1540460000000001</v>
      </c>
      <c r="E6973">
        <v>0.47199679999999999</v>
      </c>
      <c r="F6973" t="s">
        <v>42</v>
      </c>
      <c r="G6973">
        <v>-188.49629999999999</v>
      </c>
      <c r="H6973" s="1">
        <v>-2.89806E-6</v>
      </c>
      <c r="I6973">
        <v>55.766480000000001</v>
      </c>
      <c r="J6973">
        <v>-187.44909999999999</v>
      </c>
      <c r="K6973">
        <v>1.1094980000000001</v>
      </c>
      <c r="L6973">
        <v>-0.33572390000000002</v>
      </c>
      <c r="M6973">
        <v>1.665871E-2</v>
      </c>
      <c r="N6973">
        <v>0</v>
      </c>
      <c r="O6973">
        <v>0.99982159999999998</v>
      </c>
      <c r="P6973">
        <v>5.536311E-2</v>
      </c>
      <c r="Q6973">
        <v>-1.7802149999999999E-2</v>
      </c>
      <c r="R6973">
        <v>0.99830759999999996</v>
      </c>
      <c r="S6973">
        <v>-5.5587770000000002E-2</v>
      </c>
      <c r="T6973">
        <v>-5.9163809999999997E-2</v>
      </c>
      <c r="U6973">
        <v>3.0072019999999999</v>
      </c>
      <c r="V6973">
        <v>3.8724160000000001E-2</v>
      </c>
      <c r="W6973">
        <v>-8.908015E-3</v>
      </c>
      <c r="X6973">
        <v>0.99921020000000005</v>
      </c>
      <c r="Y6973">
        <v>-3.5132110000000001E-2</v>
      </c>
      <c r="Z6973">
        <v>-1.9658390000000001E-2</v>
      </c>
      <c r="AA6973">
        <v>0.99918929999999995</v>
      </c>
      <c r="AB6973">
        <v>29</v>
      </c>
      <c r="AC6973">
        <v>-1.0471999999999999</v>
      </c>
      <c r="AD6973">
        <v>-1.1095008980600001</v>
      </c>
      <c r="AE6973">
        <v>56.102203899999999</v>
      </c>
      <c r="AF6973">
        <v>-1.98090757909187</v>
      </c>
      <c r="AG6973">
        <v>-1.1095008980600001</v>
      </c>
      <c r="AH6973">
        <v>56.055056632278699</v>
      </c>
      <c r="AI6973">
        <v>91.133203359511995</v>
      </c>
      <c r="AJ6973">
        <v>92.023910778795795</v>
      </c>
      <c r="AK6973">
        <v>56.101019252128303</v>
      </c>
      <c r="AL6973">
        <v>90.510398429799096</v>
      </c>
      <c r="AM6973">
        <v>87.780625999685697</v>
      </c>
      <c r="AN6973">
        <v>0.99999996854149198</v>
      </c>
    </row>
    <row r="6974" spans="1:40" x14ac:dyDescent="0.25">
      <c r="A6974" t="str">
        <f>"20190312161452550"</f>
        <v>20190312161452550</v>
      </c>
      <c r="B6974" t="str">
        <f>"1552378492543977"</f>
        <v>1552378492543977</v>
      </c>
      <c r="C6974" t="s">
        <v>40</v>
      </c>
      <c r="D6974">
        <v>5.2672249999999998</v>
      </c>
      <c r="E6974">
        <v>0.47205200000000003</v>
      </c>
      <c r="F6974" t="s">
        <v>42</v>
      </c>
      <c r="G6974">
        <v>-188.5462</v>
      </c>
      <c r="H6974" s="1">
        <v>-3.7227489999999998E-6</v>
      </c>
      <c r="I6974">
        <v>57.709449999999997</v>
      </c>
      <c r="J6974">
        <v>-187.44409999999999</v>
      </c>
      <c r="K6974">
        <v>1.109505</v>
      </c>
      <c r="L6974">
        <v>-3.7261959999999997E-2</v>
      </c>
      <c r="M6974">
        <v>1.6614110000000001E-2</v>
      </c>
      <c r="N6974">
        <v>0</v>
      </c>
      <c r="O6974">
        <v>0.99982230000000005</v>
      </c>
      <c r="P6974">
        <v>5.5220409999999998E-2</v>
      </c>
      <c r="Q6974">
        <v>-1.8493220000000001E-2</v>
      </c>
      <c r="R6974">
        <v>0.99830289999999999</v>
      </c>
      <c r="S6974">
        <v>-5.6838989999999999E-2</v>
      </c>
      <c r="T6974">
        <v>-5.7481049999999999E-2</v>
      </c>
      <c r="U6974">
        <v>3.0072019999999999</v>
      </c>
      <c r="V6974">
        <v>3.8626359999999998E-2</v>
      </c>
      <c r="W6974">
        <v>-9.5964859999999996E-3</v>
      </c>
      <c r="X6974">
        <v>0.99920759999999997</v>
      </c>
      <c r="Y6974">
        <v>-3.5503319999999998E-2</v>
      </c>
      <c r="Z6974">
        <v>-1.909928E-2</v>
      </c>
      <c r="AA6974">
        <v>0.99918709999999999</v>
      </c>
      <c r="AB6974">
        <v>29</v>
      </c>
      <c r="AC6974">
        <v>-1.1021000000000001</v>
      </c>
      <c r="AD6974">
        <v>-1.1095087227489999</v>
      </c>
      <c r="AE6974">
        <v>57.746711959999999</v>
      </c>
      <c r="AF6974">
        <v>-2.06063574464318</v>
      </c>
      <c r="AG6974">
        <v>-1.1095087227489999</v>
      </c>
      <c r="AH6974">
        <v>57.699137687187999</v>
      </c>
      <c r="AI6974">
        <v>91.100915014055602</v>
      </c>
      <c r="AJ6974">
        <v>92.045361138862205</v>
      </c>
      <c r="AK6974">
        <v>57.746581882593098</v>
      </c>
      <c r="AL6974">
        <v>90.549846608697393</v>
      </c>
      <c r="AM6974">
        <v>87.786219812491794</v>
      </c>
      <c r="AN6974">
        <v>0.99999995806407804</v>
      </c>
    </row>
    <row r="6975" spans="1:40" x14ac:dyDescent="0.25">
      <c r="A6975" t="str">
        <f>"20190312161452570"</f>
        <v>20190312161452570</v>
      </c>
      <c r="B6975" t="str">
        <f>"1552378492564003"</f>
        <v>1552378492564003</v>
      </c>
      <c r="C6975" t="s">
        <v>40</v>
      </c>
      <c r="D6975">
        <v>5.2512650000000001</v>
      </c>
      <c r="E6975">
        <v>0.47213899999999998</v>
      </c>
      <c r="F6975" t="s">
        <v>42</v>
      </c>
      <c r="G6975">
        <v>-188.54849999999999</v>
      </c>
      <c r="H6975" s="1">
        <v>-3.9416560000000004E-6</v>
      </c>
      <c r="I6975">
        <v>58.220700000000001</v>
      </c>
      <c r="J6975">
        <v>-187.43979999999999</v>
      </c>
      <c r="K6975">
        <v>1.1095120000000001</v>
      </c>
      <c r="L6975">
        <v>0.22573850000000001</v>
      </c>
      <c r="M6975">
        <v>1.6570060000000001E-2</v>
      </c>
      <c r="N6975">
        <v>0</v>
      </c>
      <c r="O6975">
        <v>0.99982309999999996</v>
      </c>
      <c r="P6975">
        <v>5.5057889999999998E-2</v>
      </c>
      <c r="Q6975">
        <v>-1.8940240000000001E-2</v>
      </c>
      <c r="R6975">
        <v>0.99830350000000001</v>
      </c>
      <c r="S6975">
        <v>-5.7006840000000003E-2</v>
      </c>
      <c r="T6975">
        <v>-5.727148E-2</v>
      </c>
      <c r="U6975">
        <v>3.0072019999999999</v>
      </c>
      <c r="V6975">
        <v>3.8508090000000002E-2</v>
      </c>
      <c r="W6975">
        <v>-1.004557E-2</v>
      </c>
      <c r="X6975">
        <v>0.99920779999999998</v>
      </c>
      <c r="Y6975">
        <v>-3.5515070000000003E-2</v>
      </c>
      <c r="Z6975">
        <v>-1.902968E-2</v>
      </c>
      <c r="AA6975">
        <v>0.99918790000000002</v>
      </c>
      <c r="AB6975">
        <v>29</v>
      </c>
      <c r="AC6975">
        <v>-1.10869999999999</v>
      </c>
      <c r="AD6975">
        <v>-1.1095159416560001</v>
      </c>
      <c r="AE6975">
        <v>57.994961500000002</v>
      </c>
      <c r="AF6975">
        <v>-2.0688089040497699</v>
      </c>
      <c r="AG6975">
        <v>-1.1095159416560001</v>
      </c>
      <c r="AH6975">
        <v>57.947425344668702</v>
      </c>
      <c r="AI6975">
        <v>91.096206669519901</v>
      </c>
      <c r="AJ6975">
        <v>92.044675766179196</v>
      </c>
      <c r="AK6975">
        <v>57.994957539274203</v>
      </c>
      <c r="AL6975">
        <v>90.575578440639205</v>
      </c>
      <c r="AM6975">
        <v>87.792991911143403</v>
      </c>
      <c r="AN6975">
        <v>1.0000000070264501</v>
      </c>
    </row>
    <row r="6976" spans="1:40" x14ac:dyDescent="0.25">
      <c r="A6976" t="str">
        <f>"20190312161452594"</f>
        <v>20190312161452594</v>
      </c>
      <c r="B6976" t="str">
        <f>"1552378492583524"</f>
        <v>1552378492583524</v>
      </c>
      <c r="C6976" t="s">
        <v>40</v>
      </c>
      <c r="D6976">
        <v>5.2270209999999997</v>
      </c>
      <c r="E6976">
        <v>0.47219709999999998</v>
      </c>
      <c r="F6976" t="s">
        <v>42</v>
      </c>
      <c r="G6976">
        <v>-188.55090000000001</v>
      </c>
      <c r="H6976" s="1">
        <v>-4.3752050000000004E-6</v>
      </c>
      <c r="I6976">
        <v>59.232300000000002</v>
      </c>
      <c r="J6976">
        <v>-187.4349</v>
      </c>
      <c r="K6976">
        <v>1.10951</v>
      </c>
      <c r="L6976">
        <v>0.52618409999999904</v>
      </c>
      <c r="M6976">
        <v>1.651627E-2</v>
      </c>
      <c r="N6976">
        <v>0</v>
      </c>
      <c r="O6976">
        <v>0.99982400000000005</v>
      </c>
      <c r="P6976">
        <v>5.5441219999999999E-2</v>
      </c>
      <c r="Q6976">
        <v>-1.9224350000000001E-2</v>
      </c>
      <c r="R6976">
        <v>0.99827690000000002</v>
      </c>
      <c r="S6976">
        <v>-5.6625370000000001E-2</v>
      </c>
      <c r="T6976">
        <v>-5.6544070000000002E-2</v>
      </c>
      <c r="U6976">
        <v>3.0071409999999998</v>
      </c>
      <c r="V6976">
        <v>3.89457E-2</v>
      </c>
      <c r="W6976">
        <v>-1.033574E-2</v>
      </c>
      <c r="X6976">
        <v>0.99918790000000002</v>
      </c>
      <c r="Y6976">
        <v>-3.5335060000000001E-2</v>
      </c>
      <c r="Z6976">
        <v>-1.8788559999999999E-2</v>
      </c>
      <c r="AA6976">
        <v>0.9991989</v>
      </c>
      <c r="AB6976">
        <v>29</v>
      </c>
      <c r="AC6976">
        <v>-1.1160000000000101</v>
      </c>
      <c r="AD6976">
        <v>-1.1095143752050001</v>
      </c>
      <c r="AE6976">
        <v>58.7061159</v>
      </c>
      <c r="AF6976">
        <v>-2.0847478311866201</v>
      </c>
      <c r="AG6976">
        <v>-1.1095143752050001</v>
      </c>
      <c r="AH6976">
        <v>58.658729957859002</v>
      </c>
      <c r="AI6976">
        <v>91.082921767142096</v>
      </c>
      <c r="AJ6976">
        <v>92.035451475036794</v>
      </c>
      <c r="AK6976">
        <v>58.706250058553799</v>
      </c>
      <c r="AL6976">
        <v>90.592204808265194</v>
      </c>
      <c r="AM6976">
        <v>87.767892054602697</v>
      </c>
      <c r="AN6976">
        <v>1.00000002728812</v>
      </c>
    </row>
    <row r="6977" spans="1:40" x14ac:dyDescent="0.25">
      <c r="A6977" t="str">
        <f>"20190312161452617"</f>
        <v>20190312161452617</v>
      </c>
      <c r="B6977" t="str">
        <f>"1552378492613779"</f>
        <v>1552378492613779</v>
      </c>
      <c r="C6977" t="s">
        <v>40</v>
      </c>
      <c r="D6977">
        <v>5.212828</v>
      </c>
      <c r="E6977">
        <v>0.47221790000000002</v>
      </c>
      <c r="F6977" t="s">
        <v>42</v>
      </c>
      <c r="G6977">
        <v>-188.52809999999999</v>
      </c>
      <c r="H6977" s="1">
        <v>-6.3861229999999995E-7</v>
      </c>
      <c r="I6977">
        <v>60.373809999999999</v>
      </c>
      <c r="J6977">
        <v>-187.43</v>
      </c>
      <c r="K6977">
        <v>1.109505</v>
      </c>
      <c r="L6977">
        <v>0.82409669999999902</v>
      </c>
      <c r="M6977">
        <v>1.6460740000000001E-2</v>
      </c>
      <c r="N6977">
        <v>0</v>
      </c>
      <c r="O6977">
        <v>0.99982499999999996</v>
      </c>
      <c r="P6977">
        <v>5.5534020000000003E-2</v>
      </c>
      <c r="Q6977">
        <v>-1.8993920000000001E-2</v>
      </c>
      <c r="R6977">
        <v>0.9982761</v>
      </c>
      <c r="S6977">
        <v>-5.4931639999999997E-2</v>
      </c>
      <c r="T6977">
        <v>-5.5749180000000002E-2</v>
      </c>
      <c r="U6977">
        <v>3.0071409999999998</v>
      </c>
      <c r="V6977">
        <v>3.9094080000000003E-2</v>
      </c>
      <c r="W6977">
        <v>-1.011131E-2</v>
      </c>
      <c r="X6977">
        <v>0.99918439999999997</v>
      </c>
      <c r="Y6977">
        <v>-3.4717060000000001E-2</v>
      </c>
      <c r="Z6977">
        <v>-1.8524849999999999E-2</v>
      </c>
      <c r="AA6977">
        <v>0.99922549999999999</v>
      </c>
      <c r="AB6977">
        <v>29</v>
      </c>
      <c r="AC6977">
        <v>-1.0980999999999801</v>
      </c>
      <c r="AD6977">
        <v>-1.1095056386122999</v>
      </c>
      <c r="AE6977">
        <v>59.549713299999901</v>
      </c>
      <c r="AF6977">
        <v>-2.07750135514019</v>
      </c>
      <c r="AG6977">
        <v>-1.1095056386122999</v>
      </c>
      <c r="AH6977">
        <v>59.502919602865497</v>
      </c>
      <c r="AI6977">
        <v>91.067576645430705</v>
      </c>
      <c r="AJ6977">
        <v>91.999628400814004</v>
      </c>
      <c r="AK6977">
        <v>59.549512642067903</v>
      </c>
      <c r="AL6977">
        <v>90.579345245801093</v>
      </c>
      <c r="AM6977">
        <v>87.759388712497497</v>
      </c>
      <c r="AN6977">
        <v>1.0000000254421599</v>
      </c>
    </row>
    <row r="6978" spans="1:40" x14ac:dyDescent="0.25">
      <c r="A6978" t="str">
        <f>"20190312161452639"</f>
        <v>20190312161452639</v>
      </c>
      <c r="B6978" t="str">
        <f>"1552378492633299"</f>
        <v>1552378492633299</v>
      </c>
      <c r="C6978" t="s">
        <v>40</v>
      </c>
      <c r="D6978">
        <v>5.2368360000000003</v>
      </c>
      <c r="E6978">
        <v>0.47223480000000001</v>
      </c>
      <c r="F6978" t="s">
        <v>42</v>
      </c>
      <c r="G6978">
        <v>-188.5667</v>
      </c>
      <c r="H6978" s="1">
        <v>-1.9155740000000001E-6</v>
      </c>
      <c r="I6978">
        <v>63.5053699999999</v>
      </c>
      <c r="J6978">
        <v>-187.4255</v>
      </c>
      <c r="K6978">
        <v>1.109505</v>
      </c>
      <c r="L6978">
        <v>1.100403</v>
      </c>
      <c r="M6978">
        <v>1.640836E-2</v>
      </c>
      <c r="N6978">
        <v>0</v>
      </c>
      <c r="O6978">
        <v>0.99982590000000005</v>
      </c>
      <c r="P6978">
        <v>5.6308179999999999E-2</v>
      </c>
      <c r="Q6978">
        <v>-1.9150859999999999E-2</v>
      </c>
      <c r="R6978">
        <v>0.9982297</v>
      </c>
      <c r="S6978">
        <v>-5.4534909999999999E-2</v>
      </c>
      <c r="T6978">
        <v>-5.3229810000000002E-2</v>
      </c>
      <c r="U6978">
        <v>3.0072019999999999</v>
      </c>
      <c r="V6978">
        <v>3.9921289999999998E-2</v>
      </c>
      <c r="W6978">
        <v>-1.0273289999999999E-2</v>
      </c>
      <c r="X6978">
        <v>0.99914999999999998</v>
      </c>
      <c r="Y6978">
        <v>-3.4532819999999999E-2</v>
      </c>
      <c r="Z6978">
        <v>-1.7687700000000001E-2</v>
      </c>
      <c r="AA6978">
        <v>0.999247</v>
      </c>
      <c r="AB6978">
        <v>29</v>
      </c>
      <c r="AC6978">
        <v>-1.14119999999999</v>
      </c>
      <c r="AD6978">
        <v>-1.1095069155740001</v>
      </c>
      <c r="AE6978">
        <v>62.4049669999999</v>
      </c>
      <c r="AF6978">
        <v>-2.16436600964854</v>
      </c>
      <c r="AG6978">
        <v>-1.1095069155740001</v>
      </c>
      <c r="AH6978">
        <v>62.358134343238198</v>
      </c>
      <c r="AI6978">
        <v>91.018714124806294</v>
      </c>
      <c r="AJ6978">
        <v>91.987860565021805</v>
      </c>
      <c r="AK6978">
        <v>62.4055478670669</v>
      </c>
      <c r="AL6978">
        <v>90.588626521140199</v>
      </c>
      <c r="AM6978">
        <v>87.711949739884105</v>
      </c>
      <c r="AN6978">
        <v>0.999999986191344</v>
      </c>
    </row>
    <row r="6979" spans="1:40" x14ac:dyDescent="0.25">
      <c r="A6979" t="str">
        <f>"20190312161452660"</f>
        <v>20190312161452660</v>
      </c>
      <c r="B6979" t="str">
        <f>"1552378492653795"</f>
        <v>1552378492653795</v>
      </c>
      <c r="C6979" t="s">
        <v>40</v>
      </c>
      <c r="D6979">
        <v>5.348509</v>
      </c>
      <c r="E6979">
        <v>0.47222209999999998</v>
      </c>
      <c r="F6979" t="s">
        <v>42</v>
      </c>
      <c r="G6979">
        <v>-188.52670000000001</v>
      </c>
      <c r="H6979" s="1">
        <v>-2.4140749999999998E-6</v>
      </c>
      <c r="I6979">
        <v>64.650840000000002</v>
      </c>
      <c r="J6979">
        <v>-187.42099999999999</v>
      </c>
      <c r="K6979">
        <v>1.109505</v>
      </c>
      <c r="L6979">
        <v>1.377075</v>
      </c>
      <c r="M6979">
        <v>1.6355919999999999E-2</v>
      </c>
      <c r="N6979">
        <v>0</v>
      </c>
      <c r="O6979">
        <v>0.99982680000000002</v>
      </c>
      <c r="P6979">
        <v>5.6054809999999997E-2</v>
      </c>
      <c r="Q6979">
        <v>-1.872333E-2</v>
      </c>
      <c r="R6979">
        <v>0.99825209999999998</v>
      </c>
      <c r="S6979">
        <v>-5.2108759999999997E-2</v>
      </c>
      <c r="T6979">
        <v>-5.250287E-2</v>
      </c>
      <c r="U6979">
        <v>3.007263</v>
      </c>
      <c r="V6979">
        <v>3.9719949999999997E-2</v>
      </c>
      <c r="W6979">
        <v>-9.8498430000000005E-3</v>
      </c>
      <c r="X6979">
        <v>0.99916229999999995</v>
      </c>
      <c r="Y6979">
        <v>-3.3674199999999897E-2</v>
      </c>
      <c r="Z6979">
        <v>-1.744627E-2</v>
      </c>
      <c r="AA6979">
        <v>0.99928059999999996</v>
      </c>
      <c r="AB6979">
        <v>29</v>
      </c>
      <c r="AC6979">
        <v>-1.1057000000000099</v>
      </c>
      <c r="AD6979">
        <v>-1.1095074140750001</v>
      </c>
      <c r="AE6979">
        <v>63.273764999999997</v>
      </c>
      <c r="AF6979">
        <v>-2.1398357758997602</v>
      </c>
      <c r="AG6979">
        <v>-1.1095074140750001</v>
      </c>
      <c r="AH6979">
        <v>63.227779764291697</v>
      </c>
      <c r="AI6979">
        <v>91.004735664198193</v>
      </c>
      <c r="AJ6979">
        <v>91.938337589583597</v>
      </c>
      <c r="AK6979">
        <v>63.273707318059699</v>
      </c>
      <c r="AL6979">
        <v>90.564363559968598</v>
      </c>
      <c r="AM6979">
        <v>87.723505171239495</v>
      </c>
      <c r="AN6979">
        <v>0.99999999778820803</v>
      </c>
    </row>
    <row r="6980" spans="1:40" x14ac:dyDescent="0.25">
      <c r="A6980" t="str">
        <f>"20190312161452683"</f>
        <v>20190312161452683</v>
      </c>
      <c r="B6980" t="str">
        <f>"1552378492673315"</f>
        <v>1552378492673315</v>
      </c>
      <c r="C6980" t="s">
        <v>40</v>
      </c>
      <c r="D6980">
        <v>5.2382839999999904</v>
      </c>
      <c r="E6980">
        <v>0.47222229999999998</v>
      </c>
      <c r="F6980" t="s">
        <v>42</v>
      </c>
      <c r="G6980">
        <v>-188.58500000000001</v>
      </c>
      <c r="H6980" s="1">
        <v>-3.5801830000000002E-6</v>
      </c>
      <c r="I6980">
        <v>67.393190000000004</v>
      </c>
      <c r="J6980">
        <v>-187.4162</v>
      </c>
      <c r="K6980">
        <v>1.1095029999999999</v>
      </c>
      <c r="L6980">
        <v>1.678131</v>
      </c>
      <c r="M6980">
        <v>1.630011E-2</v>
      </c>
      <c r="N6980">
        <v>0</v>
      </c>
      <c r="O6980">
        <v>0.99982769999999999</v>
      </c>
      <c r="P6980">
        <v>5.5653870000000001E-2</v>
      </c>
      <c r="Q6980">
        <v>-1.8805619999999999E-2</v>
      </c>
      <c r="R6980">
        <v>0.99827299999999997</v>
      </c>
      <c r="S6980">
        <v>-5.3024290000000002E-2</v>
      </c>
      <c r="T6980">
        <v>-5.0542469999999999E-2</v>
      </c>
      <c r="U6980">
        <v>3.0072939999999999</v>
      </c>
      <c r="V6980">
        <v>3.9374510000000001E-2</v>
      </c>
      <c r="W6980">
        <v>-9.9359589999999994E-3</v>
      </c>
      <c r="X6980">
        <v>0.99917509999999998</v>
      </c>
      <c r="Y6980">
        <v>-3.3922540000000001E-2</v>
      </c>
      <c r="Z6980">
        <v>-1.6794770000000001E-2</v>
      </c>
      <c r="AA6980">
        <v>0.99928329999999999</v>
      </c>
      <c r="AB6980">
        <v>29</v>
      </c>
      <c r="AC6980">
        <v>-1.1688000000000001</v>
      </c>
      <c r="AD6980">
        <v>-1.109506580183</v>
      </c>
      <c r="AE6980">
        <v>65.715058999999997</v>
      </c>
      <c r="AF6980">
        <v>-2.2392115453635899</v>
      </c>
      <c r="AG6980">
        <v>-1.109506580183</v>
      </c>
      <c r="AH6980">
        <v>65.668562088326794</v>
      </c>
      <c r="AI6980">
        <v>90.967389571919497</v>
      </c>
      <c r="AJ6980">
        <v>91.952953999878602</v>
      </c>
      <c r="AK6980">
        <v>65.7160948318202</v>
      </c>
      <c r="AL6980">
        <v>90.569297896124098</v>
      </c>
      <c r="AM6980">
        <v>87.743311914786403</v>
      </c>
      <c r="AN6980">
        <v>0.99999997788949901</v>
      </c>
    </row>
    <row r="6981" spans="1:40" x14ac:dyDescent="0.25">
      <c r="A6981" t="str">
        <f>"20190312161452707"</f>
        <v>20190312161452707</v>
      </c>
      <c r="B6981" t="str">
        <f>"1552378492693811"</f>
        <v>1552378492693811</v>
      </c>
      <c r="C6981" t="s">
        <v>40</v>
      </c>
      <c r="D6981">
        <v>5.2401369999999998</v>
      </c>
      <c r="E6981">
        <v>0.47222979999999998</v>
      </c>
      <c r="F6981" t="s">
        <v>42</v>
      </c>
      <c r="G6981">
        <v>-188.6215</v>
      </c>
      <c r="H6981" s="1">
        <v>-4.0735750000000002E-6</v>
      </c>
      <c r="I6981">
        <v>68.558400000000006</v>
      </c>
      <c r="J6981">
        <v>-187.4111</v>
      </c>
      <c r="K6981">
        <v>1.1094999999999999</v>
      </c>
      <c r="L6981">
        <v>1.9895940000000001</v>
      </c>
      <c r="M6981">
        <v>1.6243460000000001E-2</v>
      </c>
      <c r="N6981">
        <v>0</v>
      </c>
      <c r="O6981">
        <v>0.99982870000000001</v>
      </c>
      <c r="P6981">
        <v>5.5466370000000001E-2</v>
      </c>
      <c r="Q6981">
        <v>-1.994595E-2</v>
      </c>
      <c r="R6981">
        <v>0.99826130000000002</v>
      </c>
      <c r="S6981">
        <v>-5.4199219999999999E-2</v>
      </c>
      <c r="T6981">
        <v>-4.9888849999999998E-2</v>
      </c>
      <c r="U6981">
        <v>3.007263</v>
      </c>
      <c r="V6981">
        <v>3.9243930000000003E-2</v>
      </c>
      <c r="W6981">
        <v>-1.1079520000000001E-2</v>
      </c>
      <c r="X6981">
        <v>0.99916819999999895</v>
      </c>
      <c r="Y6981">
        <v>-3.4256460000000002E-2</v>
      </c>
      <c r="Z6981">
        <v>-1.6577680000000001E-2</v>
      </c>
      <c r="AA6981">
        <v>0.99927560000000004</v>
      </c>
      <c r="AB6981">
        <v>29</v>
      </c>
      <c r="AC6981">
        <v>-1.2103999999999899</v>
      </c>
      <c r="AD6981">
        <v>-1.1095040735749999</v>
      </c>
      <c r="AE6981">
        <v>66.568805999999995</v>
      </c>
      <c r="AF6981">
        <v>-2.2909544021374302</v>
      </c>
      <c r="AG6981">
        <v>-1.1095040735749999</v>
      </c>
      <c r="AH6981">
        <v>66.521887788402594</v>
      </c>
      <c r="AI6981">
        <v>90.954969177286799</v>
      </c>
      <c r="AJ6981">
        <v>91.972435915908704</v>
      </c>
      <c r="AK6981">
        <v>66.570571773831006</v>
      </c>
      <c r="AL6981">
        <v>90.634822744553503</v>
      </c>
      <c r="AM6981">
        <v>87.750772686317802</v>
      </c>
      <c r="AN6981">
        <v>0.99999996684825598</v>
      </c>
    </row>
    <row r="6982" spans="1:40" x14ac:dyDescent="0.25">
      <c r="A6982" t="str">
        <f>"20190312161452729"</f>
        <v>20190312161452729</v>
      </c>
      <c r="B6982" t="str">
        <f>"1552378492724068"</f>
        <v>1552378492724068</v>
      </c>
      <c r="C6982" t="s">
        <v>40</v>
      </c>
      <c r="D6982">
        <v>5.3648619999999996</v>
      </c>
      <c r="E6982">
        <v>0.47224850000000002</v>
      </c>
      <c r="F6982" t="s">
        <v>42</v>
      </c>
      <c r="G6982">
        <v>-188.57919999999999</v>
      </c>
      <c r="H6982" s="1">
        <v>-3.0242499999999999E-6</v>
      </c>
      <c r="I6982">
        <v>66.094890000000007</v>
      </c>
      <c r="J6982">
        <v>-187.40629999999999</v>
      </c>
      <c r="K6982">
        <v>1.10951</v>
      </c>
      <c r="L6982">
        <v>2.2880859999999998</v>
      </c>
      <c r="M6982">
        <v>1.6190389999999999E-2</v>
      </c>
      <c r="N6982">
        <v>0</v>
      </c>
      <c r="O6982">
        <v>0.99982959999999999</v>
      </c>
      <c r="P6982">
        <v>5.568563E-2</v>
      </c>
      <c r="Q6982">
        <v>-1.945912E-2</v>
      </c>
      <c r="R6982">
        <v>0.99825870000000005</v>
      </c>
      <c r="S6982">
        <v>-5.4794309999999999E-2</v>
      </c>
      <c r="T6982">
        <v>-5.204773E-2</v>
      </c>
      <c r="U6982">
        <v>3.0072329999999998</v>
      </c>
      <c r="V6982">
        <v>3.951619E-2</v>
      </c>
      <c r="W6982">
        <v>-1.0594589999999999E-2</v>
      </c>
      <c r="X6982">
        <v>0.99916269999999996</v>
      </c>
      <c r="Y6982">
        <v>-3.4401040000000001E-2</v>
      </c>
      <c r="Z6982">
        <v>-1.7294960000000002E-2</v>
      </c>
      <c r="AA6982">
        <v>0.99925850000000005</v>
      </c>
      <c r="AB6982">
        <v>29</v>
      </c>
      <c r="AC6982">
        <v>-1.1728999999999901</v>
      </c>
      <c r="AD6982">
        <v>-1.10951302425</v>
      </c>
      <c r="AE6982">
        <v>63.806804</v>
      </c>
      <c r="AF6982">
        <v>-2.2051773750385699</v>
      </c>
      <c r="AG6982">
        <v>-1.10951302425</v>
      </c>
      <c r="AH6982">
        <v>63.760177237596402</v>
      </c>
      <c r="AI6982">
        <v>90.996327590121197</v>
      </c>
      <c r="AJ6982">
        <v>91.980813435450202</v>
      </c>
      <c r="AK6982">
        <v>63.807946431271901</v>
      </c>
      <c r="AL6982">
        <v>90.607036686939495</v>
      </c>
      <c r="AM6982">
        <v>87.735172111356405</v>
      </c>
      <c r="AN6982">
        <v>0.99999993784033503</v>
      </c>
    </row>
    <row r="6983" spans="1:40" x14ac:dyDescent="0.25">
      <c r="A6983" t="str">
        <f>"20190312161452752"</f>
        <v>20190312161452752</v>
      </c>
      <c r="B6983" t="str">
        <f>"1552378492743587"</f>
        <v>1552378492743587</v>
      </c>
      <c r="C6983" t="s">
        <v>40</v>
      </c>
      <c r="D6983">
        <v>5.348052</v>
      </c>
      <c r="E6983">
        <v>0.49310389999999998</v>
      </c>
      <c r="F6983" t="s">
        <v>42</v>
      </c>
      <c r="G6983">
        <v>-188.6242</v>
      </c>
      <c r="H6983" s="1">
        <v>-5.5663969999999895E-7</v>
      </c>
      <c r="I6983">
        <v>70.208100000000002</v>
      </c>
      <c r="J6983">
        <v>-187.4016</v>
      </c>
      <c r="K6983">
        <v>1.1095109999999999</v>
      </c>
      <c r="L6983">
        <v>2.5817260000000002</v>
      </c>
      <c r="M6983">
        <v>1.6138759999999999E-2</v>
      </c>
      <c r="N6983">
        <v>0</v>
      </c>
      <c r="O6983">
        <v>0.99983040000000001</v>
      </c>
      <c r="P6983">
        <v>5.6118910000000001E-2</v>
      </c>
      <c r="Q6983">
        <v>-1.9302440000000001E-2</v>
      </c>
      <c r="R6983">
        <v>0.9982375</v>
      </c>
      <c r="S6983">
        <v>-5.3924560000000003E-2</v>
      </c>
      <c r="T6983">
        <v>-4.9125790000000003E-2</v>
      </c>
      <c r="U6983">
        <v>3.0072939999999999</v>
      </c>
      <c r="V6983">
        <v>4.0001330000000002E-2</v>
      </c>
      <c r="W6983">
        <v>-1.0438940000000001E-2</v>
      </c>
      <c r="X6983">
        <v>0.99914510000000001</v>
      </c>
      <c r="Y6983">
        <v>-3.4060460000000001E-2</v>
      </c>
      <c r="Z6983">
        <v>-1.6324129999999999E-2</v>
      </c>
      <c r="AA6983">
        <v>0.99928649999999997</v>
      </c>
      <c r="AB6983">
        <v>29</v>
      </c>
      <c r="AC6983">
        <v>-1.2225999999999999</v>
      </c>
      <c r="AD6983">
        <v>-1.1095115566397</v>
      </c>
      <c r="AE6983">
        <v>67.626373999999998</v>
      </c>
      <c r="AF6983">
        <v>-2.3132670679990599</v>
      </c>
      <c r="AG6983">
        <v>-1.1095115566397</v>
      </c>
      <c r="AH6983">
        <v>67.579649068479</v>
      </c>
      <c r="AI6983">
        <v>90.940037709306594</v>
      </c>
      <c r="AJ6983">
        <v>91.960482361270394</v>
      </c>
      <c r="AK6983">
        <v>67.6283312572547</v>
      </c>
      <c r="AL6983">
        <v>90.598118065283899</v>
      </c>
      <c r="AM6983">
        <v>87.707355983121701</v>
      </c>
      <c r="AN6983">
        <v>1.0000000043620501</v>
      </c>
    </row>
    <row r="6984" spans="1:40" x14ac:dyDescent="0.25">
      <c r="A6984" t="str">
        <f>"20190312161452796"</f>
        <v>20190312161452796</v>
      </c>
      <c r="B6984" t="str">
        <f>"1552378492783604"</f>
        <v>1552378492783604</v>
      </c>
      <c r="C6984" t="s">
        <v>40</v>
      </c>
      <c r="D6984">
        <v>5.374333</v>
      </c>
      <c r="E6984">
        <v>0.4973128</v>
      </c>
      <c r="F6984" t="s">
        <v>42</v>
      </c>
      <c r="G6984">
        <v>-186.14500000000001</v>
      </c>
      <c r="H6984" s="1">
        <v>-3.3336909999999999E-6</v>
      </c>
      <c r="I6984">
        <v>35.809699999999999</v>
      </c>
      <c r="J6984">
        <v>-187.39250000000001</v>
      </c>
      <c r="K6984">
        <v>1.109502</v>
      </c>
      <c r="L6984">
        <v>3.1546940000000001</v>
      </c>
      <c r="M6984">
        <v>1.603831E-2</v>
      </c>
      <c r="N6984">
        <v>0</v>
      </c>
      <c r="O6984">
        <v>0.99983200000000005</v>
      </c>
      <c r="P6984">
        <v>5.6438540000000002E-2</v>
      </c>
      <c r="Q6984">
        <v>-1.936036E-2</v>
      </c>
      <c r="R6984">
        <v>0.99821839999999995</v>
      </c>
      <c r="S6984">
        <v>0.11334230000000001</v>
      </c>
      <c r="T6984">
        <v>-0.10007199999999999</v>
      </c>
      <c r="U6984">
        <v>2.9969790000000001</v>
      </c>
      <c r="V6984">
        <v>4.0421619999999998E-2</v>
      </c>
      <c r="W6984">
        <v>-1.049654E-2</v>
      </c>
      <c r="X6984">
        <v>0.9991276</v>
      </c>
      <c r="Y6984">
        <v>2.1738469999999999E-2</v>
      </c>
      <c r="Z6984">
        <v>-3.3350079999999997E-2</v>
      </c>
      <c r="AA6984">
        <v>0.99920730000000002</v>
      </c>
      <c r="AB6984">
        <v>29</v>
      </c>
      <c r="AC6984">
        <v>1.2475000000000001</v>
      </c>
      <c r="AD6984">
        <v>-1.1095053336909999</v>
      </c>
      <c r="AE6984">
        <v>32.655006</v>
      </c>
      <c r="AF6984">
        <v>0.72275466280082401</v>
      </c>
      <c r="AG6984">
        <v>-1.1095053336909999</v>
      </c>
      <c r="AH6984">
        <v>32.633196979845501</v>
      </c>
      <c r="AI6984">
        <v>91.946788349520205</v>
      </c>
      <c r="AJ6984">
        <v>88.731229956169898</v>
      </c>
      <c r="AK6984">
        <v>32.66005084983</v>
      </c>
      <c r="AL6984">
        <v>90.601418471845506</v>
      </c>
      <c r="AM6984">
        <v>87.683252977157295</v>
      </c>
      <c r="AN6984">
        <v>1.0000000228985699</v>
      </c>
    </row>
    <row r="6985" spans="1:40" x14ac:dyDescent="0.25">
      <c r="A6985" t="str">
        <f>"20190312161452817"</f>
        <v>20190312161452817</v>
      </c>
      <c r="B6985" t="str">
        <f>"1552378492813860"</f>
        <v>1552378492813860</v>
      </c>
      <c r="C6985" t="s">
        <v>40</v>
      </c>
      <c r="D6985">
        <v>5.3575939999999997</v>
      </c>
      <c r="E6985">
        <v>0.4978149</v>
      </c>
      <c r="F6985" t="s">
        <v>42</v>
      </c>
      <c r="G6985">
        <v>-185.98</v>
      </c>
      <c r="H6985" s="1">
        <v>-1.7817809999999999E-6</v>
      </c>
      <c r="I6985">
        <v>31.740749999999998</v>
      </c>
      <c r="J6985">
        <v>-187.3878</v>
      </c>
      <c r="K6985">
        <v>1.1095010000000001</v>
      </c>
      <c r="L6985">
        <v>3.453125</v>
      </c>
      <c r="M6985">
        <v>1.5985900000000001E-2</v>
      </c>
      <c r="N6985">
        <v>0</v>
      </c>
      <c r="O6985">
        <v>0.99983290000000002</v>
      </c>
      <c r="P6985">
        <v>5.6510829999999998E-2</v>
      </c>
      <c r="Q6985">
        <v>-1.945962E-2</v>
      </c>
      <c r="R6985">
        <v>0.99821230000000005</v>
      </c>
      <c r="S6985">
        <v>0.14797969999999999</v>
      </c>
      <c r="T6985">
        <v>-0.1162333</v>
      </c>
      <c r="U6985">
        <v>2.99472</v>
      </c>
      <c r="V6985">
        <v>4.0546369999999998E-2</v>
      </c>
      <c r="W6985">
        <v>-1.0594549999999999E-2</v>
      </c>
      <c r="X6985">
        <v>0.9991215</v>
      </c>
      <c r="Y6985">
        <v>3.3342919999999998E-2</v>
      </c>
      <c r="Z6985">
        <v>-3.8741749999999998E-2</v>
      </c>
      <c r="AA6985">
        <v>0.99869280000000005</v>
      </c>
      <c r="AB6985">
        <v>29</v>
      </c>
      <c r="AC6985">
        <v>1.4077999999999999</v>
      </c>
      <c r="AD6985">
        <v>-1.1095027817809999</v>
      </c>
      <c r="AE6985">
        <v>28.287624999999998</v>
      </c>
      <c r="AF6985">
        <v>0.95393528121656701</v>
      </c>
      <c r="AG6985">
        <v>-1.1095027817809999</v>
      </c>
      <c r="AH6985">
        <v>28.2631438312829</v>
      </c>
      <c r="AI6985">
        <v>92.2467804723196</v>
      </c>
      <c r="AJ6985">
        <v>88.066891450258296</v>
      </c>
      <c r="AK6985">
        <v>28.300994473186201</v>
      </c>
      <c r="AL6985">
        <v>90.607034349847396</v>
      </c>
      <c r="AM6985">
        <v>87.676096641113205</v>
      </c>
      <c r="AN6985">
        <v>1.0000000121860599</v>
      </c>
    </row>
    <row r="6986" spans="1:40" x14ac:dyDescent="0.25">
      <c r="A6986" t="str">
        <f>"20190312161452840"</f>
        <v>20190312161452840</v>
      </c>
      <c r="B6986" t="str">
        <f>"1552378492833379"</f>
        <v>1552378492833379</v>
      </c>
      <c r="C6986" t="s">
        <v>40</v>
      </c>
      <c r="D6986">
        <v>5.3798649999999997</v>
      </c>
      <c r="E6986">
        <v>0.49782650000000001</v>
      </c>
      <c r="F6986" t="s">
        <v>42</v>
      </c>
      <c r="G6986">
        <v>-185.9092</v>
      </c>
      <c r="H6986" s="1">
        <v>-2.0804489999999999E-6</v>
      </c>
      <c r="I6986">
        <v>32.563079999999999</v>
      </c>
      <c r="J6986">
        <v>-187.38329999999999</v>
      </c>
      <c r="K6986">
        <v>1.109497</v>
      </c>
      <c r="L6986">
        <v>3.7392270000000001</v>
      </c>
      <c r="M6986">
        <v>1.5935600000000001E-2</v>
      </c>
      <c r="N6986">
        <v>0</v>
      </c>
      <c r="O6986">
        <v>0.99983359999999999</v>
      </c>
      <c r="P6986">
        <v>5.6234550000000001E-2</v>
      </c>
      <c r="Q6986">
        <v>-1.9315269999999999E-2</v>
      </c>
      <c r="R6986">
        <v>0.99823079999999997</v>
      </c>
      <c r="S6986">
        <v>0.1520996</v>
      </c>
      <c r="T6986">
        <v>-0.1141344</v>
      </c>
      <c r="U6986">
        <v>2.9945369999999998</v>
      </c>
      <c r="V6986">
        <v>4.0320059999999998E-2</v>
      </c>
      <c r="W6986">
        <v>-1.0448270000000001E-2</v>
      </c>
      <c r="X6986">
        <v>0.99913220000000003</v>
      </c>
      <c r="Y6986">
        <v>3.4768100000000003E-2</v>
      </c>
      <c r="Z6986">
        <v>-3.8043319999999999E-2</v>
      </c>
      <c r="AA6986">
        <v>0.99867110000000003</v>
      </c>
      <c r="AB6986">
        <v>30</v>
      </c>
      <c r="AC6986">
        <v>1.47409999999999</v>
      </c>
      <c r="AD6986">
        <v>-1.1094990804489999</v>
      </c>
      <c r="AE6986">
        <v>28.823853</v>
      </c>
      <c r="AF6986">
        <v>1.0130721901461499</v>
      </c>
      <c r="AG6986">
        <v>-1.1094990804489999</v>
      </c>
      <c r="AH6986">
        <v>28.801121985448798</v>
      </c>
      <c r="AI6986">
        <v>92.204739291332203</v>
      </c>
      <c r="AJ6986">
        <v>87.985465991678694</v>
      </c>
      <c r="AK6986">
        <v>28.840283131284799</v>
      </c>
      <c r="AL6986">
        <v>90.59865265869</v>
      </c>
      <c r="AM6986">
        <v>87.689078152267101</v>
      </c>
      <c r="AN6986">
        <v>1.0000000133306099</v>
      </c>
    </row>
    <row r="6987" spans="1:40" x14ac:dyDescent="0.25">
      <c r="A6987" t="str">
        <f>"20190312161452861"</f>
        <v>20190312161452861</v>
      </c>
      <c r="B6987" t="str">
        <f>"1552378492853876"</f>
        <v>1552378492853876</v>
      </c>
      <c r="C6987" t="s">
        <v>40</v>
      </c>
      <c r="D6987">
        <v>5.3103480000000003</v>
      </c>
      <c r="E6987">
        <v>0.4980581</v>
      </c>
      <c r="F6987" t="s">
        <v>42</v>
      </c>
      <c r="G6987">
        <v>-185.91849999999999</v>
      </c>
      <c r="H6987" s="1">
        <v>-2.1414879999999998E-6</v>
      </c>
      <c r="I6987">
        <v>32.74971</v>
      </c>
      <c r="J6987">
        <v>-187.37860000000001</v>
      </c>
      <c r="K6987">
        <v>1.109499</v>
      </c>
      <c r="L6987">
        <v>4.0364380000000004</v>
      </c>
      <c r="M6987">
        <v>1.588318E-2</v>
      </c>
      <c r="N6987">
        <v>0</v>
      </c>
      <c r="O6987">
        <v>0.99983449999999996</v>
      </c>
      <c r="P6987">
        <v>5.630814E-2</v>
      </c>
      <c r="Q6987">
        <v>-1.969394E-2</v>
      </c>
      <c r="R6987">
        <v>0.99821919999999997</v>
      </c>
      <c r="S6987">
        <v>0.15119929999999901</v>
      </c>
      <c r="T6987">
        <v>-0.1145277</v>
      </c>
      <c r="U6987">
        <v>2.9945979999999999</v>
      </c>
      <c r="V6987">
        <v>4.044623E-2</v>
      </c>
      <c r="W6987">
        <v>-1.0827669999999999E-2</v>
      </c>
      <c r="X6987">
        <v>0.99912299999999998</v>
      </c>
      <c r="Y6987">
        <v>3.451974E-2</v>
      </c>
      <c r="Z6987">
        <v>-3.8173940000000003E-2</v>
      </c>
      <c r="AA6987">
        <v>0.99867470000000003</v>
      </c>
      <c r="AB6987">
        <v>30</v>
      </c>
      <c r="AC6987">
        <v>1.4601000000000099</v>
      </c>
      <c r="AD6987">
        <v>-1.1095011414880001</v>
      </c>
      <c r="AE6987">
        <v>28.7132719999999</v>
      </c>
      <c r="AF6987">
        <v>1.0023470377074399</v>
      </c>
      <c r="AG6987">
        <v>-1.1095011414880001</v>
      </c>
      <c r="AH6987">
        <v>28.690114755536101</v>
      </c>
      <c r="AI6987">
        <v>92.213283869655001</v>
      </c>
      <c r="AJ6987">
        <v>87.999070199241103</v>
      </c>
      <c r="AK6987">
        <v>28.729051099066901</v>
      </c>
      <c r="AL6987">
        <v>90.620391945102099</v>
      </c>
      <c r="AM6987">
        <v>87.681833343145897</v>
      </c>
      <c r="AN6987">
        <v>0.99999995254391905</v>
      </c>
    </row>
    <row r="6988" spans="1:40" x14ac:dyDescent="0.25">
      <c r="A6988" t="str">
        <f>"20190312161452886"</f>
        <v>20190312161452886</v>
      </c>
      <c r="B6988" t="str">
        <f>"1552378492874371"</f>
        <v>1552378492874371</v>
      </c>
      <c r="C6988" t="s">
        <v>40</v>
      </c>
      <c r="D6988">
        <v>5.3239710000000002</v>
      </c>
      <c r="E6988">
        <v>0.49876490000000001</v>
      </c>
      <c r="F6988" t="s">
        <v>42</v>
      </c>
      <c r="G6988">
        <v>-185.85570000000001</v>
      </c>
      <c r="H6988" s="1">
        <v>-2.5132240000000002E-6</v>
      </c>
      <c r="I6988">
        <v>33.777540000000002</v>
      </c>
      <c r="J6988">
        <v>-187.37370000000001</v>
      </c>
      <c r="K6988">
        <v>1.109497</v>
      </c>
      <c r="L6988">
        <v>4.3435670000000002</v>
      </c>
      <c r="M6988">
        <v>1.5829289999999999E-2</v>
      </c>
      <c r="N6988">
        <v>0</v>
      </c>
      <c r="O6988">
        <v>0.99983540000000004</v>
      </c>
      <c r="P6988">
        <v>5.6261150000000003E-2</v>
      </c>
      <c r="Q6988">
        <v>-1.9187989999999999E-2</v>
      </c>
      <c r="R6988">
        <v>0.99823170000000006</v>
      </c>
      <c r="S6988">
        <v>0.15333559999999999</v>
      </c>
      <c r="T6988">
        <v>-0.111711</v>
      </c>
      <c r="U6988">
        <v>2.994507</v>
      </c>
      <c r="V6988">
        <v>4.0452870000000002E-2</v>
      </c>
      <c r="W6988">
        <v>-1.0326689999999999E-2</v>
      </c>
      <c r="X6988">
        <v>0.99912809999999996</v>
      </c>
      <c r="Y6988">
        <v>3.5287539999999999E-2</v>
      </c>
      <c r="Z6988">
        <v>-3.7236419999999999E-2</v>
      </c>
      <c r="AA6988">
        <v>0.99868330000000005</v>
      </c>
      <c r="AB6988">
        <v>30</v>
      </c>
      <c r="AC6988">
        <v>1.518</v>
      </c>
      <c r="AD6988">
        <v>-1.109499513224</v>
      </c>
      <c r="AE6988">
        <v>29.433972999999899</v>
      </c>
      <c r="AF6988">
        <v>1.0503840781627101</v>
      </c>
      <c r="AG6988">
        <v>-1.109499513224</v>
      </c>
      <c r="AH6988">
        <v>29.4126338326809</v>
      </c>
      <c r="AI6988">
        <v>92.158904680302797</v>
      </c>
      <c r="AJ6988">
        <v>87.954722113993896</v>
      </c>
      <c r="AK6988">
        <v>29.4522889578529</v>
      </c>
      <c r="AL6988">
        <v>90.591686259465604</v>
      </c>
      <c r="AM6988">
        <v>87.6814650103086</v>
      </c>
      <c r="AN6988">
        <v>1.0000000177135999</v>
      </c>
    </row>
    <row r="6989" spans="1:40" x14ac:dyDescent="0.25">
      <c r="A6989" t="str">
        <f>"20190312161452907"</f>
        <v>20190312161452907</v>
      </c>
      <c r="B6989" t="str">
        <f>"1552378492903653"</f>
        <v>1552378492903653</v>
      </c>
      <c r="C6989" t="s">
        <v>40</v>
      </c>
      <c r="D6989">
        <v>5.3190589999999904</v>
      </c>
      <c r="E6989">
        <v>0.49918810000000002</v>
      </c>
      <c r="F6989" t="s">
        <v>42</v>
      </c>
      <c r="G6989">
        <v>-185.69220000000001</v>
      </c>
      <c r="H6989" s="1">
        <v>-3.505687E-6</v>
      </c>
      <c r="I6989">
        <v>36.023420000000002</v>
      </c>
      <c r="J6989">
        <v>-187.369</v>
      </c>
      <c r="K6989">
        <v>1.1094980000000001</v>
      </c>
      <c r="L6989">
        <v>4.6437989999999996</v>
      </c>
      <c r="M6989">
        <v>1.577657E-2</v>
      </c>
      <c r="N6989">
        <v>0</v>
      </c>
      <c r="O6989">
        <v>0.99983630000000001</v>
      </c>
      <c r="P6989">
        <v>5.5823369999999997E-2</v>
      </c>
      <c r="Q6989">
        <v>-1.8616609999999999E-2</v>
      </c>
      <c r="R6989">
        <v>0.99826709999999996</v>
      </c>
      <c r="S6989">
        <v>0.15893550000000001</v>
      </c>
      <c r="T6989">
        <v>-0.10486910000000001</v>
      </c>
      <c r="U6989">
        <v>2.994354</v>
      </c>
      <c r="V6989">
        <v>4.0067230000000002E-2</v>
      </c>
      <c r="W6989">
        <v>-9.7612470000000007E-3</v>
      </c>
      <c r="X6989">
        <v>0.99914930000000002</v>
      </c>
      <c r="Y6989">
        <v>3.720979E-2</v>
      </c>
      <c r="Z6989">
        <v>-3.495761E-2</v>
      </c>
      <c r="AA6989">
        <v>0.99869589999999997</v>
      </c>
      <c r="AB6989">
        <v>30</v>
      </c>
      <c r="AC6989">
        <v>1.6768000000000101</v>
      </c>
      <c r="AD6989">
        <v>-1.1095015056869999</v>
      </c>
      <c r="AE6989">
        <v>31.379621</v>
      </c>
      <c r="AF6989">
        <v>1.18003806138675</v>
      </c>
      <c r="AG6989">
        <v>-1.1095015056869999</v>
      </c>
      <c r="AH6989">
        <v>31.363073690435499</v>
      </c>
      <c r="AI6989">
        <v>92.0246218033747</v>
      </c>
      <c r="AJ6989">
        <v>87.845258286758096</v>
      </c>
      <c r="AK6989">
        <v>31.404870239011199</v>
      </c>
      <c r="AL6989">
        <v>90.559287140986399</v>
      </c>
      <c r="AM6989">
        <v>87.703592660843697</v>
      </c>
      <c r="AN6989">
        <v>0.99999999427667896</v>
      </c>
    </row>
    <row r="6990" spans="1:40" x14ac:dyDescent="0.25">
      <c r="A6990" t="str">
        <f>"20190312161452931"</f>
        <v>20190312161452931</v>
      </c>
      <c r="B6990" t="str">
        <f>"1552378492923172"</f>
        <v>1552378492923172</v>
      </c>
      <c r="C6990" t="s">
        <v>40</v>
      </c>
      <c r="D6990">
        <v>5.3149319999999998</v>
      </c>
      <c r="E6990">
        <v>0.49962580000000001</v>
      </c>
      <c r="F6990" t="s">
        <v>42</v>
      </c>
      <c r="G6990">
        <v>-185.5753</v>
      </c>
      <c r="H6990" s="1">
        <v>-4.3725330000000003E-6</v>
      </c>
      <c r="I6990">
        <v>37.995719999999999</v>
      </c>
      <c r="J6990">
        <v>-187.36410000000001</v>
      </c>
      <c r="K6990">
        <v>1.1094949999999999</v>
      </c>
      <c r="L6990">
        <v>4.9605100000000002</v>
      </c>
      <c r="M6990">
        <v>1.5720749999999999E-2</v>
      </c>
      <c r="N6990">
        <v>0</v>
      </c>
      <c r="O6990">
        <v>0.99983719999999998</v>
      </c>
      <c r="P6990">
        <v>5.5728920000000001E-2</v>
      </c>
      <c r="Q6990">
        <v>-1.780692E-2</v>
      </c>
      <c r="R6990">
        <v>0.99828709999999998</v>
      </c>
      <c r="S6990">
        <v>0.161041299999999</v>
      </c>
      <c r="T6990">
        <v>-9.9611759999999994E-2</v>
      </c>
      <c r="U6990">
        <v>2.994354</v>
      </c>
      <c r="V6990">
        <v>4.0028189999999998E-2</v>
      </c>
      <c r="W6990">
        <v>-8.9570689999999998E-3</v>
      </c>
      <c r="X6990">
        <v>0.9991584</v>
      </c>
      <c r="Y6990">
        <v>3.7969089999999997E-2</v>
      </c>
      <c r="Z6990">
        <v>-3.3206020000000003E-2</v>
      </c>
      <c r="AA6990">
        <v>0.99872700000000003</v>
      </c>
      <c r="AB6990">
        <v>30</v>
      </c>
      <c r="AC6990">
        <v>1.7887999999999999</v>
      </c>
      <c r="AD6990">
        <v>-1.109499372533</v>
      </c>
      <c r="AE6990">
        <v>33.035209999999999</v>
      </c>
      <c r="AF6990">
        <v>1.2677944187730401</v>
      </c>
      <c r="AG6990">
        <v>-1.109499372533</v>
      </c>
      <c r="AH6990">
        <v>33.0221103499129</v>
      </c>
      <c r="AI6990">
        <v>91.922923185372596</v>
      </c>
      <c r="AJ6990">
        <v>87.801363664240299</v>
      </c>
      <c r="AK6990">
        <v>33.0650580448265</v>
      </c>
      <c r="AL6990">
        <v>90.513209114747596</v>
      </c>
      <c r="AM6990">
        <v>87.705848673922503</v>
      </c>
      <c r="AN6990">
        <v>0.99999999668515305</v>
      </c>
    </row>
    <row r="6991" spans="1:40" x14ac:dyDescent="0.25">
      <c r="A6991" t="str">
        <f>"20190312161452954"</f>
        <v>20190312161452954</v>
      </c>
      <c r="B6991" t="str">
        <f>"1552378492943667"</f>
        <v>1552378492943667</v>
      </c>
      <c r="C6991" t="s">
        <v>40</v>
      </c>
      <c r="D6991">
        <v>5.262467</v>
      </c>
      <c r="E6991">
        <v>0.5001082</v>
      </c>
      <c r="F6991" t="s">
        <v>42</v>
      </c>
      <c r="G6991">
        <v>-185.43379999999999</v>
      </c>
      <c r="H6991" s="1">
        <v>-1.391977E-6</v>
      </c>
      <c r="I6991">
        <v>40.168239999999997</v>
      </c>
      <c r="J6991">
        <v>-187.3595</v>
      </c>
      <c r="K6991">
        <v>1.1094949999999999</v>
      </c>
      <c r="L6991">
        <v>5.2542419999999996</v>
      </c>
      <c r="M6991">
        <v>1.566934E-2</v>
      </c>
      <c r="N6991">
        <v>0</v>
      </c>
      <c r="O6991">
        <v>0.99983809999999995</v>
      </c>
      <c r="P6991">
        <v>5.6178609999999997E-2</v>
      </c>
      <c r="Q6991">
        <v>-1.800156E-2</v>
      </c>
      <c r="R6991">
        <v>0.99825839999999999</v>
      </c>
      <c r="S6991">
        <v>0.16416929999999999</v>
      </c>
      <c r="T6991">
        <v>-9.4358800000000007E-2</v>
      </c>
      <c r="U6991">
        <v>2.9942929999999999</v>
      </c>
      <c r="V6991">
        <v>4.0529660000000002E-2</v>
      </c>
      <c r="W6991">
        <v>-9.1563589999999993E-3</v>
      </c>
      <c r="X6991">
        <v>0.99913640000000004</v>
      </c>
      <c r="Y6991">
        <v>3.9064910000000001E-2</v>
      </c>
      <c r="Z6991">
        <v>-3.1455829999999997E-2</v>
      </c>
      <c r="AA6991">
        <v>0.9987414</v>
      </c>
      <c r="AB6991">
        <v>30</v>
      </c>
      <c r="AC6991">
        <v>1.9257</v>
      </c>
      <c r="AD6991">
        <v>-1.109496391977</v>
      </c>
      <c r="AE6991">
        <v>34.913997999999999</v>
      </c>
      <c r="AF6991">
        <v>1.3769765413702699</v>
      </c>
      <c r="AG6991">
        <v>-1.109496391977</v>
      </c>
      <c r="AH6991">
        <v>34.904745536122903</v>
      </c>
      <c r="AI6991">
        <v>91.819199794367194</v>
      </c>
      <c r="AJ6991">
        <v>87.740878666492904</v>
      </c>
      <c r="AK6991">
        <v>34.949510834642403</v>
      </c>
      <c r="AL6991">
        <v>90.524628047305598</v>
      </c>
      <c r="AM6991">
        <v>87.677087924382803</v>
      </c>
      <c r="AN6991">
        <v>1.0000000190274001</v>
      </c>
    </row>
    <row r="6992" spans="1:40" x14ac:dyDescent="0.25">
      <c r="A6992" t="str">
        <f>"20190312161452976"</f>
        <v>20190312161452976</v>
      </c>
      <c r="B6992" t="str">
        <f>"1552378492973924"</f>
        <v>1552378492973924</v>
      </c>
      <c r="C6992" t="s">
        <v>40</v>
      </c>
      <c r="D6992">
        <v>5.1280260000000002</v>
      </c>
      <c r="E6992">
        <v>0.51274949999999997</v>
      </c>
      <c r="F6992" t="s">
        <v>42</v>
      </c>
      <c r="G6992">
        <v>-185.3707</v>
      </c>
      <c r="H6992" s="1">
        <v>-1.49752E-6</v>
      </c>
      <c r="I6992">
        <v>40.429079999999999</v>
      </c>
      <c r="J6992">
        <v>-187.35480000000001</v>
      </c>
      <c r="K6992">
        <v>1.109486</v>
      </c>
      <c r="L6992">
        <v>5.557709</v>
      </c>
      <c r="M6992">
        <v>1.5616049999999999E-2</v>
      </c>
      <c r="N6992">
        <v>0</v>
      </c>
      <c r="O6992">
        <v>0.99983889999999997</v>
      </c>
      <c r="P6992">
        <v>5.652563E-2</v>
      </c>
      <c r="Q6992">
        <v>-1.7550429999999999E-2</v>
      </c>
      <c r="R6992">
        <v>0.99824690000000005</v>
      </c>
      <c r="S6992">
        <v>0.16928099999999999</v>
      </c>
      <c r="T6992">
        <v>-9.4437359999999998E-2</v>
      </c>
      <c r="U6992">
        <v>2.9939879999999999</v>
      </c>
      <c r="V6992">
        <v>4.0930040000000001E-2</v>
      </c>
      <c r="W6992">
        <v>-8.7091919999999993E-3</v>
      </c>
      <c r="X6992">
        <v>0.99912409999999996</v>
      </c>
      <c r="Y6992">
        <v>4.0823529999999997E-2</v>
      </c>
      <c r="Z6992">
        <v>-3.1482629999999998E-2</v>
      </c>
      <c r="AA6992">
        <v>0.99867030000000001</v>
      </c>
      <c r="AB6992">
        <v>30</v>
      </c>
      <c r="AC6992">
        <v>1.98410000000001</v>
      </c>
      <c r="AD6992">
        <v>-1.10948749752</v>
      </c>
      <c r="AE6992">
        <v>34.871371000000003</v>
      </c>
      <c r="AF6992">
        <v>1.4378328336583699</v>
      </c>
      <c r="AG6992">
        <v>-1.10948749752</v>
      </c>
      <c r="AH6992">
        <v>34.862925883763097</v>
      </c>
      <c r="AI6992">
        <v>91.821234501972</v>
      </c>
      <c r="AJ6992">
        <v>87.6383195122731</v>
      </c>
      <c r="AK6992">
        <v>34.910198036411401</v>
      </c>
      <c r="AL6992">
        <v>90.499006231669199</v>
      </c>
      <c r="AM6992">
        <v>87.654137256761999</v>
      </c>
      <c r="AN6992">
        <v>1.00000004270025</v>
      </c>
    </row>
    <row r="6993" spans="1:40" x14ac:dyDescent="0.25">
      <c r="A6993" t="str">
        <f>"20190312161453020"</f>
        <v>20190312161453020</v>
      </c>
      <c r="B6993" t="str">
        <f>"1552378493013940"</f>
        <v>1552378493013940</v>
      </c>
      <c r="C6993" t="s">
        <v>40</v>
      </c>
      <c r="D6993">
        <v>5.291963</v>
      </c>
      <c r="E6993">
        <v>0.53323409999999904</v>
      </c>
      <c r="F6993" t="s">
        <v>43</v>
      </c>
      <c r="G6993">
        <v>-187.2773</v>
      </c>
      <c r="H6993">
        <v>0.96878900000000001</v>
      </c>
      <c r="I6993">
        <v>6.4131010000000002</v>
      </c>
      <c r="J6993">
        <v>-187.34559999999999</v>
      </c>
      <c r="K6993">
        <v>1.1094839999999999</v>
      </c>
      <c r="L6993">
        <v>6.1518860000000002</v>
      </c>
      <c r="M6993">
        <v>1.55119E-2</v>
      </c>
      <c r="N6993">
        <v>0</v>
      </c>
      <c r="O6993">
        <v>0.99984059999999997</v>
      </c>
      <c r="P6993">
        <v>5.718202E-2</v>
      </c>
      <c r="Q6993">
        <v>-1.7289180000000001E-2</v>
      </c>
      <c r="R6993">
        <v>0.99821409999999999</v>
      </c>
      <c r="S6993">
        <v>0.26994319999999999</v>
      </c>
      <c r="T6993">
        <v>-0.49037589999999998</v>
      </c>
      <c r="U6993">
        <v>2.9813540000000001</v>
      </c>
      <c r="V6993">
        <v>4.1690930000000001E-2</v>
      </c>
      <c r="W6993">
        <v>-8.4530619999999904E-3</v>
      </c>
      <c r="X6993">
        <v>0.99909479999999995</v>
      </c>
      <c r="Y6993">
        <v>7.3527800000000004E-2</v>
      </c>
      <c r="Z6993">
        <v>-0.16172999999999901</v>
      </c>
      <c r="AA6993">
        <v>0.98409199999999997</v>
      </c>
      <c r="AB6993">
        <v>30</v>
      </c>
      <c r="AC6993">
        <v>6.8299999999993505E-2</v>
      </c>
      <c r="AD6993">
        <v>-0.14069499999999999</v>
      </c>
      <c r="AE6993">
        <v>0.26121499999999997</v>
      </c>
      <c r="AF6993">
        <v>5.0520993543510001E-2</v>
      </c>
      <c r="AG6993">
        <v>-0.14069499999999999</v>
      </c>
      <c r="AH6993">
        <v>0.20623982106949099</v>
      </c>
      <c r="AI6993">
        <v>123.52848125930301</v>
      </c>
      <c r="AJ6993">
        <v>76.235733759859301</v>
      </c>
      <c r="AK6993">
        <v>0.25472007696371102</v>
      </c>
      <c r="AL6993">
        <v>90.484330542827294</v>
      </c>
      <c r="AM6993">
        <v>87.610507729061098</v>
      </c>
      <c r="AN6993">
        <v>1.00000000364424</v>
      </c>
    </row>
    <row r="6994" spans="1:40" x14ac:dyDescent="0.25">
      <c r="A6994" t="str">
        <f>"20190312161453040"</f>
        <v>20190312161453040</v>
      </c>
      <c r="B6994" t="str">
        <f>"1552378493033460"</f>
        <v>1552378493033460</v>
      </c>
      <c r="C6994" t="s">
        <v>40</v>
      </c>
      <c r="D6994">
        <v>4.6356039999999998</v>
      </c>
      <c r="E6994">
        <v>0.53475139999999999</v>
      </c>
      <c r="F6994" t="s">
        <v>43</v>
      </c>
      <c r="G6994">
        <v>-187.2398</v>
      </c>
      <c r="H6994">
        <v>0.79183970000000004</v>
      </c>
      <c r="I6994">
        <v>6.8755169999999897</v>
      </c>
      <c r="J6994">
        <v>-187.34139999999999</v>
      </c>
      <c r="K6994">
        <v>1.1094900000000001</v>
      </c>
      <c r="L6994">
        <v>6.4256900000000003</v>
      </c>
      <c r="M6994">
        <v>1.546382E-2</v>
      </c>
      <c r="N6994">
        <v>0</v>
      </c>
      <c r="O6994">
        <v>0.99984130000000004</v>
      </c>
      <c r="P6994">
        <v>5.7651359999999999E-2</v>
      </c>
      <c r="Q6994">
        <v>-1.7290549999999998E-2</v>
      </c>
      <c r="R6994">
        <v>0.99818700000000005</v>
      </c>
      <c r="S6994">
        <v>0.43252560000000001</v>
      </c>
      <c r="T6994">
        <v>-1.2984819999999999</v>
      </c>
      <c r="U6994">
        <v>2.9580989999999998</v>
      </c>
      <c r="V6994">
        <v>4.2208679999999998E-2</v>
      </c>
      <c r="W6994">
        <v>-8.4556570000000001E-3</v>
      </c>
      <c r="X6994">
        <v>0.99907299999999999</v>
      </c>
      <c r="Y6994">
        <v>0.1173662</v>
      </c>
      <c r="Z6994">
        <v>-0.39871970000000001</v>
      </c>
      <c r="AA6994">
        <v>0.9095316</v>
      </c>
      <c r="AB6994">
        <v>30</v>
      </c>
      <c r="AC6994">
        <v>0.10159999999999</v>
      </c>
      <c r="AD6994">
        <v>-0.317650299999999</v>
      </c>
      <c r="AE6994">
        <v>0.44982699999999898</v>
      </c>
      <c r="AF6994">
        <v>6.4180514129845101E-2</v>
      </c>
      <c r="AG6994">
        <v>-0.317650299999999</v>
      </c>
      <c r="AH6994">
        <v>0.30610848080305197</v>
      </c>
      <c r="AI6994">
        <v>135.444054630263</v>
      </c>
      <c r="AJ6994">
        <v>78.158555383439705</v>
      </c>
      <c r="AK6994">
        <v>0.445783864113108</v>
      </c>
      <c r="AL6994">
        <v>90.484479249379405</v>
      </c>
      <c r="AM6994">
        <v>87.580815493358003</v>
      </c>
      <c r="AN6994">
        <v>0.99999996506582101</v>
      </c>
    </row>
    <row r="6995" spans="1:40" x14ac:dyDescent="0.25">
      <c r="A6995" t="str">
        <f>"20190312161453063"</f>
        <v>20190312161453063</v>
      </c>
      <c r="B6995" t="str">
        <f>"1552378493053955"</f>
        <v>1552378493053955</v>
      </c>
      <c r="C6995" t="s">
        <v>40</v>
      </c>
      <c r="D6995">
        <v>5.8106030000000004</v>
      </c>
      <c r="E6995">
        <v>0.53475819999999996</v>
      </c>
      <c r="F6995" t="s">
        <v>43</v>
      </c>
      <c r="G6995">
        <v>-187.2313</v>
      </c>
      <c r="H6995">
        <v>0.81679639999999998</v>
      </c>
      <c r="I6995">
        <v>7.154928</v>
      </c>
      <c r="J6995">
        <v>-187.33670000000001</v>
      </c>
      <c r="K6995">
        <v>1.1094820000000001</v>
      </c>
      <c r="L6995">
        <v>6.7338259999999996</v>
      </c>
      <c r="M6995">
        <v>1.5409849999999999E-2</v>
      </c>
      <c r="N6995">
        <v>0</v>
      </c>
      <c r="O6995">
        <v>0.99984220000000001</v>
      </c>
      <c r="P6995">
        <v>5.7798479999999999E-2</v>
      </c>
      <c r="Q6995">
        <v>-1.7117139999999999E-2</v>
      </c>
      <c r="R6995">
        <v>0.99818150000000005</v>
      </c>
      <c r="S6995">
        <v>0.4459534</v>
      </c>
      <c r="T6995">
        <v>-1.1876679999999999</v>
      </c>
      <c r="U6995">
        <v>2.9591059999999998</v>
      </c>
      <c r="V6995">
        <v>4.2409769999999999E-2</v>
      </c>
      <c r="W6995">
        <v>-8.282612E-3</v>
      </c>
      <c r="X6995">
        <v>0.99906600000000001</v>
      </c>
      <c r="Y6995">
        <v>0.123241</v>
      </c>
      <c r="Z6995">
        <v>-0.3692124</v>
      </c>
      <c r="AA6995">
        <v>0.92113730000000005</v>
      </c>
      <c r="AB6995">
        <v>30</v>
      </c>
      <c r="AC6995">
        <v>0.10540000000000301</v>
      </c>
      <c r="AD6995">
        <v>-0.29268559999999999</v>
      </c>
      <c r="AE6995">
        <v>0.42110199999999998</v>
      </c>
      <c r="AF6995">
        <v>6.7989448318713203E-2</v>
      </c>
      <c r="AG6995">
        <v>-0.29268559999999999</v>
      </c>
      <c r="AH6995">
        <v>0.29057708954940897</v>
      </c>
      <c r="AI6995">
        <v>134.44368216947001</v>
      </c>
      <c r="AJ6995">
        <v>76.830803236868505</v>
      </c>
      <c r="AK6995">
        <v>0.41799817045179499</v>
      </c>
      <c r="AL6995">
        <v>90.474564122174897</v>
      </c>
      <c r="AM6995">
        <v>87.569286829230705</v>
      </c>
      <c r="AN6995">
        <v>1.0000000313044899</v>
      </c>
    </row>
    <row r="6996" spans="1:40" x14ac:dyDescent="0.25">
      <c r="A6996" t="str">
        <f>"20190312161453085"</f>
        <v>20190312161453085</v>
      </c>
      <c r="B6996" t="str">
        <f>"1552378493073476"</f>
        <v>1552378493073476</v>
      </c>
      <c r="C6996" t="s">
        <v>40</v>
      </c>
      <c r="D6996">
        <v>9.1533750000000005</v>
      </c>
      <c r="E6996">
        <v>0.53359569999999901</v>
      </c>
      <c r="F6996" t="s">
        <v>43</v>
      </c>
      <c r="G6996">
        <v>-187.22989999999999</v>
      </c>
      <c r="H6996">
        <v>0.85667549999999903</v>
      </c>
      <c r="I6996">
        <v>7.4409320000000001</v>
      </c>
      <c r="J6996">
        <v>-187.3322</v>
      </c>
      <c r="K6996">
        <v>1.109478</v>
      </c>
      <c r="L6996">
        <v>7.0298769999999999</v>
      </c>
      <c r="M6996">
        <v>1.535778E-2</v>
      </c>
      <c r="N6996">
        <v>0</v>
      </c>
      <c r="O6996">
        <v>0.99984300000000004</v>
      </c>
      <c r="P6996">
        <v>5.793421E-2</v>
      </c>
      <c r="Q6996">
        <v>-1.7324490000000001E-2</v>
      </c>
      <c r="R6996">
        <v>0.99817009999999995</v>
      </c>
      <c r="S6996">
        <v>0.4467468</v>
      </c>
      <c r="T6996">
        <v>-1.058775</v>
      </c>
      <c r="U6996">
        <v>2.9614560000000001</v>
      </c>
      <c r="V6996">
        <v>4.2597700000000002E-2</v>
      </c>
      <c r="W6996">
        <v>-8.489524E-3</v>
      </c>
      <c r="X6996">
        <v>0.99905619999999995</v>
      </c>
      <c r="Y6996">
        <v>0.125419899999999</v>
      </c>
      <c r="Z6996">
        <v>-0.33359909999999998</v>
      </c>
      <c r="AA6996">
        <v>0.93433480000000002</v>
      </c>
      <c r="AB6996">
        <v>30</v>
      </c>
      <c r="AC6996">
        <v>0.10230000000001301</v>
      </c>
      <c r="AD6996">
        <v>-0.25280249999999999</v>
      </c>
      <c r="AE6996">
        <v>0.411055</v>
      </c>
      <c r="AF6996">
        <v>7.0768713719376999E-2</v>
      </c>
      <c r="AG6996">
        <v>-0.25280249999999999</v>
      </c>
      <c r="AH6996">
        <v>0.30422145350054303</v>
      </c>
      <c r="AI6996">
        <v>128.98572184958101</v>
      </c>
      <c r="AJ6996">
        <v>76.904615993626393</v>
      </c>
      <c r="AK6996">
        <v>0.40183081964643802</v>
      </c>
      <c r="AL6996">
        <v>90.486419756067804</v>
      </c>
      <c r="AM6996">
        <v>87.558504718792904</v>
      </c>
      <c r="AN6996">
        <v>0.99999996341073705</v>
      </c>
    </row>
    <row r="6997" spans="1:40" x14ac:dyDescent="0.25">
      <c r="A6997" t="str">
        <f>"20190312161453109"</f>
        <v>20190312161453109</v>
      </c>
      <c r="B6997" t="str">
        <f>"1552378493103731"</f>
        <v>1552378493103731</v>
      </c>
      <c r="C6997" t="s">
        <v>40</v>
      </c>
      <c r="D6997">
        <v>5.3308710000000001</v>
      </c>
      <c r="E6997">
        <v>0.533636</v>
      </c>
      <c r="F6997" t="s">
        <v>43</v>
      </c>
      <c r="G6997">
        <v>-187.2295</v>
      </c>
      <c r="H6997">
        <v>0.88905689999999904</v>
      </c>
      <c r="I6997">
        <v>7.7245039999999996</v>
      </c>
      <c r="J6997">
        <v>-187.32730000000001</v>
      </c>
      <c r="K6997">
        <v>1.109483</v>
      </c>
      <c r="L6997">
        <v>7.3569949999999897</v>
      </c>
      <c r="M6997">
        <v>1.5300360000000001E-2</v>
      </c>
      <c r="N6997">
        <v>0</v>
      </c>
      <c r="O6997">
        <v>0.99984379999999995</v>
      </c>
      <c r="P6997">
        <v>5.8069759999999998E-2</v>
      </c>
      <c r="Q6997">
        <v>-1.768426E-2</v>
      </c>
      <c r="R6997">
        <v>0.99815589999999998</v>
      </c>
      <c r="S6997">
        <v>0.43785099999999999</v>
      </c>
      <c r="T6997">
        <v>-0.94045710000000005</v>
      </c>
      <c r="U6997">
        <v>2.9637760000000002</v>
      </c>
      <c r="V6997">
        <v>4.2790849999999998E-2</v>
      </c>
      <c r="W6997">
        <v>-8.8480550000000005E-3</v>
      </c>
      <c r="X6997">
        <v>0.99904490000000001</v>
      </c>
      <c r="Y6997">
        <v>0.12427580000000001</v>
      </c>
      <c r="Z6997">
        <v>-0.29975970000000002</v>
      </c>
      <c r="AA6997">
        <v>0.94588570000000005</v>
      </c>
      <c r="AB6997">
        <v>30</v>
      </c>
      <c r="AC6997">
        <v>9.7800000000006507E-2</v>
      </c>
      <c r="AD6997">
        <v>-0.22042610000000001</v>
      </c>
      <c r="AE6997">
        <v>0.36750899999999997</v>
      </c>
      <c r="AF6997">
        <v>6.8988597262980803E-2</v>
      </c>
      <c r="AG6997">
        <v>-0.22042610000000001</v>
      </c>
      <c r="AH6997">
        <v>0.27617982230982202</v>
      </c>
      <c r="AI6997">
        <v>127.751780213175</v>
      </c>
      <c r="AJ6997">
        <v>75.9747612924821</v>
      </c>
      <c r="AK6997">
        <v>0.36003109083051199</v>
      </c>
      <c r="AL6997">
        <v>90.506962808920207</v>
      </c>
      <c r="AM6997">
        <v>87.547420070656699</v>
      </c>
      <c r="AN6997">
        <v>1.0000000285685</v>
      </c>
    </row>
    <row r="6998" spans="1:40" x14ac:dyDescent="0.25">
      <c r="A6998" t="str">
        <f>"20190312161453132"</f>
        <v>20190312161453132</v>
      </c>
      <c r="B6998" t="str">
        <f>"1552378493123251"</f>
        <v>1552378493123251</v>
      </c>
      <c r="C6998" t="s">
        <v>40</v>
      </c>
      <c r="D6998">
        <v>5.5159019999999996</v>
      </c>
      <c r="E6998">
        <v>0.53006399999999998</v>
      </c>
      <c r="F6998" t="s">
        <v>43</v>
      </c>
      <c r="G6998">
        <v>-187.19489999999999</v>
      </c>
      <c r="H6998">
        <v>0.84840130000000002</v>
      </c>
      <c r="I6998">
        <v>8.2512349999999994</v>
      </c>
      <c r="J6998">
        <v>-187.3228</v>
      </c>
      <c r="K6998">
        <v>1.1094839999999999</v>
      </c>
      <c r="L6998">
        <v>7.6556089999999903</v>
      </c>
      <c r="M6998">
        <v>1.524816E-2</v>
      </c>
      <c r="N6998">
        <v>0</v>
      </c>
      <c r="O6998">
        <v>0.99984459999999997</v>
      </c>
      <c r="P6998">
        <v>5.8138139999999998E-2</v>
      </c>
      <c r="Q6998">
        <v>-1.791823E-2</v>
      </c>
      <c r="R6998">
        <v>0.99814769999999997</v>
      </c>
      <c r="S6998">
        <v>0.438446</v>
      </c>
      <c r="T6998">
        <v>-0.86555899999999997</v>
      </c>
      <c r="U6998">
        <v>2.9646910000000002</v>
      </c>
      <c r="V6998">
        <v>4.291151E-2</v>
      </c>
      <c r="W6998">
        <v>-9.0801260000000009E-3</v>
      </c>
      <c r="X6998">
        <v>0.99903759999999997</v>
      </c>
      <c r="Y6998">
        <v>0.12544350000000001</v>
      </c>
      <c r="Z6998">
        <v>-0.27771469999999998</v>
      </c>
      <c r="AA6998">
        <v>0.95243820000000001</v>
      </c>
      <c r="AB6998">
        <v>30</v>
      </c>
      <c r="AC6998">
        <v>0.127900000000011</v>
      </c>
      <c r="AD6998">
        <v>-0.261082699999999</v>
      </c>
      <c r="AE6998">
        <v>0.59562600000000199</v>
      </c>
      <c r="AF6998">
        <v>0.100368222890464</v>
      </c>
      <c r="AG6998">
        <v>-0.261082699999999</v>
      </c>
      <c r="AH6998">
        <v>0.50479312425409395</v>
      </c>
      <c r="AI6998">
        <v>116.897645317341</v>
      </c>
      <c r="AJ6998">
        <v>78.754517265010406</v>
      </c>
      <c r="AK6998">
        <v>0.57710835611667299</v>
      </c>
      <c r="AL6998">
        <v>90.5202600536701</v>
      </c>
      <c r="AM6998">
        <v>87.540494910657699</v>
      </c>
      <c r="AN6998">
        <v>0.99999998629620701</v>
      </c>
    </row>
    <row r="6999" spans="1:40" x14ac:dyDescent="0.25">
      <c r="A6999" t="str">
        <f>"20190312161453154"</f>
        <v>20190312161453154</v>
      </c>
      <c r="B6999" t="str">
        <f>"1552378493143748"</f>
        <v>1552378493143748</v>
      </c>
      <c r="C6999" t="s">
        <v>40</v>
      </c>
      <c r="D6999">
        <v>5.5127179999999996</v>
      </c>
      <c r="E6999">
        <v>0.53149269999999904</v>
      </c>
      <c r="F6999" t="s">
        <v>43</v>
      </c>
      <c r="G6999">
        <v>-187.1985</v>
      </c>
      <c r="H6999">
        <v>0.91867520000000003</v>
      </c>
      <c r="I6999">
        <v>8.5526769999999992</v>
      </c>
      <c r="J6999">
        <v>-187.31809999999999</v>
      </c>
      <c r="K6999">
        <v>1.1094839999999999</v>
      </c>
      <c r="L6999">
        <v>7.9616699999999998</v>
      </c>
      <c r="M6999">
        <v>1.5194350000000001E-2</v>
      </c>
      <c r="N6999">
        <v>0</v>
      </c>
      <c r="O6999">
        <v>0.9998454</v>
      </c>
      <c r="P6999">
        <v>5.8401580000000002E-2</v>
      </c>
      <c r="Q6999">
        <v>-1.8088429999999999E-2</v>
      </c>
      <c r="R6999">
        <v>0.9981293</v>
      </c>
      <c r="S6999">
        <v>0.41122439999999999</v>
      </c>
      <c r="T6999">
        <v>-0.63177850000000002</v>
      </c>
      <c r="U6999">
        <v>2.9702760000000001</v>
      </c>
      <c r="V6999">
        <v>4.3228999999999997E-2</v>
      </c>
      <c r="W6999">
        <v>-9.2478709999999995E-3</v>
      </c>
      <c r="X6999">
        <v>0.99902239999999998</v>
      </c>
      <c r="Y6999">
        <v>0.1191213</v>
      </c>
      <c r="Z6999">
        <v>-0.2063305</v>
      </c>
      <c r="AA6999">
        <v>0.97120430000000002</v>
      </c>
      <c r="AB6999">
        <v>30</v>
      </c>
      <c r="AC6999">
        <v>0.11959999999999101</v>
      </c>
      <c r="AD6999">
        <v>-0.190808799999999</v>
      </c>
      <c r="AE6999">
        <v>0.59100700000000095</v>
      </c>
      <c r="AF6999">
        <v>0.100538563328904</v>
      </c>
      <c r="AG6999">
        <v>-0.190808799999999</v>
      </c>
      <c r="AH6999">
        <v>0.53880362091755296</v>
      </c>
      <c r="AI6999">
        <v>109.19431278659999</v>
      </c>
      <c r="AJ6999">
        <v>79.430393016185803</v>
      </c>
      <c r="AK6999">
        <v>0.58036655898453204</v>
      </c>
      <c r="AL6999">
        <v>90.529871523982607</v>
      </c>
      <c r="AM6999">
        <v>87.522282679128807</v>
      </c>
      <c r="AN6999">
        <v>1.0000000126303901</v>
      </c>
    </row>
    <row r="7000" spans="1:40" x14ac:dyDescent="0.25">
      <c r="A7000" t="str">
        <f>"20190312161453199"</f>
        <v>20190312161453199</v>
      </c>
      <c r="B7000" t="str">
        <f>"1552378493183763"</f>
        <v>1552378493183763</v>
      </c>
      <c r="C7000" t="s">
        <v>40</v>
      </c>
      <c r="D7000">
        <v>5.5695870000000003</v>
      </c>
      <c r="E7000">
        <v>0.53344199999999997</v>
      </c>
      <c r="F7000" t="s">
        <v>43</v>
      </c>
      <c r="G7000">
        <v>-187.1951</v>
      </c>
      <c r="H7000">
        <v>0.91418109999999997</v>
      </c>
      <c r="I7000">
        <v>8.8232479999999995</v>
      </c>
      <c r="J7000">
        <v>-187.309</v>
      </c>
      <c r="K7000">
        <v>1.1094790000000001</v>
      </c>
      <c r="L7000">
        <v>8.5735469999999996</v>
      </c>
      <c r="M7000">
        <v>1.5087160000000001E-2</v>
      </c>
      <c r="N7000">
        <v>0</v>
      </c>
      <c r="O7000">
        <v>0.99984700000000004</v>
      </c>
      <c r="P7000">
        <v>5.8564949999999998E-2</v>
      </c>
      <c r="Q7000">
        <v>-1.851626E-2</v>
      </c>
      <c r="R7000">
        <v>0.99811179999999999</v>
      </c>
      <c r="S7000">
        <v>0.42352289999999998</v>
      </c>
      <c r="T7000">
        <v>-0.67292649999999998</v>
      </c>
      <c r="U7000">
        <v>2.968658</v>
      </c>
      <c r="V7000">
        <v>4.349973E-2</v>
      </c>
      <c r="W7000">
        <v>-9.6692150000000001E-3</v>
      </c>
      <c r="X7000">
        <v>0.99900659999999997</v>
      </c>
      <c r="Y7000">
        <v>0.12285020000000001</v>
      </c>
      <c r="Z7000">
        <v>-0.21914130000000001</v>
      </c>
      <c r="AA7000">
        <v>0.96792820000000002</v>
      </c>
      <c r="AB7000">
        <v>30</v>
      </c>
      <c r="AC7000">
        <v>0.11390000000002901</v>
      </c>
      <c r="AD7000">
        <v>-0.1952979</v>
      </c>
      <c r="AE7000">
        <v>0.24970099999999901</v>
      </c>
      <c r="AF7000">
        <v>7.3102915035247504E-2</v>
      </c>
      <c r="AG7000">
        <v>-0.1952979</v>
      </c>
      <c r="AH7000">
        <v>0.16688599265795401</v>
      </c>
      <c r="AI7000">
        <v>136.98797718601199</v>
      </c>
      <c r="AJ7000">
        <v>66.344607987691006</v>
      </c>
      <c r="AK7000">
        <v>0.26708845066099601</v>
      </c>
      <c r="AL7000">
        <v>90.554013869478098</v>
      </c>
      <c r="AM7000">
        <v>87.506745631492905</v>
      </c>
      <c r="AN7000">
        <v>0.99999995353617299</v>
      </c>
    </row>
    <row r="7001" spans="1:40" x14ac:dyDescent="0.25">
      <c r="A7001" t="str">
        <f>"20190312161453221"</f>
        <v>20190312161453221</v>
      </c>
      <c r="B7001" t="str">
        <f>"1552378493214020"</f>
        <v>1552378493214020</v>
      </c>
      <c r="C7001" t="s">
        <v>40</v>
      </c>
      <c r="D7001">
        <v>5.4982150000000001</v>
      </c>
      <c r="E7001">
        <v>0.53457900000000003</v>
      </c>
      <c r="F7001" t="s">
        <v>43</v>
      </c>
      <c r="G7001">
        <v>-187.19030000000001</v>
      </c>
      <c r="H7001">
        <v>0.92428529999999998</v>
      </c>
      <c r="I7001">
        <v>9.374371</v>
      </c>
      <c r="J7001">
        <v>-187.30439999999999</v>
      </c>
      <c r="K7001">
        <v>1.109477</v>
      </c>
      <c r="L7001">
        <v>8.8836060000000003</v>
      </c>
      <c r="M7001">
        <v>1.503287E-2</v>
      </c>
      <c r="N7001">
        <v>0</v>
      </c>
      <c r="O7001">
        <v>0.99984779999999995</v>
      </c>
      <c r="P7001">
        <v>5.8319790000000003E-2</v>
      </c>
      <c r="Q7001">
        <v>-1.84712E-2</v>
      </c>
      <c r="R7001">
        <v>0.99812699999999999</v>
      </c>
      <c r="S7001">
        <v>0.43945309999999999</v>
      </c>
      <c r="T7001">
        <v>-0.68616129999999997</v>
      </c>
      <c r="U7001">
        <v>2.9671630000000002</v>
      </c>
      <c r="V7001">
        <v>4.3308600000000003E-2</v>
      </c>
      <c r="W7001">
        <v>-9.6200520000000005E-3</v>
      </c>
      <c r="X7001">
        <v>0.99901549999999995</v>
      </c>
      <c r="Y7001">
        <v>0.12792519999999999</v>
      </c>
      <c r="Z7001">
        <v>-0.22318969999999999</v>
      </c>
      <c r="AA7001">
        <v>0.96634439999999999</v>
      </c>
      <c r="AB7001">
        <v>31</v>
      </c>
      <c r="AC7001">
        <v>0.114099999999979</v>
      </c>
      <c r="AD7001">
        <v>-0.18519169999999999</v>
      </c>
      <c r="AE7001">
        <v>0.49076499999999901</v>
      </c>
      <c r="AF7001">
        <v>9.4009213052891005E-2</v>
      </c>
      <c r="AG7001">
        <v>-0.18519169999999999</v>
      </c>
      <c r="AH7001">
        <v>0.43381891083521201</v>
      </c>
      <c r="AI7001">
        <v>112.646075009198</v>
      </c>
      <c r="AJ7001">
        <v>77.772970477477202</v>
      </c>
      <c r="AK7001">
        <v>0.48097042038566601</v>
      </c>
      <c r="AL7001">
        <v>90.551196839112393</v>
      </c>
      <c r="AM7001">
        <v>87.517708896643498</v>
      </c>
      <c r="AN7001">
        <v>1.0000000747373401</v>
      </c>
    </row>
    <row r="7002" spans="1:40" x14ac:dyDescent="0.25">
      <c r="A7002" t="str">
        <f>"20190312161453243"</f>
        <v>20190312161453243</v>
      </c>
      <c r="B7002" t="str">
        <f>"1552378493233540"</f>
        <v>1552378493233540</v>
      </c>
      <c r="C7002" t="s">
        <v>40</v>
      </c>
      <c r="D7002">
        <v>5.3444940000000001</v>
      </c>
      <c r="E7002">
        <v>0.53418299999999996</v>
      </c>
      <c r="F7002" t="s">
        <v>43</v>
      </c>
      <c r="G7002">
        <v>-187.18899999999999</v>
      </c>
      <c r="H7002">
        <v>0.92344519999999997</v>
      </c>
      <c r="I7002">
        <v>9.6479250000000008</v>
      </c>
      <c r="J7002">
        <v>-187.29990000000001</v>
      </c>
      <c r="K7002">
        <v>1.109472</v>
      </c>
      <c r="L7002">
        <v>9.1829219999999996</v>
      </c>
      <c r="M7002">
        <v>1.4980479999999999E-2</v>
      </c>
      <c r="N7002">
        <v>0</v>
      </c>
      <c r="O7002">
        <v>0.99984850000000003</v>
      </c>
      <c r="P7002">
        <v>5.773768E-2</v>
      </c>
      <c r="Q7002">
        <v>-1.8136340000000001E-2</v>
      </c>
      <c r="R7002">
        <v>0.99816700000000003</v>
      </c>
      <c r="S7002">
        <v>0.44766240000000002</v>
      </c>
      <c r="T7002">
        <v>-0.72193850000000004</v>
      </c>
      <c r="U7002">
        <v>2.9661249999999999</v>
      </c>
      <c r="V7002">
        <v>4.277827E-2</v>
      </c>
      <c r="W7002">
        <v>-9.2842759999999993E-3</v>
      </c>
      <c r="X7002">
        <v>0.99904139999999997</v>
      </c>
      <c r="Y7002">
        <v>0.13025599999999901</v>
      </c>
      <c r="Z7002">
        <v>-0.23419480000000001</v>
      </c>
      <c r="AA7002">
        <v>0.96342419999999995</v>
      </c>
      <c r="AB7002">
        <v>31</v>
      </c>
      <c r="AC7002">
        <v>0.110899999999986</v>
      </c>
      <c r="AD7002">
        <v>-0.18602679999999999</v>
      </c>
      <c r="AE7002">
        <v>0.465003000000001</v>
      </c>
      <c r="AF7002">
        <v>9.0254065615746004E-2</v>
      </c>
      <c r="AG7002">
        <v>-0.18602679999999999</v>
      </c>
      <c r="AH7002">
        <v>0.40524555083082198</v>
      </c>
      <c r="AI7002">
        <v>114.135676422033</v>
      </c>
      <c r="AJ7002">
        <v>77.444316244843705</v>
      </c>
      <c r="AK7002">
        <v>0.454945846388983</v>
      </c>
      <c r="AL7002">
        <v>90.531957500455704</v>
      </c>
      <c r="AM7002">
        <v>87.548131640610194</v>
      </c>
      <c r="AN7002">
        <v>0.99999994853949703</v>
      </c>
    </row>
    <row r="7003" spans="1:40" x14ac:dyDescent="0.25">
      <c r="A7003" t="str">
        <f>"20190312161453265"</f>
        <v>20190312161453265</v>
      </c>
      <c r="B7003" t="str">
        <f>"1552378493254036"</f>
        <v>1552378493254036</v>
      </c>
      <c r="C7003" t="s">
        <v>40</v>
      </c>
      <c r="D7003">
        <v>5.3392359999999996</v>
      </c>
      <c r="E7003">
        <v>0.53526879999999999</v>
      </c>
      <c r="F7003" t="s">
        <v>43</v>
      </c>
      <c r="G7003">
        <v>-187.18860000000001</v>
      </c>
      <c r="H7003">
        <v>0.93287620000000004</v>
      </c>
      <c r="I7003">
        <v>9.9267420000000008</v>
      </c>
      <c r="J7003">
        <v>-187.2953</v>
      </c>
      <c r="K7003">
        <v>1.109469</v>
      </c>
      <c r="L7003">
        <v>9.4906310000000005</v>
      </c>
      <c r="M7003">
        <v>1.492664E-2</v>
      </c>
      <c r="N7003">
        <v>0</v>
      </c>
      <c r="O7003">
        <v>0.9998494</v>
      </c>
      <c r="P7003">
        <v>5.6983220000000001E-2</v>
      </c>
      <c r="Q7003">
        <v>-1.8290560000000001E-2</v>
      </c>
      <c r="R7003">
        <v>0.99820759999999997</v>
      </c>
      <c r="S7003">
        <v>0.44331359999999997</v>
      </c>
      <c r="T7003">
        <v>-0.70442299999999902</v>
      </c>
      <c r="U7003">
        <v>2.9670719999999999</v>
      </c>
      <c r="V7003">
        <v>4.2077089999999998E-2</v>
      </c>
      <c r="W7003">
        <v>-9.4417430000000007E-3</v>
      </c>
      <c r="X7003">
        <v>0.99906980000000001</v>
      </c>
      <c r="Y7003">
        <v>0.12907289999999999</v>
      </c>
      <c r="Z7003">
        <v>-0.22878950000000001</v>
      </c>
      <c r="AA7003">
        <v>0.96488110000000005</v>
      </c>
      <c r="AB7003">
        <v>31</v>
      </c>
      <c r="AC7003">
        <v>0.106699999999989</v>
      </c>
      <c r="AD7003">
        <v>-0.17659279999999999</v>
      </c>
      <c r="AE7003">
        <v>0.43611099999999797</v>
      </c>
      <c r="AF7003">
        <v>8.6756540140890695E-2</v>
      </c>
      <c r="AG7003">
        <v>-0.17659279999999999</v>
      </c>
      <c r="AH7003">
        <v>0.37901910686527202</v>
      </c>
      <c r="AI7003">
        <v>114.426334777713</v>
      </c>
      <c r="AJ7003">
        <v>77.107242756126098</v>
      </c>
      <c r="AK7003">
        <v>0.42704472557099499</v>
      </c>
      <c r="AL7003">
        <v>90.540980037864102</v>
      </c>
      <c r="AM7003">
        <v>87.588340921399904</v>
      </c>
      <c r="AN7003">
        <v>1.00000004664289</v>
      </c>
    </row>
    <row r="7004" spans="1:40" x14ac:dyDescent="0.25">
      <c r="A7004" t="str">
        <f>"20190312161453287"</f>
        <v>20190312161453287</v>
      </c>
      <c r="B7004" t="str">
        <f>"1552378493283315"</f>
        <v>1552378493283315</v>
      </c>
      <c r="C7004" t="s">
        <v>40</v>
      </c>
      <c r="D7004">
        <v>5.4012820000000001</v>
      </c>
      <c r="E7004">
        <v>0.53708769999999995</v>
      </c>
      <c r="F7004" t="s">
        <v>43</v>
      </c>
      <c r="G7004">
        <v>-187.18700000000001</v>
      </c>
      <c r="H7004">
        <v>0.93973620000000002</v>
      </c>
      <c r="I7004">
        <v>10.20492</v>
      </c>
      <c r="J7004">
        <v>-187.291</v>
      </c>
      <c r="K7004">
        <v>1.1094649999999999</v>
      </c>
      <c r="L7004">
        <v>9.7867739999999994</v>
      </c>
      <c r="M7004">
        <v>1.487486E-2</v>
      </c>
      <c r="N7004">
        <v>0</v>
      </c>
      <c r="O7004">
        <v>0.99985020000000002</v>
      </c>
      <c r="P7004">
        <v>5.6595670000000001E-2</v>
      </c>
      <c r="Q7004">
        <v>-1.8661210000000001E-2</v>
      </c>
      <c r="R7004">
        <v>0.99822279999999997</v>
      </c>
      <c r="S7004">
        <v>0.4497681</v>
      </c>
      <c r="T7004">
        <v>-0.70498340000000004</v>
      </c>
      <c r="U7004">
        <v>2.9667970000000001</v>
      </c>
      <c r="V7004">
        <v>4.1741130000000001E-2</v>
      </c>
      <c r="W7004">
        <v>-9.8167970000000004E-3</v>
      </c>
      <c r="X7004">
        <v>0.99908019999999997</v>
      </c>
      <c r="Y7004">
        <v>0.1311852</v>
      </c>
      <c r="Z7004">
        <v>-0.22891520000000001</v>
      </c>
      <c r="AA7004">
        <v>0.96456629999999999</v>
      </c>
      <c r="AB7004">
        <v>31</v>
      </c>
      <c r="AC7004">
        <v>0.10399999999998499</v>
      </c>
      <c r="AD7004">
        <v>-0.16972879999999901</v>
      </c>
      <c r="AE7004">
        <v>0.41814599999999802</v>
      </c>
      <c r="AF7004">
        <v>8.4636016654849905E-2</v>
      </c>
      <c r="AG7004">
        <v>-0.16972879999999901</v>
      </c>
      <c r="AH7004">
        <v>0.36327931028627702</v>
      </c>
      <c r="AI7004">
        <v>114.466816829443</v>
      </c>
      <c r="AJ7004">
        <v>76.885297650228793</v>
      </c>
      <c r="AK7004">
        <v>0.40980846519650299</v>
      </c>
      <c r="AL7004">
        <v>90.562470088430004</v>
      </c>
      <c r="AM7004">
        <v>87.607598965118498</v>
      </c>
      <c r="AN7004">
        <v>0.99999996873452701</v>
      </c>
    </row>
    <row r="7005" spans="1:40" x14ac:dyDescent="0.25">
      <c r="A7005" t="str">
        <f>"20190312161453309"</f>
        <v>20190312161453309</v>
      </c>
      <c r="B7005" t="str">
        <f>"1552378493303812"</f>
        <v>1552378493303812</v>
      </c>
      <c r="C7005" t="s">
        <v>40</v>
      </c>
      <c r="D7005">
        <v>5.5390769999999998</v>
      </c>
      <c r="E7005">
        <v>0.53808049999999996</v>
      </c>
      <c r="F7005" t="s">
        <v>43</v>
      </c>
      <c r="G7005">
        <v>-187.18219999999999</v>
      </c>
      <c r="H7005">
        <v>0.94632689999999997</v>
      </c>
      <c r="I7005">
        <v>10.48353</v>
      </c>
      <c r="J7005">
        <v>-187.28649999999999</v>
      </c>
      <c r="K7005">
        <v>1.109464</v>
      </c>
      <c r="L7005">
        <v>10.09137</v>
      </c>
      <c r="M7005">
        <v>1.4821580000000001E-2</v>
      </c>
      <c r="N7005">
        <v>0</v>
      </c>
      <c r="O7005">
        <v>0.99985100000000005</v>
      </c>
      <c r="P7005">
        <v>5.6430460000000002E-2</v>
      </c>
      <c r="Q7005">
        <v>-1.83976E-2</v>
      </c>
      <c r="R7005">
        <v>0.99823700000000004</v>
      </c>
      <c r="S7005">
        <v>0.46282960000000001</v>
      </c>
      <c r="T7005">
        <v>-0.69448140000000003</v>
      </c>
      <c r="U7005">
        <v>2.9661249999999999</v>
      </c>
      <c r="V7005">
        <v>4.1628949999999998E-2</v>
      </c>
      <c r="W7005">
        <v>-9.5573199999999994E-3</v>
      </c>
      <c r="X7005">
        <v>0.99908750000000002</v>
      </c>
      <c r="Y7005">
        <v>0.13553809999999999</v>
      </c>
      <c r="Z7005">
        <v>-0.22559209999999999</v>
      </c>
      <c r="AA7005">
        <v>0.96474740000000003</v>
      </c>
      <c r="AB7005">
        <v>31</v>
      </c>
      <c r="AC7005">
        <v>0.10429999999999399</v>
      </c>
      <c r="AD7005">
        <v>-0.16313710000000001</v>
      </c>
      <c r="AE7005">
        <v>0.39216000000000001</v>
      </c>
      <c r="AF7005">
        <v>8.4774576414428898E-2</v>
      </c>
      <c r="AG7005">
        <v>-0.16313710000000001</v>
      </c>
      <c r="AH7005">
        <v>0.33889112575538299</v>
      </c>
      <c r="AI7005">
        <v>115.032350522158</v>
      </c>
      <c r="AJ7005">
        <v>75.955515046376703</v>
      </c>
      <c r="AK7005">
        <v>0.38554848893285398</v>
      </c>
      <c r="AL7005">
        <v>90.5476023966566</v>
      </c>
      <c r="AM7005">
        <v>87.614038556459207</v>
      </c>
      <c r="AN7005">
        <v>1.00000007224996</v>
      </c>
    </row>
    <row r="7006" spans="1:40" x14ac:dyDescent="0.25">
      <c r="A7006" t="str">
        <f>"20190312161453344"</f>
        <v>20190312161453344</v>
      </c>
      <c r="B7006" t="str">
        <f>"1552378493334068"</f>
        <v>1552378493334068</v>
      </c>
      <c r="C7006" t="s">
        <v>40</v>
      </c>
      <c r="D7006">
        <v>5.6664479999999999</v>
      </c>
      <c r="E7006">
        <v>0.54127340000000002</v>
      </c>
      <c r="F7006" t="s">
        <v>43</v>
      </c>
      <c r="G7006">
        <v>-187.14009999999999</v>
      </c>
      <c r="H7006">
        <v>0.89590840000000005</v>
      </c>
      <c r="I7006">
        <v>11.014279999999999</v>
      </c>
      <c r="J7006">
        <v>-187.27940000000001</v>
      </c>
      <c r="K7006">
        <v>1.1094599999999999</v>
      </c>
      <c r="L7006">
        <v>10.578279999999999</v>
      </c>
      <c r="M7006">
        <v>1.47364E-2</v>
      </c>
      <c r="N7006">
        <v>0</v>
      </c>
      <c r="O7006">
        <v>0.99985239999999997</v>
      </c>
      <c r="P7006">
        <v>5.6481429999999999E-2</v>
      </c>
      <c r="Q7006">
        <v>-1.8000599999999999E-2</v>
      </c>
      <c r="R7006">
        <v>0.99824139999999995</v>
      </c>
      <c r="S7006">
        <v>0.47023009999999899</v>
      </c>
      <c r="T7006">
        <v>-0.68632069999999901</v>
      </c>
      <c r="U7006">
        <v>2.9660639999999998</v>
      </c>
      <c r="V7006">
        <v>4.1764919999999997E-2</v>
      </c>
      <c r="W7006">
        <v>-9.1657160000000008E-3</v>
      </c>
      <c r="X7006">
        <v>0.99908540000000001</v>
      </c>
      <c r="Y7006">
        <v>0.13806749999999901</v>
      </c>
      <c r="Z7006">
        <v>-0.2229999</v>
      </c>
      <c r="AA7006">
        <v>0.96499140000000005</v>
      </c>
      <c r="AB7006">
        <v>31</v>
      </c>
      <c r="AC7006">
        <v>0.13930000000001899</v>
      </c>
      <c r="AD7006">
        <v>-0.21355160000000001</v>
      </c>
      <c r="AE7006">
        <v>0.436</v>
      </c>
      <c r="AF7006">
        <v>0.109108663602154</v>
      </c>
      <c r="AG7006">
        <v>-0.21355160000000001</v>
      </c>
      <c r="AH7006">
        <v>0.35970463239504302</v>
      </c>
      <c r="AI7006">
        <v>119.60198709401899</v>
      </c>
      <c r="AJ7006">
        <v>73.125954493041206</v>
      </c>
      <c r="AK7006">
        <v>0.43231517311107798</v>
      </c>
      <c r="AL7006">
        <v>90.525164208110496</v>
      </c>
      <c r="AM7006">
        <v>87.606249466759905</v>
      </c>
      <c r="AN7006">
        <v>0.99999997769277904</v>
      </c>
    </row>
    <row r="7007" spans="1:40" x14ac:dyDescent="0.25">
      <c r="A7007" t="str">
        <f>"20190312161453366"</f>
        <v>20190312161453366</v>
      </c>
      <c r="B7007" t="str">
        <f>"1552378493353587"</f>
        <v>1552378493353587</v>
      </c>
      <c r="C7007" t="s">
        <v>40</v>
      </c>
      <c r="D7007">
        <v>5.5347999999999997</v>
      </c>
      <c r="E7007">
        <v>0.54248989999999997</v>
      </c>
      <c r="F7007" t="s">
        <v>43</v>
      </c>
      <c r="G7007">
        <v>-187.1568</v>
      </c>
      <c r="H7007">
        <v>0.93994259999999996</v>
      </c>
      <c r="I7007">
        <v>11.310079999999999</v>
      </c>
      <c r="J7007">
        <v>-187.27500000000001</v>
      </c>
      <c r="K7007">
        <v>1.1094569999999999</v>
      </c>
      <c r="L7007">
        <v>10.88031</v>
      </c>
      <c r="M7007">
        <v>1.4683430000000001E-2</v>
      </c>
      <c r="N7007">
        <v>0</v>
      </c>
      <c r="O7007">
        <v>0.99985310000000005</v>
      </c>
      <c r="P7007">
        <v>5.719726E-2</v>
      </c>
      <c r="Q7007">
        <v>-1.8430289999999998E-2</v>
      </c>
      <c r="R7007">
        <v>0.99819279999999999</v>
      </c>
      <c r="S7007">
        <v>0.49650569999999999</v>
      </c>
      <c r="T7007">
        <v>-0.68677410000000005</v>
      </c>
      <c r="U7007">
        <v>2.9648129999999999</v>
      </c>
      <c r="V7007">
        <v>4.2534349999999999E-2</v>
      </c>
      <c r="W7007">
        <v>-9.5981820000000002E-3</v>
      </c>
      <c r="X7007">
        <v>0.99904890000000002</v>
      </c>
      <c r="Y7007">
        <v>0.14651069999999999</v>
      </c>
      <c r="Z7007">
        <v>-0.22294240000000001</v>
      </c>
      <c r="AA7007">
        <v>0.96375889999999997</v>
      </c>
      <c r="AB7007">
        <v>31</v>
      </c>
      <c r="AC7007">
        <v>0.118200000000001</v>
      </c>
      <c r="AD7007">
        <v>-0.16951439999999901</v>
      </c>
      <c r="AE7007">
        <v>0.42977000000000098</v>
      </c>
      <c r="AF7007">
        <v>9.7739904976344605E-2</v>
      </c>
      <c r="AG7007">
        <v>-0.16951439999999901</v>
      </c>
      <c r="AH7007">
        <v>0.37694053566658797</v>
      </c>
      <c r="AI7007">
        <v>113.52421515124399</v>
      </c>
      <c r="AJ7007">
        <v>75.463468197255196</v>
      </c>
      <c r="AK7007">
        <v>0.42470270573750601</v>
      </c>
      <c r="AL7007">
        <v>90.549943763585802</v>
      </c>
      <c r="AM7007">
        <v>87.562113460252306</v>
      </c>
      <c r="AN7007">
        <v>1.0000000003094101</v>
      </c>
    </row>
    <row r="7008" spans="1:40" x14ac:dyDescent="0.25">
      <c r="A7008" t="str">
        <f>"20190312161453387"</f>
        <v>20190312161453387</v>
      </c>
      <c r="B7008" t="str">
        <f>"1552378493383845"</f>
        <v>1552378493383845</v>
      </c>
      <c r="C7008" t="s">
        <v>40</v>
      </c>
      <c r="D7008">
        <v>5.5132159999999999</v>
      </c>
      <c r="E7008">
        <v>0.54438009999999903</v>
      </c>
      <c r="F7008" t="s">
        <v>43</v>
      </c>
      <c r="G7008">
        <v>-187.1534</v>
      </c>
      <c r="H7008">
        <v>0.94397710000000001</v>
      </c>
      <c r="I7008">
        <v>11.58939</v>
      </c>
      <c r="J7008">
        <v>-187.27070000000001</v>
      </c>
      <c r="K7008">
        <v>1.1094550000000001</v>
      </c>
      <c r="L7008">
        <v>11.17661</v>
      </c>
      <c r="M7008">
        <v>1.463186E-2</v>
      </c>
      <c r="N7008">
        <v>0</v>
      </c>
      <c r="O7008">
        <v>0.99985389999999996</v>
      </c>
      <c r="P7008">
        <v>5.7912980000000003E-2</v>
      </c>
      <c r="Q7008">
        <v>-1.880478E-2</v>
      </c>
      <c r="R7008">
        <v>0.99814449999999999</v>
      </c>
      <c r="S7008">
        <v>0.50769039999999999</v>
      </c>
      <c r="T7008">
        <v>-0.69160699999999997</v>
      </c>
      <c r="U7008">
        <v>2.963562</v>
      </c>
      <c r="V7008">
        <v>4.3302260000000002E-2</v>
      </c>
      <c r="W7008">
        <v>-9.9744680000000002E-3</v>
      </c>
      <c r="X7008">
        <v>0.99901220000000002</v>
      </c>
      <c r="Y7008">
        <v>0.15010660000000001</v>
      </c>
      <c r="Z7008">
        <v>-0.22439310000000001</v>
      </c>
      <c r="AA7008">
        <v>0.96286850000000002</v>
      </c>
      <c r="AB7008">
        <v>31</v>
      </c>
      <c r="AC7008">
        <v>0.1173</v>
      </c>
      <c r="AD7008">
        <v>-0.16547789999999901</v>
      </c>
      <c r="AE7008">
        <v>0.41277999999999898</v>
      </c>
      <c r="AF7008">
        <v>9.6846253712369407E-2</v>
      </c>
      <c r="AG7008">
        <v>-0.16547789999999901</v>
      </c>
      <c r="AH7008">
        <v>0.36080050418925502</v>
      </c>
      <c r="AI7008">
        <v>113.891471741898</v>
      </c>
      <c r="AJ7008">
        <v>74.974807663042498</v>
      </c>
      <c r="AK7008">
        <v>0.40858185969246302</v>
      </c>
      <c r="AL7008">
        <v>90.571504409916599</v>
      </c>
      <c r="AM7008">
        <v>87.518063639684499</v>
      </c>
      <c r="AN7008">
        <v>0.99999997574091504</v>
      </c>
    </row>
    <row r="7009" spans="1:40" x14ac:dyDescent="0.25">
      <c r="A7009" t="str">
        <f>"20190312161453410"</f>
        <v>20190312161453410</v>
      </c>
      <c r="B7009" t="str">
        <f>"1552378493403363"</f>
        <v>1552378493403363</v>
      </c>
      <c r="C7009" t="s">
        <v>40</v>
      </c>
      <c r="D7009">
        <v>5.7812760000000001</v>
      </c>
      <c r="E7009">
        <v>0.54399869999999995</v>
      </c>
      <c r="F7009" t="s">
        <v>43</v>
      </c>
      <c r="G7009">
        <v>-187.14789999999999</v>
      </c>
      <c r="H7009">
        <v>0.94665120000000003</v>
      </c>
      <c r="I7009">
        <v>11.86858</v>
      </c>
      <c r="J7009">
        <v>-187.2662</v>
      </c>
      <c r="K7009">
        <v>1.1094440000000001</v>
      </c>
      <c r="L7009">
        <v>11.491</v>
      </c>
      <c r="M7009">
        <v>1.457702E-2</v>
      </c>
      <c r="N7009">
        <v>0</v>
      </c>
      <c r="O7009">
        <v>0.99985469999999999</v>
      </c>
      <c r="P7009">
        <v>5.7600730000000003E-2</v>
      </c>
      <c r="Q7009">
        <v>-1.8536899999999999E-2</v>
      </c>
      <c r="R7009">
        <v>0.99816760000000004</v>
      </c>
      <c r="S7009">
        <v>0.52554319999999999</v>
      </c>
      <c r="T7009">
        <v>-0.69686369999999997</v>
      </c>
      <c r="U7009">
        <v>2.9619450000000001</v>
      </c>
      <c r="V7009">
        <v>4.3044470000000001E-2</v>
      </c>
      <c r="W7009">
        <v>-9.707584E-3</v>
      </c>
      <c r="X7009">
        <v>0.99902599999999997</v>
      </c>
      <c r="Y7009">
        <v>0.1558165</v>
      </c>
      <c r="Z7009">
        <v>-0.2259159</v>
      </c>
      <c r="AA7009">
        <v>0.96160449999999997</v>
      </c>
      <c r="AB7009">
        <v>31</v>
      </c>
      <c r="AC7009">
        <v>0.118300000000004</v>
      </c>
      <c r="AD7009">
        <v>-0.16279279999999999</v>
      </c>
      <c r="AE7009">
        <v>0.37758000000000003</v>
      </c>
      <c r="AF7009">
        <v>9.6455929437384694E-2</v>
      </c>
      <c r="AG7009">
        <v>-0.16279279999999999</v>
      </c>
      <c r="AH7009">
        <v>0.32435941992090001</v>
      </c>
      <c r="AI7009">
        <v>115.69080839478499</v>
      </c>
      <c r="AJ7009">
        <v>73.438911743438993</v>
      </c>
      <c r="AK7009">
        <v>0.37551867509738102</v>
      </c>
      <c r="AL7009">
        <v>90.556212325272995</v>
      </c>
      <c r="AM7009">
        <v>87.532855000087494</v>
      </c>
      <c r="AN7009">
        <v>1.00000000613034</v>
      </c>
    </row>
    <row r="7010" spans="1:40" x14ac:dyDescent="0.25">
      <c r="A7010" t="str">
        <f>"20190312161453432"</f>
        <v>20190312161453432</v>
      </c>
      <c r="B7010" t="str">
        <f>"1552378493423860"</f>
        <v>1552378493423860</v>
      </c>
      <c r="C7010" t="s">
        <v>40</v>
      </c>
      <c r="D7010">
        <v>5.7519839999999904</v>
      </c>
      <c r="E7010">
        <v>0.5435799</v>
      </c>
      <c r="F7010" t="s">
        <v>43</v>
      </c>
      <c r="G7010">
        <v>-187.10489999999999</v>
      </c>
      <c r="H7010">
        <v>0.89686330000000003</v>
      </c>
      <c r="I7010">
        <v>12.404870000000001</v>
      </c>
      <c r="J7010">
        <v>-187.26169999999999</v>
      </c>
      <c r="K7010">
        <v>1.109443</v>
      </c>
      <c r="L7010">
        <v>11.80063</v>
      </c>
      <c r="M7010">
        <v>1.4523060000000001E-2</v>
      </c>
      <c r="N7010">
        <v>0</v>
      </c>
      <c r="O7010">
        <v>0.99985559999999996</v>
      </c>
      <c r="P7010">
        <v>5.7298109999999999E-2</v>
      </c>
      <c r="Q7010">
        <v>-1.891406E-2</v>
      </c>
      <c r="R7010">
        <v>0.99817789999999995</v>
      </c>
      <c r="S7010">
        <v>0.52285769999999998</v>
      </c>
      <c r="T7010">
        <v>-0.6891294</v>
      </c>
      <c r="U7010">
        <v>2.9625240000000002</v>
      </c>
      <c r="V7010">
        <v>4.2795680000000003E-2</v>
      </c>
      <c r="W7010">
        <v>-1.009021E-2</v>
      </c>
      <c r="X7010">
        <v>0.9990329</v>
      </c>
      <c r="Y7010">
        <v>0.1550879</v>
      </c>
      <c r="Z7010">
        <v>-0.2235248</v>
      </c>
      <c r="AA7010">
        <v>0.96228080000000005</v>
      </c>
      <c r="AB7010">
        <v>31</v>
      </c>
      <c r="AC7010">
        <v>0.15680000000000399</v>
      </c>
      <c r="AD7010">
        <v>-0.21257969999999901</v>
      </c>
      <c r="AE7010">
        <v>0.604239999999999</v>
      </c>
      <c r="AF7010">
        <v>0.13262771363209</v>
      </c>
      <c r="AG7010">
        <v>-0.21257969999999901</v>
      </c>
      <c r="AH7010">
        <v>0.54343488473244295</v>
      </c>
      <c r="AI7010">
        <v>110.807990146618</v>
      </c>
      <c r="AJ7010">
        <v>76.284817557226006</v>
      </c>
      <c r="AK7010">
        <v>0.59841600347879198</v>
      </c>
      <c r="AL7010">
        <v>90.578136252758497</v>
      </c>
      <c r="AM7010">
        <v>87.547114147996496</v>
      </c>
      <c r="AN7010">
        <v>1.00000000892345</v>
      </c>
    </row>
    <row r="7011" spans="1:40" x14ac:dyDescent="0.25">
      <c r="A7011" t="str">
        <f>"20190312161453455"</f>
        <v>20190312161453455</v>
      </c>
      <c r="B7011" t="str">
        <f>"1552378493443380"</f>
        <v>1552378493443380</v>
      </c>
      <c r="C7011" t="s">
        <v>40</v>
      </c>
      <c r="D7011">
        <v>5.6064540000000003</v>
      </c>
      <c r="E7011">
        <v>0.54377159999999902</v>
      </c>
      <c r="F7011" t="s">
        <v>43</v>
      </c>
      <c r="G7011">
        <v>-187.10659999999999</v>
      </c>
      <c r="H7011">
        <v>0.90412780000000004</v>
      </c>
      <c r="I7011">
        <v>12.687139999999999</v>
      </c>
      <c r="J7011">
        <v>-187.25720000000001</v>
      </c>
      <c r="K7011">
        <v>1.109442</v>
      </c>
      <c r="L7011">
        <v>12.114380000000001</v>
      </c>
      <c r="M7011">
        <v>1.446828E-2</v>
      </c>
      <c r="N7011">
        <v>0</v>
      </c>
      <c r="O7011">
        <v>0.99985639999999998</v>
      </c>
      <c r="P7011">
        <v>5.7504609999999998E-2</v>
      </c>
      <c r="Q7011">
        <v>-1.9581419999999999E-2</v>
      </c>
      <c r="R7011">
        <v>0.99815319999999996</v>
      </c>
      <c r="S7011">
        <v>0.51788329999999905</v>
      </c>
      <c r="T7011">
        <v>-0.6861564</v>
      </c>
      <c r="U7011">
        <v>2.9627379999999999</v>
      </c>
      <c r="V7011">
        <v>4.3057289999999998E-2</v>
      </c>
      <c r="W7011">
        <v>-1.07657E-2</v>
      </c>
      <c r="X7011">
        <v>0.99901459999999997</v>
      </c>
      <c r="Y7011">
        <v>0.15359700000000001</v>
      </c>
      <c r="Z7011">
        <v>-0.22265080000000001</v>
      </c>
      <c r="AA7011">
        <v>0.96272250000000004</v>
      </c>
      <c r="AB7011">
        <v>31</v>
      </c>
      <c r="AC7011">
        <v>0.15060000000002499</v>
      </c>
      <c r="AD7011">
        <v>-0.2053142</v>
      </c>
      <c r="AE7011">
        <v>0.57275999999999805</v>
      </c>
      <c r="AF7011">
        <v>0.127029670332373</v>
      </c>
      <c r="AG7011">
        <v>-0.2053142</v>
      </c>
      <c r="AH7011">
        <v>0.51319890988349004</v>
      </c>
      <c r="AI7011">
        <v>111.223559047851</v>
      </c>
      <c r="AJ7011">
        <v>76.097287933325504</v>
      </c>
      <c r="AK7011">
        <v>0.56715392881650195</v>
      </c>
      <c r="AL7011">
        <v>90.616841088767003</v>
      </c>
      <c r="AM7011">
        <v>87.532092988132106</v>
      </c>
      <c r="AN7011">
        <v>1.00000000076589</v>
      </c>
    </row>
    <row r="7012" spans="1:40" x14ac:dyDescent="0.25">
      <c r="A7012" t="str">
        <f>"20190312161453477"</f>
        <v>20190312161453477</v>
      </c>
      <c r="B7012" t="str">
        <f>"1552378493463881"</f>
        <v>1552378493463881</v>
      </c>
      <c r="C7012" t="s">
        <v>40</v>
      </c>
      <c r="D7012">
        <v>5.5874379999999997</v>
      </c>
      <c r="E7012">
        <v>0.54361780000000004</v>
      </c>
      <c r="F7012" t="s">
        <v>43</v>
      </c>
      <c r="G7012">
        <v>-187.10740000000001</v>
      </c>
      <c r="H7012">
        <v>0.90979100000000002</v>
      </c>
      <c r="I7012">
        <v>12.96926</v>
      </c>
      <c r="J7012">
        <v>-187.2527</v>
      </c>
      <c r="K7012">
        <v>1.10944</v>
      </c>
      <c r="L7012">
        <v>12.42789</v>
      </c>
      <c r="M7012">
        <v>1.4413489999999999E-2</v>
      </c>
      <c r="N7012">
        <v>0</v>
      </c>
      <c r="O7012">
        <v>0.9998572</v>
      </c>
      <c r="P7012">
        <v>5.7513979999999999E-2</v>
      </c>
      <c r="Q7012">
        <v>-1.981401E-2</v>
      </c>
      <c r="R7012">
        <v>0.99814809999999998</v>
      </c>
      <c r="S7012">
        <v>0.51878359999999901</v>
      </c>
      <c r="T7012">
        <v>-0.69176910000000003</v>
      </c>
      <c r="U7012">
        <v>2.962097</v>
      </c>
      <c r="V7012">
        <v>4.3121489999999998E-2</v>
      </c>
      <c r="W7012">
        <v>-1.1006E-2</v>
      </c>
      <c r="X7012">
        <v>0.99900919999999904</v>
      </c>
      <c r="Y7012">
        <v>0.1539006</v>
      </c>
      <c r="Z7012">
        <v>-0.22441440000000001</v>
      </c>
      <c r="AA7012">
        <v>0.96226440000000002</v>
      </c>
      <c r="AB7012">
        <v>31</v>
      </c>
      <c r="AC7012">
        <v>0.14529999999999099</v>
      </c>
      <c r="AD7012">
        <v>-0.19964899999999999</v>
      </c>
      <c r="AE7012">
        <v>0.54137000000000002</v>
      </c>
      <c r="AF7012">
        <v>0.122003738352815</v>
      </c>
      <c r="AG7012">
        <v>-0.19964899999999999</v>
      </c>
      <c r="AH7012">
        <v>0.48223061395282002</v>
      </c>
      <c r="AI7012">
        <v>111.868814683021</v>
      </c>
      <c r="AJ7012">
        <v>75.802162535935295</v>
      </c>
      <c r="AK7012">
        <v>0.53599533617968698</v>
      </c>
      <c r="AL7012">
        <v>90.630610088310405</v>
      </c>
      <c r="AM7012">
        <v>87.528404464774098</v>
      </c>
      <c r="AN7012">
        <v>0.99999998831022896</v>
      </c>
    </row>
    <row r="7013" spans="1:40" x14ac:dyDescent="0.25">
      <c r="A7013" t="str">
        <f>"20190312161453499"</f>
        <v>20190312161453499</v>
      </c>
      <c r="B7013" t="str">
        <f>"1552378493493161"</f>
        <v>1552378493493161</v>
      </c>
      <c r="C7013" t="s">
        <v>40</v>
      </c>
      <c r="D7013">
        <v>5.6672570000000002</v>
      </c>
      <c r="E7013">
        <v>0.54294359999999997</v>
      </c>
      <c r="F7013" t="s">
        <v>43</v>
      </c>
      <c r="G7013">
        <v>-187.10839999999999</v>
      </c>
      <c r="H7013">
        <v>0.91673859999999996</v>
      </c>
      <c r="I7013">
        <v>13.25243</v>
      </c>
      <c r="J7013">
        <v>-187.2482</v>
      </c>
      <c r="K7013">
        <v>1.1094329999999999</v>
      </c>
      <c r="L7013">
        <v>12.746460000000001</v>
      </c>
      <c r="M7013">
        <v>1.4357989999999999E-2</v>
      </c>
      <c r="N7013">
        <v>0</v>
      </c>
      <c r="O7013">
        <v>0.99985809999999997</v>
      </c>
      <c r="P7013">
        <v>5.737097E-2</v>
      </c>
      <c r="Q7013">
        <v>-1.970976E-2</v>
      </c>
      <c r="R7013">
        <v>0.99815830000000005</v>
      </c>
      <c r="S7013">
        <v>0.51806640000000004</v>
      </c>
      <c r="T7013">
        <v>-0.69222139999999999</v>
      </c>
      <c r="U7013">
        <v>2.9619749999999998</v>
      </c>
      <c r="V7013">
        <v>4.3033809999999999E-2</v>
      </c>
      <c r="W7013">
        <v>-1.090842E-2</v>
      </c>
      <c r="X7013">
        <v>0.99901410000000002</v>
      </c>
      <c r="Y7013">
        <v>0.1537299</v>
      </c>
      <c r="Z7013">
        <v>-0.22456989999999999</v>
      </c>
      <c r="AA7013">
        <v>0.96225539999999998</v>
      </c>
      <c r="AB7013">
        <v>31</v>
      </c>
      <c r="AC7013">
        <v>0.139800000000008</v>
      </c>
      <c r="AD7013">
        <v>-0.19269439999999899</v>
      </c>
      <c r="AE7013">
        <v>0.50596999999999703</v>
      </c>
      <c r="AF7013">
        <v>0.11678365249412501</v>
      </c>
      <c r="AG7013">
        <v>-0.19269439999999899</v>
      </c>
      <c r="AH7013">
        <v>0.44760858809872101</v>
      </c>
      <c r="AI7013">
        <v>112.614324425371</v>
      </c>
      <c r="AJ7013">
        <v>75.377185119683205</v>
      </c>
      <c r="AK7013">
        <v>0.50112174311334601</v>
      </c>
      <c r="AL7013">
        <v>90.625018799856093</v>
      </c>
      <c r="AM7013">
        <v>87.533435891540194</v>
      </c>
      <c r="AN7013">
        <v>1.00000003721441</v>
      </c>
    </row>
    <row r="7014" spans="1:40" x14ac:dyDescent="0.25">
      <c r="A7014" t="str">
        <f>"20190312161453522"</f>
        <v>20190312161453522</v>
      </c>
      <c r="B7014" t="str">
        <f>"1552378493513657"</f>
        <v>1552378493513657</v>
      </c>
      <c r="C7014" t="s">
        <v>40</v>
      </c>
      <c r="D7014">
        <v>5.760211</v>
      </c>
      <c r="E7014">
        <v>0.54258050000000002</v>
      </c>
      <c r="F7014" t="s">
        <v>43</v>
      </c>
      <c r="G7014">
        <v>-187.1114</v>
      </c>
      <c r="H7014">
        <v>0.92571409999999998</v>
      </c>
      <c r="I7014">
        <v>13.536910000000001</v>
      </c>
      <c r="J7014">
        <v>-187.2439</v>
      </c>
      <c r="K7014">
        <v>1.1094280000000001</v>
      </c>
      <c r="L7014">
        <v>13.053559999999999</v>
      </c>
      <c r="M7014">
        <v>1.430446E-2</v>
      </c>
      <c r="N7014">
        <v>0</v>
      </c>
      <c r="O7014">
        <v>0.99985900000000005</v>
      </c>
      <c r="P7014">
        <v>5.725802E-2</v>
      </c>
      <c r="Q7014">
        <v>-1.9315140000000001E-2</v>
      </c>
      <c r="R7014">
        <v>0.99817259999999997</v>
      </c>
      <c r="S7014">
        <v>0.51277159999999999</v>
      </c>
      <c r="T7014">
        <v>-0.68854740000000003</v>
      </c>
      <c r="U7014">
        <v>2.9624630000000001</v>
      </c>
      <c r="V7014">
        <v>4.2974110000000003E-2</v>
      </c>
      <c r="W7014">
        <v>-1.051917E-2</v>
      </c>
      <c r="X7014">
        <v>0.99902080000000004</v>
      </c>
      <c r="Y7014">
        <v>0.1521295</v>
      </c>
      <c r="Z7014">
        <v>-0.2234643</v>
      </c>
      <c r="AA7014">
        <v>0.96276700000000004</v>
      </c>
      <c r="AB7014">
        <v>31</v>
      </c>
      <c r="AC7014">
        <v>0.13249999999999301</v>
      </c>
      <c r="AD7014">
        <v>-0.18371390000000001</v>
      </c>
      <c r="AE7014">
        <v>0.483349999999999</v>
      </c>
      <c r="AF7014">
        <v>0.110697950544205</v>
      </c>
      <c r="AG7014">
        <v>-0.18371390000000001</v>
      </c>
      <c r="AH7014">
        <v>0.427723929112378</v>
      </c>
      <c r="AI7014">
        <v>112.57827210375299</v>
      </c>
      <c r="AJ7014">
        <v>75.489827653807794</v>
      </c>
      <c r="AK7014">
        <v>0.47848990882068498</v>
      </c>
      <c r="AL7014">
        <v>90.602715164945394</v>
      </c>
      <c r="AM7014">
        <v>87.536869991355204</v>
      </c>
      <c r="AN7014">
        <v>0.99999999295021003</v>
      </c>
    </row>
    <row r="7015" spans="1:40" x14ac:dyDescent="0.25">
      <c r="A7015" t="str">
        <f>"20190312161453544"</f>
        <v>20190312161453544</v>
      </c>
      <c r="B7015" t="str">
        <f>"1552378493533177"</f>
        <v>1552378493533177</v>
      </c>
      <c r="C7015" t="s">
        <v>40</v>
      </c>
      <c r="D7015">
        <v>5.6704460000000001</v>
      </c>
      <c r="E7015">
        <v>0.54195070000000001</v>
      </c>
      <c r="F7015" t="s">
        <v>43</v>
      </c>
      <c r="G7015">
        <v>-187.11150000000001</v>
      </c>
      <c r="H7015">
        <v>0.93255030000000005</v>
      </c>
      <c r="I7015">
        <v>13.821389999999999</v>
      </c>
      <c r="J7015">
        <v>-187.23920000000001</v>
      </c>
      <c r="K7015">
        <v>1.1094219999999999</v>
      </c>
      <c r="L7015">
        <v>13.380369999999999</v>
      </c>
      <c r="M7015">
        <v>1.4247549999999999E-2</v>
      </c>
      <c r="N7015">
        <v>0</v>
      </c>
      <c r="O7015">
        <v>0.99985979999999997</v>
      </c>
      <c r="P7015">
        <v>5.7155099999999903E-2</v>
      </c>
      <c r="Q7015">
        <v>-1.9891269999999999E-2</v>
      </c>
      <c r="R7015">
        <v>0.99816720000000003</v>
      </c>
      <c r="S7015">
        <v>0.51023859999999999</v>
      </c>
      <c r="T7015">
        <v>-0.68255129999999997</v>
      </c>
      <c r="U7015">
        <v>2.9630130000000001</v>
      </c>
      <c r="V7015">
        <v>4.2928189999999998E-2</v>
      </c>
      <c r="W7015">
        <v>-1.110008E-2</v>
      </c>
      <c r="X7015">
        <v>0.99901649999999997</v>
      </c>
      <c r="Y7015">
        <v>0.15142849999999999</v>
      </c>
      <c r="Z7015">
        <v>-0.2216043</v>
      </c>
      <c r="AA7015">
        <v>0.96330729999999998</v>
      </c>
      <c r="AB7015">
        <v>31</v>
      </c>
      <c r="AC7015">
        <v>0.127700000000004</v>
      </c>
      <c r="AD7015">
        <v>-0.17687169999999899</v>
      </c>
      <c r="AE7015">
        <v>0.44101999999999802</v>
      </c>
      <c r="AF7015">
        <v>0.105715204212967</v>
      </c>
      <c r="AG7015">
        <v>-0.17687169999999899</v>
      </c>
      <c r="AH7015">
        <v>0.38557533803379801</v>
      </c>
      <c r="AI7015">
        <v>113.86435444520799</v>
      </c>
      <c r="AJ7015">
        <v>74.667691770358203</v>
      </c>
      <c r="AK7015">
        <v>0.43718147714942901</v>
      </c>
      <c r="AL7015">
        <v>90.636000794460699</v>
      </c>
      <c r="AM7015">
        <v>87.539488155798793</v>
      </c>
      <c r="AN7015">
        <v>1.0000000042724599</v>
      </c>
    </row>
    <row r="7016" spans="1:40" x14ac:dyDescent="0.25">
      <c r="A7016" t="str">
        <f>"20190312161453568"</f>
        <v>20190312161453568</v>
      </c>
      <c r="B7016" t="str">
        <f>"1552378493563433"</f>
        <v>1552378493563433</v>
      </c>
      <c r="C7016" t="s">
        <v>40</v>
      </c>
      <c r="D7016">
        <v>5.7006009999999998</v>
      </c>
      <c r="E7016">
        <v>0.54228069999999995</v>
      </c>
      <c r="F7016" t="s">
        <v>43</v>
      </c>
      <c r="G7016">
        <v>-187.11519999999999</v>
      </c>
      <c r="H7016">
        <v>0.94308590000000003</v>
      </c>
      <c r="I7016">
        <v>14.10802</v>
      </c>
      <c r="J7016">
        <v>-187.2347</v>
      </c>
      <c r="K7016">
        <v>1.1094280000000001</v>
      </c>
      <c r="L7016">
        <v>13.7038299999999</v>
      </c>
      <c r="M7016">
        <v>1.4191219999999999E-2</v>
      </c>
      <c r="N7016">
        <v>0</v>
      </c>
      <c r="O7016">
        <v>0.99986059999999999</v>
      </c>
      <c r="P7016">
        <v>5.6837980000000003E-2</v>
      </c>
      <c r="Q7016">
        <v>-2.032863E-2</v>
      </c>
      <c r="R7016">
        <v>0.99817650000000002</v>
      </c>
      <c r="S7016">
        <v>0.50453190000000003</v>
      </c>
      <c r="T7016">
        <v>-0.67734869999999903</v>
      </c>
      <c r="U7016">
        <v>2.9631349999999999</v>
      </c>
      <c r="V7016">
        <v>4.2667280000000002E-2</v>
      </c>
      <c r="W7016">
        <v>-1.15409E-2</v>
      </c>
      <c r="X7016">
        <v>0.99902270000000004</v>
      </c>
      <c r="Y7016">
        <v>0.1497337</v>
      </c>
      <c r="Z7016">
        <v>-0.2200522</v>
      </c>
      <c r="AA7016">
        <v>0.9639278</v>
      </c>
      <c r="AB7016">
        <v>31</v>
      </c>
      <c r="AC7016">
        <v>0.119500000000016</v>
      </c>
      <c r="AD7016">
        <v>-0.16634209999999999</v>
      </c>
      <c r="AE7016">
        <v>0.40419000000000299</v>
      </c>
      <c r="AF7016">
        <v>9.8422137929822101E-2</v>
      </c>
      <c r="AG7016">
        <v>-0.16634209999999999</v>
      </c>
      <c r="AH7016">
        <v>0.35115185333985499</v>
      </c>
      <c r="AI7016">
        <v>114.518984143183</v>
      </c>
      <c r="AJ7016">
        <v>74.342681991898104</v>
      </c>
      <c r="AK7016">
        <v>0.40082943451186598</v>
      </c>
      <c r="AL7016">
        <v>90.661259526819805</v>
      </c>
      <c r="AM7016">
        <v>87.554439661383398</v>
      </c>
      <c r="AN7016">
        <v>1.00000002213534</v>
      </c>
    </row>
    <row r="7017" spans="1:40" x14ac:dyDescent="0.25">
      <c r="A7017" t="str">
        <f>"20190312161453590"</f>
        <v>20190312161453590</v>
      </c>
      <c r="B7017" t="str">
        <f>"1552378493583928"</f>
        <v>1552378493583928</v>
      </c>
      <c r="C7017" t="s">
        <v>40</v>
      </c>
      <c r="D7017">
        <v>5.755744</v>
      </c>
      <c r="E7017">
        <v>0.54276059999999904</v>
      </c>
      <c r="F7017" t="s">
        <v>43</v>
      </c>
      <c r="G7017">
        <v>-187.11680000000001</v>
      </c>
      <c r="H7017">
        <v>0.94963370000000003</v>
      </c>
      <c r="I7017">
        <v>14.3934</v>
      </c>
      <c r="J7017">
        <v>-187.2302</v>
      </c>
      <c r="K7017">
        <v>1.1094250000000001</v>
      </c>
      <c r="L7017">
        <v>14.021330000000001</v>
      </c>
      <c r="M7017">
        <v>1.413592E-2</v>
      </c>
      <c r="N7017">
        <v>0</v>
      </c>
      <c r="O7017">
        <v>0.99986140000000001</v>
      </c>
      <c r="P7017">
        <v>5.6511760000000001E-2</v>
      </c>
      <c r="Q7017">
        <v>-2.016279E-2</v>
      </c>
      <c r="R7017">
        <v>0.99819829999999998</v>
      </c>
      <c r="S7017">
        <v>0.50582890000000003</v>
      </c>
      <c r="T7017">
        <v>-0.68653249999999999</v>
      </c>
      <c r="U7017">
        <v>2.9627080000000001</v>
      </c>
      <c r="V7017">
        <v>4.239602E-2</v>
      </c>
      <c r="W7017">
        <v>-1.137707E-2</v>
      </c>
      <c r="X7017">
        <v>0.99903609999999998</v>
      </c>
      <c r="Y7017">
        <v>0.15011259999999901</v>
      </c>
      <c r="Z7017">
        <v>-0.22290299999999999</v>
      </c>
      <c r="AA7017">
        <v>0.9632136</v>
      </c>
      <c r="AB7017">
        <v>32</v>
      </c>
      <c r="AC7017">
        <v>0.113399999999984</v>
      </c>
      <c r="AD7017">
        <v>-0.1597913</v>
      </c>
      <c r="AE7017">
        <v>0.37207000000000001</v>
      </c>
      <c r="AF7017">
        <v>9.2515608375482006E-2</v>
      </c>
      <c r="AG7017">
        <v>-0.1597913</v>
      </c>
      <c r="AH7017">
        <v>0.31968463562154398</v>
      </c>
      <c r="AI7017">
        <v>115.647466023654</v>
      </c>
      <c r="AJ7017">
        <v>73.859742753301404</v>
      </c>
      <c r="AK7017">
        <v>0.36917565412856701</v>
      </c>
      <c r="AL7017">
        <v>90.651872161024102</v>
      </c>
      <c r="AM7017">
        <v>87.570001327074195</v>
      </c>
      <c r="AN7017">
        <v>0.99999999466841705</v>
      </c>
    </row>
    <row r="7018" spans="1:40" x14ac:dyDescent="0.25">
      <c r="A7018" t="str">
        <f>"20190312161453611"</f>
        <v>20190312161453611</v>
      </c>
      <c r="B7018" t="str">
        <f>"1552378493603450"</f>
        <v>1552378493603450</v>
      </c>
      <c r="C7018" t="s">
        <v>40</v>
      </c>
      <c r="D7018">
        <v>5.832427</v>
      </c>
      <c r="E7018">
        <v>0.54311290000000001</v>
      </c>
      <c r="F7018" t="s">
        <v>43</v>
      </c>
      <c r="G7018">
        <v>-187.0728</v>
      </c>
      <c r="H7018">
        <v>0.89654780000000001</v>
      </c>
      <c r="I7018">
        <v>14.937049999999999</v>
      </c>
      <c r="J7018">
        <v>-187.2261</v>
      </c>
      <c r="K7018">
        <v>1.109421</v>
      </c>
      <c r="L7018">
        <v>14.31714</v>
      </c>
      <c r="M7018">
        <v>1.40844E-2</v>
      </c>
      <c r="N7018">
        <v>0</v>
      </c>
      <c r="O7018">
        <v>0.99986220000000003</v>
      </c>
      <c r="P7018">
        <v>5.6238219999999998E-2</v>
      </c>
      <c r="Q7018">
        <v>-1.9724189999999999E-2</v>
      </c>
      <c r="R7018">
        <v>0.99822250000000001</v>
      </c>
      <c r="S7018">
        <v>0.50910949999999999</v>
      </c>
      <c r="T7018">
        <v>-0.68873379999999995</v>
      </c>
      <c r="U7018">
        <v>2.9626769999999998</v>
      </c>
      <c r="V7018">
        <v>4.217361E-2</v>
      </c>
      <c r="W7018">
        <v>-1.093939E-2</v>
      </c>
      <c r="X7018">
        <v>0.99905040000000001</v>
      </c>
      <c r="Y7018">
        <v>0.15117630000000001</v>
      </c>
      <c r="Z7018">
        <v>-0.2235462</v>
      </c>
      <c r="AA7018">
        <v>0.96289809999999998</v>
      </c>
      <c r="AB7018">
        <v>32</v>
      </c>
      <c r="AC7018">
        <v>0.15330000000000099</v>
      </c>
      <c r="AD7018">
        <v>-0.21287319999999901</v>
      </c>
      <c r="AE7018">
        <v>0.61990999999999896</v>
      </c>
      <c r="AF7018">
        <v>0.130096598131788</v>
      </c>
      <c r="AG7018">
        <v>-0.21287319999999901</v>
      </c>
      <c r="AH7018">
        <v>0.55980068246161196</v>
      </c>
      <c r="AI7018">
        <v>110.324391443896</v>
      </c>
      <c r="AJ7018">
        <v>76.916807992335606</v>
      </c>
      <c r="AK7018">
        <v>0.61287594846607396</v>
      </c>
      <c r="AL7018">
        <v>90.626793383875807</v>
      </c>
      <c r="AM7018">
        <v>87.582768525058</v>
      </c>
      <c r="AN7018">
        <v>0.99999999268708195</v>
      </c>
    </row>
    <row r="7019" spans="1:40" x14ac:dyDescent="0.25">
      <c r="A7019" t="str">
        <f>"20190312161453634"</f>
        <v>20190312161453634</v>
      </c>
      <c r="B7019" t="str">
        <f>"1552378493623945"</f>
        <v>1552378493623945</v>
      </c>
      <c r="C7019" t="s">
        <v>40</v>
      </c>
      <c r="D7019">
        <v>5.8236520000000001</v>
      </c>
      <c r="E7019">
        <v>0.54280309999999998</v>
      </c>
      <c r="F7019" t="s">
        <v>43</v>
      </c>
      <c r="G7019">
        <v>-187.07</v>
      </c>
      <c r="H7019">
        <v>0.89841190000000004</v>
      </c>
      <c r="I7019">
        <v>15.22166</v>
      </c>
      <c r="J7019">
        <v>-187.22139999999999</v>
      </c>
      <c r="K7019">
        <v>1.1094299999999999</v>
      </c>
      <c r="L7019">
        <v>14.65063</v>
      </c>
      <c r="M7019">
        <v>1.402636E-2</v>
      </c>
      <c r="N7019">
        <v>0</v>
      </c>
      <c r="O7019">
        <v>0.99986299999999995</v>
      </c>
      <c r="P7019">
        <v>5.6082109999999998E-2</v>
      </c>
      <c r="Q7019">
        <v>-1.9662229999999999E-2</v>
      </c>
      <c r="R7019">
        <v>0.99823249999999997</v>
      </c>
      <c r="S7019">
        <v>0.51139829999999997</v>
      </c>
      <c r="T7019">
        <v>-0.69118710000000005</v>
      </c>
      <c r="U7019">
        <v>2.96286</v>
      </c>
      <c r="V7019">
        <v>4.2075359999999999E-2</v>
      </c>
      <c r="W7019">
        <v>-1.087751E-2</v>
      </c>
      <c r="X7019">
        <v>0.99905520000000003</v>
      </c>
      <c r="Y7019">
        <v>0.1519181</v>
      </c>
      <c r="Z7019">
        <v>-0.22426260000000001</v>
      </c>
      <c r="AA7019">
        <v>0.96261479999999999</v>
      </c>
      <c r="AB7019">
        <v>32</v>
      </c>
      <c r="AC7019">
        <v>0.15139999999999501</v>
      </c>
      <c r="AD7019">
        <v>-0.21101809999999899</v>
      </c>
      <c r="AE7019">
        <v>0.57103000000000004</v>
      </c>
      <c r="AF7019">
        <v>0.127151972797032</v>
      </c>
      <c r="AG7019">
        <v>-0.21101809999999899</v>
      </c>
      <c r="AH7019">
        <v>0.50824978308764901</v>
      </c>
      <c r="AI7019">
        <v>111.938230375781</v>
      </c>
      <c r="AJ7019">
        <v>75.954258084242596</v>
      </c>
      <c r="AK7019">
        <v>0.56481333617614704</v>
      </c>
      <c r="AL7019">
        <v>90.623247721450198</v>
      </c>
      <c r="AM7019">
        <v>87.588404759257102</v>
      </c>
      <c r="AN7019">
        <v>0.999999974394984</v>
      </c>
    </row>
    <row r="7020" spans="1:40" x14ac:dyDescent="0.25">
      <c r="A7020" t="str">
        <f>"20190312161453657"</f>
        <v>20190312161453657</v>
      </c>
      <c r="B7020" t="str">
        <f>"1552378493643464"</f>
        <v>1552378493643464</v>
      </c>
      <c r="C7020" t="s">
        <v>40</v>
      </c>
      <c r="D7020">
        <v>5.6620049999999997</v>
      </c>
      <c r="E7020">
        <v>0.54251919999999898</v>
      </c>
      <c r="F7020" t="s">
        <v>43</v>
      </c>
      <c r="G7020">
        <v>-187.0737</v>
      </c>
      <c r="H7020">
        <v>0.91034959999999998</v>
      </c>
      <c r="I7020">
        <v>15.510809999999999</v>
      </c>
      <c r="J7020">
        <v>-187.21709999999999</v>
      </c>
      <c r="K7020">
        <v>1.1094329999999999</v>
      </c>
      <c r="L7020">
        <v>14.96115</v>
      </c>
      <c r="M7020">
        <v>1.397234E-2</v>
      </c>
      <c r="N7020">
        <v>0</v>
      </c>
      <c r="O7020">
        <v>0.99986370000000002</v>
      </c>
      <c r="P7020">
        <v>5.5752389999999999E-2</v>
      </c>
      <c r="Q7020">
        <v>-1.936146E-2</v>
      </c>
      <c r="R7020">
        <v>0.9982569</v>
      </c>
      <c r="S7020">
        <v>0.5086212</v>
      </c>
      <c r="T7020">
        <v>-0.68580450000000004</v>
      </c>
      <c r="U7020">
        <v>2.9632260000000001</v>
      </c>
      <c r="V7020">
        <v>4.1799280000000001E-2</v>
      </c>
      <c r="W7020">
        <v>-1.0575889999999999E-2</v>
      </c>
      <c r="X7020">
        <v>0.99907000000000001</v>
      </c>
      <c r="Y7020">
        <v>0.151139299999999</v>
      </c>
      <c r="Z7020">
        <v>-0.22260859999999999</v>
      </c>
      <c r="AA7020">
        <v>0.96312109999999995</v>
      </c>
      <c r="AB7020">
        <v>32</v>
      </c>
      <c r="AC7020">
        <v>0.14339999999998501</v>
      </c>
      <c r="AD7020">
        <v>-0.19908339999999999</v>
      </c>
      <c r="AE7020">
        <v>0.54966000000000104</v>
      </c>
      <c r="AF7020">
        <v>0.120860977167616</v>
      </c>
      <c r="AG7020">
        <v>-0.19908339999999999</v>
      </c>
      <c r="AH7020">
        <v>0.491270048931924</v>
      </c>
      <c r="AI7020">
        <v>111.480071967104</v>
      </c>
      <c r="AJ7020">
        <v>76.178720745221099</v>
      </c>
      <c r="AK7020">
        <v>0.54367990300823699</v>
      </c>
      <c r="AL7020">
        <v>90.605965190166998</v>
      </c>
      <c r="AM7020">
        <v>87.604245536451103</v>
      </c>
      <c r="AN7020">
        <v>0.99999994707890305</v>
      </c>
    </row>
    <row r="7021" spans="1:40" x14ac:dyDescent="0.25">
      <c r="A7021" t="str">
        <f>"20190312161453682"</f>
        <v>20190312161453682</v>
      </c>
      <c r="B7021" t="str">
        <f>"1552378493673721"</f>
        <v>1552378493673721</v>
      </c>
      <c r="C7021" t="s">
        <v>40</v>
      </c>
      <c r="D7021">
        <v>5.8195819999999996</v>
      </c>
      <c r="E7021">
        <v>0.54199529999999996</v>
      </c>
      <c r="F7021" t="s">
        <v>43</v>
      </c>
      <c r="G7021">
        <v>-187.07429999999999</v>
      </c>
      <c r="H7021">
        <v>0.91740370000000004</v>
      </c>
      <c r="I7021">
        <v>15.798489999999999</v>
      </c>
      <c r="J7021">
        <v>-187.21209999999999</v>
      </c>
      <c r="K7021">
        <v>1.1094389999999901</v>
      </c>
      <c r="L7021">
        <v>15.328609999999999</v>
      </c>
      <c r="M7021">
        <v>1.3908439999999999E-2</v>
      </c>
      <c r="N7021">
        <v>0</v>
      </c>
      <c r="O7021">
        <v>0.99986459999999999</v>
      </c>
      <c r="P7021">
        <v>5.5903210000000002E-2</v>
      </c>
      <c r="Q7021">
        <v>-1.9037350000000001E-2</v>
      </c>
      <c r="R7021">
        <v>0.99825469999999905</v>
      </c>
      <c r="S7021">
        <v>0.50563049999999998</v>
      </c>
      <c r="T7021">
        <v>-0.6796951</v>
      </c>
      <c r="U7021">
        <v>2.9638059999999999</v>
      </c>
      <c r="V7021">
        <v>4.2013929999999998E-2</v>
      </c>
      <c r="W7021">
        <v>-1.0249960000000001E-2</v>
      </c>
      <c r="X7021">
        <v>0.99906439999999996</v>
      </c>
      <c r="Y7021">
        <v>0.15029909999999999</v>
      </c>
      <c r="Z7021">
        <v>-0.2207153</v>
      </c>
      <c r="AA7021">
        <v>0.96368819999999999</v>
      </c>
      <c r="AB7021">
        <v>32</v>
      </c>
      <c r="AC7021">
        <v>0.13779999999999801</v>
      </c>
      <c r="AD7021">
        <v>-0.19203529999999899</v>
      </c>
      <c r="AE7021">
        <v>0.46987999999999802</v>
      </c>
      <c r="AF7021">
        <v>0.113755520726588</v>
      </c>
      <c r="AG7021">
        <v>-0.19203529999999899</v>
      </c>
      <c r="AH7021">
        <v>0.40886739882506101</v>
      </c>
      <c r="AI7021">
        <v>114.34626196343299</v>
      </c>
      <c r="AJ7021">
        <v>74.452312903155004</v>
      </c>
      <c r="AK7021">
        <v>0.46582231028992099</v>
      </c>
      <c r="AL7021">
        <v>90.587289759301299</v>
      </c>
      <c r="AM7021">
        <v>87.591943687935398</v>
      </c>
      <c r="AN7021">
        <v>0.99999995367070205</v>
      </c>
    </row>
    <row r="7022" spans="1:40" x14ac:dyDescent="0.25">
      <c r="A7022" t="str">
        <f>"20190312161453702"</f>
        <v>20190312161453702</v>
      </c>
      <c r="B7022" t="str">
        <f>"1552378493693240"</f>
        <v>1552378493693240</v>
      </c>
      <c r="C7022" t="s">
        <v>40</v>
      </c>
      <c r="D7022">
        <v>5.752281</v>
      </c>
      <c r="E7022">
        <v>0.54194219999999904</v>
      </c>
      <c r="F7022" t="s">
        <v>43</v>
      </c>
      <c r="G7022">
        <v>-187.0829</v>
      </c>
      <c r="H7022">
        <v>0.93651260000000003</v>
      </c>
      <c r="I7022">
        <v>16.09207</v>
      </c>
      <c r="J7022">
        <v>-187.20840000000001</v>
      </c>
      <c r="K7022">
        <v>1.1094409999999999</v>
      </c>
      <c r="L7022">
        <v>15.59247</v>
      </c>
      <c r="M7022">
        <v>1.386274E-2</v>
      </c>
      <c r="N7022">
        <v>0</v>
      </c>
      <c r="O7022">
        <v>0.99986520000000001</v>
      </c>
      <c r="P7022">
        <v>5.6239659999999997E-2</v>
      </c>
      <c r="Q7022">
        <v>-1.871693E-2</v>
      </c>
      <c r="R7022">
        <v>0.99824179999999996</v>
      </c>
      <c r="S7022">
        <v>0.50109859999999995</v>
      </c>
      <c r="T7022">
        <v>-0.67144490000000001</v>
      </c>
      <c r="U7022">
        <v>2.9643860000000002</v>
      </c>
      <c r="V7022">
        <v>4.2396169999999997E-2</v>
      </c>
      <c r="W7022">
        <v>-9.9276680000000006E-3</v>
      </c>
      <c r="X7022">
        <v>0.99905160000000004</v>
      </c>
      <c r="Y7022">
        <v>0.148976</v>
      </c>
      <c r="Z7022">
        <v>-0.21817439999999999</v>
      </c>
      <c r="AA7022">
        <v>0.96447190000000005</v>
      </c>
      <c r="AB7022">
        <v>32</v>
      </c>
      <c r="AC7022">
        <v>0.12550000000001599</v>
      </c>
      <c r="AD7022">
        <v>-0.17292839999999901</v>
      </c>
      <c r="AE7022">
        <v>0.49959999999999899</v>
      </c>
      <c r="AF7022">
        <v>0.106553564802377</v>
      </c>
      <c r="AG7022">
        <v>-0.17292839999999901</v>
      </c>
      <c r="AH7022">
        <v>0.450519564606639</v>
      </c>
      <c r="AI7022">
        <v>110.48251134127</v>
      </c>
      <c r="AJ7022">
        <v>76.693345200120703</v>
      </c>
      <c r="AK7022">
        <v>0.49419203938550998</v>
      </c>
      <c r="AL7022">
        <v>90.568822794265103</v>
      </c>
      <c r="AM7022">
        <v>87.570030395555705</v>
      </c>
      <c r="AN7022">
        <v>1.00000004664257</v>
      </c>
    </row>
    <row r="7023" spans="1:40" x14ac:dyDescent="0.25">
      <c r="A7023" t="str">
        <f>"20190312161453723"</f>
        <v>20190312161453723</v>
      </c>
      <c r="B7023" t="str">
        <f>"1552378493713736"</f>
        <v>1552378493713736</v>
      </c>
      <c r="C7023" t="s">
        <v>40</v>
      </c>
      <c r="D7023">
        <v>5.8694110000000004</v>
      </c>
      <c r="E7023">
        <v>0.54171840000000004</v>
      </c>
      <c r="F7023" t="s">
        <v>43</v>
      </c>
      <c r="G7023">
        <v>-187.07589999999999</v>
      </c>
      <c r="H7023">
        <v>0.93238080000000001</v>
      </c>
      <c r="I7023">
        <v>16.37603</v>
      </c>
      <c r="J7023">
        <v>-187.2039</v>
      </c>
      <c r="K7023">
        <v>1.10944</v>
      </c>
      <c r="L7023">
        <v>15.91995</v>
      </c>
      <c r="M7023">
        <v>1.380578E-2</v>
      </c>
      <c r="N7023">
        <v>0</v>
      </c>
      <c r="O7023">
        <v>0.99986600000000003</v>
      </c>
      <c r="P7023">
        <v>5.6459919999999997E-2</v>
      </c>
      <c r="Q7023">
        <v>-1.8217750000000001E-2</v>
      </c>
      <c r="R7023">
        <v>0.99823859999999998</v>
      </c>
      <c r="S7023">
        <v>0.50149540000000004</v>
      </c>
      <c r="T7023">
        <v>-0.6698731</v>
      </c>
      <c r="U7023">
        <v>2.9644780000000002</v>
      </c>
      <c r="V7023">
        <v>4.2673320000000001E-2</v>
      </c>
      <c r="W7023">
        <v>-9.4255520000000002E-3</v>
      </c>
      <c r="X7023">
        <v>0.99904459999999995</v>
      </c>
      <c r="Y7023">
        <v>0.14917149999999901</v>
      </c>
      <c r="Z7023">
        <v>-0.2176766</v>
      </c>
      <c r="AA7023">
        <v>0.96455420000000003</v>
      </c>
      <c r="AB7023">
        <v>32</v>
      </c>
      <c r="AC7023">
        <v>0.12800000000001399</v>
      </c>
      <c r="AD7023">
        <v>-0.177059199999999</v>
      </c>
      <c r="AE7023">
        <v>0.45607999999999999</v>
      </c>
      <c r="AF7023">
        <v>0.106773659351192</v>
      </c>
      <c r="AG7023">
        <v>-0.177059199999999</v>
      </c>
      <c r="AH7023">
        <v>0.40168437979968302</v>
      </c>
      <c r="AI7023">
        <v>113.073941292828</v>
      </c>
      <c r="AJ7023">
        <v>75.114159618302196</v>
      </c>
      <c r="AK7023">
        <v>0.451775293271932</v>
      </c>
      <c r="AL7023">
        <v>90.540052355015305</v>
      </c>
      <c r="AM7023">
        <v>87.554147438591798</v>
      </c>
      <c r="AN7023">
        <v>0.99999998302974302</v>
      </c>
    </row>
    <row r="7024" spans="1:40" x14ac:dyDescent="0.25">
      <c r="A7024" t="str">
        <f>"20190312161453745"</f>
        <v>20190312161453745</v>
      </c>
      <c r="B7024" t="str">
        <f>"1552378493734233"</f>
        <v>1552378493734233</v>
      </c>
      <c r="C7024" t="s">
        <v>40</v>
      </c>
      <c r="D7024">
        <v>5.9387869999999996</v>
      </c>
      <c r="E7024">
        <v>0.54137089999999999</v>
      </c>
      <c r="F7024" t="s">
        <v>43</v>
      </c>
      <c r="G7024">
        <v>-187.07769999999999</v>
      </c>
      <c r="H7024">
        <v>0.9421967</v>
      </c>
      <c r="I7024">
        <v>16.666799999999999</v>
      </c>
      <c r="J7024">
        <v>-187.1996</v>
      </c>
      <c r="K7024">
        <v>1.109434</v>
      </c>
      <c r="L7024">
        <v>16.24173</v>
      </c>
      <c r="M7024">
        <v>1.375003E-2</v>
      </c>
      <c r="N7024">
        <v>0</v>
      </c>
      <c r="O7024">
        <v>0.9998667</v>
      </c>
      <c r="P7024">
        <v>5.6872579999999999E-2</v>
      </c>
      <c r="Q7024">
        <v>-1.789259E-2</v>
      </c>
      <c r="R7024">
        <v>0.99822109999999997</v>
      </c>
      <c r="S7024">
        <v>0.50033570000000005</v>
      </c>
      <c r="T7024">
        <v>-0.66392109999999904</v>
      </c>
      <c r="U7024">
        <v>2.964874</v>
      </c>
      <c r="V7024">
        <v>4.3141859999999997E-2</v>
      </c>
      <c r="W7024">
        <v>-9.0970170000000006E-3</v>
      </c>
      <c r="X7024">
        <v>0.99902760000000002</v>
      </c>
      <c r="Y7024">
        <v>0.14890719999999999</v>
      </c>
      <c r="Z7024">
        <v>-0.21581810000000001</v>
      </c>
      <c r="AA7024">
        <v>0.9650126</v>
      </c>
      <c r="AB7024">
        <v>32</v>
      </c>
      <c r="AC7024">
        <v>0.12190000000001</v>
      </c>
      <c r="AD7024">
        <v>-0.16723730000000001</v>
      </c>
      <c r="AE7024">
        <v>0.425069999999998</v>
      </c>
      <c r="AF7024">
        <v>0.101522891245208</v>
      </c>
      <c r="AG7024">
        <v>-0.16723730000000001</v>
      </c>
      <c r="AH7024">
        <v>0.37331189362924999</v>
      </c>
      <c r="AI7024">
        <v>113.377985760179</v>
      </c>
      <c r="AJ7024">
        <v>74.786237613955905</v>
      </c>
      <c r="AK7024">
        <v>0.421470024892795</v>
      </c>
      <c r="AL7024">
        <v>90.521227837894997</v>
      </c>
      <c r="AM7024">
        <v>87.5272838524387</v>
      </c>
      <c r="AN7024">
        <v>1.00000006068215</v>
      </c>
    </row>
    <row r="7025" spans="1:40" x14ac:dyDescent="0.25">
      <c r="A7025" t="str">
        <f>"20190312161453770"</f>
        <v>20190312161453770</v>
      </c>
      <c r="B7025" t="str">
        <f>"1552378493763512"</f>
        <v>1552378493763512</v>
      </c>
      <c r="C7025" t="s">
        <v>40</v>
      </c>
      <c r="D7025">
        <v>5.7649559999999997</v>
      </c>
      <c r="E7025">
        <v>0.54091769999999995</v>
      </c>
      <c r="F7025" t="s">
        <v>43</v>
      </c>
      <c r="G7025">
        <v>-187.07919999999999</v>
      </c>
      <c r="H7025">
        <v>0.95036200000000004</v>
      </c>
      <c r="I7025">
        <v>16.957360000000001</v>
      </c>
      <c r="J7025">
        <v>-187.19489999999999</v>
      </c>
      <c r="K7025">
        <v>1.109432</v>
      </c>
      <c r="L7025">
        <v>16.583649999999999</v>
      </c>
      <c r="M7025">
        <v>1.369069E-2</v>
      </c>
      <c r="N7025">
        <v>0</v>
      </c>
      <c r="O7025">
        <v>0.99986750000000002</v>
      </c>
      <c r="P7025">
        <v>5.694693E-2</v>
      </c>
      <c r="Q7025">
        <v>-1.8037899999999999E-2</v>
      </c>
      <c r="R7025">
        <v>0.99821420000000005</v>
      </c>
      <c r="S7025">
        <v>0.49861149999999999</v>
      </c>
      <c r="T7025">
        <v>-0.65909329999999999</v>
      </c>
      <c r="U7025">
        <v>2.9651179999999999</v>
      </c>
      <c r="V7025">
        <v>4.3275599999999997E-2</v>
      </c>
      <c r="W7025">
        <v>-9.2380910000000004E-3</v>
      </c>
      <c r="X7025">
        <v>0.99902049999999998</v>
      </c>
      <c r="Y7025">
        <v>0.1484616</v>
      </c>
      <c r="Z7025">
        <v>-0.2143225</v>
      </c>
      <c r="AA7025">
        <v>0.96541440000000001</v>
      </c>
      <c r="AB7025">
        <v>32</v>
      </c>
      <c r="AC7025">
        <v>0.11570000000000299</v>
      </c>
      <c r="AD7025">
        <v>-0.15906999999999899</v>
      </c>
      <c r="AE7025">
        <v>0.37371000000000199</v>
      </c>
      <c r="AF7025">
        <v>9.4885112978491296E-2</v>
      </c>
      <c r="AG7025">
        <v>-0.15906999999999899</v>
      </c>
      <c r="AH7025">
        <v>0.32201914419199001</v>
      </c>
      <c r="AI7025">
        <v>115.35323812337199</v>
      </c>
      <c r="AJ7025">
        <v>73.582034998079095</v>
      </c>
      <c r="AK7025">
        <v>0.371487252528378</v>
      </c>
      <c r="AL7025">
        <v>90.529311133025899</v>
      </c>
      <c r="AM7025">
        <v>87.519610371820903</v>
      </c>
      <c r="AN7025">
        <v>1.00000003965046</v>
      </c>
    </row>
    <row r="7026" spans="1:40" x14ac:dyDescent="0.25">
      <c r="A7026" t="str">
        <f>"20190312161453791"</f>
        <v>20190312161453791</v>
      </c>
      <c r="B7026" t="str">
        <f>"1552378493784009"</f>
        <v>1552378493784009</v>
      </c>
      <c r="C7026" t="s">
        <v>40</v>
      </c>
      <c r="D7026">
        <v>5.6634969999999996</v>
      </c>
      <c r="E7026">
        <v>0.540829</v>
      </c>
      <c r="F7026" t="s">
        <v>43</v>
      </c>
      <c r="G7026">
        <v>-187.03960000000001</v>
      </c>
      <c r="H7026">
        <v>0.90408900000000003</v>
      </c>
      <c r="I7026">
        <v>17.512609999999999</v>
      </c>
      <c r="J7026">
        <v>-187.1908</v>
      </c>
      <c r="K7026">
        <v>1.1094299999999999</v>
      </c>
      <c r="L7026">
        <v>16.88898</v>
      </c>
      <c r="M7026">
        <v>1.3637679999999999E-2</v>
      </c>
      <c r="N7026">
        <v>0</v>
      </c>
      <c r="O7026">
        <v>0.99986819999999998</v>
      </c>
      <c r="P7026">
        <v>5.7021839999999997E-2</v>
      </c>
      <c r="Q7026">
        <v>-1.816562E-2</v>
      </c>
      <c r="R7026">
        <v>0.99820759999999997</v>
      </c>
      <c r="S7026">
        <v>0.49546810000000002</v>
      </c>
      <c r="T7026">
        <v>-0.6554565</v>
      </c>
      <c r="U7026">
        <v>2.965271</v>
      </c>
      <c r="V7026">
        <v>4.3403549999999999E-2</v>
      </c>
      <c r="W7026">
        <v>-9.3616670000000006E-3</v>
      </c>
      <c r="X7026">
        <v>0.99901379999999995</v>
      </c>
      <c r="Y7026">
        <v>0.14755019999999999</v>
      </c>
      <c r="Z7026">
        <v>-0.21321660000000001</v>
      </c>
      <c r="AA7026">
        <v>0.96579899999999996</v>
      </c>
      <c r="AB7026">
        <v>32</v>
      </c>
      <c r="AC7026">
        <v>0.15119999999998801</v>
      </c>
      <c r="AD7026">
        <v>-0.205341</v>
      </c>
      <c r="AE7026">
        <v>0.62363000000000202</v>
      </c>
      <c r="AF7026">
        <v>0.12942763938901</v>
      </c>
      <c r="AG7026">
        <v>-0.205341</v>
      </c>
      <c r="AH7026">
        <v>0.56752119108074905</v>
      </c>
      <c r="AI7026">
        <v>109.43097928806201</v>
      </c>
      <c r="AJ7026">
        <v>77.152968655410007</v>
      </c>
      <c r="AK7026">
        <v>0.61724933571817198</v>
      </c>
      <c r="AL7026">
        <v>90.536391821598002</v>
      </c>
      <c r="AM7026">
        <v>87.512269310460297</v>
      </c>
      <c r="AN7026">
        <v>1.0000000407760199</v>
      </c>
    </row>
    <row r="7027" spans="1:40" x14ac:dyDescent="0.25">
      <c r="A7027" t="str">
        <f>"20190312161453811"</f>
        <v>20190312161453811</v>
      </c>
      <c r="B7027" t="str">
        <f>"1552378493803529"</f>
        <v>1552378493803529</v>
      </c>
      <c r="C7027" t="s">
        <v>40</v>
      </c>
      <c r="D7027">
        <v>5.7740910000000003</v>
      </c>
      <c r="E7027">
        <v>0.54053929999999994</v>
      </c>
      <c r="F7027" t="s">
        <v>43</v>
      </c>
      <c r="G7027">
        <v>-187.03819999999999</v>
      </c>
      <c r="H7027">
        <v>0.90787269999999998</v>
      </c>
      <c r="I7027">
        <v>17.802389999999999</v>
      </c>
      <c r="J7027">
        <v>-187.18680000000001</v>
      </c>
      <c r="K7027">
        <v>1.109426</v>
      </c>
      <c r="L7027">
        <v>17.179870000000001</v>
      </c>
      <c r="M7027">
        <v>1.358723E-2</v>
      </c>
      <c r="N7027">
        <v>0</v>
      </c>
      <c r="O7027">
        <v>0.99986889999999995</v>
      </c>
      <c r="P7027">
        <v>5.7397719999999999E-2</v>
      </c>
      <c r="Q7027">
        <v>-1.907967E-2</v>
      </c>
      <c r="R7027">
        <v>0.99816910000000003</v>
      </c>
      <c r="S7027">
        <v>0.49482730000000003</v>
      </c>
      <c r="T7027">
        <v>-0.65430759999999999</v>
      </c>
      <c r="U7027">
        <v>2.9652099999999999</v>
      </c>
      <c r="V7027">
        <v>4.383041E-2</v>
      </c>
      <c r="W7027">
        <v>-1.027162E-2</v>
      </c>
      <c r="X7027">
        <v>0.99898620000000005</v>
      </c>
      <c r="Y7027">
        <v>0.14741270000000001</v>
      </c>
      <c r="Z7027">
        <v>-0.21287010000000001</v>
      </c>
      <c r="AA7027">
        <v>0.96589639999999999</v>
      </c>
      <c r="AB7027">
        <v>32</v>
      </c>
      <c r="AC7027">
        <v>0.148600000000016</v>
      </c>
      <c r="AD7027">
        <v>-0.20155329999999999</v>
      </c>
      <c r="AE7027">
        <v>0.62251999999999796</v>
      </c>
      <c r="AF7027">
        <v>0.12748426898479501</v>
      </c>
      <c r="AG7027">
        <v>-0.20155329999999999</v>
      </c>
      <c r="AH7027">
        <v>0.56813626770245096</v>
      </c>
      <c r="AI7027">
        <v>109.093533171324</v>
      </c>
      <c r="AJ7027">
        <v>77.352870666498305</v>
      </c>
      <c r="AK7027">
        <v>0.61616133460186295</v>
      </c>
      <c r="AL7027">
        <v>90.588530812590704</v>
      </c>
      <c r="AM7027">
        <v>87.487765151267496</v>
      </c>
      <c r="AN7027">
        <v>1.0000000194043099</v>
      </c>
    </row>
    <row r="7028" spans="1:40" x14ac:dyDescent="0.25">
      <c r="A7028" t="str">
        <f>"20190312161453834"</f>
        <v>20190312161453834</v>
      </c>
      <c r="B7028" t="str">
        <f>"1552378493824024"</f>
        <v>1552378493824024</v>
      </c>
      <c r="C7028" t="s">
        <v>40</v>
      </c>
      <c r="D7028">
        <v>5.9394729999999996</v>
      </c>
      <c r="E7028">
        <v>0.54028929999999997</v>
      </c>
      <c r="F7028" t="s">
        <v>43</v>
      </c>
      <c r="G7028">
        <v>-187.0351</v>
      </c>
      <c r="H7028">
        <v>0.90841749999999999</v>
      </c>
      <c r="I7028">
        <v>18.091349999999998</v>
      </c>
      <c r="J7028">
        <v>-187.1823</v>
      </c>
      <c r="K7028">
        <v>1.109426</v>
      </c>
      <c r="L7028">
        <v>17.522919999999999</v>
      </c>
      <c r="M7028">
        <v>1.3527839999999999E-2</v>
      </c>
      <c r="N7028">
        <v>0</v>
      </c>
      <c r="O7028">
        <v>0.99986960000000003</v>
      </c>
      <c r="P7028">
        <v>5.7365260000000001E-2</v>
      </c>
      <c r="Q7028">
        <v>-1.897774E-2</v>
      </c>
      <c r="R7028">
        <v>0.99817290000000003</v>
      </c>
      <c r="S7028">
        <v>0.49339290000000002</v>
      </c>
      <c r="T7028">
        <v>-0.65379189999999998</v>
      </c>
      <c r="U7028">
        <v>2.9646300000000001</v>
      </c>
      <c r="V7028">
        <v>4.3857210000000001E-2</v>
      </c>
      <c r="W7028">
        <v>-1.016421E-2</v>
      </c>
      <c r="X7028">
        <v>0.99898609999999999</v>
      </c>
      <c r="Y7028">
        <v>0.14705119999999999</v>
      </c>
      <c r="Z7028">
        <v>-0.21276320000000001</v>
      </c>
      <c r="AA7028">
        <v>0.96597500000000003</v>
      </c>
      <c r="AB7028">
        <v>32</v>
      </c>
      <c r="AC7028">
        <v>0.147199999999998</v>
      </c>
      <c r="AD7028">
        <v>-0.20100850000000001</v>
      </c>
      <c r="AE7028">
        <v>0.56842999999999499</v>
      </c>
      <c r="AF7028">
        <v>0.124863943273612</v>
      </c>
      <c r="AG7028">
        <v>-0.20100850000000001</v>
      </c>
      <c r="AH7028">
        <v>0.51053980484996797</v>
      </c>
      <c r="AI7028">
        <v>110.929132553494</v>
      </c>
      <c r="AJ7028">
        <v>76.256814175581695</v>
      </c>
      <c r="AK7028">
        <v>0.56271334952916197</v>
      </c>
      <c r="AL7028">
        <v>90.582376364780899</v>
      </c>
      <c r="AM7028">
        <v>87.486230769786303</v>
      </c>
      <c r="AN7028">
        <v>0.99999999701355902</v>
      </c>
    </row>
    <row r="7029" spans="1:40" x14ac:dyDescent="0.25">
      <c r="A7029" t="str">
        <f>"20190312161453858"</f>
        <v>20190312161453858</v>
      </c>
      <c r="B7029" t="str">
        <f>"1552378493854281"</f>
        <v>1552378493854281</v>
      </c>
      <c r="C7029" t="s">
        <v>40</v>
      </c>
      <c r="D7029">
        <v>5.6685819999999998</v>
      </c>
      <c r="E7029">
        <v>0.54016509999999995</v>
      </c>
      <c r="F7029" t="s">
        <v>43</v>
      </c>
      <c r="G7029">
        <v>-187.03919999999999</v>
      </c>
      <c r="H7029">
        <v>0.92027829999999999</v>
      </c>
      <c r="I7029">
        <v>18.38533</v>
      </c>
      <c r="J7029">
        <v>-187.17779999999999</v>
      </c>
      <c r="K7029">
        <v>1.109426</v>
      </c>
      <c r="L7029">
        <v>17.854679999999998</v>
      </c>
      <c r="M7029">
        <v>1.3470269999999999E-2</v>
      </c>
      <c r="N7029">
        <v>0</v>
      </c>
      <c r="O7029">
        <v>0.99987029999999999</v>
      </c>
      <c r="P7029">
        <v>5.694188E-2</v>
      </c>
      <c r="Q7029">
        <v>-1.81931E-2</v>
      </c>
      <c r="R7029">
        <v>0.99821170000000004</v>
      </c>
      <c r="S7029">
        <v>0.49125669999999999</v>
      </c>
      <c r="T7029">
        <v>-0.65026649999999997</v>
      </c>
      <c r="U7029">
        <v>2.9649049999999999</v>
      </c>
      <c r="V7029">
        <v>4.3490790000000001E-2</v>
      </c>
      <c r="W7029">
        <v>-9.37377E-3</v>
      </c>
      <c r="X7029">
        <v>0.99900979999999995</v>
      </c>
      <c r="Y7029">
        <v>0.146455</v>
      </c>
      <c r="Z7029">
        <v>-0.211671</v>
      </c>
      <c r="AA7029">
        <v>0.96630550000000004</v>
      </c>
      <c r="AB7029">
        <v>32</v>
      </c>
      <c r="AC7029">
        <v>0.138599999999996</v>
      </c>
      <c r="AD7029">
        <v>-0.189147699999999</v>
      </c>
      <c r="AE7029">
        <v>0.53065000000000095</v>
      </c>
      <c r="AF7029">
        <v>0.117467634610441</v>
      </c>
      <c r="AG7029">
        <v>-0.189147699999999</v>
      </c>
      <c r="AH7029">
        <v>0.47586935962627802</v>
      </c>
      <c r="AI7029">
        <v>111.101349988424</v>
      </c>
      <c r="AJ7029">
        <v>76.133828510298599</v>
      </c>
      <c r="AK7029">
        <v>0.52538285566564302</v>
      </c>
      <c r="AL7029">
        <v>90.537085352413001</v>
      </c>
      <c r="AM7029">
        <v>87.507265369622303</v>
      </c>
      <c r="AN7029">
        <v>0.999999948437437</v>
      </c>
    </row>
    <row r="7030" spans="1:40" x14ac:dyDescent="0.25">
      <c r="A7030" t="str">
        <f>"20190312161453876"</f>
        <v>20190312161453876</v>
      </c>
      <c r="B7030" t="str">
        <f>"1552378493873802"</f>
        <v>1552378493873802</v>
      </c>
      <c r="C7030" t="s">
        <v>40</v>
      </c>
      <c r="D7030">
        <v>5.8365640000000001</v>
      </c>
      <c r="E7030">
        <v>0.4964056</v>
      </c>
      <c r="F7030" t="s">
        <v>43</v>
      </c>
      <c r="G7030">
        <v>-187.04169999999999</v>
      </c>
      <c r="H7030">
        <v>0.92976429999999999</v>
      </c>
      <c r="I7030">
        <v>18.679040000000001</v>
      </c>
      <c r="J7030">
        <v>-187.17410000000001</v>
      </c>
      <c r="K7030">
        <v>1.1094299999999999</v>
      </c>
      <c r="L7030">
        <v>18.133669999999999</v>
      </c>
      <c r="M7030">
        <v>1.342192E-2</v>
      </c>
      <c r="N7030">
        <v>0</v>
      </c>
      <c r="O7030">
        <v>0.99987099999999995</v>
      </c>
      <c r="P7030">
        <v>5.675413E-2</v>
      </c>
      <c r="Q7030">
        <v>-1.804714E-2</v>
      </c>
      <c r="R7030">
        <v>0.99822500000000003</v>
      </c>
      <c r="S7030">
        <v>0.48937989999999998</v>
      </c>
      <c r="T7030">
        <v>-0.64633079999999998</v>
      </c>
      <c r="U7030">
        <v>2.965668</v>
      </c>
      <c r="V7030">
        <v>4.3351189999999998E-2</v>
      </c>
      <c r="W7030">
        <v>-9.2228469999999993E-3</v>
      </c>
      <c r="X7030">
        <v>0.9990173</v>
      </c>
      <c r="Y7030">
        <v>0.1459116</v>
      </c>
      <c r="Z7030">
        <v>-0.2104153</v>
      </c>
      <c r="AA7030">
        <v>0.96666189999999996</v>
      </c>
      <c r="AB7030">
        <v>32</v>
      </c>
      <c r="AC7030">
        <v>0.132400000000018</v>
      </c>
      <c r="AD7030">
        <v>-0.17966569999999901</v>
      </c>
      <c r="AE7030">
        <v>0.54536999999999802</v>
      </c>
      <c r="AF7030">
        <v>0.11344137729833099</v>
      </c>
      <c r="AG7030">
        <v>-0.17966569999999901</v>
      </c>
      <c r="AH7030">
        <v>0.496238947537538</v>
      </c>
      <c r="AI7030">
        <v>109.44047656313499</v>
      </c>
      <c r="AJ7030">
        <v>77.123316095575206</v>
      </c>
      <c r="AK7030">
        <v>0.53981645296618697</v>
      </c>
      <c r="AL7030">
        <v>90.528437712549206</v>
      </c>
      <c r="AM7030">
        <v>87.515275322331703</v>
      </c>
      <c r="AN7030">
        <v>0.99999997614024505</v>
      </c>
    </row>
    <row r="7031" spans="1:40" x14ac:dyDescent="0.25">
      <c r="A7031" t="str">
        <f>"20190312161453898"</f>
        <v>20190312161453898</v>
      </c>
      <c r="B7031" t="str">
        <f>"1552378493893321"</f>
        <v>1552378493893321</v>
      </c>
      <c r="C7031" t="s">
        <v>40</v>
      </c>
      <c r="D7031">
        <v>5.0370280000000003</v>
      </c>
      <c r="E7031">
        <v>0.4768249</v>
      </c>
      <c r="F7031" t="s">
        <v>43</v>
      </c>
      <c r="G7031">
        <v>-187.13390000000001</v>
      </c>
      <c r="H7031">
        <v>0.95634960000000002</v>
      </c>
      <c r="I7031">
        <v>18.982559999999999</v>
      </c>
      <c r="J7031">
        <v>-187.17</v>
      </c>
      <c r="K7031">
        <v>1.1094250000000001</v>
      </c>
      <c r="L7031">
        <v>18.44229</v>
      </c>
      <c r="M7031">
        <v>1.3368410000000001E-2</v>
      </c>
      <c r="N7031">
        <v>0</v>
      </c>
      <c r="O7031">
        <v>0.99987159999999997</v>
      </c>
      <c r="P7031">
        <v>5.7112990000000002E-2</v>
      </c>
      <c r="Q7031">
        <v>-1.8380219999999999E-2</v>
      </c>
      <c r="R7031">
        <v>0.99819849999999999</v>
      </c>
      <c r="S7031">
        <v>0.14057919999999999</v>
      </c>
      <c r="T7031">
        <v>-0.53875050000000002</v>
      </c>
      <c r="U7031">
        <v>2.9876100000000001</v>
      </c>
      <c r="V7031">
        <v>4.376385E-2</v>
      </c>
      <c r="W7031">
        <v>-9.5504040000000002E-3</v>
      </c>
      <c r="X7031">
        <v>0.99899629999999995</v>
      </c>
      <c r="Y7031">
        <v>3.2899049999999999E-2</v>
      </c>
      <c r="Z7031">
        <v>-0.1772997</v>
      </c>
      <c r="AA7031">
        <v>0.98360689999999995</v>
      </c>
      <c r="AB7031">
        <v>32</v>
      </c>
      <c r="AC7031">
        <v>3.60999999999762E-2</v>
      </c>
      <c r="AD7031">
        <v>-0.1530754</v>
      </c>
      <c r="AE7031">
        <v>0.54026999999999903</v>
      </c>
      <c r="AF7031">
        <v>2.6737115885373801E-2</v>
      </c>
      <c r="AG7031">
        <v>-0.1530754</v>
      </c>
      <c r="AH7031">
        <v>0.50068934066135296</v>
      </c>
      <c r="AI7031">
        <v>106.97713240777399</v>
      </c>
      <c r="AJ7031">
        <v>86.943273800448495</v>
      </c>
      <c r="AK7031">
        <v>0.52424876471283</v>
      </c>
      <c r="AL7031">
        <v>90.547206135299007</v>
      </c>
      <c r="AM7031">
        <v>87.491600633224706</v>
      </c>
      <c r="AN7031">
        <v>1.0000000460985301</v>
      </c>
    </row>
    <row r="7032" spans="1:40" x14ac:dyDescent="0.25">
      <c r="A7032" t="str">
        <f>"20190312161453922"</f>
        <v>20190312161453922</v>
      </c>
      <c r="B7032" t="str">
        <f>"1552378493913818"</f>
        <v>1552378493913818</v>
      </c>
      <c r="C7032" t="s">
        <v>40</v>
      </c>
      <c r="D7032">
        <v>5.5523639999999999</v>
      </c>
      <c r="E7032">
        <v>0.47970550000000001</v>
      </c>
      <c r="F7032" t="s">
        <v>43</v>
      </c>
      <c r="G7032">
        <v>-187.17420000000001</v>
      </c>
      <c r="H7032">
        <v>0.86741639999999998</v>
      </c>
      <c r="I7032">
        <v>19.236660000000001</v>
      </c>
      <c r="J7032">
        <v>-187.16540000000001</v>
      </c>
      <c r="K7032">
        <v>1.109424</v>
      </c>
      <c r="L7032">
        <v>18.792210000000001</v>
      </c>
      <c r="M7032">
        <v>1.3307889999999999E-2</v>
      </c>
      <c r="N7032">
        <v>0</v>
      </c>
      <c r="O7032">
        <v>0.99987230000000005</v>
      </c>
      <c r="P7032">
        <v>5.7170569999999997E-2</v>
      </c>
      <c r="Q7032">
        <v>-1.865582E-2</v>
      </c>
      <c r="R7032">
        <v>0.99819009999999997</v>
      </c>
      <c r="S7032">
        <v>-1.5899659999999999E-2</v>
      </c>
      <c r="T7032">
        <v>-0.91078009999999998</v>
      </c>
      <c r="U7032">
        <v>2.989563</v>
      </c>
      <c r="V7032">
        <v>4.3882030000000002E-2</v>
      </c>
      <c r="W7032">
        <v>-9.8194360000000008E-3</v>
      </c>
      <c r="X7032">
        <v>0.9989884</v>
      </c>
      <c r="Y7032">
        <v>-1.839524E-2</v>
      </c>
      <c r="Z7032">
        <v>-0.29136410000000001</v>
      </c>
      <c r="AA7032">
        <v>0.95643529999999999</v>
      </c>
      <c r="AB7032">
        <v>32</v>
      </c>
      <c r="AC7032">
        <v>-8.8000000000079091E-3</v>
      </c>
      <c r="AD7032">
        <v>-0.24200759999999899</v>
      </c>
      <c r="AE7032">
        <v>0.44444999999999901</v>
      </c>
      <c r="AF7032">
        <v>-1.13502195090062E-2</v>
      </c>
      <c r="AG7032">
        <v>-0.24200759999999899</v>
      </c>
      <c r="AH7032">
        <v>0.34271983953271601</v>
      </c>
      <c r="AI7032">
        <v>125.212583148354</v>
      </c>
      <c r="AJ7032">
        <v>91.896832332064804</v>
      </c>
      <c r="AK7032">
        <v>0.41970631916852602</v>
      </c>
      <c r="AL7032">
        <v>90.562621316235806</v>
      </c>
      <c r="AM7032">
        <v>87.484815768500795</v>
      </c>
      <c r="AN7032">
        <v>0.99999993860741698</v>
      </c>
    </row>
    <row r="7033" spans="1:40" x14ac:dyDescent="0.25">
      <c r="A7033" t="str">
        <f>"20190312161453946"</f>
        <v>20190312161453946</v>
      </c>
      <c r="B7033" t="str">
        <f>"1552378493944072"</f>
        <v>1552378493944072</v>
      </c>
      <c r="C7033" t="s">
        <v>40</v>
      </c>
      <c r="D7033">
        <v>5.5189219999999999</v>
      </c>
      <c r="E7033">
        <v>0.4903843</v>
      </c>
      <c r="F7033" t="s">
        <v>43</v>
      </c>
      <c r="G7033">
        <v>-187.16329999999999</v>
      </c>
      <c r="H7033">
        <v>0.89238169999999895</v>
      </c>
      <c r="I7033">
        <v>19.538060000000002</v>
      </c>
      <c r="J7033">
        <v>-187.1609</v>
      </c>
      <c r="K7033">
        <v>1.1094200000000001</v>
      </c>
      <c r="L7033">
        <v>19.13345</v>
      </c>
      <c r="M7033">
        <v>1.3248609999999999E-2</v>
      </c>
      <c r="N7033">
        <v>0</v>
      </c>
      <c r="O7033">
        <v>0.99987309999999996</v>
      </c>
      <c r="P7033">
        <v>5.6836150000000002E-2</v>
      </c>
      <c r="Q7033">
        <v>-1.8475749999999999E-2</v>
      </c>
      <c r="R7033">
        <v>0.99821260000000001</v>
      </c>
      <c r="S7033">
        <v>7.9040529999999994E-3</v>
      </c>
      <c r="T7033">
        <v>-0.86970020000000003</v>
      </c>
      <c r="U7033">
        <v>2.9887389999999998</v>
      </c>
      <c r="V7033">
        <v>4.3606560000000003E-2</v>
      </c>
      <c r="W7033">
        <v>-9.6328850000000008E-3</v>
      </c>
      <c r="X7033">
        <v>0.99900230000000001</v>
      </c>
      <c r="Y7033">
        <v>-1.0710000000000001E-2</v>
      </c>
      <c r="Z7033">
        <v>-0.27935860000000001</v>
      </c>
      <c r="AA7033">
        <v>0.96012710000000001</v>
      </c>
      <c r="AB7033">
        <v>33</v>
      </c>
      <c r="AC7033">
        <v>-2.3999999999944001E-3</v>
      </c>
      <c r="AD7033">
        <v>-0.21703829999999999</v>
      </c>
      <c r="AE7033">
        <v>0.40461000000000102</v>
      </c>
      <c r="AF7033">
        <v>-6.0265139138526401E-3</v>
      </c>
      <c r="AG7033">
        <v>-0.21703829999999999</v>
      </c>
      <c r="AH7033">
        <v>0.31415193690848398</v>
      </c>
      <c r="AI7033">
        <v>124.634520892753</v>
      </c>
      <c r="AJ7033">
        <v>91.098995182576502</v>
      </c>
      <c r="AK7033">
        <v>0.38188137163286201</v>
      </c>
      <c r="AL7033">
        <v>90.5519322132089</v>
      </c>
      <c r="AM7033">
        <v>87.500619515621693</v>
      </c>
      <c r="AN7033">
        <v>0.99999995997687197</v>
      </c>
    </row>
    <row r="7034" spans="1:40" x14ac:dyDescent="0.25">
      <c r="A7034" t="str">
        <f>"20190312161453970"</f>
        <v>20190312161453970</v>
      </c>
      <c r="B7034" t="str">
        <f>"1552378493964192"</f>
        <v>1552378493964192</v>
      </c>
      <c r="C7034" t="s">
        <v>40</v>
      </c>
      <c r="D7034">
        <v>5.5164279999999897</v>
      </c>
      <c r="E7034">
        <v>0.48747380000000001</v>
      </c>
      <c r="F7034" t="s">
        <v>110</v>
      </c>
      <c r="G7034">
        <v>-175.53299999999999</v>
      </c>
      <c r="H7034">
        <v>6.2224690000000002</v>
      </c>
      <c r="I7034">
        <v>390.11860000000001</v>
      </c>
      <c r="J7034">
        <v>-187.15639999999999</v>
      </c>
      <c r="K7034">
        <v>1.1094170000000001</v>
      </c>
      <c r="L7034">
        <v>19.476289999999999</v>
      </c>
      <c r="M7034">
        <v>1.318919E-2</v>
      </c>
      <c r="N7034">
        <v>0</v>
      </c>
      <c r="O7034">
        <v>0.99987380000000003</v>
      </c>
      <c r="P7034">
        <v>5.6643180000000001E-2</v>
      </c>
      <c r="Q7034">
        <v>-1.8268050000000001E-2</v>
      </c>
      <c r="R7034">
        <v>0.99822739999999999</v>
      </c>
      <c r="S7034">
        <v>9.4055180000000002E-2</v>
      </c>
      <c r="T7034">
        <v>4.1357989999999997E-2</v>
      </c>
      <c r="U7034">
        <v>3.0007929999999998</v>
      </c>
      <c r="V7034">
        <v>4.3472749999999998E-2</v>
      </c>
      <c r="W7034">
        <v>-9.418661E-3</v>
      </c>
      <c r="X7034">
        <v>0.99901019999999896</v>
      </c>
      <c r="Y7034">
        <v>1.813913E-2</v>
      </c>
      <c r="Z7034">
        <v>1.3774730000000001E-2</v>
      </c>
      <c r="AA7034">
        <v>0.99974059999999998</v>
      </c>
      <c r="AB7034">
        <v>33</v>
      </c>
      <c r="AC7034">
        <v>11.6234</v>
      </c>
      <c r="AD7034">
        <v>5.1130519999999997</v>
      </c>
      <c r="AE7034">
        <v>370.64231000000001</v>
      </c>
      <c r="AF7034">
        <v>6.7324453843725696</v>
      </c>
      <c r="AG7034">
        <v>5.1130519999999997</v>
      </c>
      <c r="AH7034">
        <v>370.69290237945</v>
      </c>
      <c r="AI7034">
        <v>89.209886601828202</v>
      </c>
      <c r="AJ7034">
        <v>88.959520670643997</v>
      </c>
      <c r="AK7034">
        <v>370.78928921438398</v>
      </c>
      <c r="AL7034">
        <v>90.539657510966805</v>
      </c>
      <c r="AM7034">
        <v>87.508299050065204</v>
      </c>
      <c r="AN7034">
        <v>0.99999998543581703</v>
      </c>
    </row>
    <row r="7035" spans="1:40" x14ac:dyDescent="0.25">
      <c r="A7035" t="str">
        <f>"20190312161453992"</f>
        <v>20190312161453992</v>
      </c>
      <c r="B7035" t="str">
        <f>"1552378493983713"</f>
        <v>1552378493983713</v>
      </c>
      <c r="C7035" t="s">
        <v>40</v>
      </c>
      <c r="D7035">
        <v>5.4644320000000004</v>
      </c>
      <c r="E7035">
        <v>0.48778329999999998</v>
      </c>
      <c r="F7035" t="s">
        <v>110</v>
      </c>
      <c r="G7035">
        <v>-178.43020000000001</v>
      </c>
      <c r="H7035">
        <v>4.8730029999999998</v>
      </c>
      <c r="I7035">
        <v>391.87</v>
      </c>
      <c r="J7035">
        <v>-187.15219999999999</v>
      </c>
      <c r="K7035">
        <v>1.109416</v>
      </c>
      <c r="L7035">
        <v>19.80219</v>
      </c>
      <c r="M7035">
        <v>1.3132680000000001E-2</v>
      </c>
      <c r="N7035">
        <v>0</v>
      </c>
      <c r="O7035">
        <v>0.9998745</v>
      </c>
      <c r="P7035">
        <v>5.6427680000000001E-2</v>
      </c>
      <c r="Q7035">
        <v>-1.9040899999999999E-2</v>
      </c>
      <c r="R7035">
        <v>0.99822509999999998</v>
      </c>
      <c r="S7035">
        <v>7.0343020000000006E-2</v>
      </c>
      <c r="T7035">
        <v>3.0338529999999999E-2</v>
      </c>
      <c r="U7035">
        <v>3.0018919999999998</v>
      </c>
      <c r="V7035">
        <v>4.3313820000000003E-2</v>
      </c>
      <c r="W7035">
        <v>-1.0185329999999999E-2</v>
      </c>
      <c r="X7035">
        <v>0.99900960000000005</v>
      </c>
      <c r="Y7035">
        <v>1.029366E-2</v>
      </c>
      <c r="Z7035">
        <v>1.0102989999999999E-2</v>
      </c>
      <c r="AA7035">
        <v>0.99989600000000001</v>
      </c>
      <c r="AB7035">
        <v>33</v>
      </c>
      <c r="AC7035">
        <v>8.72199999999998</v>
      </c>
      <c r="AD7035">
        <v>3.7635869999999998</v>
      </c>
      <c r="AE7035">
        <v>372.06781000000001</v>
      </c>
      <c r="AF7035">
        <v>3.8344163324179998</v>
      </c>
      <c r="AG7035">
        <v>3.7635869999999998</v>
      </c>
      <c r="AH7035">
        <v>372.11221552691001</v>
      </c>
      <c r="AI7035">
        <v>89.420554222243098</v>
      </c>
      <c r="AJ7035">
        <v>89.409618689845601</v>
      </c>
      <c r="AK7035">
        <v>372.15100198718</v>
      </c>
      <c r="AL7035">
        <v>90.583586509967205</v>
      </c>
      <c r="AM7035">
        <v>87.517395436123394</v>
      </c>
      <c r="AN7035">
        <v>1.0000000044211801</v>
      </c>
    </row>
    <row r="7036" spans="1:40" x14ac:dyDescent="0.25">
      <c r="A7036" t="str">
        <f>"20190312161454013"</f>
        <v>20190312161454013</v>
      </c>
      <c r="B7036" t="str">
        <f>"1552378494003233"</f>
        <v>1552378494003233</v>
      </c>
      <c r="C7036" t="s">
        <v>40</v>
      </c>
      <c r="D7036">
        <v>5.460801</v>
      </c>
      <c r="E7036">
        <v>0.4881627</v>
      </c>
      <c r="F7036" t="s">
        <v>110</v>
      </c>
      <c r="G7036">
        <v>-178.23840000000001</v>
      </c>
      <c r="H7036">
        <v>7.371435</v>
      </c>
      <c r="I7036">
        <v>390.11860000000001</v>
      </c>
      <c r="J7036">
        <v>-187.148</v>
      </c>
      <c r="K7036">
        <v>1.109416</v>
      </c>
      <c r="L7036">
        <v>20.125489999999999</v>
      </c>
      <c r="M7036">
        <v>1.3076519999999999E-2</v>
      </c>
      <c r="N7036">
        <v>0</v>
      </c>
      <c r="O7036">
        <v>0.99987519999999996</v>
      </c>
      <c r="P7036">
        <v>5.612938E-2</v>
      </c>
      <c r="Q7036">
        <v>-1.9151430000000001E-2</v>
      </c>
      <c r="R7036">
        <v>0.99823980000000001</v>
      </c>
      <c r="S7036">
        <v>7.2265629999999997E-2</v>
      </c>
      <c r="T7036">
        <v>5.0767420000000001E-2</v>
      </c>
      <c r="U7036">
        <v>3.0022280000000001</v>
      </c>
      <c r="V7036">
        <v>4.3071459999999999E-2</v>
      </c>
      <c r="W7036">
        <v>-1.028946E-2</v>
      </c>
      <c r="X7036">
        <v>0.99901899999999999</v>
      </c>
      <c r="Y7036">
        <v>1.098496E-2</v>
      </c>
      <c r="Z7036">
        <v>1.690237E-2</v>
      </c>
      <c r="AA7036">
        <v>0.99979680000000004</v>
      </c>
      <c r="AB7036">
        <v>33</v>
      </c>
      <c r="AC7036">
        <v>8.9095999999999798</v>
      </c>
      <c r="AD7036">
        <v>6.2620189999999996</v>
      </c>
      <c r="AE7036">
        <v>369.99311</v>
      </c>
      <c r="AF7036">
        <v>4.0692607831878904</v>
      </c>
      <c r="AG7036">
        <v>6.2620189999999996</v>
      </c>
      <c r="AH7036">
        <v>369.97206845522697</v>
      </c>
      <c r="AI7036">
        <v>89.030382720628594</v>
      </c>
      <c r="AJ7036">
        <v>89.369838732716005</v>
      </c>
      <c r="AK7036">
        <v>370.04743371940498</v>
      </c>
      <c r="AL7036">
        <v>90.589553038860203</v>
      </c>
      <c r="AM7036">
        <v>87.531292673019294</v>
      </c>
      <c r="AN7036">
        <v>0.99999999300731102</v>
      </c>
    </row>
    <row r="7037" spans="1:40" x14ac:dyDescent="0.25">
      <c r="A7037" t="str">
        <f>"20190312161454034"</f>
        <v>20190312161454034</v>
      </c>
      <c r="B7037" t="str">
        <f>"1552378494023729"</f>
        <v>1552378494023729</v>
      </c>
      <c r="C7037" t="s">
        <v>40</v>
      </c>
      <c r="D7037">
        <v>5.4917689999999997</v>
      </c>
      <c r="E7037">
        <v>0.48831089999999999</v>
      </c>
      <c r="F7037" t="s">
        <v>110</v>
      </c>
      <c r="G7037">
        <v>-177.9778</v>
      </c>
      <c r="H7037">
        <v>6.4410629999999998</v>
      </c>
      <c r="I7037">
        <v>390.11860000000001</v>
      </c>
      <c r="J7037">
        <v>-187.14400000000001</v>
      </c>
      <c r="K7037">
        <v>1.109413</v>
      </c>
      <c r="L7037">
        <v>20.429320000000001</v>
      </c>
      <c r="M7037">
        <v>1.3024020000000001E-2</v>
      </c>
      <c r="N7037">
        <v>0</v>
      </c>
      <c r="O7037">
        <v>0.99987579999999998</v>
      </c>
      <c r="P7037">
        <v>5.5894869999999999E-2</v>
      </c>
      <c r="Q7037">
        <v>-1.8756510000000001E-2</v>
      </c>
      <c r="R7037">
        <v>0.99826040000000005</v>
      </c>
      <c r="S7037">
        <v>7.440186E-2</v>
      </c>
      <c r="T7037">
        <v>4.3258070000000003E-2</v>
      </c>
      <c r="U7037">
        <v>3.0019230000000001</v>
      </c>
      <c r="V7037">
        <v>4.2889129999999998E-2</v>
      </c>
      <c r="W7037">
        <v>-9.8883259999999994E-3</v>
      </c>
      <c r="X7037">
        <v>0.99903090000000005</v>
      </c>
      <c r="Y7037">
        <v>1.1751920000000001E-2</v>
      </c>
      <c r="Z7037">
        <v>1.440408E-2</v>
      </c>
      <c r="AA7037">
        <v>0.99982720000000003</v>
      </c>
      <c r="AB7037">
        <v>33</v>
      </c>
      <c r="AC7037">
        <v>9.1661999999999999</v>
      </c>
      <c r="AD7037">
        <v>5.3316499999999998</v>
      </c>
      <c r="AE7037">
        <v>369.68928</v>
      </c>
      <c r="AF7037">
        <v>4.3494881931215099</v>
      </c>
      <c r="AG7037">
        <v>5.3316499999999998</v>
      </c>
      <c r="AH7037">
        <v>369.70045937235398</v>
      </c>
      <c r="AI7037">
        <v>89.173821062384604</v>
      </c>
      <c r="AJ7037">
        <v>89.325952096310203</v>
      </c>
      <c r="AK7037">
        <v>369.76448477293502</v>
      </c>
      <c r="AL7037">
        <v>90.566568580830605</v>
      </c>
      <c r="AM7037">
        <v>87.541759597178995</v>
      </c>
      <c r="AN7037">
        <v>0.99999999780902404</v>
      </c>
    </row>
    <row r="7038" spans="1:40" x14ac:dyDescent="0.25">
      <c r="A7038" t="str">
        <f>"20190312161454056"</f>
        <v>20190312161454056</v>
      </c>
      <c r="B7038" t="str">
        <f>"1552378494043266"</f>
        <v>1552378494043266</v>
      </c>
      <c r="C7038" t="s">
        <v>40</v>
      </c>
      <c r="D7038">
        <v>5.4961539999999998</v>
      </c>
      <c r="E7038">
        <v>0.4885427</v>
      </c>
      <c r="F7038" t="s">
        <v>110</v>
      </c>
      <c r="G7038">
        <v>-177.90719999999999</v>
      </c>
      <c r="H7038">
        <v>5.6076810000000004</v>
      </c>
      <c r="I7038">
        <v>391.87</v>
      </c>
      <c r="J7038">
        <v>-187.13980000000001</v>
      </c>
      <c r="K7038">
        <v>1.1094090000000001</v>
      </c>
      <c r="L7038">
        <v>20.7605</v>
      </c>
      <c r="M7038">
        <v>1.296686E-2</v>
      </c>
      <c r="N7038">
        <v>0</v>
      </c>
      <c r="O7038">
        <v>0.99987649999999995</v>
      </c>
      <c r="P7038">
        <v>5.5873949999999999E-2</v>
      </c>
      <c r="Q7038">
        <v>-1.8605279999999998E-2</v>
      </c>
      <c r="R7038">
        <v>0.9982645</v>
      </c>
      <c r="S7038">
        <v>7.4646000000000004E-2</v>
      </c>
      <c r="T7038">
        <v>3.6352040000000002E-2</v>
      </c>
      <c r="U7038">
        <v>3.0017399999999999</v>
      </c>
      <c r="V7038">
        <v>4.2925240000000003E-2</v>
      </c>
      <c r="W7038">
        <v>-9.7303900000000002E-3</v>
      </c>
      <c r="X7038">
        <v>0.99903090000000005</v>
      </c>
      <c r="Y7038">
        <v>1.189262E-2</v>
      </c>
      <c r="Z7038">
        <v>1.2105609999999999E-2</v>
      </c>
      <c r="AA7038">
        <v>0.99985599999999997</v>
      </c>
      <c r="AB7038">
        <v>33</v>
      </c>
      <c r="AC7038">
        <v>9.2326000000000192</v>
      </c>
      <c r="AD7038">
        <v>4.4982719999999903</v>
      </c>
      <c r="AE7038">
        <v>371.10950000000003</v>
      </c>
      <c r="AF7038">
        <v>4.4188602480234804</v>
      </c>
      <c r="AG7038">
        <v>4.4982719999999903</v>
      </c>
      <c r="AH7038">
        <v>371.14352422823202</v>
      </c>
      <c r="AI7038">
        <v>89.305656430953604</v>
      </c>
      <c r="AJ7038">
        <v>89.3178647511496</v>
      </c>
      <c r="AK7038">
        <v>371.19708559393302</v>
      </c>
      <c r="AL7038">
        <v>90.557519079099194</v>
      </c>
      <c r="AM7038">
        <v>87.539692452670806</v>
      </c>
      <c r="AN7038">
        <v>0.99999999793671002</v>
      </c>
    </row>
    <row r="7039" spans="1:40" x14ac:dyDescent="0.25">
      <c r="A7039" t="str">
        <f>"20190312161454078"</f>
        <v>20190312161454078</v>
      </c>
      <c r="B7039" t="str">
        <f>"1552378494073448"</f>
        <v>1552378494073448</v>
      </c>
      <c r="C7039" t="s">
        <v>40</v>
      </c>
      <c r="D7039">
        <v>5.5146420000000003</v>
      </c>
      <c r="E7039">
        <v>0.48890939999999999</v>
      </c>
      <c r="F7039" t="s">
        <v>110</v>
      </c>
      <c r="G7039">
        <v>-177.66329999999999</v>
      </c>
      <c r="H7039">
        <v>4.8301069999999999</v>
      </c>
      <c r="I7039">
        <v>391.87</v>
      </c>
      <c r="J7039">
        <v>-187.13579999999999</v>
      </c>
      <c r="K7039">
        <v>1.10941</v>
      </c>
      <c r="L7039">
        <v>21.073820000000001</v>
      </c>
      <c r="M7039">
        <v>1.2912750000000001E-2</v>
      </c>
      <c r="N7039">
        <v>0</v>
      </c>
      <c r="O7039">
        <v>0.99987720000000002</v>
      </c>
      <c r="P7039">
        <v>5.5869660000000002E-2</v>
      </c>
      <c r="Q7039">
        <v>-1.876067E-2</v>
      </c>
      <c r="R7039">
        <v>0.99826179999999998</v>
      </c>
      <c r="S7039">
        <v>7.6644900000000002E-2</v>
      </c>
      <c r="T7039">
        <v>3.0092600000000001E-2</v>
      </c>
      <c r="U7039">
        <v>3.0014949999999998</v>
      </c>
      <c r="V7039">
        <v>4.2975060000000002E-2</v>
      </c>
      <c r="W7039">
        <v>-9.8793660000000005E-3</v>
      </c>
      <c r="X7039">
        <v>0.99902729999999995</v>
      </c>
      <c r="Y7039">
        <v>1.2614780000000001E-2</v>
      </c>
      <c r="Z7039">
        <v>1.0022079999999999E-2</v>
      </c>
      <c r="AA7039">
        <v>0.99987020000000004</v>
      </c>
      <c r="AB7039">
        <v>33</v>
      </c>
      <c r="AC7039">
        <v>9.4724999999999895</v>
      </c>
      <c r="AD7039">
        <v>3.7206969999999999</v>
      </c>
      <c r="AE7039">
        <v>370.79617999999999</v>
      </c>
      <c r="AF7039">
        <v>4.6830518254026403</v>
      </c>
      <c r="AG7039">
        <v>3.7206969999999999</v>
      </c>
      <c r="AH7039">
        <v>370.850268154785</v>
      </c>
      <c r="AI7039">
        <v>89.425223311406796</v>
      </c>
      <c r="AJ7039">
        <v>89.276514359321993</v>
      </c>
      <c r="AK7039">
        <v>370.89849817846499</v>
      </c>
      <c r="AL7039">
        <v>90.566055183251805</v>
      </c>
      <c r="AM7039">
        <v>87.536831614195506</v>
      </c>
      <c r="AN7039">
        <v>1.00000000189992</v>
      </c>
    </row>
    <row r="7040" spans="1:40" x14ac:dyDescent="0.25">
      <c r="A7040" t="str">
        <f>"20190312161454100"</f>
        <v>20190312161454100</v>
      </c>
      <c r="B7040" t="str">
        <f>"1552378494093944"</f>
        <v>1552378494093944</v>
      </c>
      <c r="C7040" t="s">
        <v>40</v>
      </c>
      <c r="D7040">
        <v>5.5879859999999999</v>
      </c>
      <c r="E7040">
        <v>0.48916939999999998</v>
      </c>
      <c r="F7040" t="s">
        <v>110</v>
      </c>
      <c r="G7040">
        <v>-177.34809999999999</v>
      </c>
      <c r="H7040">
        <v>3.7397879999999999</v>
      </c>
      <c r="I7040">
        <v>391.00349999999997</v>
      </c>
      <c r="J7040">
        <v>-187.13149999999999</v>
      </c>
      <c r="K7040">
        <v>1.1094040000000001</v>
      </c>
      <c r="L7040">
        <v>21.412410000000001</v>
      </c>
      <c r="M7040">
        <v>1.285442E-2</v>
      </c>
      <c r="N7040">
        <v>0</v>
      </c>
      <c r="O7040">
        <v>0.99987780000000004</v>
      </c>
      <c r="P7040">
        <v>5.6755920000000001E-2</v>
      </c>
      <c r="Q7040">
        <v>-1.928593E-2</v>
      </c>
      <c r="R7040">
        <v>0.99820180000000003</v>
      </c>
      <c r="S7040">
        <v>7.9406740000000003E-2</v>
      </c>
      <c r="T7040">
        <v>2.133989E-2</v>
      </c>
      <c r="U7040">
        <v>3.0011899999999998</v>
      </c>
      <c r="V7040">
        <v>4.3920340000000002E-2</v>
      </c>
      <c r="W7040">
        <v>-1.039789E-2</v>
      </c>
      <c r="X7040">
        <v>0.99898089999999995</v>
      </c>
      <c r="Y7040">
        <v>1.3595879999999999E-2</v>
      </c>
      <c r="Z7040">
        <v>7.1078440000000003E-3</v>
      </c>
      <c r="AA7040">
        <v>0.9998823</v>
      </c>
      <c r="AB7040">
        <v>33</v>
      </c>
      <c r="AC7040">
        <v>9.7834000000000003</v>
      </c>
      <c r="AD7040">
        <v>2.6303839999999998</v>
      </c>
      <c r="AE7040">
        <v>369.59109000000001</v>
      </c>
      <c r="AF7040">
        <v>5.0312698286063</v>
      </c>
      <c r="AG7040">
        <v>2.6303839999999998</v>
      </c>
      <c r="AH7040">
        <v>369.66760509604597</v>
      </c>
      <c r="AI7040">
        <v>89.592354320089001</v>
      </c>
      <c r="AJ7040">
        <v>89.220238059470603</v>
      </c>
      <c r="AK7040">
        <v>369.71119925358198</v>
      </c>
      <c r="AL7040">
        <v>90.595765963099495</v>
      </c>
      <c r="AM7040">
        <v>87.482603904342398</v>
      </c>
      <c r="AN7040">
        <v>0.99999997547348796</v>
      </c>
    </row>
    <row r="7041" spans="1:40" x14ac:dyDescent="0.25">
      <c r="A7041" t="str">
        <f>"20190312161454124"</f>
        <v>20190312161454124</v>
      </c>
      <c r="B7041" t="str">
        <f>"1552378494113465"</f>
        <v>1552378494113465</v>
      </c>
      <c r="C7041" t="s">
        <v>40</v>
      </c>
      <c r="D7041">
        <v>5.5040300000000002</v>
      </c>
      <c r="E7041">
        <v>0.48938300000000001</v>
      </c>
      <c r="F7041" t="s">
        <v>110</v>
      </c>
      <c r="G7041">
        <v>-176.74850000000001</v>
      </c>
      <c r="H7041">
        <v>2.93187</v>
      </c>
      <c r="I7041">
        <v>391.00349999999997</v>
      </c>
      <c r="J7041">
        <v>-187.12719999999999</v>
      </c>
      <c r="K7041">
        <v>1.1094029999999999</v>
      </c>
      <c r="L7041">
        <v>21.75122</v>
      </c>
      <c r="M7041">
        <v>1.279576E-2</v>
      </c>
      <c r="N7041">
        <v>0</v>
      </c>
      <c r="O7041">
        <v>0.9998785</v>
      </c>
      <c r="P7041">
        <v>5.7665220000000003E-2</v>
      </c>
      <c r="Q7041">
        <v>-1.9811120000000002E-2</v>
      </c>
      <c r="R7041">
        <v>0.99813940000000001</v>
      </c>
      <c r="S7041">
        <v>8.4304809999999994E-2</v>
      </c>
      <c r="T7041">
        <v>1.479745E-2</v>
      </c>
      <c r="U7041">
        <v>3.0008849999999998</v>
      </c>
      <c r="V7041">
        <v>4.488901E-2</v>
      </c>
      <c r="W7041">
        <v>-1.0916439999999999E-2</v>
      </c>
      <c r="X7041">
        <v>0.99893240000000005</v>
      </c>
      <c r="Y7041">
        <v>1.5288370000000001E-2</v>
      </c>
      <c r="Z7041">
        <v>4.9291029999999998E-3</v>
      </c>
      <c r="AA7041">
        <v>0.99987099999999995</v>
      </c>
      <c r="AB7041">
        <v>33</v>
      </c>
      <c r="AC7041">
        <v>10.378699999999901</v>
      </c>
      <c r="AD7041">
        <v>1.8224670000000001</v>
      </c>
      <c r="AE7041">
        <v>369.25227999999998</v>
      </c>
      <c r="AF7041">
        <v>5.6526618520931002</v>
      </c>
      <c r="AG7041">
        <v>1.8224670000000001</v>
      </c>
      <c r="AH7041">
        <v>369.34586579988502</v>
      </c>
      <c r="AI7041">
        <v>89.717320259808901</v>
      </c>
      <c r="AJ7041">
        <v>89.123183947953294</v>
      </c>
      <c r="AK7041">
        <v>369.39361466523297</v>
      </c>
      <c r="AL7041">
        <v>90.625478321456498</v>
      </c>
      <c r="AM7041">
        <v>87.427031392725993</v>
      </c>
      <c r="AN7041">
        <v>1.0000000658254</v>
      </c>
    </row>
    <row r="7042" spans="1:40" x14ac:dyDescent="0.25">
      <c r="A7042" t="str">
        <f>"20190312161454146"</f>
        <v>20190312161454146</v>
      </c>
      <c r="B7042" t="str">
        <f>"1552378494133960"</f>
        <v>1552378494133960</v>
      </c>
      <c r="C7042" t="s">
        <v>40</v>
      </c>
      <c r="D7042">
        <v>5.7798980000000002</v>
      </c>
      <c r="E7042">
        <v>0.48954989999999998</v>
      </c>
      <c r="F7042" t="s">
        <v>110</v>
      </c>
      <c r="G7042">
        <v>-176.2139</v>
      </c>
      <c r="H7042">
        <v>2.157518</v>
      </c>
      <c r="I7042">
        <v>391.00349999999997</v>
      </c>
      <c r="J7042">
        <v>-187.12299999999999</v>
      </c>
      <c r="K7042">
        <v>1.109402</v>
      </c>
      <c r="L7042">
        <v>22.082339999999999</v>
      </c>
      <c r="M7042">
        <v>1.273851E-2</v>
      </c>
      <c r="N7042">
        <v>0</v>
      </c>
      <c r="O7042">
        <v>0.99987919999999997</v>
      </c>
      <c r="P7042">
        <v>5.7583479999999999E-2</v>
      </c>
      <c r="Q7042">
        <v>-1.9445279999999999E-2</v>
      </c>
      <c r="R7042">
        <v>0.99815129999999996</v>
      </c>
      <c r="S7042">
        <v>8.8684079999999998E-2</v>
      </c>
      <c r="T7042">
        <v>8.5172649999999996E-3</v>
      </c>
      <c r="U7042">
        <v>3.0006409999999999</v>
      </c>
      <c r="V7042">
        <v>4.4864290000000001E-2</v>
      </c>
      <c r="W7042">
        <v>-1.054366E-2</v>
      </c>
      <c r="X7042">
        <v>0.99893739999999998</v>
      </c>
      <c r="Y7042">
        <v>1.6806169999999999E-2</v>
      </c>
      <c r="Z7042">
        <v>2.8373059999999999E-3</v>
      </c>
      <c r="AA7042">
        <v>0.99985469999999999</v>
      </c>
      <c r="AB7042">
        <v>33</v>
      </c>
      <c r="AC7042">
        <v>10.909099999999899</v>
      </c>
      <c r="AD7042">
        <v>1.048116</v>
      </c>
      <c r="AE7042">
        <v>368.92115999999999</v>
      </c>
      <c r="AF7042">
        <v>6.2084724490069396</v>
      </c>
      <c r="AG7042">
        <v>1.048116</v>
      </c>
      <c r="AH7042">
        <v>369.02721926801502</v>
      </c>
      <c r="AI7042">
        <v>89.837291230139002</v>
      </c>
      <c r="AJ7042">
        <v>89.036153176859301</v>
      </c>
      <c r="AK7042">
        <v>369.08092911715602</v>
      </c>
      <c r="AL7042">
        <v>90.604118441637993</v>
      </c>
      <c r="AM7042">
        <v>87.428459256473701</v>
      </c>
      <c r="AN7042">
        <v>0.99999995120107799</v>
      </c>
    </row>
    <row r="7043" spans="1:40" x14ac:dyDescent="0.25">
      <c r="A7043" t="str">
        <f>"20190312161454170"</f>
        <v>20190312161454170</v>
      </c>
      <c r="B7043" t="str">
        <f>"1552378494163769"</f>
        <v>1552378494163769</v>
      </c>
      <c r="C7043" t="s">
        <v>40</v>
      </c>
      <c r="D7043">
        <v>5.4812130000000003</v>
      </c>
      <c r="E7043">
        <v>0.48990319999999998</v>
      </c>
      <c r="F7043" t="s">
        <v>110</v>
      </c>
      <c r="G7043">
        <v>-176.10830000000001</v>
      </c>
      <c r="H7043">
        <v>1.7737540000000001</v>
      </c>
      <c r="I7043">
        <v>391.00349999999997</v>
      </c>
      <c r="J7043">
        <v>-187.11850000000001</v>
      </c>
      <c r="K7043">
        <v>1.1094010000000001</v>
      </c>
      <c r="L7043">
        <v>22.44003</v>
      </c>
      <c r="M7043">
        <v>1.2676679999999999E-2</v>
      </c>
      <c r="N7043">
        <v>0</v>
      </c>
      <c r="O7043">
        <v>0.99987990000000004</v>
      </c>
      <c r="P7043">
        <v>5.704592E-2</v>
      </c>
      <c r="Q7043">
        <v>-1.9571760000000001E-2</v>
      </c>
      <c r="R7043">
        <v>0.9981797</v>
      </c>
      <c r="S7043">
        <v>8.9584349999999993E-2</v>
      </c>
      <c r="T7043">
        <v>5.4032799999999999E-3</v>
      </c>
      <c r="U7043">
        <v>3.0004879999999998</v>
      </c>
      <c r="V7043">
        <v>4.4388190000000001E-2</v>
      </c>
      <c r="W7043">
        <v>-1.066247E-2</v>
      </c>
      <c r="X7043">
        <v>0.99895750000000005</v>
      </c>
      <c r="Y7043">
        <v>1.716931E-2</v>
      </c>
      <c r="Z7043">
        <v>1.8000469999999999E-3</v>
      </c>
      <c r="AA7043">
        <v>0.99985100000000005</v>
      </c>
      <c r="AB7043">
        <v>33</v>
      </c>
      <c r="AC7043">
        <v>11.0101999999999</v>
      </c>
      <c r="AD7043">
        <v>0.66435299999999997</v>
      </c>
      <c r="AE7043">
        <v>368.56347</v>
      </c>
      <c r="AF7043">
        <v>6.3369477940489798</v>
      </c>
      <c r="AG7043">
        <v>0.66435299999999997</v>
      </c>
      <c r="AH7043">
        <v>368.67223422657901</v>
      </c>
      <c r="AI7043">
        <v>89.896767490201896</v>
      </c>
      <c r="AJ7043">
        <v>89.015264564995903</v>
      </c>
      <c r="AK7043">
        <v>368.72729023205</v>
      </c>
      <c r="AL7043">
        <v>90.610926079994002</v>
      </c>
      <c r="AM7043">
        <v>87.455763529650596</v>
      </c>
      <c r="AN7043">
        <v>1.0000000432421099</v>
      </c>
    </row>
    <row r="7044" spans="1:40" x14ac:dyDescent="0.25">
      <c r="A7044" t="str">
        <f>"20190312161454215"</f>
        <v>20190312161454215</v>
      </c>
      <c r="B7044" t="str">
        <f>"1552378494203765"</f>
        <v>1552378494203765</v>
      </c>
      <c r="C7044" t="s">
        <v>40</v>
      </c>
      <c r="D7044">
        <v>5.4897989999999997</v>
      </c>
      <c r="E7044">
        <v>0.49002230000000002</v>
      </c>
      <c r="F7044" t="s">
        <v>110</v>
      </c>
      <c r="G7044">
        <v>-175.96</v>
      </c>
      <c r="H7044">
        <v>1.0966929999999999</v>
      </c>
      <c r="I7044">
        <v>391.00349999999997</v>
      </c>
      <c r="J7044">
        <v>-187.11019999999999</v>
      </c>
      <c r="K7044">
        <v>1.1094029999999999</v>
      </c>
      <c r="L7044">
        <v>23.10568</v>
      </c>
      <c r="M7044">
        <v>1.2561839999999999E-2</v>
      </c>
      <c r="N7044">
        <v>0</v>
      </c>
      <c r="O7044">
        <v>0.99988120000000003</v>
      </c>
      <c r="P7044">
        <v>5.633229E-2</v>
      </c>
      <c r="Q7044">
        <v>-1.9770599999999999E-2</v>
      </c>
      <c r="R7044">
        <v>0.99821629999999995</v>
      </c>
      <c r="S7044">
        <v>9.0835570000000004E-2</v>
      </c>
      <c r="T7044">
        <v>-1.034737E-4</v>
      </c>
      <c r="U7044">
        <v>3.0002749999999998</v>
      </c>
      <c r="V7044">
        <v>4.378891E-2</v>
      </c>
      <c r="W7044">
        <v>-1.0846939999999999E-2</v>
      </c>
      <c r="X7044">
        <v>0.99898189999999998</v>
      </c>
      <c r="Y7044">
        <v>1.7702909999999999E-2</v>
      </c>
      <c r="Z7044" s="1">
        <v>-3.447339E-5</v>
      </c>
      <c r="AA7044">
        <v>0.99984329999999999</v>
      </c>
      <c r="AB7044">
        <v>33</v>
      </c>
      <c r="AC7044">
        <v>11.1501999999999</v>
      </c>
      <c r="AD7044">
        <v>-1.2710000000000001E-2</v>
      </c>
      <c r="AE7044">
        <v>367.89782000000002</v>
      </c>
      <c r="AF7044">
        <v>6.5276622106942099</v>
      </c>
      <c r="AG7044">
        <v>-1.2710000000000001E-2</v>
      </c>
      <c r="AH7044">
        <v>368.00886161037897</v>
      </c>
      <c r="AI7044">
        <v>90.001978525245505</v>
      </c>
      <c r="AJ7044">
        <v>88.983806324695806</v>
      </c>
      <c r="AK7044">
        <v>368.06675041254101</v>
      </c>
      <c r="AL7044">
        <v>90.621496082207102</v>
      </c>
      <c r="AM7044">
        <v>87.490129980820896</v>
      </c>
      <c r="AN7044">
        <v>0.99999998063698003</v>
      </c>
    </row>
    <row r="7045" spans="1:40" x14ac:dyDescent="0.25">
      <c r="A7045" t="str">
        <f>"20190312161454236"</f>
        <v>20190312161454236</v>
      </c>
      <c r="B7045" t="str">
        <f>"1552378494223285"</f>
        <v>1552378494223285</v>
      </c>
      <c r="C7045" t="s">
        <v>40</v>
      </c>
      <c r="D7045">
        <v>5.5219750000000003</v>
      </c>
      <c r="E7045">
        <v>0.49014350000000001</v>
      </c>
      <c r="F7045" t="s">
        <v>110</v>
      </c>
      <c r="G7045">
        <v>-176.10249999999999</v>
      </c>
      <c r="H7045">
        <v>0.4956951</v>
      </c>
      <c r="I7045">
        <v>391.00349999999997</v>
      </c>
      <c r="J7045">
        <v>-187.1062</v>
      </c>
      <c r="K7045">
        <v>1.109397</v>
      </c>
      <c r="L7045">
        <v>23.428650000000001</v>
      </c>
      <c r="M7045">
        <v>1.250622E-2</v>
      </c>
      <c r="N7045">
        <v>0</v>
      </c>
      <c r="O7045">
        <v>0.99988189999999999</v>
      </c>
      <c r="P7045">
        <v>5.660598E-2</v>
      </c>
      <c r="Q7045">
        <v>-2.0762820000000001E-2</v>
      </c>
      <c r="R7045">
        <v>0.99818070000000003</v>
      </c>
      <c r="S7045">
        <v>8.9767459999999993E-2</v>
      </c>
      <c r="T7045">
        <v>-5.0047640000000001E-3</v>
      </c>
      <c r="U7045">
        <v>3.0001829999999998</v>
      </c>
      <c r="V7045">
        <v>4.4118659999999997E-2</v>
      </c>
      <c r="W7045">
        <v>-1.183243E-2</v>
      </c>
      <c r="X7045">
        <v>0.99895619999999996</v>
      </c>
      <c r="Y7045">
        <v>1.7403769999999999E-2</v>
      </c>
      <c r="Z7045">
        <v>-1.667455E-3</v>
      </c>
      <c r="AA7045">
        <v>0.99984720000000005</v>
      </c>
      <c r="AB7045">
        <v>33</v>
      </c>
      <c r="AC7045">
        <v>11.0037</v>
      </c>
      <c r="AD7045">
        <v>-0.61370189999999902</v>
      </c>
      <c r="AE7045">
        <v>367.57485000000003</v>
      </c>
      <c r="AF7045">
        <v>6.4056662117861496</v>
      </c>
      <c r="AG7045">
        <v>-0.61370189999999902</v>
      </c>
      <c r="AH7045">
        <v>367.682697376009</v>
      </c>
      <c r="AI7045">
        <v>90.095618209323504</v>
      </c>
      <c r="AJ7045">
        <v>89.001909754465302</v>
      </c>
      <c r="AK7045">
        <v>367.73900410391201</v>
      </c>
      <c r="AL7045">
        <v>90.677964137142794</v>
      </c>
      <c r="AM7045">
        <v>87.471189012185604</v>
      </c>
      <c r="AN7045">
        <v>0.99999997603916901</v>
      </c>
    </row>
    <row r="7046" spans="1:40" x14ac:dyDescent="0.25">
      <c r="A7046" t="str">
        <f>"20190312161454260"</f>
        <v>20190312161454260</v>
      </c>
      <c r="B7046" t="str">
        <f>"1552378494253542"</f>
        <v>1552378494253542</v>
      </c>
      <c r="C7046" t="s">
        <v>40</v>
      </c>
      <c r="D7046">
        <v>5.4745790000000003</v>
      </c>
      <c r="E7046">
        <v>0.49020219999999998</v>
      </c>
      <c r="F7046" t="s">
        <v>42</v>
      </c>
      <c r="G7046">
        <v>-177.90520000000001</v>
      </c>
      <c r="H7046">
        <v>7.9985650000000005E-2</v>
      </c>
      <c r="I7046">
        <v>325.28489999999999</v>
      </c>
      <c r="J7046">
        <v>-187.1019</v>
      </c>
      <c r="K7046">
        <v>1.1093930000000001</v>
      </c>
      <c r="L7046">
        <v>23.774930000000001</v>
      </c>
      <c r="M7046">
        <v>1.244661E-2</v>
      </c>
      <c r="N7046">
        <v>0</v>
      </c>
      <c r="O7046">
        <v>0.99988250000000001</v>
      </c>
      <c r="P7046">
        <v>5.6689599999999903E-2</v>
      </c>
      <c r="Q7046">
        <v>-2.0943380000000001E-2</v>
      </c>
      <c r="R7046">
        <v>0.99817219999999995</v>
      </c>
      <c r="S7046">
        <v>9.144592E-2</v>
      </c>
      <c r="T7046">
        <v>-1.023102E-2</v>
      </c>
      <c r="U7046">
        <v>3.0000610000000001</v>
      </c>
      <c r="V7046">
        <v>4.4261960000000003E-2</v>
      </c>
      <c r="W7046">
        <v>-1.200553E-2</v>
      </c>
      <c r="X7046">
        <v>0.99894780000000005</v>
      </c>
      <c r="Y7046">
        <v>1.8023339999999999E-2</v>
      </c>
      <c r="Z7046">
        <v>-3.408786E-3</v>
      </c>
      <c r="AA7046">
        <v>0.99983169999999999</v>
      </c>
      <c r="AB7046">
        <v>33</v>
      </c>
      <c r="AC7046">
        <v>9.1966999999999892</v>
      </c>
      <c r="AD7046">
        <v>-1.0294073500000001</v>
      </c>
      <c r="AE7046">
        <v>301.50997000000001</v>
      </c>
      <c r="AF7046">
        <v>5.4429969043819497</v>
      </c>
      <c r="AG7046">
        <v>-1.0294073500000001</v>
      </c>
      <c r="AH7046">
        <v>301.597572541668</v>
      </c>
      <c r="AI7046">
        <v>90.195528314143999</v>
      </c>
      <c r="AJ7046">
        <v>88.966082861291596</v>
      </c>
      <c r="AK7046">
        <v>301.64844050288099</v>
      </c>
      <c r="AL7046">
        <v>90.687882738319104</v>
      </c>
      <c r="AM7046">
        <v>87.462964694645393</v>
      </c>
      <c r="AN7046">
        <v>0.999999980489231</v>
      </c>
    </row>
    <row r="7047" spans="1:40" x14ac:dyDescent="0.25">
      <c r="A7047" t="str">
        <f>"20190312161454278"</f>
        <v>20190312161454278</v>
      </c>
      <c r="B7047" t="str">
        <f>"1552378494274037"</f>
        <v>1552378494274037</v>
      </c>
      <c r="C7047" t="s">
        <v>40</v>
      </c>
      <c r="D7047">
        <v>5.4418129999999998</v>
      </c>
      <c r="E7047">
        <v>0.49032369999999997</v>
      </c>
      <c r="F7047" t="s">
        <v>42</v>
      </c>
      <c r="G7047">
        <v>-180.16489999999999</v>
      </c>
      <c r="H7047" s="1">
        <v>-2.6558250000000001E-6</v>
      </c>
      <c r="I7047">
        <v>249.76259999999999</v>
      </c>
      <c r="J7047">
        <v>-187.0985</v>
      </c>
      <c r="K7047">
        <v>1.109394</v>
      </c>
      <c r="L7047">
        <v>24.051480000000002</v>
      </c>
      <c r="M7047">
        <v>1.23991E-2</v>
      </c>
      <c r="N7047">
        <v>0</v>
      </c>
      <c r="O7047">
        <v>0.99988310000000002</v>
      </c>
      <c r="P7047">
        <v>5.6577790000000003E-2</v>
      </c>
      <c r="Q7047">
        <v>-2.0780400000000001E-2</v>
      </c>
      <c r="R7047">
        <v>0.99818189999999996</v>
      </c>
      <c r="S7047">
        <v>9.2086790000000002E-2</v>
      </c>
      <c r="T7047">
        <v>-1.4727000000000001E-2</v>
      </c>
      <c r="U7047">
        <v>2.9999389999999999</v>
      </c>
      <c r="V7047">
        <v>4.4197470000000003E-2</v>
      </c>
      <c r="W7047">
        <v>-1.183642E-2</v>
      </c>
      <c r="X7047">
        <v>0.99895270000000003</v>
      </c>
      <c r="Y7047">
        <v>1.8285289999999999E-2</v>
      </c>
      <c r="Z7047">
        <v>-4.9069079999999998E-3</v>
      </c>
      <c r="AA7047">
        <v>0.99982079999999995</v>
      </c>
      <c r="AB7047">
        <v>33</v>
      </c>
      <c r="AC7047">
        <v>6.93360000000001</v>
      </c>
      <c r="AD7047">
        <v>-1.1093966558249999</v>
      </c>
      <c r="AE7047">
        <v>225.71111999999999</v>
      </c>
      <c r="AF7047">
        <v>4.1342404092749598</v>
      </c>
      <c r="AG7047">
        <v>-1.1093966558249999</v>
      </c>
      <c r="AH7047">
        <v>225.77429243402599</v>
      </c>
      <c r="AI7047">
        <v>90.281487233037396</v>
      </c>
      <c r="AJ7047">
        <v>88.950952057050301</v>
      </c>
      <c r="AK7047">
        <v>225.81486627055099</v>
      </c>
      <c r="AL7047">
        <v>90.6781927423105</v>
      </c>
      <c r="AM7047">
        <v>87.466668764556701</v>
      </c>
      <c r="AN7047">
        <v>1.0000000070150501</v>
      </c>
    </row>
    <row r="7048" spans="1:40" x14ac:dyDescent="0.25">
      <c r="A7048" t="str">
        <f>"20190312161454302"</f>
        <v>20190312161454302</v>
      </c>
      <c r="B7048" t="str">
        <f>"1552378494293558"</f>
        <v>1552378494293558</v>
      </c>
      <c r="C7048" t="s">
        <v>40</v>
      </c>
      <c r="D7048">
        <v>5.4139530000000002</v>
      </c>
      <c r="E7048">
        <v>0.49049120000000002</v>
      </c>
      <c r="F7048" t="s">
        <v>42</v>
      </c>
      <c r="G7048">
        <v>-181.95949999999999</v>
      </c>
      <c r="H7048" s="1">
        <v>-2.2965049999999999E-6</v>
      </c>
      <c r="I7048">
        <v>190.10980000000001</v>
      </c>
      <c r="J7048">
        <v>-187.0941</v>
      </c>
      <c r="K7048">
        <v>1.109391</v>
      </c>
      <c r="L7048">
        <v>24.410060000000001</v>
      </c>
      <c r="M7048">
        <v>1.233748E-2</v>
      </c>
      <c r="N7048">
        <v>0</v>
      </c>
      <c r="O7048">
        <v>0.99988379999999999</v>
      </c>
      <c r="P7048">
        <v>5.608076E-2</v>
      </c>
      <c r="Q7048">
        <v>-2.0460389999999998E-2</v>
      </c>
      <c r="R7048">
        <v>0.99821660000000001</v>
      </c>
      <c r="S7048">
        <v>9.2834470000000002E-2</v>
      </c>
      <c r="T7048">
        <v>-2.0040869999999999E-2</v>
      </c>
      <c r="U7048">
        <v>2.9997859999999998</v>
      </c>
      <c r="V7048">
        <v>4.3761590000000003E-2</v>
      </c>
      <c r="W7048">
        <v>-1.150841E-2</v>
      </c>
      <c r="X7048">
        <v>0.99897570000000002</v>
      </c>
      <c r="Y7048">
        <v>1.8597099999999998E-2</v>
      </c>
      <c r="Z7048">
        <v>-6.6776780000000003E-3</v>
      </c>
      <c r="AA7048">
        <v>0.99980469999999999</v>
      </c>
      <c r="AB7048">
        <v>33</v>
      </c>
      <c r="AC7048">
        <v>5.1345999999999998</v>
      </c>
      <c r="AD7048">
        <v>-1.109393296505</v>
      </c>
      <c r="AE7048">
        <v>165.69973999999999</v>
      </c>
      <c r="AF7048">
        <v>3.0896716295641098</v>
      </c>
      <c r="AG7048">
        <v>-1.109393296505</v>
      </c>
      <c r="AH7048">
        <v>165.743055784597</v>
      </c>
      <c r="AI7048">
        <v>90.383434246435996</v>
      </c>
      <c r="AJ7048">
        <v>88.932053940245495</v>
      </c>
      <c r="AK7048">
        <v>165.775563232585</v>
      </c>
      <c r="AL7048">
        <v>90.659397888018802</v>
      </c>
      <c r="AM7048">
        <v>87.491678346238501</v>
      </c>
      <c r="AN7048">
        <v>0.99999998472527296</v>
      </c>
    </row>
    <row r="7049" spans="1:40" x14ac:dyDescent="0.25">
      <c r="A7049" t="str">
        <f>"20190312161454324"</f>
        <v>20190312161454324</v>
      </c>
      <c r="B7049" t="str">
        <f>"1552378494314068"</f>
        <v>1552378494314068</v>
      </c>
      <c r="C7049" t="s">
        <v>40</v>
      </c>
      <c r="D7049">
        <v>5.3723970000000003</v>
      </c>
      <c r="E7049">
        <v>0.49060819999999999</v>
      </c>
      <c r="F7049" t="s">
        <v>42</v>
      </c>
      <c r="G7049">
        <v>-182.81739999999999</v>
      </c>
      <c r="H7049" s="1">
        <v>-3.203803E-6</v>
      </c>
      <c r="I7049">
        <v>163.01070000000001</v>
      </c>
      <c r="J7049">
        <v>-187.09010000000001</v>
      </c>
      <c r="K7049">
        <v>1.1093869999999999</v>
      </c>
      <c r="L7049">
        <v>24.741610000000001</v>
      </c>
      <c r="M7049">
        <v>1.2280259999999999E-2</v>
      </c>
      <c r="N7049">
        <v>0</v>
      </c>
      <c r="O7049">
        <v>0.99988440000000001</v>
      </c>
      <c r="P7049">
        <v>5.5285380000000002E-2</v>
      </c>
      <c r="Q7049">
        <v>-2.0720269999999999E-2</v>
      </c>
      <c r="R7049">
        <v>0.99825560000000002</v>
      </c>
      <c r="S7049">
        <v>9.2559810000000006E-2</v>
      </c>
      <c r="T7049">
        <v>-2.401006E-2</v>
      </c>
      <c r="U7049">
        <v>2.9996640000000001</v>
      </c>
      <c r="V7049">
        <v>4.3022989999999997E-2</v>
      </c>
      <c r="W7049">
        <v>-1.1760929999999999E-2</v>
      </c>
      <c r="X7049">
        <v>0.99900480000000003</v>
      </c>
      <c r="Y7049">
        <v>1.856383E-2</v>
      </c>
      <c r="Z7049">
        <v>-8.0004940000000004E-3</v>
      </c>
      <c r="AA7049">
        <v>0.99979569999999995</v>
      </c>
      <c r="AB7049">
        <v>34</v>
      </c>
      <c r="AC7049">
        <v>4.2727000000000102</v>
      </c>
      <c r="AD7049">
        <v>-1.1093902038029999</v>
      </c>
      <c r="AE7049">
        <v>138.26908999999901</v>
      </c>
      <c r="AF7049">
        <v>2.5741636133128201</v>
      </c>
      <c r="AG7049">
        <v>-1.1093902038029999</v>
      </c>
      <c r="AH7049">
        <v>138.302240186494</v>
      </c>
      <c r="AI7049">
        <v>90.459508151443202</v>
      </c>
      <c r="AJ7049">
        <v>88.933699969584396</v>
      </c>
      <c r="AK7049">
        <v>138.330642684602</v>
      </c>
      <c r="AL7049">
        <v>90.673867225468001</v>
      </c>
      <c r="AM7049">
        <v>87.534032366829294</v>
      </c>
      <c r="AN7049">
        <v>0.99999994378302004</v>
      </c>
    </row>
    <row r="7050" spans="1:40" x14ac:dyDescent="0.25">
      <c r="A7050" t="str">
        <f>"20190312161454347"</f>
        <v>20190312161454347</v>
      </c>
      <c r="B7050" t="str">
        <f>"1552378494343333"</f>
        <v>1552378494343333</v>
      </c>
      <c r="C7050" t="s">
        <v>40</v>
      </c>
      <c r="D7050">
        <v>5.3720210000000002</v>
      </c>
      <c r="E7050">
        <v>0.49073309999999998</v>
      </c>
      <c r="F7050" t="s">
        <v>84</v>
      </c>
      <c r="G7050">
        <v>-183.54990000000001</v>
      </c>
      <c r="H7050" s="1">
        <v>-9.0761900000000006E-6</v>
      </c>
      <c r="I7050">
        <v>141.3717</v>
      </c>
      <c r="J7050">
        <v>-187.08600000000001</v>
      </c>
      <c r="K7050">
        <v>1.109386</v>
      </c>
      <c r="L7050">
        <v>25.08154</v>
      </c>
      <c r="M7050">
        <v>1.2221920000000001E-2</v>
      </c>
      <c r="N7050">
        <v>0</v>
      </c>
      <c r="O7050">
        <v>0.99988509999999997</v>
      </c>
      <c r="P7050">
        <v>5.5125889999999997E-2</v>
      </c>
      <c r="Q7050">
        <v>-2.1376699999999998E-2</v>
      </c>
      <c r="R7050">
        <v>0.99825050000000004</v>
      </c>
      <c r="S7050">
        <v>9.1049190000000002E-2</v>
      </c>
      <c r="T7050">
        <v>-2.8532510000000001E-2</v>
      </c>
      <c r="U7050">
        <v>2.999603</v>
      </c>
      <c r="V7050">
        <v>4.2921899999999999E-2</v>
      </c>
      <c r="W7050">
        <v>-1.2410030000000001E-2</v>
      </c>
      <c r="X7050">
        <v>0.99900129999999998</v>
      </c>
      <c r="Y7050">
        <v>1.8119349999999999E-2</v>
      </c>
      <c r="Z7050">
        <v>-9.5076280000000006E-3</v>
      </c>
      <c r="AA7050">
        <v>0.99979059999999997</v>
      </c>
      <c r="AB7050">
        <v>34</v>
      </c>
      <c r="AC7050">
        <v>3.53609999999997</v>
      </c>
      <c r="AD7050">
        <v>-1.10939507619</v>
      </c>
      <c r="AE7050">
        <v>116.29016</v>
      </c>
      <c r="AF7050">
        <v>2.1142974428092001</v>
      </c>
      <c r="AG7050">
        <v>-1.10939507619</v>
      </c>
      <c r="AH7050">
        <v>116.314117299532</v>
      </c>
      <c r="AI7050">
        <v>90.546375899473304</v>
      </c>
      <c r="AJ7050">
        <v>88.958621849695007</v>
      </c>
      <c r="AK7050">
        <v>116.338621679479</v>
      </c>
      <c r="AL7050">
        <v>90.711060632097997</v>
      </c>
      <c r="AM7050">
        <v>87.539810850569793</v>
      </c>
      <c r="AN7050">
        <v>0.99999994787294899</v>
      </c>
    </row>
    <row r="7051" spans="1:40" x14ac:dyDescent="0.25">
      <c r="A7051" t="str">
        <f>"20190312161454372"</f>
        <v>20190312161454372</v>
      </c>
      <c r="B7051" t="str">
        <f>"1552378494363829"</f>
        <v>1552378494363829</v>
      </c>
      <c r="C7051" t="s">
        <v>40</v>
      </c>
      <c r="D7051">
        <v>5.3035040000000002</v>
      </c>
      <c r="E7051">
        <v>0.49092809999999998</v>
      </c>
      <c r="F7051" t="s">
        <v>84</v>
      </c>
      <c r="G7051">
        <v>-184.12389999999999</v>
      </c>
      <c r="H7051" s="1">
        <v>-2.2336909999999999E-6</v>
      </c>
      <c r="I7051">
        <v>121.93</v>
      </c>
      <c r="J7051">
        <v>-187.0814</v>
      </c>
      <c r="K7051">
        <v>1.109389</v>
      </c>
      <c r="L7051">
        <v>25.459630000000001</v>
      </c>
      <c r="M7051">
        <v>1.215684E-2</v>
      </c>
      <c r="N7051">
        <v>0</v>
      </c>
      <c r="O7051">
        <v>0.99988580000000005</v>
      </c>
      <c r="P7051">
        <v>5.503479E-2</v>
      </c>
      <c r="Q7051">
        <v>-2.0769590000000001E-2</v>
      </c>
      <c r="R7051">
        <v>0.99826839999999994</v>
      </c>
      <c r="S7051">
        <v>9.1735839999999999E-2</v>
      </c>
      <c r="T7051">
        <v>-3.4358380000000001E-2</v>
      </c>
      <c r="U7051">
        <v>2.9994510000000001</v>
      </c>
      <c r="V7051">
        <v>4.2895549999999998E-2</v>
      </c>
      <c r="W7051">
        <v>-1.179463E-2</v>
      </c>
      <c r="X7051">
        <v>0.99900999999999995</v>
      </c>
      <c r="Y7051">
        <v>1.8414010000000001E-2</v>
      </c>
      <c r="Z7051">
        <v>-1.144922E-2</v>
      </c>
      <c r="AA7051">
        <v>0.99976489999999996</v>
      </c>
      <c r="AB7051">
        <v>34</v>
      </c>
      <c r="AC7051">
        <v>2.9575000000000098</v>
      </c>
      <c r="AD7051">
        <v>-1.1093912336909999</v>
      </c>
      <c r="AE7051">
        <v>96.470369999999903</v>
      </c>
      <c r="AF7051">
        <v>1.78422357987623</v>
      </c>
      <c r="AG7051">
        <v>-1.1093912336909999</v>
      </c>
      <c r="AH7051">
        <v>96.486447910183102</v>
      </c>
      <c r="AI7051">
        <v>90.658639347139896</v>
      </c>
      <c r="AJ7051">
        <v>88.940609453378499</v>
      </c>
      <c r="AK7051">
        <v>96.509319928268397</v>
      </c>
      <c r="AL7051">
        <v>90.675798148195696</v>
      </c>
      <c r="AM7051">
        <v>87.5413407062034</v>
      </c>
      <c r="AN7051">
        <v>1.0000000608033099</v>
      </c>
    </row>
    <row r="7052" spans="1:40" x14ac:dyDescent="0.25">
      <c r="A7052" t="str">
        <f>"20190312161454393"</f>
        <v>20190312161454393</v>
      </c>
      <c r="B7052" t="str">
        <f>"1552378494383350"</f>
        <v>1552378494383350</v>
      </c>
      <c r="C7052" t="s">
        <v>40</v>
      </c>
      <c r="D7052">
        <v>5.2584609999999996</v>
      </c>
      <c r="E7052">
        <v>0.50682950000000004</v>
      </c>
      <c r="F7052" t="s">
        <v>84</v>
      </c>
      <c r="G7052">
        <v>-184.00069999999999</v>
      </c>
      <c r="H7052" s="1">
        <v>-3.6513180000000002E-6</v>
      </c>
      <c r="I7052">
        <v>124.9276</v>
      </c>
      <c r="J7052">
        <v>-187.07759999999999</v>
      </c>
      <c r="K7052">
        <v>1.109394</v>
      </c>
      <c r="L7052">
        <v>25.777249999999999</v>
      </c>
      <c r="M7052">
        <v>1.2102079999999999E-2</v>
      </c>
      <c r="N7052">
        <v>0</v>
      </c>
      <c r="O7052">
        <v>0.99988639999999995</v>
      </c>
      <c r="P7052">
        <v>5.4458470000000002E-2</v>
      </c>
      <c r="Q7052">
        <v>-2.036112E-2</v>
      </c>
      <c r="R7052">
        <v>0.99830839999999998</v>
      </c>
      <c r="S7052">
        <v>9.2895510000000001E-2</v>
      </c>
      <c r="T7052">
        <v>-3.3452990000000002E-2</v>
      </c>
      <c r="U7052">
        <v>2.99939</v>
      </c>
      <c r="V7052">
        <v>4.237345E-2</v>
      </c>
      <c r="W7052">
        <v>-1.137904E-2</v>
      </c>
      <c r="X7052">
        <v>0.99903699999999995</v>
      </c>
      <c r="Y7052">
        <v>1.885566E-2</v>
      </c>
      <c r="Z7052">
        <v>-1.114768E-2</v>
      </c>
      <c r="AA7052">
        <v>0.99976010000000004</v>
      </c>
      <c r="AB7052">
        <v>34</v>
      </c>
      <c r="AC7052">
        <v>3.07689999999999</v>
      </c>
      <c r="AD7052">
        <v>-1.1093976513179999</v>
      </c>
      <c r="AE7052">
        <v>99.150350000000003</v>
      </c>
      <c r="AF7052">
        <v>1.8764660503369599</v>
      </c>
      <c r="AG7052">
        <v>-1.1093976513179999</v>
      </c>
      <c r="AH7052">
        <v>99.167923389220505</v>
      </c>
      <c r="AI7052">
        <v>90.640829964603796</v>
      </c>
      <c r="AJ7052">
        <v>88.915972498383994</v>
      </c>
      <c r="AK7052">
        <v>99.191879291185501</v>
      </c>
      <c r="AL7052">
        <v>90.651985063887196</v>
      </c>
      <c r="AM7052">
        <v>87.571295600153107</v>
      </c>
      <c r="AN7052">
        <v>0.99999995959261101</v>
      </c>
    </row>
    <row r="7053" spans="1:40" x14ac:dyDescent="0.25">
      <c r="A7053" t="str">
        <f>"20190312161454415"</f>
        <v>20190312161454415</v>
      </c>
      <c r="B7053" t="str">
        <f>"1552378494403845"</f>
        <v>1552378494403845</v>
      </c>
      <c r="C7053" t="s">
        <v>40</v>
      </c>
      <c r="D7053">
        <v>5.2678820000000002</v>
      </c>
      <c r="E7053">
        <v>0.50692619999999999</v>
      </c>
      <c r="F7053" t="s">
        <v>42</v>
      </c>
      <c r="G7053">
        <v>-183.29660000000001</v>
      </c>
      <c r="H7053" s="1">
        <v>-4.66283E-6</v>
      </c>
      <c r="I7053">
        <v>77.730189999999993</v>
      </c>
      <c r="J7053">
        <v>-187.0736</v>
      </c>
      <c r="K7053">
        <v>1.1093980000000001</v>
      </c>
      <c r="L7053">
        <v>26.111689999999999</v>
      </c>
      <c r="M7053">
        <v>1.204471E-2</v>
      </c>
      <c r="N7053">
        <v>0</v>
      </c>
      <c r="O7053">
        <v>0.99988699999999997</v>
      </c>
      <c r="P7053">
        <v>5.4518740000000003E-2</v>
      </c>
      <c r="Q7053">
        <v>-2.040223E-2</v>
      </c>
      <c r="R7053">
        <v>0.99830430000000003</v>
      </c>
      <c r="S7053">
        <v>0.21774289999999999</v>
      </c>
      <c r="T7053">
        <v>-6.3889029999999999E-2</v>
      </c>
      <c r="U7053">
        <v>2.9919129999999998</v>
      </c>
      <c r="V7053">
        <v>4.2491090000000002E-2</v>
      </c>
      <c r="W7053">
        <v>-1.141294E-2</v>
      </c>
      <c r="X7053">
        <v>0.99903169999999997</v>
      </c>
      <c r="Y7053">
        <v>6.0550029999999998E-2</v>
      </c>
      <c r="Z7053">
        <v>-2.1298979999999999E-2</v>
      </c>
      <c r="AA7053">
        <v>0.99793790000000004</v>
      </c>
      <c r="AB7053">
        <v>34</v>
      </c>
      <c r="AC7053">
        <v>3.7769999999999802</v>
      </c>
      <c r="AD7053">
        <v>-1.10940266282999</v>
      </c>
      <c r="AE7053">
        <v>51.618499999999997</v>
      </c>
      <c r="AF7053">
        <v>3.15352205599741</v>
      </c>
      <c r="AG7053">
        <v>-1.10940266282999</v>
      </c>
      <c r="AH7053">
        <v>51.636525026333999</v>
      </c>
      <c r="AI7053">
        <v>91.228513327201497</v>
      </c>
      <c r="AJ7053">
        <v>86.505199140706907</v>
      </c>
      <c r="AK7053">
        <v>51.744624768387098</v>
      </c>
      <c r="AL7053">
        <v>90.653927462634897</v>
      </c>
      <c r="AM7053">
        <v>87.564548071797802</v>
      </c>
      <c r="AN7053">
        <v>1.0000000427668501</v>
      </c>
    </row>
    <row r="7054" spans="1:40" x14ac:dyDescent="0.25">
      <c r="A7054" t="str">
        <f>"20190312161454438"</f>
        <v>20190312161454438</v>
      </c>
      <c r="B7054" t="str">
        <f>"1552378494423366"</f>
        <v>1552378494423366</v>
      </c>
      <c r="C7054" t="s">
        <v>40</v>
      </c>
      <c r="D7054">
        <v>5.2754459999999996</v>
      </c>
      <c r="E7054">
        <v>0.50726110000000002</v>
      </c>
      <c r="F7054" t="s">
        <v>42</v>
      </c>
      <c r="G7054">
        <v>-183.911</v>
      </c>
      <c r="H7054" s="1">
        <v>-5.2670480000000002E-6</v>
      </c>
      <c r="I7054">
        <v>69.392679999999999</v>
      </c>
      <c r="J7054">
        <v>-187.06960000000001</v>
      </c>
      <c r="K7054">
        <v>1.109391</v>
      </c>
      <c r="L7054">
        <v>26.446929999999998</v>
      </c>
      <c r="M7054">
        <v>1.1986999999999999E-2</v>
      </c>
      <c r="N7054">
        <v>0</v>
      </c>
      <c r="O7054">
        <v>0.99988759999999999</v>
      </c>
      <c r="P7054">
        <v>5.5291750000000001E-2</v>
      </c>
      <c r="Q7054">
        <v>-2.0042839999999999E-2</v>
      </c>
      <c r="R7054">
        <v>0.99826910000000002</v>
      </c>
      <c r="S7054">
        <v>0.2185974</v>
      </c>
      <c r="T7054">
        <v>-7.6681849999999996E-2</v>
      </c>
      <c r="U7054">
        <v>2.9915769999999999</v>
      </c>
      <c r="V7054">
        <v>4.3322090000000001E-2</v>
      </c>
      <c r="W7054">
        <v>-1.1046540000000001E-2</v>
      </c>
      <c r="X7054">
        <v>0.99900009999999995</v>
      </c>
      <c r="Y7054">
        <v>6.0892000000000002E-2</v>
      </c>
      <c r="Z7054">
        <v>-2.5563579999999999E-2</v>
      </c>
      <c r="AA7054">
        <v>0.99781699999999995</v>
      </c>
      <c r="AB7054">
        <v>34</v>
      </c>
      <c r="AC7054">
        <v>3.1586000000000301</v>
      </c>
      <c r="AD7054">
        <v>-1.109396267048</v>
      </c>
      <c r="AE7054">
        <v>42.945749999999997</v>
      </c>
      <c r="AF7054">
        <v>2.6418080239345101</v>
      </c>
      <c r="AG7054">
        <v>-1.109396267048</v>
      </c>
      <c r="AH7054">
        <v>42.952019460497297</v>
      </c>
      <c r="AI7054">
        <v>91.4767590612649</v>
      </c>
      <c r="AJ7054">
        <v>86.480398037301399</v>
      </c>
      <c r="AK7054">
        <v>43.047484078022599</v>
      </c>
      <c r="AL7054">
        <v>90.6329329837709</v>
      </c>
      <c r="AM7054">
        <v>87.516898437079305</v>
      </c>
      <c r="AN7054">
        <v>1.00000001466397</v>
      </c>
    </row>
    <row r="7055" spans="1:40" x14ac:dyDescent="0.25">
      <c r="A7055" t="str">
        <f>"20190312161454459"</f>
        <v>20190312161454459</v>
      </c>
      <c r="B7055" t="str">
        <f>"1552378494453622"</f>
        <v>1552378494453622</v>
      </c>
      <c r="C7055" t="s">
        <v>40</v>
      </c>
      <c r="D7055">
        <v>5.2418469999999999</v>
      </c>
      <c r="E7055">
        <v>0.50712199999999996</v>
      </c>
      <c r="F7055" t="s">
        <v>42</v>
      </c>
      <c r="G7055">
        <v>-182.84280000000001</v>
      </c>
      <c r="H7055" s="1">
        <v>-3.031496E-6</v>
      </c>
      <c r="I7055">
        <v>82.960219999999893</v>
      </c>
      <c r="J7055">
        <v>-187.06569999999999</v>
      </c>
      <c r="K7055">
        <v>1.1093949999999999</v>
      </c>
      <c r="L7055">
        <v>26.779050000000002</v>
      </c>
      <c r="M7055">
        <v>1.192996E-2</v>
      </c>
      <c r="N7055">
        <v>0</v>
      </c>
      <c r="O7055">
        <v>0.9998882</v>
      </c>
      <c r="P7055">
        <v>5.505674E-2</v>
      </c>
      <c r="Q7055">
        <v>-1.9357240000000001E-2</v>
      </c>
      <c r="R7055">
        <v>0.9982955</v>
      </c>
      <c r="S7055">
        <v>0.22375490000000001</v>
      </c>
      <c r="T7055">
        <v>-5.872786E-2</v>
      </c>
      <c r="U7055">
        <v>2.991638</v>
      </c>
      <c r="V7055">
        <v>4.3143699999999903E-2</v>
      </c>
      <c r="W7055">
        <v>-1.0353680000000001E-2</v>
      </c>
      <c r="X7055">
        <v>0.99901519999999999</v>
      </c>
      <c r="Y7055">
        <v>6.2668290000000001E-2</v>
      </c>
      <c r="Z7055">
        <v>-1.9578169999999999E-2</v>
      </c>
      <c r="AA7055">
        <v>0.99784240000000002</v>
      </c>
      <c r="AB7055">
        <v>34</v>
      </c>
      <c r="AC7055">
        <v>4.2228999999999797</v>
      </c>
      <c r="AD7055">
        <v>-1.1093980314959999</v>
      </c>
      <c r="AE7055">
        <v>56.181170000000002</v>
      </c>
      <c r="AF7055">
        <v>3.5509562432856701</v>
      </c>
      <c r="AG7055">
        <v>-1.1093980314959999</v>
      </c>
      <c r="AH7055">
        <v>56.205759132683397</v>
      </c>
      <c r="AI7055">
        <v>91.128516818017502</v>
      </c>
      <c r="AJ7055">
        <v>86.384983258614696</v>
      </c>
      <c r="AK7055">
        <v>56.328744118036497</v>
      </c>
      <c r="AL7055">
        <v>90.593232781324801</v>
      </c>
      <c r="AM7055">
        <v>87.527147866911506</v>
      </c>
      <c r="AN7055">
        <v>0.99999997368513505</v>
      </c>
    </row>
    <row r="7056" spans="1:40" x14ac:dyDescent="0.25">
      <c r="A7056" t="str">
        <f>"20190312161454481"</f>
        <v>20190312161454481</v>
      </c>
      <c r="B7056" t="str">
        <f>"1552378494474118"</f>
        <v>1552378494474118</v>
      </c>
      <c r="C7056" t="s">
        <v>40</v>
      </c>
      <c r="D7056">
        <v>5.1936530000000003</v>
      </c>
      <c r="E7056">
        <v>0.50649579999999905</v>
      </c>
      <c r="F7056" t="s">
        <v>42</v>
      </c>
      <c r="G7056">
        <v>-183.30260000000001</v>
      </c>
      <c r="H7056" s="1">
        <v>-4.5809919999999996E-6</v>
      </c>
      <c r="I7056">
        <v>77.541910000000001</v>
      </c>
      <c r="J7056">
        <v>-187.0616</v>
      </c>
      <c r="K7056">
        <v>1.1093930000000001</v>
      </c>
      <c r="L7056">
        <v>27.126370000000001</v>
      </c>
      <c r="M7056">
        <v>1.1870449999999999E-2</v>
      </c>
      <c r="N7056">
        <v>0</v>
      </c>
      <c r="O7056">
        <v>0.99988889999999997</v>
      </c>
      <c r="P7056">
        <v>5.5555769999999997E-2</v>
      </c>
      <c r="Q7056">
        <v>-1.9335339999999999E-2</v>
      </c>
      <c r="R7056">
        <v>0.99826839999999994</v>
      </c>
      <c r="S7056">
        <v>0.2217712</v>
      </c>
      <c r="T7056">
        <v>-6.5380930000000004E-2</v>
      </c>
      <c r="U7056">
        <v>2.991638</v>
      </c>
      <c r="V7056">
        <v>4.3702459999999999E-2</v>
      </c>
      <c r="W7056">
        <v>-1.03245E-2</v>
      </c>
      <c r="X7056">
        <v>0.99899130000000003</v>
      </c>
      <c r="Y7056">
        <v>6.2066299999999998E-2</v>
      </c>
      <c r="Z7056">
        <v>-2.1796079999999999E-2</v>
      </c>
      <c r="AA7056">
        <v>0.997834</v>
      </c>
      <c r="AB7056">
        <v>34</v>
      </c>
      <c r="AC7056">
        <v>3.7589999999999799</v>
      </c>
      <c r="AD7056">
        <v>-1.109397580992</v>
      </c>
      <c r="AE7056">
        <v>50.41554</v>
      </c>
      <c r="AF7056">
        <v>3.1587345873282899</v>
      </c>
      <c r="AG7056">
        <v>-1.109397580992</v>
      </c>
      <c r="AH7056">
        <v>50.4323249630596</v>
      </c>
      <c r="AI7056">
        <v>91.257711150043605</v>
      </c>
      <c r="AJ7056">
        <v>86.416067330096496</v>
      </c>
      <c r="AK7056">
        <v>50.543325655971003</v>
      </c>
      <c r="AL7056">
        <v>90.591560750660094</v>
      </c>
      <c r="AM7056">
        <v>87.495102299266307</v>
      </c>
      <c r="AN7056">
        <v>1.00000005889299</v>
      </c>
    </row>
    <row r="7057" spans="1:40" x14ac:dyDescent="0.25">
      <c r="A7057" t="str">
        <f>"20190312161454504"</f>
        <v>20190312161454504</v>
      </c>
      <c r="B7057" t="str">
        <f>"1552378494493638"</f>
        <v>1552378494493638</v>
      </c>
      <c r="C7057" t="s">
        <v>40</v>
      </c>
      <c r="D7057">
        <v>5.2054519999999904</v>
      </c>
      <c r="E7057">
        <v>0.50618019999999997</v>
      </c>
      <c r="F7057" t="s">
        <v>42</v>
      </c>
      <c r="G7057">
        <v>-183.67789999999999</v>
      </c>
      <c r="H7057" s="1">
        <v>-2.9861270000000002E-6</v>
      </c>
      <c r="I7057">
        <v>73.479869999999906</v>
      </c>
      <c r="J7057">
        <v>-187.05760000000001</v>
      </c>
      <c r="K7057">
        <v>1.1093839999999999</v>
      </c>
      <c r="L7057">
        <v>27.464479999999998</v>
      </c>
      <c r="M7057">
        <v>1.181246E-2</v>
      </c>
      <c r="N7057">
        <v>0</v>
      </c>
      <c r="O7057">
        <v>0.99988949999999999</v>
      </c>
      <c r="P7057">
        <v>5.5891830000000003E-2</v>
      </c>
      <c r="Q7057">
        <v>-1.959485E-2</v>
      </c>
      <c r="R7057">
        <v>0.99824449999999998</v>
      </c>
      <c r="S7057">
        <v>0.21838379999999999</v>
      </c>
      <c r="T7057">
        <v>-7.1600789999999997E-2</v>
      </c>
      <c r="U7057">
        <v>2.9916689999999999</v>
      </c>
      <c r="V7057">
        <v>4.4096759999999999E-2</v>
      </c>
      <c r="W7057">
        <v>-1.057688E-2</v>
      </c>
      <c r="X7057">
        <v>0.99897130000000001</v>
      </c>
      <c r="Y7057">
        <v>6.09962E-2</v>
      </c>
      <c r="Z7057">
        <v>-2.387003E-2</v>
      </c>
      <c r="AA7057">
        <v>0.99785259999999998</v>
      </c>
      <c r="AB7057">
        <v>34</v>
      </c>
      <c r="AC7057">
        <v>3.3797000000000099</v>
      </c>
      <c r="AD7057">
        <v>-1.10938698612699</v>
      </c>
      <c r="AE7057">
        <v>46.015389999999996</v>
      </c>
      <c r="AF7057">
        <v>2.8342485320836999</v>
      </c>
      <c r="AG7057">
        <v>-1.10938698612699</v>
      </c>
      <c r="AH7057">
        <v>46.025494871411098</v>
      </c>
      <c r="AI7057">
        <v>91.3781661516837</v>
      </c>
      <c r="AJ7057">
        <v>86.476177417959804</v>
      </c>
      <c r="AK7057">
        <v>46.1260217489531</v>
      </c>
      <c r="AL7057">
        <v>90.606021868075203</v>
      </c>
      <c r="AM7057">
        <v>87.472480812680999</v>
      </c>
      <c r="AN7057">
        <v>1.0000000264283599</v>
      </c>
    </row>
    <row r="7058" spans="1:40" x14ac:dyDescent="0.25">
      <c r="A7058" t="str">
        <f>"20190312161454527"</f>
        <v>20190312161454527</v>
      </c>
      <c r="B7058" t="str">
        <f>"1552378494523894"</f>
        <v>1552378494523894</v>
      </c>
      <c r="C7058" t="s">
        <v>40</v>
      </c>
      <c r="D7058">
        <v>5.241034</v>
      </c>
      <c r="E7058">
        <v>0.50650410000000001</v>
      </c>
      <c r="F7058" t="s">
        <v>42</v>
      </c>
      <c r="G7058">
        <v>-183.80179999999999</v>
      </c>
      <c r="H7058" s="1">
        <v>-2.5879689999999998E-6</v>
      </c>
      <c r="I7058">
        <v>72.406700000000001</v>
      </c>
      <c r="J7058">
        <v>-187.05350000000001</v>
      </c>
      <c r="K7058">
        <v>1.1093770000000001</v>
      </c>
      <c r="L7058">
        <v>27.81812</v>
      </c>
      <c r="M7058">
        <v>1.175181E-2</v>
      </c>
      <c r="N7058">
        <v>0</v>
      </c>
      <c r="O7058">
        <v>0.9998901</v>
      </c>
      <c r="P7058">
        <v>5.5918589999999997E-2</v>
      </c>
      <c r="Q7058">
        <v>-1.9532040000000001E-2</v>
      </c>
      <c r="R7058">
        <v>0.99824429999999997</v>
      </c>
      <c r="S7058">
        <v>0.21673580000000001</v>
      </c>
      <c r="T7058">
        <v>-7.3849319999999996E-2</v>
      </c>
      <c r="U7058">
        <v>2.9916990000000001</v>
      </c>
      <c r="V7058">
        <v>4.4184099999999997E-2</v>
      </c>
      <c r="W7058">
        <v>-1.0506369999999999E-2</v>
      </c>
      <c r="X7058">
        <v>0.99896819999999997</v>
      </c>
      <c r="Y7058">
        <v>6.0507900000000003E-2</v>
      </c>
      <c r="Z7058">
        <v>-2.4619820000000001E-2</v>
      </c>
      <c r="AA7058">
        <v>0.99786410000000003</v>
      </c>
      <c r="AB7058">
        <v>34</v>
      </c>
      <c r="AC7058">
        <v>3.25170000000002</v>
      </c>
      <c r="AD7058">
        <v>-1.109379587969</v>
      </c>
      <c r="AE7058">
        <v>44.58858</v>
      </c>
      <c r="AF7058">
        <v>2.7257790954366401</v>
      </c>
      <c r="AG7058">
        <v>-1.109379587969</v>
      </c>
      <c r="AH7058">
        <v>44.596255146630398</v>
      </c>
      <c r="AI7058">
        <v>91.422346724317094</v>
      </c>
      <c r="AJ7058">
        <v>86.502361205405705</v>
      </c>
      <c r="AK7058">
        <v>44.693249689977598</v>
      </c>
      <c r="AL7058">
        <v>90.601981709171199</v>
      </c>
      <c r="AM7058">
        <v>87.467473358672294</v>
      </c>
      <c r="AN7058">
        <v>1.00000004155731</v>
      </c>
    </row>
    <row r="7059" spans="1:40" x14ac:dyDescent="0.25">
      <c r="A7059" t="str">
        <f>"20190312161454550"</f>
        <v>20190312161454550</v>
      </c>
      <c r="B7059" t="str">
        <f>"1552378494543415"</f>
        <v>1552378494543415</v>
      </c>
      <c r="C7059" t="s">
        <v>40</v>
      </c>
      <c r="D7059">
        <v>5.2644719999999996</v>
      </c>
      <c r="E7059">
        <v>0.50669220000000004</v>
      </c>
      <c r="F7059" t="s">
        <v>42</v>
      </c>
      <c r="G7059">
        <v>-183.95689999999999</v>
      </c>
      <c r="H7059" s="1">
        <v>-1.730693E-6</v>
      </c>
      <c r="I7059">
        <v>70.008849999999995</v>
      </c>
      <c r="J7059">
        <v>-187.0496</v>
      </c>
      <c r="K7059">
        <v>1.1093770000000001</v>
      </c>
      <c r="L7059">
        <v>28.15823</v>
      </c>
      <c r="M7059">
        <v>1.1693459999999999E-2</v>
      </c>
      <c r="N7059">
        <v>0</v>
      </c>
      <c r="O7059">
        <v>0.99989079999999997</v>
      </c>
      <c r="P7059">
        <v>5.5526289999999999E-2</v>
      </c>
      <c r="Q7059">
        <v>-1.9483460000000001E-2</v>
      </c>
      <c r="R7059">
        <v>0.99826709999999996</v>
      </c>
      <c r="S7059">
        <v>0.2195587</v>
      </c>
      <c r="T7059">
        <v>-7.8658459999999999E-2</v>
      </c>
      <c r="U7059">
        <v>2.9914550000000002</v>
      </c>
      <c r="V7059">
        <v>4.3849840000000001E-2</v>
      </c>
      <c r="W7059">
        <v>-1.0450310000000001E-2</v>
      </c>
      <c r="X7059">
        <v>0.99898350000000002</v>
      </c>
      <c r="Y7059">
        <v>6.150568E-2</v>
      </c>
      <c r="Z7059">
        <v>-2.6222479999999999E-2</v>
      </c>
      <c r="AA7059">
        <v>0.99776220000000004</v>
      </c>
      <c r="AB7059">
        <v>34</v>
      </c>
      <c r="AC7059">
        <v>3.0926999999999998</v>
      </c>
      <c r="AD7059">
        <v>-1.1093787306929901</v>
      </c>
      <c r="AE7059">
        <v>41.8506199999999</v>
      </c>
      <c r="AF7059">
        <v>2.6012720739708</v>
      </c>
      <c r="AG7059">
        <v>-1.1093787306929901</v>
      </c>
      <c r="AH7059">
        <v>41.854673655892199</v>
      </c>
      <c r="AI7059">
        <v>91.515374872587302</v>
      </c>
      <c r="AJ7059">
        <v>86.443635953507794</v>
      </c>
      <c r="AK7059">
        <v>41.950101840307497</v>
      </c>
      <c r="AL7059">
        <v>90.598769541257397</v>
      </c>
      <c r="AM7059">
        <v>87.486646122302005</v>
      </c>
      <c r="AN7059">
        <v>1.0000000253596799</v>
      </c>
    </row>
    <row r="7060" spans="1:40" x14ac:dyDescent="0.25">
      <c r="A7060" t="str">
        <f>"20190312161454571"</f>
        <v>20190312161454571</v>
      </c>
      <c r="B7060" t="str">
        <f>"1552378494563909"</f>
        <v>1552378494563909</v>
      </c>
      <c r="C7060" t="s">
        <v>40</v>
      </c>
      <c r="D7060">
        <v>5.3175520000000001</v>
      </c>
      <c r="E7060">
        <v>0.52084470000000005</v>
      </c>
      <c r="F7060" t="s">
        <v>42</v>
      </c>
      <c r="G7060">
        <v>-183.9794</v>
      </c>
      <c r="H7060" s="1">
        <v>-1.701033E-6</v>
      </c>
      <c r="I7060">
        <v>69.93929</v>
      </c>
      <c r="J7060">
        <v>-187.04570000000001</v>
      </c>
      <c r="K7060">
        <v>1.109375</v>
      </c>
      <c r="L7060">
        <v>28.491849999999999</v>
      </c>
      <c r="M7060">
        <v>1.1636209999999999E-2</v>
      </c>
      <c r="N7060">
        <v>0</v>
      </c>
      <c r="O7060">
        <v>0.99989139999999999</v>
      </c>
      <c r="P7060">
        <v>5.5364959999999998E-2</v>
      </c>
      <c r="Q7060">
        <v>-1.959903E-2</v>
      </c>
      <c r="R7060">
        <v>0.99827379999999999</v>
      </c>
      <c r="S7060">
        <v>0.21981809999999999</v>
      </c>
      <c r="T7060">
        <v>-7.9428910000000005E-2</v>
      </c>
      <c r="U7060">
        <v>2.991425</v>
      </c>
      <c r="V7060">
        <v>4.3745649999999997E-2</v>
      </c>
      <c r="W7060">
        <v>-1.055861E-2</v>
      </c>
      <c r="X7060">
        <v>0.99898690000000001</v>
      </c>
      <c r="Y7060">
        <v>6.1649120000000002E-2</v>
      </c>
      <c r="Z7060">
        <v>-2.6479240000000001E-2</v>
      </c>
      <c r="AA7060">
        <v>0.99774660000000004</v>
      </c>
      <c r="AB7060">
        <v>34</v>
      </c>
      <c r="AC7060">
        <v>3.0663000000000098</v>
      </c>
      <c r="AD7060">
        <v>-1.109376701033</v>
      </c>
      <c r="AE7060">
        <v>41.44744</v>
      </c>
      <c r="AF7060">
        <v>2.5819418811767001</v>
      </c>
      <c r="AG7060">
        <v>-1.109376701033</v>
      </c>
      <c r="AH7060">
        <v>41.4507810449999</v>
      </c>
      <c r="AI7060">
        <v>91.530117563372599</v>
      </c>
      <c r="AJ7060">
        <v>86.435688626376404</v>
      </c>
      <c r="AK7060">
        <v>41.545931085764501</v>
      </c>
      <c r="AL7060">
        <v>90.6049750340093</v>
      </c>
      <c r="AM7060">
        <v>87.492618902577405</v>
      </c>
      <c r="AN7060">
        <v>0.99999999625533198</v>
      </c>
    </row>
    <row r="7061" spans="1:40" x14ac:dyDescent="0.25">
      <c r="A7061" t="str">
        <f>"20190312161454594"</f>
        <v>20190312161454594</v>
      </c>
      <c r="B7061" t="str">
        <f>"1552378494583430"</f>
        <v>1552378494583430</v>
      </c>
      <c r="C7061" t="s">
        <v>40</v>
      </c>
      <c r="D7061">
        <v>5.3586839999999896</v>
      </c>
      <c r="E7061">
        <v>0.5409119</v>
      </c>
      <c r="F7061" t="s">
        <v>43</v>
      </c>
      <c r="G7061">
        <v>-186.93709999999999</v>
      </c>
      <c r="H7061">
        <v>1.0206660000000001</v>
      </c>
      <c r="I7061">
        <v>29.468139999999998</v>
      </c>
      <c r="J7061">
        <v>-187.04169999999999</v>
      </c>
      <c r="K7061">
        <v>1.1093789999999999</v>
      </c>
      <c r="L7061">
        <v>28.840420000000002</v>
      </c>
      <c r="M7061">
        <v>1.1576400000000001E-2</v>
      </c>
      <c r="N7061">
        <v>0</v>
      </c>
      <c r="O7061">
        <v>0.999892</v>
      </c>
      <c r="P7061">
        <v>5.5261610000000003E-2</v>
      </c>
      <c r="Q7061">
        <v>-1.9950119999999998E-2</v>
      </c>
      <c r="R7061">
        <v>0.99827259999999995</v>
      </c>
      <c r="S7061">
        <v>0.33177190000000001</v>
      </c>
      <c r="T7061">
        <v>-0.2709047</v>
      </c>
      <c r="U7061">
        <v>2.9814759999999998</v>
      </c>
      <c r="V7061">
        <v>4.3702110000000002E-2</v>
      </c>
      <c r="W7061">
        <v>-1.090207E-2</v>
      </c>
      <c r="X7061">
        <v>0.99898509999999996</v>
      </c>
      <c r="Y7061">
        <v>9.8633239999999997E-2</v>
      </c>
      <c r="Z7061">
        <v>-8.9984800000000004E-2</v>
      </c>
      <c r="AA7061">
        <v>0.99104700000000001</v>
      </c>
      <c r="AB7061">
        <v>34</v>
      </c>
      <c r="AC7061">
        <v>0.104600000000004</v>
      </c>
      <c r="AD7061">
        <v>-8.8713E-2</v>
      </c>
      <c r="AE7061">
        <v>0.62771999999999994</v>
      </c>
      <c r="AF7061">
        <v>9.5470639466862198E-2</v>
      </c>
      <c r="AG7061">
        <v>-8.8713E-2</v>
      </c>
      <c r="AH7061">
        <v>0.61690042767625397</v>
      </c>
      <c r="AI7061">
        <v>98.088295470925601</v>
      </c>
      <c r="AJ7061">
        <v>81.202774850297601</v>
      </c>
      <c r="AK7061">
        <v>0.63051627816921296</v>
      </c>
      <c r="AL7061">
        <v>90.624654985908606</v>
      </c>
      <c r="AM7061">
        <v>87.495106808476905</v>
      </c>
      <c r="AN7061">
        <v>0.99999997978537303</v>
      </c>
    </row>
    <row r="7062" spans="1:40" x14ac:dyDescent="0.25">
      <c r="A7062" t="str">
        <f>"20190312161454615"</f>
        <v>20190312161454615</v>
      </c>
      <c r="B7062" t="str">
        <f>"1552378494603925"</f>
        <v>1552378494603925</v>
      </c>
      <c r="C7062" t="s">
        <v>40</v>
      </c>
      <c r="D7062">
        <v>5.324433</v>
      </c>
      <c r="E7062">
        <v>0.54227569999999903</v>
      </c>
      <c r="F7062" t="s">
        <v>43</v>
      </c>
      <c r="G7062">
        <v>-186.8948</v>
      </c>
      <c r="H7062">
        <v>0.92013999999999996</v>
      </c>
      <c r="I7062">
        <v>29.728200000000001</v>
      </c>
      <c r="J7062">
        <v>-187.03800000000001</v>
      </c>
      <c r="K7062">
        <v>1.10938</v>
      </c>
      <c r="L7062">
        <v>29.16724</v>
      </c>
      <c r="M7062">
        <v>1.152037E-2</v>
      </c>
      <c r="N7062">
        <v>0</v>
      </c>
      <c r="O7062">
        <v>0.99989260000000002</v>
      </c>
      <c r="P7062">
        <v>5.5424519999999998E-2</v>
      </c>
      <c r="Q7062">
        <v>-2.0514480000000002E-2</v>
      </c>
      <c r="R7062">
        <v>0.99825209999999998</v>
      </c>
      <c r="S7062">
        <v>0.49032589999999998</v>
      </c>
      <c r="T7062">
        <v>-0.63211669999999998</v>
      </c>
      <c r="U7062">
        <v>2.9654240000000001</v>
      </c>
      <c r="V7062">
        <v>4.3921269999999998E-2</v>
      </c>
      <c r="W7062">
        <v>-1.1459550000000001E-2</v>
      </c>
      <c r="X7062">
        <v>0.99896929999999995</v>
      </c>
      <c r="Y7062">
        <v>0.14825869999999999</v>
      </c>
      <c r="Z7062">
        <v>-0.20597019999999999</v>
      </c>
      <c r="AA7062">
        <v>0.96726190000000001</v>
      </c>
      <c r="AB7062">
        <v>34</v>
      </c>
      <c r="AC7062">
        <v>0.14319999999997801</v>
      </c>
      <c r="AD7062">
        <v>-0.18923999999999999</v>
      </c>
      <c r="AE7062">
        <v>0.56095999999999702</v>
      </c>
      <c r="AF7062">
        <v>0.123529538832861</v>
      </c>
      <c r="AG7062">
        <v>-0.18923999999999999</v>
      </c>
      <c r="AH7062">
        <v>0.50826786130180102</v>
      </c>
      <c r="AI7062">
        <v>109.88968875410799</v>
      </c>
      <c r="AJ7062">
        <v>76.339675307230905</v>
      </c>
      <c r="AK7062">
        <v>0.55624414010087897</v>
      </c>
      <c r="AL7062">
        <v>90.656598201321103</v>
      </c>
      <c r="AM7062">
        <v>87.482521472880904</v>
      </c>
      <c r="AN7062">
        <v>1.0000000307935499</v>
      </c>
    </row>
    <row r="7063" spans="1:40" x14ac:dyDescent="0.25">
      <c r="A7063" t="str">
        <f>"20190312161454637"</f>
        <v>20190312161454637</v>
      </c>
      <c r="B7063" t="str">
        <f>"1552378494634181"</f>
        <v>1552378494634181</v>
      </c>
      <c r="C7063" t="s">
        <v>40</v>
      </c>
      <c r="D7063">
        <v>5.5791360000000001</v>
      </c>
      <c r="E7063">
        <v>0.54267829999999995</v>
      </c>
      <c r="F7063" t="s">
        <v>43</v>
      </c>
      <c r="G7063">
        <v>-186.8914</v>
      </c>
      <c r="H7063">
        <v>0.91512170000000004</v>
      </c>
      <c r="I7063">
        <v>30.03359</v>
      </c>
      <c r="J7063">
        <v>-187.0342</v>
      </c>
      <c r="K7063">
        <v>1.109381</v>
      </c>
      <c r="L7063">
        <v>29.501619999999999</v>
      </c>
      <c r="M7063">
        <v>1.146311E-2</v>
      </c>
      <c r="N7063">
        <v>0</v>
      </c>
      <c r="O7063">
        <v>0.99989320000000004</v>
      </c>
      <c r="P7063">
        <v>5.5452929999999998E-2</v>
      </c>
      <c r="Q7063">
        <v>-2.0075820000000001E-2</v>
      </c>
      <c r="R7063">
        <v>0.99825940000000002</v>
      </c>
      <c r="S7063">
        <v>0.50151060000000003</v>
      </c>
      <c r="T7063">
        <v>-0.66453980000000001</v>
      </c>
      <c r="U7063">
        <v>2.9637449999999999</v>
      </c>
      <c r="V7063">
        <v>4.4006749999999997E-2</v>
      </c>
      <c r="W7063">
        <v>-1.1013790000000001E-2</v>
      </c>
      <c r="X7063">
        <v>0.99897049999999998</v>
      </c>
      <c r="Y7063">
        <v>0.15159059999999999</v>
      </c>
      <c r="Z7063">
        <v>-0.21604480000000001</v>
      </c>
      <c r="AA7063">
        <v>0.96454390000000001</v>
      </c>
      <c r="AB7063">
        <v>34</v>
      </c>
      <c r="AC7063">
        <v>0.14279999999999399</v>
      </c>
      <c r="AD7063">
        <v>-0.1942593</v>
      </c>
      <c r="AE7063">
        <v>0.53197000000000105</v>
      </c>
      <c r="AF7063">
        <v>0.12157066190105</v>
      </c>
      <c r="AG7063">
        <v>-0.1942593</v>
      </c>
      <c r="AH7063">
        <v>0.47454530885340301</v>
      </c>
      <c r="AI7063">
        <v>111.630935650266</v>
      </c>
      <c r="AJ7063">
        <v>75.630798605972004</v>
      </c>
      <c r="AK7063">
        <v>0.52698135794952095</v>
      </c>
      <c r="AL7063">
        <v>90.63105645553</v>
      </c>
      <c r="AM7063">
        <v>87.477631279801599</v>
      </c>
      <c r="AN7063">
        <v>0.99999997874298796</v>
      </c>
    </row>
    <row r="7064" spans="1:40" x14ac:dyDescent="0.25">
      <c r="A7064" t="str">
        <f>"20190312161454658"</f>
        <v>20190312161454658</v>
      </c>
      <c r="B7064" t="str">
        <f>"1552378494653702"</f>
        <v>1552378494653702</v>
      </c>
      <c r="C7064" t="s">
        <v>40</v>
      </c>
      <c r="D7064">
        <v>5.5788849999999996</v>
      </c>
      <c r="E7064">
        <v>0.5417691</v>
      </c>
      <c r="F7064" t="s">
        <v>43</v>
      </c>
      <c r="G7064">
        <v>-186.89070000000001</v>
      </c>
      <c r="H7064">
        <v>0.91777779999999998</v>
      </c>
      <c r="I7064">
        <v>30.342610000000001</v>
      </c>
      <c r="J7064">
        <v>-187.03049999999999</v>
      </c>
      <c r="K7064">
        <v>1.109391</v>
      </c>
      <c r="L7064">
        <v>29.827970000000001</v>
      </c>
      <c r="M7064">
        <v>1.1407260000000001E-2</v>
      </c>
      <c r="N7064">
        <v>0</v>
      </c>
      <c r="O7064">
        <v>0.99989380000000005</v>
      </c>
      <c r="P7064">
        <v>5.5556389999999997E-2</v>
      </c>
      <c r="Q7064">
        <v>-2.0187179999999999E-2</v>
      </c>
      <c r="R7064">
        <v>0.99825140000000001</v>
      </c>
      <c r="S7064">
        <v>0.50498959999999904</v>
      </c>
      <c r="T7064">
        <v>-0.67519240000000003</v>
      </c>
      <c r="U7064">
        <v>2.9635929999999999</v>
      </c>
      <c r="V7064">
        <v>4.41661E-2</v>
      </c>
      <c r="W7064">
        <v>-1.1118329999999999E-2</v>
      </c>
      <c r="X7064">
        <v>0.99896229999999997</v>
      </c>
      <c r="Y7064">
        <v>0.15263199999999999</v>
      </c>
      <c r="Z7064">
        <v>-0.21931349999999999</v>
      </c>
      <c r="AA7064">
        <v>0.96364159999999999</v>
      </c>
      <c r="AB7064">
        <v>34</v>
      </c>
      <c r="AC7064">
        <v>0.139799999999979</v>
      </c>
      <c r="AD7064">
        <v>-0.19161320000000001</v>
      </c>
      <c r="AE7064">
        <v>0.51463999999999599</v>
      </c>
      <c r="AF7064">
        <v>0.118607844696964</v>
      </c>
      <c r="AG7064">
        <v>-0.19161320000000001</v>
      </c>
      <c r="AH7064">
        <v>0.45717974682430501</v>
      </c>
      <c r="AI7064">
        <v>112.08188840555</v>
      </c>
      <c r="AJ7064">
        <v>75.456178745410597</v>
      </c>
      <c r="AK7064">
        <v>0.50970261932251704</v>
      </c>
      <c r="AL7064">
        <v>90.637046529282998</v>
      </c>
      <c r="AM7064">
        <v>87.4684888011613</v>
      </c>
      <c r="AN7064">
        <v>0.99999996923624401</v>
      </c>
    </row>
    <row r="7065" spans="1:40" x14ac:dyDescent="0.25">
      <c r="A7065" t="str">
        <f>"20190312161454681"</f>
        <v>20190312161454681</v>
      </c>
      <c r="B7065" t="str">
        <f>"1552378494674197"</f>
        <v>1552378494674197</v>
      </c>
      <c r="C7065" t="s">
        <v>40</v>
      </c>
      <c r="D7065">
        <v>5.389011</v>
      </c>
      <c r="E7065">
        <v>0.54091639999999996</v>
      </c>
      <c r="F7065" t="s">
        <v>43</v>
      </c>
      <c r="G7065">
        <v>-186.89160000000001</v>
      </c>
      <c r="H7065">
        <v>0.92470180000000002</v>
      </c>
      <c r="I7065">
        <v>30.653849999999998</v>
      </c>
      <c r="J7065">
        <v>-187.0265</v>
      </c>
      <c r="K7065">
        <v>1.1093919999999999</v>
      </c>
      <c r="L7065">
        <v>30.180599999999998</v>
      </c>
      <c r="M7065">
        <v>1.134694E-2</v>
      </c>
      <c r="N7065">
        <v>0</v>
      </c>
      <c r="O7065">
        <v>0.99989439999999996</v>
      </c>
      <c r="P7065">
        <v>5.5531869999999997E-2</v>
      </c>
      <c r="Q7065">
        <v>-2.0279510000000001E-2</v>
      </c>
      <c r="R7065">
        <v>0.998251</v>
      </c>
      <c r="S7065">
        <v>0.49835210000000002</v>
      </c>
      <c r="T7065">
        <v>-0.66286440000000002</v>
      </c>
      <c r="U7065">
        <v>2.9641109999999999</v>
      </c>
      <c r="V7065">
        <v>4.4201869999999997E-2</v>
      </c>
      <c r="W7065">
        <v>-1.120321E-2</v>
      </c>
      <c r="X7065">
        <v>0.99895979999999995</v>
      </c>
      <c r="Y7065">
        <v>0.15070500000000001</v>
      </c>
      <c r="Z7065">
        <v>-0.2155339</v>
      </c>
      <c r="AA7065">
        <v>0.96479700000000002</v>
      </c>
      <c r="AB7065">
        <v>34</v>
      </c>
      <c r="AC7065">
        <v>0.134899999999987</v>
      </c>
      <c r="AD7065">
        <v>-0.184690199999999</v>
      </c>
      <c r="AE7065">
        <v>0.47325</v>
      </c>
      <c r="AF7065">
        <v>0.113529686187197</v>
      </c>
      <c r="AG7065">
        <v>-0.184690199999999</v>
      </c>
      <c r="AH7065">
        <v>0.41613474288919</v>
      </c>
      <c r="AI7065">
        <v>113.179370221002</v>
      </c>
      <c r="AJ7065">
        <v>74.739961254601894</v>
      </c>
      <c r="AK7065">
        <v>0.46922018697116602</v>
      </c>
      <c r="AL7065">
        <v>90.641910078613407</v>
      </c>
      <c r="AM7065">
        <v>87.4664348756246</v>
      </c>
      <c r="AN7065">
        <v>0.99999999962092001</v>
      </c>
    </row>
    <row r="7066" spans="1:40" x14ac:dyDescent="0.25">
      <c r="A7066" t="str">
        <f>"20190312161454704"</f>
        <v>20190312161454704</v>
      </c>
      <c r="B7066" t="str">
        <f>"1552378494693721"</f>
        <v>1552378494693721</v>
      </c>
      <c r="C7066" t="s">
        <v>40</v>
      </c>
      <c r="D7066">
        <v>5.3946239999999896</v>
      </c>
      <c r="E7066">
        <v>0.54043999999999903</v>
      </c>
      <c r="F7066" t="s">
        <v>43</v>
      </c>
      <c r="G7066">
        <v>-186.89599999999999</v>
      </c>
      <c r="H7066">
        <v>0.93527079999999996</v>
      </c>
      <c r="I7066">
        <v>30.967420000000001</v>
      </c>
      <c r="J7066">
        <v>-187.02260000000001</v>
      </c>
      <c r="K7066">
        <v>1.109391</v>
      </c>
      <c r="L7066">
        <v>30.537050000000001</v>
      </c>
      <c r="M7066">
        <v>1.1285969999999999E-2</v>
      </c>
      <c r="N7066">
        <v>0</v>
      </c>
      <c r="O7066">
        <v>0.99989499999999998</v>
      </c>
      <c r="P7066">
        <v>5.5684589999999999E-2</v>
      </c>
      <c r="Q7066">
        <v>-2.0352720000000001E-2</v>
      </c>
      <c r="R7066">
        <v>0.99824089999999999</v>
      </c>
      <c r="S7066">
        <v>0.49133300000000002</v>
      </c>
      <c r="T7066">
        <v>-0.65605199999999997</v>
      </c>
      <c r="U7066">
        <v>2.9645999999999999</v>
      </c>
      <c r="V7066">
        <v>4.44156E-2</v>
      </c>
      <c r="W7066">
        <v>-1.127207E-2</v>
      </c>
      <c r="X7066">
        <v>0.99894950000000005</v>
      </c>
      <c r="Y7066">
        <v>0.1485908</v>
      </c>
      <c r="Z7066">
        <v>-0.21346219999999999</v>
      </c>
      <c r="AA7066">
        <v>0.96558520000000003</v>
      </c>
      <c r="AB7066">
        <v>35</v>
      </c>
      <c r="AC7066">
        <v>0.126600000000024</v>
      </c>
      <c r="AD7066">
        <v>-0.174120199999999</v>
      </c>
      <c r="AE7066">
        <v>0.43036999999999898</v>
      </c>
      <c r="AF7066">
        <v>0.105796301317514</v>
      </c>
      <c r="AG7066">
        <v>-0.174120199999999</v>
      </c>
      <c r="AH7066">
        <v>0.375241100084725</v>
      </c>
      <c r="AI7066">
        <v>114.066051851927</v>
      </c>
      <c r="AJ7066">
        <v>74.254615876507899</v>
      </c>
      <c r="AK7066">
        <v>0.42698546182897301</v>
      </c>
      <c r="AL7066">
        <v>90.645855744397807</v>
      </c>
      <c r="AM7066">
        <v>87.454174152185502</v>
      </c>
      <c r="AN7066">
        <v>0.99999995431784605</v>
      </c>
    </row>
    <row r="7067" spans="1:40" x14ac:dyDescent="0.25">
      <c r="A7067" t="str">
        <f>"20190312161454727"</f>
        <v>20190312161454727</v>
      </c>
      <c r="B7067" t="str">
        <f>"1552378494723974"</f>
        <v>1552378494723974</v>
      </c>
      <c r="C7067" t="s">
        <v>40</v>
      </c>
      <c r="D7067">
        <v>5.4488719999999997</v>
      </c>
      <c r="E7067">
        <v>0.53984169999999998</v>
      </c>
      <c r="F7067" t="s">
        <v>43</v>
      </c>
      <c r="G7067">
        <v>-186.9</v>
      </c>
      <c r="H7067">
        <v>0.94591860000000005</v>
      </c>
      <c r="I7067">
        <v>31.281600000000001</v>
      </c>
      <c r="J7067">
        <v>-187.01859999999999</v>
      </c>
      <c r="K7067">
        <v>1.1093869999999999</v>
      </c>
      <c r="L7067">
        <v>30.892119999999998</v>
      </c>
      <c r="M7067">
        <v>1.1225199999999999E-2</v>
      </c>
      <c r="N7067">
        <v>0</v>
      </c>
      <c r="O7067">
        <v>0.99989570000000005</v>
      </c>
      <c r="P7067">
        <v>5.541832E-2</v>
      </c>
      <c r="Q7067">
        <v>-2.03681E-2</v>
      </c>
      <c r="R7067">
        <v>0.99825540000000001</v>
      </c>
      <c r="S7067">
        <v>0.48800660000000001</v>
      </c>
      <c r="T7067">
        <v>-0.6509414</v>
      </c>
      <c r="U7067">
        <v>2.9647830000000002</v>
      </c>
      <c r="V7067">
        <v>4.420988E-2</v>
      </c>
      <c r="W7067">
        <v>-1.1287429999999999E-2</v>
      </c>
      <c r="X7067">
        <v>0.99895849999999997</v>
      </c>
      <c r="Y7067">
        <v>0.14764189999999999</v>
      </c>
      <c r="Z7067">
        <v>-0.21189640000000001</v>
      </c>
      <c r="AA7067">
        <v>0.96607549999999998</v>
      </c>
      <c r="AB7067">
        <v>35</v>
      </c>
      <c r="AC7067">
        <v>0.11859999999998599</v>
      </c>
      <c r="AD7067">
        <v>-0.16346840000000001</v>
      </c>
      <c r="AE7067">
        <v>0.38947999999999799</v>
      </c>
      <c r="AF7067">
        <v>9.8363401396121694E-2</v>
      </c>
      <c r="AG7067">
        <v>-0.16346840000000001</v>
      </c>
      <c r="AH7067">
        <v>0.33653476994338699</v>
      </c>
      <c r="AI7067">
        <v>114.99649020242801</v>
      </c>
      <c r="AJ7067">
        <v>73.707254501663002</v>
      </c>
      <c r="AK7067">
        <v>0.38685000699705702</v>
      </c>
      <c r="AL7067">
        <v>90.646735832670899</v>
      </c>
      <c r="AM7067">
        <v>87.465973063064894</v>
      </c>
      <c r="AN7067">
        <v>1.0000000021439299</v>
      </c>
    </row>
    <row r="7068" spans="1:40" x14ac:dyDescent="0.25">
      <c r="A7068" t="str">
        <f>"20190312161454750"</f>
        <v>20190312161454750</v>
      </c>
      <c r="B7068" t="str">
        <f>"1552378494743494"</f>
        <v>1552378494743494</v>
      </c>
      <c r="C7068" t="s">
        <v>40</v>
      </c>
      <c r="D7068">
        <v>5.3928159999999998</v>
      </c>
      <c r="E7068">
        <v>0.53971420000000003</v>
      </c>
      <c r="F7068" t="s">
        <v>43</v>
      </c>
      <c r="G7068">
        <v>-186.90389999999999</v>
      </c>
      <c r="H7068">
        <v>0.95618320000000001</v>
      </c>
      <c r="I7068">
        <v>31.59618</v>
      </c>
      <c r="J7068">
        <v>-187.01480000000001</v>
      </c>
      <c r="K7068">
        <v>1.1093839999999999</v>
      </c>
      <c r="L7068">
        <v>31.232089999999999</v>
      </c>
      <c r="M7068">
        <v>1.116702E-2</v>
      </c>
      <c r="N7068">
        <v>0</v>
      </c>
      <c r="O7068">
        <v>0.99989640000000002</v>
      </c>
      <c r="P7068">
        <v>5.4876599999999998E-2</v>
      </c>
      <c r="Q7068">
        <v>-2.0136669999999999E-2</v>
      </c>
      <c r="R7068">
        <v>0.99829009999999996</v>
      </c>
      <c r="S7068">
        <v>0.48266599999999998</v>
      </c>
      <c r="T7068">
        <v>-0.64524890000000001</v>
      </c>
      <c r="U7068">
        <v>2.965271</v>
      </c>
      <c r="V7068">
        <v>4.3725920000000001E-2</v>
      </c>
      <c r="W7068">
        <v>-1.10574E-2</v>
      </c>
      <c r="X7068">
        <v>0.99898240000000005</v>
      </c>
      <c r="Y7068">
        <v>0.1460398</v>
      </c>
      <c r="Z7068">
        <v>-0.2101481</v>
      </c>
      <c r="AA7068">
        <v>0.96670069999999997</v>
      </c>
      <c r="AB7068">
        <v>35</v>
      </c>
      <c r="AC7068">
        <v>0.110900000000015</v>
      </c>
      <c r="AD7068">
        <v>-0.153200799999999</v>
      </c>
      <c r="AE7068">
        <v>0.36408999999999703</v>
      </c>
      <c r="AF7068">
        <v>9.1932136447168106E-2</v>
      </c>
      <c r="AG7068">
        <v>-0.153200799999999</v>
      </c>
      <c r="AH7068">
        <v>0.31437092909582498</v>
      </c>
      <c r="AI7068">
        <v>115.067166251429</v>
      </c>
      <c r="AJ7068">
        <v>73.699388270367507</v>
      </c>
      <c r="AK7068">
        <v>0.36159519340410601</v>
      </c>
      <c r="AL7068">
        <v>90.633555244949306</v>
      </c>
      <c r="AM7068">
        <v>87.493737054723894</v>
      </c>
      <c r="AN7068">
        <v>1.00000002884218</v>
      </c>
    </row>
    <row r="7069" spans="1:40" x14ac:dyDescent="0.25">
      <c r="A7069" t="str">
        <f>"20190312161454772"</f>
        <v>20190312161454772</v>
      </c>
      <c r="B7069" t="str">
        <f>"1552378494763989"</f>
        <v>1552378494763989</v>
      </c>
      <c r="C7069" t="s">
        <v>40</v>
      </c>
      <c r="D7069">
        <v>5.4846139999999997</v>
      </c>
      <c r="E7069">
        <v>0.54991459999999903</v>
      </c>
      <c r="F7069" t="s">
        <v>43</v>
      </c>
      <c r="G7069">
        <v>-186.85900000000001</v>
      </c>
      <c r="H7069">
        <v>0.90149159999999995</v>
      </c>
      <c r="I7069">
        <v>32.193809999999999</v>
      </c>
      <c r="J7069">
        <v>-187.01089999999999</v>
      </c>
      <c r="K7069">
        <v>1.1093820000000001</v>
      </c>
      <c r="L7069">
        <v>31.595210000000002</v>
      </c>
      <c r="M7069">
        <v>1.1104889999999999E-2</v>
      </c>
      <c r="N7069">
        <v>0</v>
      </c>
      <c r="O7069">
        <v>0.99989709999999998</v>
      </c>
      <c r="P7069">
        <v>5.427564E-2</v>
      </c>
      <c r="Q7069">
        <v>-2.0527429999999999E-2</v>
      </c>
      <c r="R7069">
        <v>0.99831499999999995</v>
      </c>
      <c r="S7069">
        <v>0.48027039999999999</v>
      </c>
      <c r="T7069">
        <v>-0.64110029999999996</v>
      </c>
      <c r="U7069">
        <v>2.9657900000000001</v>
      </c>
      <c r="V7069">
        <v>4.3186820000000001E-2</v>
      </c>
      <c r="W7069">
        <v>-1.1449569999999999E-2</v>
      </c>
      <c r="X7069">
        <v>0.99900140000000004</v>
      </c>
      <c r="Y7069">
        <v>0.14535809999999999</v>
      </c>
      <c r="Z7069">
        <v>-0.2088458</v>
      </c>
      <c r="AA7069">
        <v>0.96708550000000004</v>
      </c>
      <c r="AB7069">
        <v>35</v>
      </c>
      <c r="AC7069">
        <v>0.15189999999998299</v>
      </c>
      <c r="AD7069">
        <v>-0.207890399999999</v>
      </c>
      <c r="AE7069">
        <v>0.59860000000000102</v>
      </c>
      <c r="AF7069">
        <v>0.13045972921013199</v>
      </c>
      <c r="AG7069">
        <v>-0.207890399999999</v>
      </c>
      <c r="AH7069">
        <v>0.53915483925108199</v>
      </c>
      <c r="AI7069">
        <v>110.544510387521</v>
      </c>
      <c r="AJ7069">
        <v>76.397545779615399</v>
      </c>
      <c r="AK7069">
        <v>0.59239015863331301</v>
      </c>
      <c r="AL7069">
        <v>90.656026375006405</v>
      </c>
      <c r="AM7069">
        <v>87.524645294754905</v>
      </c>
      <c r="AN7069">
        <v>0.99999999563842801</v>
      </c>
    </row>
    <row r="7070" spans="1:40" x14ac:dyDescent="0.25">
      <c r="A7070" t="str">
        <f>"20190312161454795"</f>
        <v>20190312161454795</v>
      </c>
      <c r="B7070" t="str">
        <f>"1552378494784485"</f>
        <v>1552378494784485</v>
      </c>
      <c r="C7070" t="s">
        <v>40</v>
      </c>
      <c r="D7070">
        <v>5.5180439999999997</v>
      </c>
      <c r="E7070">
        <v>0.55031619999999903</v>
      </c>
      <c r="F7070" t="s">
        <v>43</v>
      </c>
      <c r="G7070">
        <v>-186.84</v>
      </c>
      <c r="H7070">
        <v>0.8858646</v>
      </c>
      <c r="I7070">
        <v>32.499049999999997</v>
      </c>
      <c r="J7070">
        <v>-187.00700000000001</v>
      </c>
      <c r="K7070">
        <v>1.10937</v>
      </c>
      <c r="L7070">
        <v>31.942229999999999</v>
      </c>
      <c r="M7070">
        <v>1.1045620000000001E-2</v>
      </c>
      <c r="N7070">
        <v>0</v>
      </c>
      <c r="O7070">
        <v>0.99989779999999995</v>
      </c>
      <c r="P7070">
        <v>5.4245580000000002E-2</v>
      </c>
      <c r="Q7070">
        <v>-2.028785E-2</v>
      </c>
      <c r="R7070">
        <v>0.99832149999999997</v>
      </c>
      <c r="S7070">
        <v>0.55950929999999999</v>
      </c>
      <c r="T7070">
        <v>-0.7319061</v>
      </c>
      <c r="U7070">
        <v>2.9595950000000002</v>
      </c>
      <c r="V7070">
        <v>4.3215870000000003E-2</v>
      </c>
      <c r="W7070">
        <v>-1.121105E-2</v>
      </c>
      <c r="X7070">
        <v>0.99900290000000003</v>
      </c>
      <c r="Y7070">
        <v>0.1696336</v>
      </c>
      <c r="Z7070">
        <v>-0.2363362</v>
      </c>
      <c r="AA7070">
        <v>0.95674950000000003</v>
      </c>
      <c r="AB7070">
        <v>35</v>
      </c>
      <c r="AC7070">
        <v>0.16700000000000101</v>
      </c>
      <c r="AD7070">
        <v>-0.22350539999999899</v>
      </c>
      <c r="AE7070">
        <v>0.55681999999999798</v>
      </c>
      <c r="AF7070">
        <v>0.14012548024138199</v>
      </c>
      <c r="AG7070">
        <v>-0.22350539999999899</v>
      </c>
      <c r="AH7070">
        <v>0.486687508738121</v>
      </c>
      <c r="AI7070">
        <v>113.812379912126</v>
      </c>
      <c r="AJ7070">
        <v>73.938004707810094</v>
      </c>
      <c r="AK7070">
        <v>0.553583367889387</v>
      </c>
      <c r="AL7070">
        <v>90.642359275535895</v>
      </c>
      <c r="AM7070">
        <v>87.522986013140496</v>
      </c>
      <c r="AN7070">
        <v>1.0000000466351799</v>
      </c>
    </row>
    <row r="7071" spans="1:40" x14ac:dyDescent="0.25">
      <c r="A7071" t="str">
        <f>"20190312161454816"</f>
        <v>20190312161454816</v>
      </c>
      <c r="B7071" t="str">
        <f>"1552378494813766"</f>
        <v>1552378494813766</v>
      </c>
      <c r="C7071" t="s">
        <v>40</v>
      </c>
      <c r="D7071">
        <v>5.4971750000000004</v>
      </c>
      <c r="E7071">
        <v>0.55008109999999999</v>
      </c>
      <c r="F7071" t="s">
        <v>43</v>
      </c>
      <c r="G7071">
        <v>-186.84139999999999</v>
      </c>
      <c r="H7071">
        <v>0.89223050000000004</v>
      </c>
      <c r="I7071">
        <v>32.813270000000003</v>
      </c>
      <c r="J7071">
        <v>-187.0033</v>
      </c>
      <c r="K7071">
        <v>1.1093679999999999</v>
      </c>
      <c r="L7071">
        <v>32.287599999999998</v>
      </c>
      <c r="M7071">
        <v>1.098682E-2</v>
      </c>
      <c r="N7071">
        <v>0</v>
      </c>
      <c r="O7071">
        <v>0.99989839999999997</v>
      </c>
      <c r="P7071">
        <v>5.416808E-2</v>
      </c>
      <c r="Q7071">
        <v>-2.0724220000000002E-2</v>
      </c>
      <c r="R7071">
        <v>0.9983168</v>
      </c>
      <c r="S7071">
        <v>0.56233219999999995</v>
      </c>
      <c r="T7071">
        <v>-0.73775769999999996</v>
      </c>
      <c r="U7071">
        <v>2.9595030000000002</v>
      </c>
      <c r="V7071">
        <v>4.3197239999999998E-2</v>
      </c>
      <c r="W7071">
        <v>-1.164802E-2</v>
      </c>
      <c r="X7071">
        <v>0.99899859999999896</v>
      </c>
      <c r="Y7071">
        <v>0.17049800000000001</v>
      </c>
      <c r="Z7071">
        <v>-0.23808679999999999</v>
      </c>
      <c r="AA7071">
        <v>0.95616159999999994</v>
      </c>
      <c r="AB7071">
        <v>35</v>
      </c>
      <c r="AC7071">
        <v>0.16190000000000199</v>
      </c>
      <c r="AD7071">
        <v>-0.21713750000000001</v>
      </c>
      <c r="AE7071">
        <v>0.52567000000000497</v>
      </c>
      <c r="AF7071">
        <v>0.135065582049751</v>
      </c>
      <c r="AG7071">
        <v>-0.21713750000000001</v>
      </c>
      <c r="AH7071">
        <v>0.456305321574421</v>
      </c>
      <c r="AI7071">
        <v>114.526777686389</v>
      </c>
      <c r="AJ7071">
        <v>73.511337861223694</v>
      </c>
      <c r="AK7071">
        <v>0.52307356256823401</v>
      </c>
      <c r="AL7071">
        <v>90.667397517748896</v>
      </c>
      <c r="AM7071">
        <v>87.524041860008097</v>
      </c>
      <c r="AN7071">
        <v>0.99999994035774697</v>
      </c>
    </row>
    <row r="7072" spans="1:40" x14ac:dyDescent="0.25">
      <c r="A7072" t="str">
        <f>"20190312161454840"</f>
        <v>20190312161454840</v>
      </c>
      <c r="B7072" t="str">
        <f>"1552378494833285"</f>
        <v>1552378494833285</v>
      </c>
      <c r="C7072" t="s">
        <v>40</v>
      </c>
      <c r="D7072">
        <v>5.3964990000000004</v>
      </c>
      <c r="E7072">
        <v>0.54832760000000003</v>
      </c>
      <c r="F7072" t="s">
        <v>43</v>
      </c>
      <c r="G7072">
        <v>-186.84399999999999</v>
      </c>
      <c r="H7072">
        <v>0.90138660000000004</v>
      </c>
      <c r="I7072">
        <v>33.129109999999997</v>
      </c>
      <c r="J7072">
        <v>-186.99950000000001</v>
      </c>
      <c r="K7072">
        <v>1.1093710000000001</v>
      </c>
      <c r="L7072">
        <v>32.640560000000001</v>
      </c>
      <c r="M7072">
        <v>1.092663E-2</v>
      </c>
      <c r="N7072">
        <v>0</v>
      </c>
      <c r="O7072">
        <v>0.99989910000000004</v>
      </c>
      <c r="P7072">
        <v>5.4442240000000003E-2</v>
      </c>
      <c r="Q7072">
        <v>-2.065256E-2</v>
      </c>
      <c r="R7072">
        <v>0.9983033</v>
      </c>
      <c r="S7072">
        <v>0.56022640000000001</v>
      </c>
      <c r="T7072">
        <v>-0.73143709999999995</v>
      </c>
      <c r="U7072">
        <v>2.959473</v>
      </c>
      <c r="V7072">
        <v>4.3531640000000003E-2</v>
      </c>
      <c r="W7072">
        <v>-1.1576319999999999E-2</v>
      </c>
      <c r="X7072">
        <v>0.99898500000000001</v>
      </c>
      <c r="Y7072">
        <v>0.16998840000000001</v>
      </c>
      <c r="Z7072">
        <v>-0.2361905</v>
      </c>
      <c r="AA7072">
        <v>0.95672250000000003</v>
      </c>
      <c r="AB7072">
        <v>35</v>
      </c>
      <c r="AC7072">
        <v>0.15549999999998901</v>
      </c>
      <c r="AD7072">
        <v>-0.20798439999999899</v>
      </c>
      <c r="AE7072">
        <v>0.48854999999999599</v>
      </c>
      <c r="AF7072">
        <v>0.12893434254875799</v>
      </c>
      <c r="AG7072">
        <v>-0.20798439999999899</v>
      </c>
      <c r="AH7072">
        <v>0.420947239790044</v>
      </c>
      <c r="AI7072">
        <v>115.28711308170899</v>
      </c>
      <c r="AJ7072">
        <v>72.970397172793398</v>
      </c>
      <c r="AK7072">
        <v>0.48690672003854901</v>
      </c>
      <c r="AL7072">
        <v>90.663289078593493</v>
      </c>
      <c r="AM7072">
        <v>87.504865090668005</v>
      </c>
      <c r="AN7072">
        <v>1.00000002254541</v>
      </c>
    </row>
    <row r="7073" spans="1:40" x14ac:dyDescent="0.25">
      <c r="A7073" t="str">
        <f>"20190312161454862"</f>
        <v>20190312161454862</v>
      </c>
      <c r="B7073" t="str">
        <f>"1552378494853781"</f>
        <v>1552378494853781</v>
      </c>
      <c r="C7073" t="s">
        <v>40</v>
      </c>
      <c r="D7073">
        <v>5.3092119999999996</v>
      </c>
      <c r="E7073">
        <v>0.54713619999999996</v>
      </c>
      <c r="F7073" t="s">
        <v>43</v>
      </c>
      <c r="G7073">
        <v>-186.85040000000001</v>
      </c>
      <c r="H7073">
        <v>0.91304620000000003</v>
      </c>
      <c r="I7073">
        <v>33.446309999999997</v>
      </c>
      <c r="J7073">
        <v>-186.9956</v>
      </c>
      <c r="K7073">
        <v>1.109364</v>
      </c>
      <c r="L7073">
        <v>33.001040000000003</v>
      </c>
      <c r="M7073">
        <v>1.0865130000000001E-2</v>
      </c>
      <c r="N7073">
        <v>0</v>
      </c>
      <c r="O7073">
        <v>0.99989969999999995</v>
      </c>
      <c r="P7073">
        <v>5.4590590000000001E-2</v>
      </c>
      <c r="Q7073">
        <v>-2.028112E-2</v>
      </c>
      <c r="R7073">
        <v>0.99830280000000005</v>
      </c>
      <c r="S7073">
        <v>0.5473633</v>
      </c>
      <c r="T7073">
        <v>-0.72130099999999997</v>
      </c>
      <c r="U7073">
        <v>2.9603269999999999</v>
      </c>
      <c r="V7073">
        <v>4.3741389999999998E-2</v>
      </c>
      <c r="W7073">
        <v>-1.120402E-2</v>
      </c>
      <c r="X7073">
        <v>0.99897999999999998</v>
      </c>
      <c r="Y7073">
        <v>0.1661115</v>
      </c>
      <c r="Z7073">
        <v>-0.23320160000000001</v>
      </c>
      <c r="AA7073">
        <v>0.95813570000000003</v>
      </c>
      <c r="AB7073">
        <v>35</v>
      </c>
      <c r="AC7073">
        <v>0.14519999999998801</v>
      </c>
      <c r="AD7073">
        <v>-0.19631779999999999</v>
      </c>
      <c r="AE7073">
        <v>0.445269999999993</v>
      </c>
      <c r="AF7073">
        <v>0.119377970380945</v>
      </c>
      <c r="AG7073">
        <v>-0.19631779999999999</v>
      </c>
      <c r="AH7073">
        <v>0.38004540501210698</v>
      </c>
      <c r="AI7073">
        <v>116.23513501118499</v>
      </c>
      <c r="AJ7073">
        <v>72.561712832268498</v>
      </c>
      <c r="AK7073">
        <v>0.44410166435167803</v>
      </c>
      <c r="AL7073">
        <v>90.641956529491495</v>
      </c>
      <c r="AM7073">
        <v>87.492845467741105</v>
      </c>
      <c r="AN7073">
        <v>0.99999993983164404</v>
      </c>
    </row>
    <row r="7074" spans="1:40" x14ac:dyDescent="0.25">
      <c r="A7074" t="str">
        <f>"20190312161454885"</f>
        <v>20190312161454885</v>
      </c>
      <c r="B7074" t="str">
        <f>"1552378494873301"</f>
        <v>1552378494873301</v>
      </c>
      <c r="C7074" t="s">
        <v>40</v>
      </c>
      <c r="D7074">
        <v>5.582014</v>
      </c>
      <c r="E7074">
        <v>0.5470064</v>
      </c>
      <c r="F7074" t="s">
        <v>43</v>
      </c>
      <c r="G7074">
        <v>-186.8569</v>
      </c>
      <c r="H7074">
        <v>0.92304909999999996</v>
      </c>
      <c r="I7074">
        <v>33.763249999999999</v>
      </c>
      <c r="J7074">
        <v>-186.99180000000001</v>
      </c>
      <c r="K7074">
        <v>1.1093630000000001</v>
      </c>
      <c r="L7074">
        <v>33.356319999999997</v>
      </c>
      <c r="M7074">
        <v>1.0804660000000001E-2</v>
      </c>
      <c r="N7074">
        <v>0</v>
      </c>
      <c r="O7074">
        <v>0.99990029999999996</v>
      </c>
      <c r="P7074">
        <v>5.5092719999999998E-2</v>
      </c>
      <c r="Q7074">
        <v>-2.0487709999999999E-2</v>
      </c>
      <c r="R7074">
        <v>0.99827100000000002</v>
      </c>
      <c r="S7074">
        <v>0.53831479999999998</v>
      </c>
      <c r="T7074">
        <v>-0.72377009999999997</v>
      </c>
      <c r="U7074">
        <v>2.9609679999999998</v>
      </c>
      <c r="V7074">
        <v>4.4304259999999998E-2</v>
      </c>
      <c r="W7074">
        <v>-1.1409229999999999E-2</v>
      </c>
      <c r="X7074">
        <v>0.99895290000000003</v>
      </c>
      <c r="Y7074">
        <v>0.16326499999999999</v>
      </c>
      <c r="Z7074">
        <v>-0.23402519999999999</v>
      </c>
      <c r="AA7074">
        <v>0.9584241</v>
      </c>
      <c r="AB7074">
        <v>35</v>
      </c>
      <c r="AC7074">
        <v>0.13490000000001601</v>
      </c>
      <c r="AD7074">
        <v>-0.18631389999999901</v>
      </c>
      <c r="AE7074">
        <v>0.40692999999999502</v>
      </c>
      <c r="AF7074">
        <v>0.10976384039727299</v>
      </c>
      <c r="AG7074">
        <v>-0.18631389999999901</v>
      </c>
      <c r="AH7074">
        <v>0.34348837221749201</v>
      </c>
      <c r="AI7074">
        <v>117.324380180986</v>
      </c>
      <c r="AJ7074">
        <v>72.2783970465576</v>
      </c>
      <c r="AK7074">
        <v>0.40588820115961799</v>
      </c>
      <c r="AL7074">
        <v>90.653714930861895</v>
      </c>
      <c r="AM7074">
        <v>87.460556236565097</v>
      </c>
      <c r="AN7074">
        <v>0.99999996720087403</v>
      </c>
    </row>
    <row r="7075" spans="1:40" x14ac:dyDescent="0.25">
      <c r="A7075" t="str">
        <f>"20190312161454907"</f>
        <v>20190312161454907</v>
      </c>
      <c r="B7075" t="str">
        <f>"1552378494903558"</f>
        <v>1552378494903558</v>
      </c>
      <c r="C7075" t="s">
        <v>40</v>
      </c>
      <c r="D7075">
        <v>5.3950709999999997</v>
      </c>
      <c r="E7075">
        <v>0.54711030000000005</v>
      </c>
      <c r="F7075" t="s">
        <v>43</v>
      </c>
      <c r="G7075">
        <v>-186.85990000000001</v>
      </c>
      <c r="H7075">
        <v>0.93275269999999999</v>
      </c>
      <c r="I7075">
        <v>34.081020000000002</v>
      </c>
      <c r="J7075">
        <v>-186.9881</v>
      </c>
      <c r="K7075">
        <v>1.10937</v>
      </c>
      <c r="L7075">
        <v>33.696930000000002</v>
      </c>
      <c r="M7075">
        <v>1.074658E-2</v>
      </c>
      <c r="N7075">
        <v>0</v>
      </c>
      <c r="O7075">
        <v>0.99990100000000004</v>
      </c>
      <c r="P7075">
        <v>5.545009E-2</v>
      </c>
      <c r="Q7075">
        <v>-2.0354230000000001E-2</v>
      </c>
      <c r="R7075">
        <v>0.99825399999999997</v>
      </c>
      <c r="S7075">
        <v>0.53822329999999996</v>
      </c>
      <c r="T7075">
        <v>-0.72152289999999997</v>
      </c>
      <c r="U7075">
        <v>2.960693</v>
      </c>
      <c r="V7075">
        <v>4.4719799999999997E-2</v>
      </c>
      <c r="W7075">
        <v>-1.1273729999999999E-2</v>
      </c>
      <c r="X7075">
        <v>0.99893589999999999</v>
      </c>
      <c r="Y7075">
        <v>0.16333789999999901</v>
      </c>
      <c r="Z7075">
        <v>-0.23335819999999999</v>
      </c>
      <c r="AA7075">
        <v>0.95857429999999999</v>
      </c>
      <c r="AB7075">
        <v>35</v>
      </c>
      <c r="AC7075">
        <v>0.12819999999999199</v>
      </c>
      <c r="AD7075">
        <v>-0.17661729999999901</v>
      </c>
      <c r="AE7075">
        <v>0.38408999999999999</v>
      </c>
      <c r="AF7075">
        <v>0.104234100599498</v>
      </c>
      <c r="AG7075">
        <v>-0.17661729999999901</v>
      </c>
      <c r="AH7075">
        <v>0.32383547223737102</v>
      </c>
      <c r="AI7075">
        <v>117.436600692252</v>
      </c>
      <c r="AJ7075">
        <v>72.158001703490299</v>
      </c>
      <c r="AK7075">
        <v>0.38331166361888502</v>
      </c>
      <c r="AL7075">
        <v>90.645950867520796</v>
      </c>
      <c r="AM7075">
        <v>87.436726256701405</v>
      </c>
      <c r="AN7075">
        <v>0.99999994490447996</v>
      </c>
    </row>
    <row r="7076" spans="1:40" x14ac:dyDescent="0.25">
      <c r="A7076" t="str">
        <f>"20190312161454928"</f>
        <v>20190312161454928</v>
      </c>
      <c r="B7076" t="str">
        <f>"1552378494924054"</f>
        <v>1552378494924054</v>
      </c>
      <c r="C7076" t="s">
        <v>40</v>
      </c>
      <c r="D7076">
        <v>5.2440860000000002</v>
      </c>
      <c r="E7076">
        <v>0.54611969999999899</v>
      </c>
      <c r="F7076" t="s">
        <v>43</v>
      </c>
      <c r="G7076">
        <v>-186.86009999999999</v>
      </c>
      <c r="H7076">
        <v>0.93810990000000005</v>
      </c>
      <c r="I7076">
        <v>34.397449999999999</v>
      </c>
      <c r="J7076">
        <v>-186.9845</v>
      </c>
      <c r="K7076">
        <v>1.109369</v>
      </c>
      <c r="L7076">
        <v>34.043149999999997</v>
      </c>
      <c r="M7076">
        <v>1.068758E-2</v>
      </c>
      <c r="N7076">
        <v>0</v>
      </c>
      <c r="O7076">
        <v>0.99990159999999995</v>
      </c>
      <c r="P7076">
        <v>5.5093709999999997E-2</v>
      </c>
      <c r="Q7076">
        <v>-2.0237669999999999E-2</v>
      </c>
      <c r="R7076">
        <v>0.9982761</v>
      </c>
      <c r="S7076">
        <v>0.54064939999999995</v>
      </c>
      <c r="T7076">
        <v>-0.72375679999999998</v>
      </c>
      <c r="U7076">
        <v>2.9604490000000001</v>
      </c>
      <c r="V7076">
        <v>4.4422129999999997E-2</v>
      </c>
      <c r="W7076">
        <v>-1.1154219999999999E-2</v>
      </c>
      <c r="X7076">
        <v>0.99895060000000002</v>
      </c>
      <c r="Y7076">
        <v>0.16414139999999999</v>
      </c>
      <c r="Z7076">
        <v>-0.23402700000000001</v>
      </c>
      <c r="AA7076">
        <v>0.95827390000000001</v>
      </c>
      <c r="AB7076">
        <v>35</v>
      </c>
      <c r="AC7076">
        <v>0.124400000000008</v>
      </c>
      <c r="AD7076">
        <v>-0.1712591</v>
      </c>
      <c r="AE7076">
        <v>0.354300000000002</v>
      </c>
      <c r="AF7076">
        <v>9.9838995427063898E-2</v>
      </c>
      <c r="AG7076">
        <v>-0.1712591</v>
      </c>
      <c r="AH7076">
        <v>0.29437708494492698</v>
      </c>
      <c r="AI7076">
        <v>118.852296661241</v>
      </c>
      <c r="AJ7076">
        <v>71.265457196861405</v>
      </c>
      <c r="AK7076">
        <v>0.35490191952336397</v>
      </c>
      <c r="AL7076">
        <v>90.6391029688331</v>
      </c>
      <c r="AM7076">
        <v>87.453803156432699</v>
      </c>
      <c r="AN7076">
        <v>1.00000002174895</v>
      </c>
    </row>
    <row r="7077" spans="1:40" x14ac:dyDescent="0.25">
      <c r="A7077" t="str">
        <f>"20190312161454952"</f>
        <v>20190312161454952</v>
      </c>
      <c r="B7077" t="str">
        <f>"1552378494943574"</f>
        <v>1552378494943574</v>
      </c>
      <c r="C7077" t="s">
        <v>40</v>
      </c>
      <c r="D7077">
        <v>5.3358220000000003</v>
      </c>
      <c r="E7077">
        <v>0.545324699999999</v>
      </c>
      <c r="F7077" t="s">
        <v>43</v>
      </c>
      <c r="G7077">
        <v>-186.81200000000001</v>
      </c>
      <c r="H7077">
        <v>0.87627429999999995</v>
      </c>
      <c r="I7077">
        <v>35.00159</v>
      </c>
      <c r="J7077">
        <v>-186.98070000000001</v>
      </c>
      <c r="K7077">
        <v>1.1093710000000001</v>
      </c>
      <c r="L7077">
        <v>34.403750000000002</v>
      </c>
      <c r="M7077">
        <v>1.0626109999999999E-2</v>
      </c>
      <c r="N7077">
        <v>0</v>
      </c>
      <c r="O7077">
        <v>0.99990219999999996</v>
      </c>
      <c r="P7077">
        <v>5.5116749999999999E-2</v>
      </c>
      <c r="Q7077">
        <v>-2.084486E-2</v>
      </c>
      <c r="R7077">
        <v>0.99826230000000005</v>
      </c>
      <c r="S7077">
        <v>0.53274540000000004</v>
      </c>
      <c r="T7077">
        <v>-0.72017059999999999</v>
      </c>
      <c r="U7077">
        <v>2.961182</v>
      </c>
      <c r="V7077">
        <v>4.4506780000000003E-2</v>
      </c>
      <c r="W7077">
        <v>-1.175791E-2</v>
      </c>
      <c r="X7077">
        <v>0.99893989999999999</v>
      </c>
      <c r="Y7077">
        <v>0.1617276</v>
      </c>
      <c r="Z7077">
        <v>-0.23297670000000001</v>
      </c>
      <c r="AA7077">
        <v>0.95894009999999996</v>
      </c>
      <c r="AB7077">
        <v>35</v>
      </c>
      <c r="AC7077">
        <v>0.16870000000000099</v>
      </c>
      <c r="AD7077">
        <v>-0.23309669999999899</v>
      </c>
      <c r="AE7077">
        <v>0.59783999999999704</v>
      </c>
      <c r="AF7077">
        <v>0.14230040509844499</v>
      </c>
      <c r="AG7077">
        <v>-0.23309669999999899</v>
      </c>
      <c r="AH7077">
        <v>0.52559127310527598</v>
      </c>
      <c r="AI7077">
        <v>113.174897306836</v>
      </c>
      <c r="AJ7077">
        <v>74.850728988279897</v>
      </c>
      <c r="AK7077">
        <v>0.59230875665188099</v>
      </c>
      <c r="AL7077">
        <v>90.673694133698305</v>
      </c>
      <c r="AM7077">
        <v>87.448930284929105</v>
      </c>
      <c r="AN7077">
        <v>1.00000001286277</v>
      </c>
    </row>
    <row r="7078" spans="1:40" x14ac:dyDescent="0.25">
      <c r="A7078" t="str">
        <f>"20190312161454974"</f>
        <v>20190312161454974</v>
      </c>
      <c r="B7078" t="str">
        <f>"1552378494964070"</f>
        <v>1552378494964070</v>
      </c>
      <c r="C7078" t="s">
        <v>40</v>
      </c>
      <c r="D7078">
        <v>5.4621620000000002</v>
      </c>
      <c r="E7078">
        <v>0.54450010000000004</v>
      </c>
      <c r="F7078" t="s">
        <v>43</v>
      </c>
      <c r="G7078">
        <v>-186.81780000000001</v>
      </c>
      <c r="H7078">
        <v>0.88642569999999998</v>
      </c>
      <c r="I7078">
        <v>35.320929999999997</v>
      </c>
      <c r="J7078">
        <v>-186.977</v>
      </c>
      <c r="K7078">
        <v>1.109367</v>
      </c>
      <c r="L7078">
        <v>34.753509999999999</v>
      </c>
      <c r="M7078">
        <v>1.05665E-2</v>
      </c>
      <c r="N7078">
        <v>0</v>
      </c>
      <c r="O7078">
        <v>0.99990279999999998</v>
      </c>
      <c r="P7078">
        <v>5.4807580000000002E-2</v>
      </c>
      <c r="Q7078">
        <v>-2.1037429999999999E-2</v>
      </c>
      <c r="R7078">
        <v>0.99827529999999998</v>
      </c>
      <c r="S7078">
        <v>0.52560419999999997</v>
      </c>
      <c r="T7078">
        <v>-0.71978959999999903</v>
      </c>
      <c r="U7078">
        <v>2.961182</v>
      </c>
      <c r="V7078">
        <v>4.4257060000000001E-2</v>
      </c>
      <c r="W7078">
        <v>-1.1946379999999999E-2</v>
      </c>
      <c r="X7078">
        <v>0.99894879999999997</v>
      </c>
      <c r="Y7078">
        <v>0.1595461</v>
      </c>
      <c r="Z7078">
        <v>-0.2329483</v>
      </c>
      <c r="AA7078">
        <v>0.95931230000000001</v>
      </c>
      <c r="AB7078">
        <v>35</v>
      </c>
      <c r="AC7078">
        <v>0.15919999999999801</v>
      </c>
      <c r="AD7078">
        <v>-0.22294130000000001</v>
      </c>
      <c r="AE7078">
        <v>0.56741999999999804</v>
      </c>
      <c r="AF7078">
        <v>0.134016411141064</v>
      </c>
      <c r="AG7078">
        <v>-0.22294130000000001</v>
      </c>
      <c r="AH7078">
        <v>0.49782751887987398</v>
      </c>
      <c r="AI7078">
        <v>113.385259395167</v>
      </c>
      <c r="AJ7078">
        <v>74.933022251010101</v>
      </c>
      <c r="AK7078">
        <v>0.56168982566440695</v>
      </c>
      <c r="AL7078">
        <v>90.684493399385005</v>
      </c>
      <c r="AM7078">
        <v>87.463247725167705</v>
      </c>
      <c r="AN7078">
        <v>1.0000000541881899</v>
      </c>
    </row>
    <row r="7079" spans="1:40" x14ac:dyDescent="0.25">
      <c r="A7079" t="str">
        <f>"20190312161454998"</f>
        <v>20190312161454998</v>
      </c>
      <c r="B7079" t="str">
        <f>"1552378494983590"</f>
        <v>1552378494983590</v>
      </c>
      <c r="C7079" t="s">
        <v>40</v>
      </c>
      <c r="D7079">
        <v>5.3659919999999897</v>
      </c>
      <c r="E7079">
        <v>0.54437639999999998</v>
      </c>
      <c r="F7079" t="s">
        <v>43</v>
      </c>
      <c r="G7079">
        <v>-186.82210000000001</v>
      </c>
      <c r="H7079">
        <v>0.89434979999999997</v>
      </c>
      <c r="I7079">
        <v>35.63984</v>
      </c>
      <c r="J7079">
        <v>-186.97309999999999</v>
      </c>
      <c r="K7079">
        <v>1.109364</v>
      </c>
      <c r="L7079">
        <v>35.127559999999903</v>
      </c>
      <c r="M7079">
        <v>1.050276E-2</v>
      </c>
      <c r="N7079">
        <v>0</v>
      </c>
      <c r="O7079">
        <v>0.9999034</v>
      </c>
      <c r="P7079">
        <v>5.4259630000000003E-2</v>
      </c>
      <c r="Q7079">
        <v>-2.0603710000000001E-2</v>
      </c>
      <c r="R7079">
        <v>0.99831429999999999</v>
      </c>
      <c r="S7079">
        <v>0.51730350000000003</v>
      </c>
      <c r="T7079">
        <v>-0.71847359999999905</v>
      </c>
      <c r="U7079">
        <v>2.9616389999999999</v>
      </c>
      <c r="V7079">
        <v>4.3772360000000003E-2</v>
      </c>
      <c r="W7079">
        <v>-1.150756E-2</v>
      </c>
      <c r="X7079">
        <v>0.99897530000000001</v>
      </c>
      <c r="Y7079">
        <v>0.15698870000000001</v>
      </c>
      <c r="Z7079">
        <v>-0.2326135</v>
      </c>
      <c r="AA7079">
        <v>0.95981539999999999</v>
      </c>
      <c r="AB7079">
        <v>35</v>
      </c>
      <c r="AC7079">
        <v>0.15099999999998201</v>
      </c>
      <c r="AD7079">
        <v>-0.21501419999999999</v>
      </c>
      <c r="AE7079">
        <v>0.51228000000000395</v>
      </c>
      <c r="AF7079">
        <v>0.125301847110173</v>
      </c>
      <c r="AG7079">
        <v>-0.21501419999999999</v>
      </c>
      <c r="AH7079">
        <v>0.44216971605670402</v>
      </c>
      <c r="AI7079">
        <v>115.07246898704101</v>
      </c>
      <c r="AJ7079">
        <v>74.178355807881104</v>
      </c>
      <c r="AK7079">
        <v>0.50739108869641003</v>
      </c>
      <c r="AL7079">
        <v>90.659349142500005</v>
      </c>
      <c r="AM7079">
        <v>87.491060818059694</v>
      </c>
      <c r="AN7079">
        <v>1.0000000467236001</v>
      </c>
    </row>
    <row r="7080" spans="1:40" x14ac:dyDescent="0.25">
      <c r="A7080" t="str">
        <f>"20190312161455019"</f>
        <v>20190312161455019</v>
      </c>
      <c r="B7080" t="str">
        <f>"1552378495013846"</f>
        <v>1552378495013846</v>
      </c>
      <c r="C7080" t="s">
        <v>40</v>
      </c>
      <c r="D7080">
        <v>5.4429889999999999</v>
      </c>
      <c r="E7080">
        <v>0.54477940000000002</v>
      </c>
      <c r="F7080" t="s">
        <v>43</v>
      </c>
      <c r="G7080">
        <v>-186.828</v>
      </c>
      <c r="H7080">
        <v>0.90693950000000001</v>
      </c>
      <c r="I7080">
        <v>35.961129999999997</v>
      </c>
      <c r="J7080">
        <v>-186.96960000000001</v>
      </c>
      <c r="K7080">
        <v>1.1093599999999999</v>
      </c>
      <c r="L7080">
        <v>35.47287</v>
      </c>
      <c r="M7080">
        <v>1.0443930000000001E-2</v>
      </c>
      <c r="N7080">
        <v>0</v>
      </c>
      <c r="O7080">
        <v>0.99990400000000002</v>
      </c>
      <c r="P7080">
        <v>5.408578E-2</v>
      </c>
      <c r="Q7080">
        <v>-2.0390930000000002E-2</v>
      </c>
      <c r="R7080">
        <v>0.99832810000000005</v>
      </c>
      <c r="S7080">
        <v>0.51512150000000001</v>
      </c>
      <c r="T7080">
        <v>-0.71934010000000004</v>
      </c>
      <c r="U7080">
        <v>2.9622190000000002</v>
      </c>
      <c r="V7080">
        <v>4.3657130000000002E-2</v>
      </c>
      <c r="W7080">
        <v>-1.128973E-2</v>
      </c>
      <c r="X7080">
        <v>0.99898279999999995</v>
      </c>
      <c r="Y7080">
        <v>0.1563185</v>
      </c>
      <c r="Z7080">
        <v>-0.2328626</v>
      </c>
      <c r="AA7080">
        <v>0.9598643</v>
      </c>
      <c r="AB7080">
        <v>35</v>
      </c>
      <c r="AC7080">
        <v>0.14160000000001099</v>
      </c>
      <c r="AD7080">
        <v>-0.2024205</v>
      </c>
      <c r="AE7080">
        <v>0.48825999999999598</v>
      </c>
      <c r="AF7080">
        <v>0.117814551761042</v>
      </c>
      <c r="AG7080">
        <v>-0.2024205</v>
      </c>
      <c r="AH7080">
        <v>0.42269827566108498</v>
      </c>
      <c r="AI7080">
        <v>114.763607698095</v>
      </c>
      <c r="AJ7080">
        <v>74.425771865240904</v>
      </c>
      <c r="AK7080">
        <v>0.48324751388264697</v>
      </c>
      <c r="AL7080">
        <v>90.646867610554096</v>
      </c>
      <c r="AM7080">
        <v>87.497675914405306</v>
      </c>
      <c r="AN7080">
        <v>1.0000000188495699</v>
      </c>
    </row>
    <row r="7081" spans="1:40" x14ac:dyDescent="0.25">
      <c r="A7081" t="str">
        <f>"20190312161455040"</f>
        <v>20190312161455040</v>
      </c>
      <c r="B7081" t="str">
        <f>"1552378495033366"</f>
        <v>1552378495033366</v>
      </c>
      <c r="C7081" t="s">
        <v>40</v>
      </c>
      <c r="D7081">
        <v>5.5198229999999997</v>
      </c>
      <c r="E7081">
        <v>0.54386239999999997</v>
      </c>
      <c r="F7081" t="s">
        <v>43</v>
      </c>
      <c r="G7081">
        <v>-186.82810000000001</v>
      </c>
      <c r="H7081">
        <v>0.9138482</v>
      </c>
      <c r="I7081">
        <v>36.280709999999999</v>
      </c>
      <c r="J7081">
        <v>-186.96619999999999</v>
      </c>
      <c r="K7081">
        <v>1.1093580000000001</v>
      </c>
      <c r="L7081">
        <v>35.79739</v>
      </c>
      <c r="M7081">
        <v>1.0388680000000001E-2</v>
      </c>
      <c r="N7081">
        <v>0</v>
      </c>
      <c r="O7081">
        <v>0.99990449999999997</v>
      </c>
      <c r="P7081">
        <v>5.4325949999999998E-2</v>
      </c>
      <c r="Q7081">
        <v>-2.102526E-2</v>
      </c>
      <c r="R7081">
        <v>0.99830189999999996</v>
      </c>
      <c r="S7081">
        <v>0.51821899999999999</v>
      </c>
      <c r="T7081">
        <v>-0.71692679999999998</v>
      </c>
      <c r="U7081">
        <v>2.9623110000000001</v>
      </c>
      <c r="V7081">
        <v>4.3952829999999998E-2</v>
      </c>
      <c r="W7081">
        <v>-1.1919229999999999E-2</v>
      </c>
      <c r="X7081">
        <v>0.99896249999999998</v>
      </c>
      <c r="Y7081">
        <v>0.15737429999999999</v>
      </c>
      <c r="Z7081">
        <v>-0.23207849999999999</v>
      </c>
      <c r="AA7081">
        <v>0.95988169999999995</v>
      </c>
      <c r="AB7081">
        <v>35</v>
      </c>
      <c r="AC7081">
        <v>0.13809999999997999</v>
      </c>
      <c r="AD7081">
        <v>-0.19550980000000001</v>
      </c>
      <c r="AE7081">
        <v>0.48331999999999897</v>
      </c>
      <c r="AF7081">
        <v>0.115585430871417</v>
      </c>
      <c r="AG7081">
        <v>-0.19550980000000001</v>
      </c>
      <c r="AH7081">
        <v>0.421034271705304</v>
      </c>
      <c r="AI7081">
        <v>114.12229335959</v>
      </c>
      <c r="AJ7081">
        <v>74.648927630644494</v>
      </c>
      <c r="AK7081">
        <v>0.478386801318961</v>
      </c>
      <c r="AL7081">
        <v>90.682937746764793</v>
      </c>
      <c r="AM7081">
        <v>87.480697720379197</v>
      </c>
      <c r="AN7081">
        <v>0.99999999785752502</v>
      </c>
    </row>
    <row r="7082" spans="1:40" x14ac:dyDescent="0.25">
      <c r="A7082" t="str">
        <f>"20190312161455061"</f>
        <v>20190312161455061</v>
      </c>
      <c r="B7082" t="str">
        <f>"1552378495053862"</f>
        <v>1552378495053862</v>
      </c>
      <c r="C7082" t="s">
        <v>40</v>
      </c>
      <c r="D7082">
        <v>5.458888</v>
      </c>
      <c r="E7082">
        <v>0.5435759</v>
      </c>
      <c r="F7082" t="s">
        <v>43</v>
      </c>
      <c r="G7082">
        <v>-186.82749999999999</v>
      </c>
      <c r="H7082">
        <v>0.91763729999999999</v>
      </c>
      <c r="I7082">
        <v>36.599429999999998</v>
      </c>
      <c r="J7082">
        <v>-186.96270000000001</v>
      </c>
      <c r="K7082">
        <v>1.1093599999999999</v>
      </c>
      <c r="L7082">
        <v>36.13843</v>
      </c>
      <c r="M7082">
        <v>1.033048E-2</v>
      </c>
      <c r="N7082">
        <v>0</v>
      </c>
      <c r="O7082">
        <v>0.99990500000000004</v>
      </c>
      <c r="P7082">
        <v>5.4077849999999997E-2</v>
      </c>
      <c r="Q7082">
        <v>-2.048697E-2</v>
      </c>
      <c r="R7082">
        <v>0.99832650000000001</v>
      </c>
      <c r="S7082">
        <v>0.51188659999999997</v>
      </c>
      <c r="T7082">
        <v>-0.70812449999999905</v>
      </c>
      <c r="U7082">
        <v>2.9623409999999999</v>
      </c>
      <c r="V7082">
        <v>4.3762559999999999E-2</v>
      </c>
      <c r="W7082">
        <v>-1.137527E-2</v>
      </c>
      <c r="X7082">
        <v>0.99897720000000001</v>
      </c>
      <c r="Y7082">
        <v>0.15554399999999999</v>
      </c>
      <c r="Z7082">
        <v>-0.22945260000000001</v>
      </c>
      <c r="AA7082">
        <v>0.96081090000000002</v>
      </c>
      <c r="AB7082">
        <v>35</v>
      </c>
      <c r="AC7082">
        <v>0.13520000000002499</v>
      </c>
      <c r="AD7082">
        <v>-0.1917227</v>
      </c>
      <c r="AE7082">
        <v>0.46099999999999802</v>
      </c>
      <c r="AF7082">
        <v>0.112511473286074</v>
      </c>
      <c r="AG7082">
        <v>-0.1917227</v>
      </c>
      <c r="AH7082">
        <v>0.39885054443359003</v>
      </c>
      <c r="AI7082">
        <v>114.82684143007999</v>
      </c>
      <c r="AJ7082">
        <v>74.246808286861096</v>
      </c>
      <c r="AK7082">
        <v>0.45661601166764199</v>
      </c>
      <c r="AL7082">
        <v>90.651769016989903</v>
      </c>
      <c r="AM7082">
        <v>87.491626580513596</v>
      </c>
      <c r="AN7082">
        <v>1.0000000022725799</v>
      </c>
    </row>
    <row r="7083" spans="1:40" x14ac:dyDescent="0.25">
      <c r="A7083" t="str">
        <f>"20190312161455084"</f>
        <v>20190312161455084</v>
      </c>
      <c r="B7083" t="str">
        <f>"1552378495073382"</f>
        <v>1552378495073382</v>
      </c>
      <c r="C7083" t="s">
        <v>40</v>
      </c>
      <c r="D7083">
        <v>5.2755510000000001</v>
      </c>
      <c r="E7083">
        <v>0.51115639999999996</v>
      </c>
      <c r="F7083" t="s">
        <v>43</v>
      </c>
      <c r="G7083">
        <v>-186.82849999999999</v>
      </c>
      <c r="H7083">
        <v>0.92377379999999998</v>
      </c>
      <c r="I7083">
        <v>36.919539999999998</v>
      </c>
      <c r="J7083">
        <v>-186.959</v>
      </c>
      <c r="K7083">
        <v>1.109361</v>
      </c>
      <c r="L7083">
        <v>36.500790000000002</v>
      </c>
      <c r="M7083">
        <v>1.0268899999999999E-2</v>
      </c>
      <c r="N7083">
        <v>0</v>
      </c>
      <c r="O7083">
        <v>0.99990559999999995</v>
      </c>
      <c r="P7083">
        <v>5.333744E-2</v>
      </c>
      <c r="Q7083">
        <v>-2.039069E-2</v>
      </c>
      <c r="R7083">
        <v>0.99836829999999999</v>
      </c>
      <c r="S7083">
        <v>0.50912479999999904</v>
      </c>
      <c r="T7083">
        <v>-0.70398619999999901</v>
      </c>
      <c r="U7083">
        <v>2.9630130000000001</v>
      </c>
      <c r="V7083">
        <v>4.308327E-2</v>
      </c>
      <c r="W7083">
        <v>-1.127264E-2</v>
      </c>
      <c r="X7083">
        <v>0.99900789999999995</v>
      </c>
      <c r="Y7083">
        <v>0.15474959999999999</v>
      </c>
      <c r="Z7083">
        <v>-0.2281657</v>
      </c>
      <c r="AA7083">
        <v>0.96124549999999997</v>
      </c>
      <c r="AB7083">
        <v>35</v>
      </c>
      <c r="AC7083">
        <v>0.130500000000012</v>
      </c>
      <c r="AD7083">
        <v>-0.18558719999999901</v>
      </c>
      <c r="AE7083">
        <v>0.41875000000000201</v>
      </c>
      <c r="AF7083">
        <v>0.107030833235687</v>
      </c>
      <c r="AG7083">
        <v>-0.18558719999999901</v>
      </c>
      <c r="AH7083">
        <v>0.35628198889392199</v>
      </c>
      <c r="AI7083">
        <v>116.51346557662001</v>
      </c>
      <c r="AJ7083">
        <v>73.279182834141594</v>
      </c>
      <c r="AK7083">
        <v>0.41573436672612801</v>
      </c>
      <c r="AL7083">
        <v>90.645888367543193</v>
      </c>
      <c r="AM7083">
        <v>87.530589199015097</v>
      </c>
      <c r="AN7083">
        <v>1.0000000124144299</v>
      </c>
    </row>
    <row r="7084" spans="1:40" x14ac:dyDescent="0.25">
      <c r="A7084" t="str">
        <f>"20190312161455106"</f>
        <v>20190312161455106</v>
      </c>
      <c r="B7084" t="str">
        <f>"1552378495093881"</f>
        <v>1552378495093881</v>
      </c>
      <c r="C7084" t="s">
        <v>40</v>
      </c>
      <c r="D7084">
        <v>5.0951750000000002</v>
      </c>
      <c r="E7084">
        <v>0.50490550000000001</v>
      </c>
      <c r="F7084" t="s">
        <v>43</v>
      </c>
      <c r="G7084">
        <v>-186.89429999999999</v>
      </c>
      <c r="H7084">
        <v>1.00164599999999</v>
      </c>
      <c r="I7084">
        <v>37.274619999999999</v>
      </c>
      <c r="J7084">
        <v>-186.9555</v>
      </c>
      <c r="K7084">
        <v>1.109356</v>
      </c>
      <c r="L7084">
        <v>36.855469999999997</v>
      </c>
      <c r="M7084">
        <v>1.020881E-2</v>
      </c>
      <c r="N7084">
        <v>0</v>
      </c>
      <c r="O7084">
        <v>0.99990619999999997</v>
      </c>
      <c r="P7084">
        <v>5.2524630000000003E-2</v>
      </c>
      <c r="Q7084">
        <v>-2.0429900000000001E-2</v>
      </c>
      <c r="R7084">
        <v>0.99841060000000004</v>
      </c>
      <c r="S7084">
        <v>0.2489471</v>
      </c>
      <c r="T7084">
        <v>-0.41524460000000002</v>
      </c>
      <c r="U7084">
        <v>2.9831240000000001</v>
      </c>
      <c r="V7084">
        <v>4.2330100000000002E-2</v>
      </c>
      <c r="W7084">
        <v>-1.130545E-2</v>
      </c>
      <c r="X7084">
        <v>0.99903969999999997</v>
      </c>
      <c r="Y7084">
        <v>7.2195380000000003E-2</v>
      </c>
      <c r="Z7084">
        <v>-0.13744389999999901</v>
      </c>
      <c r="AA7084">
        <v>0.98787499999999995</v>
      </c>
      <c r="AB7084">
        <v>36</v>
      </c>
      <c r="AC7084">
        <v>6.1200000000013598E-2</v>
      </c>
      <c r="AD7084">
        <v>-0.10771</v>
      </c>
      <c r="AE7084">
        <v>0.41914999999999403</v>
      </c>
      <c r="AF7084">
        <v>5.3461011001300497E-2</v>
      </c>
      <c r="AG7084">
        <v>-0.10771</v>
      </c>
      <c r="AH7084">
        <v>0.39426142259367303</v>
      </c>
      <c r="AI7084">
        <v>105.147852480742</v>
      </c>
      <c r="AJ7084">
        <v>82.277912336182197</v>
      </c>
      <c r="AK7084">
        <v>0.41219120944395199</v>
      </c>
      <c r="AL7084">
        <v>90.647768378716094</v>
      </c>
      <c r="AM7084">
        <v>87.573783855680205</v>
      </c>
      <c r="AN7084">
        <v>0.99999998637090104</v>
      </c>
    </row>
    <row r="7085" spans="1:40" x14ac:dyDescent="0.25">
      <c r="A7085" t="str">
        <f>"20190312161455129"</f>
        <v>20190312161455129</v>
      </c>
      <c r="B7085" t="str">
        <f>"1552378495124134"</f>
        <v>1552378495124134</v>
      </c>
      <c r="C7085" t="s">
        <v>40</v>
      </c>
      <c r="D7085">
        <v>5.247662</v>
      </c>
      <c r="E7085">
        <v>0.50122829999999996</v>
      </c>
      <c r="F7085" t="s">
        <v>43</v>
      </c>
      <c r="G7085">
        <v>-186.9059</v>
      </c>
      <c r="H7085">
        <v>1.0296449999999999</v>
      </c>
      <c r="I7085">
        <v>37.607120000000002</v>
      </c>
      <c r="J7085">
        <v>-186.95189999999999</v>
      </c>
      <c r="K7085">
        <v>1.109359</v>
      </c>
      <c r="L7085">
        <v>37.207180000000001</v>
      </c>
      <c r="M7085">
        <v>1.0149099999999999E-2</v>
      </c>
      <c r="N7085">
        <v>0</v>
      </c>
      <c r="O7085">
        <v>0.99990679999999998</v>
      </c>
      <c r="P7085">
        <v>5.2316880000000003E-2</v>
      </c>
      <c r="Q7085">
        <v>-2.0439390000000002E-2</v>
      </c>
      <c r="R7085">
        <v>0.99842140000000001</v>
      </c>
      <c r="S7085">
        <v>0.19671630000000001</v>
      </c>
      <c r="T7085">
        <v>-0.31686880000000001</v>
      </c>
      <c r="U7085">
        <v>2.987946</v>
      </c>
      <c r="V7085">
        <v>4.2181910000000003E-2</v>
      </c>
      <c r="W7085">
        <v>-1.130862E-2</v>
      </c>
      <c r="X7085">
        <v>0.99904599999999999</v>
      </c>
      <c r="Y7085">
        <v>5.5198530000000003E-2</v>
      </c>
      <c r="Z7085">
        <v>-0.10525660000000001</v>
      </c>
      <c r="AA7085">
        <v>0.99291200000000002</v>
      </c>
      <c r="AB7085">
        <v>36</v>
      </c>
      <c r="AC7085">
        <v>4.59999999999922E-2</v>
      </c>
      <c r="AD7085">
        <v>-7.9713999999999799E-2</v>
      </c>
      <c r="AE7085">
        <v>0.39994000000000002</v>
      </c>
      <c r="AF7085">
        <v>4.03561562519094E-2</v>
      </c>
      <c r="AG7085">
        <v>-7.9713999999999799E-2</v>
      </c>
      <c r="AH7085">
        <v>0.38528030415063702</v>
      </c>
      <c r="AI7085">
        <v>101.627621851293</v>
      </c>
      <c r="AJ7085">
        <v>84.020362829894907</v>
      </c>
      <c r="AK7085">
        <v>0.39550455611767099</v>
      </c>
      <c r="AL7085">
        <v>90.647949973956202</v>
      </c>
      <c r="AM7085">
        <v>87.582282729539898</v>
      </c>
      <c r="AN7085">
        <v>1.00000005426677</v>
      </c>
    </row>
    <row r="7086" spans="1:40" x14ac:dyDescent="0.25">
      <c r="A7086" t="str">
        <f>"20190312161455151"</f>
        <v>20190312161455151</v>
      </c>
      <c r="B7086" t="str">
        <f>"1552378495143654"</f>
        <v>1552378495143654</v>
      </c>
      <c r="C7086" t="s">
        <v>40</v>
      </c>
      <c r="D7086">
        <v>5.3644100000000003</v>
      </c>
      <c r="E7086">
        <v>0.49968869999999999</v>
      </c>
      <c r="F7086" t="s">
        <v>43</v>
      </c>
      <c r="G7086">
        <v>-186.8938</v>
      </c>
      <c r="H7086">
        <v>1.033666</v>
      </c>
      <c r="I7086">
        <v>38.247489999999999</v>
      </c>
      <c r="J7086">
        <v>-186.9485</v>
      </c>
      <c r="K7086">
        <v>1.109362</v>
      </c>
      <c r="L7086">
        <v>37.555149999999998</v>
      </c>
      <c r="M7086">
        <v>1.0089799999999999E-2</v>
      </c>
      <c r="N7086">
        <v>0</v>
      </c>
      <c r="O7086">
        <v>0.99990730000000005</v>
      </c>
      <c r="P7086">
        <v>5.1864229999999997E-2</v>
      </c>
      <c r="Q7086">
        <v>-1.9982119999999999E-2</v>
      </c>
      <c r="R7086">
        <v>0.99845419999999996</v>
      </c>
      <c r="S7086">
        <v>0.166687</v>
      </c>
      <c r="T7086">
        <v>-0.21767400000000001</v>
      </c>
      <c r="U7086">
        <v>2.9915470000000002</v>
      </c>
      <c r="V7086">
        <v>4.1788140000000001E-2</v>
      </c>
      <c r="W7086">
        <v>-1.084478E-2</v>
      </c>
      <c r="X7086">
        <v>0.9990677</v>
      </c>
      <c r="Y7086">
        <v>4.5409339999999999E-2</v>
      </c>
      <c r="Z7086">
        <v>-7.2472330000000001E-2</v>
      </c>
      <c r="AA7086">
        <v>0.99633620000000001</v>
      </c>
      <c r="AB7086">
        <v>36</v>
      </c>
      <c r="AC7086">
        <v>5.46999999999968E-2</v>
      </c>
      <c r="AD7086">
        <v>-7.5696000000000194E-2</v>
      </c>
      <c r="AE7086">
        <v>0.69234000000000095</v>
      </c>
      <c r="AF7086">
        <v>4.7151210276768198E-2</v>
      </c>
      <c r="AG7086">
        <v>-7.5696000000000194E-2</v>
      </c>
      <c r="AH7086">
        <v>0.68472241120175903</v>
      </c>
      <c r="AI7086">
        <v>96.293643000273704</v>
      </c>
      <c r="AJ7086">
        <v>86.060728863975797</v>
      </c>
      <c r="AK7086">
        <v>0.69050554049081603</v>
      </c>
      <c r="AL7086">
        <v>90.621372264525306</v>
      </c>
      <c r="AM7086">
        <v>87.604877782048206</v>
      </c>
      <c r="AN7086">
        <v>1.0000000635405899</v>
      </c>
    </row>
    <row r="7087" spans="1:40" x14ac:dyDescent="0.25">
      <c r="A7087" t="str">
        <f>"20190312161455174"</f>
        <v>20190312161455174</v>
      </c>
      <c r="B7087" t="str">
        <f>"1552378495164150"</f>
        <v>1552378495164150</v>
      </c>
      <c r="C7087" t="s">
        <v>40</v>
      </c>
      <c r="D7087">
        <v>5.1950890000000003</v>
      </c>
      <c r="E7087">
        <v>0.50051619999999997</v>
      </c>
      <c r="F7087" t="s">
        <v>43</v>
      </c>
      <c r="G7087">
        <v>-186.89619999999999</v>
      </c>
      <c r="H7087">
        <v>1.044065</v>
      </c>
      <c r="I7087">
        <v>38.572580000000002</v>
      </c>
      <c r="J7087">
        <v>-186.94460000000001</v>
      </c>
      <c r="K7087">
        <v>1.109364</v>
      </c>
      <c r="L7087">
        <v>37.943080000000002</v>
      </c>
      <c r="M7087">
        <v>1.0023880000000001E-2</v>
      </c>
      <c r="N7087">
        <v>0</v>
      </c>
      <c r="O7087">
        <v>0.99990789999999996</v>
      </c>
      <c r="P7087">
        <v>5.1229629999999998E-2</v>
      </c>
      <c r="Q7087">
        <v>-1.949536E-2</v>
      </c>
      <c r="R7087">
        <v>0.99849659999999996</v>
      </c>
      <c r="S7087">
        <v>0.1532135</v>
      </c>
      <c r="T7087">
        <v>-0.19208990000000001</v>
      </c>
      <c r="U7087">
        <v>2.9928279999999998</v>
      </c>
      <c r="V7087">
        <v>4.1218959999999999E-2</v>
      </c>
      <c r="W7087">
        <v>-1.034817E-2</v>
      </c>
      <c r="X7087">
        <v>0.9990966</v>
      </c>
      <c r="Y7087">
        <v>4.1008099999999999E-2</v>
      </c>
      <c r="Z7087">
        <v>-6.3978140000000003E-2</v>
      </c>
      <c r="AA7087">
        <v>0.99710840000000001</v>
      </c>
      <c r="AB7087">
        <v>36</v>
      </c>
      <c r="AC7087">
        <v>4.8400000000015098E-2</v>
      </c>
      <c r="AD7087">
        <v>-6.5298999999999996E-2</v>
      </c>
      <c r="AE7087">
        <v>0.62949999999999995</v>
      </c>
      <c r="AF7087">
        <v>4.1641829114954197E-2</v>
      </c>
      <c r="AG7087">
        <v>-6.5298999999999996E-2</v>
      </c>
      <c r="AH7087">
        <v>0.62328625692127704</v>
      </c>
      <c r="AI7087">
        <v>95.967605379286297</v>
      </c>
      <c r="AJ7087">
        <v>86.177742387725104</v>
      </c>
      <c r="AK7087">
        <v>0.62807942125178295</v>
      </c>
      <c r="AL7087">
        <v>90.592917018394601</v>
      </c>
      <c r="AM7087">
        <v>87.637531851424299</v>
      </c>
      <c r="AN7087">
        <v>1.00000005170869</v>
      </c>
    </row>
    <row r="7088" spans="1:40" x14ac:dyDescent="0.25">
      <c r="A7088" t="str">
        <f>"20190312161455198"</f>
        <v>20190312161455198</v>
      </c>
      <c r="B7088" t="str">
        <f>"1552378495193432"</f>
        <v>1552378495193432</v>
      </c>
      <c r="C7088" t="s">
        <v>40</v>
      </c>
      <c r="D7088">
        <v>5.3289269999999904</v>
      </c>
      <c r="E7088">
        <v>0.49959989999999999</v>
      </c>
      <c r="F7088" t="s">
        <v>43</v>
      </c>
      <c r="G7088">
        <v>-186.89410000000001</v>
      </c>
      <c r="H7088">
        <v>1.049221</v>
      </c>
      <c r="I7088">
        <v>38.897329999999997</v>
      </c>
      <c r="J7088">
        <v>-186.9409</v>
      </c>
      <c r="K7088">
        <v>1.1093679999999999</v>
      </c>
      <c r="L7088">
        <v>38.312840000000001</v>
      </c>
      <c r="M7088">
        <v>9.9611690000000006E-3</v>
      </c>
      <c r="N7088">
        <v>0</v>
      </c>
      <c r="O7088">
        <v>0.99990829999999997</v>
      </c>
      <c r="P7088">
        <v>5.0774060000000003E-2</v>
      </c>
      <c r="Q7088">
        <v>-1.9137620000000001E-2</v>
      </c>
      <c r="R7088">
        <v>0.99852680000000005</v>
      </c>
      <c r="S7088">
        <v>0.1580811</v>
      </c>
      <c r="T7088">
        <v>-0.18862209999999999</v>
      </c>
      <c r="U7088">
        <v>2.9927060000000001</v>
      </c>
      <c r="V7088">
        <v>4.0825720000000003E-2</v>
      </c>
      <c r="W7088">
        <v>-9.9715069999999992E-3</v>
      </c>
      <c r="X7088">
        <v>0.99911649999999996</v>
      </c>
      <c r="Y7088">
        <v>4.2694030000000001E-2</v>
      </c>
      <c r="Z7088">
        <v>-6.2825500000000006E-2</v>
      </c>
      <c r="AA7088">
        <v>0.99711090000000002</v>
      </c>
      <c r="AB7088">
        <v>36</v>
      </c>
      <c r="AC7088">
        <v>4.6799999999990398E-2</v>
      </c>
      <c r="AD7088">
        <v>-6.0147000000000103E-2</v>
      </c>
      <c r="AE7088">
        <v>0.58448999999999496</v>
      </c>
      <c r="AF7088">
        <v>4.05485770319923E-2</v>
      </c>
      <c r="AG7088">
        <v>-6.0147000000000103E-2</v>
      </c>
      <c r="AH7088">
        <v>0.57883668130339005</v>
      </c>
      <c r="AI7088">
        <v>95.917923161687696</v>
      </c>
      <c r="AJ7088">
        <v>85.992871098782999</v>
      </c>
      <c r="AK7088">
        <v>0.58336416784941603</v>
      </c>
      <c r="AL7088">
        <v>90.571334748827297</v>
      </c>
      <c r="AM7088">
        <v>87.660091816005107</v>
      </c>
      <c r="AN7088">
        <v>0.99999997546880903</v>
      </c>
    </row>
    <row r="7089" spans="1:40" x14ac:dyDescent="0.25">
      <c r="A7089" t="str">
        <f>"20190312161455240"</f>
        <v>20190312161455240</v>
      </c>
      <c r="B7089" t="str">
        <f>"1552378495233446"</f>
        <v>1552378495233446</v>
      </c>
      <c r="C7089" t="s">
        <v>40</v>
      </c>
      <c r="D7089">
        <v>5.187087</v>
      </c>
      <c r="E7089">
        <v>0.49876520000000002</v>
      </c>
      <c r="F7089" t="s">
        <v>42</v>
      </c>
      <c r="G7089">
        <v>-185.8938</v>
      </c>
      <c r="H7089" s="1">
        <v>-4.8805019999999997E-6</v>
      </c>
      <c r="I7089">
        <v>59.311500000000002</v>
      </c>
      <c r="J7089">
        <v>-186.9342</v>
      </c>
      <c r="K7089">
        <v>1.109381</v>
      </c>
      <c r="L7089">
        <v>38.997500000000002</v>
      </c>
      <c r="M7089">
        <v>9.8453829999999992E-3</v>
      </c>
      <c r="N7089">
        <v>0</v>
      </c>
      <c r="O7089">
        <v>0.99990889999999999</v>
      </c>
      <c r="P7089">
        <v>5.0727990000000001E-2</v>
      </c>
      <c r="Q7089">
        <v>-1.866408E-2</v>
      </c>
      <c r="R7089">
        <v>0.99853809999999998</v>
      </c>
      <c r="S7089">
        <v>0.14929200000000001</v>
      </c>
      <c r="T7089">
        <v>-0.15816469999999999</v>
      </c>
      <c r="U7089">
        <v>2.993805</v>
      </c>
      <c r="V7089">
        <v>4.0895180000000003E-2</v>
      </c>
      <c r="W7089">
        <v>-9.4386209999999995E-3</v>
      </c>
      <c r="X7089">
        <v>0.99911890000000003</v>
      </c>
      <c r="Y7089">
        <v>3.9899879999999999E-2</v>
      </c>
      <c r="Z7089">
        <v>-5.2699629999999997E-2</v>
      </c>
      <c r="AA7089">
        <v>0.99781299999999995</v>
      </c>
      <c r="AB7089">
        <v>36</v>
      </c>
      <c r="AC7089">
        <v>1.0404</v>
      </c>
      <c r="AD7089">
        <v>-1.109385880502</v>
      </c>
      <c r="AE7089">
        <v>20.314</v>
      </c>
      <c r="AF7089">
        <v>0.83784961990081197</v>
      </c>
      <c r="AG7089">
        <v>-1.109385880502</v>
      </c>
      <c r="AH7089">
        <v>20.262983535677499</v>
      </c>
      <c r="AI7089">
        <v>93.131109819676894</v>
      </c>
      <c r="AJ7089">
        <v>87.632238288141394</v>
      </c>
      <c r="AK7089">
        <v>20.3106186706502</v>
      </c>
      <c r="AL7089">
        <v>90.540801156164704</v>
      </c>
      <c r="AM7089">
        <v>87.656120806974997</v>
      </c>
      <c r="AN7089">
        <v>1.0000000398254101</v>
      </c>
    </row>
    <row r="7090" spans="1:40" x14ac:dyDescent="0.25">
      <c r="A7090" t="str">
        <f>"20190312161455262"</f>
        <v>20190312161455262</v>
      </c>
      <c r="B7090" t="str">
        <f>"1552378495253942"</f>
        <v>1552378495253942</v>
      </c>
      <c r="C7090" t="s">
        <v>40</v>
      </c>
      <c r="D7090">
        <v>5.1113269999999904</v>
      </c>
      <c r="E7090">
        <v>0.49872090000000002</v>
      </c>
      <c r="F7090" t="s">
        <v>42</v>
      </c>
      <c r="G7090">
        <v>-185.6848</v>
      </c>
      <c r="H7090" s="1">
        <v>-3.1807389999999999E-6</v>
      </c>
      <c r="I7090">
        <v>65.262900000000002</v>
      </c>
      <c r="J7090">
        <v>-186.9307</v>
      </c>
      <c r="K7090">
        <v>1.1093919999999999</v>
      </c>
      <c r="L7090">
        <v>39.360570000000003</v>
      </c>
      <c r="M7090">
        <v>9.7838739999999997E-3</v>
      </c>
      <c r="N7090">
        <v>0</v>
      </c>
      <c r="O7090">
        <v>0.9999091</v>
      </c>
      <c r="P7090">
        <v>5.0727800000000003E-2</v>
      </c>
      <c r="Q7090">
        <v>-1.8534539999999999E-2</v>
      </c>
      <c r="R7090">
        <v>0.99854050000000005</v>
      </c>
      <c r="S7090">
        <v>0.1424561</v>
      </c>
      <c r="T7090">
        <v>-0.12649199999999999</v>
      </c>
      <c r="U7090">
        <v>2.9947810000000001</v>
      </c>
      <c r="V7090">
        <v>4.0956380000000001E-2</v>
      </c>
      <c r="W7090">
        <v>-9.2625390000000002E-3</v>
      </c>
      <c r="X7090">
        <v>0.99911799999999995</v>
      </c>
      <c r="Y7090">
        <v>3.7696609999999998E-2</v>
      </c>
      <c r="Z7090">
        <v>-4.2158029999999999E-2</v>
      </c>
      <c r="AA7090">
        <v>0.99839960000000005</v>
      </c>
      <c r="AB7090">
        <v>36</v>
      </c>
      <c r="AC7090">
        <v>1.2459</v>
      </c>
      <c r="AD7090">
        <v>-1.1093951807389999</v>
      </c>
      <c r="AE7090">
        <v>25.902329999999999</v>
      </c>
      <c r="AF7090">
        <v>0.99059137258476804</v>
      </c>
      <c r="AG7090">
        <v>-1.1093951807389999</v>
      </c>
      <c r="AH7090">
        <v>25.865941325802201</v>
      </c>
      <c r="AI7090">
        <v>92.454124922055399</v>
      </c>
      <c r="AJ7090">
        <v>87.806807772525104</v>
      </c>
      <c r="AK7090">
        <v>25.9086655311371</v>
      </c>
      <c r="AL7090">
        <v>90.530711981798802</v>
      </c>
      <c r="AM7090">
        <v>87.652614979618207</v>
      </c>
      <c r="AN7090">
        <v>0.99999999880771495</v>
      </c>
    </row>
    <row r="7091" spans="1:40" x14ac:dyDescent="0.25">
      <c r="A7091" t="str">
        <f>"20190312161455285"</f>
        <v>20190312161455285</v>
      </c>
      <c r="B7091" t="str">
        <f>"1552378495273462"</f>
        <v>1552378495273462</v>
      </c>
      <c r="C7091" t="s">
        <v>40</v>
      </c>
      <c r="D7091">
        <v>5.1144109999999996</v>
      </c>
      <c r="E7091">
        <v>0.49860900000000002</v>
      </c>
      <c r="F7091" t="s">
        <v>42</v>
      </c>
      <c r="G7091">
        <v>-185.62180000000001</v>
      </c>
      <c r="H7091" s="1">
        <v>-3.9205669999999999E-6</v>
      </c>
      <c r="I7091">
        <v>66.961399999999998</v>
      </c>
      <c r="J7091">
        <v>-186.9272</v>
      </c>
      <c r="K7091">
        <v>1.1094010000000001</v>
      </c>
      <c r="L7091">
        <v>39.72296</v>
      </c>
      <c r="M7091">
        <v>9.7225539999999996E-3</v>
      </c>
      <c r="N7091">
        <v>0</v>
      </c>
      <c r="O7091">
        <v>0.9999091</v>
      </c>
      <c r="P7091">
        <v>5.0954050000000001E-2</v>
      </c>
      <c r="Q7091">
        <v>-1.876367E-2</v>
      </c>
      <c r="R7091">
        <v>0.99852470000000004</v>
      </c>
      <c r="S7091">
        <v>0.14202879999999901</v>
      </c>
      <c r="T7091">
        <v>-0.12037929999999999</v>
      </c>
      <c r="U7091">
        <v>2.9949340000000002</v>
      </c>
      <c r="V7091">
        <v>4.1244049999999997E-2</v>
      </c>
      <c r="W7091">
        <v>-9.4254820000000007E-3</v>
      </c>
      <c r="X7091">
        <v>0.99910460000000001</v>
      </c>
      <c r="Y7091">
        <v>3.7617329999999997E-2</v>
      </c>
      <c r="Z7091">
        <v>-4.0122329999999998E-2</v>
      </c>
      <c r="AA7091">
        <v>0.9984864</v>
      </c>
      <c r="AB7091">
        <v>36</v>
      </c>
      <c r="AC7091">
        <v>1.3053999999999899</v>
      </c>
      <c r="AD7091">
        <v>-1.109404920567</v>
      </c>
      <c r="AE7091">
        <v>27.238440000000001</v>
      </c>
      <c r="AF7091">
        <v>1.03878026931207</v>
      </c>
      <c r="AG7091">
        <v>-1.109404920567</v>
      </c>
      <c r="AH7091">
        <v>27.204818643982101</v>
      </c>
      <c r="AI7091">
        <v>92.333513392683201</v>
      </c>
      <c r="AJ7091">
        <v>87.813298230904294</v>
      </c>
      <c r="AK7091">
        <v>27.247238413785102</v>
      </c>
      <c r="AL7091">
        <v>90.5400483584299</v>
      </c>
      <c r="AM7091">
        <v>87.636114353529905</v>
      </c>
      <c r="AN7091">
        <v>0.99999995655624596</v>
      </c>
    </row>
    <row r="7092" spans="1:40" x14ac:dyDescent="0.25">
      <c r="A7092" t="str">
        <f>"20190312161455306"</f>
        <v>20190312161455306</v>
      </c>
      <c r="B7092" t="str">
        <f>"1552378495293959"</f>
        <v>1552378495293959</v>
      </c>
      <c r="C7092" t="s">
        <v>40</v>
      </c>
      <c r="D7092">
        <v>5.0066649999999999</v>
      </c>
      <c r="E7092">
        <v>0.49840190000000001</v>
      </c>
      <c r="F7092" t="s">
        <v>42</v>
      </c>
      <c r="G7092">
        <v>-185.51140000000001</v>
      </c>
      <c r="H7092" s="1">
        <v>-1.1853530000000001E-6</v>
      </c>
      <c r="I7092">
        <v>69.621769999999998</v>
      </c>
      <c r="J7092">
        <v>-186.9239</v>
      </c>
      <c r="K7092">
        <v>1.109413</v>
      </c>
      <c r="L7092">
        <v>40.068510000000003</v>
      </c>
      <c r="M7092">
        <v>9.6641260000000003E-3</v>
      </c>
      <c r="N7092">
        <v>0</v>
      </c>
      <c r="O7092">
        <v>0.99990880000000004</v>
      </c>
      <c r="P7092">
        <v>5.1294989999999999E-2</v>
      </c>
      <c r="Q7092">
        <v>-1.894086E-2</v>
      </c>
      <c r="R7092">
        <v>0.9985039</v>
      </c>
      <c r="S7092">
        <v>0.1418304</v>
      </c>
      <c r="T7092">
        <v>-0.1111345</v>
      </c>
      <c r="U7092">
        <v>2.995117</v>
      </c>
      <c r="V7092">
        <v>4.1643550000000001E-2</v>
      </c>
      <c r="W7092">
        <v>-9.5137280000000008E-3</v>
      </c>
      <c r="X7092">
        <v>0.99908719999999995</v>
      </c>
      <c r="Y7092">
        <v>3.7612479999999997E-2</v>
      </c>
      <c r="Z7092">
        <v>-3.704329E-2</v>
      </c>
      <c r="AA7092">
        <v>0.99860550000000003</v>
      </c>
      <c r="AB7092">
        <v>36</v>
      </c>
      <c r="AC7092">
        <v>1.4124999999999901</v>
      </c>
      <c r="AD7092">
        <v>-1.109414185353</v>
      </c>
      <c r="AE7092">
        <v>29.553259999999899</v>
      </c>
      <c r="AF7092">
        <v>1.1252328153139299</v>
      </c>
      <c r="AG7092">
        <v>-1.109414185353</v>
      </c>
      <c r="AH7092">
        <v>29.524020155160901</v>
      </c>
      <c r="AI7092">
        <v>92.150412004995701</v>
      </c>
      <c r="AJ7092">
        <v>87.817373714552005</v>
      </c>
      <c r="AK7092">
        <v>29.566276648331499</v>
      </c>
      <c r="AL7092">
        <v>90.545104704263906</v>
      </c>
      <c r="AM7092">
        <v>87.613202009818906</v>
      </c>
      <c r="AN7092">
        <v>0.99999996474044905</v>
      </c>
    </row>
    <row r="7093" spans="1:40" x14ac:dyDescent="0.25">
      <c r="A7093" t="str">
        <f>"20190312161455329"</f>
        <v>20190312161455329</v>
      </c>
      <c r="B7093" t="str">
        <f>"1552378495323239"</f>
        <v>1552378495323239</v>
      </c>
      <c r="C7093" t="s">
        <v>40</v>
      </c>
      <c r="D7093">
        <v>4.9441499999999996</v>
      </c>
      <c r="E7093">
        <v>0.49810199999999999</v>
      </c>
      <c r="F7093" t="s">
        <v>42</v>
      </c>
      <c r="G7093">
        <v>-185.39</v>
      </c>
      <c r="H7093" s="1">
        <v>-2.23579E-6</v>
      </c>
      <c r="I7093">
        <v>72.613619999999997</v>
      </c>
      <c r="J7093">
        <v>-186.92060000000001</v>
      </c>
      <c r="K7093">
        <v>1.109432</v>
      </c>
      <c r="L7093">
        <v>40.417450000000002</v>
      </c>
      <c r="M7093">
        <v>9.6049710000000003E-3</v>
      </c>
      <c r="N7093">
        <v>0</v>
      </c>
      <c r="O7093">
        <v>0.99990829999999997</v>
      </c>
      <c r="P7093">
        <v>5.167948E-2</v>
      </c>
      <c r="Q7093">
        <v>-1.9297870000000002E-2</v>
      </c>
      <c r="R7093">
        <v>0.99847730000000001</v>
      </c>
      <c r="S7093">
        <v>0.1411743</v>
      </c>
      <c r="T7093">
        <v>-0.1021065</v>
      </c>
      <c r="U7093">
        <v>2.9953310000000002</v>
      </c>
      <c r="V7093">
        <v>4.2087409999999999E-2</v>
      </c>
      <c r="W7093">
        <v>-9.7561729999999999E-3</v>
      </c>
      <c r="X7093">
        <v>0.99906629999999996</v>
      </c>
      <c r="Y7093">
        <v>3.7454990000000001E-2</v>
      </c>
      <c r="Z7093">
        <v>-3.4035580000000003E-2</v>
      </c>
      <c r="AA7093">
        <v>0.99871860000000001</v>
      </c>
      <c r="AB7093">
        <v>36</v>
      </c>
      <c r="AC7093">
        <v>1.5306000000000199</v>
      </c>
      <c r="AD7093">
        <v>-1.10943423579</v>
      </c>
      <c r="AE7093">
        <v>32.196169999999903</v>
      </c>
      <c r="AF7093">
        <v>1.2198268685548901</v>
      </c>
      <c r="AG7093">
        <v>-1.10943423579</v>
      </c>
      <c r="AH7093">
        <v>32.171272907608497</v>
      </c>
      <c r="AI7093">
        <v>91.973659209077198</v>
      </c>
      <c r="AJ7093">
        <v>87.828576228579095</v>
      </c>
      <c r="AK7093">
        <v>32.213500623319597</v>
      </c>
      <c r="AL7093">
        <v>90.558996403818</v>
      </c>
      <c r="AM7093">
        <v>87.587741685837699</v>
      </c>
      <c r="AN7093">
        <v>1.0000000023939</v>
      </c>
    </row>
    <row r="7094" spans="1:40" x14ac:dyDescent="0.25">
      <c r="A7094" t="str">
        <f>"20190312161455351"</f>
        <v>20190312161455351</v>
      </c>
      <c r="B7094" t="str">
        <f>"1552378495343734"</f>
        <v>1552378495343734</v>
      </c>
      <c r="C7094" t="s">
        <v>40</v>
      </c>
      <c r="D7094">
        <v>4.902406</v>
      </c>
      <c r="E7094">
        <v>0.49796230000000002</v>
      </c>
      <c r="F7094" t="s">
        <v>42</v>
      </c>
      <c r="G7094">
        <v>-185.21090000000001</v>
      </c>
      <c r="H7094" s="1">
        <v>-4.0255349999999997E-6</v>
      </c>
      <c r="I7094">
        <v>77.036159999999995</v>
      </c>
      <c r="J7094">
        <v>-186.9171</v>
      </c>
      <c r="K7094">
        <v>1.1094550000000001</v>
      </c>
      <c r="L7094">
        <v>40.78622</v>
      </c>
      <c r="M7094">
        <v>9.5428400000000004E-3</v>
      </c>
      <c r="N7094">
        <v>0</v>
      </c>
      <c r="O7094">
        <v>0.99990749999999995</v>
      </c>
      <c r="P7094">
        <v>5.2015640000000002E-2</v>
      </c>
      <c r="Q7094">
        <v>-1.9659780000000002E-2</v>
      </c>
      <c r="R7094">
        <v>0.99845269999999997</v>
      </c>
      <c r="S7094">
        <v>0.13986209999999999</v>
      </c>
      <c r="T7094">
        <v>-9.0756890000000007E-2</v>
      </c>
      <c r="U7094">
        <v>2.9955750000000001</v>
      </c>
      <c r="V7094">
        <v>4.2485870000000002E-2</v>
      </c>
      <c r="W7094">
        <v>-9.9706169999999993E-3</v>
      </c>
      <c r="X7094">
        <v>0.99904729999999997</v>
      </c>
      <c r="Y7094">
        <v>3.7082370000000003E-2</v>
      </c>
      <c r="Z7094">
        <v>-3.025415E-2</v>
      </c>
      <c r="AA7094">
        <v>0.99885420000000003</v>
      </c>
      <c r="AB7094">
        <v>36</v>
      </c>
      <c r="AC7094">
        <v>1.7061999999999899</v>
      </c>
      <c r="AD7094">
        <v>-1.1094590255350001</v>
      </c>
      <c r="AE7094">
        <v>36.249940000000002</v>
      </c>
      <c r="AF7094">
        <v>1.3589085806860799</v>
      </c>
      <c r="AG7094">
        <v>-1.1094590255350001</v>
      </c>
      <c r="AH7094">
        <v>36.230709133572901</v>
      </c>
      <c r="AI7094">
        <v>91.752735163012403</v>
      </c>
      <c r="AJ7094">
        <v>87.852008737607804</v>
      </c>
      <c r="AK7094">
        <v>36.273155586212297</v>
      </c>
      <c r="AL7094">
        <v>90.571283747604696</v>
      </c>
      <c r="AM7094">
        <v>87.564884883969995</v>
      </c>
      <c r="AN7094">
        <v>0.99999998499515297</v>
      </c>
    </row>
    <row r="7095" spans="1:40" x14ac:dyDescent="0.25">
      <c r="A7095" t="str">
        <f>"20190312161455373"</f>
        <v>20190312161455373</v>
      </c>
      <c r="B7095" t="str">
        <f>"1552378495363258"</f>
        <v>1552378495363258</v>
      </c>
      <c r="C7095" t="s">
        <v>40</v>
      </c>
      <c r="D7095">
        <v>4.9109249999999998</v>
      </c>
      <c r="E7095">
        <v>0.49786469999999999</v>
      </c>
      <c r="F7095" t="s">
        <v>42</v>
      </c>
      <c r="G7095">
        <v>-185.0795</v>
      </c>
      <c r="H7095" s="1">
        <v>-1.481742E-6</v>
      </c>
      <c r="I7095">
        <v>80.155010000000004</v>
      </c>
      <c r="J7095">
        <v>-186.91370000000001</v>
      </c>
      <c r="K7095">
        <v>1.1094790000000001</v>
      </c>
      <c r="L7095">
        <v>41.1539</v>
      </c>
      <c r="M7095">
        <v>9.4811689999999994E-3</v>
      </c>
      <c r="N7095">
        <v>0</v>
      </c>
      <c r="O7095">
        <v>0.99990650000000003</v>
      </c>
      <c r="P7095">
        <v>5.2106449999999999E-2</v>
      </c>
      <c r="Q7095">
        <v>-1.9731720000000001E-2</v>
      </c>
      <c r="R7095">
        <v>0.99844659999999996</v>
      </c>
      <c r="S7095">
        <v>0.1398315</v>
      </c>
      <c r="T7095">
        <v>-8.4422109999999995E-2</v>
      </c>
      <c r="U7095">
        <v>2.9956969999999998</v>
      </c>
      <c r="V7095">
        <v>4.2638330000000002E-2</v>
      </c>
      <c r="W7095">
        <v>-9.8815220000000002E-3</v>
      </c>
      <c r="X7095">
        <v>0.99904170000000003</v>
      </c>
      <c r="Y7095">
        <v>3.7134819999999999E-2</v>
      </c>
      <c r="Z7095">
        <v>-2.8143020000000001E-2</v>
      </c>
      <c r="AA7095">
        <v>0.99891390000000002</v>
      </c>
      <c r="AB7095">
        <v>36</v>
      </c>
      <c r="AC7095">
        <v>1.8342000000000001</v>
      </c>
      <c r="AD7095">
        <v>-1.1094804817420001</v>
      </c>
      <c r="AE7095">
        <v>39.001109999999997</v>
      </c>
      <c r="AF7095">
        <v>1.46314203892232</v>
      </c>
      <c r="AG7095">
        <v>-1.1094804817420001</v>
      </c>
      <c r="AH7095">
        <v>38.985268641051697</v>
      </c>
      <c r="AI7095">
        <v>91.6289924796354</v>
      </c>
      <c r="AJ7095">
        <v>87.850661560499702</v>
      </c>
      <c r="AK7095">
        <v>39.028488346083797</v>
      </c>
      <c r="AL7095">
        <v>90.566178722888694</v>
      </c>
      <c r="AM7095">
        <v>87.556143398200504</v>
      </c>
      <c r="AN7095">
        <v>0.99999999500055703</v>
      </c>
    </row>
    <row r="7096" spans="1:40" x14ac:dyDescent="0.25">
      <c r="A7096" t="str">
        <f>"20190312161455398"</f>
        <v>20190312161455398</v>
      </c>
      <c r="B7096" t="str">
        <f>"1552378495393510"</f>
        <v>1552378495393510</v>
      </c>
      <c r="C7096" t="s">
        <v>40</v>
      </c>
      <c r="D7096">
        <v>4.8301639999999999</v>
      </c>
      <c r="E7096">
        <v>0.49782850000000001</v>
      </c>
      <c r="F7096" t="s">
        <v>42</v>
      </c>
      <c r="G7096">
        <v>-184.9057</v>
      </c>
      <c r="H7096" s="1">
        <v>-2.9596410000000001E-6</v>
      </c>
      <c r="I7096">
        <v>84.362030000000004</v>
      </c>
      <c r="J7096">
        <v>-186.91</v>
      </c>
      <c r="K7096">
        <v>1.109513</v>
      </c>
      <c r="L7096">
        <v>41.539279999999998</v>
      </c>
      <c r="M7096">
        <v>9.4148600000000006E-3</v>
      </c>
      <c r="N7096">
        <v>0</v>
      </c>
      <c r="O7096">
        <v>0.99990500000000004</v>
      </c>
      <c r="P7096">
        <v>5.2199559999999999E-2</v>
      </c>
      <c r="Q7096">
        <v>-2.0469890000000001E-2</v>
      </c>
      <c r="R7096">
        <v>0.99842690000000001</v>
      </c>
      <c r="S7096">
        <v>0.13922119999999999</v>
      </c>
      <c r="T7096">
        <v>-7.692707E-2</v>
      </c>
      <c r="U7096">
        <v>2.9958800000000001</v>
      </c>
      <c r="V7096">
        <v>4.2797950000000001E-2</v>
      </c>
      <c r="W7096">
        <v>-1.0413779999999999E-2</v>
      </c>
      <c r="X7096">
        <v>0.99902950000000001</v>
      </c>
      <c r="Y7096">
        <v>3.6998280000000001E-2</v>
      </c>
      <c r="Z7096">
        <v>-2.5644839999999999E-2</v>
      </c>
      <c r="AA7096">
        <v>0.99898620000000005</v>
      </c>
      <c r="AB7096">
        <v>36</v>
      </c>
      <c r="AC7096">
        <v>2.0043000000000002</v>
      </c>
      <c r="AD7096">
        <v>-1.109515959641</v>
      </c>
      <c r="AE7096">
        <v>42.822749999999999</v>
      </c>
      <c r="AF7096">
        <v>1.5999488290608399</v>
      </c>
      <c r="AG7096">
        <v>-1.109515959641</v>
      </c>
      <c r="AH7096">
        <v>42.811046705390702</v>
      </c>
      <c r="AI7096">
        <v>91.483543187114805</v>
      </c>
      <c r="AJ7096">
        <v>87.859718933798106</v>
      </c>
      <c r="AK7096">
        <v>42.855298178071898</v>
      </c>
      <c r="AL7096">
        <v>90.596676411844001</v>
      </c>
      <c r="AM7096">
        <v>87.546975860985995</v>
      </c>
      <c r="AN7096">
        <v>1.00000002660417</v>
      </c>
    </row>
    <row r="7097" spans="1:40" x14ac:dyDescent="0.25">
      <c r="A7097" t="str">
        <f>"20190312161455419"</f>
        <v>20190312161455419</v>
      </c>
      <c r="B7097" t="str">
        <f>"1552378495414006"</f>
        <v>1552378495414006</v>
      </c>
      <c r="C7097" t="s">
        <v>40</v>
      </c>
      <c r="D7097">
        <v>4.7924720000000001</v>
      </c>
      <c r="E7097">
        <v>0.49782850000000001</v>
      </c>
      <c r="F7097" t="s">
        <v>42</v>
      </c>
      <c r="G7097">
        <v>-184.69820000000001</v>
      </c>
      <c r="H7097" s="1">
        <v>-5.0177509999999998E-6</v>
      </c>
      <c r="I7097">
        <v>89.137069999999994</v>
      </c>
      <c r="J7097">
        <v>-186.9068</v>
      </c>
      <c r="K7097">
        <v>1.1095520000000001</v>
      </c>
      <c r="L7097">
        <v>41.887329999999999</v>
      </c>
      <c r="M7097">
        <v>9.3545769999999993E-3</v>
      </c>
      <c r="N7097">
        <v>0</v>
      </c>
      <c r="O7097">
        <v>0.99990310000000004</v>
      </c>
      <c r="P7097">
        <v>5.2626289999999999E-2</v>
      </c>
      <c r="Q7097">
        <v>-2.0776320000000001E-2</v>
      </c>
      <c r="R7097">
        <v>0.99839809999999996</v>
      </c>
      <c r="S7097">
        <v>0.13922119999999999</v>
      </c>
      <c r="T7097">
        <v>-6.9837689999999994E-2</v>
      </c>
      <c r="U7097">
        <v>2.9960019999999998</v>
      </c>
      <c r="V7097">
        <v>4.3285169999999998E-2</v>
      </c>
      <c r="W7097">
        <v>-1.047528E-2</v>
      </c>
      <c r="X7097">
        <v>0.9990078</v>
      </c>
      <c r="Y7097">
        <v>3.7059290000000002E-2</v>
      </c>
      <c r="Z7097">
        <v>-2.3281880000000001E-2</v>
      </c>
      <c r="AA7097">
        <v>0.99904179999999998</v>
      </c>
      <c r="AB7097">
        <v>36</v>
      </c>
      <c r="AC7097">
        <v>2.2085999999999899</v>
      </c>
      <c r="AD7097">
        <v>-1.1095570177509999</v>
      </c>
      <c r="AE7097">
        <v>47.249740000000003</v>
      </c>
      <c r="AF7097">
        <v>1.7655070775034101</v>
      </c>
      <c r="AG7097">
        <v>-1.1095570177509999</v>
      </c>
      <c r="AH7097">
        <v>47.242339336410303</v>
      </c>
      <c r="AI7097">
        <v>91.344491555944003</v>
      </c>
      <c r="AJ7097">
        <v>87.859778895349095</v>
      </c>
      <c r="AK7097">
        <v>47.288336384280797</v>
      </c>
      <c r="AL7097">
        <v>90.600200333812097</v>
      </c>
      <c r="AM7097">
        <v>87.5190310420179</v>
      </c>
      <c r="AN7097">
        <v>0.99999996094692201</v>
      </c>
    </row>
    <row r="7098" spans="1:40" x14ac:dyDescent="0.25">
      <c r="A7098" t="str">
        <f>"20190312161455441"</f>
        <v>20190312161455441</v>
      </c>
      <c r="B7098" t="str">
        <f>"1552378495433527"</f>
        <v>1552378495433527</v>
      </c>
      <c r="C7098" t="s">
        <v>40</v>
      </c>
      <c r="D7098">
        <v>4.9917410000000002</v>
      </c>
      <c r="E7098">
        <v>0.497811</v>
      </c>
      <c r="F7098" t="s">
        <v>42</v>
      </c>
      <c r="G7098">
        <v>-184.51650000000001</v>
      </c>
      <c r="H7098" s="1">
        <v>-2.5451969999999999E-6</v>
      </c>
      <c r="I7098">
        <v>92.839879999999994</v>
      </c>
      <c r="J7098">
        <v>-186.90350000000001</v>
      </c>
      <c r="K7098">
        <v>1.1096140000000001</v>
      </c>
      <c r="L7098">
        <v>42.245480000000001</v>
      </c>
      <c r="M7098">
        <v>9.2960750000000009E-3</v>
      </c>
      <c r="N7098">
        <v>0</v>
      </c>
      <c r="O7098">
        <v>0.99990020000000002</v>
      </c>
      <c r="P7098">
        <v>5.217376E-2</v>
      </c>
      <c r="Q7098">
        <v>-2.1263339999999999E-2</v>
      </c>
      <c r="R7098">
        <v>0.99841159999999995</v>
      </c>
      <c r="S7098">
        <v>0.1405487</v>
      </c>
      <c r="T7098">
        <v>-6.5242289999999994E-2</v>
      </c>
      <c r="U7098">
        <v>2.9960330000000002</v>
      </c>
      <c r="V7098">
        <v>4.2890989999999997E-2</v>
      </c>
      <c r="W7098">
        <v>-1.0632880000000001E-2</v>
      </c>
      <c r="X7098">
        <v>0.9990232</v>
      </c>
      <c r="Y7098">
        <v>3.7560570000000001E-2</v>
      </c>
      <c r="Z7098">
        <v>-2.1750019999999998E-2</v>
      </c>
      <c r="AA7098">
        <v>0.99905770000000005</v>
      </c>
      <c r="AB7098">
        <v>36</v>
      </c>
      <c r="AC7098">
        <v>2.387</v>
      </c>
      <c r="AD7098">
        <v>-1.1096165451969999</v>
      </c>
      <c r="AE7098">
        <v>50.5944</v>
      </c>
      <c r="AF7098">
        <v>1.91562153503347</v>
      </c>
      <c r="AG7098">
        <v>-1.1096165451969999</v>
      </c>
      <c r="AH7098">
        <v>50.590125008102497</v>
      </c>
      <c r="AI7098">
        <v>91.255593771192494</v>
      </c>
      <c r="AJ7098">
        <v>87.831501351258595</v>
      </c>
      <c r="AK7098">
        <v>50.638538713891599</v>
      </c>
      <c r="AL7098">
        <v>90.609230613165806</v>
      </c>
      <c r="AM7098">
        <v>87.541634195370094</v>
      </c>
      <c r="AN7098">
        <v>1.00000002464925</v>
      </c>
    </row>
    <row r="7099" spans="1:40" x14ac:dyDescent="0.25">
      <c r="A7099" t="str">
        <f>"20190312161455463"</f>
        <v>20190312161455463</v>
      </c>
      <c r="B7099" t="str">
        <f>"1552378495454023"</f>
        <v>1552378495454023</v>
      </c>
      <c r="C7099" t="s">
        <v>40</v>
      </c>
      <c r="D7099">
        <v>4.8177250000000003</v>
      </c>
      <c r="E7099">
        <v>0.49778889999999998</v>
      </c>
      <c r="F7099" t="s">
        <v>42</v>
      </c>
      <c r="G7099">
        <v>-184.41540000000001</v>
      </c>
      <c r="H7099" s="1">
        <v>-3.6410099999999998E-6</v>
      </c>
      <c r="I7099">
        <v>95.810890000000001</v>
      </c>
      <c r="J7099">
        <v>-186.90029999999999</v>
      </c>
      <c r="K7099">
        <v>1.1096820000000001</v>
      </c>
      <c r="L7099">
        <v>42.598570000000002</v>
      </c>
      <c r="M7099">
        <v>9.2380269999999994E-3</v>
      </c>
      <c r="N7099">
        <v>0</v>
      </c>
      <c r="O7099">
        <v>0.99989660000000002</v>
      </c>
      <c r="P7099">
        <v>5.1918970000000002E-2</v>
      </c>
      <c r="Q7099">
        <v>-2.137116E-2</v>
      </c>
      <c r="R7099">
        <v>0.99842260000000005</v>
      </c>
      <c r="S7099">
        <v>0.13917539999999901</v>
      </c>
      <c r="T7099">
        <v>-6.206656E-2</v>
      </c>
      <c r="U7099">
        <v>2.9961850000000001</v>
      </c>
      <c r="V7099">
        <v>4.2693969999999998E-2</v>
      </c>
      <c r="W7099">
        <v>-1.035965E-2</v>
      </c>
      <c r="X7099">
        <v>0.99903450000000005</v>
      </c>
      <c r="Y7099">
        <v>3.7160289999999999E-2</v>
      </c>
      <c r="Z7099">
        <v>-2.069112E-2</v>
      </c>
      <c r="AA7099">
        <v>0.99909510000000001</v>
      </c>
      <c r="AB7099">
        <v>36</v>
      </c>
      <c r="AC7099">
        <v>2.4848999999999801</v>
      </c>
      <c r="AD7099">
        <v>-1.10968564101</v>
      </c>
      <c r="AE7099">
        <v>53.212319999999998</v>
      </c>
      <c r="AF7099">
        <v>1.9923227024138801</v>
      </c>
      <c r="AG7099">
        <v>-1.10968564101</v>
      </c>
      <c r="AH7099">
        <v>53.209916141021303</v>
      </c>
      <c r="AI7099">
        <v>91.193886234680903</v>
      </c>
      <c r="AJ7099">
        <v>87.855693258188893</v>
      </c>
      <c r="AK7099">
        <v>53.2587638582322</v>
      </c>
      <c r="AL7099">
        <v>90.593574831074093</v>
      </c>
      <c r="AM7099">
        <v>87.5529405982507</v>
      </c>
      <c r="AN7099">
        <v>1.0000000148063599</v>
      </c>
    </row>
    <row r="7100" spans="1:40" x14ac:dyDescent="0.25">
      <c r="A7100" t="str">
        <f>"20190312161455486"</f>
        <v>20190312161455486</v>
      </c>
      <c r="B7100" t="str">
        <f>"1552378495473542"</f>
        <v>1552378495473542</v>
      </c>
      <c r="C7100" t="s">
        <v>40</v>
      </c>
      <c r="D7100">
        <v>4.8494440000000001</v>
      </c>
      <c r="E7100">
        <v>0.4977705</v>
      </c>
      <c r="F7100" t="s">
        <v>42</v>
      </c>
      <c r="G7100">
        <v>-184.22749999999999</v>
      </c>
      <c r="H7100" s="1">
        <v>-1.860076E-6</v>
      </c>
      <c r="I7100">
        <v>100.6006</v>
      </c>
      <c r="J7100">
        <v>-186.89709999999999</v>
      </c>
      <c r="K7100">
        <v>1.1097410000000001</v>
      </c>
      <c r="L7100">
        <v>42.957949999999997</v>
      </c>
      <c r="M7100">
        <v>9.1769839999999991E-3</v>
      </c>
      <c r="N7100">
        <v>0</v>
      </c>
      <c r="O7100">
        <v>0.99989269999999997</v>
      </c>
      <c r="P7100">
        <v>5.118495E-2</v>
      </c>
      <c r="Q7100">
        <v>-2.2021860000000001E-2</v>
      </c>
      <c r="R7100">
        <v>0.99844630000000001</v>
      </c>
      <c r="S7100">
        <v>0.138076799999999</v>
      </c>
      <c r="T7100">
        <v>-5.7325359999999999E-2</v>
      </c>
      <c r="U7100">
        <v>2.9963380000000002</v>
      </c>
      <c r="V7100">
        <v>4.2020670000000003E-2</v>
      </c>
      <c r="W7100">
        <v>-1.061147E-2</v>
      </c>
      <c r="X7100">
        <v>0.99906039999999996</v>
      </c>
      <c r="Y7100">
        <v>3.6854789999999998E-2</v>
      </c>
      <c r="Z7100">
        <v>-1.9110470000000001E-2</v>
      </c>
      <c r="AA7100">
        <v>0.99913790000000002</v>
      </c>
      <c r="AB7100">
        <v>36</v>
      </c>
      <c r="AC7100">
        <v>2.6696</v>
      </c>
      <c r="AD7100">
        <v>-1.109742860076</v>
      </c>
      <c r="AE7100">
        <v>57.642650000000003</v>
      </c>
      <c r="AF7100">
        <v>2.1396760471527001</v>
      </c>
      <c r="AG7100">
        <v>-1.109742860076</v>
      </c>
      <c r="AH7100">
        <v>57.643403412157099</v>
      </c>
      <c r="AI7100">
        <v>91.102155362250002</v>
      </c>
      <c r="AJ7100">
        <v>87.874203440966994</v>
      </c>
      <c r="AK7100">
        <v>57.693775225226297</v>
      </c>
      <c r="AL7100">
        <v>90.608003849386407</v>
      </c>
      <c r="AM7100">
        <v>87.591548203746598</v>
      </c>
      <c r="AN7100">
        <v>1.0000000114254799</v>
      </c>
    </row>
    <row r="7101" spans="1:40" x14ac:dyDescent="0.25">
      <c r="A7101" t="str">
        <f>"20190312161455506"</f>
        <v>20190312161455506</v>
      </c>
      <c r="B7101" t="str">
        <f>"1552378495494046"</f>
        <v>1552378495494046</v>
      </c>
      <c r="C7101" t="s">
        <v>40</v>
      </c>
      <c r="D7101">
        <v>4.8426080000000002</v>
      </c>
      <c r="E7101">
        <v>0.49774269999999998</v>
      </c>
      <c r="F7101" t="s">
        <v>42</v>
      </c>
      <c r="G7101">
        <v>-184.1328</v>
      </c>
      <c r="H7101" s="1">
        <v>-3.0254630000000001E-6</v>
      </c>
      <c r="I7101">
        <v>103.9511</v>
      </c>
      <c r="J7101">
        <v>-186.89400000000001</v>
      </c>
      <c r="K7101">
        <v>1.1097919999999999</v>
      </c>
      <c r="L7101">
        <v>43.297669999999997</v>
      </c>
      <c r="M7101">
        <v>9.1184309999999998E-3</v>
      </c>
      <c r="N7101">
        <v>0</v>
      </c>
      <c r="O7101">
        <v>0.99988909999999998</v>
      </c>
      <c r="P7101">
        <v>5.1035089999999998E-2</v>
      </c>
      <c r="Q7101">
        <v>-2.239321E-2</v>
      </c>
      <c r="R7101">
        <v>0.99844569999999999</v>
      </c>
      <c r="S7101">
        <v>0.13580320000000001</v>
      </c>
      <c r="T7101">
        <v>-5.4520369999999999E-2</v>
      </c>
      <c r="U7101">
        <v>2.996521</v>
      </c>
      <c r="V7101">
        <v>4.192924E-2</v>
      </c>
      <c r="W7101">
        <v>-1.062454E-2</v>
      </c>
      <c r="X7101">
        <v>0.99906410000000001</v>
      </c>
      <c r="Y7101">
        <v>3.6154749999999999E-2</v>
      </c>
      <c r="Z7101">
        <v>-1.8175139999999999E-2</v>
      </c>
      <c r="AA7101">
        <v>0.99918090000000004</v>
      </c>
      <c r="AB7101">
        <v>36</v>
      </c>
      <c r="AC7101">
        <v>2.7612000000000001</v>
      </c>
      <c r="AD7101">
        <v>-1.109795025463</v>
      </c>
      <c r="AE7101">
        <v>60.653429999999901</v>
      </c>
      <c r="AF7101">
        <v>2.2072452920149002</v>
      </c>
      <c r="AG7101">
        <v>-1.109795025463</v>
      </c>
      <c r="AH7101">
        <v>60.655822542889901</v>
      </c>
      <c r="AI7101">
        <v>91.047507547120205</v>
      </c>
      <c r="AJ7101">
        <v>87.915945143684297</v>
      </c>
      <c r="AK7101">
        <v>60.706114890777002</v>
      </c>
      <c r="AL7101">
        <v>90.608752748932503</v>
      </c>
      <c r="AM7101">
        <v>87.596791333890806</v>
      </c>
      <c r="AN7101">
        <v>1.0000000089629899</v>
      </c>
    </row>
    <row r="7102" spans="1:40" x14ac:dyDescent="0.25">
      <c r="A7102" t="str">
        <f>"20190312161455530"</f>
        <v>20190312161455530</v>
      </c>
      <c r="B7102" t="str">
        <f>"1552378495523318"</f>
        <v>1552378495523318</v>
      </c>
      <c r="C7102" t="s">
        <v>40</v>
      </c>
      <c r="D7102">
        <v>4.9773990000000001</v>
      </c>
      <c r="E7102">
        <v>0.51306179999999901</v>
      </c>
      <c r="F7102" t="s">
        <v>42</v>
      </c>
      <c r="G7102">
        <v>-184.01669999999999</v>
      </c>
      <c r="H7102" s="1">
        <v>-4.2564170000000003E-6</v>
      </c>
      <c r="I7102">
        <v>107.0806</v>
      </c>
      <c r="J7102">
        <v>-186.89070000000001</v>
      </c>
      <c r="K7102">
        <v>1.1098300000000001</v>
      </c>
      <c r="L7102">
        <v>43.664059999999999</v>
      </c>
      <c r="M7102">
        <v>9.056794E-3</v>
      </c>
      <c r="N7102">
        <v>0</v>
      </c>
      <c r="O7102">
        <v>0.99988540000000004</v>
      </c>
      <c r="P7102">
        <v>5.0725430000000002E-2</v>
      </c>
      <c r="Q7102">
        <v>-2.3113359999999999E-2</v>
      </c>
      <c r="R7102">
        <v>0.99844520000000003</v>
      </c>
      <c r="S7102">
        <v>0.13517760000000001</v>
      </c>
      <c r="T7102">
        <v>-5.2139280000000003E-2</v>
      </c>
      <c r="U7102">
        <v>2.9965820000000001</v>
      </c>
      <c r="V7102">
        <v>4.168115E-2</v>
      </c>
      <c r="W7102">
        <v>-1.098877E-2</v>
      </c>
      <c r="X7102">
        <v>0.99907049999999997</v>
      </c>
      <c r="Y7102">
        <v>3.6007850000000001E-2</v>
      </c>
      <c r="Z7102">
        <v>-1.7381400000000002E-2</v>
      </c>
      <c r="AA7102">
        <v>0.99920030000000004</v>
      </c>
      <c r="AB7102">
        <v>36</v>
      </c>
      <c r="AC7102">
        <v>2.8740000000000201</v>
      </c>
      <c r="AD7102">
        <v>-1.1098342564169901</v>
      </c>
      <c r="AE7102">
        <v>63.416539999999998</v>
      </c>
      <c r="AF7102">
        <v>2.2987866876255301</v>
      </c>
      <c r="AG7102">
        <v>-1.1098342564169901</v>
      </c>
      <c r="AH7102">
        <v>63.420585507770397</v>
      </c>
      <c r="AI7102">
        <v>91.001892526511</v>
      </c>
      <c r="AJ7102">
        <v>87.924126085756498</v>
      </c>
      <c r="AK7102">
        <v>63.471937251515598</v>
      </c>
      <c r="AL7102">
        <v>90.629622835323005</v>
      </c>
      <c r="AM7102">
        <v>87.611009577039198</v>
      </c>
      <c r="AN7102">
        <v>0.99999996765084198</v>
      </c>
    </row>
    <row r="7103" spans="1:40" x14ac:dyDescent="0.25">
      <c r="A7103" t="str">
        <f>"20190312161455552"</f>
        <v>20190312161455552</v>
      </c>
      <c r="B7103" t="str">
        <f>"1552378495543815"</f>
        <v>1552378495543815</v>
      </c>
      <c r="C7103" t="s">
        <v>40</v>
      </c>
      <c r="D7103">
        <v>4.866282</v>
      </c>
      <c r="E7103">
        <v>0.54758130000000005</v>
      </c>
      <c r="F7103" t="s">
        <v>43</v>
      </c>
      <c r="G7103">
        <v>-186.80420000000001</v>
      </c>
      <c r="H7103">
        <v>1.0104949999999999</v>
      </c>
      <c r="I7103">
        <v>44.672190000000001</v>
      </c>
      <c r="J7103">
        <v>-186.88749999999999</v>
      </c>
      <c r="K7103">
        <v>1.1098619999999999</v>
      </c>
      <c r="L7103">
        <v>44.026400000000002</v>
      </c>
      <c r="M7103">
        <v>8.9973199999999996E-3</v>
      </c>
      <c r="N7103">
        <v>0</v>
      </c>
      <c r="O7103">
        <v>0.99988200000000005</v>
      </c>
      <c r="P7103">
        <v>5.0398220000000001E-2</v>
      </c>
      <c r="Q7103">
        <v>-2.323165E-2</v>
      </c>
      <c r="R7103">
        <v>0.99845899999999999</v>
      </c>
      <c r="S7103">
        <v>0.25596619999999998</v>
      </c>
      <c r="T7103">
        <v>-0.29410819999999999</v>
      </c>
      <c r="U7103">
        <v>2.9848629999999998</v>
      </c>
      <c r="V7103">
        <v>4.1413190000000002E-2</v>
      </c>
      <c r="W7103">
        <v>-1.078753E-2</v>
      </c>
      <c r="X7103">
        <v>0.99908390000000002</v>
      </c>
      <c r="Y7103">
        <v>7.6063610000000004E-2</v>
      </c>
      <c r="Z7103">
        <v>-9.7732819999999998E-2</v>
      </c>
      <c r="AA7103">
        <v>0.99230169999999995</v>
      </c>
      <c r="AB7103">
        <v>36</v>
      </c>
      <c r="AC7103">
        <v>8.3299999999979904E-2</v>
      </c>
      <c r="AD7103">
        <v>-9.93669999999999E-2</v>
      </c>
      <c r="AE7103">
        <v>0.64578999999999798</v>
      </c>
      <c r="AF7103">
        <v>7.5722363084548203E-2</v>
      </c>
      <c r="AG7103">
        <v>-9.93669999999999E-2</v>
      </c>
      <c r="AH7103">
        <v>0.63179992985685995</v>
      </c>
      <c r="AI7103">
        <v>98.875540749929399</v>
      </c>
      <c r="AJ7103">
        <v>83.165597050478596</v>
      </c>
      <c r="AK7103">
        <v>0.64403325094845898</v>
      </c>
      <c r="AL7103">
        <v>90.618091909472398</v>
      </c>
      <c r="AM7103">
        <v>87.6263821075881</v>
      </c>
      <c r="AN7103">
        <v>1.00000003117434</v>
      </c>
    </row>
    <row r="7104" spans="1:40" x14ac:dyDescent="0.25">
      <c r="A7104" t="str">
        <f>"20190312161455575"</f>
        <v>20190312161455575</v>
      </c>
      <c r="B7104" t="str">
        <f>"1552378495563334"</f>
        <v>1552378495563334</v>
      </c>
      <c r="C7104" t="s">
        <v>40</v>
      </c>
      <c r="D7104">
        <v>4.8429830000000003</v>
      </c>
      <c r="E7104">
        <v>0.54761919999999897</v>
      </c>
      <c r="F7104" t="s">
        <v>43</v>
      </c>
      <c r="G7104">
        <v>-186.7234</v>
      </c>
      <c r="H7104">
        <v>0.90198299999999998</v>
      </c>
      <c r="I7104">
        <v>44.942819999999998</v>
      </c>
      <c r="J7104">
        <v>-186.8844</v>
      </c>
      <c r="K7104">
        <v>1.10989</v>
      </c>
      <c r="L7104">
        <v>44.385280000000002</v>
      </c>
      <c r="M7104">
        <v>8.9391920000000003E-3</v>
      </c>
      <c r="N7104">
        <v>0</v>
      </c>
      <c r="O7104">
        <v>0.99987890000000001</v>
      </c>
      <c r="P7104">
        <v>5.062038E-2</v>
      </c>
      <c r="Q7104">
        <v>-2.3433599999999999E-2</v>
      </c>
      <c r="R7104">
        <v>0.99844299999999997</v>
      </c>
      <c r="S7104">
        <v>0.52972410000000003</v>
      </c>
      <c r="T7104">
        <v>-0.67195150000000003</v>
      </c>
      <c r="U7104">
        <v>2.96225</v>
      </c>
      <c r="V7104">
        <v>4.1693529999999999E-2</v>
      </c>
      <c r="W7104">
        <v>-1.0704099999999999E-2</v>
      </c>
      <c r="X7104">
        <v>0.99907310000000005</v>
      </c>
      <c r="Y7104">
        <v>0.16298950000000001</v>
      </c>
      <c r="Z7104">
        <v>-0.21808240000000001</v>
      </c>
      <c r="AA7104">
        <v>0.96222379999999996</v>
      </c>
      <c r="AB7104">
        <v>36</v>
      </c>
      <c r="AC7104">
        <v>0.161000000000001</v>
      </c>
      <c r="AD7104">
        <v>-0.20790700000000001</v>
      </c>
      <c r="AE7104">
        <v>0.55754000000000203</v>
      </c>
      <c r="AF7104">
        <v>0.138262893871302</v>
      </c>
      <c r="AG7104">
        <v>-0.20790700000000001</v>
      </c>
      <c r="AH7104">
        <v>0.49537473754157002</v>
      </c>
      <c r="AI7104">
        <v>112.010827380618</v>
      </c>
      <c r="AJ7104">
        <v>74.405173785188694</v>
      </c>
      <c r="AK7104">
        <v>0.55474145244883799</v>
      </c>
      <c r="AL7104">
        <v>90.613311469722603</v>
      </c>
      <c r="AM7104">
        <v>87.610307041112407</v>
      </c>
      <c r="AN7104">
        <v>0.99999999367213999</v>
      </c>
    </row>
    <row r="7105" spans="1:40" x14ac:dyDescent="0.25">
      <c r="A7105" t="str">
        <f>"20190312161455599"</f>
        <v>20190312161455599</v>
      </c>
      <c r="B7105" t="str">
        <f>"1552378495594165"</f>
        <v>1552378495594165</v>
      </c>
      <c r="C7105" t="s">
        <v>40</v>
      </c>
      <c r="D7105">
        <v>4.8693269999999904</v>
      </c>
      <c r="E7105">
        <v>0.55120419999999903</v>
      </c>
      <c r="F7105" t="s">
        <v>43</v>
      </c>
      <c r="G7105">
        <v>-186.7269</v>
      </c>
      <c r="H7105">
        <v>0.9037712</v>
      </c>
      <c r="I7105">
        <v>45.263030000000001</v>
      </c>
      <c r="J7105">
        <v>-186.8811</v>
      </c>
      <c r="K7105">
        <v>1.1099049999999999</v>
      </c>
      <c r="L7105">
        <v>44.757260000000002</v>
      </c>
      <c r="M7105">
        <v>8.8787039999999994E-3</v>
      </c>
      <c r="N7105">
        <v>0</v>
      </c>
      <c r="O7105">
        <v>0.99987610000000005</v>
      </c>
      <c r="P7105">
        <v>5.0891579999999999E-2</v>
      </c>
      <c r="Q7105">
        <v>-2.3810399999999999E-2</v>
      </c>
      <c r="R7105">
        <v>0.99842030000000004</v>
      </c>
      <c r="S7105">
        <v>0.53079219999999905</v>
      </c>
      <c r="T7105">
        <v>-0.69543339999999998</v>
      </c>
      <c r="U7105">
        <v>2.9614560000000001</v>
      </c>
      <c r="V7105">
        <v>4.202533E-2</v>
      </c>
      <c r="W7105">
        <v>-1.081737E-2</v>
      </c>
      <c r="X7105">
        <v>0.999058</v>
      </c>
      <c r="Y7105">
        <v>0.1631379</v>
      </c>
      <c r="Z7105">
        <v>-0.2253647</v>
      </c>
      <c r="AA7105">
        <v>0.96051900000000001</v>
      </c>
      <c r="AB7105">
        <v>36</v>
      </c>
      <c r="AC7105">
        <v>0.154200000000003</v>
      </c>
      <c r="AD7105">
        <v>-0.20613379999999901</v>
      </c>
      <c r="AE7105">
        <v>0.50577000000000505</v>
      </c>
      <c r="AF7105">
        <v>0.129952566903491</v>
      </c>
      <c r="AG7105">
        <v>-0.20613379999999901</v>
      </c>
      <c r="AH7105">
        <v>0.44021475243168001</v>
      </c>
      <c r="AI7105">
        <v>114.18474498910599</v>
      </c>
      <c r="AJ7105">
        <v>73.553259276801796</v>
      </c>
      <c r="AK7105">
        <v>0.50315786926742101</v>
      </c>
      <c r="AL7105">
        <v>90.619801724891204</v>
      </c>
      <c r="AM7105">
        <v>87.591275646744094</v>
      </c>
      <c r="AN7105">
        <v>1.00000001560966</v>
      </c>
    </row>
    <row r="7106" spans="1:40" x14ac:dyDescent="0.25">
      <c r="A7106" t="str">
        <f>"20190312161455620"</f>
        <v>20190312161455620</v>
      </c>
      <c r="B7106" t="str">
        <f>"1552378495613684"</f>
        <v>1552378495613684</v>
      </c>
      <c r="C7106" t="s">
        <v>40</v>
      </c>
      <c r="D7106">
        <v>5.1631450000000001</v>
      </c>
      <c r="E7106">
        <v>0.55612569999999995</v>
      </c>
      <c r="F7106" t="s">
        <v>43</v>
      </c>
      <c r="G7106">
        <v>-186.7253</v>
      </c>
      <c r="H7106">
        <v>0.89882830000000002</v>
      </c>
      <c r="I7106">
        <v>45.580190000000002</v>
      </c>
      <c r="J7106">
        <v>-186.87799999999999</v>
      </c>
      <c r="K7106">
        <v>1.109917</v>
      </c>
      <c r="L7106">
        <v>45.105559999999997</v>
      </c>
      <c r="M7106">
        <v>8.8216200000000005E-3</v>
      </c>
      <c r="N7106">
        <v>0</v>
      </c>
      <c r="O7106">
        <v>0.99987369999999998</v>
      </c>
      <c r="P7106">
        <v>5.1100529999999998E-2</v>
      </c>
      <c r="Q7106">
        <v>-2.4583629999999999E-2</v>
      </c>
      <c r="R7106">
        <v>0.99839089999999997</v>
      </c>
      <c r="S7106">
        <v>0.55949399999999905</v>
      </c>
      <c r="T7106">
        <v>-0.75873950000000001</v>
      </c>
      <c r="U7106">
        <v>2.9581300000000001</v>
      </c>
      <c r="V7106">
        <v>4.2291580000000002E-2</v>
      </c>
      <c r="W7106">
        <v>-1.137232E-2</v>
      </c>
      <c r="X7106">
        <v>0.99904059999999995</v>
      </c>
      <c r="Y7106">
        <v>0.17152539999999999</v>
      </c>
      <c r="Z7106">
        <v>-0.244563</v>
      </c>
      <c r="AA7106">
        <v>0.95434169999999996</v>
      </c>
      <c r="AB7106">
        <v>36</v>
      </c>
      <c r="AC7106">
        <v>0.15269999999998099</v>
      </c>
      <c r="AD7106">
        <v>-0.21108869999999899</v>
      </c>
      <c r="AE7106">
        <v>0.47463000000000399</v>
      </c>
      <c r="AF7106">
        <v>0.12593380349446801</v>
      </c>
      <c r="AG7106">
        <v>-0.21108869999999899</v>
      </c>
      <c r="AH7106">
        <v>0.403613413160469</v>
      </c>
      <c r="AI7106">
        <v>116.53108312062101</v>
      </c>
      <c r="AJ7106">
        <v>72.671247890689202</v>
      </c>
      <c r="AK7106">
        <v>0.47256909485631499</v>
      </c>
      <c r="AL7106">
        <v>90.651599975914095</v>
      </c>
      <c r="AM7106">
        <v>87.575991236301306</v>
      </c>
      <c r="AN7106">
        <v>1.0000000139247101</v>
      </c>
    </row>
    <row r="7107" spans="1:40" x14ac:dyDescent="0.25">
      <c r="A7107" t="str">
        <f>"20190312161455641"</f>
        <v>20190312161455641</v>
      </c>
      <c r="B7107" t="str">
        <f>"1552378495634181"</f>
        <v>1552378495634181</v>
      </c>
      <c r="C7107" t="s">
        <v>40</v>
      </c>
      <c r="D7107">
        <v>4.9149900000000004</v>
      </c>
      <c r="E7107">
        <v>0.55558540000000001</v>
      </c>
      <c r="F7107" t="s">
        <v>43</v>
      </c>
      <c r="G7107">
        <v>-186.71700000000001</v>
      </c>
      <c r="H7107">
        <v>0.89825250000000001</v>
      </c>
      <c r="I7107">
        <v>45.899169999999998</v>
      </c>
      <c r="J7107">
        <v>-186.875</v>
      </c>
      <c r="K7107">
        <v>1.1099250000000001</v>
      </c>
      <c r="L7107">
        <v>45.456270000000004</v>
      </c>
      <c r="M7107">
        <v>8.7636409999999904E-3</v>
      </c>
      <c r="N7107">
        <v>0</v>
      </c>
      <c r="O7107">
        <v>0.99987159999999997</v>
      </c>
      <c r="P7107">
        <v>5.1093699999999999E-2</v>
      </c>
      <c r="Q7107">
        <v>-2.4671849999999999E-2</v>
      </c>
      <c r="R7107">
        <v>0.99838910000000003</v>
      </c>
      <c r="S7107">
        <v>0.59904480000000004</v>
      </c>
      <c r="T7107">
        <v>-0.78805979999999998</v>
      </c>
      <c r="U7107">
        <v>2.9547729999999999</v>
      </c>
      <c r="V7107">
        <v>4.2342640000000001E-2</v>
      </c>
      <c r="W7107">
        <v>-1.1266440000000001E-2</v>
      </c>
      <c r="X7107">
        <v>0.99903960000000003</v>
      </c>
      <c r="Y7107">
        <v>0.18363160000000001</v>
      </c>
      <c r="Z7107">
        <v>-0.25309229999999999</v>
      </c>
      <c r="AA7107">
        <v>0.94985459999999999</v>
      </c>
      <c r="AB7107">
        <v>36</v>
      </c>
      <c r="AC7107">
        <v>0.15799999999998701</v>
      </c>
      <c r="AD7107">
        <v>-0.21167250000000001</v>
      </c>
      <c r="AE7107">
        <v>0.44289999999999402</v>
      </c>
      <c r="AF7107">
        <v>0.12814652577976601</v>
      </c>
      <c r="AG7107">
        <v>-0.21167250000000001</v>
      </c>
      <c r="AH7107">
        <v>0.36941516520137802</v>
      </c>
      <c r="AI7107">
        <v>118.428790718728</v>
      </c>
      <c r="AJ7107">
        <v>70.868837499060803</v>
      </c>
      <c r="AK7107">
        <v>0.44462832074265701</v>
      </c>
      <c r="AL7107">
        <v>90.6455331339521</v>
      </c>
      <c r="AM7107">
        <v>87.573065722539596</v>
      </c>
      <c r="AN7107">
        <v>0.99999997710030097</v>
      </c>
    </row>
    <row r="7108" spans="1:40" x14ac:dyDescent="0.25">
      <c r="A7108" t="str">
        <f>"20190312161455664"</f>
        <v>20190312161455664</v>
      </c>
      <c r="B7108" t="str">
        <f>"1552378495653704"</f>
        <v>1552378495653704</v>
      </c>
      <c r="C7108" t="s">
        <v>40</v>
      </c>
      <c r="D7108">
        <v>4.967625</v>
      </c>
      <c r="E7108">
        <v>0.55535809999999997</v>
      </c>
      <c r="F7108" t="s">
        <v>43</v>
      </c>
      <c r="G7108">
        <v>-186.7208</v>
      </c>
      <c r="H7108">
        <v>0.90676310000000004</v>
      </c>
      <c r="I7108">
        <v>46.221159999999998</v>
      </c>
      <c r="J7108">
        <v>-186.87190000000001</v>
      </c>
      <c r="K7108">
        <v>1.1099300000000001</v>
      </c>
      <c r="L7108">
        <v>45.813139999999997</v>
      </c>
      <c r="M7108">
        <v>8.7044389999999996E-3</v>
      </c>
      <c r="N7108">
        <v>0</v>
      </c>
      <c r="O7108">
        <v>0.99986980000000003</v>
      </c>
      <c r="P7108">
        <v>5.082884E-2</v>
      </c>
      <c r="Q7108">
        <v>-2.473444E-2</v>
      </c>
      <c r="R7108">
        <v>0.99840099999999998</v>
      </c>
      <c r="S7108">
        <v>0.59490969999999999</v>
      </c>
      <c r="T7108">
        <v>-0.78486699999999998</v>
      </c>
      <c r="U7108">
        <v>2.954987</v>
      </c>
      <c r="V7108">
        <v>4.213679E-2</v>
      </c>
      <c r="W7108">
        <v>-1.1155750000000001E-2</v>
      </c>
      <c r="X7108">
        <v>0.99904950000000003</v>
      </c>
      <c r="Y7108">
        <v>0.1824462</v>
      </c>
      <c r="Z7108">
        <v>-0.25217719999999999</v>
      </c>
      <c r="AA7108">
        <v>0.95032629999999996</v>
      </c>
      <c r="AB7108">
        <v>36</v>
      </c>
      <c r="AC7108">
        <v>0.151100000000013</v>
      </c>
      <c r="AD7108">
        <v>-0.20316689999999901</v>
      </c>
      <c r="AE7108">
        <v>0.408019999999993</v>
      </c>
      <c r="AF7108">
        <v>0.121131331813753</v>
      </c>
      <c r="AG7108">
        <v>-0.20316689999999901</v>
      </c>
      <c r="AH7108">
        <v>0.33604901209077398</v>
      </c>
      <c r="AI7108">
        <v>119.62923862918301</v>
      </c>
      <c r="AJ7108">
        <v>70.177929923682996</v>
      </c>
      <c r="AK7108">
        <v>0.41094832683656102</v>
      </c>
      <c r="AL7108">
        <v>90.639190694427697</v>
      </c>
      <c r="AM7108">
        <v>87.584874234805397</v>
      </c>
      <c r="AN7108">
        <v>0.99999993163990597</v>
      </c>
    </row>
    <row r="7109" spans="1:40" x14ac:dyDescent="0.25">
      <c r="A7109" t="str">
        <f>"20190312161455686"</f>
        <v>20190312161455686</v>
      </c>
      <c r="B7109" t="str">
        <f>"1552378495683787"</f>
        <v>1552378495683787</v>
      </c>
      <c r="C7109" t="s">
        <v>40</v>
      </c>
      <c r="D7109">
        <v>5.0135480000000001</v>
      </c>
      <c r="E7109">
        <v>0.55465940000000002</v>
      </c>
      <c r="F7109" t="s">
        <v>43</v>
      </c>
      <c r="G7109">
        <v>-186.7259</v>
      </c>
      <c r="H7109">
        <v>0.91060700000000006</v>
      </c>
      <c r="I7109">
        <v>46.540689999999998</v>
      </c>
      <c r="J7109">
        <v>-186.8689</v>
      </c>
      <c r="K7109">
        <v>1.109936</v>
      </c>
      <c r="L7109">
        <v>46.171019999999999</v>
      </c>
      <c r="M7109">
        <v>8.6451489999999995E-3</v>
      </c>
      <c r="N7109">
        <v>0</v>
      </c>
      <c r="O7109">
        <v>0.99986819999999998</v>
      </c>
      <c r="P7109">
        <v>5.051311E-2</v>
      </c>
      <c r="Q7109">
        <v>-2.5193429999999999E-2</v>
      </c>
      <c r="R7109">
        <v>0.9984056</v>
      </c>
      <c r="S7109">
        <v>0.59242249999999996</v>
      </c>
      <c r="T7109">
        <v>-0.80944159999999998</v>
      </c>
      <c r="U7109">
        <v>2.95459</v>
      </c>
      <c r="V7109">
        <v>4.1880269999999997E-2</v>
      </c>
      <c r="W7109">
        <v>-1.1463340000000001E-2</v>
      </c>
      <c r="X7109">
        <v>0.99905690000000003</v>
      </c>
      <c r="Y7109">
        <v>0.18137300000000001</v>
      </c>
      <c r="Z7109">
        <v>-0.25961770000000001</v>
      </c>
      <c r="AA7109">
        <v>0.94852650000000005</v>
      </c>
      <c r="AB7109">
        <v>36</v>
      </c>
      <c r="AC7109">
        <v>0.14299999999999999</v>
      </c>
      <c r="AD7109">
        <v>-0.19932900000000001</v>
      </c>
      <c r="AE7109">
        <v>0.36967000000000599</v>
      </c>
      <c r="AF7109">
        <v>0.111579811369845</v>
      </c>
      <c r="AG7109">
        <v>-0.19932900000000001</v>
      </c>
      <c r="AH7109">
        <v>0.29602693242649902</v>
      </c>
      <c r="AI7109">
        <v>122.214018974751</v>
      </c>
      <c r="AJ7109">
        <v>69.347343340369605</v>
      </c>
      <c r="AK7109">
        <v>0.37391716899358002</v>
      </c>
      <c r="AL7109">
        <v>90.656815368872401</v>
      </c>
      <c r="AM7109">
        <v>87.599577525454393</v>
      </c>
      <c r="AN7109">
        <v>1.00000002730841</v>
      </c>
    </row>
    <row r="7110" spans="1:40" x14ac:dyDescent="0.25">
      <c r="A7110" t="str">
        <f>"20190312161455709"</f>
        <v>20190312161455709</v>
      </c>
      <c r="B7110" t="str">
        <f>"1552378495703307"</f>
        <v>1552378495703307</v>
      </c>
      <c r="C7110" t="s">
        <v>40</v>
      </c>
      <c r="D7110">
        <v>5.0284139999999997</v>
      </c>
      <c r="E7110">
        <v>0.55467349999999904</v>
      </c>
      <c r="F7110" t="s">
        <v>43</v>
      </c>
      <c r="G7110">
        <v>-186.73169999999999</v>
      </c>
      <c r="H7110">
        <v>0.91962219999999995</v>
      </c>
      <c r="I7110">
        <v>46.862050000000004</v>
      </c>
      <c r="J7110">
        <v>-186.86600000000001</v>
      </c>
      <c r="K7110">
        <v>1.109936</v>
      </c>
      <c r="L7110">
        <v>46.517789999999998</v>
      </c>
      <c r="M7110">
        <v>8.588086E-3</v>
      </c>
      <c r="N7110">
        <v>0</v>
      </c>
      <c r="O7110">
        <v>0.99986699999999995</v>
      </c>
      <c r="P7110">
        <v>5.0367809999999999E-2</v>
      </c>
      <c r="Q7110">
        <v>-2.567941E-2</v>
      </c>
      <c r="R7110">
        <v>0.99840059999999997</v>
      </c>
      <c r="S7110">
        <v>0.58586119999999997</v>
      </c>
      <c r="T7110">
        <v>-0.81370569999999998</v>
      </c>
      <c r="U7110">
        <v>2.9546199999999998</v>
      </c>
      <c r="V7110">
        <v>4.1792019999999999E-2</v>
      </c>
      <c r="W7110">
        <v>-1.1822239999999999E-2</v>
      </c>
      <c r="X7110">
        <v>0.99905639999999996</v>
      </c>
      <c r="Y7110">
        <v>0.17932890000000001</v>
      </c>
      <c r="Z7110">
        <v>-0.26099020000000001</v>
      </c>
      <c r="AA7110">
        <v>0.94853849999999995</v>
      </c>
      <c r="AB7110">
        <v>36</v>
      </c>
      <c r="AC7110">
        <v>0.13429999999999601</v>
      </c>
      <c r="AD7110">
        <v>-0.19031380000000001</v>
      </c>
      <c r="AE7110">
        <v>0.34425999999999801</v>
      </c>
      <c r="AF7110">
        <v>0.10380472776536501</v>
      </c>
      <c r="AG7110">
        <v>-0.19031380000000001</v>
      </c>
      <c r="AH7110">
        <v>0.27299161794988203</v>
      </c>
      <c r="AI7110">
        <v>123.089175862212</v>
      </c>
      <c r="AJ7110">
        <v>69.180754892973695</v>
      </c>
      <c r="AK7110">
        <v>0.34859602328164302</v>
      </c>
      <c r="AL7110">
        <v>90.677380226351701</v>
      </c>
      <c r="AM7110">
        <v>87.6046285942233</v>
      </c>
      <c r="AN7110">
        <v>1.00000001433762</v>
      </c>
    </row>
    <row r="7111" spans="1:40" x14ac:dyDescent="0.25">
      <c r="A7111" t="str">
        <f>"20190312161455731"</f>
        <v>20190312161455731</v>
      </c>
      <c r="B7111" t="str">
        <f>"1552378495723803"</f>
        <v>1552378495723803</v>
      </c>
      <c r="C7111" t="s">
        <v>40</v>
      </c>
      <c r="D7111">
        <v>5.1340269999999997</v>
      </c>
      <c r="E7111">
        <v>0.55406129999999998</v>
      </c>
      <c r="F7111" t="s">
        <v>43</v>
      </c>
      <c r="G7111">
        <v>-186.67760000000001</v>
      </c>
      <c r="H7111">
        <v>0.84762969999999904</v>
      </c>
      <c r="I7111">
        <v>47.46763</v>
      </c>
      <c r="J7111">
        <v>-186.863</v>
      </c>
      <c r="K7111">
        <v>1.109945</v>
      </c>
      <c r="L7111">
        <v>46.870730000000002</v>
      </c>
      <c r="M7111">
        <v>8.5296529999999999E-3</v>
      </c>
      <c r="N7111">
        <v>0</v>
      </c>
      <c r="O7111">
        <v>0.99986589999999997</v>
      </c>
      <c r="P7111">
        <v>5.0765490000000003E-2</v>
      </c>
      <c r="Q7111">
        <v>-2.5847559999999999E-2</v>
      </c>
      <c r="R7111">
        <v>0.99837609999999999</v>
      </c>
      <c r="S7111">
        <v>0.58541869999999996</v>
      </c>
      <c r="T7111">
        <v>-0.81584159999999994</v>
      </c>
      <c r="U7111">
        <v>2.954285</v>
      </c>
      <c r="V7111">
        <v>4.2248260000000003E-2</v>
      </c>
      <c r="W7111">
        <v>-1.1879249999999999E-2</v>
      </c>
      <c r="X7111">
        <v>0.99903649999999999</v>
      </c>
      <c r="Y7111">
        <v>0.1792349</v>
      </c>
      <c r="Z7111">
        <v>-0.26166080000000003</v>
      </c>
      <c r="AA7111">
        <v>0.94837150000000003</v>
      </c>
      <c r="AB7111">
        <v>36</v>
      </c>
      <c r="AC7111">
        <v>0.18539999999998699</v>
      </c>
      <c r="AD7111">
        <v>-0.26231529999999997</v>
      </c>
      <c r="AE7111">
        <v>0.59689999999999699</v>
      </c>
      <c r="AF7111">
        <v>0.153299948005723</v>
      </c>
      <c r="AG7111">
        <v>-0.26231529999999997</v>
      </c>
      <c r="AH7111">
        <v>0.50883608218349996</v>
      </c>
      <c r="AI7111">
        <v>116.271185558254</v>
      </c>
      <c r="AJ7111">
        <v>73.233722124929599</v>
      </c>
      <c r="AK7111">
        <v>0.59264183889133304</v>
      </c>
      <c r="AL7111">
        <v>90.6806469113303</v>
      </c>
      <c r="AM7111">
        <v>87.578461307384998</v>
      </c>
      <c r="AN7111">
        <v>0.99999998019291902</v>
      </c>
    </row>
    <row r="7112" spans="1:40" x14ac:dyDescent="0.25">
      <c r="A7112" t="str">
        <f>"20190312161455754"</f>
        <v>20190312161455754</v>
      </c>
      <c r="B7112" t="str">
        <f>"1552378495743323"</f>
        <v>1552378495743323</v>
      </c>
      <c r="C7112" t="s">
        <v>40</v>
      </c>
      <c r="D7112">
        <v>5.2093220000000002</v>
      </c>
      <c r="E7112">
        <v>0.55342709999999995</v>
      </c>
      <c r="F7112" t="s">
        <v>43</v>
      </c>
      <c r="G7112">
        <v>-186.68260000000001</v>
      </c>
      <c r="H7112">
        <v>0.85483560000000003</v>
      </c>
      <c r="I7112">
        <v>47.787129999999998</v>
      </c>
      <c r="J7112">
        <v>-186.85990000000001</v>
      </c>
      <c r="K7112">
        <v>1.109955</v>
      </c>
      <c r="L7112">
        <v>47.238250000000001</v>
      </c>
      <c r="M7112">
        <v>8.4690069999999902E-3</v>
      </c>
      <c r="N7112">
        <v>0</v>
      </c>
      <c r="O7112">
        <v>0.99986509999999995</v>
      </c>
      <c r="P7112">
        <v>5.0921920000000002E-2</v>
      </c>
      <c r="Q7112">
        <v>-2.531624E-2</v>
      </c>
      <c r="R7112">
        <v>0.99838170000000004</v>
      </c>
      <c r="S7112">
        <v>0.58119200000000004</v>
      </c>
      <c r="T7112">
        <v>-0.82234810000000003</v>
      </c>
      <c r="U7112">
        <v>2.9540410000000001</v>
      </c>
      <c r="V7112">
        <v>4.2465139999999998E-2</v>
      </c>
      <c r="W7112">
        <v>-1.124789E-2</v>
      </c>
      <c r="X7112">
        <v>0.99903459999999999</v>
      </c>
      <c r="Y7112">
        <v>0.17789679999999999</v>
      </c>
      <c r="Z7112">
        <v>-0.2636867</v>
      </c>
      <c r="AA7112">
        <v>0.94806230000000002</v>
      </c>
      <c r="AB7112">
        <v>35</v>
      </c>
      <c r="AC7112">
        <v>0.17730000000000201</v>
      </c>
      <c r="AD7112">
        <v>-0.2551194</v>
      </c>
      <c r="AE7112">
        <v>0.54887999999999604</v>
      </c>
      <c r="AF7112">
        <v>0.144396829135604</v>
      </c>
      <c r="AG7112">
        <v>-0.2551194</v>
      </c>
      <c r="AH7112">
        <v>0.46031256502800499</v>
      </c>
      <c r="AI7112">
        <v>117.870883414022</v>
      </c>
      <c r="AJ7112">
        <v>72.583724008226</v>
      </c>
      <c r="AK7112">
        <v>0.54573254442394903</v>
      </c>
      <c r="AL7112">
        <v>90.644470236009695</v>
      </c>
      <c r="AM7112">
        <v>87.566040709424598</v>
      </c>
      <c r="AN7112">
        <v>0.99999996757091503</v>
      </c>
    </row>
    <row r="7113" spans="1:40" x14ac:dyDescent="0.25">
      <c r="A7113" t="str">
        <f>"20190312161455776"</f>
        <v>20190312161455776</v>
      </c>
      <c r="B7113" t="str">
        <f>"1552378495763820"</f>
        <v>1552378495763820</v>
      </c>
      <c r="C7113" t="s">
        <v>40</v>
      </c>
      <c r="D7113">
        <v>5.2687650000000001</v>
      </c>
      <c r="E7113">
        <v>0.55253859999999999</v>
      </c>
      <c r="F7113" t="s">
        <v>43</v>
      </c>
      <c r="G7113">
        <v>-186.68950000000001</v>
      </c>
      <c r="H7113">
        <v>0.87097239999999998</v>
      </c>
      <c r="I7113">
        <v>48.110059999999997</v>
      </c>
      <c r="J7113">
        <v>-186.8571</v>
      </c>
      <c r="K7113">
        <v>1.1099650000000001</v>
      </c>
      <c r="L7113">
        <v>47.575589999999998</v>
      </c>
      <c r="M7113">
        <v>8.4133009999999998E-3</v>
      </c>
      <c r="N7113">
        <v>0</v>
      </c>
      <c r="O7113">
        <v>0.99986439999999999</v>
      </c>
      <c r="P7113">
        <v>5.0837830000000001E-2</v>
      </c>
      <c r="Q7113">
        <v>-2.5367540000000001E-2</v>
      </c>
      <c r="R7113">
        <v>0.99838470000000001</v>
      </c>
      <c r="S7113">
        <v>0.5770111</v>
      </c>
      <c r="T7113">
        <v>-0.80999589999999999</v>
      </c>
      <c r="U7113">
        <v>2.954895</v>
      </c>
      <c r="V7113">
        <v>4.2436649999999999E-2</v>
      </c>
      <c r="W7113">
        <v>-1.1219740000000001E-2</v>
      </c>
      <c r="X7113">
        <v>0.99903609999999998</v>
      </c>
      <c r="Y7113">
        <v>0.1767997</v>
      </c>
      <c r="Z7113">
        <v>-0.25998979999999999</v>
      </c>
      <c r="AA7113">
        <v>0.94928769999999996</v>
      </c>
      <c r="AB7113">
        <v>35</v>
      </c>
      <c r="AC7113">
        <v>0.167599999999993</v>
      </c>
      <c r="AD7113">
        <v>-0.238992599999999</v>
      </c>
      <c r="AE7113">
        <v>0.53446999999999101</v>
      </c>
      <c r="AF7113">
        <v>0.13797818472203299</v>
      </c>
      <c r="AG7113">
        <v>-0.238992599999999</v>
      </c>
      <c r="AH7113">
        <v>0.45333259673410498</v>
      </c>
      <c r="AI7113">
        <v>116.763956730998</v>
      </c>
      <c r="AJ7113">
        <v>73.071631602968694</v>
      </c>
      <c r="AK7113">
        <v>0.53072204172771398</v>
      </c>
      <c r="AL7113">
        <v>90.642857275408304</v>
      </c>
      <c r="AM7113">
        <v>87.567675346355401</v>
      </c>
      <c r="AN7113">
        <v>0.99999994046604801</v>
      </c>
    </row>
    <row r="7114" spans="1:40" x14ac:dyDescent="0.25">
      <c r="A7114" t="str">
        <f>"20190312161455800"</f>
        <v>20190312161455800</v>
      </c>
      <c r="B7114" t="str">
        <f>"1552378495793663"</f>
        <v>1552378495793663</v>
      </c>
      <c r="C7114" t="s">
        <v>40</v>
      </c>
      <c r="D7114">
        <v>5.1429010000000002</v>
      </c>
      <c r="E7114">
        <v>0.55283549999999904</v>
      </c>
      <c r="F7114" t="s">
        <v>43</v>
      </c>
      <c r="G7114">
        <v>-186.69200000000001</v>
      </c>
      <c r="H7114">
        <v>0.87959719999999997</v>
      </c>
      <c r="I7114">
        <v>48.429569999999998</v>
      </c>
      <c r="J7114">
        <v>-186.85400000000001</v>
      </c>
      <c r="K7114">
        <v>1.10997099999999</v>
      </c>
      <c r="L7114">
        <v>47.947879999999998</v>
      </c>
      <c r="M7114">
        <v>8.3515359999999997E-3</v>
      </c>
      <c r="N7114">
        <v>0</v>
      </c>
      <c r="O7114">
        <v>0.99986379999999997</v>
      </c>
      <c r="P7114">
        <v>5.0846219999999998E-2</v>
      </c>
      <c r="Q7114">
        <v>-2.573402E-2</v>
      </c>
      <c r="R7114">
        <v>0.99837489999999995</v>
      </c>
      <c r="S7114">
        <v>0.57087710000000003</v>
      </c>
      <c r="T7114">
        <v>-0.79728129999999997</v>
      </c>
      <c r="U7114">
        <v>2.9555359999999999</v>
      </c>
      <c r="V7114">
        <v>4.2506839999999997E-2</v>
      </c>
      <c r="W7114">
        <v>-1.1510970000000001E-2</v>
      </c>
      <c r="X7114">
        <v>0.99902990000000003</v>
      </c>
      <c r="Y7114">
        <v>0.17511379999999999</v>
      </c>
      <c r="Z7114">
        <v>-0.2562178</v>
      </c>
      <c r="AA7114">
        <v>0.95062480000000005</v>
      </c>
      <c r="AB7114">
        <v>35</v>
      </c>
      <c r="AC7114">
        <v>0.162000000000006</v>
      </c>
      <c r="AD7114">
        <v>-0.23037379999999899</v>
      </c>
      <c r="AE7114">
        <v>0.48169000000000001</v>
      </c>
      <c r="AF7114">
        <v>0.13104291075961599</v>
      </c>
      <c r="AG7114">
        <v>-0.23037379999999899</v>
      </c>
      <c r="AH7114">
        <v>0.40068831670213401</v>
      </c>
      <c r="AI7114">
        <v>118.654974912258</v>
      </c>
      <c r="AJ7114">
        <v>71.889951849030993</v>
      </c>
      <c r="AK7114">
        <v>0.48041176018950899</v>
      </c>
      <c r="AL7114">
        <v>90.659544540133595</v>
      </c>
      <c r="AM7114">
        <v>87.563642035903101</v>
      </c>
      <c r="AN7114">
        <v>1.00000003748556</v>
      </c>
    </row>
    <row r="7115" spans="1:40" x14ac:dyDescent="0.25">
      <c r="A7115" t="str">
        <f>"20190312161455822"</f>
        <v>20190312161455822</v>
      </c>
      <c r="B7115" t="str">
        <f>"1552378495814159"</f>
        <v>1552378495814159</v>
      </c>
      <c r="C7115" t="s">
        <v>40</v>
      </c>
      <c r="D7115">
        <v>5.2295309999999997</v>
      </c>
      <c r="E7115">
        <v>0.55257559999999994</v>
      </c>
      <c r="F7115" t="s">
        <v>43</v>
      </c>
      <c r="G7115">
        <v>-186.6985</v>
      </c>
      <c r="H7115">
        <v>0.89265280000000002</v>
      </c>
      <c r="I7115">
        <v>48.750450000000001</v>
      </c>
      <c r="J7115">
        <v>-186.851</v>
      </c>
      <c r="K7115">
        <v>1.109982</v>
      </c>
      <c r="L7115">
        <v>48.31503</v>
      </c>
      <c r="M7115">
        <v>8.2907139999999994E-3</v>
      </c>
      <c r="N7115">
        <v>0</v>
      </c>
      <c r="O7115">
        <v>0.99986339999999996</v>
      </c>
      <c r="P7115">
        <v>5.1490569999999999E-2</v>
      </c>
      <c r="Q7115">
        <v>-2.6166229999999999E-2</v>
      </c>
      <c r="R7115">
        <v>0.99833070000000002</v>
      </c>
      <c r="S7115">
        <v>0.57247919999999997</v>
      </c>
      <c r="T7115">
        <v>-0.80017759999999905</v>
      </c>
      <c r="U7115">
        <v>2.9551090000000002</v>
      </c>
      <c r="V7115">
        <v>4.3212309999999997E-2</v>
      </c>
      <c r="W7115">
        <v>-1.1880150000000001E-2</v>
      </c>
      <c r="X7115">
        <v>0.99899530000000003</v>
      </c>
      <c r="Y7115">
        <v>0.17565159999999999</v>
      </c>
      <c r="Z7115">
        <v>-0.25709579999999999</v>
      </c>
      <c r="AA7115">
        <v>0.95028849999999998</v>
      </c>
      <c r="AB7115">
        <v>35</v>
      </c>
      <c r="AC7115">
        <v>0.15250000000000299</v>
      </c>
      <c r="AD7115">
        <v>-0.2173292</v>
      </c>
      <c r="AE7115">
        <v>0.43541999999999997</v>
      </c>
      <c r="AF7115">
        <v>0.121846074727523</v>
      </c>
      <c r="AG7115">
        <v>-0.2173292</v>
      </c>
      <c r="AH7115">
        <v>0.35736751154054303</v>
      </c>
      <c r="AI7115">
        <v>119.92481586325</v>
      </c>
      <c r="AJ7115">
        <v>71.172957213945594</v>
      </c>
      <c r="AK7115">
        <v>0.435648924483724</v>
      </c>
      <c r="AL7115">
        <v>90.680698450288602</v>
      </c>
      <c r="AM7115">
        <v>87.523170989138094</v>
      </c>
      <c r="AN7115">
        <v>1.0000000255608199</v>
      </c>
    </row>
    <row r="7116" spans="1:40" x14ac:dyDescent="0.25">
      <c r="A7116" t="str">
        <f>"20190312161455843"</f>
        <v>20190312161455843</v>
      </c>
      <c r="B7116" t="str">
        <f>"1552378495833679"</f>
        <v>1552378495833679</v>
      </c>
      <c r="C7116" t="s">
        <v>40</v>
      </c>
      <c r="D7116">
        <v>5.1217569999999997</v>
      </c>
      <c r="E7116">
        <v>0.55209540000000001</v>
      </c>
      <c r="F7116" t="s">
        <v>43</v>
      </c>
      <c r="G7116">
        <v>-186.70509999999999</v>
      </c>
      <c r="H7116">
        <v>0.90500550000000002</v>
      </c>
      <c r="I7116">
        <v>49.070650000000001</v>
      </c>
      <c r="J7116">
        <v>-186.8484</v>
      </c>
      <c r="K7116">
        <v>1.1099909999999999</v>
      </c>
      <c r="L7116">
        <v>48.645200000000003</v>
      </c>
      <c r="M7116">
        <v>8.2362019999999998E-3</v>
      </c>
      <c r="N7116">
        <v>0</v>
      </c>
      <c r="O7116">
        <v>0.9998631</v>
      </c>
      <c r="P7116">
        <v>5.2021989999999997E-2</v>
      </c>
      <c r="Q7116">
        <v>-2.5489390000000001E-2</v>
      </c>
      <c r="R7116">
        <v>0.9983206</v>
      </c>
      <c r="S7116">
        <v>0.57060239999999995</v>
      </c>
      <c r="T7116">
        <v>-0.80148219999999903</v>
      </c>
      <c r="U7116">
        <v>2.9545590000000002</v>
      </c>
      <c r="V7116">
        <v>4.3798169999999997E-2</v>
      </c>
      <c r="W7116">
        <v>-1.115439E-2</v>
      </c>
      <c r="X7116">
        <v>0.99897809999999998</v>
      </c>
      <c r="Y7116">
        <v>0.17513299999999901</v>
      </c>
      <c r="Z7116">
        <v>-0.25755709999999998</v>
      </c>
      <c r="AA7116">
        <v>0.95025930000000003</v>
      </c>
      <c r="AB7116">
        <v>35</v>
      </c>
      <c r="AC7116">
        <v>0.14330000000001</v>
      </c>
      <c r="AD7116">
        <v>-0.20498549999999999</v>
      </c>
      <c r="AE7116">
        <v>0.425449999999997</v>
      </c>
      <c r="AF7116">
        <v>0.115674111382099</v>
      </c>
      <c r="AG7116">
        <v>-0.20498549999999999</v>
      </c>
      <c r="AH7116">
        <v>0.35301650537631302</v>
      </c>
      <c r="AI7116">
        <v>118.88991880210099</v>
      </c>
      <c r="AJ7116">
        <v>71.857407374287305</v>
      </c>
      <c r="AK7116">
        <v>0.42428788377986099</v>
      </c>
      <c r="AL7116">
        <v>90.639112741392793</v>
      </c>
      <c r="AM7116">
        <v>87.489590362829702</v>
      </c>
      <c r="AN7116">
        <v>0.99999997219561498</v>
      </c>
    </row>
    <row r="7117" spans="1:40" x14ac:dyDescent="0.25">
      <c r="A7117" t="str">
        <f>"20190312161455866"</f>
        <v>20190312161455866</v>
      </c>
      <c r="B7117" t="str">
        <f>"1552378495863936"</f>
        <v>1552378495863936</v>
      </c>
      <c r="C7117" t="s">
        <v>40</v>
      </c>
      <c r="D7117">
        <v>5.1959629999999999</v>
      </c>
      <c r="E7117">
        <v>0.55154399999999904</v>
      </c>
      <c r="F7117" t="s">
        <v>43</v>
      </c>
      <c r="G7117">
        <v>-186.70529999999999</v>
      </c>
      <c r="H7117">
        <v>0.91009960000000001</v>
      </c>
      <c r="I7117">
        <v>49.387630000000001</v>
      </c>
      <c r="J7117">
        <v>-186.84540000000001</v>
      </c>
      <c r="K7117">
        <v>1.110001</v>
      </c>
      <c r="L7117">
        <v>49.006810000000002</v>
      </c>
      <c r="M7117">
        <v>8.1762190000000002E-3</v>
      </c>
      <c r="N7117">
        <v>0</v>
      </c>
      <c r="O7117">
        <v>0.99986299999999995</v>
      </c>
      <c r="P7117">
        <v>5.246878E-2</v>
      </c>
      <c r="Q7117">
        <v>-2.4639919999999999E-2</v>
      </c>
      <c r="R7117">
        <v>0.99831859999999994</v>
      </c>
      <c r="S7117">
        <v>0.56845089999999998</v>
      </c>
      <c r="T7117">
        <v>-0.79562690000000003</v>
      </c>
      <c r="U7117">
        <v>2.9551090000000002</v>
      </c>
      <c r="V7117">
        <v>4.430477E-2</v>
      </c>
      <c r="W7117">
        <v>-1.025889E-2</v>
      </c>
      <c r="X7117">
        <v>0.9989654</v>
      </c>
      <c r="Y7117">
        <v>0.17458080000000001</v>
      </c>
      <c r="Z7117">
        <v>-0.25578650000000003</v>
      </c>
      <c r="AA7117">
        <v>0.95083899999999999</v>
      </c>
      <c r="AB7117">
        <v>35</v>
      </c>
      <c r="AC7117">
        <v>0.14010000000001799</v>
      </c>
      <c r="AD7117">
        <v>-0.19990140000000001</v>
      </c>
      <c r="AE7117">
        <v>0.38082000000000699</v>
      </c>
      <c r="AF7117">
        <v>0.110229035027113</v>
      </c>
      <c r="AG7117">
        <v>-0.19990140000000001</v>
      </c>
      <c r="AH7117">
        <v>0.30735793064376599</v>
      </c>
      <c r="AI7117">
        <v>121.475233773353</v>
      </c>
      <c r="AJ7117">
        <v>70.270435183406406</v>
      </c>
      <c r="AK7117">
        <v>0.382857554992176</v>
      </c>
      <c r="AL7117">
        <v>90.587801402115602</v>
      </c>
      <c r="AM7117">
        <v>87.460558777202706</v>
      </c>
      <c r="AN7117">
        <v>1.0000000139329699</v>
      </c>
    </row>
    <row r="7118" spans="1:40" x14ac:dyDescent="0.25">
      <c r="A7118" t="str">
        <f>"20190312161455887"</f>
        <v>20190312161455887</v>
      </c>
      <c r="B7118" t="str">
        <f>"1552378495873695"</f>
        <v>1552378495873695</v>
      </c>
      <c r="C7118" t="s">
        <v>40</v>
      </c>
      <c r="D7118">
        <v>5.1486980000000004</v>
      </c>
      <c r="E7118">
        <v>0.55128089999999996</v>
      </c>
      <c r="F7118" t="s">
        <v>43</v>
      </c>
      <c r="G7118">
        <v>-186.7114</v>
      </c>
      <c r="H7118">
        <v>0.92219640000000003</v>
      </c>
      <c r="I7118">
        <v>49.70702</v>
      </c>
      <c r="J7118">
        <v>-186.84280000000001</v>
      </c>
      <c r="K7118">
        <v>1.110006</v>
      </c>
      <c r="L7118">
        <v>49.333190000000002</v>
      </c>
      <c r="M7118">
        <v>8.1221509999999993E-3</v>
      </c>
      <c r="N7118">
        <v>0</v>
      </c>
      <c r="O7118">
        <v>0.9998629</v>
      </c>
      <c r="P7118">
        <v>5.2708949999999997E-2</v>
      </c>
      <c r="Q7118">
        <v>-2.4907370000000002E-2</v>
      </c>
      <c r="R7118">
        <v>0.99829920000000005</v>
      </c>
      <c r="S7118">
        <v>0.56591800000000003</v>
      </c>
      <c r="T7118">
        <v>-0.79274820000000001</v>
      </c>
      <c r="U7118">
        <v>2.9557500000000001</v>
      </c>
      <c r="V7118">
        <v>4.4599109999999997E-2</v>
      </c>
      <c r="W7118">
        <v>-1.0491469999999999E-2</v>
      </c>
      <c r="X7118">
        <v>0.99894989999999995</v>
      </c>
      <c r="Y7118">
        <v>0.17385339999999999</v>
      </c>
      <c r="Z7118">
        <v>-0.2549072</v>
      </c>
      <c r="AA7118">
        <v>0.95120839999999995</v>
      </c>
      <c r="AB7118">
        <v>35</v>
      </c>
      <c r="AC7118">
        <v>0.13140000000001301</v>
      </c>
      <c r="AD7118">
        <v>-0.18780959999999999</v>
      </c>
      <c r="AE7118">
        <v>0.373829999999998</v>
      </c>
      <c r="AF7118">
        <v>0.104813350296559</v>
      </c>
      <c r="AG7118">
        <v>-0.18780959999999999</v>
      </c>
      <c r="AH7118">
        <v>0.30611754551725301</v>
      </c>
      <c r="AI7118">
        <v>120.132593377535</v>
      </c>
      <c r="AJ7118">
        <v>71.0990134834326</v>
      </c>
      <c r="AK7118">
        <v>0.37412061681502701</v>
      </c>
      <c r="AL7118">
        <v>90.601127963708393</v>
      </c>
      <c r="AM7118">
        <v>87.443670621332899</v>
      </c>
      <c r="AN7118">
        <v>1.00000002713278</v>
      </c>
    </row>
    <row r="7119" spans="1:40" x14ac:dyDescent="0.25">
      <c r="A7119" t="str">
        <f>"20190312161455910"</f>
        <v>20190312161455910</v>
      </c>
      <c r="B7119" t="str">
        <f>"1552378495903952"</f>
        <v>1552378495903952</v>
      </c>
      <c r="C7119" t="s">
        <v>40</v>
      </c>
      <c r="D7119">
        <v>5.169003</v>
      </c>
      <c r="E7119">
        <v>0.5504232</v>
      </c>
      <c r="F7119" t="s">
        <v>43</v>
      </c>
      <c r="G7119">
        <v>-186.71090000000001</v>
      </c>
      <c r="H7119">
        <v>0.92543140000000002</v>
      </c>
      <c r="I7119">
        <v>50.022629999999999</v>
      </c>
      <c r="J7119">
        <v>-186.84</v>
      </c>
      <c r="K7119">
        <v>1.110012</v>
      </c>
      <c r="L7119">
        <v>49.688450000000003</v>
      </c>
      <c r="M7119">
        <v>8.0632580000000002E-3</v>
      </c>
      <c r="N7119">
        <v>0</v>
      </c>
      <c r="O7119">
        <v>0.9998629</v>
      </c>
      <c r="P7119">
        <v>5.2177630000000003E-2</v>
      </c>
      <c r="Q7119">
        <v>-2.479073E-2</v>
      </c>
      <c r="R7119">
        <v>0.9983301</v>
      </c>
      <c r="S7119">
        <v>0.56484990000000002</v>
      </c>
      <c r="T7119">
        <v>-0.79124019999999995</v>
      </c>
      <c r="U7119">
        <v>2.9555359999999999</v>
      </c>
      <c r="V7119">
        <v>4.4126369999999998E-2</v>
      </c>
      <c r="W7119">
        <v>-1.034214E-2</v>
      </c>
      <c r="X7119">
        <v>0.99897239999999998</v>
      </c>
      <c r="Y7119">
        <v>0.173613299999999</v>
      </c>
      <c r="Z7119">
        <v>-0.25448470000000001</v>
      </c>
      <c r="AA7119">
        <v>0.95136540000000003</v>
      </c>
      <c r="AB7119">
        <v>35</v>
      </c>
      <c r="AC7119">
        <v>0.129099999999994</v>
      </c>
      <c r="AD7119">
        <v>-0.18458060000000001</v>
      </c>
      <c r="AE7119">
        <v>0.33417999999999598</v>
      </c>
      <c r="AF7119">
        <v>9.9885343827324405E-2</v>
      </c>
      <c r="AG7119">
        <v>-0.18458060000000001</v>
      </c>
      <c r="AH7119">
        <v>0.26489191301790999</v>
      </c>
      <c r="AI7119">
        <v>123.10439643705</v>
      </c>
      <c r="AJ7119">
        <v>69.339562607430494</v>
      </c>
      <c r="AK7119">
        <v>0.33795680994788502</v>
      </c>
      <c r="AL7119">
        <v>90.592571551133204</v>
      </c>
      <c r="AM7119">
        <v>87.470788623935107</v>
      </c>
      <c r="AN7119">
        <v>0.99999997617545699</v>
      </c>
    </row>
    <row r="7120" spans="1:40" x14ac:dyDescent="0.25">
      <c r="A7120" t="str">
        <f>"20190312161455932"</f>
        <v>20190312161455932</v>
      </c>
      <c r="B7120" t="str">
        <f>"1552378495923472"</f>
        <v>1552378495923472</v>
      </c>
      <c r="C7120" t="s">
        <v>40</v>
      </c>
      <c r="D7120">
        <v>5.1455760000000001</v>
      </c>
      <c r="E7120">
        <v>0.55014989999999997</v>
      </c>
      <c r="F7120" t="s">
        <v>43</v>
      </c>
      <c r="G7120">
        <v>-186.66380000000001</v>
      </c>
      <c r="H7120">
        <v>0.86180089999999998</v>
      </c>
      <c r="I7120">
        <v>50.624070000000003</v>
      </c>
      <c r="J7120">
        <v>-186.8372</v>
      </c>
      <c r="K7120">
        <v>1.110017</v>
      </c>
      <c r="L7120">
        <v>50.039580000000001</v>
      </c>
      <c r="M7120">
        <v>8.0050160000000002E-3</v>
      </c>
      <c r="N7120">
        <v>0</v>
      </c>
      <c r="O7120">
        <v>0.99986299999999995</v>
      </c>
      <c r="P7120">
        <v>5.1153169999999998E-2</v>
      </c>
      <c r="Q7120">
        <v>-2.4791629999999999E-2</v>
      </c>
      <c r="R7120">
        <v>0.99838300000000002</v>
      </c>
      <c r="S7120">
        <v>0.55616759999999998</v>
      </c>
      <c r="T7120">
        <v>-0.78432380000000002</v>
      </c>
      <c r="U7120">
        <v>2.9564819999999998</v>
      </c>
      <c r="V7120">
        <v>4.3159669999999997E-2</v>
      </c>
      <c r="W7120">
        <v>-1.031556E-2</v>
      </c>
      <c r="X7120">
        <v>0.99901490000000004</v>
      </c>
      <c r="Y7120">
        <v>0.17101520000000001</v>
      </c>
      <c r="Z7120">
        <v>-0.25245240000000002</v>
      </c>
      <c r="AA7120">
        <v>0.95237680000000002</v>
      </c>
      <c r="AB7120">
        <v>35</v>
      </c>
      <c r="AC7120">
        <v>0.17339999999998601</v>
      </c>
      <c r="AD7120">
        <v>-0.2482161</v>
      </c>
      <c r="AE7120">
        <v>0.58449000000000195</v>
      </c>
      <c r="AF7120">
        <v>0.14472578816479501</v>
      </c>
      <c r="AG7120">
        <v>-0.2482161</v>
      </c>
      <c r="AH7120">
        <v>0.50255712477271897</v>
      </c>
      <c r="AI7120">
        <v>115.389845346306</v>
      </c>
      <c r="AJ7120">
        <v>73.9347221148751</v>
      </c>
      <c r="AK7120">
        <v>0.57889588849719298</v>
      </c>
      <c r="AL7120">
        <v>90.591048552182599</v>
      </c>
      <c r="AM7120">
        <v>87.526232915058898</v>
      </c>
      <c r="AN7120">
        <v>0.99999996915731504</v>
      </c>
    </row>
    <row r="7121" spans="1:40" x14ac:dyDescent="0.25">
      <c r="A7121" t="str">
        <f>"20190312161455955"</f>
        <v>20190312161455955</v>
      </c>
      <c r="B7121" t="str">
        <f>"1552378495943971"</f>
        <v>1552378495943971</v>
      </c>
      <c r="C7121" t="s">
        <v>40</v>
      </c>
      <c r="D7121">
        <v>5.1732529999999999</v>
      </c>
      <c r="E7121">
        <v>0.54955639999999994</v>
      </c>
      <c r="F7121" t="s">
        <v>43</v>
      </c>
      <c r="G7121">
        <v>-186.66929999999999</v>
      </c>
      <c r="H7121">
        <v>0.87115940000000003</v>
      </c>
      <c r="I7121">
        <v>50.940840000000001</v>
      </c>
      <c r="J7121">
        <v>-186.83439999999999</v>
      </c>
      <c r="K7121">
        <v>1.11002</v>
      </c>
      <c r="L7121">
        <v>50.401670000000003</v>
      </c>
      <c r="M7121">
        <v>7.944942E-3</v>
      </c>
      <c r="N7121">
        <v>0</v>
      </c>
      <c r="O7121">
        <v>0.9998631</v>
      </c>
      <c r="P7121">
        <v>4.955002E-2</v>
      </c>
      <c r="Q7121">
        <v>-2.5267729999999999E-2</v>
      </c>
      <c r="R7121">
        <v>0.99845189999999995</v>
      </c>
      <c r="S7121">
        <v>0.55094909999999997</v>
      </c>
      <c r="T7121">
        <v>-0.78371780000000002</v>
      </c>
      <c r="U7121">
        <v>2.9571529999999999</v>
      </c>
      <c r="V7121">
        <v>4.161608E-2</v>
      </c>
      <c r="W7121">
        <v>-1.076759E-2</v>
      </c>
      <c r="X7121">
        <v>0.99907570000000001</v>
      </c>
      <c r="Y7121">
        <v>0.1694186</v>
      </c>
      <c r="Z7121">
        <v>-0.25229040000000003</v>
      </c>
      <c r="AA7121">
        <v>0.95270500000000002</v>
      </c>
      <c r="AB7121">
        <v>35</v>
      </c>
      <c r="AC7121">
        <v>0.165099999999995</v>
      </c>
      <c r="AD7121">
        <v>-0.23886059999999901</v>
      </c>
      <c r="AE7121">
        <v>0.53916999999999804</v>
      </c>
      <c r="AF7121">
        <v>0.136345207947217</v>
      </c>
      <c r="AG7121">
        <v>-0.23886059999999901</v>
      </c>
      <c r="AH7121">
        <v>0.45823944862601101</v>
      </c>
      <c r="AI7121">
        <v>116.547200831719</v>
      </c>
      <c r="AJ7121">
        <v>73.430079107310604</v>
      </c>
      <c r="AK7121">
        <v>0.53444157233471301</v>
      </c>
      <c r="AL7121">
        <v>90.616949355714894</v>
      </c>
      <c r="AM7121">
        <v>87.614747208703704</v>
      </c>
      <c r="AN7121">
        <v>1.0000000467197301</v>
      </c>
    </row>
    <row r="7122" spans="1:40" x14ac:dyDescent="0.25">
      <c r="A7122" t="str">
        <f>"20190312161455978"</f>
        <v>20190312161455978</v>
      </c>
      <c r="B7122" t="str">
        <f>"1552378495963487"</f>
        <v>1552378495963487</v>
      </c>
      <c r="C7122" t="s">
        <v>40</v>
      </c>
      <c r="D7122">
        <v>5.3159539999999996</v>
      </c>
      <c r="E7122">
        <v>0.54888319999999902</v>
      </c>
      <c r="F7122" t="s">
        <v>43</v>
      </c>
      <c r="G7122">
        <v>-186.6772</v>
      </c>
      <c r="H7122">
        <v>0.88380000000000003</v>
      </c>
      <c r="I7122">
        <v>51.258580000000002</v>
      </c>
      <c r="J7122">
        <v>-186.83170000000001</v>
      </c>
      <c r="K7122">
        <v>1.110012</v>
      </c>
      <c r="L7122">
        <v>50.750579999999999</v>
      </c>
      <c r="M7122">
        <v>7.8870529999999998E-3</v>
      </c>
      <c r="N7122">
        <v>0</v>
      </c>
      <c r="O7122">
        <v>0.99986330000000001</v>
      </c>
      <c r="P7122">
        <v>4.8470069999999997E-2</v>
      </c>
      <c r="Q7122">
        <v>-2.5809789999999999E-2</v>
      </c>
      <c r="R7122">
        <v>0.99849109999999996</v>
      </c>
      <c r="S7122">
        <v>0.54208369999999995</v>
      </c>
      <c r="T7122">
        <v>-0.78088069999999998</v>
      </c>
      <c r="U7122">
        <v>2.9579770000000001</v>
      </c>
      <c r="V7122">
        <v>4.0593740000000003E-2</v>
      </c>
      <c r="W7122">
        <v>-1.1290390000000001E-2</v>
      </c>
      <c r="X7122">
        <v>0.999112</v>
      </c>
      <c r="Y7122">
        <v>0.1667034</v>
      </c>
      <c r="Z7122">
        <v>-0.25149359999999998</v>
      </c>
      <c r="AA7122">
        <v>0.95339450000000003</v>
      </c>
      <c r="AB7122">
        <v>35</v>
      </c>
      <c r="AC7122">
        <v>0.15450000000001199</v>
      </c>
      <c r="AD7122">
        <v>-0.226212</v>
      </c>
      <c r="AE7122">
        <v>0.50800000000000201</v>
      </c>
      <c r="AF7122">
        <v>0.12737010995092601</v>
      </c>
      <c r="AG7122">
        <v>-0.226212</v>
      </c>
      <c r="AH7122">
        <v>0.43097896548328601</v>
      </c>
      <c r="AI7122">
        <v>116.718738152789</v>
      </c>
      <c r="AJ7122">
        <v>73.535655019818705</v>
      </c>
      <c r="AK7122">
        <v>0.50312809754768695</v>
      </c>
      <c r="AL7122">
        <v>90.646905403763398</v>
      </c>
      <c r="AM7122">
        <v>87.673362527064199</v>
      </c>
      <c r="AN7122">
        <v>1.0000000565887599</v>
      </c>
    </row>
    <row r="7123" spans="1:40" x14ac:dyDescent="0.25">
      <c r="A7123" t="str">
        <f>"20190312161456001"</f>
        <v>20190312161456001</v>
      </c>
      <c r="B7123" t="str">
        <f>"1552378495993744"</f>
        <v>1552378495993744</v>
      </c>
      <c r="C7123" t="s">
        <v>40</v>
      </c>
      <c r="D7123">
        <v>5.2613390000000004</v>
      </c>
      <c r="E7123">
        <v>0.54817419999999994</v>
      </c>
      <c r="F7123" t="s">
        <v>43</v>
      </c>
      <c r="G7123">
        <v>-186.68299999999999</v>
      </c>
      <c r="H7123">
        <v>0.89372559999999901</v>
      </c>
      <c r="I7123">
        <v>51.574869999999997</v>
      </c>
      <c r="J7123">
        <v>-186.8289</v>
      </c>
      <c r="K7123">
        <v>1.1100190000000001</v>
      </c>
      <c r="L7123">
        <v>51.111719999999998</v>
      </c>
      <c r="M7123">
        <v>7.8271339999999995E-3</v>
      </c>
      <c r="N7123">
        <v>0</v>
      </c>
      <c r="O7123">
        <v>0.99986359999999996</v>
      </c>
      <c r="P7123">
        <v>4.8104830000000001E-2</v>
      </c>
      <c r="Q7123">
        <v>-2.6015730000000001E-2</v>
      </c>
      <c r="R7123">
        <v>0.99850340000000004</v>
      </c>
      <c r="S7123">
        <v>0.53353879999999998</v>
      </c>
      <c r="T7123">
        <v>-0.77629959999999998</v>
      </c>
      <c r="U7123">
        <v>2.9585569999999999</v>
      </c>
      <c r="V7123">
        <v>4.0288270000000001E-2</v>
      </c>
      <c r="W7123">
        <v>-1.147984E-2</v>
      </c>
      <c r="X7123">
        <v>0.99912210000000001</v>
      </c>
      <c r="Y7123">
        <v>0.1641234</v>
      </c>
      <c r="Z7123">
        <v>-0.2501815</v>
      </c>
      <c r="AA7123">
        <v>0.95418700000000001</v>
      </c>
      <c r="AB7123">
        <v>35</v>
      </c>
      <c r="AC7123">
        <v>0.14590000000001099</v>
      </c>
      <c r="AD7123">
        <v>-0.2162934</v>
      </c>
      <c r="AE7123">
        <v>0.463150000000006</v>
      </c>
      <c r="AF7123">
        <v>0.118716142529194</v>
      </c>
      <c r="AG7123">
        <v>-0.2162934</v>
      </c>
      <c r="AH7123">
        <v>0.38741322045139498</v>
      </c>
      <c r="AI7123">
        <v>118.09336721168199</v>
      </c>
      <c r="AJ7123">
        <v>72.963214241794006</v>
      </c>
      <c r="AK7123">
        <v>0.45930965672527801</v>
      </c>
      <c r="AL7123">
        <v>90.657760861570196</v>
      </c>
      <c r="AM7123">
        <v>87.690874888277705</v>
      </c>
      <c r="AN7123">
        <v>0.99999995106721296</v>
      </c>
    </row>
    <row r="7124" spans="1:40" x14ac:dyDescent="0.25">
      <c r="A7124" t="str">
        <f>"20190312161456023"</f>
        <v>20190312161456023</v>
      </c>
      <c r="B7124" t="str">
        <f>"1552378496014240"</f>
        <v>1552378496014240</v>
      </c>
      <c r="C7124" t="s">
        <v>40</v>
      </c>
      <c r="D7124">
        <v>5.269641</v>
      </c>
      <c r="E7124">
        <v>0.54806290000000002</v>
      </c>
      <c r="F7124" t="s">
        <v>43</v>
      </c>
      <c r="G7124">
        <v>-186.68989999999999</v>
      </c>
      <c r="H7124">
        <v>0.9069197</v>
      </c>
      <c r="I7124">
        <v>51.892180000000003</v>
      </c>
      <c r="J7124">
        <v>-186.8263</v>
      </c>
      <c r="K7124">
        <v>1.110028</v>
      </c>
      <c r="L7124">
        <v>51.451450000000001</v>
      </c>
      <c r="M7124">
        <v>7.7707449999999999E-3</v>
      </c>
      <c r="N7124">
        <v>0</v>
      </c>
      <c r="O7124">
        <v>0.99986379999999997</v>
      </c>
      <c r="P7124">
        <v>4.7413570000000002E-2</v>
      </c>
      <c r="Q7124">
        <v>-2.5692280000000001E-2</v>
      </c>
      <c r="R7124">
        <v>0.99854489999999996</v>
      </c>
      <c r="S7124">
        <v>0.52650450000000004</v>
      </c>
      <c r="T7124">
        <v>-0.77004119999999998</v>
      </c>
      <c r="U7124">
        <v>2.959076</v>
      </c>
      <c r="V7124">
        <v>3.9653000000000001E-2</v>
      </c>
      <c r="W7124">
        <v>-1.114308E-2</v>
      </c>
      <c r="X7124">
        <v>0.99915129999999996</v>
      </c>
      <c r="Y7124">
        <v>0.1620344</v>
      </c>
      <c r="Z7124">
        <v>-0.2483427</v>
      </c>
      <c r="AA7124">
        <v>0.95502399999999998</v>
      </c>
      <c r="AB7124">
        <v>35</v>
      </c>
      <c r="AC7124">
        <v>0.13640000000000799</v>
      </c>
      <c r="AD7124">
        <v>-0.20310829999999999</v>
      </c>
      <c r="AE7124">
        <v>0.44072999999999402</v>
      </c>
      <c r="AF7124">
        <v>0.111383075962009</v>
      </c>
      <c r="AG7124">
        <v>-0.20310829999999999</v>
      </c>
      <c r="AH7124">
        <v>0.37005479348271803</v>
      </c>
      <c r="AI7124">
        <v>117.72502703273901</v>
      </c>
      <c r="AJ7124">
        <v>73.248690397441294</v>
      </c>
      <c r="AK7124">
        <v>0.436577279893475</v>
      </c>
      <c r="AL7124">
        <v>90.638464716307197</v>
      </c>
      <c r="AM7124">
        <v>87.727313298114495</v>
      </c>
      <c r="AN7124">
        <v>0.99999992446628505</v>
      </c>
    </row>
    <row r="7125" spans="1:40" x14ac:dyDescent="0.25">
      <c r="A7125" t="str">
        <f>"20190312161456045"</f>
        <v>20190312161456045</v>
      </c>
      <c r="B7125" t="str">
        <f>"1552378496033759"</f>
        <v>1552378496033759</v>
      </c>
      <c r="C7125" t="s">
        <v>40</v>
      </c>
      <c r="D7125">
        <v>5.2260369999999998</v>
      </c>
      <c r="E7125">
        <v>0.54795209999999905</v>
      </c>
      <c r="F7125" t="s">
        <v>43</v>
      </c>
      <c r="G7125">
        <v>-186.6925</v>
      </c>
      <c r="H7125">
        <v>0.91413330000000004</v>
      </c>
      <c r="I7125">
        <v>52.20673</v>
      </c>
      <c r="J7125">
        <v>-186.8237</v>
      </c>
      <c r="K7125">
        <v>1.1100380000000001</v>
      </c>
      <c r="L7125">
        <v>51.798250000000003</v>
      </c>
      <c r="M7125">
        <v>7.7131719999999999E-3</v>
      </c>
      <c r="N7125">
        <v>0</v>
      </c>
      <c r="O7125">
        <v>0.99986410000000003</v>
      </c>
      <c r="P7125">
        <v>4.6987260000000003E-2</v>
      </c>
      <c r="Q7125">
        <v>-2.4739790000000001E-2</v>
      </c>
      <c r="R7125">
        <v>0.99858910000000001</v>
      </c>
      <c r="S7125">
        <v>0.52415469999999997</v>
      </c>
      <c r="T7125">
        <v>-0.76764460000000001</v>
      </c>
      <c r="U7125">
        <v>2.9597470000000001</v>
      </c>
      <c r="V7125">
        <v>3.9283789999999999E-2</v>
      </c>
      <c r="W7125">
        <v>-1.017934E-2</v>
      </c>
      <c r="X7125">
        <v>0.99917630000000002</v>
      </c>
      <c r="Y7125">
        <v>0.16135189999999999</v>
      </c>
      <c r="Z7125">
        <v>-0.24759590000000001</v>
      </c>
      <c r="AA7125">
        <v>0.9553334</v>
      </c>
      <c r="AB7125">
        <v>35</v>
      </c>
      <c r="AC7125">
        <v>0.13120000000000601</v>
      </c>
      <c r="AD7125">
        <v>-0.19590469999999899</v>
      </c>
      <c r="AE7125">
        <v>0.40847999999999701</v>
      </c>
      <c r="AF7125">
        <v>0.10595364080945199</v>
      </c>
      <c r="AG7125">
        <v>-0.19590469999999899</v>
      </c>
      <c r="AH7125">
        <v>0.33883290748142503</v>
      </c>
      <c r="AI7125">
        <v>118.890999281124</v>
      </c>
      <c r="AJ7125">
        <v>72.635445320634105</v>
      </c>
      <c r="AK7125">
        <v>0.40547819260126</v>
      </c>
      <c r="AL7125">
        <v>90.583243259905501</v>
      </c>
      <c r="AM7125">
        <v>87.748508732965007</v>
      </c>
      <c r="AN7125">
        <v>1.00000005680064</v>
      </c>
    </row>
    <row r="7126" spans="1:40" x14ac:dyDescent="0.25">
      <c r="A7126" t="str">
        <f>"20190312161456067"</f>
        <v>20190312161456067</v>
      </c>
      <c r="B7126" t="str">
        <f>"1552378496054255"</f>
        <v>1552378496054255</v>
      </c>
      <c r="C7126" t="s">
        <v>40</v>
      </c>
      <c r="D7126">
        <v>5.2521719999999998</v>
      </c>
      <c r="E7126">
        <v>0.54766590000000004</v>
      </c>
      <c r="F7126" t="s">
        <v>43</v>
      </c>
      <c r="G7126">
        <v>-186.69589999999999</v>
      </c>
      <c r="H7126">
        <v>0.92357619999999896</v>
      </c>
      <c r="I7126">
        <v>52.521990000000002</v>
      </c>
      <c r="J7126">
        <v>-186.821</v>
      </c>
      <c r="K7126">
        <v>1.11005</v>
      </c>
      <c r="L7126">
        <v>52.153289999999998</v>
      </c>
      <c r="M7126">
        <v>7.6539449999999997E-3</v>
      </c>
      <c r="N7126">
        <v>0</v>
      </c>
      <c r="O7126">
        <v>0.99986450000000004</v>
      </c>
      <c r="P7126">
        <v>4.7121469999999999E-2</v>
      </c>
      <c r="Q7126">
        <v>-2.486433E-2</v>
      </c>
      <c r="R7126">
        <v>0.99857969999999896</v>
      </c>
      <c r="S7126">
        <v>0.52229309999999995</v>
      </c>
      <c r="T7126">
        <v>-0.76280649999999905</v>
      </c>
      <c r="U7126">
        <v>2.9607540000000001</v>
      </c>
      <c r="V7126">
        <v>3.9477239999999997E-2</v>
      </c>
      <c r="W7126">
        <v>-1.029499E-2</v>
      </c>
      <c r="X7126">
        <v>0.99916740000000004</v>
      </c>
      <c r="Y7126">
        <v>0.16083919999999999</v>
      </c>
      <c r="Z7126">
        <v>-0.2460772</v>
      </c>
      <c r="AA7126">
        <v>0.95581210000000005</v>
      </c>
      <c r="AB7126">
        <v>35</v>
      </c>
      <c r="AC7126">
        <v>0.12510000000000299</v>
      </c>
      <c r="AD7126">
        <v>-0.1864738</v>
      </c>
      <c r="AE7126">
        <v>0.36869999999999598</v>
      </c>
      <c r="AF7126">
        <v>9.9459466724157994E-2</v>
      </c>
      <c r="AG7126">
        <v>-0.1864738</v>
      </c>
      <c r="AH7126">
        <v>0.30067607767107302</v>
      </c>
      <c r="AI7126">
        <v>120.489764577467</v>
      </c>
      <c r="AJ7126">
        <v>71.696502609188002</v>
      </c>
      <c r="AK7126">
        <v>0.36751975088579297</v>
      </c>
      <c r="AL7126">
        <v>90.589869917084201</v>
      </c>
      <c r="AM7126">
        <v>87.737412799422501</v>
      </c>
      <c r="AN7126">
        <v>0.99999996625993803</v>
      </c>
    </row>
    <row r="7127" spans="1:40" x14ac:dyDescent="0.25">
      <c r="A7127" t="str">
        <f>"20190312161456090"</f>
        <v>20190312161456090</v>
      </c>
      <c r="B7127" t="str">
        <f>"1552378496083536"</f>
        <v>1552378496083536</v>
      </c>
      <c r="C7127" t="s">
        <v>40</v>
      </c>
      <c r="D7127">
        <v>5.270181</v>
      </c>
      <c r="E7127">
        <v>0.54723259999999996</v>
      </c>
      <c r="F7127" t="s">
        <v>43</v>
      </c>
      <c r="G7127">
        <v>-186.70079999999999</v>
      </c>
      <c r="H7127">
        <v>0.93419370000000002</v>
      </c>
      <c r="I7127">
        <v>52.837730000000001</v>
      </c>
      <c r="J7127">
        <v>-186.8184</v>
      </c>
      <c r="K7127">
        <v>1.110053</v>
      </c>
      <c r="L7127">
        <v>52.497070000000001</v>
      </c>
      <c r="M7127">
        <v>7.5969899999999996E-3</v>
      </c>
      <c r="N7127">
        <v>0</v>
      </c>
      <c r="O7127">
        <v>0.9998648</v>
      </c>
      <c r="P7127">
        <v>4.751623E-2</v>
      </c>
      <c r="Q7127">
        <v>-2.475196E-2</v>
      </c>
      <c r="R7127">
        <v>0.9985638</v>
      </c>
      <c r="S7127">
        <v>0.51953130000000003</v>
      </c>
      <c r="T7127">
        <v>-0.76072299999999904</v>
      </c>
      <c r="U7127">
        <v>2.9608150000000002</v>
      </c>
      <c r="V7127">
        <v>3.9928980000000003E-2</v>
      </c>
      <c r="W7127">
        <v>-1.017587E-2</v>
      </c>
      <c r="X7127">
        <v>0.99915069999999995</v>
      </c>
      <c r="Y7127">
        <v>0.16005349999999999</v>
      </c>
      <c r="Z7127">
        <v>-0.2454759</v>
      </c>
      <c r="AA7127">
        <v>0.95609860000000002</v>
      </c>
      <c r="AB7127">
        <v>35</v>
      </c>
      <c r="AC7127">
        <v>0.11760000000001</v>
      </c>
      <c r="AD7127">
        <v>-0.175859299999999</v>
      </c>
      <c r="AE7127">
        <v>0.34066000000001301</v>
      </c>
      <c r="AF7127">
        <v>9.2889662845686699E-2</v>
      </c>
      <c r="AG7127">
        <v>-0.175859299999999</v>
      </c>
      <c r="AH7127">
        <v>0.27585717921598402</v>
      </c>
      <c r="AI7127">
        <v>121.139034714395</v>
      </c>
      <c r="AJ7127">
        <v>71.390025542447901</v>
      </c>
      <c r="AK7127">
        <v>0.340076706325316</v>
      </c>
      <c r="AL7127">
        <v>90.583044468398498</v>
      </c>
      <c r="AM7127">
        <v>87.711511065109903</v>
      </c>
      <c r="AN7127">
        <v>0.99999999654229299</v>
      </c>
    </row>
    <row r="7128" spans="1:40" x14ac:dyDescent="0.25">
      <c r="A7128" t="str">
        <f>"20190312161456111"</f>
        <v>20190312161456111</v>
      </c>
      <c r="B7128" t="str">
        <f>"1552378496104032"</f>
        <v>1552378496104032</v>
      </c>
      <c r="C7128" t="s">
        <v>40</v>
      </c>
      <c r="D7128">
        <v>5.2901350000000003</v>
      </c>
      <c r="E7128">
        <v>0.54679169999999999</v>
      </c>
      <c r="F7128" t="s">
        <v>43</v>
      </c>
      <c r="G7128">
        <v>-186.655</v>
      </c>
      <c r="H7128">
        <v>0.87128069999999902</v>
      </c>
      <c r="I7128">
        <v>53.432419999999901</v>
      </c>
      <c r="J7128">
        <v>-186.8159</v>
      </c>
      <c r="K7128">
        <v>1.1100589999999999</v>
      </c>
      <c r="L7128">
        <v>52.833309999999997</v>
      </c>
      <c r="M7128">
        <v>7.5411030000000004E-3</v>
      </c>
      <c r="N7128">
        <v>0</v>
      </c>
      <c r="O7128">
        <v>0.99986509999999995</v>
      </c>
      <c r="P7128">
        <v>4.8252839999999998E-2</v>
      </c>
      <c r="Q7128">
        <v>-2.523999E-2</v>
      </c>
      <c r="R7128">
        <v>0.99851619999999996</v>
      </c>
      <c r="S7128">
        <v>0.51704410000000001</v>
      </c>
      <c r="T7128">
        <v>-0.75586869999999995</v>
      </c>
      <c r="U7128">
        <v>2.9609679999999998</v>
      </c>
      <c r="V7128">
        <v>4.0721830000000001E-2</v>
      </c>
      <c r="W7128">
        <v>-1.065906E-2</v>
      </c>
      <c r="X7128">
        <v>0.99911369999999999</v>
      </c>
      <c r="Y7128">
        <v>0.1593839</v>
      </c>
      <c r="Z7128">
        <v>-0.2440224</v>
      </c>
      <c r="AA7128">
        <v>0.95658240000000005</v>
      </c>
      <c r="AB7128">
        <v>35</v>
      </c>
      <c r="AC7128">
        <v>0.16089999999999799</v>
      </c>
      <c r="AD7128">
        <v>-0.2387783</v>
      </c>
      <c r="AE7128">
        <v>0.59910999999999504</v>
      </c>
      <c r="AF7128">
        <v>0.136197938629117</v>
      </c>
      <c r="AG7128">
        <v>-0.2387783</v>
      </c>
      <c r="AH7128">
        <v>0.52284226819342206</v>
      </c>
      <c r="AI7128">
        <v>113.842754893041</v>
      </c>
      <c r="AJ7128">
        <v>75.399206858375294</v>
      </c>
      <c r="AK7128">
        <v>0.59070211820117302</v>
      </c>
      <c r="AL7128">
        <v>90.610730695774706</v>
      </c>
      <c r="AM7128">
        <v>87.666033098783302</v>
      </c>
      <c r="AN7128">
        <v>1.0000000342631601</v>
      </c>
    </row>
    <row r="7129" spans="1:40" x14ac:dyDescent="0.25">
      <c r="A7129" t="str">
        <f>"20190312161456135"</f>
        <v>20190312161456135</v>
      </c>
      <c r="B7129" t="str">
        <f>"1552378496123552"</f>
        <v>1552378496123552</v>
      </c>
      <c r="C7129" t="s">
        <v>40</v>
      </c>
      <c r="D7129">
        <v>5.2119960000000001</v>
      </c>
      <c r="E7129">
        <v>0.54637100000000005</v>
      </c>
      <c r="F7129" t="s">
        <v>43</v>
      </c>
      <c r="G7129">
        <v>-186.65700000000001</v>
      </c>
      <c r="H7129">
        <v>0.87848570000000004</v>
      </c>
      <c r="I7129">
        <v>53.74521</v>
      </c>
      <c r="J7129">
        <v>-186.8133</v>
      </c>
      <c r="K7129">
        <v>1.1100669999999999</v>
      </c>
      <c r="L7129">
        <v>53.189390000000003</v>
      </c>
      <c r="M7129">
        <v>7.4818669999999997E-3</v>
      </c>
      <c r="N7129">
        <v>0</v>
      </c>
      <c r="O7129">
        <v>0.99986549999999996</v>
      </c>
      <c r="P7129">
        <v>5.0368820000000002E-2</v>
      </c>
      <c r="Q7129">
        <v>-2.485449E-2</v>
      </c>
      <c r="R7129">
        <v>0.99842140000000001</v>
      </c>
      <c r="S7129">
        <v>0.51559449999999996</v>
      </c>
      <c r="T7129">
        <v>-0.75181769999999903</v>
      </c>
      <c r="U7129">
        <v>2.9605410000000001</v>
      </c>
      <c r="V7129">
        <v>4.2897579999999998E-2</v>
      </c>
      <c r="W7129">
        <v>-1.0270130000000001E-2</v>
      </c>
      <c r="X7129">
        <v>0.99902670000000005</v>
      </c>
      <c r="Y7129">
        <v>0.15906199999999901</v>
      </c>
      <c r="Z7129">
        <v>-0.24284140000000001</v>
      </c>
      <c r="AA7129">
        <v>0.95693640000000002</v>
      </c>
      <c r="AB7129">
        <v>35</v>
      </c>
      <c r="AC7129">
        <v>0.156299999999987</v>
      </c>
      <c r="AD7129">
        <v>-0.23158129999999899</v>
      </c>
      <c r="AE7129">
        <v>0.55581999999999698</v>
      </c>
      <c r="AF7129">
        <v>0.13105349205140701</v>
      </c>
      <c r="AG7129">
        <v>-0.23158129999999899</v>
      </c>
      <c r="AH7129">
        <v>0.47978842856979398</v>
      </c>
      <c r="AI7129">
        <v>114.96745857059</v>
      </c>
      <c r="AJ7129">
        <v>74.722419733469195</v>
      </c>
      <c r="AK7129">
        <v>0.54863635723312298</v>
      </c>
      <c r="AL7129">
        <v>90.588445441366105</v>
      </c>
      <c r="AM7129">
        <v>87.541265545889502</v>
      </c>
      <c r="AN7129">
        <v>1.0000000126264801</v>
      </c>
    </row>
    <row r="7130" spans="1:40" x14ac:dyDescent="0.25">
      <c r="A7130" t="str">
        <f>"20190312161456169"</f>
        <v>20190312161456169</v>
      </c>
      <c r="B7130" t="str">
        <f>"1552378496153808"</f>
        <v>1552378496153808</v>
      </c>
      <c r="C7130" t="s">
        <v>40</v>
      </c>
      <c r="D7130">
        <v>5.3346410000000004</v>
      </c>
      <c r="E7130">
        <v>0.54597090000000004</v>
      </c>
      <c r="F7130" t="s">
        <v>43</v>
      </c>
      <c r="G7130">
        <v>-186.6609</v>
      </c>
      <c r="H7130">
        <v>0.89076029999999995</v>
      </c>
      <c r="I7130">
        <v>54.059759999999997</v>
      </c>
      <c r="J7130">
        <v>-186.80950000000001</v>
      </c>
      <c r="K7130">
        <v>1.1100829999999999</v>
      </c>
      <c r="L7130">
        <v>53.714939999999999</v>
      </c>
      <c r="M7130">
        <v>7.3944830000000003E-3</v>
      </c>
      <c r="N7130">
        <v>0</v>
      </c>
      <c r="O7130">
        <v>0.99986609999999998</v>
      </c>
      <c r="P7130">
        <v>5.2792329999999998E-2</v>
      </c>
      <c r="Q7130">
        <v>-2.3530240000000001E-2</v>
      </c>
      <c r="R7130">
        <v>0.99832829999999995</v>
      </c>
      <c r="S7130">
        <v>0.51824950000000003</v>
      </c>
      <c r="T7130">
        <v>-0.74582979999999999</v>
      </c>
      <c r="U7130">
        <v>2.9600219999999999</v>
      </c>
      <c r="V7130">
        <v>4.5408860000000002E-2</v>
      </c>
      <c r="W7130">
        <v>-8.9422849999999995E-3</v>
      </c>
      <c r="X7130">
        <v>0.9989285</v>
      </c>
      <c r="Y7130">
        <v>0.1600876</v>
      </c>
      <c r="Z7130">
        <v>-0.2410234</v>
      </c>
      <c r="AA7130">
        <v>0.95722499999999999</v>
      </c>
      <c r="AB7130">
        <v>35</v>
      </c>
      <c r="AC7130">
        <v>0.148600000000016</v>
      </c>
      <c r="AD7130">
        <v>-0.21932269999999901</v>
      </c>
      <c r="AE7130">
        <v>0.34481999999999102</v>
      </c>
      <c r="AF7130">
        <v>0.10889246971811201</v>
      </c>
      <c r="AG7130">
        <v>-0.21932269999999901</v>
      </c>
      <c r="AH7130">
        <v>0.25791166239986002</v>
      </c>
      <c r="AI7130">
        <v>128.07569217852301</v>
      </c>
      <c r="AJ7130">
        <v>67.110120593966201</v>
      </c>
      <c r="AK7130">
        <v>0.35563807768356198</v>
      </c>
      <c r="AL7130">
        <v>90.512361998554297</v>
      </c>
      <c r="AM7130">
        <v>87.397264987853404</v>
      </c>
      <c r="AN7130">
        <v>1.00000003856988</v>
      </c>
    </row>
    <row r="7131" spans="1:40" x14ac:dyDescent="0.25">
      <c r="A7131" t="str">
        <f>"20190312161456191"</f>
        <v>20190312161456191</v>
      </c>
      <c r="B7131" t="str">
        <f>"1552378496184066"</f>
        <v>1552378496184066</v>
      </c>
      <c r="C7131" t="s">
        <v>40</v>
      </c>
      <c r="D7131">
        <v>5.1914119999999997</v>
      </c>
      <c r="E7131">
        <v>0.54561800000000005</v>
      </c>
      <c r="F7131" t="s">
        <v>43</v>
      </c>
      <c r="G7131">
        <v>-186.64080000000001</v>
      </c>
      <c r="H7131">
        <v>0.87210370000000004</v>
      </c>
      <c r="I7131">
        <v>54.670319999999997</v>
      </c>
      <c r="J7131">
        <v>-186.80699999999999</v>
      </c>
      <c r="K7131">
        <v>1.110087</v>
      </c>
      <c r="L7131">
        <v>54.06091</v>
      </c>
      <c r="M7131">
        <v>7.3368740000000002E-3</v>
      </c>
      <c r="N7131">
        <v>0</v>
      </c>
      <c r="O7131">
        <v>0.99986649999999999</v>
      </c>
      <c r="P7131">
        <v>5.3005400000000001E-2</v>
      </c>
      <c r="Q7131">
        <v>-2.3542799999999999E-2</v>
      </c>
      <c r="R7131">
        <v>0.9983166</v>
      </c>
      <c r="S7131">
        <v>0.52250669999999999</v>
      </c>
      <c r="T7131">
        <v>-0.73730949999999995</v>
      </c>
      <c r="U7131">
        <v>2.9600219999999999</v>
      </c>
      <c r="V7131">
        <v>4.5679560000000001E-2</v>
      </c>
      <c r="W7131">
        <v>-8.9531869999999996E-3</v>
      </c>
      <c r="X7131">
        <v>0.99891600000000003</v>
      </c>
      <c r="Y7131">
        <v>0.1615935</v>
      </c>
      <c r="Z7131">
        <v>-0.23837220000000001</v>
      </c>
      <c r="AA7131">
        <v>0.95763580000000004</v>
      </c>
      <c r="AB7131">
        <v>35</v>
      </c>
      <c r="AC7131">
        <v>0.16620000000000301</v>
      </c>
      <c r="AD7131">
        <v>-0.23798330000000001</v>
      </c>
      <c r="AE7131">
        <v>0.60940999999999601</v>
      </c>
      <c r="AF7131">
        <v>0.14162156381740801</v>
      </c>
      <c r="AG7131">
        <v>-0.23798330000000001</v>
      </c>
      <c r="AH7131">
        <v>0.53471374382994896</v>
      </c>
      <c r="AI7131">
        <v>113.278945117181</v>
      </c>
      <c r="AJ7131">
        <v>75.165540455965896</v>
      </c>
      <c r="AK7131">
        <v>0.60217232272632604</v>
      </c>
      <c r="AL7131">
        <v>90.512986692988093</v>
      </c>
      <c r="AM7131">
        <v>87.381737874510705</v>
      </c>
      <c r="AN7131">
        <v>0.999999978407625</v>
      </c>
    </row>
    <row r="7132" spans="1:40" x14ac:dyDescent="0.25">
      <c r="A7132" t="str">
        <f>"20190312161456213"</f>
        <v>20190312161456213</v>
      </c>
      <c r="B7132" t="str">
        <f>"1552378496203584"</f>
        <v>1552378496203584</v>
      </c>
      <c r="C7132" t="s">
        <v>40</v>
      </c>
      <c r="D7132">
        <v>5.4117410000000001</v>
      </c>
      <c r="E7132">
        <v>0.54526280000000005</v>
      </c>
      <c r="F7132" t="s">
        <v>43</v>
      </c>
      <c r="G7132">
        <v>-186.64510000000001</v>
      </c>
      <c r="H7132">
        <v>0.88193269999999901</v>
      </c>
      <c r="I7132">
        <v>54.982729999999997</v>
      </c>
      <c r="J7132">
        <v>-186.80459999999999</v>
      </c>
      <c r="K7132">
        <v>1.11009</v>
      </c>
      <c r="L7132">
        <v>54.401150000000001</v>
      </c>
      <c r="M7132">
        <v>7.2800390000000003E-3</v>
      </c>
      <c r="N7132">
        <v>0</v>
      </c>
      <c r="O7132">
        <v>0.99986679999999994</v>
      </c>
      <c r="P7132">
        <v>5.3362439999999997E-2</v>
      </c>
      <c r="Q7132">
        <v>-2.4140559999999998E-2</v>
      </c>
      <c r="R7132">
        <v>0.99828340000000004</v>
      </c>
      <c r="S7132">
        <v>0.51991270000000001</v>
      </c>
      <c r="T7132">
        <v>-0.73266589999999998</v>
      </c>
      <c r="U7132">
        <v>2.960175</v>
      </c>
      <c r="V7132">
        <v>4.609365E-2</v>
      </c>
      <c r="W7132">
        <v>-9.5502880000000005E-3</v>
      </c>
      <c r="X7132">
        <v>0.99889150000000004</v>
      </c>
      <c r="Y7132">
        <v>0.16088620000000001</v>
      </c>
      <c r="Z7132">
        <v>-0.2369761</v>
      </c>
      <c r="AA7132">
        <v>0.95810119999999999</v>
      </c>
      <c r="AB7132">
        <v>35</v>
      </c>
      <c r="AC7132">
        <v>0.15949999999997999</v>
      </c>
      <c r="AD7132">
        <v>-0.22815730000000001</v>
      </c>
      <c r="AE7132">
        <v>0.58158000000000198</v>
      </c>
      <c r="AF7132">
        <v>0.13582035523779401</v>
      </c>
      <c r="AG7132">
        <v>-0.22815730000000001</v>
      </c>
      <c r="AH7132">
        <v>0.50975991233784002</v>
      </c>
      <c r="AI7132">
        <v>113.38799359690999</v>
      </c>
      <c r="AJ7132">
        <v>75.080716294537694</v>
      </c>
      <c r="AK7132">
        <v>0.57476785806697095</v>
      </c>
      <c r="AL7132">
        <v>90.547199497127593</v>
      </c>
      <c r="AM7132">
        <v>87.357971824374701</v>
      </c>
      <c r="AN7132">
        <v>1.0000000306717201</v>
      </c>
    </row>
    <row r="7133" spans="1:40" x14ac:dyDescent="0.25">
      <c r="A7133" t="str">
        <f>"20190312161456236"</f>
        <v>20190312161456236</v>
      </c>
      <c r="B7133" t="str">
        <f>"1552378496224082"</f>
        <v>1552378496224082</v>
      </c>
      <c r="C7133" t="s">
        <v>40</v>
      </c>
      <c r="D7133">
        <v>5.4006679999999996</v>
      </c>
      <c r="E7133">
        <v>0.54515659999999999</v>
      </c>
      <c r="F7133" t="s">
        <v>43</v>
      </c>
      <c r="G7133">
        <v>-186.64830000000001</v>
      </c>
      <c r="H7133">
        <v>0.88969100000000001</v>
      </c>
      <c r="I7133">
        <v>55.293930000000003</v>
      </c>
      <c r="J7133">
        <v>-186.80199999999999</v>
      </c>
      <c r="K7133">
        <v>1.110088</v>
      </c>
      <c r="L7133">
        <v>54.755619999999901</v>
      </c>
      <c r="M7133">
        <v>7.2209650000000002E-3</v>
      </c>
      <c r="N7133">
        <v>0</v>
      </c>
      <c r="O7133">
        <v>0.99986730000000001</v>
      </c>
      <c r="P7133">
        <v>5.3691330000000002E-2</v>
      </c>
      <c r="Q7133">
        <v>-2.4802109999999999E-2</v>
      </c>
      <c r="R7133">
        <v>0.99824950000000001</v>
      </c>
      <c r="S7133">
        <v>0.51823430000000004</v>
      </c>
      <c r="T7133">
        <v>-0.73067090000000001</v>
      </c>
      <c r="U7133">
        <v>2.959778</v>
      </c>
      <c r="V7133">
        <v>4.6481840000000003E-2</v>
      </c>
      <c r="W7133">
        <v>-1.021182E-2</v>
      </c>
      <c r="X7133">
        <v>0.9988669</v>
      </c>
      <c r="Y7133">
        <v>0.16046260000000001</v>
      </c>
      <c r="Z7133">
        <v>-0.23641599999999999</v>
      </c>
      <c r="AA7133">
        <v>0.95831060000000001</v>
      </c>
      <c r="AB7133">
        <v>34</v>
      </c>
      <c r="AC7133">
        <v>0.15370000000001399</v>
      </c>
      <c r="AD7133">
        <v>-0.22039699999999901</v>
      </c>
      <c r="AE7133">
        <v>0.53831000000000895</v>
      </c>
      <c r="AF7133">
        <v>0.12970514377338599</v>
      </c>
      <c r="AG7133">
        <v>-0.22039699999999901</v>
      </c>
      <c r="AH7133">
        <v>0.467021191665003</v>
      </c>
      <c r="AI7133">
        <v>114.451761952794</v>
      </c>
      <c r="AJ7133">
        <v>74.478504643480306</v>
      </c>
      <c r="AK7133">
        <v>0.53245380587847702</v>
      </c>
      <c r="AL7133">
        <v>90.585104378149495</v>
      </c>
      <c r="AM7133">
        <v>87.335687683840106</v>
      </c>
      <c r="AN7133">
        <v>0.99999996331655305</v>
      </c>
    </row>
    <row r="7134" spans="1:40" x14ac:dyDescent="0.25">
      <c r="A7134" t="str">
        <f>"20190312161456258"</f>
        <v>20190312161456258</v>
      </c>
      <c r="B7134" t="str">
        <f>"1552378496243601"</f>
        <v>1552378496243601</v>
      </c>
      <c r="C7134" t="s">
        <v>40</v>
      </c>
      <c r="D7134">
        <v>5.7498279999999999</v>
      </c>
      <c r="E7134">
        <v>0.54483599999999999</v>
      </c>
      <c r="F7134" t="s">
        <v>43</v>
      </c>
      <c r="G7134">
        <v>-186.65309999999999</v>
      </c>
      <c r="H7134">
        <v>0.89987090000000003</v>
      </c>
      <c r="I7134">
        <v>55.605739999999997</v>
      </c>
      <c r="J7134">
        <v>-186.7997</v>
      </c>
      <c r="K7134">
        <v>1.1100920000000001</v>
      </c>
      <c r="L7134">
        <v>55.085360000000001</v>
      </c>
      <c r="M7134">
        <v>7.1660079999999998E-3</v>
      </c>
      <c r="N7134">
        <v>0</v>
      </c>
      <c r="O7134">
        <v>0.99986770000000003</v>
      </c>
      <c r="P7134">
        <v>5.31388E-2</v>
      </c>
      <c r="Q7134">
        <v>-2.493573E-2</v>
      </c>
      <c r="R7134">
        <v>0.99827580000000005</v>
      </c>
      <c r="S7134">
        <v>0.51823430000000004</v>
      </c>
      <c r="T7134">
        <v>-0.73174689999999998</v>
      </c>
      <c r="U7134">
        <v>2.9591980000000002</v>
      </c>
      <c r="V7134">
        <v>4.5984039999999997E-2</v>
      </c>
      <c r="W7134">
        <v>-1.0345389999999999E-2</v>
      </c>
      <c r="X7134">
        <v>0.99888860000000002</v>
      </c>
      <c r="Y7134">
        <v>0.16053319999999999</v>
      </c>
      <c r="Z7134">
        <v>-0.2367862</v>
      </c>
      <c r="AA7134">
        <v>0.95820740000000004</v>
      </c>
      <c r="AB7134">
        <v>34</v>
      </c>
      <c r="AC7134">
        <v>0.146600000000006</v>
      </c>
      <c r="AD7134">
        <v>-0.21022109999999999</v>
      </c>
      <c r="AE7134">
        <v>0.52038000000000995</v>
      </c>
      <c r="AF7134">
        <v>0.124102813748451</v>
      </c>
      <c r="AG7134">
        <v>-0.21022109999999999</v>
      </c>
      <c r="AH7134">
        <v>0.452934877778219</v>
      </c>
      <c r="AI7134">
        <v>114.114824608505</v>
      </c>
      <c r="AJ7134">
        <v>74.677187784491196</v>
      </c>
      <c r="AK7134">
        <v>0.51453320862065199</v>
      </c>
      <c r="AL7134">
        <v>90.592757759968407</v>
      </c>
      <c r="AM7134">
        <v>87.364238015286404</v>
      </c>
      <c r="AN7134">
        <v>0.99999999711946597</v>
      </c>
    </row>
    <row r="7135" spans="1:40" x14ac:dyDescent="0.25">
      <c r="A7135" t="str">
        <f>"20190312161456302"</f>
        <v>20190312161456302</v>
      </c>
      <c r="B7135" t="str">
        <f>"1552378496294351"</f>
        <v>1552378496294351</v>
      </c>
      <c r="C7135" t="s">
        <v>40</v>
      </c>
      <c r="D7135">
        <v>5.5896119999999998</v>
      </c>
      <c r="E7135">
        <v>0.54442679999999999</v>
      </c>
      <c r="F7135" t="s">
        <v>43</v>
      </c>
      <c r="G7135">
        <v>-186.65539999999999</v>
      </c>
      <c r="H7135">
        <v>0.90553189999999995</v>
      </c>
      <c r="I7135">
        <v>55.915370000000003</v>
      </c>
      <c r="J7135">
        <v>-186.79499999999999</v>
      </c>
      <c r="K7135">
        <v>1.110088</v>
      </c>
      <c r="L7135">
        <v>55.767400000000002</v>
      </c>
      <c r="M7135">
        <v>7.0523829999999997E-3</v>
      </c>
      <c r="N7135">
        <v>0</v>
      </c>
      <c r="O7135">
        <v>0.99986850000000005</v>
      </c>
      <c r="P7135">
        <v>5.2575810000000001E-2</v>
      </c>
      <c r="Q7135">
        <v>-2.5571469999999999E-2</v>
      </c>
      <c r="R7135">
        <v>0.99828950000000005</v>
      </c>
      <c r="S7135">
        <v>0.51437379999999999</v>
      </c>
      <c r="T7135">
        <v>-0.72939830000000005</v>
      </c>
      <c r="U7135">
        <v>2.9595639999999999</v>
      </c>
      <c r="V7135">
        <v>4.553451E-2</v>
      </c>
      <c r="W7135">
        <v>-1.0982779999999999E-2</v>
      </c>
      <c r="X7135">
        <v>0.99890239999999997</v>
      </c>
      <c r="Y7135">
        <v>0.1594411</v>
      </c>
      <c r="Z7135">
        <v>-0.2360881</v>
      </c>
      <c r="AA7135">
        <v>0.95856200000000003</v>
      </c>
      <c r="AB7135">
        <v>34</v>
      </c>
      <c r="AC7135">
        <v>0.139600000000001</v>
      </c>
      <c r="AD7135">
        <v>-0.20455609999999999</v>
      </c>
      <c r="AE7135">
        <v>0.147969999999993</v>
      </c>
      <c r="AF7135">
        <v>6.8893609679180498E-2</v>
      </c>
      <c r="AG7135">
        <v>-0.20455609999999999</v>
      </c>
      <c r="AH7135">
        <v>7.4063910287515897E-2</v>
      </c>
      <c r="AI7135">
        <v>153.687755112487</v>
      </c>
      <c r="AJ7135">
        <v>47.071296025686003</v>
      </c>
      <c r="AK7135">
        <v>0.22819945291107599</v>
      </c>
      <c r="AL7135">
        <v>90.629279586927694</v>
      </c>
      <c r="AM7135">
        <v>87.390004853989097</v>
      </c>
      <c r="AN7135">
        <v>1.0000000088916099</v>
      </c>
    </row>
    <row r="7136" spans="1:40" x14ac:dyDescent="0.25">
      <c r="A7136" t="str">
        <f>"20190312161456324"</f>
        <v>20190312161456324</v>
      </c>
      <c r="B7136" t="str">
        <f>"1552378496314848"</f>
        <v>1552378496314848</v>
      </c>
      <c r="C7136" t="s">
        <v>40</v>
      </c>
      <c r="D7136">
        <v>5.4007940000000003</v>
      </c>
      <c r="E7136">
        <v>0.54409770000000002</v>
      </c>
      <c r="F7136" t="s">
        <v>43</v>
      </c>
      <c r="G7136">
        <v>-186.6626</v>
      </c>
      <c r="H7136">
        <v>0.9211239</v>
      </c>
      <c r="I7136">
        <v>56.53528</v>
      </c>
      <c r="J7136">
        <v>-186.79259999999999</v>
      </c>
      <c r="K7136">
        <v>1.110085</v>
      </c>
      <c r="L7136">
        <v>56.106259999999999</v>
      </c>
      <c r="M7136">
        <v>6.9957200000000004E-3</v>
      </c>
      <c r="N7136">
        <v>0</v>
      </c>
      <c r="O7136">
        <v>0.99986889999999995</v>
      </c>
      <c r="P7136">
        <v>5.1719870000000001E-2</v>
      </c>
      <c r="Q7136">
        <v>-2.6034350000000001E-2</v>
      </c>
      <c r="R7136">
        <v>0.99832220000000005</v>
      </c>
      <c r="S7136">
        <v>0.51019289999999995</v>
      </c>
      <c r="T7136">
        <v>-0.72830319999999904</v>
      </c>
      <c r="U7136">
        <v>2.959625</v>
      </c>
      <c r="V7136">
        <v>4.4734980000000001E-2</v>
      </c>
      <c r="W7136">
        <v>-1.144674E-2</v>
      </c>
      <c r="X7136">
        <v>0.99893330000000002</v>
      </c>
      <c r="Y7136">
        <v>0.15819069999999999</v>
      </c>
      <c r="Z7136">
        <v>-0.2357997</v>
      </c>
      <c r="AA7136">
        <v>0.95884000000000003</v>
      </c>
      <c r="AB7136">
        <v>34</v>
      </c>
      <c r="AC7136">
        <v>0.12999999999999501</v>
      </c>
      <c r="AD7136">
        <v>-0.18896109999999999</v>
      </c>
      <c r="AE7136">
        <v>0.42902000000000801</v>
      </c>
      <c r="AF7136">
        <v>0.10783503732791699</v>
      </c>
      <c r="AG7136">
        <v>-0.18896109999999999</v>
      </c>
      <c r="AH7136">
        <v>0.36505582734692099</v>
      </c>
      <c r="AI7136">
        <v>116.400600813138</v>
      </c>
      <c r="AJ7136">
        <v>73.543213802201294</v>
      </c>
      <c r="AK7136">
        <v>0.42497111627576301</v>
      </c>
      <c r="AL7136">
        <v>90.655864219663201</v>
      </c>
      <c r="AM7136">
        <v>87.435850657342002</v>
      </c>
      <c r="AN7136">
        <v>0.99999999207055901</v>
      </c>
    </row>
    <row r="7137" spans="1:40" x14ac:dyDescent="0.25">
      <c r="A7137" t="str">
        <f>"20190312161456348"</f>
        <v>20190312161456348</v>
      </c>
      <c r="B7137" t="str">
        <f>"1552378496333392"</f>
        <v>1552378496333392</v>
      </c>
      <c r="C7137" t="s">
        <v>40</v>
      </c>
      <c r="D7137">
        <v>5.5565509999999998</v>
      </c>
      <c r="E7137">
        <v>0.54377919999999902</v>
      </c>
      <c r="F7137" t="s">
        <v>43</v>
      </c>
      <c r="G7137">
        <v>-186.66650000000001</v>
      </c>
      <c r="H7137">
        <v>0.9287782</v>
      </c>
      <c r="I7137">
        <v>56.844990000000003</v>
      </c>
      <c r="J7137">
        <v>-186.7902</v>
      </c>
      <c r="K7137">
        <v>1.1100890000000001</v>
      </c>
      <c r="L7137">
        <v>56.46884</v>
      </c>
      <c r="M7137">
        <v>6.9351580000000003E-3</v>
      </c>
      <c r="N7137">
        <v>0</v>
      </c>
      <c r="O7137">
        <v>0.99986940000000002</v>
      </c>
      <c r="P7137">
        <v>5.052019E-2</v>
      </c>
      <c r="Q7137">
        <v>-2.5828630000000002E-2</v>
      </c>
      <c r="R7137">
        <v>0.99838899999999997</v>
      </c>
      <c r="S7137">
        <v>0.50532529999999998</v>
      </c>
      <c r="T7137">
        <v>-0.72646069999999996</v>
      </c>
      <c r="U7137">
        <v>2.9599299999999999</v>
      </c>
      <c r="V7137">
        <v>4.3595340000000003E-2</v>
      </c>
      <c r="W7137">
        <v>-1.1242200000000001E-2</v>
      </c>
      <c r="X7137">
        <v>0.99898600000000004</v>
      </c>
      <c r="Y7137">
        <v>0.15672339999999901</v>
      </c>
      <c r="Z7137">
        <v>-0.2352725</v>
      </c>
      <c r="AA7137">
        <v>0.95921040000000002</v>
      </c>
      <c r="AB7137">
        <v>34</v>
      </c>
      <c r="AC7137">
        <v>0.123699999999985</v>
      </c>
      <c r="AD7137">
        <v>-0.18131079999999999</v>
      </c>
      <c r="AE7137">
        <v>0.37615000000000198</v>
      </c>
      <c r="AF7137">
        <v>0.100100447749619</v>
      </c>
      <c r="AG7137">
        <v>-0.18131079999999999</v>
      </c>
      <c r="AH7137">
        <v>0.31165543966216602</v>
      </c>
      <c r="AI7137">
        <v>118.98194651028599</v>
      </c>
      <c r="AJ7137">
        <v>72.193528232427994</v>
      </c>
      <c r="AK7137">
        <v>0.37419623048252698</v>
      </c>
      <c r="AL7137">
        <v>90.644144191517796</v>
      </c>
      <c r="AM7137">
        <v>87.501221073754806</v>
      </c>
      <c r="AN7137">
        <v>0.99999998446327698</v>
      </c>
    </row>
    <row r="7138" spans="1:40" x14ac:dyDescent="0.25">
      <c r="A7138" t="str">
        <f>"20190312161456370"</f>
        <v>20190312161456370</v>
      </c>
      <c r="B7138" t="str">
        <f>"1552378496363648"</f>
        <v>1552378496363648</v>
      </c>
      <c r="C7138" t="s">
        <v>40</v>
      </c>
      <c r="D7138">
        <v>5.4067959999999999</v>
      </c>
      <c r="E7138">
        <v>0.54334259999999901</v>
      </c>
      <c r="F7138" t="s">
        <v>43</v>
      </c>
      <c r="G7138">
        <v>-186.67420000000001</v>
      </c>
      <c r="H7138">
        <v>0.94205280000000002</v>
      </c>
      <c r="I7138">
        <v>57.156970000000001</v>
      </c>
      <c r="J7138">
        <v>-186.78790000000001</v>
      </c>
      <c r="K7138">
        <v>1.1100890000000001</v>
      </c>
      <c r="L7138">
        <v>56.807459999999999</v>
      </c>
      <c r="M7138">
        <v>6.8788679999999998E-3</v>
      </c>
      <c r="N7138">
        <v>0</v>
      </c>
      <c r="O7138">
        <v>0.99986980000000003</v>
      </c>
      <c r="P7138">
        <v>4.8626759999999998E-2</v>
      </c>
      <c r="Q7138">
        <v>-2.5925549999999999E-2</v>
      </c>
      <c r="R7138">
        <v>0.99848049999999999</v>
      </c>
      <c r="S7138">
        <v>0.49882510000000002</v>
      </c>
      <c r="T7138">
        <v>-0.72304380000000001</v>
      </c>
      <c r="U7138">
        <v>2.9609070000000002</v>
      </c>
      <c r="V7138">
        <v>4.1757580000000002E-2</v>
      </c>
      <c r="W7138">
        <v>-1.134018E-2</v>
      </c>
      <c r="X7138">
        <v>0.99906340000000005</v>
      </c>
      <c r="Y7138">
        <v>0.15472079999999999</v>
      </c>
      <c r="Z7138">
        <v>-0.2342332</v>
      </c>
      <c r="AA7138">
        <v>0.95978969999999997</v>
      </c>
      <c r="AB7138">
        <v>34</v>
      </c>
      <c r="AC7138">
        <v>0.113699999999994</v>
      </c>
      <c r="AD7138">
        <v>-0.168036199999999</v>
      </c>
      <c r="AE7138">
        <v>0.34950999999999499</v>
      </c>
      <c r="AF7138">
        <v>9.2051690234226699E-2</v>
      </c>
      <c r="AG7138">
        <v>-0.168036199999999</v>
      </c>
      <c r="AH7138">
        <v>0.28972424905787197</v>
      </c>
      <c r="AI7138">
        <v>118.931959988535</v>
      </c>
      <c r="AJ7138">
        <v>72.373816522629198</v>
      </c>
      <c r="AK7138">
        <v>0.34734682764862801</v>
      </c>
      <c r="AL7138">
        <v>90.649758388850103</v>
      </c>
      <c r="AM7138">
        <v>87.606617027252199</v>
      </c>
      <c r="AN7138">
        <v>0.99999998619472397</v>
      </c>
    </row>
    <row r="7139" spans="1:40" x14ac:dyDescent="0.25">
      <c r="A7139" t="str">
        <f>"20190312161456391"</f>
        <v>20190312161456391</v>
      </c>
      <c r="B7139" t="str">
        <f>"1552378496384144"</f>
        <v>1552378496384144</v>
      </c>
      <c r="C7139" t="s">
        <v>40</v>
      </c>
      <c r="D7139">
        <v>5.4699749999999998</v>
      </c>
      <c r="E7139">
        <v>0.54308509999999999</v>
      </c>
      <c r="F7139" t="s">
        <v>43</v>
      </c>
      <c r="G7139">
        <v>-186.63319999999999</v>
      </c>
      <c r="H7139">
        <v>0.88292549999999903</v>
      </c>
      <c r="I7139">
        <v>57.742809999999999</v>
      </c>
      <c r="J7139">
        <v>-186.78559999999999</v>
      </c>
      <c r="K7139">
        <v>1.110087</v>
      </c>
      <c r="L7139">
        <v>57.143340000000002</v>
      </c>
      <c r="M7139">
        <v>6.8228419999999904E-3</v>
      </c>
      <c r="N7139">
        <v>0</v>
      </c>
      <c r="O7139">
        <v>0.99987020000000004</v>
      </c>
      <c r="P7139">
        <v>4.7039200000000003E-2</v>
      </c>
      <c r="Q7139">
        <v>-2.5869110000000001E-2</v>
      </c>
      <c r="R7139">
        <v>0.99855799999999995</v>
      </c>
      <c r="S7139">
        <v>0.48991390000000001</v>
      </c>
      <c r="T7139">
        <v>-0.71938059999999904</v>
      </c>
      <c r="U7139">
        <v>2.9620359999999999</v>
      </c>
      <c r="V7139">
        <v>4.0225459999999998E-2</v>
      </c>
      <c r="W7139">
        <v>-1.1285140000000001E-2</v>
      </c>
      <c r="X7139">
        <v>0.99912690000000004</v>
      </c>
      <c r="Y7139">
        <v>0.15194939999999901</v>
      </c>
      <c r="Z7139">
        <v>-0.2331337</v>
      </c>
      <c r="AA7139">
        <v>0.96049989999999996</v>
      </c>
      <c r="AB7139">
        <v>34</v>
      </c>
      <c r="AC7139">
        <v>0.15240000000000001</v>
      </c>
      <c r="AD7139">
        <v>-0.22716149999999999</v>
      </c>
      <c r="AE7139">
        <v>0.59946999999999595</v>
      </c>
      <c r="AF7139">
        <v>0.13068025215569201</v>
      </c>
      <c r="AG7139">
        <v>-0.22716149999999999</v>
      </c>
      <c r="AH7139">
        <v>0.529128972839645</v>
      </c>
      <c r="AI7139">
        <v>112.625846074142</v>
      </c>
      <c r="AJ7139">
        <v>76.127137156783405</v>
      </c>
      <c r="AK7139">
        <v>0.59047196824579495</v>
      </c>
      <c r="AL7139">
        <v>90.646604616968105</v>
      </c>
      <c r="AM7139">
        <v>87.694482024467504</v>
      </c>
      <c r="AN7139">
        <v>1.0000000021603199</v>
      </c>
    </row>
    <row r="7140" spans="1:40" x14ac:dyDescent="0.25">
      <c r="A7140" t="str">
        <f>"20190312161456417"</f>
        <v>20190312161456417</v>
      </c>
      <c r="B7140" t="str">
        <f>"1552378496403664"</f>
        <v>1552378496403664</v>
      </c>
      <c r="C7140" t="s">
        <v>40</v>
      </c>
      <c r="D7140">
        <v>5.4691150000000004</v>
      </c>
      <c r="E7140">
        <v>0.54281210000000002</v>
      </c>
      <c r="F7140" t="s">
        <v>43</v>
      </c>
      <c r="G7140">
        <v>-186.6377</v>
      </c>
      <c r="H7140">
        <v>0.89036990000000005</v>
      </c>
      <c r="I7140">
        <v>58.050629999999998</v>
      </c>
      <c r="J7140">
        <v>-186.78319999999999</v>
      </c>
      <c r="K7140">
        <v>1.1100909999999999</v>
      </c>
      <c r="L7140">
        <v>57.520809999999997</v>
      </c>
      <c r="M7140">
        <v>6.7596870000000003E-3</v>
      </c>
      <c r="N7140">
        <v>0</v>
      </c>
      <c r="O7140">
        <v>0.9998707</v>
      </c>
      <c r="P7140">
        <v>4.7004480000000001E-2</v>
      </c>
      <c r="Q7140">
        <v>-2.6515239999999999E-2</v>
      </c>
      <c r="R7140">
        <v>0.99854270000000001</v>
      </c>
      <c r="S7140">
        <v>0.48304750000000002</v>
      </c>
      <c r="T7140">
        <v>-0.71753279999999997</v>
      </c>
      <c r="U7140">
        <v>2.9629819999999998</v>
      </c>
      <c r="V7140">
        <v>4.0253990000000003E-2</v>
      </c>
      <c r="W7140">
        <v>-1.1934119999999999E-2</v>
      </c>
      <c r="X7140">
        <v>0.99911819999999896</v>
      </c>
      <c r="Y7140">
        <v>0.149816</v>
      </c>
      <c r="Z7140">
        <v>-0.2325777</v>
      </c>
      <c r="AA7140">
        <v>0.96096970000000004</v>
      </c>
      <c r="AB7140">
        <v>34</v>
      </c>
      <c r="AC7140">
        <v>0.14549999999999799</v>
      </c>
      <c r="AD7140">
        <v>-0.219721099999999</v>
      </c>
      <c r="AE7140">
        <v>0.52982000000000795</v>
      </c>
      <c r="AF7140">
        <v>0.12234857078226299</v>
      </c>
      <c r="AG7140">
        <v>-0.219721099999999</v>
      </c>
      <c r="AH7140">
        <v>0.45760942717376402</v>
      </c>
      <c r="AI7140">
        <v>114.884551610637</v>
      </c>
      <c r="AJ7140">
        <v>75.031254435613405</v>
      </c>
      <c r="AK7140">
        <v>0.52216177799219798</v>
      </c>
      <c r="AL7140">
        <v>90.683790945441103</v>
      </c>
      <c r="AM7140">
        <v>87.692828528725002</v>
      </c>
      <c r="AN7140">
        <v>0.99999999225116698</v>
      </c>
    </row>
    <row r="7141" spans="1:40" x14ac:dyDescent="0.25">
      <c r="A7141" t="str">
        <f>"20190312161456459"</f>
        <v>20190312161456459</v>
      </c>
      <c r="B7141" t="str">
        <f>"1552378496443680"</f>
        <v>1552378496443680</v>
      </c>
      <c r="C7141" t="s">
        <v>40</v>
      </c>
      <c r="D7141">
        <v>5.5555309999999896</v>
      </c>
      <c r="E7141">
        <v>0.54262200000000005</v>
      </c>
      <c r="F7141" t="s">
        <v>43</v>
      </c>
      <c r="G7141">
        <v>-186.64699999999999</v>
      </c>
      <c r="H7141">
        <v>0.90644800000000003</v>
      </c>
      <c r="I7141">
        <v>58.361629999999998</v>
      </c>
      <c r="J7141">
        <v>-186.77889999999999</v>
      </c>
      <c r="K7141">
        <v>1.1101000000000001</v>
      </c>
      <c r="L7141">
        <v>58.166170000000001</v>
      </c>
      <c r="M7141">
        <v>6.6517709999999999E-3</v>
      </c>
      <c r="N7141">
        <v>0</v>
      </c>
      <c r="O7141">
        <v>0.99987150000000002</v>
      </c>
      <c r="P7141">
        <v>4.9871749999999999E-2</v>
      </c>
      <c r="Q7141">
        <v>-2.5132560000000002E-2</v>
      </c>
      <c r="R7141">
        <v>0.99843939999999998</v>
      </c>
      <c r="S7141">
        <v>0.47976679999999999</v>
      </c>
      <c r="T7141">
        <v>-0.71755909999999901</v>
      </c>
      <c r="U7141">
        <v>2.9627379999999999</v>
      </c>
      <c r="V7141">
        <v>4.3229539999999997E-2</v>
      </c>
      <c r="W7141">
        <v>-1.0557520000000001E-2</v>
      </c>
      <c r="X7141">
        <v>0.99900940000000005</v>
      </c>
      <c r="Y7141">
        <v>0.148896</v>
      </c>
      <c r="Z7141">
        <v>-0.2326395</v>
      </c>
      <c r="AA7141">
        <v>0.96109770000000005</v>
      </c>
      <c r="AB7141">
        <v>34</v>
      </c>
      <c r="AC7141">
        <v>0.13189999999997301</v>
      </c>
      <c r="AD7141">
        <v>-0.203652</v>
      </c>
      <c r="AE7141">
        <v>0.19546000000001101</v>
      </c>
      <c r="AF7141">
        <v>7.4801647226641996E-2</v>
      </c>
      <c r="AG7141">
        <v>-0.203652</v>
      </c>
      <c r="AH7141">
        <v>0.11245331742426801</v>
      </c>
      <c r="AI7141">
        <v>146.44817644048601</v>
      </c>
      <c r="AJ7141">
        <v>56.368961345696199</v>
      </c>
      <c r="AK7141">
        <v>0.24436688018539299</v>
      </c>
      <c r="AL7141">
        <v>90.604912565081406</v>
      </c>
      <c r="AM7141">
        <v>87.522219564529905</v>
      </c>
      <c r="AN7141">
        <v>1.0000000178227599</v>
      </c>
    </row>
    <row r="7142" spans="1:40" x14ac:dyDescent="0.25">
      <c r="A7142" t="str">
        <f>"20190312161456480"</f>
        <v>20190312161456480</v>
      </c>
      <c r="B7142" t="str">
        <f>"1552378496473937"</f>
        <v>1552378496473937</v>
      </c>
      <c r="C7142" t="s">
        <v>40</v>
      </c>
      <c r="D7142">
        <v>5.6234650000000004</v>
      </c>
      <c r="E7142">
        <v>0.54228219999999905</v>
      </c>
      <c r="F7142" t="s">
        <v>43</v>
      </c>
      <c r="G7142">
        <v>-186.6465</v>
      </c>
      <c r="H7142">
        <v>0.91607479999999997</v>
      </c>
      <c r="I7142">
        <v>58.973700000000001</v>
      </c>
      <c r="J7142">
        <v>-186.77670000000001</v>
      </c>
      <c r="K7142">
        <v>1.1101080000000001</v>
      </c>
      <c r="L7142">
        <v>58.49353</v>
      </c>
      <c r="M7142">
        <v>6.5971830000000004E-3</v>
      </c>
      <c r="N7142">
        <v>0</v>
      </c>
      <c r="O7142">
        <v>0.99987190000000004</v>
      </c>
      <c r="P7142">
        <v>5.1536690000000003E-2</v>
      </c>
      <c r="Q7142">
        <v>-2.4027400000000001E-2</v>
      </c>
      <c r="R7142">
        <v>0.99838199999999999</v>
      </c>
      <c r="S7142">
        <v>0.48573300000000003</v>
      </c>
      <c r="T7142">
        <v>-0.71178560000000002</v>
      </c>
      <c r="U7142">
        <v>2.962494</v>
      </c>
      <c r="V7142">
        <v>4.4949259999999998E-2</v>
      </c>
      <c r="W7142">
        <v>-9.4555549999999992E-3</v>
      </c>
      <c r="X7142">
        <v>0.99894450000000001</v>
      </c>
      <c r="Y7142">
        <v>0.15091789999999999</v>
      </c>
      <c r="Z7142">
        <v>-0.2308161</v>
      </c>
      <c r="AA7142">
        <v>0.96122200000000002</v>
      </c>
      <c r="AB7142">
        <v>34</v>
      </c>
      <c r="AC7142">
        <v>0.13020000000000201</v>
      </c>
      <c r="AD7142">
        <v>-0.19403319999999999</v>
      </c>
      <c r="AE7142">
        <v>0.48016999999999399</v>
      </c>
      <c r="AF7142">
        <v>0.110258010041982</v>
      </c>
      <c r="AG7142">
        <v>-0.19403319999999999</v>
      </c>
      <c r="AH7142">
        <v>0.417511968942546</v>
      </c>
      <c r="AI7142">
        <v>114.195940263415</v>
      </c>
      <c r="AJ7142">
        <v>75.2068515351001</v>
      </c>
      <c r="AK7142">
        <v>0.47341520433013101</v>
      </c>
      <c r="AL7142">
        <v>90.541771479224906</v>
      </c>
      <c r="AM7142">
        <v>87.423613771778804</v>
      </c>
      <c r="AN7142">
        <v>0.99999997878757696</v>
      </c>
    </row>
    <row r="7143" spans="1:40" x14ac:dyDescent="0.25">
      <c r="A7143" t="str">
        <f>"20190312161456503"</f>
        <v>20190312161456503</v>
      </c>
      <c r="B7143" t="str">
        <f>"1552378496493456"</f>
        <v>1552378496493456</v>
      </c>
      <c r="C7143" t="s">
        <v>40</v>
      </c>
      <c r="D7143">
        <v>5.6232309999999996</v>
      </c>
      <c r="E7143">
        <v>0.54214640000000003</v>
      </c>
      <c r="F7143" t="s">
        <v>43</v>
      </c>
      <c r="G7143">
        <v>-186.64689999999999</v>
      </c>
      <c r="H7143">
        <v>0.92291380000000001</v>
      </c>
      <c r="I7143">
        <v>59.280119999999997</v>
      </c>
      <c r="J7143">
        <v>-186.77459999999999</v>
      </c>
      <c r="K7143">
        <v>1.110115</v>
      </c>
      <c r="L7143">
        <v>58.832949999999997</v>
      </c>
      <c r="M7143">
        <v>6.5405910000000001E-3</v>
      </c>
      <c r="N7143">
        <v>0</v>
      </c>
      <c r="O7143">
        <v>0.99987230000000005</v>
      </c>
      <c r="P7143">
        <v>5.2452020000000002E-2</v>
      </c>
      <c r="Q7143">
        <v>-2.318108E-2</v>
      </c>
      <c r="R7143">
        <v>0.99835439999999998</v>
      </c>
      <c r="S7143">
        <v>0.48866270000000001</v>
      </c>
      <c r="T7143">
        <v>-0.70505989999999996</v>
      </c>
      <c r="U7143">
        <v>2.9626769999999998</v>
      </c>
      <c r="V7143">
        <v>4.5921200000000002E-2</v>
      </c>
      <c r="W7143">
        <v>-8.6123550000000004E-3</v>
      </c>
      <c r="X7143">
        <v>0.99890789999999996</v>
      </c>
      <c r="Y7143">
        <v>0.15197099999999999</v>
      </c>
      <c r="Z7143">
        <v>-0.22870209999999999</v>
      </c>
      <c r="AA7143">
        <v>0.96156129999999995</v>
      </c>
      <c r="AB7143">
        <v>34</v>
      </c>
      <c r="AC7143">
        <v>0.127700000000004</v>
      </c>
      <c r="AD7143">
        <v>-0.18720119999999901</v>
      </c>
      <c r="AE7143">
        <v>0.44716999999999901</v>
      </c>
      <c r="AF7143">
        <v>0.107373338648749</v>
      </c>
      <c r="AG7143">
        <v>-0.18720119999999901</v>
      </c>
      <c r="AH7143">
        <v>0.38552497755235998</v>
      </c>
      <c r="AI7143">
        <v>115.06884399805</v>
      </c>
      <c r="AJ7143">
        <v>74.436841181722301</v>
      </c>
      <c r="AK7143">
        <v>0.44181764501971499</v>
      </c>
      <c r="AL7143">
        <v>90.493457712732294</v>
      </c>
      <c r="AM7143">
        <v>87.3678856606886</v>
      </c>
      <c r="AN7143">
        <v>0.99999996097524702</v>
      </c>
    </row>
    <row r="7144" spans="1:40" x14ac:dyDescent="0.25">
      <c r="A7144" t="str">
        <f>"20190312161456526"</f>
        <v>20190312161456526</v>
      </c>
      <c r="B7144" t="str">
        <f>"1552378496513952"</f>
        <v>1552378496513952</v>
      </c>
      <c r="C7144" t="s">
        <v>40</v>
      </c>
      <c r="D7144">
        <v>5.7119390000000001</v>
      </c>
      <c r="E7144">
        <v>0.54193249999999904</v>
      </c>
      <c r="F7144" t="s">
        <v>43</v>
      </c>
      <c r="G7144">
        <v>-186.64959999999999</v>
      </c>
      <c r="H7144">
        <v>0.93198199999999998</v>
      </c>
      <c r="I7144">
        <v>59.587429999999998</v>
      </c>
      <c r="J7144">
        <v>-186.7724</v>
      </c>
      <c r="K7144">
        <v>1.110109</v>
      </c>
      <c r="L7144">
        <v>59.177190000000003</v>
      </c>
      <c r="M7144">
        <v>6.4829290000000001E-3</v>
      </c>
      <c r="N7144">
        <v>0</v>
      </c>
      <c r="O7144">
        <v>0.99987269999999995</v>
      </c>
      <c r="P7144">
        <v>5.2718109999999999E-2</v>
      </c>
      <c r="Q7144">
        <v>-2.2553940000000001E-2</v>
      </c>
      <c r="R7144">
        <v>0.99835469999999904</v>
      </c>
      <c r="S7144">
        <v>0.49070740000000002</v>
      </c>
      <c r="T7144">
        <v>-0.69954349999999998</v>
      </c>
      <c r="U7144">
        <v>2.9629210000000001</v>
      </c>
      <c r="V7144">
        <v>4.6244800000000003E-2</v>
      </c>
      <c r="W7144">
        <v>-7.9884880000000002E-3</v>
      </c>
      <c r="X7144">
        <v>0.99889819999999996</v>
      </c>
      <c r="Y7144">
        <v>0.15272749999999999</v>
      </c>
      <c r="Z7144">
        <v>-0.22696359999999999</v>
      </c>
      <c r="AA7144">
        <v>0.96185330000000002</v>
      </c>
      <c r="AB7144">
        <v>34</v>
      </c>
      <c r="AC7144">
        <v>0.122800000000012</v>
      </c>
      <c r="AD7144">
        <v>-0.17812700000000001</v>
      </c>
      <c r="AE7144">
        <v>0.41024000000000099</v>
      </c>
      <c r="AF7144">
        <v>0.10241666979674099</v>
      </c>
      <c r="AG7144">
        <v>-0.17812700000000001</v>
      </c>
      <c r="AH7144">
        <v>0.35039888990627099</v>
      </c>
      <c r="AI7144">
        <v>116.009572549892</v>
      </c>
      <c r="AJ7144">
        <v>73.707100624896398</v>
      </c>
      <c r="AK7144">
        <v>0.40619919304302199</v>
      </c>
      <c r="AL7144">
        <v>90.457711512778005</v>
      </c>
      <c r="AM7144">
        <v>87.349338192776898</v>
      </c>
      <c r="AN7144">
        <v>1.0000000057153999</v>
      </c>
    </row>
    <row r="7145" spans="1:40" x14ac:dyDescent="0.25">
      <c r="A7145" t="str">
        <f>"20190312161456570"</f>
        <v>20190312161456570</v>
      </c>
      <c r="B7145" t="str">
        <f>"1552378496563729"</f>
        <v>1552378496563729</v>
      </c>
      <c r="C7145" t="s">
        <v>40</v>
      </c>
      <c r="D7145">
        <v>4.7406739999999896</v>
      </c>
      <c r="E7145">
        <v>0.54163939999999999</v>
      </c>
      <c r="F7145" t="s">
        <v>43</v>
      </c>
      <c r="G7145">
        <v>-186.65379999999999</v>
      </c>
      <c r="H7145">
        <v>0.9408493</v>
      </c>
      <c r="I7145">
        <v>59.89425</v>
      </c>
      <c r="J7145">
        <v>-186.7681</v>
      </c>
      <c r="K7145">
        <v>1.110115</v>
      </c>
      <c r="L7145">
        <v>59.848970000000001</v>
      </c>
      <c r="M7145">
        <v>6.3703930000000002E-3</v>
      </c>
      <c r="N7145">
        <v>0</v>
      </c>
      <c r="O7145">
        <v>0.99987349999999997</v>
      </c>
      <c r="P7145">
        <v>5.2876149999999997E-2</v>
      </c>
      <c r="Q7145">
        <v>-2.256857E-2</v>
      </c>
      <c r="R7145">
        <v>0.99834599999999996</v>
      </c>
      <c r="S7145">
        <v>0.48982239999999999</v>
      </c>
      <c r="T7145">
        <v>-0.69947720000000002</v>
      </c>
      <c r="U7145">
        <v>2.9632869999999998</v>
      </c>
      <c r="V7145">
        <v>4.6515279999999999E-2</v>
      </c>
      <c r="W7145">
        <v>-8.0099479999999994E-3</v>
      </c>
      <c r="X7145">
        <v>0.99888549999999998</v>
      </c>
      <c r="Y7145">
        <v>0.15254129999999999</v>
      </c>
      <c r="Z7145">
        <v>-0.22692570000000001</v>
      </c>
      <c r="AA7145">
        <v>0.96189179999999996</v>
      </c>
      <c r="AB7145">
        <v>34</v>
      </c>
      <c r="AC7145">
        <v>0.114300000000014</v>
      </c>
      <c r="AD7145">
        <v>-0.16926569999999899</v>
      </c>
      <c r="AE7145">
        <v>4.5280000000005302E-2</v>
      </c>
      <c r="AF7145">
        <v>3.9373865110095399E-2</v>
      </c>
      <c r="AG7145">
        <v>-0.16926569999999899</v>
      </c>
      <c r="AH7145">
        <v>1.5888937277345801E-2</v>
      </c>
      <c r="AI7145">
        <v>165.918369972048</v>
      </c>
      <c r="AJ7145">
        <v>21.976056379707199</v>
      </c>
      <c r="AK7145">
        <v>0.17450970396514101</v>
      </c>
      <c r="AL7145">
        <v>90.458941105491206</v>
      </c>
      <c r="AM7145">
        <v>87.333823262702893</v>
      </c>
      <c r="AN7145">
        <v>1.0000000363253401</v>
      </c>
    </row>
    <row r="7146" spans="1:40" x14ac:dyDescent="0.25">
      <c r="A7146" t="str">
        <f>"20190312161456592"</f>
        <v>20190312161456592</v>
      </c>
      <c r="B7146" t="str">
        <f>"1552378496584224"</f>
        <v>1552378496584224</v>
      </c>
      <c r="C7146" t="s">
        <v>40</v>
      </c>
      <c r="D7146">
        <v>5.3380179999999999</v>
      </c>
      <c r="E7146">
        <v>0.54120330000000005</v>
      </c>
      <c r="F7146" t="s">
        <v>43</v>
      </c>
      <c r="G7146">
        <v>-186.6156</v>
      </c>
      <c r="H7146">
        <v>0.889356699999999</v>
      </c>
      <c r="I7146">
        <v>60.778770000000002</v>
      </c>
      <c r="J7146">
        <v>-186.76609999999999</v>
      </c>
      <c r="K7146">
        <v>1.110117</v>
      </c>
      <c r="L7146">
        <v>60.174990000000001</v>
      </c>
      <c r="M7146">
        <v>6.3156180000000003E-3</v>
      </c>
      <c r="N7146">
        <v>0</v>
      </c>
      <c r="O7146">
        <v>0.99987389999999998</v>
      </c>
      <c r="P7146">
        <v>5.2794250000000001E-2</v>
      </c>
      <c r="Q7146">
        <v>-2.2749160000000001E-2</v>
      </c>
      <c r="R7146">
        <v>0.99834630000000002</v>
      </c>
      <c r="S7146">
        <v>0.48632809999999999</v>
      </c>
      <c r="T7146">
        <v>-0.70357109999999901</v>
      </c>
      <c r="U7146">
        <v>2.9633180000000001</v>
      </c>
      <c r="V7146">
        <v>4.6488120000000001E-2</v>
      </c>
      <c r="W7146">
        <v>-8.1938280000000002E-3</v>
      </c>
      <c r="X7146">
        <v>0.99888520000000003</v>
      </c>
      <c r="Y7146">
        <v>0.1514404</v>
      </c>
      <c r="Z7146">
        <v>-0.22822200000000001</v>
      </c>
      <c r="AA7146">
        <v>0.96175909999999998</v>
      </c>
      <c r="AB7146">
        <v>34</v>
      </c>
      <c r="AC7146">
        <v>0.150499999999993</v>
      </c>
      <c r="AD7146">
        <v>-0.22076029999999999</v>
      </c>
      <c r="AE7146">
        <v>0.60377999999999299</v>
      </c>
      <c r="AF7146">
        <v>0.13028499039098601</v>
      </c>
      <c r="AG7146">
        <v>-0.22076029999999999</v>
      </c>
      <c r="AH7146">
        <v>0.53711448415744301</v>
      </c>
      <c r="AI7146">
        <v>111.77319324017201</v>
      </c>
      <c r="AJ7146">
        <v>76.3654068107124</v>
      </c>
      <c r="AK7146">
        <v>0.59514809742532604</v>
      </c>
      <c r="AL7146">
        <v>90.469477033071598</v>
      </c>
      <c r="AM7146">
        <v>87.335376984203705</v>
      </c>
      <c r="AN7146">
        <v>0.99999996344873299</v>
      </c>
    </row>
    <row r="7147" spans="1:40" x14ac:dyDescent="0.25">
      <c r="A7147" t="str">
        <f>"20190312161456616"</f>
        <v>20190312161456616</v>
      </c>
      <c r="B7147" t="str">
        <f>"1552378496603744"</f>
        <v>1552378496603744</v>
      </c>
      <c r="C7147" t="s">
        <v>40</v>
      </c>
      <c r="D7147">
        <v>5.7265930000000003</v>
      </c>
      <c r="E7147">
        <v>0.50616620000000001</v>
      </c>
      <c r="F7147" t="s">
        <v>43</v>
      </c>
      <c r="G7147">
        <v>-186.6181</v>
      </c>
      <c r="H7147">
        <v>0.89470680000000002</v>
      </c>
      <c r="I7147">
        <v>61.08229</v>
      </c>
      <c r="J7147">
        <v>-186.76390000000001</v>
      </c>
      <c r="K7147">
        <v>1.1101160000000001</v>
      </c>
      <c r="L7147">
        <v>60.531460000000003</v>
      </c>
      <c r="M7147">
        <v>6.2562069999999997E-3</v>
      </c>
      <c r="N7147">
        <v>0</v>
      </c>
      <c r="O7147">
        <v>0.99987440000000005</v>
      </c>
      <c r="P7147">
        <v>5.2320070000000003E-2</v>
      </c>
      <c r="Q7147">
        <v>-2.2703810000000001E-2</v>
      </c>
      <c r="R7147">
        <v>0.99837229999999999</v>
      </c>
      <c r="S7147">
        <v>0.48312379999999999</v>
      </c>
      <c r="T7147">
        <v>-0.70356509999999906</v>
      </c>
      <c r="U7147">
        <v>2.9633790000000002</v>
      </c>
      <c r="V7147">
        <v>4.6073129999999997E-2</v>
      </c>
      <c r="W7147">
        <v>-8.1517989999999995E-3</v>
      </c>
      <c r="X7147">
        <v>0.99890480000000004</v>
      </c>
      <c r="Y7147">
        <v>0.1504818</v>
      </c>
      <c r="Z7147">
        <v>-0.2282515</v>
      </c>
      <c r="AA7147">
        <v>0.96190260000000005</v>
      </c>
      <c r="AB7147">
        <v>34</v>
      </c>
      <c r="AC7147">
        <v>0.14580000000000801</v>
      </c>
      <c r="AD7147">
        <v>-0.215409199999999</v>
      </c>
      <c r="AE7147">
        <v>0.55083000000000404</v>
      </c>
      <c r="AF7147">
        <v>0.12455029266413099</v>
      </c>
      <c r="AG7147">
        <v>-0.215409199999999</v>
      </c>
      <c r="AH7147">
        <v>0.48273965981037198</v>
      </c>
      <c r="AI7147">
        <v>113.367865609734</v>
      </c>
      <c r="AJ7147">
        <v>75.532786568659802</v>
      </c>
      <c r="AK7147">
        <v>0.54309435460258104</v>
      </c>
      <c r="AL7147">
        <v>90.467068854762999</v>
      </c>
      <c r="AM7147">
        <v>87.359181450745993</v>
      </c>
      <c r="AN7147">
        <v>0.99999999229898595</v>
      </c>
    </row>
    <row r="7148" spans="1:40" x14ac:dyDescent="0.25">
      <c r="A7148" t="str">
        <f>"20190312161456661"</f>
        <v>20190312161456661</v>
      </c>
      <c r="B7148" t="str">
        <f>"1552378496653521"</f>
        <v>1552378496653521</v>
      </c>
      <c r="C7148" t="s">
        <v>40</v>
      </c>
      <c r="D7148">
        <v>5.6433609999999996</v>
      </c>
      <c r="E7148">
        <v>0.50567510000000004</v>
      </c>
      <c r="F7148" t="s">
        <v>42</v>
      </c>
      <c r="G7148">
        <v>-185.30090000000001</v>
      </c>
      <c r="H7148" s="1">
        <v>-1.9793019999999999E-6</v>
      </c>
      <c r="I7148">
        <v>81.790239999999997</v>
      </c>
      <c r="J7148">
        <v>-186.75980000000001</v>
      </c>
      <c r="K7148">
        <v>1.1101190000000001</v>
      </c>
      <c r="L7148">
        <v>61.211150000000004</v>
      </c>
      <c r="M7148">
        <v>6.1424879999999998E-3</v>
      </c>
      <c r="N7148">
        <v>0</v>
      </c>
      <c r="O7148">
        <v>0.99987519999999996</v>
      </c>
      <c r="P7148">
        <v>5.3451209999999999E-2</v>
      </c>
      <c r="Q7148">
        <v>-2.411543E-2</v>
      </c>
      <c r="R7148">
        <v>0.99827920000000003</v>
      </c>
      <c r="S7148">
        <v>0.20581050000000001</v>
      </c>
      <c r="T7148">
        <v>-0.15616549999999901</v>
      </c>
      <c r="U7148">
        <v>2.99057</v>
      </c>
      <c r="V7148">
        <v>4.7318510000000001E-2</v>
      </c>
      <c r="W7148">
        <v>-9.5715279999999993E-3</v>
      </c>
      <c r="X7148">
        <v>0.998834</v>
      </c>
      <c r="Y7148">
        <v>6.2434509999999999E-2</v>
      </c>
      <c r="Z7148">
        <v>-5.2034549999999999E-2</v>
      </c>
      <c r="AA7148">
        <v>0.99669169999999996</v>
      </c>
      <c r="AB7148">
        <v>34</v>
      </c>
      <c r="AC7148">
        <v>1.4589000000000001</v>
      </c>
      <c r="AD7148">
        <v>-1.1101209793019999</v>
      </c>
      <c r="AE7148">
        <v>20.579089999999901</v>
      </c>
      <c r="AF7148">
        <v>1.3286053996654299</v>
      </c>
      <c r="AG7148">
        <v>-1.1101209793019999</v>
      </c>
      <c r="AH7148">
        <v>20.5282261395968</v>
      </c>
      <c r="AI7148">
        <v>93.088963519563904</v>
      </c>
      <c r="AJ7148">
        <v>86.296929930204598</v>
      </c>
      <c r="AK7148">
        <v>20.6011074783646</v>
      </c>
      <c r="AL7148">
        <v>90.548416527755506</v>
      </c>
      <c r="AM7148">
        <v>87.287712016330005</v>
      </c>
      <c r="AN7148">
        <v>1.0000000075464299</v>
      </c>
    </row>
    <row r="7149" spans="1:40" x14ac:dyDescent="0.25">
      <c r="A7149" t="str">
        <f>"20190312161456705"</f>
        <v>20190312161456705</v>
      </c>
      <c r="B7149" t="str">
        <f>"1552378496694512"</f>
        <v>1552378496694512</v>
      </c>
      <c r="C7149" t="s">
        <v>40</v>
      </c>
      <c r="D7149">
        <v>5.6126009999999997</v>
      </c>
      <c r="E7149">
        <v>0.50433309999999998</v>
      </c>
      <c r="F7149" t="s">
        <v>42</v>
      </c>
      <c r="G7149">
        <v>-185.25229999999999</v>
      </c>
      <c r="H7149" s="1">
        <v>-2.4808710000000001E-6</v>
      </c>
      <c r="I7149">
        <v>83.226100000000002</v>
      </c>
      <c r="J7149">
        <v>-186.7559</v>
      </c>
      <c r="K7149">
        <v>1.1101160000000001</v>
      </c>
      <c r="L7149">
        <v>61.866210000000002</v>
      </c>
      <c r="M7149">
        <v>6.0324749999999998E-3</v>
      </c>
      <c r="N7149">
        <v>0</v>
      </c>
      <c r="O7149">
        <v>0.99987599999999999</v>
      </c>
      <c r="P7149">
        <v>5.360852E-2</v>
      </c>
      <c r="Q7149">
        <v>-2.31162E-2</v>
      </c>
      <c r="R7149">
        <v>0.99829440000000003</v>
      </c>
      <c r="S7149">
        <v>0.2047882</v>
      </c>
      <c r="T7149">
        <v>-0.15080189999999999</v>
      </c>
      <c r="U7149">
        <v>2.99057</v>
      </c>
      <c r="V7149">
        <v>4.7585509999999998E-2</v>
      </c>
      <c r="W7149">
        <v>-8.5790090000000003E-3</v>
      </c>
      <c r="X7149">
        <v>0.99883029999999995</v>
      </c>
      <c r="Y7149">
        <v>6.2211429999999998E-2</v>
      </c>
      <c r="Z7149">
        <v>-5.0252980000000003E-2</v>
      </c>
      <c r="AA7149">
        <v>0.99679709999999999</v>
      </c>
      <c r="AB7149">
        <v>34</v>
      </c>
      <c r="AC7149">
        <v>1.5036</v>
      </c>
      <c r="AD7149">
        <v>-1.1101184808709901</v>
      </c>
      <c r="AE7149">
        <v>21.35989</v>
      </c>
      <c r="AF7149">
        <v>1.3710209940826801</v>
      </c>
      <c r="AG7149">
        <v>-1.1101184808709901</v>
      </c>
      <c r="AH7149">
        <v>21.3112925604593</v>
      </c>
      <c r="AI7149">
        <v>92.975737229055795</v>
      </c>
      <c r="AJ7149">
        <v>86.319058854605004</v>
      </c>
      <c r="AK7149">
        <v>21.384182289843899</v>
      </c>
      <c r="AL7149">
        <v>90.491547050517795</v>
      </c>
      <c r="AM7149">
        <v>87.272420585741003</v>
      </c>
      <c r="AN7149">
        <v>0.99999997417773501</v>
      </c>
    </row>
    <row r="7150" spans="1:40" x14ac:dyDescent="0.25">
      <c r="A7150" t="str">
        <f>"20190312161456749"</f>
        <v>20190312161456749</v>
      </c>
      <c r="B7150" t="str">
        <f>"1552378496744288"</f>
        <v>1552378496744288</v>
      </c>
      <c r="C7150" t="s">
        <v>40</v>
      </c>
      <c r="D7150">
        <v>5.4819649999999998</v>
      </c>
      <c r="E7150">
        <v>0.50428909999999905</v>
      </c>
      <c r="F7150" t="s">
        <v>42</v>
      </c>
      <c r="G7150">
        <v>-185.36949999999999</v>
      </c>
      <c r="H7150" s="1">
        <v>-2.42541E-6</v>
      </c>
      <c r="I7150">
        <v>83.154780000000002</v>
      </c>
      <c r="J7150">
        <v>-186.75210000000001</v>
      </c>
      <c r="K7150">
        <v>1.110107</v>
      </c>
      <c r="L7150">
        <v>62.524900000000002</v>
      </c>
      <c r="M7150">
        <v>5.9220549999999999E-3</v>
      </c>
      <c r="N7150">
        <v>0</v>
      </c>
      <c r="O7150">
        <v>0.99987669999999995</v>
      </c>
      <c r="P7150">
        <v>5.3480550000000002E-2</v>
      </c>
      <c r="Q7150">
        <v>-2.3570609999999999E-2</v>
      </c>
      <c r="R7150">
        <v>0.99829069999999998</v>
      </c>
      <c r="S7150">
        <v>0.19479369999999999</v>
      </c>
      <c r="T7150">
        <v>-0.15597239999999901</v>
      </c>
      <c r="U7150">
        <v>2.9910580000000002</v>
      </c>
      <c r="V7150">
        <v>4.756788E-2</v>
      </c>
      <c r="W7150">
        <v>-9.0404370000000001E-3</v>
      </c>
      <c r="X7150">
        <v>0.99882709999999997</v>
      </c>
      <c r="Y7150">
        <v>5.8988539999999999E-2</v>
      </c>
      <c r="Z7150">
        <v>-5.1973859999999997E-2</v>
      </c>
      <c r="AA7150">
        <v>0.99690469999999998</v>
      </c>
      <c r="AB7150">
        <v>34</v>
      </c>
      <c r="AC7150">
        <v>1.38260000000002</v>
      </c>
      <c r="AD7150">
        <v>-1.1101094254099999</v>
      </c>
      <c r="AE7150">
        <v>20.62988</v>
      </c>
      <c r="AF7150">
        <v>1.2567687197328199</v>
      </c>
      <c r="AG7150">
        <v>-1.1101094254099999</v>
      </c>
      <c r="AH7150">
        <v>20.578386586694201</v>
      </c>
      <c r="AI7150">
        <v>93.082119674142604</v>
      </c>
      <c r="AJ7150">
        <v>86.505157589712098</v>
      </c>
      <c r="AK7150">
        <v>20.646593061876398</v>
      </c>
      <c r="AL7150">
        <v>90.517985938829597</v>
      </c>
      <c r="AM7150">
        <v>87.2734208818638</v>
      </c>
      <c r="AN7150">
        <v>1.0000000042016199</v>
      </c>
    </row>
    <row r="7151" spans="1:40" x14ac:dyDescent="0.25">
      <c r="A7151" t="str">
        <f>"20190312161456770"</f>
        <v>20190312161456770</v>
      </c>
      <c r="B7151" t="str">
        <f>"1552378496763809"</f>
        <v>1552378496763809</v>
      </c>
      <c r="C7151" t="s">
        <v>40</v>
      </c>
      <c r="D7151">
        <v>5.5452459999999997</v>
      </c>
      <c r="E7151">
        <v>0.50411589999999995</v>
      </c>
      <c r="F7151" t="s">
        <v>42</v>
      </c>
      <c r="G7151">
        <v>-185.16059999999999</v>
      </c>
      <c r="H7151" s="1">
        <v>-4.0334539999999996E-6</v>
      </c>
      <c r="I7151">
        <v>87.033819999999906</v>
      </c>
      <c r="J7151">
        <v>-186.75020000000001</v>
      </c>
      <c r="K7151">
        <v>1.110109</v>
      </c>
      <c r="L7151">
        <v>62.852139999999999</v>
      </c>
      <c r="M7151">
        <v>5.8672719999999998E-3</v>
      </c>
      <c r="N7151">
        <v>0</v>
      </c>
      <c r="O7151">
        <v>0.99987709999999996</v>
      </c>
      <c r="P7151">
        <v>5.3189189999999997E-2</v>
      </c>
      <c r="Q7151">
        <v>-2.3211849999999999E-2</v>
      </c>
      <c r="R7151">
        <v>0.99831460000000005</v>
      </c>
      <c r="S7151">
        <v>0.1942596</v>
      </c>
      <c r="T7151">
        <v>-0.1354996</v>
      </c>
      <c r="U7151">
        <v>2.9915470000000002</v>
      </c>
      <c r="V7151">
        <v>4.7331070000000003E-2</v>
      </c>
      <c r="W7151">
        <v>-8.6849049999999997E-3</v>
      </c>
      <c r="X7151">
        <v>0.99884150000000005</v>
      </c>
      <c r="Y7151">
        <v>5.8876919999999999E-2</v>
      </c>
      <c r="Z7151">
        <v>-4.5159900000000003E-2</v>
      </c>
      <c r="AA7151">
        <v>0.9972432</v>
      </c>
      <c r="AB7151">
        <v>33</v>
      </c>
      <c r="AC7151">
        <v>1.5896000000000099</v>
      </c>
      <c r="AD7151">
        <v>-1.1101130334539999</v>
      </c>
      <c r="AE7151">
        <v>24.181679999999901</v>
      </c>
      <c r="AF7151">
        <v>1.44464569434651</v>
      </c>
      <c r="AG7151">
        <v>-1.1101130334539999</v>
      </c>
      <c r="AH7151">
        <v>24.1399359767797</v>
      </c>
      <c r="AI7151">
        <v>92.628286168116404</v>
      </c>
      <c r="AJ7151">
        <v>86.575239460019802</v>
      </c>
      <c r="AK7151">
        <v>24.2085906465507</v>
      </c>
      <c r="AL7151">
        <v>90.497614657778897</v>
      </c>
      <c r="AM7151">
        <v>87.287013495729795</v>
      </c>
      <c r="AN7151">
        <v>0.99999999994222599</v>
      </c>
    </row>
    <row r="7152" spans="1:40" x14ac:dyDescent="0.25">
      <c r="A7152" t="str">
        <f>"20190312161456793"</f>
        <v>20190312161456793</v>
      </c>
      <c r="B7152" t="str">
        <f>"1552378496783614"</f>
        <v>1552378496783614</v>
      </c>
      <c r="C7152" t="s">
        <v>40</v>
      </c>
      <c r="D7152">
        <v>5.6754939999999996</v>
      </c>
      <c r="E7152">
        <v>0.50401399999999996</v>
      </c>
      <c r="F7152" t="s">
        <v>42</v>
      </c>
      <c r="G7152">
        <v>-185.1259</v>
      </c>
      <c r="H7152" s="1">
        <v>-4.526409E-6</v>
      </c>
      <c r="I7152">
        <v>88.168569999999903</v>
      </c>
      <c r="J7152">
        <v>-186.7483</v>
      </c>
      <c r="K7152">
        <v>1.110114</v>
      </c>
      <c r="L7152">
        <v>63.196750000000002</v>
      </c>
      <c r="M7152">
        <v>5.8097280000000001E-3</v>
      </c>
      <c r="N7152">
        <v>0</v>
      </c>
      <c r="O7152">
        <v>0.99987749999999997</v>
      </c>
      <c r="P7152">
        <v>5.311271E-2</v>
      </c>
      <c r="Q7152">
        <v>-2.351862E-2</v>
      </c>
      <c r="R7152">
        <v>0.99831150000000002</v>
      </c>
      <c r="S7152">
        <v>0.1919556</v>
      </c>
      <c r="T7152">
        <v>-0.13118859999999999</v>
      </c>
      <c r="U7152">
        <v>2.9917910000000001</v>
      </c>
      <c r="V7152">
        <v>4.7312109999999998E-2</v>
      </c>
      <c r="W7152">
        <v>-8.995365E-3</v>
      </c>
      <c r="X7152">
        <v>0.9988397</v>
      </c>
      <c r="Y7152">
        <v>5.8168379999999999E-2</v>
      </c>
      <c r="Z7152">
        <v>-4.3724390000000002E-2</v>
      </c>
      <c r="AA7152">
        <v>0.99734880000000004</v>
      </c>
      <c r="AB7152">
        <v>33</v>
      </c>
      <c r="AC7152">
        <v>1.6223999999999901</v>
      </c>
      <c r="AD7152">
        <v>-1.1101185264090001</v>
      </c>
      <c r="AE7152">
        <v>24.971819999999902</v>
      </c>
      <c r="AF7152">
        <v>1.4743763414070401</v>
      </c>
      <c r="AG7152">
        <v>-1.1101185264090001</v>
      </c>
      <c r="AH7152">
        <v>24.9317612805404</v>
      </c>
      <c r="AI7152">
        <v>92.545043401610997</v>
      </c>
      <c r="AJ7152">
        <v>86.615671344760401</v>
      </c>
      <c r="AK7152">
        <v>24.999977385762399</v>
      </c>
      <c r="AL7152">
        <v>90.515403375199696</v>
      </c>
      <c r="AM7152">
        <v>87.288093768225394</v>
      </c>
      <c r="AN7152">
        <v>1.00000004932011</v>
      </c>
    </row>
    <row r="7153" spans="1:40" x14ac:dyDescent="0.25">
      <c r="A7153" t="str">
        <f>"20190312161456816"</f>
        <v>20190312161456816</v>
      </c>
      <c r="B7153" t="str">
        <f>"1552378496804111"</f>
        <v>1552378496804111</v>
      </c>
      <c r="C7153" t="s">
        <v>40</v>
      </c>
      <c r="D7153">
        <v>5.5559240000000001</v>
      </c>
      <c r="E7153">
        <v>0.50381989999999999</v>
      </c>
      <c r="F7153" t="s">
        <v>42</v>
      </c>
      <c r="G7153">
        <v>-185.10759999999999</v>
      </c>
      <c r="H7153" s="1">
        <v>-4.8396969999999997E-6</v>
      </c>
      <c r="I7153">
        <v>88.891279999999995</v>
      </c>
      <c r="J7153">
        <v>-186.74629999999999</v>
      </c>
      <c r="K7153">
        <v>1.110117</v>
      </c>
      <c r="L7153">
        <v>63.539250000000003</v>
      </c>
      <c r="M7153">
        <v>5.7521350000000002E-3</v>
      </c>
      <c r="N7153">
        <v>0</v>
      </c>
      <c r="O7153">
        <v>0.99987789999999999</v>
      </c>
      <c r="P7153">
        <v>5.2958739999999997E-2</v>
      </c>
      <c r="Q7153">
        <v>-2.3566320000000002E-2</v>
      </c>
      <c r="R7153">
        <v>0.99831859999999994</v>
      </c>
      <c r="S7153">
        <v>0.19103999999999999</v>
      </c>
      <c r="T7153">
        <v>-0.1292614</v>
      </c>
      <c r="U7153">
        <v>2.9918520000000002</v>
      </c>
      <c r="V7153">
        <v>4.7215600000000003E-2</v>
      </c>
      <c r="W7153">
        <v>-9.0465649999999995E-3</v>
      </c>
      <c r="X7153">
        <v>0.9988437</v>
      </c>
      <c r="Y7153">
        <v>5.7922410000000001E-2</v>
      </c>
      <c r="Z7153">
        <v>-4.3083120000000003E-2</v>
      </c>
      <c r="AA7153">
        <v>0.99739100000000003</v>
      </c>
      <c r="AB7153">
        <v>33</v>
      </c>
      <c r="AC7153">
        <v>1.6387</v>
      </c>
      <c r="AD7153">
        <v>-1.1101218396969901</v>
      </c>
      <c r="AE7153">
        <v>25.352029999999999</v>
      </c>
      <c r="AF7153">
        <v>1.4899841613262199</v>
      </c>
      <c r="AG7153">
        <v>-1.1101218396969901</v>
      </c>
      <c r="AH7153">
        <v>25.312704527166801</v>
      </c>
      <c r="AI7153">
        <v>92.506838746301995</v>
      </c>
      <c r="AJ7153">
        <v>86.631280149876105</v>
      </c>
      <c r="AK7153">
        <v>25.380808375219701</v>
      </c>
      <c r="AL7153">
        <v>90.518337092345604</v>
      </c>
      <c r="AM7153">
        <v>87.293628261457897</v>
      </c>
      <c r="AN7153">
        <v>0.99999994512567303</v>
      </c>
    </row>
    <row r="7154" spans="1:40" x14ac:dyDescent="0.25">
      <c r="A7154" t="str">
        <f>"20190312161456838"</f>
        <v>20190312161456838</v>
      </c>
      <c r="B7154" t="str">
        <f>"1552378496834366"</f>
        <v>1552378496834366</v>
      </c>
      <c r="C7154" t="s">
        <v>40</v>
      </c>
      <c r="D7154">
        <v>5.5565220000000002</v>
      </c>
      <c r="E7154">
        <v>0.50374229999999998</v>
      </c>
      <c r="F7154" t="s">
        <v>42</v>
      </c>
      <c r="G7154">
        <v>-185.10069999999999</v>
      </c>
      <c r="H7154" s="1">
        <v>-5.1428129999999998E-6</v>
      </c>
      <c r="I7154">
        <v>89.595019999999906</v>
      </c>
      <c r="J7154">
        <v>-186.74449999999999</v>
      </c>
      <c r="K7154">
        <v>1.1101190000000001</v>
      </c>
      <c r="L7154">
        <v>63.864109999999997</v>
      </c>
      <c r="M7154">
        <v>5.6975510000000004E-3</v>
      </c>
      <c r="N7154">
        <v>0</v>
      </c>
      <c r="O7154">
        <v>0.99987820000000005</v>
      </c>
      <c r="P7154">
        <v>5.3149969999999998E-2</v>
      </c>
      <c r="Q7154">
        <v>-2.2726819999999998E-2</v>
      </c>
      <c r="R7154">
        <v>0.99832790000000005</v>
      </c>
      <c r="S7154">
        <v>0.18896479999999999</v>
      </c>
      <c r="T7154">
        <v>-0.12747619999999901</v>
      </c>
      <c r="U7154">
        <v>2.9920040000000001</v>
      </c>
      <c r="V7154">
        <v>4.746123E-2</v>
      </c>
      <c r="W7154">
        <v>-8.2103149999999993E-3</v>
      </c>
      <c r="X7154">
        <v>0.99883929999999999</v>
      </c>
      <c r="Y7154">
        <v>5.7286259999999999E-2</v>
      </c>
      <c r="Z7154">
        <v>-4.2488770000000002E-2</v>
      </c>
      <c r="AA7154">
        <v>0.99745329999999999</v>
      </c>
      <c r="AB7154">
        <v>33</v>
      </c>
      <c r="AC7154">
        <v>1.6437999999999899</v>
      </c>
      <c r="AD7154">
        <v>-1.110124142813</v>
      </c>
      <c r="AE7154">
        <v>25.730909999999898</v>
      </c>
      <c r="AF7154">
        <v>1.4943843667499599</v>
      </c>
      <c r="AG7154">
        <v>-1.110124142813</v>
      </c>
      <c r="AH7154">
        <v>25.692230515411399</v>
      </c>
      <c r="AI7154">
        <v>92.469959454296003</v>
      </c>
      <c r="AJ7154">
        <v>86.671151013819397</v>
      </c>
      <c r="AK7154">
        <v>25.759585965327101</v>
      </c>
      <c r="AL7154">
        <v>90.470421700880905</v>
      </c>
      <c r="AM7154">
        <v>87.279558017844195</v>
      </c>
      <c r="AN7154">
        <v>0.999999962425</v>
      </c>
    </row>
    <row r="7155" spans="1:40" x14ac:dyDescent="0.25">
      <c r="A7155" t="str">
        <f>"20190312161456861"</f>
        <v>20190312161456861</v>
      </c>
      <c r="B7155" t="str">
        <f>"1552378496853885"</f>
        <v>1552378496853885</v>
      </c>
      <c r="C7155" t="s">
        <v>40</v>
      </c>
      <c r="D7155">
        <v>5.7230589999999903</v>
      </c>
      <c r="E7155">
        <v>0.50386299999999995</v>
      </c>
      <c r="F7155" t="s">
        <v>42</v>
      </c>
      <c r="G7155">
        <v>-185.0164</v>
      </c>
      <c r="H7155" s="1">
        <v>-1.86405E-6</v>
      </c>
      <c r="I7155">
        <v>91.229089999999999</v>
      </c>
      <c r="J7155">
        <v>-186.74270000000001</v>
      </c>
      <c r="K7155">
        <v>1.1101240000000001</v>
      </c>
      <c r="L7155">
        <v>64.198580000000007</v>
      </c>
      <c r="M7155">
        <v>5.6411309999999997E-3</v>
      </c>
      <c r="N7155">
        <v>0</v>
      </c>
      <c r="O7155">
        <v>0.99987859999999995</v>
      </c>
      <c r="P7155">
        <v>5.2600389999999997E-2</v>
      </c>
      <c r="Q7155">
        <v>-2.3160610000000002E-2</v>
      </c>
      <c r="R7155">
        <v>0.99834699999999998</v>
      </c>
      <c r="S7155">
        <v>0.18896479999999999</v>
      </c>
      <c r="T7155">
        <v>-0.1213859</v>
      </c>
      <c r="U7155">
        <v>2.9922179999999998</v>
      </c>
      <c r="V7155">
        <v>4.6967910000000002E-2</v>
      </c>
      <c r="W7155">
        <v>-8.6473109999999995E-3</v>
      </c>
      <c r="X7155">
        <v>0.99885900000000005</v>
      </c>
      <c r="Y7155">
        <v>5.7343430000000001E-2</v>
      </c>
      <c r="Z7155">
        <v>-4.0459330000000002E-2</v>
      </c>
      <c r="AA7155">
        <v>0.99753429999999998</v>
      </c>
      <c r="AB7155">
        <v>33</v>
      </c>
      <c r="AC7155">
        <v>1.7262999999999999</v>
      </c>
      <c r="AD7155">
        <v>-1.11012586404999</v>
      </c>
      <c r="AE7155">
        <v>27.0305099999999</v>
      </c>
      <c r="AF7155">
        <v>1.5711345356303801</v>
      </c>
      <c r="AG7155">
        <v>-1.11012586404999</v>
      </c>
      <c r="AH7155">
        <v>26.994472706028301</v>
      </c>
      <c r="AI7155">
        <v>92.350941616244</v>
      </c>
      <c r="AJ7155">
        <v>86.669024112433306</v>
      </c>
      <c r="AK7155">
        <v>27.062934058220499</v>
      </c>
      <c r="AL7155">
        <v>90.4954605838589</v>
      </c>
      <c r="AM7155">
        <v>87.307845947586799</v>
      </c>
      <c r="AN7155">
        <v>1.0000000312191399</v>
      </c>
    </row>
    <row r="7156" spans="1:40" x14ac:dyDescent="0.25">
      <c r="A7156" t="str">
        <f>"20190312161456883"</f>
        <v>20190312161456883</v>
      </c>
      <c r="B7156" t="str">
        <f>"1552378496873406"</f>
        <v>1552378496873406</v>
      </c>
      <c r="C7156" t="s">
        <v>40</v>
      </c>
      <c r="D7156">
        <v>5.6996609999999999</v>
      </c>
      <c r="E7156">
        <v>0.51800219999999997</v>
      </c>
      <c r="F7156" t="s">
        <v>42</v>
      </c>
      <c r="G7156">
        <v>-184.9649</v>
      </c>
      <c r="H7156" s="1">
        <v>-2.2875230000000001E-6</v>
      </c>
      <c r="I7156">
        <v>92.433210000000003</v>
      </c>
      <c r="J7156">
        <v>-186.74090000000001</v>
      </c>
      <c r="K7156">
        <v>1.1101270000000001</v>
      </c>
      <c r="L7156">
        <v>64.52713</v>
      </c>
      <c r="M7156">
        <v>5.585764E-3</v>
      </c>
      <c r="N7156">
        <v>0</v>
      </c>
      <c r="O7156">
        <v>0.99987890000000001</v>
      </c>
      <c r="P7156">
        <v>5.249935E-2</v>
      </c>
      <c r="Q7156">
        <v>-2.275901E-2</v>
      </c>
      <c r="R7156">
        <v>0.99836159999999996</v>
      </c>
      <c r="S7156">
        <v>0.18841550000000001</v>
      </c>
      <c r="T7156">
        <v>-0.1176513</v>
      </c>
      <c r="U7156">
        <v>2.9923099999999998</v>
      </c>
      <c r="V7156">
        <v>4.6922060000000002E-2</v>
      </c>
      <c r="W7156">
        <v>-8.2489550000000005E-3</v>
      </c>
      <c r="X7156">
        <v>0.99886450000000004</v>
      </c>
      <c r="Y7156">
        <v>5.7217509999999999E-2</v>
      </c>
      <c r="Z7156">
        <v>-3.9215680000000003E-2</v>
      </c>
      <c r="AA7156">
        <v>0.99759129999999996</v>
      </c>
      <c r="AB7156">
        <v>33</v>
      </c>
      <c r="AC7156">
        <v>1.77600000000001</v>
      </c>
      <c r="AD7156">
        <v>-1.110129287523</v>
      </c>
      <c r="AE7156">
        <v>27.906079999999999</v>
      </c>
      <c r="AF7156">
        <v>1.61752961586952</v>
      </c>
      <c r="AG7156">
        <v>-1.110129287523</v>
      </c>
      <c r="AH7156">
        <v>27.871636404215401</v>
      </c>
      <c r="AI7156">
        <v>92.277062006539694</v>
      </c>
      <c r="AJ7156">
        <v>86.678566669710506</v>
      </c>
      <c r="AK7156">
        <v>27.940596001911199</v>
      </c>
      <c r="AL7156">
        <v>90.472635663711998</v>
      </c>
      <c r="AM7156">
        <v>87.310484950856505</v>
      </c>
      <c r="AN7156">
        <v>1.0000000071667401</v>
      </c>
    </row>
    <row r="7157" spans="1:40" x14ac:dyDescent="0.25">
      <c r="A7157" t="str">
        <f>"20190312161456904"</f>
        <v>20190312161456904</v>
      </c>
      <c r="B7157" t="str">
        <f>"1552378496893902"</f>
        <v>1552378496893902</v>
      </c>
      <c r="C7157" t="s">
        <v>40</v>
      </c>
      <c r="D7157">
        <v>5.6426119999999997</v>
      </c>
      <c r="E7157">
        <v>0.53445889999999996</v>
      </c>
      <c r="F7157" t="s">
        <v>59</v>
      </c>
      <c r="G7157">
        <v>-168.10900000000001</v>
      </c>
      <c r="H7157">
        <v>2.3245930000000001</v>
      </c>
      <c r="I7157">
        <v>249.3853</v>
      </c>
      <c r="J7157">
        <v>-186.73920000000001</v>
      </c>
      <c r="K7157">
        <v>1.1101289999999999</v>
      </c>
      <c r="L7157">
        <v>64.846100000000007</v>
      </c>
      <c r="M7157">
        <v>5.5321499999999996E-3</v>
      </c>
      <c r="N7157">
        <v>0</v>
      </c>
      <c r="O7157">
        <v>0.99987930000000003</v>
      </c>
      <c r="P7157">
        <v>5.2897039999999999E-2</v>
      </c>
      <c r="Q7157">
        <v>-2.2362659999999999E-2</v>
      </c>
      <c r="R7157">
        <v>0.9983495</v>
      </c>
      <c r="S7157">
        <v>0.30131529999999901</v>
      </c>
      <c r="T7157">
        <v>1.9641280000000001E-2</v>
      </c>
      <c r="U7157">
        <v>2.9895320000000001</v>
      </c>
      <c r="V7157">
        <v>4.7373319999999997E-2</v>
      </c>
      <c r="W7157">
        <v>-7.8560539999999995E-3</v>
      </c>
      <c r="X7157">
        <v>0.99884640000000002</v>
      </c>
      <c r="Y7157">
        <v>9.4773529999999995E-2</v>
      </c>
      <c r="Z7157">
        <v>6.5383780000000001E-3</v>
      </c>
      <c r="AA7157">
        <v>0.99547739999999996</v>
      </c>
      <c r="AB7157">
        <v>33</v>
      </c>
      <c r="AC7157">
        <v>18.630199999999999</v>
      </c>
      <c r="AD7157">
        <v>1.214464</v>
      </c>
      <c r="AE7157">
        <v>184.53919999999999</v>
      </c>
      <c r="AF7157">
        <v>17.6081537851049</v>
      </c>
      <c r="AG7157">
        <v>1.214464</v>
      </c>
      <c r="AH7157">
        <v>184.63153564069</v>
      </c>
      <c r="AI7157">
        <v>89.624829136642603</v>
      </c>
      <c r="AJ7157">
        <v>84.5522263127814</v>
      </c>
      <c r="AK7157">
        <v>185.47324862515001</v>
      </c>
      <c r="AL7157">
        <v>90.450123350029699</v>
      </c>
      <c r="AM7157">
        <v>87.284608676836498</v>
      </c>
      <c r="AN7157">
        <v>1.0000000399126101</v>
      </c>
    </row>
    <row r="7158" spans="1:40" x14ac:dyDescent="0.25">
      <c r="A7158" t="str">
        <f>"20190312161456927"</f>
        <v>20190312161456927</v>
      </c>
      <c r="B7158" t="str">
        <f>"1552378496913422"</f>
        <v>1552378496913422</v>
      </c>
      <c r="C7158" t="s">
        <v>40</v>
      </c>
      <c r="D7158">
        <v>5.6174710000000001</v>
      </c>
      <c r="E7158">
        <v>0.53393669999999904</v>
      </c>
      <c r="F7158" t="s">
        <v>42</v>
      </c>
      <c r="G7158">
        <v>-179.0214</v>
      </c>
      <c r="H7158">
        <v>7.9986379999999996E-2</v>
      </c>
      <c r="I7158">
        <v>117.9539</v>
      </c>
      <c r="J7158">
        <v>-186.73740000000001</v>
      </c>
      <c r="K7158">
        <v>1.1101319999999999</v>
      </c>
      <c r="L7158">
        <v>65.173429999999996</v>
      </c>
      <c r="M7158">
        <v>5.47716E-3</v>
      </c>
      <c r="N7158">
        <v>0</v>
      </c>
      <c r="O7158">
        <v>0.99987959999999998</v>
      </c>
      <c r="P7158">
        <v>5.3248740000000003E-2</v>
      </c>
      <c r="Q7158">
        <v>-2.2093370000000001E-2</v>
      </c>
      <c r="R7158">
        <v>0.99833689999999997</v>
      </c>
      <c r="S7158">
        <v>0.43316650000000001</v>
      </c>
      <c r="T7158">
        <v>-5.7817460000000001E-2</v>
      </c>
      <c r="U7158">
        <v>2.9807130000000002</v>
      </c>
      <c r="V7158">
        <v>4.777998E-2</v>
      </c>
      <c r="W7158">
        <v>-7.5903730000000001E-3</v>
      </c>
      <c r="X7158">
        <v>0.99882910000000003</v>
      </c>
      <c r="Y7158">
        <v>0.13836300000000001</v>
      </c>
      <c r="Z7158">
        <v>-1.9199049999999999E-2</v>
      </c>
      <c r="AA7158">
        <v>0.99019550000000001</v>
      </c>
      <c r="AB7158">
        <v>33</v>
      </c>
      <c r="AC7158">
        <v>7.7160000000000002</v>
      </c>
      <c r="AD7158">
        <v>-1.0301456200000001</v>
      </c>
      <c r="AE7158">
        <v>52.780470000000001</v>
      </c>
      <c r="AF7158">
        <v>7.4239978017650996</v>
      </c>
      <c r="AG7158">
        <v>-1.0301456200000001</v>
      </c>
      <c r="AH7158">
        <v>52.802251020591299</v>
      </c>
      <c r="AI7158">
        <v>91.106786934421294</v>
      </c>
      <c r="AJ7158">
        <v>81.996674373088894</v>
      </c>
      <c r="AK7158">
        <v>53.331554038866699</v>
      </c>
      <c r="AL7158">
        <v>90.434900489747093</v>
      </c>
      <c r="AM7158">
        <v>87.261287306765794</v>
      </c>
      <c r="AN7158">
        <v>1.0000000556289399</v>
      </c>
    </row>
    <row r="7159" spans="1:40" x14ac:dyDescent="0.25">
      <c r="A7159" t="str">
        <f>"20190312161456948"</f>
        <v>20190312161456948</v>
      </c>
      <c r="B7159" t="str">
        <f>"1552378496943678"</f>
        <v>1552378496943678</v>
      </c>
      <c r="C7159" t="s">
        <v>40</v>
      </c>
      <c r="D7159">
        <v>5.6311429999999998</v>
      </c>
      <c r="E7159">
        <v>0.53409169999999995</v>
      </c>
      <c r="F7159" t="s">
        <v>42</v>
      </c>
      <c r="G7159">
        <v>-179.93879999999999</v>
      </c>
      <c r="H7159">
        <v>6.8982769999999999E-2</v>
      </c>
      <c r="I7159">
        <v>112.3117</v>
      </c>
      <c r="J7159">
        <v>-186.73570000000001</v>
      </c>
      <c r="K7159">
        <v>1.110134</v>
      </c>
      <c r="L7159">
        <v>65.491579999999999</v>
      </c>
      <c r="M7159">
        <v>5.4239669999999896E-3</v>
      </c>
      <c r="N7159">
        <v>0</v>
      </c>
      <c r="O7159">
        <v>0.99987999999999999</v>
      </c>
      <c r="P7159">
        <v>5.3466569999999998E-2</v>
      </c>
      <c r="Q7159">
        <v>-2.1496129999999999E-2</v>
      </c>
      <c r="R7159">
        <v>0.99833819999999995</v>
      </c>
      <c r="S7159">
        <v>0.42988589999999999</v>
      </c>
      <c r="T7159">
        <v>-6.5833329999999995E-2</v>
      </c>
      <c r="U7159">
        <v>2.9806210000000002</v>
      </c>
      <c r="V7159">
        <v>4.8050879999999997E-2</v>
      </c>
      <c r="W7159">
        <v>-6.996426E-3</v>
      </c>
      <c r="X7159">
        <v>0.99882040000000005</v>
      </c>
      <c r="Y7159">
        <v>0.13734469999999999</v>
      </c>
      <c r="Z7159">
        <v>-2.1863560000000001E-2</v>
      </c>
      <c r="AA7159">
        <v>0.990282</v>
      </c>
      <c r="AB7159">
        <v>33</v>
      </c>
      <c r="AC7159">
        <v>6.7969000000000204</v>
      </c>
      <c r="AD7159">
        <v>-1.0411512300000001</v>
      </c>
      <c r="AE7159">
        <v>46.820120000000003</v>
      </c>
      <c r="AF7159">
        <v>6.53965538373948</v>
      </c>
      <c r="AG7159">
        <v>-1.0411512300000001</v>
      </c>
      <c r="AH7159">
        <v>46.833620146284098</v>
      </c>
      <c r="AI7159">
        <v>91.261291094090097</v>
      </c>
      <c r="AJ7159">
        <v>82.050850176604698</v>
      </c>
      <c r="AK7159">
        <v>47.299461565944199</v>
      </c>
      <c r="AL7159">
        <v>90.400868946229096</v>
      </c>
      <c r="AM7159">
        <v>87.245759410630299</v>
      </c>
      <c r="AN7159">
        <v>1.0000000142508501</v>
      </c>
    </row>
    <row r="7160" spans="1:40" x14ac:dyDescent="0.25">
      <c r="A7160" t="str">
        <f>"20190312161456971"</f>
        <v>20190312161456971</v>
      </c>
      <c r="B7160" t="str">
        <f>"1552378496964174"</f>
        <v>1552378496964174</v>
      </c>
      <c r="C7160" t="s">
        <v>40</v>
      </c>
      <c r="D7160">
        <v>5.6164430000000003</v>
      </c>
      <c r="E7160">
        <v>0.53336879999999998</v>
      </c>
      <c r="F7160" t="s">
        <v>42</v>
      </c>
      <c r="G7160">
        <v>-179.2552</v>
      </c>
      <c r="H7160">
        <v>7.9986119999999994E-2</v>
      </c>
      <c r="I7160">
        <v>117.10039999999999</v>
      </c>
      <c r="J7160">
        <v>-186.73390000000001</v>
      </c>
      <c r="K7160">
        <v>1.1101289999999999</v>
      </c>
      <c r="L7160">
        <v>65.833529999999996</v>
      </c>
      <c r="M7160">
        <v>5.3668079999999998E-3</v>
      </c>
      <c r="N7160">
        <v>0</v>
      </c>
      <c r="O7160">
        <v>0.99988030000000006</v>
      </c>
      <c r="P7160">
        <v>5.4176839999999997E-2</v>
      </c>
      <c r="Q7160">
        <v>-2.1999040000000001E-2</v>
      </c>
      <c r="R7160">
        <v>0.99828899999999998</v>
      </c>
      <c r="S7160">
        <v>0.43202210000000002</v>
      </c>
      <c r="T7160">
        <v>-5.9494020000000002E-2</v>
      </c>
      <c r="U7160">
        <v>2.9805600000000001</v>
      </c>
      <c r="V7160">
        <v>4.8818540000000001E-2</v>
      </c>
      <c r="W7160">
        <v>-7.5035049999999997E-3</v>
      </c>
      <c r="X7160">
        <v>0.99877950000000004</v>
      </c>
      <c r="Y7160">
        <v>0.1381056</v>
      </c>
      <c r="Z7160">
        <v>-1.9757460000000001E-2</v>
      </c>
      <c r="AA7160">
        <v>0.9902204</v>
      </c>
      <c r="AB7160">
        <v>33</v>
      </c>
      <c r="AC7160">
        <v>7.4786999999999999</v>
      </c>
      <c r="AD7160">
        <v>-1.0301428800000001</v>
      </c>
      <c r="AE7160">
        <v>51.266869999999898</v>
      </c>
      <c r="AF7160">
        <v>7.2005771381256798</v>
      </c>
      <c r="AG7160">
        <v>-1.0301428800000001</v>
      </c>
      <c r="AH7160">
        <v>51.285996835483097</v>
      </c>
      <c r="AI7160">
        <v>91.139528529353996</v>
      </c>
      <c r="AJ7160">
        <v>82.007887695051494</v>
      </c>
      <c r="AK7160">
        <v>51.799256528298699</v>
      </c>
      <c r="AL7160">
        <v>90.429923193377306</v>
      </c>
      <c r="AM7160">
        <v>87.201712692569899</v>
      </c>
      <c r="AN7160">
        <v>1.0000000210276301</v>
      </c>
    </row>
    <row r="7161" spans="1:40" x14ac:dyDescent="0.25">
      <c r="A7161" t="str">
        <f>"20190312161456994"</f>
        <v>20190312161456994</v>
      </c>
      <c r="B7161" t="str">
        <f>"1552378496983694"</f>
        <v>1552378496983694</v>
      </c>
      <c r="C7161" t="s">
        <v>40</v>
      </c>
      <c r="D7161">
        <v>5.589378</v>
      </c>
      <c r="E7161">
        <v>0.53330250000000001</v>
      </c>
      <c r="F7161" t="s">
        <v>42</v>
      </c>
      <c r="G7161">
        <v>-180.28919999999999</v>
      </c>
      <c r="H7161" s="1">
        <v>-2.9409769999999999E-6</v>
      </c>
      <c r="I7161">
        <v>110.69759999999999</v>
      </c>
      <c r="J7161">
        <v>-186.7321</v>
      </c>
      <c r="K7161">
        <v>1.1101259999999999</v>
      </c>
      <c r="L7161">
        <v>66.175960000000003</v>
      </c>
      <c r="M7161">
        <v>5.309383E-3</v>
      </c>
      <c r="N7161">
        <v>0</v>
      </c>
      <c r="O7161">
        <v>0.99988069999999896</v>
      </c>
      <c r="P7161">
        <v>5.4813540000000001E-2</v>
      </c>
      <c r="Q7161">
        <v>-2.1714069999999999E-2</v>
      </c>
      <c r="R7161">
        <v>0.9982605</v>
      </c>
      <c r="S7161">
        <v>0.42811579999999999</v>
      </c>
      <c r="T7161">
        <v>-7.3745130000000006E-2</v>
      </c>
      <c r="U7161">
        <v>2.980286</v>
      </c>
      <c r="V7161">
        <v>4.9512710000000001E-2</v>
      </c>
      <c r="W7161">
        <v>-7.2225750000000002E-3</v>
      </c>
      <c r="X7161">
        <v>0.99874739999999995</v>
      </c>
      <c r="Y7161">
        <v>0.13688910000000001</v>
      </c>
      <c r="Z7161">
        <v>-2.4494160000000001E-2</v>
      </c>
      <c r="AA7161">
        <v>0.99028349999999998</v>
      </c>
      <c r="AB7161">
        <v>33</v>
      </c>
      <c r="AC7161">
        <v>6.4428999999999998</v>
      </c>
      <c r="AD7161">
        <v>-1.1101289409770001</v>
      </c>
      <c r="AE7161">
        <v>44.521639999999898</v>
      </c>
      <c r="AF7161">
        <v>6.2026245818225103</v>
      </c>
      <c r="AG7161">
        <v>-1.1101289409770001</v>
      </c>
      <c r="AH7161">
        <v>44.528107012722003</v>
      </c>
      <c r="AI7161">
        <v>91.414492007845098</v>
      </c>
      <c r="AJ7161">
        <v>82.0699070684243</v>
      </c>
      <c r="AK7161">
        <v>44.971738370948501</v>
      </c>
      <c r="AL7161">
        <v>90.413826653781101</v>
      </c>
      <c r="AM7161">
        <v>87.161896276556703</v>
      </c>
      <c r="AN7161">
        <v>1.0000000215239599</v>
      </c>
    </row>
    <row r="7162" spans="1:40" x14ac:dyDescent="0.25">
      <c r="A7162" t="str">
        <f>"20190312161457017"</f>
        <v>20190312161457017</v>
      </c>
      <c r="B7162" t="str">
        <f>"1552378497004190"</f>
        <v>1552378497004190</v>
      </c>
      <c r="C7162" t="s">
        <v>40</v>
      </c>
      <c r="D7162">
        <v>5.5637559999999997</v>
      </c>
      <c r="E7162">
        <v>0.53330010000000005</v>
      </c>
      <c r="F7162" t="s">
        <v>42</v>
      </c>
      <c r="G7162">
        <v>-180.31229999999999</v>
      </c>
      <c r="H7162" s="1">
        <v>-2.9403629999999999E-6</v>
      </c>
      <c r="I7162">
        <v>110.7139</v>
      </c>
      <c r="J7162">
        <v>-186.7304</v>
      </c>
      <c r="K7162">
        <v>1.1101259999999999</v>
      </c>
      <c r="L7162">
        <v>66.507319999999893</v>
      </c>
      <c r="M7162">
        <v>5.2540019999999998E-3</v>
      </c>
      <c r="N7162">
        <v>0</v>
      </c>
      <c r="O7162">
        <v>0.99988100000000002</v>
      </c>
      <c r="P7162">
        <v>5.5421669999999999E-2</v>
      </c>
      <c r="Q7162">
        <v>-2.1567260000000001E-2</v>
      </c>
      <c r="R7162">
        <v>0.99823010000000001</v>
      </c>
      <c r="S7162">
        <v>0.42955019999999999</v>
      </c>
      <c r="T7162">
        <v>-7.4278239999999995E-2</v>
      </c>
      <c r="U7162">
        <v>2.9800110000000002</v>
      </c>
      <c r="V7162">
        <v>5.0176270000000002E-2</v>
      </c>
      <c r="W7162">
        <v>-7.0797059999999998E-3</v>
      </c>
      <c r="X7162">
        <v>0.99871529999999997</v>
      </c>
      <c r="Y7162">
        <v>0.13742309999999999</v>
      </c>
      <c r="Z7162">
        <v>-2.4671619999999998E-2</v>
      </c>
      <c r="AA7162">
        <v>0.99020509999999995</v>
      </c>
      <c r="AB7162">
        <v>33</v>
      </c>
      <c r="AC7162">
        <v>6.4181000000000097</v>
      </c>
      <c r="AD7162">
        <v>-1.1101289403629999</v>
      </c>
      <c r="AE7162">
        <v>44.206579999999903</v>
      </c>
      <c r="AF7162">
        <v>6.1819074969300303</v>
      </c>
      <c r="AG7162">
        <v>-1.1101289403629999</v>
      </c>
      <c r="AH7162">
        <v>44.212387987966203</v>
      </c>
      <c r="AI7162">
        <v>91.4244861355279</v>
      </c>
      <c r="AJ7162">
        <v>82.040337812564204</v>
      </c>
      <c r="AK7162">
        <v>44.656283075993798</v>
      </c>
      <c r="AL7162">
        <v>90.405640656405097</v>
      </c>
      <c r="AM7162">
        <v>87.123831700265697</v>
      </c>
      <c r="AN7162">
        <v>1.0000000153811199</v>
      </c>
    </row>
    <row r="7163" spans="1:40" x14ac:dyDescent="0.25">
      <c r="A7163" t="str">
        <f>"20190312161457040"</f>
        <v>20190312161457040</v>
      </c>
      <c r="B7163" t="str">
        <f>"1552378497033470"</f>
        <v>1552378497033470</v>
      </c>
      <c r="C7163" t="s">
        <v>40</v>
      </c>
      <c r="D7163">
        <v>5.6076889999999997</v>
      </c>
      <c r="E7163">
        <v>0.53318889999999997</v>
      </c>
      <c r="F7163" t="s">
        <v>42</v>
      </c>
      <c r="G7163">
        <v>-179.95779999999999</v>
      </c>
      <c r="H7163">
        <v>2.904404E-2</v>
      </c>
      <c r="I7163">
        <v>113.27809999999999</v>
      </c>
      <c r="J7163">
        <v>-186.7287</v>
      </c>
      <c r="K7163">
        <v>1.1101240000000001</v>
      </c>
      <c r="L7163">
        <v>66.843959999999996</v>
      </c>
      <c r="M7163">
        <v>5.1978450000000004E-3</v>
      </c>
      <c r="N7163">
        <v>0</v>
      </c>
      <c r="O7163">
        <v>0.99988140000000003</v>
      </c>
      <c r="P7163">
        <v>5.5083340000000001E-2</v>
      </c>
      <c r="Q7163">
        <v>-2.157336E-2</v>
      </c>
      <c r="R7163">
        <v>0.99824869999999999</v>
      </c>
      <c r="S7163">
        <v>0.43150329999999898</v>
      </c>
      <c r="T7163">
        <v>-6.887865E-2</v>
      </c>
      <c r="U7163">
        <v>2.979889</v>
      </c>
      <c r="V7163">
        <v>4.9893930000000003E-2</v>
      </c>
      <c r="W7163">
        <v>-7.0892860000000002E-3</v>
      </c>
      <c r="X7163">
        <v>0.99872930000000004</v>
      </c>
      <c r="Y7163">
        <v>0.13812629999999901</v>
      </c>
      <c r="Z7163">
        <v>-2.2877870000000002E-2</v>
      </c>
      <c r="AA7163">
        <v>0.99015030000000004</v>
      </c>
      <c r="AB7163">
        <v>33</v>
      </c>
      <c r="AC7163">
        <v>6.7709000000000099</v>
      </c>
      <c r="AD7163">
        <v>-1.0810799599999901</v>
      </c>
      <c r="AE7163">
        <v>46.434139999999999</v>
      </c>
      <c r="AF7163">
        <v>6.52596192335354</v>
      </c>
      <c r="AG7163">
        <v>-1.0810799599999901</v>
      </c>
      <c r="AH7163">
        <v>46.444059439527301</v>
      </c>
      <c r="AI7163">
        <v>91.320467935070596</v>
      </c>
      <c r="AJ7163">
        <v>82.001602882113801</v>
      </c>
      <c r="AK7163">
        <v>46.912765534844802</v>
      </c>
      <c r="AL7163">
        <v>90.406189594987495</v>
      </c>
      <c r="AM7163">
        <v>87.140028870542594</v>
      </c>
      <c r="AN7163">
        <v>0.99999993845266</v>
      </c>
    </row>
    <row r="7164" spans="1:40" x14ac:dyDescent="0.25">
      <c r="A7164" t="str">
        <f>"20190312161457062"</f>
        <v>20190312161457062</v>
      </c>
      <c r="B7164" t="str">
        <f>"1552378497053966"</f>
        <v>1552378497053966</v>
      </c>
      <c r="C7164" t="s">
        <v>40</v>
      </c>
      <c r="D7164">
        <v>5.5202159999999996</v>
      </c>
      <c r="E7164">
        <v>0.53278479999999995</v>
      </c>
      <c r="F7164" t="s">
        <v>42</v>
      </c>
      <c r="G7164">
        <v>-179.95660000000001</v>
      </c>
      <c r="H7164">
        <v>5.1178059999999997E-2</v>
      </c>
      <c r="I7164">
        <v>113.8289</v>
      </c>
      <c r="J7164">
        <v>-186.72710000000001</v>
      </c>
      <c r="K7164">
        <v>1.1101190000000001</v>
      </c>
      <c r="L7164">
        <v>67.169159999999906</v>
      </c>
      <c r="M7164">
        <v>5.1444220000000001E-3</v>
      </c>
      <c r="N7164">
        <v>0</v>
      </c>
      <c r="O7164">
        <v>0.99988169999999998</v>
      </c>
      <c r="P7164">
        <v>5.5156709999999998E-2</v>
      </c>
      <c r="Q7164">
        <v>-2.1803059999999999E-2</v>
      </c>
      <c r="R7164">
        <v>0.9982396</v>
      </c>
      <c r="S7164">
        <v>0.4295349</v>
      </c>
      <c r="T7164">
        <v>-6.7165489999999994E-2</v>
      </c>
      <c r="U7164">
        <v>2.9801030000000002</v>
      </c>
      <c r="V7164">
        <v>5.0020679999999998E-2</v>
      </c>
      <c r="W7164">
        <v>-7.3227029999999999E-3</v>
      </c>
      <c r="X7164">
        <v>0.99872139999999998</v>
      </c>
      <c r="Y7164">
        <v>0.13753029999999999</v>
      </c>
      <c r="Z7164">
        <v>-2.2309539999999999E-2</v>
      </c>
      <c r="AA7164">
        <v>0.99024630000000002</v>
      </c>
      <c r="AB7164">
        <v>33</v>
      </c>
      <c r="AC7164">
        <v>6.7704999999999904</v>
      </c>
      <c r="AD7164">
        <v>-1.0589409400000001</v>
      </c>
      <c r="AE7164">
        <v>46.659739999999999</v>
      </c>
      <c r="AF7164">
        <v>6.5270552652987996</v>
      </c>
      <c r="AG7164">
        <v>-1.0589409400000001</v>
      </c>
      <c r="AH7164">
        <v>46.6704139759103</v>
      </c>
      <c r="AI7164">
        <v>91.2872811494465</v>
      </c>
      <c r="AJ7164">
        <v>82.038580675104498</v>
      </c>
      <c r="AK7164">
        <v>47.136518189547203</v>
      </c>
      <c r="AL7164">
        <v>90.419563699953898</v>
      </c>
      <c r="AM7164">
        <v>87.132752896870201</v>
      </c>
      <c r="AN7164">
        <v>1.0000000626124199</v>
      </c>
    </row>
    <row r="7165" spans="1:40" x14ac:dyDescent="0.25">
      <c r="A7165" t="str">
        <f>"20190312161457084"</f>
        <v>20190312161457084</v>
      </c>
      <c r="B7165" t="str">
        <f>"1552378497073486"</f>
        <v>1552378497073486</v>
      </c>
      <c r="C7165" t="s">
        <v>40</v>
      </c>
      <c r="D7165">
        <v>5.5232000000000001</v>
      </c>
      <c r="E7165">
        <v>0.53265940000000001</v>
      </c>
      <c r="F7165" t="s">
        <v>42</v>
      </c>
      <c r="G7165">
        <v>-180.22110000000001</v>
      </c>
      <c r="H7165" s="1">
        <v>-3.6204889999999998E-6</v>
      </c>
      <c r="I7165">
        <v>112.64109999999999</v>
      </c>
      <c r="J7165">
        <v>-186.72550000000001</v>
      </c>
      <c r="K7165">
        <v>1.110115</v>
      </c>
      <c r="L7165">
        <v>67.487459999999999</v>
      </c>
      <c r="M7165">
        <v>5.0937489999999998E-3</v>
      </c>
      <c r="N7165">
        <v>0</v>
      </c>
      <c r="O7165">
        <v>0.99988200000000005</v>
      </c>
      <c r="P7165">
        <v>5.5262350000000002E-2</v>
      </c>
      <c r="Q7165">
        <v>-2.2091489999999998E-2</v>
      </c>
      <c r="R7165">
        <v>0.99822750000000005</v>
      </c>
      <c r="S7165">
        <v>0.42639159999999998</v>
      </c>
      <c r="T7165">
        <v>-7.2754979999999997E-2</v>
      </c>
      <c r="U7165">
        <v>2.9801329999999999</v>
      </c>
      <c r="V7165">
        <v>5.0176989999999998E-2</v>
      </c>
      <c r="W7165">
        <v>-7.6148669999999896E-3</v>
      </c>
      <c r="X7165">
        <v>0.99871129999999997</v>
      </c>
      <c r="Y7165">
        <v>0.13654959999999999</v>
      </c>
      <c r="Z7165">
        <v>-2.41683E-2</v>
      </c>
      <c r="AA7165">
        <v>0.99033839999999995</v>
      </c>
      <c r="AB7165">
        <v>33</v>
      </c>
      <c r="AC7165">
        <v>6.5044000000000004</v>
      </c>
      <c r="AD7165">
        <v>-1.1101186204889999</v>
      </c>
      <c r="AE7165">
        <v>45.153640000000003</v>
      </c>
      <c r="AF7165">
        <v>6.2705769937123401</v>
      </c>
      <c r="AG7165">
        <v>-1.1101186204889999</v>
      </c>
      <c r="AH7165">
        <v>45.159448065567098</v>
      </c>
      <c r="AI7165">
        <v>91.394796147446399</v>
      </c>
      <c r="AJ7165">
        <v>82.094789758248695</v>
      </c>
      <c r="AK7165">
        <v>45.606230372310797</v>
      </c>
      <c r="AL7165">
        <v>90.436303962282196</v>
      </c>
      <c r="AM7165">
        <v>87.123778997899507</v>
      </c>
      <c r="AN7165">
        <v>0.99999998863628803</v>
      </c>
    </row>
    <row r="7166" spans="1:40" x14ac:dyDescent="0.25">
      <c r="A7166" t="str">
        <f>"20190312161457106"</f>
        <v>20190312161457106</v>
      </c>
      <c r="B7166" t="str">
        <f>"1552378497093981"</f>
        <v>1552378497093981</v>
      </c>
      <c r="C7166" t="s">
        <v>40</v>
      </c>
      <c r="D7166">
        <v>5.6178919999999897</v>
      </c>
      <c r="E7166">
        <v>0.53280569999999905</v>
      </c>
      <c r="F7166" t="s">
        <v>42</v>
      </c>
      <c r="G7166">
        <v>-180.46199999999999</v>
      </c>
      <c r="H7166" s="1">
        <v>-3.1041489999999999E-6</v>
      </c>
      <c r="I7166">
        <v>111.3122</v>
      </c>
      <c r="J7166">
        <v>-186.72380000000001</v>
      </c>
      <c r="K7166">
        <v>1.1101209999999999</v>
      </c>
      <c r="L7166">
        <v>67.821929999999995</v>
      </c>
      <c r="M7166">
        <v>5.0428770000000003E-3</v>
      </c>
      <c r="N7166">
        <v>0</v>
      </c>
      <c r="O7166">
        <v>0.9998823</v>
      </c>
      <c r="P7166">
        <v>5.5301599999999999E-2</v>
      </c>
      <c r="Q7166">
        <v>-2.2413309999999999E-2</v>
      </c>
      <c r="R7166">
        <v>0.9982181</v>
      </c>
      <c r="S7166">
        <v>0.42591859999999998</v>
      </c>
      <c r="T7166">
        <v>-7.5487730000000003E-2</v>
      </c>
      <c r="U7166">
        <v>2.9800719999999998</v>
      </c>
      <c r="V7166">
        <v>5.0267079999999999E-2</v>
      </c>
      <c r="W7166">
        <v>-7.9406029999999992E-3</v>
      </c>
      <c r="X7166">
        <v>0.99870429999999999</v>
      </c>
      <c r="Y7166">
        <v>0.1364456</v>
      </c>
      <c r="Z7166">
        <v>-2.507649E-2</v>
      </c>
      <c r="AA7166">
        <v>0.99033020000000005</v>
      </c>
      <c r="AB7166">
        <v>33</v>
      </c>
      <c r="AC7166">
        <v>6.2617999999999903</v>
      </c>
      <c r="AD7166">
        <v>-1.110124104149</v>
      </c>
      <c r="AE7166">
        <v>43.490270000000002</v>
      </c>
      <c r="AF7166">
        <v>6.0385266586311301</v>
      </c>
      <c r="AG7166">
        <v>-1.110124104149</v>
      </c>
      <c r="AH7166">
        <v>43.493534308510803</v>
      </c>
      <c r="AI7166">
        <v>91.448208546552195</v>
      </c>
      <c r="AJ7166">
        <v>82.095734893283407</v>
      </c>
      <c r="AK7166">
        <v>43.924750498770301</v>
      </c>
      <c r="AL7166">
        <v>90.454967794638605</v>
      </c>
      <c r="AM7166">
        <v>87.118603435595503</v>
      </c>
      <c r="AN7166">
        <v>1.0000000556730999</v>
      </c>
    </row>
    <row r="7167" spans="1:40" x14ac:dyDescent="0.25">
      <c r="A7167" t="str">
        <f>"20190312161457128"</f>
        <v>20190312161457128</v>
      </c>
      <c r="B7167" t="str">
        <f>"1552378497124237"</f>
        <v>1552378497124237</v>
      </c>
      <c r="C7167" t="s">
        <v>40</v>
      </c>
      <c r="D7167">
        <v>5.5544560000000001</v>
      </c>
      <c r="E7167">
        <v>0.48826449999999999</v>
      </c>
      <c r="F7167" t="s">
        <v>42</v>
      </c>
      <c r="G7167">
        <v>-180.42339999999999</v>
      </c>
      <c r="H7167" s="1">
        <v>-3.272928E-6</v>
      </c>
      <c r="I7167">
        <v>111.77800000000001</v>
      </c>
      <c r="J7167">
        <v>-186.72229999999999</v>
      </c>
      <c r="K7167">
        <v>1.110123</v>
      </c>
      <c r="L7167">
        <v>68.132450000000006</v>
      </c>
      <c r="M7167">
        <v>4.9975970000000003E-3</v>
      </c>
      <c r="N7167">
        <v>0</v>
      </c>
      <c r="O7167">
        <v>0.99988259999999995</v>
      </c>
      <c r="P7167">
        <v>5.4910220000000003E-2</v>
      </c>
      <c r="Q7167">
        <v>-2.1998980000000001E-2</v>
      </c>
      <c r="R7167">
        <v>0.99824889999999999</v>
      </c>
      <c r="S7167">
        <v>0.4271393</v>
      </c>
      <c r="T7167">
        <v>-7.5261120000000001E-2</v>
      </c>
      <c r="U7167">
        <v>2.9800110000000002</v>
      </c>
      <c r="V7167">
        <v>4.9920689999999997E-2</v>
      </c>
      <c r="W7167">
        <v>-7.5295190000000001E-3</v>
      </c>
      <c r="X7167">
        <v>0.99872479999999997</v>
      </c>
      <c r="Y7167">
        <v>0.13689109999999999</v>
      </c>
      <c r="Z7167">
        <v>-2.5000290000000001E-2</v>
      </c>
      <c r="AA7167">
        <v>0.9902706</v>
      </c>
      <c r="AB7167">
        <v>33</v>
      </c>
      <c r="AC7167">
        <v>6.2988999999999997</v>
      </c>
      <c r="AD7167">
        <v>-1.1101262729279999</v>
      </c>
      <c r="AE7167">
        <v>43.645549999999901</v>
      </c>
      <c r="AF7167">
        <v>6.0768244304965497</v>
      </c>
      <c r="AG7167">
        <v>-1.1101262729279999</v>
      </c>
      <c r="AH7167">
        <v>43.648825427764798</v>
      </c>
      <c r="AI7167">
        <v>91.442985759536995</v>
      </c>
      <c r="AJ7167">
        <v>82.074180889865204</v>
      </c>
      <c r="AK7167">
        <v>44.0837854173664</v>
      </c>
      <c r="AL7167">
        <v>90.431413737993694</v>
      </c>
      <c r="AM7167">
        <v>87.138484636884101</v>
      </c>
      <c r="AN7167">
        <v>0.99999999754074298</v>
      </c>
    </row>
    <row r="7168" spans="1:40" x14ac:dyDescent="0.25">
      <c r="A7168" t="str">
        <f>"20190312161457150"</f>
        <v>20190312161457150</v>
      </c>
      <c r="B7168" t="str">
        <f>"1552378497143758"</f>
        <v>1552378497143758</v>
      </c>
      <c r="C7168" t="s">
        <v>40</v>
      </c>
      <c r="D7168">
        <v>5.5795659999999998</v>
      </c>
      <c r="E7168">
        <v>0.48167729999999997</v>
      </c>
      <c r="F7168" t="s">
        <v>42</v>
      </c>
      <c r="G7168">
        <v>-185.75640000000001</v>
      </c>
      <c r="H7168" s="1">
        <v>-4.6966110000000002E-6</v>
      </c>
      <c r="I7168">
        <v>108.82599999999999</v>
      </c>
      <c r="J7168">
        <v>-186.7208</v>
      </c>
      <c r="K7168">
        <v>1.1101209999999999</v>
      </c>
      <c r="L7168">
        <v>68.448239999999998</v>
      </c>
      <c r="M7168">
        <v>4.9557660000000003E-3</v>
      </c>
      <c r="N7168">
        <v>0</v>
      </c>
      <c r="O7168">
        <v>0.99988290000000002</v>
      </c>
      <c r="P7168">
        <v>5.5390090000000003E-2</v>
      </c>
      <c r="Q7168">
        <v>-2.177401E-2</v>
      </c>
      <c r="R7168">
        <v>0.99822739999999999</v>
      </c>
      <c r="S7168">
        <v>7.1197510000000006E-2</v>
      </c>
      <c r="T7168">
        <v>-8.1827999999999998E-2</v>
      </c>
      <c r="U7168">
        <v>2.9995419999999999</v>
      </c>
      <c r="V7168">
        <v>5.0442389999999997E-2</v>
      </c>
      <c r="W7168">
        <v>-7.3085839999999999E-3</v>
      </c>
      <c r="X7168">
        <v>0.99870020000000004</v>
      </c>
      <c r="Y7168">
        <v>1.8765440000000001E-2</v>
      </c>
      <c r="Z7168">
        <v>-2.7263280000000001E-2</v>
      </c>
      <c r="AA7168">
        <v>0.99945209999999995</v>
      </c>
      <c r="AB7168">
        <v>33</v>
      </c>
      <c r="AC7168">
        <v>0.96439999999998305</v>
      </c>
      <c r="AD7168">
        <v>-1.110125696611</v>
      </c>
      <c r="AE7168">
        <v>40.377760000000002</v>
      </c>
      <c r="AF7168">
        <v>0.76368751158621895</v>
      </c>
      <c r="AG7168">
        <v>-1.110125696611</v>
      </c>
      <c r="AH7168">
        <v>40.351559864159</v>
      </c>
      <c r="AI7168">
        <v>91.575604458202207</v>
      </c>
      <c r="AJ7168">
        <v>88.915758194866598</v>
      </c>
      <c r="AK7168">
        <v>40.374050838978697</v>
      </c>
      <c r="AL7168">
        <v>90.418754758114204</v>
      </c>
      <c r="AM7168">
        <v>87.108559534107201</v>
      </c>
      <c r="AN7168">
        <v>0.999999969794518</v>
      </c>
    </row>
    <row r="7169" spans="1:40" x14ac:dyDescent="0.25">
      <c r="A7169" t="str">
        <f>"20190312161457173"</f>
        <v>20190312161457173</v>
      </c>
      <c r="B7169" t="str">
        <f>"1552378497164254"</f>
        <v>1552378497164254</v>
      </c>
      <c r="C7169" t="s">
        <v>40</v>
      </c>
      <c r="D7169">
        <v>5.4356010000000001</v>
      </c>
      <c r="E7169">
        <v>0.47976289999999999</v>
      </c>
      <c r="F7169" t="s">
        <v>42</v>
      </c>
      <c r="G7169">
        <v>-186.53639999999999</v>
      </c>
      <c r="H7169" s="1">
        <v>-3.4195789999999999E-6</v>
      </c>
      <c r="I7169">
        <v>96.171760000000006</v>
      </c>
      <c r="J7169">
        <v>-186.7191</v>
      </c>
      <c r="K7169">
        <v>1.110117</v>
      </c>
      <c r="L7169">
        <v>68.785919999999905</v>
      </c>
      <c r="M7169">
        <v>4.9169019999999999E-3</v>
      </c>
      <c r="N7169">
        <v>0</v>
      </c>
      <c r="O7169">
        <v>0.99988310000000002</v>
      </c>
      <c r="P7169">
        <v>5.5188130000000002E-2</v>
      </c>
      <c r="Q7169">
        <v>-2.1863029999999999E-2</v>
      </c>
      <c r="R7169">
        <v>0.99823660000000003</v>
      </c>
      <c r="S7169">
        <v>1.9958500000000001E-2</v>
      </c>
      <c r="T7169">
        <v>-0.1201917</v>
      </c>
      <c r="U7169">
        <v>3.0015869999999998</v>
      </c>
      <c r="V7169">
        <v>5.0279119999999997E-2</v>
      </c>
      <c r="W7169">
        <v>-7.4015130000000002E-3</v>
      </c>
      <c r="X7169">
        <v>0.99870780000000003</v>
      </c>
      <c r="Y7169">
        <v>1.726455E-3</v>
      </c>
      <c r="Z7169">
        <v>-4.0009459999999997E-2</v>
      </c>
      <c r="AA7169">
        <v>0.99919780000000002</v>
      </c>
      <c r="AB7169">
        <v>33</v>
      </c>
      <c r="AC7169">
        <v>0.18270000000001099</v>
      </c>
      <c r="AD7169">
        <v>-1.110120419579</v>
      </c>
      <c r="AE7169">
        <v>27.385840000000002</v>
      </c>
      <c r="AF7169">
        <v>4.7951395184852599E-2</v>
      </c>
      <c r="AG7169">
        <v>-1.110120419579</v>
      </c>
      <c r="AH7169">
        <v>27.341482023846801</v>
      </c>
      <c r="AI7169">
        <v>92.325045876145893</v>
      </c>
      <c r="AJ7169">
        <v>89.899514966063904</v>
      </c>
      <c r="AK7169">
        <v>27.364051343735699</v>
      </c>
      <c r="AL7169">
        <v>90.424079320061296</v>
      </c>
      <c r="AM7169">
        <v>87.117924528610104</v>
      </c>
      <c r="AN7169">
        <v>1.0000000210417499</v>
      </c>
    </row>
    <row r="7170" spans="1:40" x14ac:dyDescent="0.25">
      <c r="A7170" t="str">
        <f>"20190312161457218"</f>
        <v>20190312161457218</v>
      </c>
      <c r="B7170" t="str">
        <f>"1552378497214032"</f>
        <v>1552378497214032</v>
      </c>
      <c r="C7170" t="s">
        <v>40</v>
      </c>
      <c r="D7170">
        <v>5.4568510000000003</v>
      </c>
      <c r="E7170">
        <v>0.47901559999999999</v>
      </c>
      <c r="F7170" t="s">
        <v>42</v>
      </c>
      <c r="G7170">
        <v>-186.6814</v>
      </c>
      <c r="H7170" s="1">
        <v>-3.3576350000000002E-6</v>
      </c>
      <c r="I7170">
        <v>96.087299999999999</v>
      </c>
      <c r="J7170">
        <v>-186.71600000000001</v>
      </c>
      <c r="K7170">
        <v>1.110107</v>
      </c>
      <c r="L7170">
        <v>69.451899999999995</v>
      </c>
      <c r="M7170">
        <v>4.8591349999999997E-3</v>
      </c>
      <c r="N7170">
        <v>0</v>
      </c>
      <c r="O7170">
        <v>0.99988350000000004</v>
      </c>
      <c r="P7170">
        <v>5.5266469999999998E-2</v>
      </c>
      <c r="Q7170">
        <v>-2.1914280000000001E-2</v>
      </c>
      <c r="R7170">
        <v>0.99823110000000004</v>
      </c>
      <c r="S7170">
        <v>4.1503909999999998E-3</v>
      </c>
      <c r="T7170">
        <v>-0.1220831</v>
      </c>
      <c r="U7170">
        <v>3.0024109999999999</v>
      </c>
      <c r="V7170">
        <v>5.0414970000000003E-2</v>
      </c>
      <c r="W7170">
        <v>-7.4618139999999998E-3</v>
      </c>
      <c r="X7170">
        <v>0.99870049999999999</v>
      </c>
      <c r="Y7170">
        <v>-3.4784460000000001E-3</v>
      </c>
      <c r="Z7170">
        <v>-4.0627249999999997E-2</v>
      </c>
      <c r="AA7170">
        <v>0.99916830000000001</v>
      </c>
      <c r="AB7170">
        <v>33</v>
      </c>
      <c r="AC7170">
        <v>3.4599999999983297E-2</v>
      </c>
      <c r="AD7170">
        <v>-1.110110357635</v>
      </c>
      <c r="AE7170">
        <v>26.635400000000001</v>
      </c>
      <c r="AF7170">
        <v>-9.4674509600101001E-2</v>
      </c>
      <c r="AG7170">
        <v>-1.110110357635</v>
      </c>
      <c r="AH7170">
        <v>26.589067004131302</v>
      </c>
      <c r="AI7170">
        <v>92.390731410324406</v>
      </c>
      <c r="AJ7170">
        <v>90.204009674452905</v>
      </c>
      <c r="AK7170">
        <v>26.612399223277102</v>
      </c>
      <c r="AL7170">
        <v>90.427534409381394</v>
      </c>
      <c r="AM7170">
        <v>87.110129495026698</v>
      </c>
      <c r="AN7170">
        <v>1.0000000182842601</v>
      </c>
    </row>
    <row r="7171" spans="1:40" x14ac:dyDescent="0.25">
      <c r="A7171" t="str">
        <f>"20190312161457240"</f>
        <v>20190312161457240</v>
      </c>
      <c r="B7171" t="str">
        <f>"1552378497233550"</f>
        <v>1552378497233550</v>
      </c>
      <c r="C7171" t="s">
        <v>40</v>
      </c>
      <c r="D7171">
        <v>5.5352230000000002</v>
      </c>
      <c r="E7171">
        <v>0.47908729999999999</v>
      </c>
      <c r="F7171" t="s">
        <v>42</v>
      </c>
      <c r="G7171">
        <v>-186.73099999999999</v>
      </c>
      <c r="H7171" s="1">
        <v>-3.506384E-6</v>
      </c>
      <c r="I7171">
        <v>96.454570000000004</v>
      </c>
      <c r="J7171">
        <v>-186.71440000000001</v>
      </c>
      <c r="K7171">
        <v>1.110101</v>
      </c>
      <c r="L7171">
        <v>69.771119999999996</v>
      </c>
      <c r="M7171">
        <v>4.842804E-3</v>
      </c>
      <c r="N7171">
        <v>0</v>
      </c>
      <c r="O7171">
        <v>0.99988359999999998</v>
      </c>
      <c r="P7171">
        <v>5.5707310000000003E-2</v>
      </c>
      <c r="Q7171">
        <v>-2.179915E-2</v>
      </c>
      <c r="R7171">
        <v>0.99820909999999996</v>
      </c>
      <c r="S7171">
        <v>-1.6784669999999999E-3</v>
      </c>
      <c r="T7171">
        <v>-0.12344380000000001</v>
      </c>
      <c r="U7171">
        <v>3.0026860000000002</v>
      </c>
      <c r="V7171">
        <v>5.0872109999999998E-2</v>
      </c>
      <c r="W7171">
        <v>-7.3515250000000002E-3</v>
      </c>
      <c r="X7171">
        <v>0.99867810000000001</v>
      </c>
      <c r="Y7171">
        <v>-5.4018199999999999E-3</v>
      </c>
      <c r="Z7171">
        <v>-4.1075420000000001E-2</v>
      </c>
      <c r="AA7171">
        <v>0.99914150000000002</v>
      </c>
      <c r="AB7171">
        <v>33</v>
      </c>
      <c r="AC7171">
        <v>-1.6599999999982601E-2</v>
      </c>
      <c r="AD7171">
        <v>-1.110104506384</v>
      </c>
      <c r="AE7171">
        <v>26.683450000000001</v>
      </c>
      <c r="AF7171">
        <v>-0.14558407613925101</v>
      </c>
      <c r="AG7171">
        <v>-1.110104506384</v>
      </c>
      <c r="AH7171">
        <v>26.6369537426284</v>
      </c>
      <c r="AI7171">
        <v>92.386405377412402</v>
      </c>
      <c r="AJ7171">
        <v>90.313146546433998</v>
      </c>
      <c r="AK7171">
        <v>26.660473203325601</v>
      </c>
      <c r="AL7171">
        <v>90.421215157232695</v>
      </c>
      <c r="AM7171">
        <v>87.083905195656996</v>
      </c>
      <c r="AN7171">
        <v>0.99999998195764295</v>
      </c>
    </row>
    <row r="7172" spans="1:40" x14ac:dyDescent="0.25">
      <c r="A7172" t="str">
        <f>"20190312161457262"</f>
        <v>20190312161457262</v>
      </c>
      <c r="B7172" t="str">
        <f>"1552378497254047"</f>
        <v>1552378497254047</v>
      </c>
      <c r="C7172" t="s">
        <v>40</v>
      </c>
      <c r="D7172">
        <v>5.5640140000000002</v>
      </c>
      <c r="E7172">
        <v>0.47907280000000002</v>
      </c>
      <c r="F7172" t="s">
        <v>42</v>
      </c>
      <c r="G7172">
        <v>-186.7131</v>
      </c>
      <c r="H7172" s="1">
        <v>-3.1091539999999998E-6</v>
      </c>
      <c r="I7172">
        <v>95.521209999999996</v>
      </c>
      <c r="J7172">
        <v>-186.71289999999999</v>
      </c>
      <c r="K7172">
        <v>1.1100950000000001</v>
      </c>
      <c r="L7172">
        <v>70.090760000000003</v>
      </c>
      <c r="M7172">
        <v>4.8329050000000002E-3</v>
      </c>
      <c r="N7172">
        <v>0</v>
      </c>
      <c r="O7172">
        <v>0.99988370000000004</v>
      </c>
      <c r="P7172">
        <v>5.5943119999999999E-2</v>
      </c>
      <c r="Q7172">
        <v>-2.1350359999999999E-2</v>
      </c>
      <c r="R7172">
        <v>0.99820569999999997</v>
      </c>
      <c r="S7172">
        <v>1.5258789999999999E-4</v>
      </c>
      <c r="T7172">
        <v>-0.12944130000000001</v>
      </c>
      <c r="U7172">
        <v>3.0025330000000001</v>
      </c>
      <c r="V7172">
        <v>5.1117709999999997E-2</v>
      </c>
      <c r="W7172">
        <v>-6.9072919999999998E-3</v>
      </c>
      <c r="X7172">
        <v>0.99866869999999996</v>
      </c>
      <c r="Y7172">
        <v>-4.782639E-3</v>
      </c>
      <c r="Z7172">
        <v>-4.3069690000000001E-2</v>
      </c>
      <c r="AA7172">
        <v>0.99906059999999997</v>
      </c>
      <c r="AB7172">
        <v>33</v>
      </c>
      <c r="AC7172">
        <v>-2.0000000000663901E-4</v>
      </c>
      <c r="AD7172">
        <v>-1.1100981091540001</v>
      </c>
      <c r="AE7172">
        <v>25.43045</v>
      </c>
      <c r="AF7172">
        <v>-0.12288165204893201</v>
      </c>
      <c r="AG7172">
        <v>-1.1100981091540001</v>
      </c>
      <c r="AH7172">
        <v>25.381786353591501</v>
      </c>
      <c r="AI7172">
        <v>92.504263626306894</v>
      </c>
      <c r="AJ7172">
        <v>90.277385718155102</v>
      </c>
      <c r="AK7172">
        <v>25.406347557484899</v>
      </c>
      <c r="AL7172">
        <v>90.39576184565</v>
      </c>
      <c r="AM7172">
        <v>87.069823837555603</v>
      </c>
      <c r="AN7172">
        <v>0.99999995165905198</v>
      </c>
    </row>
    <row r="7173" spans="1:40" x14ac:dyDescent="0.25">
      <c r="A7173" t="str">
        <f>"20190312161457286"</f>
        <v>20190312161457286</v>
      </c>
      <c r="B7173" t="str">
        <f>"1552378497273566"</f>
        <v>1552378497273566</v>
      </c>
      <c r="C7173" t="s">
        <v>40</v>
      </c>
      <c r="D7173">
        <v>5.4644680000000001</v>
      </c>
      <c r="E7173">
        <v>0.47892659999999998</v>
      </c>
      <c r="F7173" t="s">
        <v>42</v>
      </c>
      <c r="G7173">
        <v>-186.70480000000001</v>
      </c>
      <c r="H7173" s="1">
        <v>-3.3628939999999999E-6</v>
      </c>
      <c r="I7173">
        <v>96.109250000000003</v>
      </c>
      <c r="J7173">
        <v>-186.71129999999999</v>
      </c>
      <c r="K7173">
        <v>1.11009</v>
      </c>
      <c r="L7173">
        <v>70.425110000000004</v>
      </c>
      <c r="M7173">
        <v>4.8276400000000002E-3</v>
      </c>
      <c r="N7173">
        <v>0</v>
      </c>
      <c r="O7173">
        <v>0.99988379999999999</v>
      </c>
      <c r="P7173">
        <v>5.6593419999999998E-2</v>
      </c>
      <c r="Q7173">
        <v>-2.0992159999999999E-2</v>
      </c>
      <c r="R7173">
        <v>0.99817659999999997</v>
      </c>
      <c r="S7173">
        <v>9.307861E-4</v>
      </c>
      <c r="T7173">
        <v>-0.1281079</v>
      </c>
      <c r="U7173">
        <v>3.0025940000000002</v>
      </c>
      <c r="V7173">
        <v>5.1773319999999998E-2</v>
      </c>
      <c r="W7173">
        <v>-6.5540219999999996E-3</v>
      </c>
      <c r="X7173">
        <v>0.99863740000000001</v>
      </c>
      <c r="Y7173">
        <v>-4.5184350000000003E-3</v>
      </c>
      <c r="Z7173">
        <v>-4.2625999999999997E-2</v>
      </c>
      <c r="AA7173">
        <v>0.99908090000000005</v>
      </c>
      <c r="AB7173">
        <v>32</v>
      </c>
      <c r="AC7173">
        <v>6.4999999999883996E-3</v>
      </c>
      <c r="AD7173">
        <v>-1.110093362894</v>
      </c>
      <c r="AE7173">
        <v>25.684139999999999</v>
      </c>
      <c r="AF7173">
        <v>-0.11728772221091401</v>
      </c>
      <c r="AG7173">
        <v>-1.110093362894</v>
      </c>
      <c r="AH7173">
        <v>25.635982674977502</v>
      </c>
      <c r="AI7173">
        <v>92.479455993531005</v>
      </c>
      <c r="AJ7173">
        <v>90.2621332940288</v>
      </c>
      <c r="AK7173">
        <v>25.660274187854501</v>
      </c>
      <c r="AL7173">
        <v>90.375520471269297</v>
      </c>
      <c r="AM7173">
        <v>87.032216780043399</v>
      </c>
      <c r="AN7173">
        <v>1.00000004427347</v>
      </c>
    </row>
    <row r="7174" spans="1:40" x14ac:dyDescent="0.25">
      <c r="A7174" t="str">
        <f>"20190312161457330"</f>
        <v>20190312161457330</v>
      </c>
      <c r="B7174" t="str">
        <f>"1552378497324318"</f>
        <v>1552378497324318</v>
      </c>
      <c r="C7174" t="s">
        <v>40</v>
      </c>
      <c r="D7174">
        <v>5.4847210000000004</v>
      </c>
      <c r="E7174">
        <v>0.4788095</v>
      </c>
      <c r="F7174" t="s">
        <v>42</v>
      </c>
      <c r="G7174">
        <v>-186.69749999999999</v>
      </c>
      <c r="H7174" s="1">
        <v>-3.5143010000000002E-6</v>
      </c>
      <c r="I7174">
        <v>96.45917</v>
      </c>
      <c r="J7174">
        <v>-186.70820000000001</v>
      </c>
      <c r="K7174">
        <v>1.1100920000000001</v>
      </c>
      <c r="L7174">
        <v>71.056730000000002</v>
      </c>
      <c r="M7174">
        <v>4.8268929999999996E-3</v>
      </c>
      <c r="N7174">
        <v>0</v>
      </c>
      <c r="O7174">
        <v>0.99988390000000005</v>
      </c>
      <c r="P7174">
        <v>5.736492E-2</v>
      </c>
      <c r="Q7174">
        <v>-2.0608310000000001E-2</v>
      </c>
      <c r="R7174">
        <v>0.99814060000000004</v>
      </c>
      <c r="S7174">
        <v>1.586914E-3</v>
      </c>
      <c r="T7174">
        <v>-0.12803589999999901</v>
      </c>
      <c r="U7174">
        <v>3.0027159999999999</v>
      </c>
      <c r="V7174">
        <v>5.2545660000000001E-2</v>
      </c>
      <c r="W7174">
        <v>-6.1785490000000002E-3</v>
      </c>
      <c r="X7174">
        <v>0.99859940000000003</v>
      </c>
      <c r="Y7174">
        <v>-4.2993889999999998E-3</v>
      </c>
      <c r="Z7174">
        <v>-4.2600369999999999E-2</v>
      </c>
      <c r="AA7174">
        <v>0.9990829</v>
      </c>
      <c r="AB7174">
        <v>32</v>
      </c>
      <c r="AC7174">
        <v>1.0700000000014099E-2</v>
      </c>
      <c r="AD7174">
        <v>-1.1100955143009901</v>
      </c>
      <c r="AE7174">
        <v>25.402439999999999</v>
      </c>
      <c r="AF7174">
        <v>-0.11171444951999</v>
      </c>
      <c r="AG7174">
        <v>-1.1100955143009901</v>
      </c>
      <c r="AH7174">
        <v>25.353777044122999</v>
      </c>
      <c r="AI7174">
        <v>92.507025840904404</v>
      </c>
      <c r="AJ7174">
        <v>90.252456469670093</v>
      </c>
      <c r="AK7174">
        <v>25.37831362743</v>
      </c>
      <c r="AL7174">
        <v>90.354007036669202</v>
      </c>
      <c r="AM7174">
        <v>86.987910732195203</v>
      </c>
      <c r="AN7174">
        <v>0.99999999126646999</v>
      </c>
    </row>
    <row r="7175" spans="1:40" x14ac:dyDescent="0.25">
      <c r="A7175" t="str">
        <f>"20190312161457351"</f>
        <v>20190312161457351</v>
      </c>
      <c r="B7175" t="str">
        <f>"1552378497343839"</f>
        <v>1552378497343839</v>
      </c>
      <c r="C7175" t="s">
        <v>40</v>
      </c>
      <c r="D7175">
        <v>5.4139699999999999</v>
      </c>
      <c r="E7175">
        <v>0.47879189999999999</v>
      </c>
      <c r="F7175" t="s">
        <v>42</v>
      </c>
      <c r="G7175">
        <v>-186.68360000000001</v>
      </c>
      <c r="H7175" s="1">
        <v>-3.736457E-6</v>
      </c>
      <c r="I7175">
        <v>96.971260000000001</v>
      </c>
      <c r="J7175">
        <v>-186.70670000000001</v>
      </c>
      <c r="K7175">
        <v>1.1100920000000001</v>
      </c>
      <c r="L7175">
        <v>71.371250000000003</v>
      </c>
      <c r="M7175">
        <v>4.8284579999999999E-3</v>
      </c>
      <c r="N7175">
        <v>0</v>
      </c>
      <c r="O7175">
        <v>0.99988390000000005</v>
      </c>
      <c r="P7175">
        <v>5.8102830000000001E-2</v>
      </c>
      <c r="Q7175">
        <v>-2.0803930000000002E-2</v>
      </c>
      <c r="R7175">
        <v>0.99809380000000003</v>
      </c>
      <c r="S7175">
        <v>2.853394E-3</v>
      </c>
      <c r="T7175">
        <v>-0.1286293</v>
      </c>
      <c r="U7175">
        <v>3.002777</v>
      </c>
      <c r="V7175">
        <v>5.328219E-2</v>
      </c>
      <c r="W7175">
        <v>-6.3782269999999898E-3</v>
      </c>
      <c r="X7175">
        <v>0.99855910000000003</v>
      </c>
      <c r="Y7175">
        <v>-3.8795909999999999E-3</v>
      </c>
      <c r="Z7175">
        <v>-4.279662E-2</v>
      </c>
      <c r="AA7175">
        <v>0.99907619999999997</v>
      </c>
      <c r="AB7175">
        <v>32</v>
      </c>
      <c r="AC7175">
        <v>2.3099999999999399E-2</v>
      </c>
      <c r="AD7175">
        <v>-1.1100957364569899</v>
      </c>
      <c r="AE7175">
        <v>25.600010000000001</v>
      </c>
      <c r="AF7175">
        <v>-0.100333091655714</v>
      </c>
      <c r="AG7175">
        <v>-1.1100957364569899</v>
      </c>
      <c r="AH7175">
        <v>25.551776610765099</v>
      </c>
      <c r="AI7175">
        <v>92.487628971559801</v>
      </c>
      <c r="AJ7175">
        <v>90.224979782802805</v>
      </c>
      <c r="AK7175">
        <v>25.5760760719823</v>
      </c>
      <c r="AL7175">
        <v>90.365447974933701</v>
      </c>
      <c r="AM7175">
        <v>86.945646776487493</v>
      </c>
      <c r="AN7175">
        <v>0.99999997487183401</v>
      </c>
    </row>
    <row r="7176" spans="1:40" x14ac:dyDescent="0.25">
      <c r="A7176" t="str">
        <f>"20190312161457374"</f>
        <v>20190312161457374</v>
      </c>
      <c r="B7176" t="str">
        <f>"1552378497364334"</f>
        <v>1552378497364334</v>
      </c>
      <c r="C7176" t="s">
        <v>40</v>
      </c>
      <c r="D7176">
        <v>5.5445120000000001</v>
      </c>
      <c r="E7176">
        <v>0.47871720000000001</v>
      </c>
      <c r="F7176" t="s">
        <v>42</v>
      </c>
      <c r="G7176">
        <v>-186.66399999999999</v>
      </c>
      <c r="H7176" s="1">
        <v>-3.820351E-6</v>
      </c>
      <c r="I7176">
        <v>97.158709999999999</v>
      </c>
      <c r="J7176">
        <v>-186.70519999999999</v>
      </c>
      <c r="K7176">
        <v>1.1100989999999999</v>
      </c>
      <c r="L7176">
        <v>71.695650000000001</v>
      </c>
      <c r="M7176">
        <v>4.8299700000000003E-3</v>
      </c>
      <c r="N7176">
        <v>0</v>
      </c>
      <c r="O7176">
        <v>0.999884</v>
      </c>
      <c r="P7176">
        <v>5.797505E-2</v>
      </c>
      <c r="Q7176">
        <v>-2.0132890000000001E-2</v>
      </c>
      <c r="R7176">
        <v>0.99811499999999997</v>
      </c>
      <c r="S7176">
        <v>4.9743649999999997E-3</v>
      </c>
      <c r="T7176">
        <v>-0.12926190000000001</v>
      </c>
      <c r="U7176">
        <v>3.0027469999999998</v>
      </c>
      <c r="V7176">
        <v>5.3152829999999998E-2</v>
      </c>
      <c r="W7176">
        <v>-5.710484E-3</v>
      </c>
      <c r="X7176">
        <v>0.99857010000000002</v>
      </c>
      <c r="Y7176">
        <v>-3.1754169999999998E-3</v>
      </c>
      <c r="Z7176">
        <v>-4.3007150000000001E-2</v>
      </c>
      <c r="AA7176">
        <v>0.99906969999999995</v>
      </c>
      <c r="AB7176">
        <v>32</v>
      </c>
      <c r="AC7176">
        <v>4.1199999999975E-2</v>
      </c>
      <c r="AD7176">
        <v>-1.1101028203509999</v>
      </c>
      <c r="AE7176">
        <v>25.463059999999999</v>
      </c>
      <c r="AF7176">
        <v>-8.1643952301610506E-2</v>
      </c>
      <c r="AG7176">
        <v>-1.1101028203509999</v>
      </c>
      <c r="AH7176">
        <v>25.4146573588107</v>
      </c>
      <c r="AI7176">
        <v>92.501055742696394</v>
      </c>
      <c r="AJ7176">
        <v>90.184060628160196</v>
      </c>
      <c r="AK7176">
        <v>25.439021260112401</v>
      </c>
      <c r="AL7176">
        <v>90.327188397750504</v>
      </c>
      <c r="AM7176">
        <v>86.953081732557905</v>
      </c>
      <c r="AN7176">
        <v>1.00000003878926</v>
      </c>
    </row>
    <row r="7177" spans="1:40" x14ac:dyDescent="0.25">
      <c r="A7177" t="str">
        <f>"20190312161458156"</f>
        <v>20190312161458156</v>
      </c>
      <c r="B7177" t="str">
        <f>"1552378498143996"</f>
        <v>1552378498143996</v>
      </c>
      <c r="C7177" t="s">
        <v>40</v>
      </c>
      <c r="D7177">
        <v>5.6455140000000004</v>
      </c>
      <c r="E7177">
        <v>0.47866599999999998</v>
      </c>
      <c r="F7177" t="s">
        <v>42</v>
      </c>
      <c r="G7177">
        <v>-186.66919999999999</v>
      </c>
      <c r="H7177" s="1">
        <v>-4.1276509999999996E-6</v>
      </c>
      <c r="I7177">
        <v>97.877200000000002</v>
      </c>
      <c r="J7177">
        <v>-186.65199999999999</v>
      </c>
      <c r="K7177">
        <v>1.1101299999999901</v>
      </c>
      <c r="L7177">
        <v>82.710719999999995</v>
      </c>
      <c r="M7177">
        <v>4.8286509999999998E-3</v>
      </c>
      <c r="N7177">
        <v>0</v>
      </c>
      <c r="O7177">
        <v>0.99988569999999999</v>
      </c>
      <c r="P7177">
        <v>6.0347039999999998E-2</v>
      </c>
      <c r="Q7177">
        <v>-2.4304889999999999E-2</v>
      </c>
      <c r="R7177">
        <v>0.99788149999999998</v>
      </c>
      <c r="S7177">
        <v>4.1198729999999996E-3</v>
      </c>
      <c r="T7177">
        <v>-0.12732089999999999</v>
      </c>
      <c r="U7177">
        <v>3.0028380000000001</v>
      </c>
      <c r="V7177">
        <v>5.552704E-2</v>
      </c>
      <c r="W7177">
        <v>-1.000413E-2</v>
      </c>
      <c r="X7177">
        <v>0.99840709999999999</v>
      </c>
      <c r="Y7177">
        <v>-3.4583970000000002E-3</v>
      </c>
      <c r="Z7177">
        <v>-4.2361240000000001E-2</v>
      </c>
      <c r="AA7177">
        <v>0.9990964</v>
      </c>
      <c r="AB7177">
        <v>31</v>
      </c>
      <c r="AC7177">
        <v>-1.7199999999974101E-2</v>
      </c>
      <c r="AD7177">
        <v>-1.1101341276509999</v>
      </c>
      <c r="AE7177">
        <v>15.16648</v>
      </c>
      <c r="AF7177">
        <v>-8.9958979940407399E-2</v>
      </c>
      <c r="AG7177">
        <v>-1.1101341276509999</v>
      </c>
      <c r="AH7177">
        <v>15.0853966221175</v>
      </c>
      <c r="AI7177">
        <v>94.208734412305205</v>
      </c>
      <c r="AJ7177">
        <v>90.341668761722204</v>
      </c>
      <c r="AK7177">
        <v>15.1264563479369</v>
      </c>
      <c r="AL7177">
        <v>90.573203967593798</v>
      </c>
      <c r="AM7177">
        <v>86.816738462400707</v>
      </c>
      <c r="AN7177">
        <v>1.00000003605931</v>
      </c>
    </row>
    <row r="7178" spans="1:40" x14ac:dyDescent="0.25">
      <c r="A7178" t="str">
        <f>"20190312161458191"</f>
        <v>20190312161458191</v>
      </c>
      <c r="B7178" t="str">
        <f>"1552378498184013"</f>
        <v>1552378498184013</v>
      </c>
      <c r="C7178" t="s">
        <v>40</v>
      </c>
      <c r="D7178">
        <v>5.5871469999999999</v>
      </c>
      <c r="E7178">
        <v>0.48386210000000002</v>
      </c>
      <c r="F7178" t="s">
        <v>42</v>
      </c>
      <c r="G7178">
        <v>-186.56209999999999</v>
      </c>
      <c r="H7178" s="1">
        <v>-3.6474239999999998E-6</v>
      </c>
      <c r="I7178">
        <v>106.7135</v>
      </c>
      <c r="J7178">
        <v>-186.6497</v>
      </c>
      <c r="K7178">
        <v>1.1101259999999999</v>
      </c>
      <c r="L7178">
        <v>83.189149999999998</v>
      </c>
      <c r="M7178">
        <v>4.8285369999999999E-3</v>
      </c>
      <c r="N7178">
        <v>0</v>
      </c>
      <c r="O7178">
        <v>0.99988580000000005</v>
      </c>
      <c r="P7178">
        <v>6.1071239999999999E-2</v>
      </c>
      <c r="Q7178">
        <v>-2.3513289999999999E-2</v>
      </c>
      <c r="R7178">
        <v>0.99785639999999998</v>
      </c>
      <c r="S7178">
        <v>1.1245730000000001E-2</v>
      </c>
      <c r="T7178">
        <v>-0.13885649999999999</v>
      </c>
      <c r="U7178">
        <v>3.0022890000000002</v>
      </c>
      <c r="V7178">
        <v>5.6251490000000001E-2</v>
      </c>
      <c r="W7178">
        <v>-9.2181209999999993E-3</v>
      </c>
      <c r="X7178">
        <v>0.99837410000000004</v>
      </c>
      <c r="Y7178">
        <v>-1.0873510000000001E-3</v>
      </c>
      <c r="Z7178">
        <v>-4.6199869999999997E-2</v>
      </c>
      <c r="AA7178">
        <v>0.99893160000000003</v>
      </c>
      <c r="AB7178">
        <v>31</v>
      </c>
      <c r="AC7178">
        <v>8.7600000000008907E-2</v>
      </c>
      <c r="AD7178">
        <v>-1.1101296474240001</v>
      </c>
      <c r="AE7178">
        <v>23.524349999999998</v>
      </c>
      <c r="AF7178">
        <v>-2.5943091071830099E-2</v>
      </c>
      <c r="AG7178">
        <v>-1.1101296474240001</v>
      </c>
      <c r="AH7178">
        <v>23.472227778958899</v>
      </c>
      <c r="AI7178">
        <v>92.707810403913896</v>
      </c>
      <c r="AJ7178">
        <v>90.063327138550903</v>
      </c>
      <c r="AK7178">
        <v>23.498479478157599</v>
      </c>
      <c r="AL7178">
        <v>90.528166896048603</v>
      </c>
      <c r="AM7178">
        <v>86.775187818798997</v>
      </c>
      <c r="AN7178">
        <v>1.0000000237164</v>
      </c>
    </row>
    <row r="7179" spans="1:40" x14ac:dyDescent="0.25">
      <c r="A7179" t="str">
        <f>"20190312161458211"</f>
        <v>20190312161458211</v>
      </c>
      <c r="B7179" t="str">
        <f>"1552378498203532"</f>
        <v>1552378498203532</v>
      </c>
      <c r="C7179" t="s">
        <v>40</v>
      </c>
      <c r="D7179">
        <v>5.7989600000000001</v>
      </c>
      <c r="E7179">
        <v>0.48484050000000001</v>
      </c>
      <c r="F7179" t="s">
        <v>42</v>
      </c>
      <c r="G7179">
        <v>-186.13159999999999</v>
      </c>
      <c r="H7179" s="1">
        <v>-1.6389690000000001E-6</v>
      </c>
      <c r="I7179">
        <v>111.4397</v>
      </c>
      <c r="J7179">
        <v>-186.64830000000001</v>
      </c>
      <c r="K7179">
        <v>1.110128</v>
      </c>
      <c r="L7179">
        <v>83.468440000000001</v>
      </c>
      <c r="M7179">
        <v>4.8284410000000002E-3</v>
      </c>
      <c r="N7179">
        <v>0</v>
      </c>
      <c r="O7179">
        <v>0.99988580000000005</v>
      </c>
      <c r="P7179">
        <v>6.1266790000000002E-2</v>
      </c>
      <c r="Q7179">
        <v>-2.4555730000000001E-2</v>
      </c>
      <c r="R7179">
        <v>0.99781929999999996</v>
      </c>
      <c r="S7179">
        <v>5.502319E-2</v>
      </c>
      <c r="T7179">
        <v>-0.1178995</v>
      </c>
      <c r="U7179">
        <v>3.000305</v>
      </c>
      <c r="V7179">
        <v>5.6447280000000002E-2</v>
      </c>
      <c r="W7179">
        <v>-1.0263980000000001E-2</v>
      </c>
      <c r="X7179">
        <v>0.99835280000000004</v>
      </c>
      <c r="Y7179">
        <v>1.3493639999999999E-2</v>
      </c>
      <c r="Z7179">
        <v>-3.9259780000000001E-2</v>
      </c>
      <c r="AA7179">
        <v>0.99913790000000002</v>
      </c>
      <c r="AB7179">
        <v>31</v>
      </c>
      <c r="AC7179">
        <v>0.51670000000001404</v>
      </c>
      <c r="AD7179">
        <v>-1.1101296389690001</v>
      </c>
      <c r="AE7179">
        <v>27.971259999999901</v>
      </c>
      <c r="AF7179">
        <v>0.381022581572872</v>
      </c>
      <c r="AG7179">
        <v>-1.1101296389690001</v>
      </c>
      <c r="AH7179">
        <v>27.929450772622602</v>
      </c>
      <c r="AI7179">
        <v>92.275962034752396</v>
      </c>
      <c r="AJ7179">
        <v>89.218400970035603</v>
      </c>
      <c r="AK7179">
        <v>27.954101425074199</v>
      </c>
      <c r="AL7179">
        <v>90.588093073537294</v>
      </c>
      <c r="AM7179">
        <v>86.763918395595496</v>
      </c>
      <c r="AN7179">
        <v>0.99999997898633897</v>
      </c>
    </row>
    <row r="7180" spans="1:40" x14ac:dyDescent="0.25">
      <c r="A7180" t="str">
        <f>"20190312161458278"</f>
        <v>20190312161458278</v>
      </c>
      <c r="B7180" t="str">
        <f>"1552378498273804"</f>
        <v>1552378498273804</v>
      </c>
      <c r="C7180" t="s">
        <v>40</v>
      </c>
      <c r="D7180">
        <v>5.8833679999999999</v>
      </c>
      <c r="E7180">
        <v>0.54005000000000003</v>
      </c>
      <c r="F7180" t="s">
        <v>42</v>
      </c>
      <c r="G7180">
        <v>-186.03380000000001</v>
      </c>
      <c r="H7180" s="1">
        <v>-2.081886E-6</v>
      </c>
      <c r="I7180">
        <v>112.6647</v>
      </c>
      <c r="J7180">
        <v>-186.6438</v>
      </c>
      <c r="K7180">
        <v>1.110142</v>
      </c>
      <c r="L7180">
        <v>84.397310000000004</v>
      </c>
      <c r="M7180">
        <v>4.8281649999999997E-3</v>
      </c>
      <c r="N7180">
        <v>0</v>
      </c>
      <c r="O7180">
        <v>0.99988600000000005</v>
      </c>
      <c r="P7180">
        <v>6.4516370000000003E-2</v>
      </c>
      <c r="Q7180">
        <v>-2.3961010000000001E-2</v>
      </c>
      <c r="R7180">
        <v>0.99762890000000004</v>
      </c>
      <c r="S7180">
        <v>6.3140870000000002E-2</v>
      </c>
      <c r="T7180">
        <v>-0.11406429999999999</v>
      </c>
      <c r="U7180">
        <v>2.9998779999999998</v>
      </c>
      <c r="V7180">
        <v>5.9698029999999999E-2</v>
      </c>
      <c r="W7180">
        <v>-9.6817129999999998E-3</v>
      </c>
      <c r="X7180">
        <v>0.99816950000000004</v>
      </c>
      <c r="Y7180">
        <v>1.620013E-2</v>
      </c>
      <c r="Z7180">
        <v>-3.7988180000000003E-2</v>
      </c>
      <c r="AA7180">
        <v>0.99914689999999995</v>
      </c>
      <c r="AB7180">
        <v>31</v>
      </c>
      <c r="AC7180">
        <v>0.609999999999985</v>
      </c>
      <c r="AD7180">
        <v>-1.110144081886</v>
      </c>
      <c r="AE7180">
        <v>28.267389999999899</v>
      </c>
      <c r="AF7180">
        <v>0.47277045099318299</v>
      </c>
      <c r="AG7180">
        <v>-1.110144081886</v>
      </c>
      <c r="AH7180">
        <v>28.226490641328301</v>
      </c>
      <c r="AI7180">
        <v>92.251958952887605</v>
      </c>
      <c r="AJ7180">
        <v>89.040432646371599</v>
      </c>
      <c r="AK7180">
        <v>28.252269036430899</v>
      </c>
      <c r="AL7180">
        <v>90.5547299762504</v>
      </c>
      <c r="AM7180">
        <v>86.577359201567702</v>
      </c>
      <c r="AN7180">
        <v>0.99999997054137202</v>
      </c>
    </row>
    <row r="7181" spans="1:40" x14ac:dyDescent="0.25">
      <c r="A7181" t="str">
        <f>"20190312161458301"</f>
        <v>20190312161458301</v>
      </c>
      <c r="B7181" t="str">
        <f>"1552378498294300"</f>
        <v>1552378498294300</v>
      </c>
      <c r="C7181" t="s">
        <v>40</v>
      </c>
      <c r="D7181">
        <v>6.1832799999999999</v>
      </c>
      <c r="E7181">
        <v>0.54398690000000005</v>
      </c>
      <c r="F7181" t="s">
        <v>43</v>
      </c>
      <c r="G7181">
        <v>-186.51320000000001</v>
      </c>
      <c r="H7181">
        <v>0.79200429999999999</v>
      </c>
      <c r="I7181">
        <v>85.144949999999994</v>
      </c>
      <c r="J7181">
        <v>-186.64240000000001</v>
      </c>
      <c r="K7181">
        <v>1.110144</v>
      </c>
      <c r="L7181">
        <v>84.694519999999997</v>
      </c>
      <c r="M7181">
        <v>4.8280830000000004E-3</v>
      </c>
      <c r="N7181">
        <v>0</v>
      </c>
      <c r="O7181">
        <v>0.99988600000000005</v>
      </c>
      <c r="P7181">
        <v>6.5064179999999999E-2</v>
      </c>
      <c r="Q7181">
        <v>-2.4327350000000001E-2</v>
      </c>
      <c r="R7181">
        <v>0.99758449999999999</v>
      </c>
      <c r="S7181">
        <v>0.51341250000000005</v>
      </c>
      <c r="T7181">
        <v>-1.252615</v>
      </c>
      <c r="U7181">
        <v>2.943848</v>
      </c>
      <c r="V7181">
        <v>6.0246139999999997E-2</v>
      </c>
      <c r="W7181">
        <v>-1.005175E-2</v>
      </c>
      <c r="X7181">
        <v>0.99813289999999999</v>
      </c>
      <c r="Y7181">
        <v>0.15368419999999999</v>
      </c>
      <c r="Z7181">
        <v>-0.38673239999999998</v>
      </c>
      <c r="AA7181">
        <v>0.90929599999999999</v>
      </c>
      <c r="AB7181">
        <v>31</v>
      </c>
      <c r="AC7181">
        <v>0.12919999999999701</v>
      </c>
      <c r="AD7181">
        <v>-0.31813969999999903</v>
      </c>
      <c r="AE7181">
        <v>0.450429999999997</v>
      </c>
      <c r="AF7181">
        <v>8.6946526957758993E-2</v>
      </c>
      <c r="AG7181">
        <v>-0.31813969999999903</v>
      </c>
      <c r="AH7181">
        <v>0.30873886733577899</v>
      </c>
      <c r="AI7181">
        <v>134.766072674008</v>
      </c>
      <c r="AJ7181">
        <v>74.271806796729706</v>
      </c>
      <c r="AK7181">
        <v>0.45176570860334903</v>
      </c>
      <c r="AL7181">
        <v>90.575932573193498</v>
      </c>
      <c r="AM7181">
        <v>86.545884040289806</v>
      </c>
      <c r="AN7181">
        <v>0.99999996056268503</v>
      </c>
    </row>
    <row r="7182" spans="1:40" x14ac:dyDescent="0.25">
      <c r="A7182" t="str">
        <f>"20190312161458323"</f>
        <v>20190312161458323</v>
      </c>
      <c r="B7182" t="str">
        <f>"1552378498313820"</f>
        <v>1552378498313820</v>
      </c>
      <c r="C7182" t="s">
        <v>40</v>
      </c>
      <c r="D7182">
        <v>5.6796300000000004</v>
      </c>
      <c r="E7182">
        <v>0.54277719999999996</v>
      </c>
      <c r="F7182" t="s">
        <v>43</v>
      </c>
      <c r="G7182">
        <v>-186.49420000000001</v>
      </c>
      <c r="H7182">
        <v>0.97469289999999997</v>
      </c>
      <c r="I7182">
        <v>85.498409999999893</v>
      </c>
      <c r="J7182">
        <v>-186.64089999999999</v>
      </c>
      <c r="K7182">
        <v>1.110144</v>
      </c>
      <c r="L7182">
        <v>85.007630000000006</v>
      </c>
      <c r="M7182">
        <v>4.8279969999999997E-3</v>
      </c>
      <c r="N7182">
        <v>0</v>
      </c>
      <c r="O7182">
        <v>0.99988600000000005</v>
      </c>
      <c r="P7182">
        <v>6.5272960000000005E-2</v>
      </c>
      <c r="Q7182">
        <v>-2.4195910000000001E-2</v>
      </c>
      <c r="R7182">
        <v>0.99757399999999996</v>
      </c>
      <c r="S7182">
        <v>0.54516600000000004</v>
      </c>
      <c r="T7182">
        <v>-0.49868069999999998</v>
      </c>
      <c r="U7182">
        <v>2.9595340000000001</v>
      </c>
      <c r="V7182">
        <v>6.0455050000000003E-2</v>
      </c>
      <c r="W7182">
        <v>-9.9237059999999992E-3</v>
      </c>
      <c r="X7182">
        <v>0.99812160000000005</v>
      </c>
      <c r="Y7182">
        <v>0.17396929999999999</v>
      </c>
      <c r="Z7182">
        <v>-0.1635501</v>
      </c>
      <c r="AA7182">
        <v>0.97107469999999996</v>
      </c>
      <c r="AB7182">
        <v>31</v>
      </c>
      <c r="AC7182">
        <v>0.14669999999998101</v>
      </c>
      <c r="AD7182">
        <v>-0.13545109999999999</v>
      </c>
      <c r="AE7182">
        <v>0.49077999999998601</v>
      </c>
      <c r="AF7182">
        <v>0.134896123020431</v>
      </c>
      <c r="AG7182">
        <v>-0.13545109999999999</v>
      </c>
      <c r="AH7182">
        <v>0.45936229390000699</v>
      </c>
      <c r="AI7182">
        <v>105.79731968949601</v>
      </c>
      <c r="AJ7182">
        <v>73.634620128586505</v>
      </c>
      <c r="AK7182">
        <v>0.49755168731924698</v>
      </c>
      <c r="AL7182">
        <v>90.568595797652307</v>
      </c>
      <c r="AM7182">
        <v>86.533896525354194</v>
      </c>
      <c r="AN7182">
        <v>1.00000001069891</v>
      </c>
    </row>
    <row r="7183" spans="1:40" x14ac:dyDescent="0.25">
      <c r="A7183" t="str">
        <f>"20190312161458346"</f>
        <v>20190312161458346</v>
      </c>
      <c r="B7183" t="str">
        <f>"1552378498334317"</f>
        <v>1552378498334317</v>
      </c>
      <c r="C7183" t="s">
        <v>40</v>
      </c>
      <c r="D7183">
        <v>5.963292</v>
      </c>
      <c r="E7183">
        <v>0.54690890000000003</v>
      </c>
      <c r="F7183" t="s">
        <v>43</v>
      </c>
      <c r="G7183">
        <v>-186.49879999999999</v>
      </c>
      <c r="H7183">
        <v>1.0189459999999999</v>
      </c>
      <c r="I7183">
        <v>85.792369999999906</v>
      </c>
      <c r="J7183">
        <v>-186.63939999999999</v>
      </c>
      <c r="K7183">
        <v>1.110134</v>
      </c>
      <c r="L7183">
        <v>85.316769999999906</v>
      </c>
      <c r="M7183">
        <v>4.8278929999999998E-3</v>
      </c>
      <c r="N7183">
        <v>0</v>
      </c>
      <c r="O7183">
        <v>0.9998861</v>
      </c>
      <c r="P7183">
        <v>6.5736630000000004E-2</v>
      </c>
      <c r="Q7183">
        <v>-2.414883E-2</v>
      </c>
      <c r="R7183">
        <v>0.99754480000000001</v>
      </c>
      <c r="S7183">
        <v>0.53605649999999905</v>
      </c>
      <c r="T7183">
        <v>-0.34446690000000002</v>
      </c>
      <c r="U7183">
        <v>2.963867</v>
      </c>
      <c r="V7183">
        <v>6.0918960000000001E-2</v>
      </c>
      <c r="W7183">
        <v>-9.8802009999999999E-3</v>
      </c>
      <c r="X7183">
        <v>0.99809380000000003</v>
      </c>
      <c r="Y7183">
        <v>0.17206959999999999</v>
      </c>
      <c r="Z7183">
        <v>-0.1136723</v>
      </c>
      <c r="AA7183">
        <v>0.97850429999999999</v>
      </c>
      <c r="AB7183">
        <v>31</v>
      </c>
      <c r="AC7183">
        <v>0.140600000000006</v>
      </c>
      <c r="AD7183">
        <v>-9.1188000000000005E-2</v>
      </c>
      <c r="AE7183">
        <v>0.47560000000000002</v>
      </c>
      <c r="AF7183">
        <v>0.13377932667104001</v>
      </c>
      <c r="AG7183">
        <v>-9.1188000000000005E-2</v>
      </c>
      <c r="AH7183">
        <v>0.46069857323406699</v>
      </c>
      <c r="AI7183">
        <v>100.762515236704</v>
      </c>
      <c r="AJ7183">
        <v>73.807567529982904</v>
      </c>
      <c r="AK7183">
        <v>0.48831888655719902</v>
      </c>
      <c r="AL7183">
        <v>90.566103036660905</v>
      </c>
      <c r="AM7183">
        <v>86.507267462129704</v>
      </c>
      <c r="AN7183">
        <v>0.99999998582886096</v>
      </c>
    </row>
    <row r="7184" spans="1:40" x14ac:dyDescent="0.25">
      <c r="A7184" t="str">
        <f>"20190312161458368"</f>
        <v>20190312161458368</v>
      </c>
      <c r="B7184" t="str">
        <f>"1552378498363596"</f>
        <v>1552378498363596</v>
      </c>
      <c r="C7184" t="s">
        <v>40</v>
      </c>
      <c r="D7184">
        <v>5.7198169999999999</v>
      </c>
      <c r="E7184">
        <v>0.54493669999999905</v>
      </c>
      <c r="F7184" t="s">
        <v>43</v>
      </c>
      <c r="G7184">
        <v>-186.4941</v>
      </c>
      <c r="H7184">
        <v>1.030146</v>
      </c>
      <c r="I7184">
        <v>86.07047</v>
      </c>
      <c r="J7184">
        <v>-186.63800000000001</v>
      </c>
      <c r="K7184">
        <v>1.1101379999999901</v>
      </c>
      <c r="L7184">
        <v>85.615139999999997</v>
      </c>
      <c r="M7184">
        <v>4.8277950000000002E-3</v>
      </c>
      <c r="N7184">
        <v>0</v>
      </c>
      <c r="O7184">
        <v>0.99988619999999995</v>
      </c>
      <c r="P7184">
        <v>6.6280519999999996E-2</v>
      </c>
      <c r="Q7184">
        <v>-2.3819730000000001E-2</v>
      </c>
      <c r="R7184">
        <v>0.99751670000000003</v>
      </c>
      <c r="S7184">
        <v>0.57034300000000004</v>
      </c>
      <c r="T7184">
        <v>-0.31440449999999998</v>
      </c>
      <c r="U7184">
        <v>2.962189</v>
      </c>
      <c r="V7184">
        <v>6.1463089999999998E-2</v>
      </c>
      <c r="W7184">
        <v>-9.5545820000000007E-3</v>
      </c>
      <c r="X7184">
        <v>0.99806360000000005</v>
      </c>
      <c r="Y7184">
        <v>0.18330569999999999</v>
      </c>
      <c r="Z7184">
        <v>-0.1037086</v>
      </c>
      <c r="AA7184">
        <v>0.97757019999999994</v>
      </c>
      <c r="AB7184">
        <v>30</v>
      </c>
      <c r="AC7184">
        <v>0.143900000000002</v>
      </c>
      <c r="AD7184">
        <v>-7.9991999999999799E-2</v>
      </c>
      <c r="AE7184">
        <v>0.45533000000000301</v>
      </c>
      <c r="AF7184">
        <v>0.13783221094620701</v>
      </c>
      <c r="AG7184">
        <v>-7.9991999999999799E-2</v>
      </c>
      <c r="AH7184">
        <v>0.44357259353488998</v>
      </c>
      <c r="AI7184">
        <v>99.771252459232699</v>
      </c>
      <c r="AJ7184">
        <v>72.738306944950693</v>
      </c>
      <c r="AK7184">
        <v>0.47133118311182098</v>
      </c>
      <c r="AL7184">
        <v>90.547445566595997</v>
      </c>
      <c r="AM7184">
        <v>86.476042175816502</v>
      </c>
      <c r="AN7184">
        <v>0.99999997555725095</v>
      </c>
    </row>
    <row r="7185" spans="1:40" x14ac:dyDescent="0.25">
      <c r="A7185" t="str">
        <f>"20190312161458390"</f>
        <v>20190312161458390</v>
      </c>
      <c r="B7185" t="str">
        <f>"1552378498384092"</f>
        <v>1552378498384092</v>
      </c>
      <c r="C7185" t="s">
        <v>40</v>
      </c>
      <c r="D7185">
        <v>5.7211460000000001</v>
      </c>
      <c r="E7185">
        <v>0.5450509</v>
      </c>
      <c r="F7185" t="s">
        <v>42</v>
      </c>
      <c r="G7185">
        <v>-184.31460000000001</v>
      </c>
      <c r="H7185" s="1">
        <v>-4.596058E-6</v>
      </c>
      <c r="I7185">
        <v>97.995450000000005</v>
      </c>
      <c r="J7185">
        <v>-186.63650000000001</v>
      </c>
      <c r="K7185">
        <v>1.1101399999999999</v>
      </c>
      <c r="L7185">
        <v>85.909300000000002</v>
      </c>
      <c r="M7185">
        <v>4.8277260000000001E-3</v>
      </c>
      <c r="N7185">
        <v>0</v>
      </c>
      <c r="O7185">
        <v>0.99988619999999995</v>
      </c>
      <c r="P7185">
        <v>6.6754759999999996E-2</v>
      </c>
      <c r="Q7185">
        <v>-2.344562E-2</v>
      </c>
      <c r="R7185">
        <v>0.99749390000000004</v>
      </c>
      <c r="S7185">
        <v>0.55627439999999995</v>
      </c>
      <c r="T7185">
        <v>-0.26579449999999999</v>
      </c>
      <c r="U7185">
        <v>2.9641419999999998</v>
      </c>
      <c r="V7185">
        <v>6.1937520000000003E-2</v>
      </c>
      <c r="W7185">
        <v>-9.1838349999999996E-3</v>
      </c>
      <c r="X7185">
        <v>0.99803779999999997</v>
      </c>
      <c r="Y7185">
        <v>0.1789878</v>
      </c>
      <c r="Z7185">
        <v>-8.7828459999999997E-2</v>
      </c>
      <c r="AA7185">
        <v>0.97992319999999999</v>
      </c>
      <c r="AB7185">
        <v>30</v>
      </c>
      <c r="AC7185">
        <v>2.3218999999999901</v>
      </c>
      <c r="AD7185">
        <v>-1.1101445960580001</v>
      </c>
      <c r="AE7185">
        <v>12.08615</v>
      </c>
      <c r="AF7185">
        <v>2.2452496447052499</v>
      </c>
      <c r="AG7185">
        <v>-1.1101445960580001</v>
      </c>
      <c r="AH7185">
        <v>11.999583888962899</v>
      </c>
      <c r="AI7185">
        <v>95.196019465921296</v>
      </c>
      <c r="AJ7185">
        <v>79.401898088314695</v>
      </c>
      <c r="AK7185">
        <v>12.258204619741999</v>
      </c>
      <c r="AL7185">
        <v>90.526202369312998</v>
      </c>
      <c r="AM7185">
        <v>86.448818727652295</v>
      </c>
      <c r="AN7185">
        <v>1.00000002471894</v>
      </c>
    </row>
    <row r="7186" spans="1:40" x14ac:dyDescent="0.25">
      <c r="A7186" t="str">
        <f>"20190312161458411"</f>
        <v>20190312161458411</v>
      </c>
      <c r="B7186" t="str">
        <f>"1552378498403613"</f>
        <v>1552378498403613</v>
      </c>
      <c r="C7186" t="s">
        <v>40</v>
      </c>
      <c r="D7186">
        <v>5.6107649999999998</v>
      </c>
      <c r="E7186">
        <v>0.54331160000000001</v>
      </c>
      <c r="F7186" t="s">
        <v>42</v>
      </c>
      <c r="G7186">
        <v>-184.1003</v>
      </c>
      <c r="H7186" s="1">
        <v>-5.2239379999999999E-6</v>
      </c>
      <c r="I7186">
        <v>99.370480000000001</v>
      </c>
      <c r="J7186">
        <v>-186.63509999999999</v>
      </c>
      <c r="K7186">
        <v>1.1101430000000001</v>
      </c>
      <c r="L7186">
        <v>86.203919999999997</v>
      </c>
      <c r="M7186">
        <v>4.8278310000000003E-3</v>
      </c>
      <c r="N7186">
        <v>0</v>
      </c>
      <c r="O7186">
        <v>0.99988619999999995</v>
      </c>
      <c r="P7186">
        <v>6.7209610000000003E-2</v>
      </c>
      <c r="Q7186">
        <v>-2.2764159999999999E-2</v>
      </c>
      <c r="R7186">
        <v>0.99747909999999995</v>
      </c>
      <c r="S7186">
        <v>0.5585175</v>
      </c>
      <c r="T7186">
        <v>-0.24447569999999999</v>
      </c>
      <c r="U7186">
        <v>2.9644170000000001</v>
      </c>
      <c r="V7186">
        <v>6.2392349999999999E-2</v>
      </c>
      <c r="W7186">
        <v>-8.5056400000000001E-3</v>
      </c>
      <c r="X7186">
        <v>0.99801550000000006</v>
      </c>
      <c r="Y7186">
        <v>0.17979729999999999</v>
      </c>
      <c r="Z7186">
        <v>-8.0813850000000007E-2</v>
      </c>
      <c r="AA7186">
        <v>0.98037850000000004</v>
      </c>
      <c r="AB7186">
        <v>30</v>
      </c>
      <c r="AC7186">
        <v>2.53479999999999</v>
      </c>
      <c r="AD7186">
        <v>-1.1101482239380001</v>
      </c>
      <c r="AE7186">
        <v>13.16656</v>
      </c>
      <c r="AF7186">
        <v>2.4543731266101001</v>
      </c>
      <c r="AG7186">
        <v>-1.1101482239380001</v>
      </c>
      <c r="AH7186">
        <v>13.088919862065101</v>
      </c>
      <c r="AI7186">
        <v>94.765326071085198</v>
      </c>
      <c r="AJ7186">
        <v>79.379496215289507</v>
      </c>
      <c r="AK7186">
        <v>13.363240612939</v>
      </c>
      <c r="AL7186">
        <v>90.487343128585294</v>
      </c>
      <c r="AM7186">
        <v>86.422728842473603</v>
      </c>
      <c r="AN7186">
        <v>1.0000000447452899</v>
      </c>
    </row>
    <row r="7187" spans="1:40" x14ac:dyDescent="0.25">
      <c r="A7187" t="str">
        <f>"20190312161458434"</f>
        <v>20190312161458434</v>
      </c>
      <c r="B7187" t="str">
        <f>"1552378498424108"</f>
        <v>1552378498424108</v>
      </c>
      <c r="C7187" t="s">
        <v>40</v>
      </c>
      <c r="D7187">
        <v>5.6551339999999897</v>
      </c>
      <c r="E7187">
        <v>0.54170379999999996</v>
      </c>
      <c r="F7187" t="s">
        <v>42</v>
      </c>
      <c r="G7187">
        <v>-184.06110000000001</v>
      </c>
      <c r="H7187" s="1">
        <v>-1.7624329999999999E-6</v>
      </c>
      <c r="I7187">
        <v>100.1836</v>
      </c>
      <c r="J7187">
        <v>-186.6336</v>
      </c>
      <c r="K7187">
        <v>1.110155</v>
      </c>
      <c r="L7187">
        <v>86.518829999999994</v>
      </c>
      <c r="M7187">
        <v>4.8276689999999997E-3</v>
      </c>
      <c r="N7187">
        <v>0</v>
      </c>
      <c r="O7187">
        <v>0.99988630000000001</v>
      </c>
      <c r="P7187">
        <v>6.7331779999999994E-2</v>
      </c>
      <c r="Q7187">
        <v>-2.270817E-2</v>
      </c>
      <c r="R7187">
        <v>0.99747220000000003</v>
      </c>
      <c r="S7187">
        <v>0.54600519999999997</v>
      </c>
      <c r="T7187">
        <v>-0.23548830000000001</v>
      </c>
      <c r="U7187">
        <v>2.9654240000000001</v>
      </c>
      <c r="V7187">
        <v>6.2514739999999999E-2</v>
      </c>
      <c r="W7187">
        <v>-8.4530209999999998E-3</v>
      </c>
      <c r="X7187">
        <v>0.99800829999999996</v>
      </c>
      <c r="Y7187">
        <v>0.17577950000000001</v>
      </c>
      <c r="Z7187">
        <v>-7.7893909999999997E-2</v>
      </c>
      <c r="AA7187">
        <v>0.98134299999999997</v>
      </c>
      <c r="AB7187">
        <v>30</v>
      </c>
      <c r="AC7187">
        <v>2.57249999999999</v>
      </c>
      <c r="AD7187">
        <v>-1.110156762433</v>
      </c>
      <c r="AE7187">
        <v>13.664769999999899</v>
      </c>
      <c r="AF7187">
        <v>2.4906181265831799</v>
      </c>
      <c r="AG7187">
        <v>-1.110156762433</v>
      </c>
      <c r="AH7187">
        <v>13.590400665924101</v>
      </c>
      <c r="AI7187">
        <v>94.593772936088698</v>
      </c>
      <c r="AJ7187">
        <v>79.615038835471395</v>
      </c>
      <c r="AK7187">
        <v>13.8612631801719</v>
      </c>
      <c r="AL7187">
        <v>90.484328167979896</v>
      </c>
      <c r="AM7187">
        <v>86.415704085111201</v>
      </c>
      <c r="AN7187">
        <v>1.0000000565750899</v>
      </c>
    </row>
    <row r="7188" spans="1:40" x14ac:dyDescent="0.25">
      <c r="A7188" t="str">
        <f>"20190312161458458"</f>
        <v>20190312161458458</v>
      </c>
      <c r="B7188" t="str">
        <f>"1552378498443628"</f>
        <v>1552378498443628</v>
      </c>
      <c r="C7188" t="s">
        <v>40</v>
      </c>
      <c r="D7188">
        <v>5.6385610000000002</v>
      </c>
      <c r="E7188">
        <v>0.54082180000000002</v>
      </c>
      <c r="F7188" t="s">
        <v>42</v>
      </c>
      <c r="G7188">
        <v>-184.05629999999999</v>
      </c>
      <c r="H7188" s="1">
        <v>-1.9886700000000001E-6</v>
      </c>
      <c r="I7188">
        <v>100.8446</v>
      </c>
      <c r="J7188">
        <v>-186.63200000000001</v>
      </c>
      <c r="K7188">
        <v>1.1101589999999999</v>
      </c>
      <c r="L7188">
        <v>86.828550000000007</v>
      </c>
      <c r="M7188">
        <v>4.8276350000000003E-3</v>
      </c>
      <c r="N7188">
        <v>0</v>
      </c>
      <c r="O7188">
        <v>0.99988630000000001</v>
      </c>
      <c r="P7188">
        <v>6.7752549999999995E-2</v>
      </c>
      <c r="Q7188">
        <v>-2.1968999999999999E-2</v>
      </c>
      <c r="R7188">
        <v>0.99746020000000002</v>
      </c>
      <c r="S7188">
        <v>0.53366089999999999</v>
      </c>
      <c r="T7188">
        <v>-0.2298722</v>
      </c>
      <c r="U7188">
        <v>2.9663390000000001</v>
      </c>
      <c r="V7188">
        <v>6.2935599999999994E-2</v>
      </c>
      <c r="W7188">
        <v>-7.7173169999999996E-3</v>
      </c>
      <c r="X7188">
        <v>0.99798770000000003</v>
      </c>
      <c r="Y7188">
        <v>0.171796</v>
      </c>
      <c r="Z7188">
        <v>-7.6079229999999998E-2</v>
      </c>
      <c r="AA7188">
        <v>0.98219040000000002</v>
      </c>
      <c r="AB7188">
        <v>30</v>
      </c>
      <c r="AC7188">
        <v>2.5757000000000101</v>
      </c>
      <c r="AD7188">
        <v>-1.1101609886699999</v>
      </c>
      <c r="AE7188">
        <v>14.0160499999999</v>
      </c>
      <c r="AF7188">
        <v>2.4928701911920901</v>
      </c>
      <c r="AG7188">
        <v>-1.1101609886699999</v>
      </c>
      <c r="AH7188">
        <v>13.9437021464843</v>
      </c>
      <c r="AI7188">
        <v>94.481378527444505</v>
      </c>
      <c r="AJ7188">
        <v>79.863687580615107</v>
      </c>
      <c r="AK7188">
        <v>14.208226094793501</v>
      </c>
      <c r="AL7188">
        <v>90.442174105406593</v>
      </c>
      <c r="AM7188">
        <v>86.391563242537401</v>
      </c>
      <c r="AN7188">
        <v>0.99999994804016201</v>
      </c>
    </row>
    <row r="7189" spans="1:40" x14ac:dyDescent="0.25">
      <c r="A7189" t="str">
        <f>"20190312161458480"</f>
        <v>20190312161458480</v>
      </c>
      <c r="B7189" t="str">
        <f>"1552378498473884"</f>
        <v>1552378498473884</v>
      </c>
      <c r="C7189" t="s">
        <v>40</v>
      </c>
      <c r="D7189">
        <v>5.4950000000000001</v>
      </c>
      <c r="E7189">
        <v>0.5397267</v>
      </c>
      <c r="F7189" t="s">
        <v>42</v>
      </c>
      <c r="G7189">
        <v>-183.98410000000001</v>
      </c>
      <c r="H7189" s="1">
        <v>-2.3049749999999999E-6</v>
      </c>
      <c r="I7189">
        <v>101.71769999999999</v>
      </c>
      <c r="J7189">
        <v>-186.63059999999999</v>
      </c>
      <c r="K7189">
        <v>1.1101559999999999</v>
      </c>
      <c r="L7189">
        <v>87.130889999999994</v>
      </c>
      <c r="M7189">
        <v>4.8275509999999898E-3</v>
      </c>
      <c r="N7189">
        <v>0</v>
      </c>
      <c r="O7189">
        <v>0.99988639999999995</v>
      </c>
      <c r="P7189">
        <v>6.8405399999999894E-2</v>
      </c>
      <c r="Q7189">
        <v>-2.1300110000000001E-2</v>
      </c>
      <c r="R7189">
        <v>0.99743020000000004</v>
      </c>
      <c r="S7189">
        <v>0.52764889999999998</v>
      </c>
      <c r="T7189">
        <v>-0.22121930000000001</v>
      </c>
      <c r="U7189">
        <v>2.9669189999999999</v>
      </c>
      <c r="V7189">
        <v>6.3588710000000007E-2</v>
      </c>
      <c r="W7189">
        <v>-7.0520929999999997E-3</v>
      </c>
      <c r="X7189">
        <v>0.99795129999999999</v>
      </c>
      <c r="Y7189">
        <v>0.16987089999999999</v>
      </c>
      <c r="Z7189">
        <v>-7.3242500000000002E-2</v>
      </c>
      <c r="AA7189">
        <v>0.98274079999999997</v>
      </c>
      <c r="AB7189">
        <v>30</v>
      </c>
      <c r="AC7189">
        <v>2.6464999999999699</v>
      </c>
      <c r="AD7189">
        <v>-1.1101583049749999</v>
      </c>
      <c r="AE7189">
        <v>14.5868099999999</v>
      </c>
      <c r="AF7189">
        <v>2.5616783194655701</v>
      </c>
      <c r="AG7189">
        <v>-1.1101583049749999</v>
      </c>
      <c r="AH7189">
        <v>14.5180049988407</v>
      </c>
      <c r="AI7189">
        <v>94.306496793192494</v>
      </c>
      <c r="AJ7189">
        <v>79.993254760951302</v>
      </c>
      <c r="AK7189">
        <v>14.7840155715857</v>
      </c>
      <c r="AL7189">
        <v>90.404058504034793</v>
      </c>
      <c r="AM7189">
        <v>86.354084789158904</v>
      </c>
      <c r="AN7189">
        <v>1.0000000266134099</v>
      </c>
    </row>
    <row r="7190" spans="1:40" x14ac:dyDescent="0.25">
      <c r="A7190" t="str">
        <f>"20190312161458502"</f>
        <v>20190312161458502</v>
      </c>
      <c r="B7190" t="str">
        <f>"1552378498494380"</f>
        <v>1552378498494380</v>
      </c>
      <c r="C7190" t="s">
        <v>40</v>
      </c>
      <c r="D7190">
        <v>5.4706799999999998</v>
      </c>
      <c r="E7190">
        <v>0.53930250000000002</v>
      </c>
      <c r="F7190" t="s">
        <v>42</v>
      </c>
      <c r="G7190">
        <v>-183.91849999999999</v>
      </c>
      <c r="H7190" s="1">
        <v>-2.6173779999999999E-6</v>
      </c>
      <c r="I7190">
        <v>102.5844</v>
      </c>
      <c r="J7190">
        <v>-186.6292</v>
      </c>
      <c r="K7190">
        <v>1.1101669999999999</v>
      </c>
      <c r="L7190">
        <v>87.429749999999999</v>
      </c>
      <c r="M7190">
        <v>4.8275559999999898E-3</v>
      </c>
      <c r="N7190">
        <v>0</v>
      </c>
      <c r="O7190">
        <v>0.99988639999999995</v>
      </c>
      <c r="P7190">
        <v>6.9238350000000004E-2</v>
      </c>
      <c r="Q7190">
        <v>-2.053634E-2</v>
      </c>
      <c r="R7190">
        <v>0.99738870000000002</v>
      </c>
      <c r="S7190">
        <v>0.52078250000000004</v>
      </c>
      <c r="T7190">
        <v>-0.21317849999999999</v>
      </c>
      <c r="U7190">
        <v>2.9674680000000002</v>
      </c>
      <c r="V7190">
        <v>6.4421880000000001E-2</v>
      </c>
      <c r="W7190">
        <v>-6.2921409999999898E-3</v>
      </c>
      <c r="X7190">
        <v>0.99790290000000004</v>
      </c>
      <c r="Y7190">
        <v>0.16766679999999901</v>
      </c>
      <c r="Z7190">
        <v>-7.0608679999999993E-2</v>
      </c>
      <c r="AA7190">
        <v>0.98331190000000002</v>
      </c>
      <c r="AB7190">
        <v>30</v>
      </c>
      <c r="AC7190">
        <v>2.7107000000000001</v>
      </c>
      <c r="AD7190">
        <v>-1.11016961737799</v>
      </c>
      <c r="AE7190">
        <v>15.15465</v>
      </c>
      <c r="AF7190">
        <v>2.6238567740201799</v>
      </c>
      <c r="AG7190">
        <v>-1.11016961737799</v>
      </c>
      <c r="AH7190">
        <v>15.089096329720499</v>
      </c>
      <c r="AI7190">
        <v>94.145921118392494</v>
      </c>
      <c r="AJ7190">
        <v>80.135423683323793</v>
      </c>
      <c r="AK7190">
        <v>15.355713236366</v>
      </c>
      <c r="AL7190">
        <v>90.360515508152105</v>
      </c>
      <c r="AM7190">
        <v>86.306266984065104</v>
      </c>
      <c r="AN7190">
        <v>0.99999998374475396</v>
      </c>
    </row>
    <row r="7191" spans="1:40" x14ac:dyDescent="0.25">
      <c r="A7191" t="str">
        <f>"20190312161458525"</f>
        <v>20190312161458525</v>
      </c>
      <c r="B7191" t="str">
        <f>"1552378498513902"</f>
        <v>1552378498513902</v>
      </c>
      <c r="C7191" t="s">
        <v>40</v>
      </c>
      <c r="D7191">
        <v>5.4853050000000003</v>
      </c>
      <c r="E7191">
        <v>0.53890039999999995</v>
      </c>
      <c r="F7191" t="s">
        <v>42</v>
      </c>
      <c r="G7191">
        <v>-183.86089999999999</v>
      </c>
      <c r="H7191" s="1">
        <v>-2.853076E-6</v>
      </c>
      <c r="I7191">
        <v>103.232</v>
      </c>
      <c r="J7191">
        <v>-186.6276</v>
      </c>
      <c r="K7191">
        <v>1.1101669999999999</v>
      </c>
      <c r="L7191">
        <v>87.740569999999906</v>
      </c>
      <c r="M7191">
        <v>4.8286290000000001E-3</v>
      </c>
      <c r="N7191">
        <v>0</v>
      </c>
      <c r="O7191">
        <v>0.99988650000000001</v>
      </c>
      <c r="P7191">
        <v>7.062947E-2</v>
      </c>
      <c r="Q7191">
        <v>-2.037189E-2</v>
      </c>
      <c r="R7191">
        <v>0.99729449999999997</v>
      </c>
      <c r="S7191">
        <v>0.51983639999999998</v>
      </c>
      <c r="T7191">
        <v>-0.2084763</v>
      </c>
      <c r="U7191">
        <v>2.9674680000000002</v>
      </c>
      <c r="V7191">
        <v>6.5812339999999997E-2</v>
      </c>
      <c r="W7191">
        <v>-6.1323890000000002E-3</v>
      </c>
      <c r="X7191">
        <v>0.99781319999999996</v>
      </c>
      <c r="Y7191">
        <v>0.16738029999999901</v>
      </c>
      <c r="Z7191">
        <v>-6.9062399999999996E-2</v>
      </c>
      <c r="AA7191">
        <v>0.98347050000000003</v>
      </c>
      <c r="AB7191">
        <v>30</v>
      </c>
      <c r="AC7191">
        <v>2.7667000000000099</v>
      </c>
      <c r="AD7191">
        <v>-1.11016985307599</v>
      </c>
      <c r="AE7191">
        <v>15.491429999999999</v>
      </c>
      <c r="AF7191">
        <v>2.6785269658150201</v>
      </c>
      <c r="AG7191">
        <v>-1.11016985307599</v>
      </c>
      <c r="AH7191">
        <v>15.4278271914048</v>
      </c>
      <c r="AI7191">
        <v>94.055388878831494</v>
      </c>
      <c r="AJ7191">
        <v>80.150679971877494</v>
      </c>
      <c r="AK7191">
        <v>15.697924565277001</v>
      </c>
      <c r="AL7191">
        <v>90.351362201085294</v>
      </c>
      <c r="AM7191">
        <v>86.226432366796701</v>
      </c>
      <c r="AN7191">
        <v>1.00000002619268</v>
      </c>
    </row>
    <row r="7192" spans="1:40" x14ac:dyDescent="0.25">
      <c r="A7192" t="str">
        <f>"20190312161458547"</f>
        <v>20190312161458547</v>
      </c>
      <c r="B7192" t="str">
        <f>"1552378498544157"</f>
        <v>1552378498544157</v>
      </c>
      <c r="C7192" t="s">
        <v>40</v>
      </c>
      <c r="D7192">
        <v>5.4310260000000001</v>
      </c>
      <c r="E7192">
        <v>0.53862509999999997</v>
      </c>
      <c r="F7192" t="s">
        <v>42</v>
      </c>
      <c r="G7192">
        <v>-183.7749</v>
      </c>
      <c r="H7192" s="1">
        <v>-3.135904E-6</v>
      </c>
      <c r="I7192">
        <v>103.9958</v>
      </c>
      <c r="J7192">
        <v>-186.62620000000001</v>
      </c>
      <c r="K7192">
        <v>1.110163</v>
      </c>
      <c r="L7192">
        <v>88.034639999999996</v>
      </c>
      <c r="M7192">
        <v>4.8340919999999999E-3</v>
      </c>
      <c r="N7192">
        <v>0</v>
      </c>
      <c r="O7192">
        <v>0.99988650000000001</v>
      </c>
      <c r="P7192">
        <v>7.1865059999999995E-2</v>
      </c>
      <c r="Q7192">
        <v>-2.0456350000000002E-2</v>
      </c>
      <c r="R7192">
        <v>0.99720450000000005</v>
      </c>
      <c r="S7192">
        <v>0.5207214</v>
      </c>
      <c r="T7192">
        <v>-0.2026435</v>
      </c>
      <c r="U7192">
        <v>2.967133</v>
      </c>
      <c r="V7192">
        <v>6.7042859999999996E-2</v>
      </c>
      <c r="W7192">
        <v>-6.2216579999999997E-3</v>
      </c>
      <c r="X7192">
        <v>0.99773069999999997</v>
      </c>
      <c r="Y7192">
        <v>0.16770099999999999</v>
      </c>
      <c r="Z7192">
        <v>-6.7143010000000003E-2</v>
      </c>
      <c r="AA7192">
        <v>0.9835488</v>
      </c>
      <c r="AB7192">
        <v>30</v>
      </c>
      <c r="AC7192">
        <v>2.8513000000000002</v>
      </c>
      <c r="AD7192">
        <v>-1.110166135904</v>
      </c>
      <c r="AE7192">
        <v>15.96116</v>
      </c>
      <c r="AF7192">
        <v>2.7611563070241898</v>
      </c>
      <c r="AG7192">
        <v>-1.110166135904</v>
      </c>
      <c r="AH7192">
        <v>15.9002152429099</v>
      </c>
      <c r="AI7192">
        <v>93.935250767022396</v>
      </c>
      <c r="AJ7192">
        <v>80.148528942165996</v>
      </c>
      <c r="AK7192">
        <v>16.1763190427239</v>
      </c>
      <c r="AL7192">
        <v>90.356477044130102</v>
      </c>
      <c r="AM7192">
        <v>86.155769140732602</v>
      </c>
      <c r="AN7192">
        <v>1.00000000191386</v>
      </c>
    </row>
    <row r="7193" spans="1:40" x14ac:dyDescent="0.25">
      <c r="A7193" t="str">
        <f>"20190312161458569"</f>
        <v>20190312161458569</v>
      </c>
      <c r="B7193" t="str">
        <f>"1552378498563676"</f>
        <v>1552378498563676</v>
      </c>
      <c r="C7193" t="s">
        <v>40</v>
      </c>
      <c r="D7193">
        <v>5.3834569999999999</v>
      </c>
      <c r="E7193">
        <v>0.53846669999999996</v>
      </c>
      <c r="F7193" t="s">
        <v>42</v>
      </c>
      <c r="G7193">
        <v>-183.57210000000001</v>
      </c>
      <c r="H7193" s="1">
        <v>-3.6614919999999998E-6</v>
      </c>
      <c r="I7193">
        <v>105.3817</v>
      </c>
      <c r="J7193">
        <v>-186.62479999999999</v>
      </c>
      <c r="K7193">
        <v>1.1101570000000001</v>
      </c>
      <c r="L7193">
        <v>88.323610000000002</v>
      </c>
      <c r="M7193">
        <v>4.8484210000000003E-3</v>
      </c>
      <c r="N7193">
        <v>0</v>
      </c>
      <c r="O7193">
        <v>0.99988650000000001</v>
      </c>
      <c r="P7193">
        <v>7.2668079999999996E-2</v>
      </c>
      <c r="Q7193">
        <v>-2.023432E-2</v>
      </c>
      <c r="R7193">
        <v>0.99715089999999995</v>
      </c>
      <c r="S7193">
        <v>0.52235410000000004</v>
      </c>
      <c r="T7193">
        <v>-0.18987309999999999</v>
      </c>
      <c r="U7193">
        <v>2.966888</v>
      </c>
      <c r="V7193">
        <v>6.7831760000000005E-2</v>
      </c>
      <c r="W7193">
        <v>-6.0044080000000001E-3</v>
      </c>
      <c r="X7193">
        <v>0.99767870000000003</v>
      </c>
      <c r="Y7193">
        <v>0.16827329999999999</v>
      </c>
      <c r="Z7193">
        <v>-6.2928300000000006E-2</v>
      </c>
      <c r="AA7193">
        <v>0.98372969999999904</v>
      </c>
      <c r="AB7193">
        <v>30</v>
      </c>
      <c r="AC7193">
        <v>3.0526999999999802</v>
      </c>
      <c r="AD7193">
        <v>-1.1101606614920001</v>
      </c>
      <c r="AE7193">
        <v>17.0580899999999</v>
      </c>
      <c r="AF7193">
        <v>2.9578116799805798</v>
      </c>
      <c r="AG7193">
        <v>-1.1101606614920001</v>
      </c>
      <c r="AH7193">
        <v>17.0029097584382</v>
      </c>
      <c r="AI7193">
        <v>93.680556368665805</v>
      </c>
      <c r="AJ7193">
        <v>80.1316290832074</v>
      </c>
      <c r="AK7193">
        <v>17.293930926256898</v>
      </c>
      <c r="AL7193">
        <v>90.344029305995406</v>
      </c>
      <c r="AM7193">
        <v>86.110469629674995</v>
      </c>
      <c r="AN7193">
        <v>0.99999999450690902</v>
      </c>
    </row>
    <row r="7194" spans="1:40" x14ac:dyDescent="0.25">
      <c r="A7194" t="str">
        <f>"20190312161458591"</f>
        <v>20190312161458591</v>
      </c>
      <c r="B7194" t="str">
        <f>"1552378498584173"</f>
        <v>1552378498584173</v>
      </c>
      <c r="C7194" t="s">
        <v>40</v>
      </c>
      <c r="D7194">
        <v>5.3627760000000002</v>
      </c>
      <c r="E7194">
        <v>0.53849460000000005</v>
      </c>
      <c r="F7194" t="s">
        <v>42</v>
      </c>
      <c r="G7194">
        <v>-183.52160000000001</v>
      </c>
      <c r="H7194" s="1">
        <v>-3.8537820000000002E-6</v>
      </c>
      <c r="I7194">
        <v>105.90730000000001</v>
      </c>
      <c r="J7194">
        <v>-186.6234</v>
      </c>
      <c r="K7194">
        <v>1.110142</v>
      </c>
      <c r="L7194">
        <v>88.617189999999994</v>
      </c>
      <c r="M7194">
        <v>4.8764389999999998E-3</v>
      </c>
      <c r="N7194">
        <v>0</v>
      </c>
      <c r="O7194">
        <v>0.99988630000000001</v>
      </c>
      <c r="P7194">
        <v>7.3150190000000004E-2</v>
      </c>
      <c r="Q7194">
        <v>-1.9771589999999999E-2</v>
      </c>
      <c r="R7194">
        <v>0.99712489999999998</v>
      </c>
      <c r="S7194">
        <v>0.52355959999999901</v>
      </c>
      <c r="T7194">
        <v>-0.18729979999999999</v>
      </c>
      <c r="U7194">
        <v>2.9666139999999999</v>
      </c>
      <c r="V7194">
        <v>6.8285929999999995E-2</v>
      </c>
      <c r="W7194">
        <v>-5.546629E-3</v>
      </c>
      <c r="X7194">
        <v>0.99765040000000005</v>
      </c>
      <c r="Y7194">
        <v>0.16865810000000001</v>
      </c>
      <c r="Z7194">
        <v>-6.2080240000000002E-2</v>
      </c>
      <c r="AA7194">
        <v>0.98371770000000003</v>
      </c>
      <c r="AB7194">
        <v>30</v>
      </c>
      <c r="AC7194">
        <v>3.1017999999999901</v>
      </c>
      <c r="AD7194">
        <v>-1.1101458537819999</v>
      </c>
      <c r="AE7194">
        <v>17.290109999999999</v>
      </c>
      <c r="AF7194">
        <v>3.0054366569692301</v>
      </c>
      <c r="AG7194">
        <v>-1.1101458537819999</v>
      </c>
      <c r="AH7194">
        <v>17.236190372632699</v>
      </c>
      <c r="AI7194">
        <v>93.630578171218701</v>
      </c>
      <c r="AJ7194">
        <v>80.108904108590394</v>
      </c>
      <c r="AK7194">
        <v>17.531438385864401</v>
      </c>
      <c r="AL7194">
        <v>90.317800053191107</v>
      </c>
      <c r="AM7194">
        <v>86.084397151820994</v>
      </c>
      <c r="AN7194">
        <v>1.00000002697469</v>
      </c>
    </row>
    <row r="7195" spans="1:40" x14ac:dyDescent="0.25">
      <c r="A7195" t="str">
        <f>"20190312161458613"</f>
        <v>20190312161458613</v>
      </c>
      <c r="B7195" t="str">
        <f>"1552378498603693"</f>
        <v>1552378498603693</v>
      </c>
      <c r="C7195" t="s">
        <v>40</v>
      </c>
      <c r="D7195">
        <v>5.3890250000000002</v>
      </c>
      <c r="E7195">
        <v>0.53867559999999903</v>
      </c>
      <c r="F7195" t="s">
        <v>42</v>
      </c>
      <c r="G7195">
        <v>-183.56389999999999</v>
      </c>
      <c r="H7195" s="1">
        <v>-3.8396940000000001E-6</v>
      </c>
      <c r="I7195">
        <v>105.8989</v>
      </c>
      <c r="J7195">
        <v>-186.62190000000001</v>
      </c>
      <c r="K7195">
        <v>1.110136</v>
      </c>
      <c r="L7195">
        <v>88.915859999999995</v>
      </c>
      <c r="M7195">
        <v>4.9177639999999998E-3</v>
      </c>
      <c r="N7195">
        <v>0</v>
      </c>
      <c r="O7195">
        <v>0.99988619999999995</v>
      </c>
      <c r="P7195">
        <v>7.3732800000000001E-2</v>
      </c>
      <c r="Q7195">
        <v>-1.998987E-2</v>
      </c>
      <c r="R7195">
        <v>0.99707760000000001</v>
      </c>
      <c r="S7195">
        <v>0.52514649999999996</v>
      </c>
      <c r="T7195">
        <v>-0.19055179999999999</v>
      </c>
      <c r="U7195">
        <v>2.9663390000000001</v>
      </c>
      <c r="V7195">
        <v>6.8827379999999994E-2</v>
      </c>
      <c r="W7195">
        <v>-5.7705969999999997E-3</v>
      </c>
      <c r="X7195">
        <v>0.9976119</v>
      </c>
      <c r="Y7195">
        <v>0.16913149999999999</v>
      </c>
      <c r="Z7195">
        <v>-6.3153970000000004E-2</v>
      </c>
      <c r="AA7195">
        <v>0.98356809999999995</v>
      </c>
      <c r="AB7195">
        <v>30</v>
      </c>
      <c r="AC7195">
        <v>3.0580000000000198</v>
      </c>
      <c r="AD7195">
        <v>-1.1101398396940001</v>
      </c>
      <c r="AE7195">
        <v>16.983039999999999</v>
      </c>
      <c r="AF7195">
        <v>2.96217628757323</v>
      </c>
      <c r="AG7195">
        <v>-1.1101398396940001</v>
      </c>
      <c r="AH7195">
        <v>16.927814985803401</v>
      </c>
      <c r="AI7195">
        <v>93.696127053854596</v>
      </c>
      <c r="AJ7195">
        <v>80.074382864414005</v>
      </c>
      <c r="AK7195">
        <v>17.220854189497299</v>
      </c>
      <c r="AL7195">
        <v>90.330632686561401</v>
      </c>
      <c r="AM7195">
        <v>86.0532956153192</v>
      </c>
      <c r="AN7195">
        <v>1.0000000055245</v>
      </c>
    </row>
    <row r="7196" spans="1:40" x14ac:dyDescent="0.25">
      <c r="A7196" t="str">
        <f>"20190312161458635"</f>
        <v>20190312161458635</v>
      </c>
      <c r="B7196" t="str">
        <f>"1552378498624188"</f>
        <v>1552378498624188</v>
      </c>
      <c r="C7196" t="s">
        <v>40</v>
      </c>
      <c r="D7196">
        <v>5.3498890000000001</v>
      </c>
      <c r="E7196">
        <v>0.53869429999999996</v>
      </c>
      <c r="F7196" t="s">
        <v>42</v>
      </c>
      <c r="G7196">
        <v>-183.48849999999999</v>
      </c>
      <c r="H7196" s="1">
        <v>-4.1058889999999998E-6</v>
      </c>
      <c r="I7196">
        <v>106.51130000000001</v>
      </c>
      <c r="J7196">
        <v>-186.62029999999999</v>
      </c>
      <c r="K7196">
        <v>1.1101179999999999</v>
      </c>
      <c r="L7196">
        <v>89.220249999999993</v>
      </c>
      <c r="M7196">
        <v>4.9767379999999996E-3</v>
      </c>
      <c r="N7196">
        <v>0</v>
      </c>
      <c r="O7196">
        <v>0.99988600000000005</v>
      </c>
      <c r="P7196">
        <v>7.4650270000000005E-2</v>
      </c>
      <c r="Q7196">
        <v>-2.086729E-2</v>
      </c>
      <c r="R7196">
        <v>0.99699139999999997</v>
      </c>
      <c r="S7196">
        <v>0.52816770000000002</v>
      </c>
      <c r="T7196">
        <v>-0.18713050000000001</v>
      </c>
      <c r="U7196">
        <v>2.965973</v>
      </c>
      <c r="V7196">
        <v>6.9686150000000002E-2</v>
      </c>
      <c r="W7196">
        <v>-6.6545869999999896E-3</v>
      </c>
      <c r="X7196">
        <v>0.99754679999999996</v>
      </c>
      <c r="Y7196">
        <v>0.1700779</v>
      </c>
      <c r="Z7196">
        <v>-6.2021479999999997E-2</v>
      </c>
      <c r="AA7196">
        <v>0.98347689999999999</v>
      </c>
      <c r="AB7196">
        <v>30</v>
      </c>
      <c r="AC7196">
        <v>3.1317999999999899</v>
      </c>
      <c r="AD7196">
        <v>-1.1101221058889901</v>
      </c>
      <c r="AE7196">
        <v>17.291049999999998</v>
      </c>
      <c r="AF7196">
        <v>3.0335924103965701</v>
      </c>
      <c r="AG7196">
        <v>-1.1101221058889901</v>
      </c>
      <c r="AH7196">
        <v>17.237628411494502</v>
      </c>
      <c r="AI7196">
        <v>93.629202643051599</v>
      </c>
      <c r="AJ7196">
        <v>80.018912849217301</v>
      </c>
      <c r="AK7196">
        <v>17.537699029666399</v>
      </c>
      <c r="AL7196">
        <v>90.381282551956104</v>
      </c>
      <c r="AM7196">
        <v>86.003950581031802</v>
      </c>
      <c r="AN7196">
        <v>1.0000000306101</v>
      </c>
    </row>
    <row r="7197" spans="1:40" x14ac:dyDescent="0.25">
      <c r="A7197" t="str">
        <f>"20190312161458656"</f>
        <v>20190312161458656</v>
      </c>
      <c r="B7197" t="str">
        <f>"1552378498643709"</f>
        <v>1552378498643709</v>
      </c>
      <c r="C7197" t="s">
        <v>40</v>
      </c>
      <c r="D7197">
        <v>5.3404680000000004</v>
      </c>
      <c r="E7197">
        <v>0.53887269999999998</v>
      </c>
      <c r="F7197" t="s">
        <v>42</v>
      </c>
      <c r="G7197">
        <v>-183.46539999999999</v>
      </c>
      <c r="H7197" s="1">
        <v>-4.2522219999999999E-6</v>
      </c>
      <c r="I7197">
        <v>106.8428</v>
      </c>
      <c r="J7197">
        <v>-186.61879999999999</v>
      </c>
      <c r="K7197">
        <v>1.110109</v>
      </c>
      <c r="L7197">
        <v>89.501249999999999</v>
      </c>
      <c r="M7197">
        <v>5.0487309999999999E-3</v>
      </c>
      <c r="N7197">
        <v>0</v>
      </c>
      <c r="O7197">
        <v>0.99988560000000004</v>
      </c>
      <c r="P7197">
        <v>7.5670420000000002E-2</v>
      </c>
      <c r="Q7197">
        <v>-2.072336E-2</v>
      </c>
      <c r="R7197">
        <v>0.99691750000000001</v>
      </c>
      <c r="S7197">
        <v>0.53088380000000002</v>
      </c>
      <c r="T7197">
        <v>-0.18680269999999999</v>
      </c>
      <c r="U7197">
        <v>2.9653930000000002</v>
      </c>
      <c r="V7197">
        <v>7.0634669999999997E-2</v>
      </c>
      <c r="W7197">
        <v>-6.5169800000000003E-3</v>
      </c>
      <c r="X7197">
        <v>0.99748099999999995</v>
      </c>
      <c r="Y7197">
        <v>0.17091419999999999</v>
      </c>
      <c r="Z7197">
        <v>-6.1915669999999999E-2</v>
      </c>
      <c r="AA7197">
        <v>0.98333859999999995</v>
      </c>
      <c r="AB7197">
        <v>30</v>
      </c>
      <c r="AC7197">
        <v>3.1534</v>
      </c>
      <c r="AD7197">
        <v>-1.1101132522220001</v>
      </c>
      <c r="AE7197">
        <v>17.341549999999899</v>
      </c>
      <c r="AF7197">
        <v>3.0536849912957398</v>
      </c>
      <c r="AG7197">
        <v>-1.1101132522220001</v>
      </c>
      <c r="AH7197">
        <v>17.288672043849498</v>
      </c>
      <c r="AI7197">
        <v>93.618090879677098</v>
      </c>
      <c r="AJ7197">
        <v>79.983204933873495</v>
      </c>
      <c r="AK7197">
        <v>17.5913480011797</v>
      </c>
      <c r="AL7197">
        <v>90.373398078674796</v>
      </c>
      <c r="AM7197">
        <v>85.949472621543904</v>
      </c>
      <c r="AN7197">
        <v>1.00000003649766</v>
      </c>
    </row>
    <row r="7198" spans="1:40" x14ac:dyDescent="0.25">
      <c r="A7198" t="str">
        <f>"20190312161458679"</f>
        <v>20190312161458679</v>
      </c>
      <c r="B7198" t="str">
        <f>"1552378498673964"</f>
        <v>1552378498673964</v>
      </c>
      <c r="C7198" t="s">
        <v>40</v>
      </c>
      <c r="D7198">
        <v>5.2878699999999998</v>
      </c>
      <c r="E7198">
        <v>0.53885050000000001</v>
      </c>
      <c r="F7198" t="s">
        <v>42</v>
      </c>
      <c r="G7198">
        <v>-183.36510000000001</v>
      </c>
      <c r="H7198" s="1">
        <v>-4.5610250000000001E-6</v>
      </c>
      <c r="I7198">
        <v>107.52119999999999</v>
      </c>
      <c r="J7198">
        <v>-186.61709999999999</v>
      </c>
      <c r="K7198">
        <v>1.1100969999999999</v>
      </c>
      <c r="L7198">
        <v>89.81268</v>
      </c>
      <c r="M7198">
        <v>5.1487649999999996E-3</v>
      </c>
      <c r="N7198">
        <v>0</v>
      </c>
      <c r="O7198">
        <v>0.99988520000000003</v>
      </c>
      <c r="P7198">
        <v>7.6813430000000002E-2</v>
      </c>
      <c r="Q7198">
        <v>-2.056065E-2</v>
      </c>
      <c r="R7198">
        <v>0.99683339999999998</v>
      </c>
      <c r="S7198">
        <v>0.53533940000000002</v>
      </c>
      <c r="T7198">
        <v>-0.18264839999999999</v>
      </c>
      <c r="U7198">
        <v>2.9648439999999998</v>
      </c>
      <c r="V7198">
        <v>7.1678140000000001E-2</v>
      </c>
      <c r="W7198">
        <v>-6.3614730000000003E-3</v>
      </c>
      <c r="X7198">
        <v>0.99740759999999995</v>
      </c>
      <c r="Y7198">
        <v>0.17229349999999999</v>
      </c>
      <c r="Z7198">
        <v>-6.0539580000000003E-2</v>
      </c>
      <c r="AA7198">
        <v>0.98318360000000005</v>
      </c>
      <c r="AB7198">
        <v>30</v>
      </c>
      <c r="AC7198">
        <v>3.2519999999999798</v>
      </c>
      <c r="AD7198">
        <v>-1.11010156102499</v>
      </c>
      <c r="AE7198">
        <v>17.708519999999901</v>
      </c>
      <c r="AF7198">
        <v>3.1488004157960199</v>
      </c>
      <c r="AG7198">
        <v>-1.11010156102499</v>
      </c>
      <c r="AH7198">
        <v>17.657903974767901</v>
      </c>
      <c r="AI7198">
        <v>93.541563782258095</v>
      </c>
      <c r="AJ7198">
        <v>79.889154415817501</v>
      </c>
      <c r="AK7198">
        <v>17.970777454423899</v>
      </c>
      <c r="AL7198">
        <v>90.364487986426894</v>
      </c>
      <c r="AM7198">
        <v>85.889537251769298</v>
      </c>
      <c r="AN7198">
        <v>1.0000000723151701</v>
      </c>
    </row>
    <row r="7199" spans="1:40" x14ac:dyDescent="0.25">
      <c r="A7199" t="str">
        <f>"20190312161458703"</f>
        <v>20190312161458703</v>
      </c>
      <c r="B7199" t="str">
        <f>"1552378498693485"</f>
        <v>1552378498693485</v>
      </c>
      <c r="C7199" t="s">
        <v>40</v>
      </c>
      <c r="D7199">
        <v>5.3144239999999998</v>
      </c>
      <c r="E7199">
        <v>0.53901639999999995</v>
      </c>
      <c r="F7199" t="s">
        <v>42</v>
      </c>
      <c r="G7199">
        <v>-183.27780000000001</v>
      </c>
      <c r="H7199" s="1">
        <v>-4.8621700000000002E-6</v>
      </c>
      <c r="I7199">
        <v>108.1871</v>
      </c>
      <c r="J7199">
        <v>-186.61539999999999</v>
      </c>
      <c r="K7199">
        <v>1.1100859999999999</v>
      </c>
      <c r="L7199">
        <v>90.12021</v>
      </c>
      <c r="M7199">
        <v>5.2651240000000004E-3</v>
      </c>
      <c r="N7199">
        <v>0</v>
      </c>
      <c r="O7199">
        <v>0.99988460000000001</v>
      </c>
      <c r="P7199">
        <v>7.7118149999999996E-2</v>
      </c>
      <c r="Q7199">
        <v>-2.0661189999999999E-2</v>
      </c>
      <c r="R7199">
        <v>0.99680789999999997</v>
      </c>
      <c r="S7199">
        <v>0.538742099999999</v>
      </c>
      <c r="T7199">
        <v>-0.1790919</v>
      </c>
      <c r="U7199">
        <v>2.9643250000000001</v>
      </c>
      <c r="V7199">
        <v>7.1866699999999895E-2</v>
      </c>
      <c r="W7199">
        <v>-6.4681369999999997E-3</v>
      </c>
      <c r="X7199">
        <v>0.99739330000000004</v>
      </c>
      <c r="Y7199">
        <v>0.1733142</v>
      </c>
      <c r="Z7199">
        <v>-5.936379E-2</v>
      </c>
      <c r="AA7199">
        <v>0.9830759</v>
      </c>
      <c r="AB7199">
        <v>30</v>
      </c>
      <c r="AC7199">
        <v>3.3375999999999801</v>
      </c>
      <c r="AD7199">
        <v>-1.1100908621700001</v>
      </c>
      <c r="AE7199">
        <v>18.066890000000001</v>
      </c>
      <c r="AF7199">
        <v>3.2306256048445801</v>
      </c>
      <c r="AG7199">
        <v>-1.1100908621700001</v>
      </c>
      <c r="AH7199">
        <v>18.018434274040299</v>
      </c>
      <c r="AI7199">
        <v>93.470258610951902</v>
      </c>
      <c r="AJ7199">
        <v>79.835124791170003</v>
      </c>
      <c r="AK7199">
        <v>18.339389771987001</v>
      </c>
      <c r="AL7199">
        <v>90.370599525506606</v>
      </c>
      <c r="AM7199">
        <v>85.878702394181403</v>
      </c>
      <c r="AN7199">
        <v>1.00000002712501</v>
      </c>
    </row>
    <row r="7200" spans="1:40" x14ac:dyDescent="0.25">
      <c r="A7200" t="str">
        <f>"20190312161458726"</f>
        <v>20190312161458726</v>
      </c>
      <c r="B7200" t="str">
        <f>"1552378498713980"</f>
        <v>1552378498713980</v>
      </c>
      <c r="C7200" t="s">
        <v>40</v>
      </c>
      <c r="D7200">
        <v>5.3073489999999897</v>
      </c>
      <c r="E7200">
        <v>0.53907510000000003</v>
      </c>
      <c r="F7200" t="s">
        <v>42</v>
      </c>
      <c r="G7200">
        <v>-183.1978</v>
      </c>
      <c r="H7200" s="1">
        <v>-5.1597879999999998E-6</v>
      </c>
      <c r="I7200">
        <v>108.84780000000001</v>
      </c>
      <c r="J7200">
        <v>-186.61359999999999</v>
      </c>
      <c r="K7200">
        <v>1.1100730000000001</v>
      </c>
      <c r="L7200">
        <v>90.436040000000006</v>
      </c>
      <c r="M7200">
        <v>5.3978630000000001E-3</v>
      </c>
      <c r="N7200">
        <v>0</v>
      </c>
      <c r="O7200">
        <v>0.99988390000000005</v>
      </c>
      <c r="P7200">
        <v>7.8074489999999996E-2</v>
      </c>
      <c r="Q7200">
        <v>-2.028079E-2</v>
      </c>
      <c r="R7200">
        <v>0.99674119999999999</v>
      </c>
      <c r="S7200">
        <v>0.54092410000000002</v>
      </c>
      <c r="T7200">
        <v>-0.17570169999999999</v>
      </c>
      <c r="U7200">
        <v>2.9641419999999998</v>
      </c>
      <c r="V7200">
        <v>7.2690900000000003E-2</v>
      </c>
      <c r="W7200">
        <v>-6.0943630000000002E-3</v>
      </c>
      <c r="X7200">
        <v>0.99733590000000005</v>
      </c>
      <c r="Y7200">
        <v>0.17390649999999999</v>
      </c>
      <c r="Z7200">
        <v>-5.8240559999999997E-2</v>
      </c>
      <c r="AA7200">
        <v>0.98303839999999998</v>
      </c>
      <c r="AB7200">
        <v>30</v>
      </c>
      <c r="AC7200">
        <v>3.4157999999999902</v>
      </c>
      <c r="AD7200">
        <v>-1.1100781597879901</v>
      </c>
      <c r="AE7200">
        <v>18.411760000000001</v>
      </c>
      <c r="AF7200">
        <v>3.3047426196241401</v>
      </c>
      <c r="AG7200">
        <v>-1.1100781597879901</v>
      </c>
      <c r="AH7200">
        <v>18.365392881375602</v>
      </c>
      <c r="AI7200">
        <v>93.4044321604933</v>
      </c>
      <c r="AJ7200">
        <v>79.799133080426401</v>
      </c>
      <c r="AK7200">
        <v>18.6933478272373</v>
      </c>
      <c r="AL7200">
        <v>90.349183439278903</v>
      </c>
      <c r="AM7200">
        <v>85.831364082458194</v>
      </c>
      <c r="AN7200">
        <v>1.0000000028159901</v>
      </c>
    </row>
    <row r="7201" spans="1:40" x14ac:dyDescent="0.25">
      <c r="A7201" t="str">
        <f>"20190312161458747"</f>
        <v>20190312161458747</v>
      </c>
      <c r="B7201" t="str">
        <f>"1552378498733500"</f>
        <v>1552378498733500</v>
      </c>
      <c r="C7201" t="s">
        <v>40</v>
      </c>
      <c r="D7201">
        <v>5.2322939999999996</v>
      </c>
      <c r="E7201">
        <v>0.53923290000000001</v>
      </c>
      <c r="F7201" t="s">
        <v>42</v>
      </c>
      <c r="G7201">
        <v>-183.11340000000001</v>
      </c>
      <c r="H7201" s="1">
        <v>-5.4545169999999999E-6</v>
      </c>
      <c r="I7201">
        <v>109.4999</v>
      </c>
      <c r="J7201">
        <v>-186.61199999999999</v>
      </c>
      <c r="K7201">
        <v>1.110074</v>
      </c>
      <c r="L7201">
        <v>90.708680000000001</v>
      </c>
      <c r="M7201">
        <v>5.5206459999999997E-3</v>
      </c>
      <c r="N7201">
        <v>0</v>
      </c>
      <c r="O7201">
        <v>0.99988339999999998</v>
      </c>
      <c r="P7201">
        <v>7.8573760000000006E-2</v>
      </c>
      <c r="Q7201">
        <v>-2.0001390000000001E-2</v>
      </c>
      <c r="R7201">
        <v>0.99670760000000003</v>
      </c>
      <c r="S7201">
        <v>0.5441589</v>
      </c>
      <c r="T7201">
        <v>-0.17257400000000001</v>
      </c>
      <c r="U7201">
        <v>2.9636840000000002</v>
      </c>
      <c r="V7201">
        <v>7.3067869999999993E-2</v>
      </c>
      <c r="W7201">
        <v>-5.8197419999999897E-3</v>
      </c>
      <c r="X7201">
        <v>0.99731000000000003</v>
      </c>
      <c r="Y7201">
        <v>0.174861299999999</v>
      </c>
      <c r="Z7201">
        <v>-5.720546E-2</v>
      </c>
      <c r="AA7201">
        <v>0.98292979999999996</v>
      </c>
      <c r="AB7201">
        <v>30</v>
      </c>
      <c r="AC7201">
        <v>3.4985999999999802</v>
      </c>
      <c r="AD7201">
        <v>-1.1100794545170001</v>
      </c>
      <c r="AE7201">
        <v>18.791219999999999</v>
      </c>
      <c r="AF7201">
        <v>3.38338478786735</v>
      </c>
      <c r="AG7201">
        <v>-1.1100794545170001</v>
      </c>
      <c r="AH7201">
        <v>18.7470189283035</v>
      </c>
      <c r="AI7201">
        <v>93.334982454822295</v>
      </c>
      <c r="AJ7201">
        <v>79.7696181006975</v>
      </c>
      <c r="AK7201">
        <v>19.082198188790599</v>
      </c>
      <c r="AL7201">
        <v>90.333448533568202</v>
      </c>
      <c r="AM7201">
        <v>85.809714194419897</v>
      </c>
      <c r="AN7201">
        <v>1.0000000095616399</v>
      </c>
    </row>
    <row r="7202" spans="1:40" x14ac:dyDescent="0.25">
      <c r="A7202" t="str">
        <f>"20190312161458769"</f>
        <v>20190312161458769</v>
      </c>
      <c r="B7202" t="str">
        <f>"1552378498763757"</f>
        <v>1552378498763757</v>
      </c>
      <c r="C7202" t="s">
        <v>40</v>
      </c>
      <c r="D7202">
        <v>5.2498490000000002</v>
      </c>
      <c r="E7202">
        <v>0.53938629999999999</v>
      </c>
      <c r="F7202" t="s">
        <v>42</v>
      </c>
      <c r="G7202">
        <v>-183.01830000000001</v>
      </c>
      <c r="H7202" s="1">
        <v>-2.0388439999999998E-6</v>
      </c>
      <c r="I7202">
        <v>110.18049999999999</v>
      </c>
      <c r="J7202">
        <v>-186.6103</v>
      </c>
      <c r="K7202">
        <v>1.1100680000000001</v>
      </c>
      <c r="L7202">
        <v>90.990260000000006</v>
      </c>
      <c r="M7202">
        <v>5.6518949999999997E-3</v>
      </c>
      <c r="N7202">
        <v>0</v>
      </c>
      <c r="O7202">
        <v>0.99988259999999995</v>
      </c>
      <c r="P7202">
        <v>7.8744690000000006E-2</v>
      </c>
      <c r="Q7202">
        <v>-1.9547209999999999E-2</v>
      </c>
      <c r="R7202">
        <v>0.99670309999999995</v>
      </c>
      <c r="S7202">
        <v>0.54693599999999998</v>
      </c>
      <c r="T7202">
        <v>-0.16894229999999999</v>
      </c>
      <c r="U7202">
        <v>2.963409</v>
      </c>
      <c r="V7202">
        <v>7.3108019999999996E-2</v>
      </c>
      <c r="W7202">
        <v>-5.3694160000000001E-3</v>
      </c>
      <c r="X7202">
        <v>0.99730960000000002</v>
      </c>
      <c r="Y7202">
        <v>0.17565149999999999</v>
      </c>
      <c r="Z7202">
        <v>-5.6001849999999999E-2</v>
      </c>
      <c r="AA7202">
        <v>0.98285820000000002</v>
      </c>
      <c r="AB7202">
        <v>30</v>
      </c>
      <c r="AC7202">
        <v>3.5919999999999801</v>
      </c>
      <c r="AD7202">
        <v>-1.1100700388439999</v>
      </c>
      <c r="AE7202">
        <v>19.190239999999999</v>
      </c>
      <c r="AF7202">
        <v>3.4722451704483102</v>
      </c>
      <c r="AG7202">
        <v>-1.1100700388439999</v>
      </c>
      <c r="AH7202">
        <v>19.148333543920899</v>
      </c>
      <c r="AI7202">
        <v>93.264722678256803</v>
      </c>
      <c r="AJ7202">
        <v>79.722006024752602</v>
      </c>
      <c r="AK7202">
        <v>19.492239982210599</v>
      </c>
      <c r="AL7202">
        <v>90.307646345617798</v>
      </c>
      <c r="AM7202">
        <v>85.807418210526293</v>
      </c>
      <c r="AN7202">
        <v>1.00000002573433</v>
      </c>
    </row>
    <row r="7203" spans="1:40" x14ac:dyDescent="0.25">
      <c r="A7203" t="str">
        <f>"20190312161458791"</f>
        <v>20190312161458791</v>
      </c>
      <c r="B7203" t="str">
        <f>"1552378498784252"</f>
        <v>1552378498784252</v>
      </c>
      <c r="C7203" t="s">
        <v>40</v>
      </c>
      <c r="D7203">
        <v>5.2095339999999997</v>
      </c>
      <c r="E7203">
        <v>0.53942699999999999</v>
      </c>
      <c r="F7203" t="s">
        <v>42</v>
      </c>
      <c r="G7203">
        <v>-182.96019999999999</v>
      </c>
      <c r="H7203" s="1">
        <v>-2.2337630000000001E-6</v>
      </c>
      <c r="I7203">
        <v>110.7079</v>
      </c>
      <c r="J7203">
        <v>-186.60849999999999</v>
      </c>
      <c r="K7203">
        <v>1.110077</v>
      </c>
      <c r="L7203">
        <v>91.287379999999999</v>
      </c>
      <c r="M7203">
        <v>5.7927780000000002E-3</v>
      </c>
      <c r="N7203">
        <v>0</v>
      </c>
      <c r="O7203">
        <v>0.99988189999999999</v>
      </c>
      <c r="P7203">
        <v>7.8787919999999997E-2</v>
      </c>
      <c r="Q7203">
        <v>-1.974712E-2</v>
      </c>
      <c r="R7203">
        <v>0.99669580000000002</v>
      </c>
      <c r="S7203">
        <v>0.54856870000000002</v>
      </c>
      <c r="T7203">
        <v>-0.16683020000000001</v>
      </c>
      <c r="U7203">
        <v>2.9633180000000001</v>
      </c>
      <c r="V7203">
        <v>7.3010690000000003E-2</v>
      </c>
      <c r="W7203">
        <v>-5.5727559999999999E-3</v>
      </c>
      <c r="X7203">
        <v>0.99731559999999997</v>
      </c>
      <c r="Y7203">
        <v>0.17604890000000001</v>
      </c>
      <c r="Z7203">
        <v>-5.5300759999999997E-2</v>
      </c>
      <c r="AA7203">
        <v>0.9828268</v>
      </c>
      <c r="AB7203">
        <v>30</v>
      </c>
      <c r="AC7203">
        <v>3.6482999999999999</v>
      </c>
      <c r="AD7203">
        <v>-1.1100792337630001</v>
      </c>
      <c r="AE7203">
        <v>19.42052</v>
      </c>
      <c r="AF7203">
        <v>3.5246052942525101</v>
      </c>
      <c r="AG7203">
        <v>-1.1100792337630001</v>
      </c>
      <c r="AH7203">
        <v>19.3801680490206</v>
      </c>
      <c r="AI7203">
        <v>93.225476845774594</v>
      </c>
      <c r="AJ7203">
        <v>79.692468101726107</v>
      </c>
      <c r="AK7203">
        <v>19.729319096050499</v>
      </c>
      <c r="AL7203">
        <v>90.319297048144605</v>
      </c>
      <c r="AM7203">
        <v>85.813005105243803</v>
      </c>
      <c r="AN7203">
        <v>1.0000000112335301</v>
      </c>
    </row>
    <row r="7204" spans="1:40" x14ac:dyDescent="0.25">
      <c r="A7204" t="str">
        <f>"20190312161458813"</f>
        <v>20190312161458813</v>
      </c>
      <c r="B7204" t="str">
        <f>"1552378498803773"</f>
        <v>1552378498803773</v>
      </c>
      <c r="C7204" t="s">
        <v>40</v>
      </c>
      <c r="D7204">
        <v>5.3009069999999996</v>
      </c>
      <c r="E7204">
        <v>0.53959609999999902</v>
      </c>
      <c r="F7204" t="s">
        <v>42</v>
      </c>
      <c r="G7204">
        <v>-182.97059999999999</v>
      </c>
      <c r="H7204" s="1">
        <v>-2.3038840000000001E-6</v>
      </c>
      <c r="I7204">
        <v>110.922</v>
      </c>
      <c r="J7204">
        <v>-186.60659999999999</v>
      </c>
      <c r="K7204">
        <v>1.1100719999999999</v>
      </c>
      <c r="L7204">
        <v>91.591160000000002</v>
      </c>
      <c r="M7204">
        <v>5.9366019999999896E-3</v>
      </c>
      <c r="N7204">
        <v>0</v>
      </c>
      <c r="O7204">
        <v>0.99988109999999997</v>
      </c>
      <c r="P7204">
        <v>7.9411949999999995E-2</v>
      </c>
      <c r="Q7204">
        <v>-1.9745829999999999E-2</v>
      </c>
      <c r="R7204">
        <v>0.99664629999999998</v>
      </c>
      <c r="S7204">
        <v>0.54902649999999997</v>
      </c>
      <c r="T7204">
        <v>-0.16753109999999999</v>
      </c>
      <c r="U7204">
        <v>2.9632260000000001</v>
      </c>
      <c r="V7204">
        <v>7.3491580000000001E-2</v>
      </c>
      <c r="W7204">
        <v>-5.5755800000000001E-3</v>
      </c>
      <c r="X7204">
        <v>0.99728019999999995</v>
      </c>
      <c r="Y7204">
        <v>0.1760573</v>
      </c>
      <c r="Z7204">
        <v>-5.553321E-2</v>
      </c>
      <c r="AA7204">
        <v>0.98281220000000002</v>
      </c>
      <c r="AB7204">
        <v>30</v>
      </c>
      <c r="AC7204">
        <v>3.6359999999999899</v>
      </c>
      <c r="AD7204">
        <v>-1.110074303884</v>
      </c>
      <c r="AE7204">
        <v>19.330839999999998</v>
      </c>
      <c r="AF7204">
        <v>3.5099856417078801</v>
      </c>
      <c r="AG7204">
        <v>-1.110074303884</v>
      </c>
      <c r="AH7204">
        <v>19.290647119861902</v>
      </c>
      <c r="AI7204">
        <v>93.240349904806095</v>
      </c>
      <c r="AJ7204">
        <v>79.687692116887405</v>
      </c>
      <c r="AK7204">
        <v>19.638771103818499</v>
      </c>
      <c r="AL7204">
        <v>90.319458874021194</v>
      </c>
      <c r="AM7204">
        <v>85.785377154959306</v>
      </c>
      <c r="AN7204">
        <v>0.99999994836763495</v>
      </c>
    </row>
    <row r="7205" spans="1:40" x14ac:dyDescent="0.25">
      <c r="A7205" t="str">
        <f>"20190312161458835"</f>
        <v>20190312161458835</v>
      </c>
      <c r="B7205" t="str">
        <f>"1552378498824268"</f>
        <v>1552378498824268</v>
      </c>
      <c r="C7205" t="s">
        <v>40</v>
      </c>
      <c r="D7205">
        <v>5.1847940000000001</v>
      </c>
      <c r="E7205">
        <v>0.53972069999999905</v>
      </c>
      <c r="F7205" t="s">
        <v>42</v>
      </c>
      <c r="G7205">
        <v>-182.91040000000001</v>
      </c>
      <c r="H7205" s="1">
        <v>-2.489629E-6</v>
      </c>
      <c r="I7205">
        <v>111.4208</v>
      </c>
      <c r="J7205">
        <v>-186.60470000000001</v>
      </c>
      <c r="K7205">
        <v>1.1100749999999999</v>
      </c>
      <c r="L7205">
        <v>91.890500000000003</v>
      </c>
      <c r="M7205">
        <v>6.0768419999999998E-3</v>
      </c>
      <c r="N7205">
        <v>0</v>
      </c>
      <c r="O7205">
        <v>0.99988030000000006</v>
      </c>
      <c r="P7205">
        <v>8.0201120000000001E-2</v>
      </c>
      <c r="Q7205">
        <v>-2.0493109999999998E-2</v>
      </c>
      <c r="R7205">
        <v>0.99656800000000001</v>
      </c>
      <c r="S7205">
        <v>0.55226140000000001</v>
      </c>
      <c r="T7205">
        <v>-0.16585929999999999</v>
      </c>
      <c r="U7205">
        <v>2.962799</v>
      </c>
      <c r="V7205">
        <v>7.4141109999999996E-2</v>
      </c>
      <c r="W7205">
        <v>-6.3271869999999997E-3</v>
      </c>
      <c r="X7205">
        <v>0.99722770000000005</v>
      </c>
      <c r="Y7205">
        <v>0.17698729999999999</v>
      </c>
      <c r="Z7205">
        <v>-5.4978399999999997E-2</v>
      </c>
      <c r="AA7205">
        <v>0.98267640000000001</v>
      </c>
      <c r="AB7205">
        <v>30</v>
      </c>
      <c r="AC7205">
        <v>3.6942999999999899</v>
      </c>
      <c r="AD7205">
        <v>-1.110077489629</v>
      </c>
      <c r="AE7205">
        <v>19.5303</v>
      </c>
      <c r="AF7205">
        <v>3.56441964113221</v>
      </c>
      <c r="AG7205">
        <v>-1.110077489629</v>
      </c>
      <c r="AH7205">
        <v>19.491596186293801</v>
      </c>
      <c r="AI7205">
        <v>93.206504764524496</v>
      </c>
      <c r="AJ7205">
        <v>79.636852407100093</v>
      </c>
      <c r="AK7205">
        <v>19.845898349548602</v>
      </c>
      <c r="AL7205">
        <v>90.362523525959205</v>
      </c>
      <c r="AM7205">
        <v>85.748040648946798</v>
      </c>
      <c r="AN7205">
        <v>1.00000001156732</v>
      </c>
    </row>
    <row r="7206" spans="1:40" x14ac:dyDescent="0.25">
      <c r="A7206" t="str">
        <f>"20190312161458859"</f>
        <v>20190312161458859</v>
      </c>
      <c r="B7206" t="str">
        <f>"1552378498853549"</f>
        <v>1552378498853549</v>
      </c>
      <c r="C7206" t="s">
        <v>40</v>
      </c>
      <c r="D7206">
        <v>5.1393309999999897</v>
      </c>
      <c r="E7206">
        <v>0.53990640000000001</v>
      </c>
      <c r="F7206" t="s">
        <v>42</v>
      </c>
      <c r="G7206">
        <v>-182.905</v>
      </c>
      <c r="H7206" s="1">
        <v>-2.5588649999999999E-6</v>
      </c>
      <c r="I7206">
        <v>111.62</v>
      </c>
      <c r="J7206">
        <v>-186.6027</v>
      </c>
      <c r="K7206">
        <v>1.1100730000000001</v>
      </c>
      <c r="L7206">
        <v>92.192899999999995</v>
      </c>
      <c r="M7206">
        <v>6.2168179999999998E-3</v>
      </c>
      <c r="N7206">
        <v>0</v>
      </c>
      <c r="O7206">
        <v>0.99987950000000003</v>
      </c>
      <c r="P7206">
        <v>8.1279290000000004E-2</v>
      </c>
      <c r="Q7206">
        <v>-2.081618E-2</v>
      </c>
      <c r="R7206">
        <v>0.99647399999999997</v>
      </c>
      <c r="S7206">
        <v>0.55546569999999995</v>
      </c>
      <c r="T7206">
        <v>-0.1666685</v>
      </c>
      <c r="U7206">
        <v>2.9622190000000002</v>
      </c>
      <c r="V7206">
        <v>7.5080140000000004E-2</v>
      </c>
      <c r="W7206">
        <v>-6.6548509999999998E-3</v>
      </c>
      <c r="X7206">
        <v>0.99715529999999997</v>
      </c>
      <c r="Y7206">
        <v>0.1779085</v>
      </c>
      <c r="Z7206">
        <v>-5.524627E-2</v>
      </c>
      <c r="AA7206">
        <v>0.98249500000000001</v>
      </c>
      <c r="AB7206">
        <v>30</v>
      </c>
      <c r="AC7206">
        <v>3.69769999999999</v>
      </c>
      <c r="AD7206">
        <v>-1.11007555886499</v>
      </c>
      <c r="AE7206">
        <v>19.427099999999999</v>
      </c>
      <c r="AF7206">
        <v>3.5656067171498802</v>
      </c>
      <c r="AG7206">
        <v>-1.11007555886499</v>
      </c>
      <c r="AH7206">
        <v>19.388623273302802</v>
      </c>
      <c r="AI7206">
        <v>93.222903921335899</v>
      </c>
      <c r="AJ7206">
        <v>79.579622336684395</v>
      </c>
      <c r="AK7206">
        <v>19.744987501688499</v>
      </c>
      <c r="AL7206">
        <v>90.381297688755097</v>
      </c>
      <c r="AM7206">
        <v>85.694077514170601</v>
      </c>
      <c r="AN7206">
        <v>1.00000000339117</v>
      </c>
    </row>
    <row r="7207" spans="1:40" x14ac:dyDescent="0.25">
      <c r="A7207" t="str">
        <f>"20190312161458880"</f>
        <v>20190312161458880</v>
      </c>
      <c r="B7207" t="str">
        <f>"1552378498874044"</f>
        <v>1552378498874044</v>
      </c>
      <c r="C7207" t="s">
        <v>40</v>
      </c>
      <c r="D7207">
        <v>5.1113439999999999</v>
      </c>
      <c r="E7207">
        <v>0.53983059999999905</v>
      </c>
      <c r="F7207" t="s">
        <v>42</v>
      </c>
      <c r="G7207">
        <v>-182.84270000000001</v>
      </c>
      <c r="H7207" s="1">
        <v>-2.729681E-6</v>
      </c>
      <c r="I7207">
        <v>112.0732</v>
      </c>
      <c r="J7207">
        <v>-186.60079999999999</v>
      </c>
      <c r="K7207">
        <v>1.1100719999999999</v>
      </c>
      <c r="L7207">
        <v>92.479029999999995</v>
      </c>
      <c r="M7207">
        <v>6.3481469999999898E-3</v>
      </c>
      <c r="N7207">
        <v>0</v>
      </c>
      <c r="O7207">
        <v>0.99987870000000001</v>
      </c>
      <c r="P7207">
        <v>8.2322359999999997E-2</v>
      </c>
      <c r="Q7207">
        <v>-2.1201379999999999E-2</v>
      </c>
      <c r="R7207">
        <v>0.99638020000000005</v>
      </c>
      <c r="S7207">
        <v>0.56010439999999995</v>
      </c>
      <c r="T7207">
        <v>-0.16536129999999999</v>
      </c>
      <c r="U7207">
        <v>2.9614560000000001</v>
      </c>
      <c r="V7207">
        <v>7.5992729999999994E-2</v>
      </c>
      <c r="W7207">
        <v>-7.044402E-3</v>
      </c>
      <c r="X7207">
        <v>0.99708350000000001</v>
      </c>
      <c r="Y7207">
        <v>0.17931559999999999</v>
      </c>
      <c r="Z7207">
        <v>-5.4813140000000003E-2</v>
      </c>
      <c r="AA7207">
        <v>0.98226340000000001</v>
      </c>
      <c r="AB7207">
        <v>30</v>
      </c>
      <c r="AC7207">
        <v>3.7580999999999798</v>
      </c>
      <c r="AD7207">
        <v>-1.1100747296809901</v>
      </c>
      <c r="AE7207">
        <v>19.594169999999899</v>
      </c>
      <c r="AF7207">
        <v>3.6224110386751498</v>
      </c>
      <c r="AG7207">
        <v>-1.1100747296809901</v>
      </c>
      <c r="AH7207">
        <v>19.557091226632501</v>
      </c>
      <c r="AI7207">
        <v>93.194445351246003</v>
      </c>
      <c r="AJ7207">
        <v>79.506462397435996</v>
      </c>
      <c r="AK7207">
        <v>19.9206913756882</v>
      </c>
      <c r="AL7207">
        <v>90.403617837040599</v>
      </c>
      <c r="AM7207">
        <v>85.641627364381606</v>
      </c>
      <c r="AN7207">
        <v>1.0000000122923201</v>
      </c>
    </row>
    <row r="7208" spans="1:40" x14ac:dyDescent="0.25">
      <c r="A7208" t="str">
        <f>"20190312161458903"</f>
        <v>20190312161458903</v>
      </c>
      <c r="B7208" t="str">
        <f>"1552378498894137"</f>
        <v>1552378498894137</v>
      </c>
      <c r="C7208" t="s">
        <v>40</v>
      </c>
      <c r="D7208">
        <v>5.104609</v>
      </c>
      <c r="E7208">
        <v>0.5396879</v>
      </c>
      <c r="F7208" t="s">
        <v>42</v>
      </c>
      <c r="G7208">
        <v>-182.78460000000001</v>
      </c>
      <c r="H7208" s="1">
        <v>-2.9114670000000001E-6</v>
      </c>
      <c r="I7208">
        <v>112.562</v>
      </c>
      <c r="J7208">
        <v>-186.59870000000001</v>
      </c>
      <c r="K7208">
        <v>1.1100650000000001</v>
      </c>
      <c r="L7208">
        <v>92.779139999999998</v>
      </c>
      <c r="M7208">
        <v>6.4852659999999999E-3</v>
      </c>
      <c r="N7208">
        <v>0</v>
      </c>
      <c r="O7208">
        <v>0.99987789999999999</v>
      </c>
      <c r="P7208">
        <v>8.3628040000000001E-2</v>
      </c>
      <c r="Q7208">
        <v>-2.1385959999999999E-2</v>
      </c>
      <c r="R7208">
        <v>0.99626760000000003</v>
      </c>
      <c r="S7208">
        <v>0.56263730000000001</v>
      </c>
      <c r="T7208">
        <v>-0.16366420000000001</v>
      </c>
      <c r="U7208">
        <v>2.9609380000000001</v>
      </c>
      <c r="V7208">
        <v>7.7162369999999994E-2</v>
      </c>
      <c r="W7208">
        <v>-7.2338009999999998E-3</v>
      </c>
      <c r="X7208">
        <v>0.99699230000000005</v>
      </c>
      <c r="Y7208">
        <v>0.18002889999999999</v>
      </c>
      <c r="Z7208">
        <v>-5.4253700000000002E-2</v>
      </c>
      <c r="AA7208">
        <v>0.98216400000000004</v>
      </c>
      <c r="AB7208">
        <v>30</v>
      </c>
      <c r="AC7208">
        <v>3.8140999999999901</v>
      </c>
      <c r="AD7208">
        <v>-1.11006791146699</v>
      </c>
      <c r="AE7208">
        <v>19.782859999999999</v>
      </c>
      <c r="AF7208">
        <v>3.6745545526737402</v>
      </c>
      <c r="AG7208">
        <v>-1.11006791146699</v>
      </c>
      <c r="AH7208">
        <v>19.747233557424298</v>
      </c>
      <c r="AI7208">
        <v>93.163244437491301</v>
      </c>
      <c r="AJ7208">
        <v>79.458991648273795</v>
      </c>
      <c r="AK7208">
        <v>20.116854503130199</v>
      </c>
      <c r="AL7208">
        <v>90.414469880776906</v>
      </c>
      <c r="AM7208">
        <v>85.574406847806102</v>
      </c>
      <c r="AN7208">
        <v>1.0000000027400999</v>
      </c>
    </row>
    <row r="7209" spans="1:40" x14ac:dyDescent="0.25">
      <c r="A7209" t="str">
        <f>"20190312161458927"</f>
        <v>20190312161458927</v>
      </c>
      <c r="B7209" t="str">
        <f>"1552378498913656"</f>
        <v>1552378498913656</v>
      </c>
      <c r="C7209" t="s">
        <v>40</v>
      </c>
      <c r="D7209">
        <v>5.3619389999999996</v>
      </c>
      <c r="E7209">
        <v>0.53954290000000005</v>
      </c>
      <c r="F7209" t="s">
        <v>42</v>
      </c>
      <c r="G7209">
        <v>-182.6815</v>
      </c>
      <c r="H7209" s="1">
        <v>-3.1861409999999999E-6</v>
      </c>
      <c r="I7209">
        <v>113.2886</v>
      </c>
      <c r="J7209">
        <v>-186.59649999999999</v>
      </c>
      <c r="K7209">
        <v>1.110066</v>
      </c>
      <c r="L7209">
        <v>93.088989999999995</v>
      </c>
      <c r="M7209">
        <v>6.6266509999999999E-3</v>
      </c>
      <c r="N7209">
        <v>0</v>
      </c>
      <c r="O7209">
        <v>0.99987700000000002</v>
      </c>
      <c r="P7209">
        <v>8.4974869999999994E-2</v>
      </c>
      <c r="Q7209">
        <v>-2.1713820000000002E-2</v>
      </c>
      <c r="R7209">
        <v>0.99614639999999999</v>
      </c>
      <c r="S7209">
        <v>0.56541439999999998</v>
      </c>
      <c r="T7209">
        <v>-0.1602287</v>
      </c>
      <c r="U7209">
        <v>2.9603579999999998</v>
      </c>
      <c r="V7209">
        <v>7.836891E-2</v>
      </c>
      <c r="W7209">
        <v>-7.5666619999999896E-3</v>
      </c>
      <c r="X7209">
        <v>0.99689570000000005</v>
      </c>
      <c r="Y7209">
        <v>0.1808256</v>
      </c>
      <c r="Z7209">
        <v>-5.311975E-2</v>
      </c>
      <c r="AA7209">
        <v>0.98207960000000005</v>
      </c>
      <c r="AB7209">
        <v>29</v>
      </c>
      <c r="AC7209">
        <v>3.9149999999999898</v>
      </c>
      <c r="AD7209">
        <v>-1.1100691861409999</v>
      </c>
      <c r="AE7209">
        <v>20.19961</v>
      </c>
      <c r="AF7209">
        <v>3.77007114487684</v>
      </c>
      <c r="AG7209">
        <v>-1.1100691861409999</v>
      </c>
      <c r="AH7209">
        <v>20.166413764251601</v>
      </c>
      <c r="AI7209">
        <v>93.097142054534601</v>
      </c>
      <c r="AJ7209">
        <v>79.410899747411307</v>
      </c>
      <c r="AK7209">
        <v>20.545800888416299</v>
      </c>
      <c r="AL7209">
        <v>90.433541939660401</v>
      </c>
      <c r="AM7209">
        <v>85.505054225645495</v>
      </c>
      <c r="AN7209">
        <v>0.99999998855344996</v>
      </c>
    </row>
    <row r="7210" spans="1:40" x14ac:dyDescent="0.25">
      <c r="A7210" t="str">
        <f>"20190312161458947"</f>
        <v>20190312161458947</v>
      </c>
      <c r="B7210" t="str">
        <f>"1552378498943913"</f>
        <v>1552378498943913</v>
      </c>
      <c r="C7210" t="s">
        <v>40</v>
      </c>
      <c r="D7210">
        <v>5.4096630000000001</v>
      </c>
      <c r="E7210">
        <v>0.53756669999999995</v>
      </c>
      <c r="F7210" t="s">
        <v>42</v>
      </c>
      <c r="G7210">
        <v>-182.71080000000001</v>
      </c>
      <c r="H7210" s="1">
        <v>-3.1924550000000002E-6</v>
      </c>
      <c r="I7210">
        <v>113.33</v>
      </c>
      <c r="J7210">
        <v>-186.59469999999999</v>
      </c>
      <c r="K7210">
        <v>1.1100639999999999</v>
      </c>
      <c r="L7210">
        <v>93.356930000000006</v>
      </c>
      <c r="M7210">
        <v>6.7488299999999999E-3</v>
      </c>
      <c r="N7210">
        <v>0</v>
      </c>
      <c r="O7210">
        <v>0.99987619999999999</v>
      </c>
      <c r="P7210">
        <v>8.5989759999999998E-2</v>
      </c>
      <c r="Q7210">
        <v>-2.1893220000000001E-2</v>
      </c>
      <c r="R7210">
        <v>0.99605540000000004</v>
      </c>
      <c r="S7210">
        <v>0.56816099999999903</v>
      </c>
      <c r="T7210">
        <v>-0.1623117</v>
      </c>
      <c r="U7210">
        <v>2.9595950000000002</v>
      </c>
      <c r="V7210">
        <v>7.9262559999999996E-2</v>
      </c>
      <c r="W7210">
        <v>-7.75014E-3</v>
      </c>
      <c r="X7210">
        <v>0.99682369999999998</v>
      </c>
      <c r="Y7210">
        <v>0.18162420000000001</v>
      </c>
      <c r="Z7210">
        <v>-5.381317E-2</v>
      </c>
      <c r="AA7210">
        <v>0.9818945</v>
      </c>
      <c r="AB7210">
        <v>29</v>
      </c>
      <c r="AC7210">
        <v>3.8838999999999801</v>
      </c>
      <c r="AD7210">
        <v>-1.1100671924550001</v>
      </c>
      <c r="AE7210">
        <v>19.97307</v>
      </c>
      <c r="AF7210">
        <v>3.7378776834138301</v>
      </c>
      <c r="AG7210">
        <v>-1.1100671924550001</v>
      </c>
      <c r="AH7210">
        <v>19.939481837993501</v>
      </c>
      <c r="AI7210">
        <v>93.132025227158294</v>
      </c>
      <c r="AJ7210">
        <v>79.382496504235604</v>
      </c>
      <c r="AK7210">
        <v>20.3171581358122</v>
      </c>
      <c r="AL7210">
        <v>90.444054734294298</v>
      </c>
      <c r="AM7210">
        <v>85.453684486803795</v>
      </c>
      <c r="AN7210">
        <v>1.00000005348473</v>
      </c>
    </row>
    <row r="7211" spans="1:40" x14ac:dyDescent="0.25">
      <c r="A7211" t="str">
        <f>"20190312161458970"</f>
        <v>20190312161458970</v>
      </c>
      <c r="B7211" t="str">
        <f>"1552378498964408"</f>
        <v>1552378498964408</v>
      </c>
      <c r="C7211" t="s">
        <v>40</v>
      </c>
      <c r="D7211">
        <v>5.2384409999999999</v>
      </c>
      <c r="E7211">
        <v>0.53802399999999995</v>
      </c>
      <c r="F7211" t="s">
        <v>43</v>
      </c>
      <c r="G7211">
        <v>-186.46430000000001</v>
      </c>
      <c r="H7211">
        <v>0.95827090000000004</v>
      </c>
      <c r="I7211">
        <v>94.055909999999997</v>
      </c>
      <c r="J7211">
        <v>-186.5925</v>
      </c>
      <c r="K7211">
        <v>1.1100639999999999</v>
      </c>
      <c r="L7211">
        <v>93.651060000000001</v>
      </c>
      <c r="M7211">
        <v>6.8829599999999996E-3</v>
      </c>
      <c r="N7211">
        <v>0</v>
      </c>
      <c r="O7211">
        <v>0.99987539999999997</v>
      </c>
      <c r="P7211">
        <v>8.6929380000000001E-2</v>
      </c>
      <c r="Q7211">
        <v>-2.2193480000000002E-2</v>
      </c>
      <c r="R7211">
        <v>0.99596719999999905</v>
      </c>
      <c r="S7211">
        <v>0.55033869999999996</v>
      </c>
      <c r="T7211">
        <v>-0.64071940000000005</v>
      </c>
      <c r="U7211">
        <v>2.9502869999999999</v>
      </c>
      <c r="V7211">
        <v>8.0069009999999996E-2</v>
      </c>
      <c r="W7211">
        <v>-8.0545310000000002E-3</v>
      </c>
      <c r="X7211">
        <v>0.9967568</v>
      </c>
      <c r="Y7211">
        <v>0.17255809999999999</v>
      </c>
      <c r="Z7211">
        <v>-0.20890600000000001</v>
      </c>
      <c r="AA7211">
        <v>0.96259130000000004</v>
      </c>
      <c r="AB7211">
        <v>29</v>
      </c>
      <c r="AC7211">
        <v>0.12819999999999199</v>
      </c>
      <c r="AD7211">
        <v>-0.15179309999999899</v>
      </c>
      <c r="AE7211">
        <v>0.40484999999999599</v>
      </c>
      <c r="AF7211">
        <v>0.11120225790320699</v>
      </c>
      <c r="AG7211">
        <v>-0.15179309999999899</v>
      </c>
      <c r="AH7211">
        <v>0.35975807633692902</v>
      </c>
      <c r="AI7211">
        <v>111.954988124393</v>
      </c>
      <c r="AJ7211">
        <v>72.823470257973597</v>
      </c>
      <c r="AK7211">
        <v>0.40599625719953297</v>
      </c>
      <c r="AL7211">
        <v>90.461495613035297</v>
      </c>
      <c r="AM7211">
        <v>85.407318351624795</v>
      </c>
      <c r="AN7211">
        <v>1.0000000200891199</v>
      </c>
    </row>
    <row r="7212" spans="1:40" x14ac:dyDescent="0.25">
      <c r="A7212" t="str">
        <f>"20190312161458992"</f>
        <v>20190312161458992</v>
      </c>
      <c r="B7212" t="str">
        <f>"1552378498983929"</f>
        <v>1552378498983929</v>
      </c>
      <c r="C7212" t="s">
        <v>40</v>
      </c>
      <c r="D7212">
        <v>5.2222379999999999</v>
      </c>
      <c r="E7212">
        <v>0.53828969999999998</v>
      </c>
      <c r="F7212" t="s">
        <v>43</v>
      </c>
      <c r="G7212">
        <v>-186.42089999999999</v>
      </c>
      <c r="H7212">
        <v>0.9089526</v>
      </c>
      <c r="I7212">
        <v>94.559550000000002</v>
      </c>
      <c r="J7212">
        <v>-186.59030000000001</v>
      </c>
      <c r="K7212">
        <v>1.110069</v>
      </c>
      <c r="L7212">
        <v>93.947689999999994</v>
      </c>
      <c r="M7212">
        <v>7.0182459999999997E-3</v>
      </c>
      <c r="N7212">
        <v>0</v>
      </c>
      <c r="O7212">
        <v>0.9998745</v>
      </c>
      <c r="P7212">
        <v>8.7551299999999999E-2</v>
      </c>
      <c r="Q7212">
        <v>-2.260127E-2</v>
      </c>
      <c r="R7212">
        <v>0.9959036</v>
      </c>
      <c r="S7212">
        <v>0.55700680000000002</v>
      </c>
      <c r="T7212">
        <v>-0.65281750000000005</v>
      </c>
      <c r="U7212">
        <v>2.9489749999999999</v>
      </c>
      <c r="V7212">
        <v>8.0556390000000005E-2</v>
      </c>
      <c r="W7212">
        <v>-8.4660320000000001E-3</v>
      </c>
      <c r="X7212">
        <v>0.99671410000000005</v>
      </c>
      <c r="Y7212">
        <v>0.1744532</v>
      </c>
      <c r="Z7212">
        <v>-0.2126818</v>
      </c>
      <c r="AA7212">
        <v>0.96142209999999995</v>
      </c>
      <c r="AB7212">
        <v>29</v>
      </c>
      <c r="AC7212">
        <v>0.169400000000024</v>
      </c>
      <c r="AD7212">
        <v>-0.2011164</v>
      </c>
      <c r="AE7212">
        <v>0.61185999999999297</v>
      </c>
      <c r="AF7212">
        <v>0.15004432512087201</v>
      </c>
      <c r="AG7212">
        <v>-0.2011164</v>
      </c>
      <c r="AH7212">
        <v>0.557126526483678</v>
      </c>
      <c r="AI7212">
        <v>109.21695872414</v>
      </c>
      <c r="AJ7212">
        <v>74.9268399613334</v>
      </c>
      <c r="AK7212">
        <v>0.61102460863839703</v>
      </c>
      <c r="AL7212">
        <v>90.485073696763905</v>
      </c>
      <c r="AM7212">
        <v>85.379286294761499</v>
      </c>
      <c r="AN7212">
        <v>1.00000000140323</v>
      </c>
    </row>
    <row r="7213" spans="1:40" x14ac:dyDescent="0.25">
      <c r="A7213" t="str">
        <f>"20190312161459016"</f>
        <v>20190312161459016</v>
      </c>
      <c r="B7213" t="str">
        <f>"1552378499004424"</f>
        <v>1552378499004424</v>
      </c>
      <c r="C7213" t="s">
        <v>40</v>
      </c>
      <c r="D7213">
        <v>5.1818780000000002</v>
      </c>
      <c r="E7213">
        <v>0.53921019999999997</v>
      </c>
      <c r="F7213" t="s">
        <v>43</v>
      </c>
      <c r="G7213">
        <v>-186.42359999999999</v>
      </c>
      <c r="H7213">
        <v>0.91517950000000003</v>
      </c>
      <c r="I7213">
        <v>94.823880000000003</v>
      </c>
      <c r="J7213">
        <v>-186.58799999999999</v>
      </c>
      <c r="K7213">
        <v>1.110069</v>
      </c>
      <c r="L7213">
        <v>94.249390000000005</v>
      </c>
      <c r="M7213">
        <v>7.1559029999999999E-3</v>
      </c>
      <c r="N7213">
        <v>0</v>
      </c>
      <c r="O7213">
        <v>0.99987349999999997</v>
      </c>
      <c r="P7213">
        <v>8.8364810000000002E-2</v>
      </c>
      <c r="Q7213">
        <v>-2.2783109999999999E-2</v>
      </c>
      <c r="R7213">
        <v>0.99582760000000003</v>
      </c>
      <c r="S7213">
        <v>0.56079100000000004</v>
      </c>
      <c r="T7213">
        <v>-0.65576140000000005</v>
      </c>
      <c r="U7213">
        <v>2.9481809999999999</v>
      </c>
      <c r="V7213">
        <v>8.1233169999999993E-2</v>
      </c>
      <c r="W7213">
        <v>-8.6519089999999993E-3</v>
      </c>
      <c r="X7213">
        <v>0.99665760000000003</v>
      </c>
      <c r="Y7213">
        <v>0.17551839999999999</v>
      </c>
      <c r="Z7213">
        <v>-0.21360560000000001</v>
      </c>
      <c r="AA7213">
        <v>0.96102339999999997</v>
      </c>
      <c r="AB7213">
        <v>29</v>
      </c>
      <c r="AC7213">
        <v>0.16439999999999999</v>
      </c>
      <c r="AD7213">
        <v>-0.19488949999999899</v>
      </c>
      <c r="AE7213">
        <v>0.57448999999999695</v>
      </c>
      <c r="AF7213">
        <v>0.144873829005817</v>
      </c>
      <c r="AG7213">
        <v>-0.19488949999999899</v>
      </c>
      <c r="AH7213">
        <v>0.52030575670739498</v>
      </c>
      <c r="AI7213">
        <v>109.841501440549</v>
      </c>
      <c r="AJ7213">
        <v>74.440681252279802</v>
      </c>
      <c r="AK7213">
        <v>0.57418500851547105</v>
      </c>
      <c r="AL7213">
        <v>90.495724041525406</v>
      </c>
      <c r="AM7213">
        <v>85.340373442380596</v>
      </c>
      <c r="AN7213">
        <v>1.0000000275376699</v>
      </c>
    </row>
    <row r="7214" spans="1:40" x14ac:dyDescent="0.25">
      <c r="A7214" t="str">
        <f>"20190312161459037"</f>
        <v>20190312161459037</v>
      </c>
      <c r="B7214" t="str">
        <f>"1552378499033705"</f>
        <v>1552378499033705</v>
      </c>
      <c r="C7214" t="s">
        <v>40</v>
      </c>
      <c r="D7214">
        <v>5.2953479999999997</v>
      </c>
      <c r="E7214">
        <v>0.54097259999999903</v>
      </c>
      <c r="F7214" t="s">
        <v>43</v>
      </c>
      <c r="G7214">
        <v>-186.4265</v>
      </c>
      <c r="H7214">
        <v>0.91696679999999997</v>
      </c>
      <c r="I7214">
        <v>95.085970000000003</v>
      </c>
      <c r="J7214">
        <v>-186.58590000000001</v>
      </c>
      <c r="K7214">
        <v>1.1100730000000001</v>
      </c>
      <c r="L7214">
        <v>94.531310000000005</v>
      </c>
      <c r="M7214">
        <v>7.2845990000000001E-3</v>
      </c>
      <c r="N7214">
        <v>0</v>
      </c>
      <c r="O7214">
        <v>0.9998726</v>
      </c>
      <c r="P7214">
        <v>8.8915049999999995E-2</v>
      </c>
      <c r="Q7214">
        <v>-2.2624370000000001E-2</v>
      </c>
      <c r="R7214">
        <v>0.99578230000000001</v>
      </c>
      <c r="S7214">
        <v>0.56915280000000001</v>
      </c>
      <c r="T7214">
        <v>-0.68012050000000002</v>
      </c>
      <c r="U7214">
        <v>2.9465029999999999</v>
      </c>
      <c r="V7214">
        <v>8.1655530000000004E-2</v>
      </c>
      <c r="W7214">
        <v>-8.496633E-3</v>
      </c>
      <c r="X7214">
        <v>0.99662439999999997</v>
      </c>
      <c r="Y7214">
        <v>0.17780290000000001</v>
      </c>
      <c r="Z7214">
        <v>-0.2211689</v>
      </c>
      <c r="AA7214">
        <v>0.95889020000000003</v>
      </c>
      <c r="AB7214">
        <v>29</v>
      </c>
      <c r="AC7214">
        <v>0.15940000000000501</v>
      </c>
      <c r="AD7214">
        <v>-0.19310619999999901</v>
      </c>
      <c r="AE7214">
        <v>0.55465999999999804</v>
      </c>
      <c r="AF7214">
        <v>0.13971226269717399</v>
      </c>
      <c r="AG7214">
        <v>-0.19310619999999901</v>
      </c>
      <c r="AH7214">
        <v>0.49984261325224399</v>
      </c>
      <c r="AI7214">
        <v>110.408865328586</v>
      </c>
      <c r="AJ7214">
        <v>74.383657417100196</v>
      </c>
      <c r="AK7214">
        <v>0.553761825019779</v>
      </c>
      <c r="AL7214">
        <v>90.486827065486196</v>
      </c>
      <c r="AM7214">
        <v>85.316098573132194</v>
      </c>
      <c r="AN7214">
        <v>1.0000000065136301</v>
      </c>
    </row>
    <row r="7215" spans="1:40" x14ac:dyDescent="0.25">
      <c r="A7215" t="str">
        <f>"20190312161459060"</f>
        <v>20190312161459060</v>
      </c>
      <c r="B7215" t="str">
        <f>"1552378499054201"</f>
        <v>1552378499054201</v>
      </c>
      <c r="C7215" t="s">
        <v>40</v>
      </c>
      <c r="D7215">
        <v>5.2267999999999999</v>
      </c>
      <c r="E7215">
        <v>0.54148189999999996</v>
      </c>
      <c r="F7215" t="s">
        <v>43</v>
      </c>
      <c r="G7215">
        <v>-186.4238</v>
      </c>
      <c r="H7215">
        <v>0.91782810000000004</v>
      </c>
      <c r="I7215">
        <v>95.3476</v>
      </c>
      <c r="J7215">
        <v>-186.58359999999999</v>
      </c>
      <c r="K7215">
        <v>1.1100650000000001</v>
      </c>
      <c r="L7215">
        <v>94.82208</v>
      </c>
      <c r="M7215">
        <v>7.4174050000000002E-3</v>
      </c>
      <c r="N7215">
        <v>0</v>
      </c>
      <c r="O7215">
        <v>0.99987170000000003</v>
      </c>
      <c r="P7215">
        <v>8.9503719999999995E-2</v>
      </c>
      <c r="Q7215">
        <v>-2.2601799999999998E-2</v>
      </c>
      <c r="R7215">
        <v>0.99573</v>
      </c>
      <c r="S7215">
        <v>0.58444209999999996</v>
      </c>
      <c r="T7215">
        <v>-0.69352199999999997</v>
      </c>
      <c r="U7215">
        <v>2.944763</v>
      </c>
      <c r="V7215">
        <v>8.2112249999999998E-2</v>
      </c>
      <c r="W7215">
        <v>-8.4776699999999997E-3</v>
      </c>
      <c r="X7215">
        <v>0.996587</v>
      </c>
      <c r="Y7215">
        <v>0.18238950000000001</v>
      </c>
      <c r="Z7215">
        <v>-0.2252268</v>
      </c>
      <c r="AA7215">
        <v>0.95708249999999995</v>
      </c>
      <c r="AB7215">
        <v>29</v>
      </c>
      <c r="AC7215">
        <v>0.15979999999998901</v>
      </c>
      <c r="AD7215">
        <v>-0.19223689999999999</v>
      </c>
      <c r="AE7215">
        <v>0.52551999999999999</v>
      </c>
      <c r="AF7215">
        <v>0.138885623176428</v>
      </c>
      <c r="AG7215">
        <v>-0.19223689999999999</v>
      </c>
      <c r="AH7215">
        <v>0.46921814551073299</v>
      </c>
      <c r="AI7215">
        <v>111.447298585271</v>
      </c>
      <c r="AJ7215">
        <v>73.511577261313306</v>
      </c>
      <c r="AK7215">
        <v>0.52574700201070701</v>
      </c>
      <c r="AL7215">
        <v>90.485740543972696</v>
      </c>
      <c r="AM7215">
        <v>85.289841908465107</v>
      </c>
      <c r="AN7215">
        <v>0.99999997052884504</v>
      </c>
    </row>
    <row r="7216" spans="1:40" x14ac:dyDescent="0.25">
      <c r="A7216" t="str">
        <f>"20190312161459082"</f>
        <v>20190312161459082</v>
      </c>
      <c r="B7216" t="str">
        <f>"1552378499073721"</f>
        <v>1552378499073721</v>
      </c>
      <c r="C7216" t="s">
        <v>40</v>
      </c>
      <c r="D7216">
        <v>5.3105159999999998</v>
      </c>
      <c r="E7216">
        <v>0.54017380000000004</v>
      </c>
      <c r="F7216" t="s">
        <v>43</v>
      </c>
      <c r="G7216">
        <v>-186.4255</v>
      </c>
      <c r="H7216">
        <v>0.92193499999999995</v>
      </c>
      <c r="I7216">
        <v>95.610119999999995</v>
      </c>
      <c r="J7216">
        <v>-186.5812</v>
      </c>
      <c r="K7216">
        <v>1.110058</v>
      </c>
      <c r="L7216">
        <v>95.122829999999993</v>
      </c>
      <c r="M7216">
        <v>7.5548709999999899E-3</v>
      </c>
      <c r="N7216">
        <v>0</v>
      </c>
      <c r="O7216">
        <v>0.9998707</v>
      </c>
      <c r="P7216">
        <v>9.0208140000000006E-2</v>
      </c>
      <c r="Q7216">
        <v>-2.3391840000000001E-2</v>
      </c>
      <c r="R7216">
        <v>0.99564819999999998</v>
      </c>
      <c r="S7216">
        <v>0.59036250000000001</v>
      </c>
      <c r="T7216">
        <v>-0.70279499999999995</v>
      </c>
      <c r="U7216">
        <v>2.943848</v>
      </c>
      <c r="V7216">
        <v>8.2680050000000005E-2</v>
      </c>
      <c r="W7216">
        <v>-9.2717949999999993E-3</v>
      </c>
      <c r="X7216">
        <v>0.996533</v>
      </c>
      <c r="Y7216">
        <v>0.1840321</v>
      </c>
      <c r="Z7216">
        <v>-0.2280683</v>
      </c>
      <c r="AA7216">
        <v>0.95609469999999996</v>
      </c>
      <c r="AB7216">
        <v>29</v>
      </c>
      <c r="AC7216">
        <v>0.15569999999999501</v>
      </c>
      <c r="AD7216">
        <v>-0.18812300000000001</v>
      </c>
      <c r="AE7216">
        <v>0.48728999999998701</v>
      </c>
      <c r="AF7216">
        <v>0.133905081829301</v>
      </c>
      <c r="AG7216">
        <v>-0.18812300000000001</v>
      </c>
      <c r="AH7216">
        <v>0.43026544006565198</v>
      </c>
      <c r="AI7216">
        <v>112.659334644544</v>
      </c>
      <c r="AJ7216">
        <v>72.713071903301397</v>
      </c>
      <c r="AK7216">
        <v>0.48831258736960798</v>
      </c>
      <c r="AL7216">
        <v>90.531242339800599</v>
      </c>
      <c r="AM7216">
        <v>85.257163763395297</v>
      </c>
      <c r="AN7216">
        <v>0.99999998846976201</v>
      </c>
    </row>
    <row r="7217" spans="1:40" x14ac:dyDescent="0.25">
      <c r="A7217" t="str">
        <f>"20190312161459104"</f>
        <v>20190312161459104</v>
      </c>
      <c r="B7217" t="str">
        <f>"1552378499094217"</f>
        <v>1552378499094217</v>
      </c>
      <c r="C7217" t="s">
        <v>40</v>
      </c>
      <c r="D7217">
        <v>5.2955589999999999</v>
      </c>
      <c r="E7217">
        <v>0.53915789999999997</v>
      </c>
      <c r="F7217" t="s">
        <v>43</v>
      </c>
      <c r="G7217">
        <v>-186.4323</v>
      </c>
      <c r="H7217">
        <v>0.93346580000000001</v>
      </c>
      <c r="I7217">
        <v>95.875439999999998</v>
      </c>
      <c r="J7217">
        <v>-186.5789</v>
      </c>
      <c r="K7217">
        <v>1.110055</v>
      </c>
      <c r="L7217">
        <v>95.412109999999998</v>
      </c>
      <c r="M7217">
        <v>7.68694699999999E-3</v>
      </c>
      <c r="N7217">
        <v>0</v>
      </c>
      <c r="O7217">
        <v>0.99986980000000003</v>
      </c>
      <c r="P7217">
        <v>9.1430159999999996E-2</v>
      </c>
      <c r="Q7217">
        <v>-2.4017119999999999E-2</v>
      </c>
      <c r="R7217">
        <v>0.99552180000000001</v>
      </c>
      <c r="S7217">
        <v>0.58236690000000002</v>
      </c>
      <c r="T7217">
        <v>-0.69082509999999997</v>
      </c>
      <c r="U7217">
        <v>2.9441220000000001</v>
      </c>
      <c r="V7217">
        <v>8.3771209999999999E-2</v>
      </c>
      <c r="W7217">
        <v>-9.9018309999999998E-3</v>
      </c>
      <c r="X7217">
        <v>0.99643579999999998</v>
      </c>
      <c r="Y7217">
        <v>0.18154899999999999</v>
      </c>
      <c r="Z7217">
        <v>-0.2244728</v>
      </c>
      <c r="AA7217">
        <v>0.95741940000000003</v>
      </c>
      <c r="AB7217">
        <v>29</v>
      </c>
      <c r="AC7217">
        <v>0.146600000000006</v>
      </c>
      <c r="AD7217">
        <v>-0.176589199999999</v>
      </c>
      <c r="AE7217">
        <v>0.46332999999999902</v>
      </c>
      <c r="AF7217">
        <v>0.126350240926249</v>
      </c>
      <c r="AG7217">
        <v>-0.176589199999999</v>
      </c>
      <c r="AH7217">
        <v>0.41027058492364998</v>
      </c>
      <c r="AI7217">
        <v>112.360097530641</v>
      </c>
      <c r="AJ7217">
        <v>72.882838530948902</v>
      </c>
      <c r="AK7217">
        <v>0.464187550234121</v>
      </c>
      <c r="AL7217">
        <v>90.567342406790104</v>
      </c>
      <c r="AM7217">
        <v>85.194395406493697</v>
      </c>
      <c r="AN7217">
        <v>0.99999998270182799</v>
      </c>
    </row>
    <row r="7218" spans="1:40" x14ac:dyDescent="0.25">
      <c r="A7218" t="str">
        <f>"20190312161459129"</f>
        <v>20190312161459129</v>
      </c>
      <c r="B7218" t="str">
        <f>"1552378499124474"</f>
        <v>1552378499124474</v>
      </c>
      <c r="C7218" t="s">
        <v>40</v>
      </c>
      <c r="D7218">
        <v>5.3118679999999996</v>
      </c>
      <c r="E7218">
        <v>0.53964209999999901</v>
      </c>
      <c r="F7218" t="s">
        <v>43</v>
      </c>
      <c r="G7218">
        <v>-186.43620000000001</v>
      </c>
      <c r="H7218">
        <v>0.94178499999999998</v>
      </c>
      <c r="I7218">
        <v>96.139499999999998</v>
      </c>
      <c r="J7218">
        <v>-186.5763</v>
      </c>
      <c r="K7218">
        <v>1.1100509999999999</v>
      </c>
      <c r="L7218">
        <v>95.720789999999994</v>
      </c>
      <c r="M7218">
        <v>7.8280520000000003E-3</v>
      </c>
      <c r="N7218">
        <v>0</v>
      </c>
      <c r="O7218">
        <v>0.99986870000000005</v>
      </c>
      <c r="P7218">
        <v>9.2959E-2</v>
      </c>
      <c r="Q7218">
        <v>-2.4372520000000002E-2</v>
      </c>
      <c r="R7218">
        <v>0.99537160000000002</v>
      </c>
      <c r="S7218">
        <v>0.577179</v>
      </c>
      <c r="T7218">
        <v>-0.68106769999999905</v>
      </c>
      <c r="U7218">
        <v>2.944061</v>
      </c>
      <c r="V7218">
        <v>8.51605E-2</v>
      </c>
      <c r="W7218">
        <v>-1.026261E-2</v>
      </c>
      <c r="X7218">
        <v>0.99631440000000004</v>
      </c>
      <c r="Y7218">
        <v>0.179919</v>
      </c>
      <c r="Z7218">
        <v>-0.22153439999999999</v>
      </c>
      <c r="AA7218">
        <v>0.95841100000000001</v>
      </c>
      <c r="AB7218">
        <v>29</v>
      </c>
      <c r="AC7218">
        <v>0.14009999999998901</v>
      </c>
      <c r="AD7218">
        <v>-0.168266</v>
      </c>
      <c r="AE7218">
        <v>0.41870999999998998</v>
      </c>
      <c r="AF7218">
        <v>0.119466672676892</v>
      </c>
      <c r="AG7218">
        <v>-0.168266</v>
      </c>
      <c r="AH7218">
        <v>0.36655632748653</v>
      </c>
      <c r="AI7218">
        <v>113.57886868838899</v>
      </c>
      <c r="AJ7218">
        <v>71.948367942610901</v>
      </c>
      <c r="AK7218">
        <v>0.420653389213614</v>
      </c>
      <c r="AL7218">
        <v>90.588014557248101</v>
      </c>
      <c r="AM7218">
        <v>85.114487824904202</v>
      </c>
      <c r="AN7218">
        <v>1.00000000778581</v>
      </c>
    </row>
    <row r="7219" spans="1:40" x14ac:dyDescent="0.25">
      <c r="A7219" t="str">
        <f>"20190312161459150"</f>
        <v>20190312161459150</v>
      </c>
      <c r="B7219" t="str">
        <f>"1552378499143993"</f>
        <v>1552378499143993</v>
      </c>
      <c r="C7219" t="s">
        <v>40</v>
      </c>
      <c r="D7219">
        <v>5.1566210000000003</v>
      </c>
      <c r="E7219">
        <v>0.53845390000000004</v>
      </c>
      <c r="F7219" t="s">
        <v>43</v>
      </c>
      <c r="G7219">
        <v>-186.3937</v>
      </c>
      <c r="H7219">
        <v>0.89452849999999995</v>
      </c>
      <c r="I7219">
        <v>96.639889999999994</v>
      </c>
      <c r="J7219">
        <v>-186.57400000000001</v>
      </c>
      <c r="K7219">
        <v>1.1100479999999999</v>
      </c>
      <c r="L7219">
        <v>96.005340000000004</v>
      </c>
      <c r="M7219">
        <v>7.9581859999999904E-3</v>
      </c>
      <c r="N7219">
        <v>0</v>
      </c>
      <c r="O7219">
        <v>0.99986770000000003</v>
      </c>
      <c r="P7219">
        <v>9.4432989999999994E-2</v>
      </c>
      <c r="Q7219">
        <v>-2.4677749999999998E-2</v>
      </c>
      <c r="R7219">
        <v>0.99522529999999998</v>
      </c>
      <c r="S7219">
        <v>0.58486939999999998</v>
      </c>
      <c r="T7219">
        <v>-0.68997549999999996</v>
      </c>
      <c r="U7219">
        <v>2.9424440000000001</v>
      </c>
      <c r="V7219">
        <v>8.6505869999999999E-2</v>
      </c>
      <c r="W7219">
        <v>-1.057291E-2</v>
      </c>
      <c r="X7219">
        <v>0.99619530000000001</v>
      </c>
      <c r="Y7219">
        <v>0.1821777</v>
      </c>
      <c r="Z7219">
        <v>-0.22429869999999999</v>
      </c>
      <c r="AA7219">
        <v>0.95734079999999999</v>
      </c>
      <c r="AB7219">
        <v>29</v>
      </c>
      <c r="AC7219">
        <v>0.180300000000016</v>
      </c>
      <c r="AD7219">
        <v>-0.2155195</v>
      </c>
      <c r="AE7219">
        <v>0.63455000000000406</v>
      </c>
      <c r="AF7219">
        <v>0.158342611190678</v>
      </c>
      <c r="AG7219">
        <v>-0.2155195</v>
      </c>
      <c r="AH7219">
        <v>0.57462962118148297</v>
      </c>
      <c r="AI7219">
        <v>109.87905861841401</v>
      </c>
      <c r="AJ7219">
        <v>74.594138932110994</v>
      </c>
      <c r="AK7219">
        <v>0.63381404129137597</v>
      </c>
      <c r="AL7219">
        <v>90.605794368442503</v>
      </c>
      <c r="AM7219">
        <v>85.037098354925504</v>
      </c>
      <c r="AN7219">
        <v>1.0000000638562001</v>
      </c>
    </row>
    <row r="7220" spans="1:40" x14ac:dyDescent="0.25">
      <c r="A7220" t="str">
        <f>"20190312161459172"</f>
        <v>20190312161459172</v>
      </c>
      <c r="B7220" t="str">
        <f>"1552378499163513"</f>
        <v>1552378499163513</v>
      </c>
      <c r="C7220" t="s">
        <v>40</v>
      </c>
      <c r="D7220">
        <v>5.2025459999999999</v>
      </c>
      <c r="E7220">
        <v>0.53801149999999998</v>
      </c>
      <c r="F7220" t="s">
        <v>43</v>
      </c>
      <c r="G7220">
        <v>-186.3974</v>
      </c>
      <c r="H7220">
        <v>0.8994143</v>
      </c>
      <c r="I7220">
        <v>96.901089999999996</v>
      </c>
      <c r="J7220">
        <v>-186.57159999999999</v>
      </c>
      <c r="K7220">
        <v>1.110058</v>
      </c>
      <c r="L7220">
        <v>96.280429999999996</v>
      </c>
      <c r="M7220">
        <v>8.0840979999999996E-3</v>
      </c>
      <c r="N7220">
        <v>0</v>
      </c>
      <c r="O7220">
        <v>0.9998667</v>
      </c>
      <c r="P7220">
        <v>9.6140909999999996E-2</v>
      </c>
      <c r="Q7220">
        <v>-2.5094680000000001E-2</v>
      </c>
      <c r="R7220">
        <v>0.99505129999999997</v>
      </c>
      <c r="S7220">
        <v>0.57949830000000002</v>
      </c>
      <c r="T7220">
        <v>-0.69187339999999997</v>
      </c>
      <c r="U7220">
        <v>2.9422609999999998</v>
      </c>
      <c r="V7220">
        <v>8.8089589999999995E-2</v>
      </c>
      <c r="W7220">
        <v>-1.099523E-2</v>
      </c>
      <c r="X7220">
        <v>0.99605180000000004</v>
      </c>
      <c r="Y7220">
        <v>0.18035329999999999</v>
      </c>
      <c r="Z7220">
        <v>-0.22497229999999999</v>
      </c>
      <c r="AA7220">
        <v>0.95752820000000005</v>
      </c>
      <c r="AB7220">
        <v>29</v>
      </c>
      <c r="AC7220">
        <v>0.17419999999998401</v>
      </c>
      <c r="AD7220">
        <v>-0.21064369999999999</v>
      </c>
      <c r="AE7220">
        <v>0.620659999999986</v>
      </c>
      <c r="AF7220">
        <v>0.15285558535122501</v>
      </c>
      <c r="AG7220">
        <v>-0.21064369999999999</v>
      </c>
      <c r="AH7220">
        <v>0.56203802271508196</v>
      </c>
      <c r="AI7220">
        <v>109.88248479101</v>
      </c>
      <c r="AJ7220">
        <v>74.785453706785603</v>
      </c>
      <c r="AK7220">
        <v>0.61937253515169199</v>
      </c>
      <c r="AL7220">
        <v>90.629993012395502</v>
      </c>
      <c r="AM7220">
        <v>84.9459812371868</v>
      </c>
      <c r="AN7220">
        <v>0.99999992961617801</v>
      </c>
    </row>
    <row r="7221" spans="1:40" x14ac:dyDescent="0.25">
      <c r="A7221" t="str">
        <f>"20190312161459195"</f>
        <v>20190312161459195</v>
      </c>
      <c r="B7221" t="str">
        <f>"1552378499184009"</f>
        <v>1552378499184009</v>
      </c>
      <c r="C7221" t="s">
        <v>40</v>
      </c>
      <c r="D7221">
        <v>5.317259</v>
      </c>
      <c r="E7221">
        <v>0.53698059999999903</v>
      </c>
      <c r="F7221" t="s">
        <v>43</v>
      </c>
      <c r="G7221">
        <v>-186.39760000000001</v>
      </c>
      <c r="H7221">
        <v>0.90285590000000004</v>
      </c>
      <c r="I7221">
        <v>97.161529999999999</v>
      </c>
      <c r="J7221">
        <v>-186.56899999999999</v>
      </c>
      <c r="K7221">
        <v>1.1100620000000001</v>
      </c>
      <c r="L7221">
        <v>96.583830000000006</v>
      </c>
      <c r="M7221">
        <v>8.2232369999999996E-3</v>
      </c>
      <c r="N7221">
        <v>0</v>
      </c>
      <c r="O7221">
        <v>0.99986569999999997</v>
      </c>
      <c r="P7221">
        <v>9.8871290000000001E-2</v>
      </c>
      <c r="Q7221">
        <v>-2.5156379999999999E-2</v>
      </c>
      <c r="R7221">
        <v>0.99478219999999995</v>
      </c>
      <c r="S7221">
        <v>0.58105469999999904</v>
      </c>
      <c r="T7221">
        <v>-0.69167509999999999</v>
      </c>
      <c r="U7221">
        <v>2.9413149999999999</v>
      </c>
      <c r="V7221">
        <v>9.06835E-2</v>
      </c>
      <c r="W7221">
        <v>-1.106414E-2</v>
      </c>
      <c r="X7221">
        <v>0.99581830000000005</v>
      </c>
      <c r="Y7221">
        <v>0.18076329999999999</v>
      </c>
      <c r="Z7221">
        <v>-0.22495870000000001</v>
      </c>
      <c r="AA7221">
        <v>0.95745400000000003</v>
      </c>
      <c r="AB7221">
        <v>29</v>
      </c>
      <c r="AC7221">
        <v>0.17140000000000499</v>
      </c>
      <c r="AD7221">
        <v>-0.207206099999999</v>
      </c>
      <c r="AE7221">
        <v>0.577699999999992</v>
      </c>
      <c r="AF7221">
        <v>0.14902285537759899</v>
      </c>
      <c r="AG7221">
        <v>-0.207206099999999</v>
      </c>
      <c r="AH7221">
        <v>0.51785896464025005</v>
      </c>
      <c r="AI7221">
        <v>111.032572172069</v>
      </c>
      <c r="AJ7221">
        <v>73.945913895353002</v>
      </c>
      <c r="AK7221">
        <v>0.57733879703374802</v>
      </c>
      <c r="AL7221">
        <v>90.6339414607246</v>
      </c>
      <c r="AM7221">
        <v>84.796751077450494</v>
      </c>
      <c r="AN7221">
        <v>0.99999999949053897</v>
      </c>
    </row>
    <row r="7222" spans="1:40" x14ac:dyDescent="0.25">
      <c r="A7222" t="str">
        <f>"20190312161459216"</f>
        <v>20190312161459216</v>
      </c>
      <c r="B7222" t="str">
        <f>"1552378499203530"</f>
        <v>1552378499203530</v>
      </c>
      <c r="C7222" t="s">
        <v>40</v>
      </c>
      <c r="D7222">
        <v>5.347556</v>
      </c>
      <c r="E7222">
        <v>0.53601869999999996</v>
      </c>
      <c r="F7222" t="s">
        <v>43</v>
      </c>
      <c r="G7222">
        <v>-186.40280000000001</v>
      </c>
      <c r="H7222">
        <v>0.91421129999999995</v>
      </c>
      <c r="I7222">
        <v>97.424840000000003</v>
      </c>
      <c r="J7222">
        <v>-186.56659999999999</v>
      </c>
      <c r="K7222">
        <v>1.11006</v>
      </c>
      <c r="L7222">
        <v>96.856750000000005</v>
      </c>
      <c r="M7222">
        <v>8.3482739999999993E-3</v>
      </c>
      <c r="N7222">
        <v>0</v>
      </c>
      <c r="O7222">
        <v>0.99986459999999999</v>
      </c>
      <c r="P7222">
        <v>0.1035894</v>
      </c>
      <c r="Q7222">
        <v>-2.5333020000000001E-2</v>
      </c>
      <c r="R7222">
        <v>0.99429749999999995</v>
      </c>
      <c r="S7222">
        <v>0.58064269999999996</v>
      </c>
      <c r="T7222">
        <v>-0.68481700000000001</v>
      </c>
      <c r="U7222">
        <v>2.9407040000000002</v>
      </c>
      <c r="V7222">
        <v>9.5280950000000003E-2</v>
      </c>
      <c r="W7222">
        <v>-1.125115E-2</v>
      </c>
      <c r="X7222">
        <v>0.99538680000000002</v>
      </c>
      <c r="Y7222">
        <v>0.1806412</v>
      </c>
      <c r="Z7222">
        <v>-0.22288949999999999</v>
      </c>
      <c r="AA7222">
        <v>0.9579609</v>
      </c>
      <c r="AB7222">
        <v>29</v>
      </c>
      <c r="AC7222">
        <v>0.16379999999997999</v>
      </c>
      <c r="AD7222">
        <v>-0.19584869999999899</v>
      </c>
      <c r="AE7222">
        <v>0.56808999999999699</v>
      </c>
      <c r="AF7222">
        <v>0.14332432322760599</v>
      </c>
      <c r="AG7222">
        <v>-0.19584869999999899</v>
      </c>
      <c r="AH7222">
        <v>0.51313201671507702</v>
      </c>
      <c r="AI7222">
        <v>110.183579421508</v>
      </c>
      <c r="AJ7222">
        <v>74.394273010910297</v>
      </c>
      <c r="AK7222">
        <v>0.56762931698285601</v>
      </c>
      <c r="AL7222">
        <v>90.644657033920296</v>
      </c>
      <c r="AM7222">
        <v>84.532162244861695</v>
      </c>
      <c r="AN7222">
        <v>0.99999996471173103</v>
      </c>
    </row>
    <row r="7223" spans="1:40" x14ac:dyDescent="0.25">
      <c r="A7223" t="str">
        <f>"20190312161459248"</f>
        <v>20190312161459248</v>
      </c>
      <c r="B7223" t="str">
        <f>"1552378499243546"</f>
        <v>1552378499243546</v>
      </c>
      <c r="C7223" t="s">
        <v>40</v>
      </c>
      <c r="D7223">
        <v>5.2383100000000002</v>
      </c>
      <c r="E7223">
        <v>0.53512950000000004</v>
      </c>
      <c r="F7223" t="s">
        <v>43</v>
      </c>
      <c r="G7223">
        <v>-186.40110000000001</v>
      </c>
      <c r="H7223">
        <v>0.91943109999999995</v>
      </c>
      <c r="I7223">
        <v>97.685519999999997</v>
      </c>
      <c r="J7223">
        <v>-186.56290000000001</v>
      </c>
      <c r="K7223">
        <v>1.110061</v>
      </c>
      <c r="L7223">
        <v>97.270390000000006</v>
      </c>
      <c r="M7223">
        <v>8.5374960000000003E-3</v>
      </c>
      <c r="N7223">
        <v>0</v>
      </c>
      <c r="O7223">
        <v>0.9998631</v>
      </c>
      <c r="P7223">
        <v>0.1090227</v>
      </c>
      <c r="Q7223">
        <v>-2.6013979999999999E-2</v>
      </c>
      <c r="R7223">
        <v>0.99369879999999999</v>
      </c>
      <c r="S7223">
        <v>0.586563099999999</v>
      </c>
      <c r="T7223">
        <v>-0.67598199999999997</v>
      </c>
      <c r="U7223">
        <v>2.9388730000000001</v>
      </c>
      <c r="V7223">
        <v>0.1005307</v>
      </c>
      <c r="W7223">
        <v>-1.1945539999999999E-2</v>
      </c>
      <c r="X7223">
        <v>0.99486229999999998</v>
      </c>
      <c r="Y7223">
        <v>0.1825444</v>
      </c>
      <c r="Z7223">
        <v>-0.22020419999999999</v>
      </c>
      <c r="AA7223">
        <v>0.95822110000000005</v>
      </c>
      <c r="AB7223">
        <v>29</v>
      </c>
      <c r="AC7223">
        <v>0.161799999999999</v>
      </c>
      <c r="AD7223">
        <v>-0.19062989999999999</v>
      </c>
      <c r="AE7223">
        <v>0.41512999999999001</v>
      </c>
      <c r="AF7223">
        <v>0.133762862517248</v>
      </c>
      <c r="AG7223">
        <v>-0.19062989999999999</v>
      </c>
      <c r="AH7223">
        <v>0.35204989976613998</v>
      </c>
      <c r="AI7223">
        <v>116.847593241197</v>
      </c>
      <c r="AJ7223">
        <v>69.195498571800997</v>
      </c>
      <c r="AK7223">
        <v>0.42210353479705398</v>
      </c>
      <c r="AL7223">
        <v>90.684445265734695</v>
      </c>
      <c r="AM7223">
        <v>84.229855876352204</v>
      </c>
      <c r="AN7223">
        <v>1.0000000567648299</v>
      </c>
    </row>
    <row r="7224" spans="1:40" x14ac:dyDescent="0.25">
      <c r="A7224" t="str">
        <f>"20190312161459272"</f>
        <v>20190312161459272</v>
      </c>
      <c r="B7224" t="str">
        <f>"1552378499264042"</f>
        <v>1552378499264042</v>
      </c>
      <c r="C7224" t="s">
        <v>40</v>
      </c>
      <c r="D7224">
        <v>5.1164670000000001</v>
      </c>
      <c r="E7224">
        <v>0.54404569999999997</v>
      </c>
      <c r="F7224" t="s">
        <v>43</v>
      </c>
      <c r="G7224">
        <v>-186.42330000000001</v>
      </c>
      <c r="H7224">
        <v>0.95442300000000002</v>
      </c>
      <c r="I7224">
        <v>97.958820000000003</v>
      </c>
      <c r="J7224">
        <v>-186.56010000000001</v>
      </c>
      <c r="K7224">
        <v>1.11006</v>
      </c>
      <c r="L7224">
        <v>97.573670000000007</v>
      </c>
      <c r="M7224">
        <v>8.6762799999999998E-3</v>
      </c>
      <c r="N7224">
        <v>0</v>
      </c>
      <c r="O7224">
        <v>0.99986200000000003</v>
      </c>
      <c r="P7224">
        <v>0.1129974</v>
      </c>
      <c r="Q7224">
        <v>-2.6220759999999999E-2</v>
      </c>
      <c r="R7224">
        <v>0.99324920000000005</v>
      </c>
      <c r="S7224">
        <v>0.59477230000000003</v>
      </c>
      <c r="T7224">
        <v>-0.66387119999999999</v>
      </c>
      <c r="U7224">
        <v>2.936401</v>
      </c>
      <c r="V7224">
        <v>0.10437100000000001</v>
      </c>
      <c r="W7224">
        <v>-1.2162310000000001E-2</v>
      </c>
      <c r="X7224">
        <v>0.99446400000000001</v>
      </c>
      <c r="Y7224">
        <v>0.1853012</v>
      </c>
      <c r="Z7224">
        <v>-0.2165058</v>
      </c>
      <c r="AA7224">
        <v>0.95853469999999996</v>
      </c>
      <c r="AB7224">
        <v>29</v>
      </c>
      <c r="AC7224">
        <v>0.13679999999999301</v>
      </c>
      <c r="AD7224">
        <v>-0.155637</v>
      </c>
      <c r="AE7224">
        <v>0.385149999999995</v>
      </c>
      <c r="AF7224">
        <v>0.116552742739927</v>
      </c>
      <c r="AG7224">
        <v>-0.155637</v>
      </c>
      <c r="AH7224">
        <v>0.33739970766968103</v>
      </c>
      <c r="AI7224">
        <v>113.557311430455</v>
      </c>
      <c r="AJ7224">
        <v>70.942829499716595</v>
      </c>
      <c r="AK7224">
        <v>0.38941748849375801</v>
      </c>
      <c r="AL7224">
        <v>90.696866256785398</v>
      </c>
      <c r="AM7224">
        <v>84.008626458264004</v>
      </c>
      <c r="AN7224">
        <v>0.99999993736076598</v>
      </c>
    </row>
    <row r="7225" spans="1:40" x14ac:dyDescent="0.25">
      <c r="A7225" t="str">
        <f>"20190312161459296"</f>
        <v>20190312161459296</v>
      </c>
      <c r="B7225" t="str">
        <f>"1552378499283563"</f>
        <v>1552378499283563</v>
      </c>
      <c r="C7225" t="s">
        <v>40</v>
      </c>
      <c r="D7225">
        <v>5.1164849999999999</v>
      </c>
      <c r="E7225">
        <v>0.54367559999999904</v>
      </c>
      <c r="F7225" t="s">
        <v>42</v>
      </c>
      <c r="G7225">
        <v>-182.84100000000001</v>
      </c>
      <c r="H7225" s="1">
        <v>-3.2195880000000001E-6</v>
      </c>
      <c r="I7225">
        <v>113.5116</v>
      </c>
      <c r="J7225">
        <v>-186.5573</v>
      </c>
      <c r="K7225">
        <v>1.1100589999999999</v>
      </c>
      <c r="L7225">
        <v>97.881529999999998</v>
      </c>
      <c r="M7225">
        <v>8.8172500000000004E-3</v>
      </c>
      <c r="N7225">
        <v>0</v>
      </c>
      <c r="O7225">
        <v>0.99986079999999999</v>
      </c>
      <c r="P7225">
        <v>0.1172358</v>
      </c>
      <c r="Q7225">
        <v>-2.6465510000000001E-2</v>
      </c>
      <c r="R7225">
        <v>0.99275139999999995</v>
      </c>
      <c r="S7225">
        <v>0.68534849999999903</v>
      </c>
      <c r="T7225">
        <v>-0.20456089999999999</v>
      </c>
      <c r="U7225">
        <v>2.9370120000000002</v>
      </c>
      <c r="V7225">
        <v>0.1084734</v>
      </c>
      <c r="W7225">
        <v>-1.241772E-2</v>
      </c>
      <c r="X7225">
        <v>0.99402179999999996</v>
      </c>
      <c r="Y7225">
        <v>0.21812609999999999</v>
      </c>
      <c r="Z7225">
        <v>-6.7734989999999995E-2</v>
      </c>
      <c r="AA7225">
        <v>0.97356710000000002</v>
      </c>
      <c r="AB7225">
        <v>29</v>
      </c>
      <c r="AC7225">
        <v>3.7163000000000102</v>
      </c>
      <c r="AD7225">
        <v>-1.1100622195880001</v>
      </c>
      <c r="AE7225">
        <v>15.63007</v>
      </c>
      <c r="AF7225">
        <v>3.5613253875391702</v>
      </c>
      <c r="AG7225">
        <v>-1.1100622195880001</v>
      </c>
      <c r="AH7225">
        <v>15.5878156218182</v>
      </c>
      <c r="AI7225">
        <v>93.971364084916004</v>
      </c>
      <c r="AJ7225">
        <v>77.130601262649094</v>
      </c>
      <c r="AK7225">
        <v>16.0279528482925</v>
      </c>
      <c r="AL7225">
        <v>90.711501227426098</v>
      </c>
      <c r="AM7225">
        <v>83.772196727536098</v>
      </c>
      <c r="AN7225">
        <v>1.00000000857639</v>
      </c>
    </row>
    <row r="7226" spans="1:40" x14ac:dyDescent="0.25">
      <c r="A7226" t="str">
        <f>"20190312161459316"</f>
        <v>20190312161459316</v>
      </c>
      <c r="B7226" t="str">
        <f>"1552378499313817"</f>
        <v>1552378499313817</v>
      </c>
      <c r="C7226" t="s">
        <v>40</v>
      </c>
      <c r="D7226">
        <v>5.2779569999999998</v>
      </c>
      <c r="E7226">
        <v>0.54254259999999999</v>
      </c>
      <c r="F7226" t="s">
        <v>84</v>
      </c>
      <c r="G7226">
        <v>-180.3228</v>
      </c>
      <c r="H7226" s="1">
        <v>-3.9027209999999999E-6</v>
      </c>
      <c r="I7226">
        <v>124.16289999999999</v>
      </c>
      <c r="J7226">
        <v>-186.5547</v>
      </c>
      <c r="K7226">
        <v>1.1100570000000001</v>
      </c>
      <c r="L7226">
        <v>98.149540000000002</v>
      </c>
      <c r="M7226">
        <v>8.94005199999999E-3</v>
      </c>
      <c r="N7226">
        <v>0</v>
      </c>
      <c r="O7226">
        <v>0.99985979999999997</v>
      </c>
      <c r="P7226">
        <v>0.1218508</v>
      </c>
      <c r="Q7226">
        <v>-2.6770579999999999E-2</v>
      </c>
      <c r="R7226">
        <v>0.99218729999999999</v>
      </c>
      <c r="S7226">
        <v>0.69656370000000001</v>
      </c>
      <c r="T7226">
        <v>-0.1240243</v>
      </c>
      <c r="U7226">
        <v>2.93634</v>
      </c>
      <c r="V7226">
        <v>0.112971</v>
      </c>
      <c r="W7226">
        <v>-1.2734000000000001E-2</v>
      </c>
      <c r="X7226">
        <v>0.99351670000000003</v>
      </c>
      <c r="Y7226">
        <v>0.22191240000000001</v>
      </c>
      <c r="Z7226">
        <v>-4.1102149999999997E-2</v>
      </c>
      <c r="AA7226">
        <v>0.97419999999999995</v>
      </c>
      <c r="AB7226">
        <v>29</v>
      </c>
      <c r="AC7226">
        <v>6.2318999999999898</v>
      </c>
      <c r="AD7226">
        <v>-1.110060902721</v>
      </c>
      <c r="AE7226">
        <v>26.013359999999899</v>
      </c>
      <c r="AF7226">
        <v>5.9887534138731704</v>
      </c>
      <c r="AG7226">
        <v>-1.110060902721</v>
      </c>
      <c r="AH7226">
        <v>26.023224047714901</v>
      </c>
      <c r="AI7226">
        <v>92.380413247518902</v>
      </c>
      <c r="AJ7226">
        <v>77.040101109168006</v>
      </c>
      <c r="AK7226">
        <v>26.726496075944802</v>
      </c>
      <c r="AL7226">
        <v>90.729624163209905</v>
      </c>
      <c r="AM7226">
        <v>83.512862642645302</v>
      </c>
      <c r="AN7226">
        <v>1.00000001738794</v>
      </c>
    </row>
    <row r="7227" spans="1:40" x14ac:dyDescent="0.25">
      <c r="A7227" t="str">
        <f>"20190312161459339"</f>
        <v>20190312161459339</v>
      </c>
      <c r="B7227" t="str">
        <f>"1552378499334313"</f>
        <v>1552378499334313</v>
      </c>
      <c r="C7227" t="s">
        <v>40</v>
      </c>
      <c r="D7227">
        <v>5.2382609999999996</v>
      </c>
      <c r="E7227">
        <v>0.54209209999999997</v>
      </c>
      <c r="F7227" t="s">
        <v>84</v>
      </c>
      <c r="G7227">
        <v>-180.85300000000001</v>
      </c>
      <c r="H7227" s="1">
        <v>-3.1284840000000002E-6</v>
      </c>
      <c r="I7227">
        <v>122.01309999999999</v>
      </c>
      <c r="J7227">
        <v>-186.55189999999999</v>
      </c>
      <c r="K7227">
        <v>1.110052</v>
      </c>
      <c r="L7227">
        <v>98.441469999999995</v>
      </c>
      <c r="M7227">
        <v>9.0737939999999996E-3</v>
      </c>
      <c r="N7227">
        <v>0</v>
      </c>
      <c r="O7227">
        <v>0.99985860000000004</v>
      </c>
      <c r="P7227">
        <v>0.1264479</v>
      </c>
      <c r="Q7227">
        <v>-2.75538E-2</v>
      </c>
      <c r="R7227">
        <v>0.99159050000000004</v>
      </c>
      <c r="S7227">
        <v>0.70098879999999997</v>
      </c>
      <c r="T7227">
        <v>-0.13647319999999999</v>
      </c>
      <c r="U7227">
        <v>2.9338380000000002</v>
      </c>
      <c r="V7227">
        <v>0.1174403</v>
      </c>
      <c r="W7227">
        <v>-1.3528979999999999E-2</v>
      </c>
      <c r="X7227">
        <v>0.99298779999999998</v>
      </c>
      <c r="Y7227">
        <v>0.2233173</v>
      </c>
      <c r="Z7227">
        <v>-4.5241740000000003E-2</v>
      </c>
      <c r="AA7227">
        <v>0.97369530000000004</v>
      </c>
      <c r="AB7227">
        <v>29</v>
      </c>
      <c r="AC7227">
        <v>5.6989000000000001</v>
      </c>
      <c r="AD7227">
        <v>-1.1100551284839999</v>
      </c>
      <c r="AE7227">
        <v>23.571629999999999</v>
      </c>
      <c r="AF7227">
        <v>5.4732918032629199</v>
      </c>
      <c r="AG7227">
        <v>-1.1100551284839999</v>
      </c>
      <c r="AH7227">
        <v>23.5729836472605</v>
      </c>
      <c r="AI7227">
        <v>92.626313576020806</v>
      </c>
      <c r="AJ7227">
        <v>76.928394227232999</v>
      </c>
      <c r="AK7227">
        <v>24.225496972940501</v>
      </c>
      <c r="AL7227">
        <v>90.775177092572804</v>
      </c>
      <c r="AM7227">
        <v>83.254981992410507</v>
      </c>
      <c r="AN7227">
        <v>1.0000000141563801</v>
      </c>
    </row>
    <row r="7228" spans="1:40" x14ac:dyDescent="0.25">
      <c r="A7228" t="str">
        <f>"20190312161459360"</f>
        <v>20190312161459360</v>
      </c>
      <c r="B7228" t="str">
        <f>"1552378499353834"</f>
        <v>1552378499353834</v>
      </c>
      <c r="C7228" t="s">
        <v>40</v>
      </c>
      <c r="D7228">
        <v>5.3706329999999998</v>
      </c>
      <c r="E7228">
        <v>0.5423732</v>
      </c>
      <c r="F7228" t="s">
        <v>84</v>
      </c>
      <c r="G7228">
        <v>-181.13730000000001</v>
      </c>
      <c r="H7228" s="1">
        <v>-2.6863149999999998E-6</v>
      </c>
      <c r="I7228">
        <v>120.7687</v>
      </c>
      <c r="J7228">
        <v>-186.54929999999999</v>
      </c>
      <c r="K7228">
        <v>1.1100509999999999</v>
      </c>
      <c r="L7228">
        <v>98.713679999999997</v>
      </c>
      <c r="M7228">
        <v>9.1986499999999992E-3</v>
      </c>
      <c r="N7228">
        <v>0</v>
      </c>
      <c r="O7228">
        <v>0.99985749999999995</v>
      </c>
      <c r="P7228">
        <v>0.13070509999999999</v>
      </c>
      <c r="Q7228">
        <v>-2.7768370000000001E-2</v>
      </c>
      <c r="R7228">
        <v>0.99103240000000004</v>
      </c>
      <c r="S7228">
        <v>0.71075440000000001</v>
      </c>
      <c r="T7228">
        <v>-0.14571010000000001</v>
      </c>
      <c r="U7228">
        <v>2.9307560000000001</v>
      </c>
      <c r="V7228">
        <v>0.12157850000000001</v>
      </c>
      <c r="W7228">
        <v>-1.3754529999999999E-2</v>
      </c>
      <c r="X7228">
        <v>0.99248650000000005</v>
      </c>
      <c r="Y7228">
        <v>0.22645860000000001</v>
      </c>
      <c r="Z7228">
        <v>-4.8309659999999997E-2</v>
      </c>
      <c r="AA7228">
        <v>0.97282199999999996</v>
      </c>
      <c r="AB7228">
        <v>29</v>
      </c>
      <c r="AC7228">
        <v>5.4119999999999697</v>
      </c>
      <c r="AD7228">
        <v>-1.1100536863149999</v>
      </c>
      <c r="AE7228">
        <v>22.055019999999899</v>
      </c>
      <c r="AF7228">
        <v>5.1964580984397104</v>
      </c>
      <c r="AG7228">
        <v>-1.1100536863149999</v>
      </c>
      <c r="AH7228">
        <v>22.051186829815698</v>
      </c>
      <c r="AI7228">
        <v>92.805120728563296</v>
      </c>
      <c r="AJ7228">
        <v>76.739924607596095</v>
      </c>
      <c r="AK7228">
        <v>22.682377224593999</v>
      </c>
      <c r="AL7228">
        <v>90.788101380541093</v>
      </c>
      <c r="AM7228">
        <v>83.016124890275606</v>
      </c>
      <c r="AN7228">
        <v>0.99999998572001003</v>
      </c>
    </row>
    <row r="7229" spans="1:40" x14ac:dyDescent="0.25">
      <c r="A7229" t="str">
        <f>"20190312161459383"</f>
        <v>20190312161459383</v>
      </c>
      <c r="B7229" t="str">
        <f>"1552378499374329"</f>
        <v>1552378499374329</v>
      </c>
      <c r="C7229" t="s">
        <v>40</v>
      </c>
      <c r="D7229">
        <v>5.2888489999999999</v>
      </c>
      <c r="E7229">
        <v>0.54239569999999904</v>
      </c>
      <c r="F7229" t="s">
        <v>84</v>
      </c>
      <c r="G7229">
        <v>-181.3569</v>
      </c>
      <c r="H7229" s="1">
        <v>-2.3046170000000002E-6</v>
      </c>
      <c r="I7229">
        <v>119.6711</v>
      </c>
      <c r="J7229">
        <v>-186.54650000000001</v>
      </c>
      <c r="K7229">
        <v>1.1100479999999999</v>
      </c>
      <c r="L7229">
        <v>99.001040000000003</v>
      </c>
      <c r="M7229">
        <v>9.3305179999999995E-3</v>
      </c>
      <c r="N7229">
        <v>0</v>
      </c>
      <c r="O7229">
        <v>0.99985630000000003</v>
      </c>
      <c r="P7229">
        <v>0.13442379999999901</v>
      </c>
      <c r="Q7229">
        <v>-2.823614E-2</v>
      </c>
      <c r="R7229">
        <v>0.9905216</v>
      </c>
      <c r="S7229">
        <v>0.72523499999999996</v>
      </c>
      <c r="T7229">
        <v>-0.15504279999999901</v>
      </c>
      <c r="U7229">
        <v>2.927155</v>
      </c>
      <c r="V7229">
        <v>0.125170899999999</v>
      </c>
      <c r="W7229">
        <v>-1.423283E-2</v>
      </c>
      <c r="X7229">
        <v>0.9920331</v>
      </c>
      <c r="Y7229">
        <v>0.2311039</v>
      </c>
      <c r="Z7229">
        <v>-5.1398680000000002E-2</v>
      </c>
      <c r="AA7229">
        <v>0.97157039999999995</v>
      </c>
      <c r="AB7229">
        <v>29</v>
      </c>
      <c r="AC7229">
        <v>5.1896000000000102</v>
      </c>
      <c r="AD7229">
        <v>-1.1100503046169901</v>
      </c>
      <c r="AE7229">
        <v>20.6700599999999</v>
      </c>
      <c r="AF7229">
        <v>4.9829734213573103</v>
      </c>
      <c r="AG7229">
        <v>-1.1100503046169901</v>
      </c>
      <c r="AH7229">
        <v>20.661531259877499</v>
      </c>
      <c r="AI7229">
        <v>92.989729775615402</v>
      </c>
      <c r="AJ7229">
        <v>76.440814818135905</v>
      </c>
      <c r="AK7229">
        <v>21.282883023679599</v>
      </c>
      <c r="AL7229">
        <v>90.815508624852598</v>
      </c>
      <c r="AM7229">
        <v>82.808642577813202</v>
      </c>
      <c r="AN7229">
        <v>0.99999999957611396</v>
      </c>
    </row>
    <row r="7230" spans="1:40" x14ac:dyDescent="0.25">
      <c r="A7230" t="str">
        <f>"20190312161459405"</f>
        <v>20190312161459405</v>
      </c>
      <c r="B7230" t="str">
        <f>"1552378499393850"</f>
        <v>1552378499393850</v>
      </c>
      <c r="C7230" t="s">
        <v>40</v>
      </c>
      <c r="D7230">
        <v>5.2477900000000002</v>
      </c>
      <c r="E7230">
        <v>0.54264650000000003</v>
      </c>
      <c r="F7230" t="s">
        <v>84</v>
      </c>
      <c r="G7230">
        <v>-181.2029</v>
      </c>
      <c r="H7230" s="1">
        <v>-2.5075280000000001E-6</v>
      </c>
      <c r="I7230">
        <v>120.2209</v>
      </c>
      <c r="J7230">
        <v>-186.5436</v>
      </c>
      <c r="K7230">
        <v>1.11005</v>
      </c>
      <c r="L7230">
        <v>99.293369999999996</v>
      </c>
      <c r="M7230">
        <v>9.4646239999999996E-3</v>
      </c>
      <c r="N7230">
        <v>0</v>
      </c>
      <c r="O7230">
        <v>0.9998551</v>
      </c>
      <c r="P7230">
        <v>0.1374677</v>
      </c>
      <c r="Q7230">
        <v>-2.9038270000000001E-2</v>
      </c>
      <c r="R7230">
        <v>0.99008050000000003</v>
      </c>
      <c r="S7230">
        <v>0.7364349</v>
      </c>
      <c r="T7230">
        <v>-0.15298129999999999</v>
      </c>
      <c r="U7230">
        <v>2.9244080000000001</v>
      </c>
      <c r="V7230">
        <v>0.12808549999999999</v>
      </c>
      <c r="W7230">
        <v>-1.504455E-2</v>
      </c>
      <c r="X7230">
        <v>0.991649</v>
      </c>
      <c r="Y7230">
        <v>0.2346956</v>
      </c>
      <c r="Z7230">
        <v>-5.071784E-2</v>
      </c>
      <c r="AA7230">
        <v>0.97074490000000002</v>
      </c>
      <c r="AB7230">
        <v>29</v>
      </c>
      <c r="AC7230">
        <v>5.3406999999999902</v>
      </c>
      <c r="AD7230">
        <v>-1.1100525075280001</v>
      </c>
      <c r="AE7230">
        <v>20.927530000000001</v>
      </c>
      <c r="AF7230">
        <v>5.1288219505614299</v>
      </c>
      <c r="AG7230">
        <v>-1.1100525075280001</v>
      </c>
      <c r="AH7230">
        <v>20.921880198827399</v>
      </c>
      <c r="AI7230">
        <v>92.949912959717906</v>
      </c>
      <c r="AJ7230">
        <v>76.226049088245205</v>
      </c>
      <c r="AK7230">
        <v>21.569935146497599</v>
      </c>
      <c r="AL7230">
        <v>90.862021751514703</v>
      </c>
      <c r="AM7230">
        <v>82.640187679747399</v>
      </c>
      <c r="AN7230">
        <v>0.99999998649797595</v>
      </c>
    </row>
    <row r="7231" spans="1:40" x14ac:dyDescent="0.25">
      <c r="A7231" t="str">
        <f>"20190312161459427"</f>
        <v>20190312161459427</v>
      </c>
      <c r="B7231" t="str">
        <f>"1552378499414345"</f>
        <v>1552378499414345</v>
      </c>
      <c r="C7231" t="s">
        <v>40</v>
      </c>
      <c r="D7231">
        <v>5.263903</v>
      </c>
      <c r="E7231">
        <v>0.54217389999999999</v>
      </c>
      <c r="F7231" t="s">
        <v>84</v>
      </c>
      <c r="G7231">
        <v>-181.02289999999999</v>
      </c>
      <c r="H7231" s="1">
        <v>-2.747994E-6</v>
      </c>
      <c r="I7231">
        <v>120.87479999999999</v>
      </c>
      <c r="J7231">
        <v>-186.54079999999999</v>
      </c>
      <c r="K7231">
        <v>1.1100410000000001</v>
      </c>
      <c r="L7231">
        <v>99.566990000000004</v>
      </c>
      <c r="M7231">
        <v>9.5901800000000002E-3</v>
      </c>
      <c r="N7231">
        <v>0</v>
      </c>
      <c r="O7231">
        <v>0.99985389999999996</v>
      </c>
      <c r="P7231">
        <v>0.14031740000000001</v>
      </c>
      <c r="Q7231">
        <v>-2.9416390000000001E-2</v>
      </c>
      <c r="R7231">
        <v>0.98966949999999998</v>
      </c>
      <c r="S7231">
        <v>0.74743649999999995</v>
      </c>
      <c r="T7231">
        <v>-0.15028830000000001</v>
      </c>
      <c r="U7231">
        <v>2.921875</v>
      </c>
      <c r="V7231">
        <v>0.1308144</v>
      </c>
      <c r="W7231">
        <v>-1.54316E-2</v>
      </c>
      <c r="X7231">
        <v>0.99128680000000002</v>
      </c>
      <c r="Y7231">
        <v>0.23821609999999999</v>
      </c>
      <c r="Z7231">
        <v>-4.9824699999999902E-2</v>
      </c>
      <c r="AA7231">
        <v>0.9699333</v>
      </c>
      <c r="AB7231">
        <v>29</v>
      </c>
      <c r="AC7231">
        <v>5.5178999999999903</v>
      </c>
      <c r="AD7231">
        <v>-1.110043747994</v>
      </c>
      <c r="AE7231">
        <v>21.3078099999999</v>
      </c>
      <c r="AF7231">
        <v>5.2998005356884699</v>
      </c>
      <c r="AG7231">
        <v>-1.110043747994</v>
      </c>
      <c r="AH7231">
        <v>21.305564473670898</v>
      </c>
      <c r="AI7231">
        <v>92.894428379010705</v>
      </c>
      <c r="AJ7231">
        <v>76.031078353537694</v>
      </c>
      <c r="AK7231">
        <v>21.982883350058799</v>
      </c>
      <c r="AL7231">
        <v>90.8842006194443</v>
      </c>
      <c r="AM7231">
        <v>82.482444014374806</v>
      </c>
      <c r="AN7231">
        <v>1.00000003069007</v>
      </c>
    </row>
    <row r="7232" spans="1:40" x14ac:dyDescent="0.25">
      <c r="A7232" t="str">
        <f>"20190312161459449"</f>
        <v>20190312161459449</v>
      </c>
      <c r="B7232" t="str">
        <f>"1552378499443625"</f>
        <v>1552378499443625</v>
      </c>
      <c r="C7232" t="s">
        <v>40</v>
      </c>
      <c r="D7232">
        <v>5.33941</v>
      </c>
      <c r="E7232">
        <v>0.54181569999999901</v>
      </c>
      <c r="F7232" t="s">
        <v>84</v>
      </c>
      <c r="G7232">
        <v>-180.75659999999999</v>
      </c>
      <c r="H7232" s="1">
        <v>-3.1568040000000001E-6</v>
      </c>
      <c r="I7232">
        <v>122.0222</v>
      </c>
      <c r="J7232">
        <v>-186.53800000000001</v>
      </c>
      <c r="K7232">
        <v>1.110036</v>
      </c>
      <c r="L7232">
        <v>99.845209999999994</v>
      </c>
      <c r="M7232">
        <v>9.7176129999999999E-3</v>
      </c>
      <c r="N7232">
        <v>0</v>
      </c>
      <c r="O7232">
        <v>0.99985270000000004</v>
      </c>
      <c r="P7232">
        <v>0.14314660000000001</v>
      </c>
      <c r="Q7232">
        <v>-2.9469909999999998E-2</v>
      </c>
      <c r="R7232">
        <v>0.98926259999999999</v>
      </c>
      <c r="S7232">
        <v>0.75225830000000005</v>
      </c>
      <c r="T7232">
        <v>-0.14436499999999999</v>
      </c>
      <c r="U7232">
        <v>2.9203800000000002</v>
      </c>
      <c r="V7232">
        <v>0.13352120000000001</v>
      </c>
      <c r="W7232">
        <v>-1.549406E-2</v>
      </c>
      <c r="X7232">
        <v>0.99092480000000005</v>
      </c>
      <c r="Y7232">
        <v>0.23973749999999999</v>
      </c>
      <c r="Z7232">
        <v>-4.7870509999999998E-2</v>
      </c>
      <c r="AA7232">
        <v>0.96965679999999999</v>
      </c>
      <c r="AB7232">
        <v>29</v>
      </c>
      <c r="AC7232">
        <v>5.7813999999999899</v>
      </c>
      <c r="AD7232">
        <v>-1.110039156804</v>
      </c>
      <c r="AE7232">
        <v>22.17699</v>
      </c>
      <c r="AF7232">
        <v>5.5525720164161498</v>
      </c>
      <c r="AG7232">
        <v>-1.110039156804</v>
      </c>
      <c r="AH7232">
        <v>22.1800966275683</v>
      </c>
      <c r="AI7232">
        <v>92.779440471471105</v>
      </c>
      <c r="AJ7232">
        <v>75.945407241372905</v>
      </c>
      <c r="AK7232">
        <v>22.891481588909802</v>
      </c>
      <c r="AL7232">
        <v>90.887779797291003</v>
      </c>
      <c r="AM7232">
        <v>82.325956271171805</v>
      </c>
      <c r="AN7232">
        <v>0.999999967999881</v>
      </c>
    </row>
    <row r="7233" spans="1:40" x14ac:dyDescent="0.25">
      <c r="A7233" t="str">
        <f>"20190312161459472"</f>
        <v>20190312161459472</v>
      </c>
      <c r="B7233" t="str">
        <f>"1552378499464122"</f>
        <v>1552378499464122</v>
      </c>
      <c r="C7233" t="s">
        <v>40</v>
      </c>
      <c r="D7233">
        <v>5.264335</v>
      </c>
      <c r="E7233">
        <v>0.54133489999999995</v>
      </c>
      <c r="F7233" t="s">
        <v>84</v>
      </c>
      <c r="G7233">
        <v>-180.5857</v>
      </c>
      <c r="H7233" s="1">
        <v>-3.4227720000000002E-6</v>
      </c>
      <c r="I7233">
        <v>122.7709</v>
      </c>
      <c r="J7233">
        <v>-186.53489999999999</v>
      </c>
      <c r="K7233">
        <v>1.110031</v>
      </c>
      <c r="L7233">
        <v>100.1447</v>
      </c>
      <c r="M7233">
        <v>9.8549850000000001E-3</v>
      </c>
      <c r="N7233">
        <v>0</v>
      </c>
      <c r="O7233">
        <v>0.9998515</v>
      </c>
      <c r="P7233">
        <v>0.14506640000000001</v>
      </c>
      <c r="Q7233">
        <v>-2.9445349999999999E-2</v>
      </c>
      <c r="R7233">
        <v>0.98898370000000002</v>
      </c>
      <c r="S7233">
        <v>0.75779719999999995</v>
      </c>
      <c r="T7233">
        <v>-0.1413208</v>
      </c>
      <c r="U7233">
        <v>2.918701</v>
      </c>
      <c r="V7233">
        <v>0.1353076</v>
      </c>
      <c r="W7233">
        <v>-1.547666E-2</v>
      </c>
      <c r="X7233">
        <v>0.99068279999999997</v>
      </c>
      <c r="Y7233">
        <v>0.2414751</v>
      </c>
      <c r="Z7233">
        <v>-4.6868159999999999E-2</v>
      </c>
      <c r="AA7233">
        <v>0.96927450000000004</v>
      </c>
      <c r="AB7233">
        <v>29</v>
      </c>
      <c r="AC7233">
        <v>5.9491999999999896</v>
      </c>
      <c r="AD7233">
        <v>-1.110034422772</v>
      </c>
      <c r="AE7233">
        <v>22.626200000000001</v>
      </c>
      <c r="AF7233">
        <v>5.7130465850087999</v>
      </c>
      <c r="AG7233">
        <v>-1.110034422772</v>
      </c>
      <c r="AH7233">
        <v>22.632784842771802</v>
      </c>
      <c r="AI7233">
        <v>92.722581330574499</v>
      </c>
      <c r="AJ7233">
        <v>75.833143363999199</v>
      </c>
      <c r="AK7233">
        <v>23.369082725717401</v>
      </c>
      <c r="AL7233">
        <v>90.886782665586395</v>
      </c>
      <c r="AM7233">
        <v>82.222655791519998</v>
      </c>
      <c r="AN7233">
        <v>1.0000000419191699</v>
      </c>
    </row>
    <row r="7234" spans="1:40" x14ac:dyDescent="0.25">
      <c r="A7234" t="str">
        <f>"20190312161459496"</f>
        <v>20190312161459496</v>
      </c>
      <c r="B7234" t="str">
        <f>"1552378499483641"</f>
        <v>1552378499483641</v>
      </c>
      <c r="C7234" t="s">
        <v>40</v>
      </c>
      <c r="D7234">
        <v>5.3245329999999997</v>
      </c>
      <c r="E7234">
        <v>0.54069659999999997</v>
      </c>
      <c r="F7234" t="s">
        <v>84</v>
      </c>
      <c r="G7234">
        <v>-180.6062</v>
      </c>
      <c r="H7234" s="1">
        <v>-3.4614660000000001E-6</v>
      </c>
      <c r="I7234">
        <v>122.9207</v>
      </c>
      <c r="J7234">
        <v>-186.53190000000001</v>
      </c>
      <c r="K7234">
        <v>1.1100410000000001</v>
      </c>
      <c r="L7234">
        <v>100.4387</v>
      </c>
      <c r="M7234">
        <v>9.9899120000000001E-3</v>
      </c>
      <c r="N7234">
        <v>0</v>
      </c>
      <c r="O7234">
        <v>0.99985020000000002</v>
      </c>
      <c r="P7234">
        <v>0.14713760000000001</v>
      </c>
      <c r="Q7234">
        <v>-2.909014E-2</v>
      </c>
      <c r="R7234">
        <v>0.98868820000000002</v>
      </c>
      <c r="S7234">
        <v>0.75952149999999996</v>
      </c>
      <c r="T7234">
        <v>-0.14220379999999999</v>
      </c>
      <c r="U7234">
        <v>2.917786</v>
      </c>
      <c r="V7234">
        <v>0.13724800000000001</v>
      </c>
      <c r="W7234">
        <v>-1.5128809999999999E-2</v>
      </c>
      <c r="X7234">
        <v>0.9904212</v>
      </c>
      <c r="Y7234">
        <v>0.2419511</v>
      </c>
      <c r="Z7234">
        <v>-4.7168250000000002E-2</v>
      </c>
      <c r="AA7234">
        <v>0.96914129999999998</v>
      </c>
      <c r="AB7234">
        <v>28</v>
      </c>
      <c r="AC7234">
        <v>5.9257</v>
      </c>
      <c r="AD7234">
        <v>-1.1100444614659899</v>
      </c>
      <c r="AE7234">
        <v>22.481999999999999</v>
      </c>
      <c r="AF7234">
        <v>5.6878231578250196</v>
      </c>
      <c r="AG7234">
        <v>-1.1100444614659899</v>
      </c>
      <c r="AH7234">
        <v>22.488817569884102</v>
      </c>
      <c r="AI7234">
        <v>92.739687619375403</v>
      </c>
      <c r="AJ7234">
        <v>75.806519088650603</v>
      </c>
      <c r="AK7234">
        <v>23.223489114959701</v>
      </c>
      <c r="AL7234">
        <v>90.866850011046395</v>
      </c>
      <c r="AM7234">
        <v>82.110460507672002</v>
      </c>
      <c r="AN7234">
        <v>1.00000002390272</v>
      </c>
    </row>
    <row r="7235" spans="1:40" x14ac:dyDescent="0.25">
      <c r="A7235" t="str">
        <f>"20190312161459518"</f>
        <v>20190312161459518</v>
      </c>
      <c r="B7235" t="str">
        <f>"1552378499513898"</f>
        <v>1552378499513898</v>
      </c>
      <c r="C7235" t="s">
        <v>40</v>
      </c>
      <c r="D7235">
        <v>5.3851820000000004</v>
      </c>
      <c r="E7235">
        <v>0.54036280000000003</v>
      </c>
      <c r="F7235" t="s">
        <v>84</v>
      </c>
      <c r="G7235">
        <v>-180.80590000000001</v>
      </c>
      <c r="H7235" s="1">
        <v>-3.2547669999999999E-6</v>
      </c>
      <c r="I7235">
        <v>122.3994</v>
      </c>
      <c r="J7235">
        <v>-186.52879999999999</v>
      </c>
      <c r="K7235">
        <v>1.1100399999999999</v>
      </c>
      <c r="L7235">
        <v>100.7323</v>
      </c>
      <c r="M7235">
        <v>1.012478E-2</v>
      </c>
      <c r="N7235">
        <v>0</v>
      </c>
      <c r="O7235">
        <v>0.99984879999999998</v>
      </c>
      <c r="P7235">
        <v>0.1485592</v>
      </c>
      <c r="Q7235">
        <v>-2.9168050000000001E-2</v>
      </c>
      <c r="R7235">
        <v>0.98847320000000005</v>
      </c>
      <c r="S7235">
        <v>0.76051329999999995</v>
      </c>
      <c r="T7235">
        <v>-0.14743529999999999</v>
      </c>
      <c r="U7235">
        <v>2.9168090000000002</v>
      </c>
      <c r="V7235">
        <v>0.1385382</v>
      </c>
      <c r="W7235">
        <v>-1.521278E-2</v>
      </c>
      <c r="X7235">
        <v>0.99024029999999996</v>
      </c>
      <c r="Y7235">
        <v>0.24218680000000001</v>
      </c>
      <c r="Z7235">
        <v>-4.8911490000000002E-2</v>
      </c>
      <c r="AA7235">
        <v>0.96899599999999997</v>
      </c>
      <c r="AB7235">
        <v>28</v>
      </c>
      <c r="AC7235">
        <v>5.7228999999999797</v>
      </c>
      <c r="AD7235">
        <v>-1.1100432547669901</v>
      </c>
      <c r="AE7235">
        <v>21.667100000000001</v>
      </c>
      <c r="AF7235">
        <v>5.4897408461408901</v>
      </c>
      <c r="AG7235">
        <v>-1.1100432547669901</v>
      </c>
      <c r="AH7235">
        <v>21.6707683365177</v>
      </c>
      <c r="AI7235">
        <v>92.842663654245399</v>
      </c>
      <c r="AJ7235">
        <v>75.784611452631296</v>
      </c>
      <c r="AK7235">
        <v>22.382842779241798</v>
      </c>
      <c r="AL7235">
        <v>90.871661662744302</v>
      </c>
      <c r="AM7235">
        <v>82.035805840518194</v>
      </c>
      <c r="AN7235">
        <v>1.0000000566393199</v>
      </c>
    </row>
    <row r="7236" spans="1:40" x14ac:dyDescent="0.25">
      <c r="A7236" t="str">
        <f>"20190312161459540"</f>
        <v>20190312161459540</v>
      </c>
      <c r="B7236" t="str">
        <f>"1552378499534393"</f>
        <v>1552378499534393</v>
      </c>
      <c r="C7236" t="s">
        <v>40</v>
      </c>
      <c r="D7236">
        <v>5.3235510000000001</v>
      </c>
      <c r="E7236">
        <v>0.539767</v>
      </c>
      <c r="F7236" t="s">
        <v>84</v>
      </c>
      <c r="G7236">
        <v>-180.82599999999999</v>
      </c>
      <c r="H7236" s="1">
        <v>-3.2959780000000001E-6</v>
      </c>
      <c r="I7236">
        <v>122.5574</v>
      </c>
      <c r="J7236">
        <v>-186.52600000000001</v>
      </c>
      <c r="K7236">
        <v>1.1100429999999999</v>
      </c>
      <c r="L7236">
        <v>100.9957</v>
      </c>
      <c r="M7236">
        <v>1.024577E-2</v>
      </c>
      <c r="N7236">
        <v>0</v>
      </c>
      <c r="O7236">
        <v>0.99984770000000001</v>
      </c>
      <c r="P7236">
        <v>0.14942759999999999</v>
      </c>
      <c r="Q7236">
        <v>-2.8958279999999999E-2</v>
      </c>
      <c r="R7236">
        <v>0.98834849999999996</v>
      </c>
      <c r="S7236">
        <v>0.7619629</v>
      </c>
      <c r="T7236">
        <v>-0.14831569999999999</v>
      </c>
      <c r="U7236">
        <v>2.9161069999999998</v>
      </c>
      <c r="V7236">
        <v>0.1392881</v>
      </c>
      <c r="W7236">
        <v>-1.5007360000000001E-2</v>
      </c>
      <c r="X7236">
        <v>0.99013819999999997</v>
      </c>
      <c r="Y7236">
        <v>0.2425736</v>
      </c>
      <c r="Z7236">
        <v>-4.9208719999999997E-2</v>
      </c>
      <c r="AA7236">
        <v>0.96888419999999997</v>
      </c>
      <c r="AB7236">
        <v>28</v>
      </c>
      <c r="AC7236">
        <v>5.6999999999999797</v>
      </c>
      <c r="AD7236">
        <v>-1.110046295978</v>
      </c>
      <c r="AE7236">
        <v>21.561699999999998</v>
      </c>
      <c r="AF7236">
        <v>5.4652234677995803</v>
      </c>
      <c r="AG7236">
        <v>-1.110046295978</v>
      </c>
      <c r="AH7236">
        <v>21.565550334784302</v>
      </c>
      <c r="AI7236">
        <v>92.856450586631297</v>
      </c>
      <c r="AJ7236">
        <v>75.779276484781903</v>
      </c>
      <c r="AK7236">
        <v>22.274959743494801</v>
      </c>
      <c r="AL7236">
        <v>90.859890647421693</v>
      </c>
      <c r="AM7236">
        <v>81.992438734899594</v>
      </c>
      <c r="AN7236">
        <v>1.0000000253775001</v>
      </c>
    </row>
    <row r="7237" spans="1:40" x14ac:dyDescent="0.25">
      <c r="A7237" t="str">
        <f>"20190312161459562"</f>
        <v>20190312161459562</v>
      </c>
      <c r="B7237" t="str">
        <f>"1552378499553915"</f>
        <v>1552378499553915</v>
      </c>
      <c r="C7237" t="s">
        <v>40</v>
      </c>
      <c r="D7237">
        <v>5.3837039999999998</v>
      </c>
      <c r="E7237">
        <v>0.53962840000000001</v>
      </c>
      <c r="F7237" t="s">
        <v>84</v>
      </c>
      <c r="G7237">
        <v>-180.72290000000001</v>
      </c>
      <c r="H7237" s="1">
        <v>-3.5321110000000001E-6</v>
      </c>
      <c r="I7237">
        <v>123.26600000000001</v>
      </c>
      <c r="J7237">
        <v>-186.52289999999999</v>
      </c>
      <c r="K7237">
        <v>1.11005</v>
      </c>
      <c r="L7237">
        <v>101.2794</v>
      </c>
      <c r="M7237">
        <v>1.0376140000000001E-2</v>
      </c>
      <c r="N7237">
        <v>0</v>
      </c>
      <c r="O7237">
        <v>0.99984629999999997</v>
      </c>
      <c r="P7237">
        <v>0.14969649999999901</v>
      </c>
      <c r="Q7237">
        <v>-2.9004479999999999E-2</v>
      </c>
      <c r="R7237">
        <v>0.98830649999999998</v>
      </c>
      <c r="S7237">
        <v>0.75988769999999894</v>
      </c>
      <c r="T7237">
        <v>-0.1453555</v>
      </c>
      <c r="U7237">
        <v>2.9161990000000002</v>
      </c>
      <c r="V7237">
        <v>0.13942829999999901</v>
      </c>
      <c r="W7237">
        <v>-1.5056770000000001E-2</v>
      </c>
      <c r="X7237">
        <v>0.99011769999999999</v>
      </c>
      <c r="Y7237">
        <v>0.24180599999999999</v>
      </c>
      <c r="Z7237">
        <v>-4.8236330000000001E-2</v>
      </c>
      <c r="AA7237">
        <v>0.96912489999999996</v>
      </c>
      <c r="AB7237">
        <v>28</v>
      </c>
      <c r="AC7237">
        <v>5.7999999999999803</v>
      </c>
      <c r="AD7237">
        <v>-1.1100535321110001</v>
      </c>
      <c r="AE7237">
        <v>21.986599999999999</v>
      </c>
      <c r="AF7237">
        <v>5.5582825529714102</v>
      </c>
      <c r="AG7237">
        <v>-1.1100535321110001</v>
      </c>
      <c r="AH7237">
        <v>21.9931902819811</v>
      </c>
      <c r="AI7237">
        <v>92.801479961527804</v>
      </c>
      <c r="AJ7237">
        <v>75.816773085490993</v>
      </c>
      <c r="AK7237">
        <v>22.711828252305999</v>
      </c>
      <c r="AL7237">
        <v>90.862721966273199</v>
      </c>
      <c r="AM7237">
        <v>81.984319648066801</v>
      </c>
      <c r="AN7237">
        <v>1.0000000085084999</v>
      </c>
    </row>
    <row r="7238" spans="1:40" x14ac:dyDescent="0.25">
      <c r="A7238" t="str">
        <f>"20190312161459585"</f>
        <v>20190312161459585</v>
      </c>
      <c r="B7238" t="str">
        <f>"1552378499574409"</f>
        <v>1552378499574409</v>
      </c>
      <c r="C7238" t="s">
        <v>40</v>
      </c>
      <c r="D7238">
        <v>5.3564759999999998</v>
      </c>
      <c r="E7238">
        <v>0.53949979999999997</v>
      </c>
      <c r="F7238" t="s">
        <v>84</v>
      </c>
      <c r="G7238">
        <v>-180.72919999999999</v>
      </c>
      <c r="H7238" s="1">
        <v>-3.6050490000000001E-6</v>
      </c>
      <c r="I7238">
        <v>123.5194</v>
      </c>
      <c r="J7238">
        <v>-186.5197</v>
      </c>
      <c r="K7238">
        <v>1.110055</v>
      </c>
      <c r="L7238">
        <v>101.5693</v>
      </c>
      <c r="M7238">
        <v>1.0509330000000001E-2</v>
      </c>
      <c r="N7238">
        <v>0</v>
      </c>
      <c r="O7238">
        <v>0.99984499999999998</v>
      </c>
      <c r="P7238">
        <v>0.1494151</v>
      </c>
      <c r="Q7238">
        <v>-2.857469E-2</v>
      </c>
      <c r="R7238">
        <v>0.98836159999999995</v>
      </c>
      <c r="S7238">
        <v>0.75968930000000001</v>
      </c>
      <c r="T7238">
        <v>-0.14555360000000001</v>
      </c>
      <c r="U7238">
        <v>2.9161679999999999</v>
      </c>
      <c r="V7238">
        <v>0.13901459999999999</v>
      </c>
      <c r="W7238">
        <v>-1.462893E-2</v>
      </c>
      <c r="X7238">
        <v>0.99018229999999996</v>
      </c>
      <c r="Y7238">
        <v>0.24161659999999999</v>
      </c>
      <c r="Z7238">
        <v>-4.8303869999999999E-2</v>
      </c>
      <c r="AA7238">
        <v>0.96916880000000005</v>
      </c>
      <c r="AB7238">
        <v>28</v>
      </c>
      <c r="AC7238">
        <v>5.7904999999999998</v>
      </c>
      <c r="AD7238">
        <v>-1.110058605049</v>
      </c>
      <c r="AE7238">
        <v>21.950099999999999</v>
      </c>
      <c r="AF7238">
        <v>5.5462146532503898</v>
      </c>
      <c r="AG7238">
        <v>-1.110058605049</v>
      </c>
      <c r="AH7238">
        <v>21.957245596521599</v>
      </c>
      <c r="AI7238">
        <v>92.806161966110693</v>
      </c>
      <c r="AJ7238">
        <v>75.824091612589299</v>
      </c>
      <c r="AK7238">
        <v>22.674068035369</v>
      </c>
      <c r="AL7238">
        <v>90.838205824667497</v>
      </c>
      <c r="AM7238">
        <v>82.0083100225755</v>
      </c>
      <c r="AN7238">
        <v>1.0000000259196899</v>
      </c>
    </row>
    <row r="7239" spans="1:40" x14ac:dyDescent="0.25">
      <c r="A7239" t="str">
        <f>"20190312161459605"</f>
        <v>20190312161459605</v>
      </c>
      <c r="B7239" t="str">
        <f>"1552378499593929"</f>
        <v>1552378499593929</v>
      </c>
      <c r="C7239" t="s">
        <v>40</v>
      </c>
      <c r="D7239">
        <v>5.2296610000000001</v>
      </c>
      <c r="E7239">
        <v>0.53939729999999997</v>
      </c>
      <c r="F7239" t="s">
        <v>84</v>
      </c>
      <c r="G7239">
        <v>-180.70089999999999</v>
      </c>
      <c r="H7239" s="1">
        <v>-3.743083E-6</v>
      </c>
      <c r="I7239">
        <v>123.96250000000001</v>
      </c>
      <c r="J7239">
        <v>-186.51689999999999</v>
      </c>
      <c r="K7239">
        <v>1.110058</v>
      </c>
      <c r="L7239">
        <v>101.83</v>
      </c>
      <c r="M7239">
        <v>1.0629100000000001E-2</v>
      </c>
      <c r="N7239">
        <v>0</v>
      </c>
      <c r="O7239">
        <v>0.99984379999999995</v>
      </c>
      <c r="P7239">
        <v>0.1488401</v>
      </c>
      <c r="Q7239">
        <v>-2.8037159999999998E-2</v>
      </c>
      <c r="R7239">
        <v>0.9884638</v>
      </c>
      <c r="S7239">
        <v>0.75785829999999998</v>
      </c>
      <c r="T7239">
        <v>-0.1445776</v>
      </c>
      <c r="U7239">
        <v>2.9165649999999999</v>
      </c>
      <c r="V7239">
        <v>0.1383201</v>
      </c>
      <c r="W7239">
        <v>-1.409237E-2</v>
      </c>
      <c r="X7239">
        <v>0.99028729999999998</v>
      </c>
      <c r="Y7239">
        <v>0.24090220000000001</v>
      </c>
      <c r="Z7239">
        <v>-4.7982400000000001E-2</v>
      </c>
      <c r="AA7239">
        <v>0.96936259999999996</v>
      </c>
      <c r="AB7239">
        <v>28</v>
      </c>
      <c r="AC7239">
        <v>5.8159999999999998</v>
      </c>
      <c r="AD7239">
        <v>-1.110061743083</v>
      </c>
      <c r="AE7239">
        <v>22.1325</v>
      </c>
      <c r="AF7239">
        <v>5.5672991611241498</v>
      </c>
      <c r="AG7239">
        <v>-1.110061743083</v>
      </c>
      <c r="AH7239">
        <v>22.140975352065201</v>
      </c>
      <c r="AI7239">
        <v>92.783673737253807</v>
      </c>
      <c r="AJ7239">
        <v>75.885710843589294</v>
      </c>
      <c r="AK7239">
        <v>22.857161822143901</v>
      </c>
      <c r="AL7239">
        <v>90.807460059551602</v>
      </c>
      <c r="AM7239">
        <v>82.048555901435705</v>
      </c>
      <c r="AN7239">
        <v>0.99999999074875801</v>
      </c>
    </row>
    <row r="7240" spans="1:40" x14ac:dyDescent="0.25">
      <c r="A7240" t="str">
        <f>"20190312161459628"</f>
        <v>20190312161459628</v>
      </c>
      <c r="B7240" t="str">
        <f>"1552378499624185"</f>
        <v>1552378499624185</v>
      </c>
      <c r="C7240" t="s">
        <v>40</v>
      </c>
      <c r="D7240">
        <v>5.3646250000000002</v>
      </c>
      <c r="E7240">
        <v>0.53923140000000003</v>
      </c>
      <c r="F7240" t="s">
        <v>84</v>
      </c>
      <c r="G7240">
        <v>-180.61760000000001</v>
      </c>
      <c r="H7240" s="1">
        <v>-4.0409959999999998E-6</v>
      </c>
      <c r="I7240">
        <v>124.61539999999999</v>
      </c>
      <c r="J7240">
        <v>-186.5137</v>
      </c>
      <c r="K7240">
        <v>1.1100620000000001</v>
      </c>
      <c r="L7240">
        <v>102.1129</v>
      </c>
      <c r="M7240">
        <v>1.0760179999999999E-2</v>
      </c>
      <c r="N7240">
        <v>0</v>
      </c>
      <c r="O7240">
        <v>0.99984240000000002</v>
      </c>
      <c r="P7240">
        <v>0.14775379999999999</v>
      </c>
      <c r="Q7240">
        <v>-2.7744700000000001E-2</v>
      </c>
      <c r="R7240">
        <v>0.98863489999999998</v>
      </c>
      <c r="S7240">
        <v>0.75529480000000004</v>
      </c>
      <c r="T7240">
        <v>-0.14212369999999999</v>
      </c>
      <c r="U7240">
        <v>2.9172669999999998</v>
      </c>
      <c r="V7240">
        <v>0.13710240000000001</v>
      </c>
      <c r="W7240">
        <v>-1.3800079999999999E-2</v>
      </c>
      <c r="X7240">
        <v>0.99046080000000003</v>
      </c>
      <c r="Y7240">
        <v>0.2399297</v>
      </c>
      <c r="Z7240">
        <v>-4.716969E-2</v>
      </c>
      <c r="AA7240">
        <v>0.9696437</v>
      </c>
      <c r="AB7240">
        <v>28</v>
      </c>
      <c r="AC7240">
        <v>5.8960999999999899</v>
      </c>
      <c r="AD7240">
        <v>-1.1100660409959999</v>
      </c>
      <c r="AE7240">
        <v>22.502500000000001</v>
      </c>
      <c r="AF7240">
        <v>5.6407584329732696</v>
      </c>
      <c r="AG7240">
        <v>-1.1100660409959999</v>
      </c>
      <c r="AH7240">
        <v>22.513379249093202</v>
      </c>
      <c r="AI7240">
        <v>92.738287609121997</v>
      </c>
      <c r="AJ7240">
        <v>75.934026519173102</v>
      </c>
      <c r="AK7240">
        <v>23.235805291145599</v>
      </c>
      <c r="AL7240">
        <v>90.790711397609698</v>
      </c>
      <c r="AM7240">
        <v>82.119036065365904</v>
      </c>
      <c r="AN7240">
        <v>1.0000000533152</v>
      </c>
    </row>
    <row r="7241" spans="1:40" x14ac:dyDescent="0.25">
      <c r="A7241" t="str">
        <f>"20190312161459650"</f>
        <v>20190312161459650</v>
      </c>
      <c r="B7241" t="str">
        <f>"1552378499643706"</f>
        <v>1552378499643706</v>
      </c>
      <c r="C7241" t="s">
        <v>40</v>
      </c>
      <c r="D7241">
        <v>5.383813</v>
      </c>
      <c r="E7241">
        <v>0.53896359999999999</v>
      </c>
      <c r="F7241" t="s">
        <v>84</v>
      </c>
      <c r="G7241">
        <v>-180.61340000000001</v>
      </c>
      <c r="H7241" s="1">
        <v>-4.1549569999999999E-6</v>
      </c>
      <c r="I7241">
        <v>125.0509</v>
      </c>
      <c r="J7241">
        <v>-186.51050000000001</v>
      </c>
      <c r="K7241">
        <v>1.110061</v>
      </c>
      <c r="L7241">
        <v>102.392</v>
      </c>
      <c r="M7241">
        <v>1.0891700000000001E-2</v>
      </c>
      <c r="N7241">
        <v>0</v>
      </c>
      <c r="O7241">
        <v>0.99984099999999998</v>
      </c>
      <c r="P7241">
        <v>0.14724319999999999</v>
      </c>
      <c r="Q7241">
        <v>-2.7108440000000001E-2</v>
      </c>
      <c r="R7241">
        <v>0.98872879999999996</v>
      </c>
      <c r="S7241">
        <v>0.75067139999999999</v>
      </c>
      <c r="T7241">
        <v>-0.14123069999999999</v>
      </c>
      <c r="U7241">
        <v>2.9183349999999999</v>
      </c>
      <c r="V7241">
        <v>0.13646069999999999</v>
      </c>
      <c r="W7241">
        <v>-1.3165349999999999E-2</v>
      </c>
      <c r="X7241">
        <v>0.99055800000000005</v>
      </c>
      <c r="Y7241">
        <v>0.23827860000000001</v>
      </c>
      <c r="Z7241">
        <v>-4.6876080000000001E-2</v>
      </c>
      <c r="AA7241">
        <v>0.97006490000000001</v>
      </c>
      <c r="AB7241">
        <v>28</v>
      </c>
      <c r="AC7241">
        <v>5.8970999999999902</v>
      </c>
      <c r="AD7241">
        <v>-1.110065154957</v>
      </c>
      <c r="AE7241">
        <v>22.6588999999999</v>
      </c>
      <c r="AF7241">
        <v>5.6372601875260502</v>
      </c>
      <c r="AG7241">
        <v>-1.110065154957</v>
      </c>
      <c r="AH7241">
        <v>22.670832154273601</v>
      </c>
      <c r="AI7241">
        <v>92.720505076906804</v>
      </c>
      <c r="AJ7241">
        <v>76.036203449265301</v>
      </c>
      <c r="AK7241">
        <v>23.387551766642002</v>
      </c>
      <c r="AL7241">
        <v>90.7543407829138</v>
      </c>
      <c r="AM7241">
        <v>82.156222350180599</v>
      </c>
      <c r="AN7241">
        <v>1.0000000002245499</v>
      </c>
    </row>
    <row r="7242" spans="1:40" x14ac:dyDescent="0.25">
      <c r="A7242" t="str">
        <f>"20190312161459673"</f>
        <v>20190312161459673</v>
      </c>
      <c r="B7242" t="str">
        <f>"1552378499664201"</f>
        <v>1552378499664201</v>
      </c>
      <c r="C7242" t="s">
        <v>40</v>
      </c>
      <c r="D7242">
        <v>5.2589730000000001</v>
      </c>
      <c r="E7242">
        <v>0.53870779999999996</v>
      </c>
      <c r="F7242" t="s">
        <v>84</v>
      </c>
      <c r="G7242">
        <v>-180.49430000000001</v>
      </c>
      <c r="H7242" s="1">
        <v>-4.391754E-6</v>
      </c>
      <c r="I7242">
        <v>125.89879999999999</v>
      </c>
      <c r="J7242">
        <v>-186.50710000000001</v>
      </c>
      <c r="K7242">
        <v>1.110061</v>
      </c>
      <c r="L7242">
        <v>102.68980000000001</v>
      </c>
      <c r="M7242">
        <v>1.1035720000000001E-2</v>
      </c>
      <c r="N7242">
        <v>0</v>
      </c>
      <c r="O7242">
        <v>0.99983949999999999</v>
      </c>
      <c r="P7242">
        <v>0.1466877</v>
      </c>
      <c r="Q7242">
        <v>-2.677125E-2</v>
      </c>
      <c r="R7242">
        <v>0.98882049999999999</v>
      </c>
      <c r="S7242">
        <v>0.74711609999999995</v>
      </c>
      <c r="T7242">
        <v>-0.13785229999999901</v>
      </c>
      <c r="U7242">
        <v>2.9191590000000001</v>
      </c>
      <c r="V7242">
        <v>0.13576160000000001</v>
      </c>
      <c r="W7242">
        <v>-1.283027E-2</v>
      </c>
      <c r="X7242">
        <v>0.9906585</v>
      </c>
      <c r="Y7242">
        <v>0.23697679999999999</v>
      </c>
      <c r="Z7242">
        <v>-4.5758809999999997E-2</v>
      </c>
      <c r="AA7242">
        <v>0.97043699999999999</v>
      </c>
      <c r="AB7242">
        <v>28</v>
      </c>
      <c r="AC7242">
        <v>6.0127999999999897</v>
      </c>
      <c r="AD7242">
        <v>-1.110065391754</v>
      </c>
      <c r="AE7242">
        <v>23.2089999999999</v>
      </c>
      <c r="AF7242">
        <v>5.7439666771184399</v>
      </c>
      <c r="AG7242">
        <v>-1.110065391754</v>
      </c>
      <c r="AH7242">
        <v>23.224162063370901</v>
      </c>
      <c r="AI7242">
        <v>92.656605880915393</v>
      </c>
      <c r="AJ7242">
        <v>76.107979536682905</v>
      </c>
      <c r="AK7242">
        <v>23.9496785345343</v>
      </c>
      <c r="AL7242">
        <v>90.735140457618499</v>
      </c>
      <c r="AM7242">
        <v>82.196692237077499</v>
      </c>
      <c r="AN7242">
        <v>1.00000004574254</v>
      </c>
    </row>
    <row r="7243" spans="1:40" x14ac:dyDescent="0.25">
      <c r="A7243" t="str">
        <f>"20190312161459696"</f>
        <v>20190312161459696</v>
      </c>
      <c r="B7243" t="str">
        <f>"1552378499683722"</f>
        <v>1552378499683722</v>
      </c>
      <c r="C7243" t="s">
        <v>40</v>
      </c>
      <c r="D7243">
        <v>5.3464519999999904</v>
      </c>
      <c r="E7243">
        <v>0.53854650000000004</v>
      </c>
      <c r="F7243" t="s">
        <v>84</v>
      </c>
      <c r="G7243">
        <v>-180.27449999999999</v>
      </c>
      <c r="H7243" s="1">
        <v>-4.7508359999999996E-6</v>
      </c>
      <c r="I7243">
        <v>127.1635</v>
      </c>
      <c r="J7243">
        <v>-186.50380000000001</v>
      </c>
      <c r="K7243">
        <v>1.1100570000000001</v>
      </c>
      <c r="L7243">
        <v>102.97490000000001</v>
      </c>
      <c r="M7243">
        <v>1.117844E-2</v>
      </c>
      <c r="N7243">
        <v>0</v>
      </c>
      <c r="O7243">
        <v>0.99983789999999995</v>
      </c>
      <c r="P7243">
        <v>0.14668879999999901</v>
      </c>
      <c r="Q7243">
        <v>-2.648029E-2</v>
      </c>
      <c r="R7243">
        <v>0.98882820000000005</v>
      </c>
      <c r="S7243">
        <v>0.74363710000000005</v>
      </c>
      <c r="T7243">
        <v>-0.1324447</v>
      </c>
      <c r="U7243">
        <v>2.920013</v>
      </c>
      <c r="V7243">
        <v>0.1356212</v>
      </c>
      <c r="W7243">
        <v>-1.2542889999999999E-2</v>
      </c>
      <c r="X7243">
        <v>0.99068140000000005</v>
      </c>
      <c r="Y7243">
        <v>0.2357041</v>
      </c>
      <c r="Z7243">
        <v>-4.3968170000000001E-2</v>
      </c>
      <c r="AA7243">
        <v>0.97082970000000002</v>
      </c>
      <c r="AB7243">
        <v>28</v>
      </c>
      <c r="AC7243">
        <v>6.2293000000000198</v>
      </c>
      <c r="AD7243">
        <v>-1.110061750836</v>
      </c>
      <c r="AE7243">
        <v>24.188599999999902</v>
      </c>
      <c r="AF7243">
        <v>5.9467476637998198</v>
      </c>
      <c r="AG7243">
        <v>-1.110061750836</v>
      </c>
      <c r="AH7243">
        <v>24.208914651601201</v>
      </c>
      <c r="AI7243">
        <v>92.549675937932093</v>
      </c>
      <c r="AJ7243">
        <v>76.198955622639104</v>
      </c>
      <c r="AK7243">
        <v>24.9533082671635</v>
      </c>
      <c r="AL7243">
        <v>90.718673479588702</v>
      </c>
      <c r="AM7243">
        <v>82.204840858665406</v>
      </c>
      <c r="AN7243">
        <v>1.00000003514247</v>
      </c>
    </row>
    <row r="7244" spans="1:40" x14ac:dyDescent="0.25">
      <c r="A7244" t="str">
        <f>"20190312161459717"</f>
        <v>20190312161459717</v>
      </c>
      <c r="B7244" t="str">
        <f>"1552378499713979"</f>
        <v>1552378499713979</v>
      </c>
      <c r="C7244" t="s">
        <v>40</v>
      </c>
      <c r="D7244">
        <v>5.2430009999999996</v>
      </c>
      <c r="E7244">
        <v>0.53954230000000003</v>
      </c>
      <c r="F7244" t="s">
        <v>84</v>
      </c>
      <c r="G7244">
        <v>-180.0763</v>
      </c>
      <c r="H7244" s="1">
        <v>-5.0616510000000003E-6</v>
      </c>
      <c r="I7244">
        <v>128.25399999999999</v>
      </c>
      <c r="J7244">
        <v>-186.50069999999999</v>
      </c>
      <c r="K7244">
        <v>1.1100509999999999</v>
      </c>
      <c r="L7244">
        <v>103.24290000000001</v>
      </c>
      <c r="M7244">
        <v>1.1321919999999999E-2</v>
      </c>
      <c r="N7244">
        <v>0</v>
      </c>
      <c r="O7244">
        <v>0.99983639999999996</v>
      </c>
      <c r="P7244">
        <v>0.1468826</v>
      </c>
      <c r="Q7244">
        <v>-2.67236E-2</v>
      </c>
      <c r="R7244">
        <v>0.98879289999999997</v>
      </c>
      <c r="S7244">
        <v>0.74252320000000005</v>
      </c>
      <c r="T7244">
        <v>-0.1282372</v>
      </c>
      <c r="U7244">
        <v>2.9203030000000001</v>
      </c>
      <c r="V7244">
        <v>0.13567299999999999</v>
      </c>
      <c r="W7244">
        <v>-1.2790950000000001E-2</v>
      </c>
      <c r="X7244">
        <v>0.99067110000000003</v>
      </c>
      <c r="Y7244">
        <v>0.23520859999999999</v>
      </c>
      <c r="Z7244">
        <v>-4.257441E-2</v>
      </c>
      <c r="AA7244">
        <v>0.97101199999999999</v>
      </c>
      <c r="AB7244">
        <v>28</v>
      </c>
      <c r="AC7244">
        <v>6.4243999999999897</v>
      </c>
      <c r="AD7244">
        <v>-1.110056061651</v>
      </c>
      <c r="AE7244">
        <v>25.0110999999999</v>
      </c>
      <c r="AF7244">
        <v>6.1294597310520498</v>
      </c>
      <c r="AG7244">
        <v>-1.110056061651</v>
      </c>
      <c r="AH7244">
        <v>25.035976659739699</v>
      </c>
      <c r="AI7244">
        <v>92.466005966234306</v>
      </c>
      <c r="AJ7244">
        <v>76.243100936436093</v>
      </c>
      <c r="AK7244">
        <v>25.799275733276399</v>
      </c>
      <c r="AL7244">
        <v>90.732887436420697</v>
      </c>
      <c r="AM7244">
        <v>82.201820073148596</v>
      </c>
      <c r="AN7244">
        <v>0.99999999985305599</v>
      </c>
    </row>
    <row r="7245" spans="1:40" x14ac:dyDescent="0.25">
      <c r="A7245" t="str">
        <f>"20190312161459741"</f>
        <v>20190312161459741</v>
      </c>
      <c r="B7245" t="str">
        <f>"1552378499733498"</f>
        <v>1552378499733498</v>
      </c>
      <c r="C7245" t="s">
        <v>40</v>
      </c>
      <c r="D7245">
        <v>5.261209</v>
      </c>
      <c r="E7245">
        <v>0.54023269999999901</v>
      </c>
      <c r="F7245" t="s">
        <v>84</v>
      </c>
      <c r="G7245">
        <v>-180.1609</v>
      </c>
      <c r="H7245" s="1">
        <v>-4.9541429999999998E-6</v>
      </c>
      <c r="I7245">
        <v>127.8854</v>
      </c>
      <c r="J7245">
        <v>-186.4973</v>
      </c>
      <c r="K7245">
        <v>1.110044</v>
      </c>
      <c r="L7245">
        <v>103.53019999999999</v>
      </c>
      <c r="M7245">
        <v>1.1493349999999999E-2</v>
      </c>
      <c r="N7245">
        <v>0</v>
      </c>
      <c r="O7245">
        <v>0.99983449999999996</v>
      </c>
      <c r="P7245">
        <v>0.14695469999999999</v>
      </c>
      <c r="Q7245">
        <v>-2.6700809999999998E-2</v>
      </c>
      <c r="R7245">
        <v>0.98878279999999996</v>
      </c>
      <c r="S7245">
        <v>0.750946</v>
      </c>
      <c r="T7245">
        <v>-0.13148609999999999</v>
      </c>
      <c r="U7245">
        <v>2.9188999999999998</v>
      </c>
      <c r="V7245">
        <v>0.13557520000000001</v>
      </c>
      <c r="W7245">
        <v>-1.2774499999999999E-2</v>
      </c>
      <c r="X7245">
        <v>0.99068469999999997</v>
      </c>
      <c r="Y7245">
        <v>0.23777110000000001</v>
      </c>
      <c r="Z7245">
        <v>-4.364196E-2</v>
      </c>
      <c r="AA7245">
        <v>0.97034030000000004</v>
      </c>
      <c r="AB7245">
        <v>28</v>
      </c>
      <c r="AC7245">
        <v>6.3363999999999896</v>
      </c>
      <c r="AD7245">
        <v>-1.1100489541429901</v>
      </c>
      <c r="AE7245">
        <v>24.3552</v>
      </c>
      <c r="AF7245">
        <v>6.0442708857646803</v>
      </c>
      <c r="AG7245">
        <v>-1.1100489541429901</v>
      </c>
      <c r="AH7245">
        <v>24.3789925489273</v>
      </c>
      <c r="AI7245">
        <v>92.530537818092597</v>
      </c>
      <c r="AJ7245">
        <v>76.075464646142393</v>
      </c>
      <c r="AK7245">
        <v>25.141612854424199</v>
      </c>
      <c r="AL7245">
        <v>90.731944844635805</v>
      </c>
      <c r="AM7245">
        <v>82.207477969614402</v>
      </c>
      <c r="AN7245">
        <v>0.99999999875969003</v>
      </c>
    </row>
    <row r="7246" spans="1:40" x14ac:dyDescent="0.25">
      <c r="A7246" t="str">
        <f>"20190312161459762"</f>
        <v>20190312161459762</v>
      </c>
      <c r="B7246" t="str">
        <f>"1552378499753994"</f>
        <v>1552378499753994</v>
      </c>
      <c r="C7246" t="s">
        <v>40</v>
      </c>
      <c r="D7246">
        <v>6.1669530000000004</v>
      </c>
      <c r="E7246">
        <v>0.54066320000000001</v>
      </c>
      <c r="F7246" t="s">
        <v>84</v>
      </c>
      <c r="G7246">
        <v>-180.1267</v>
      </c>
      <c r="H7246" s="1">
        <v>-5.0156680000000001E-6</v>
      </c>
      <c r="I7246">
        <v>128.10390000000001</v>
      </c>
      <c r="J7246">
        <v>-186.4939</v>
      </c>
      <c r="K7246">
        <v>1.1100239999999999</v>
      </c>
      <c r="L7246">
        <v>103.8026</v>
      </c>
      <c r="M7246">
        <v>1.168023E-2</v>
      </c>
      <c r="N7246">
        <v>0</v>
      </c>
      <c r="O7246">
        <v>0.99983230000000001</v>
      </c>
      <c r="P7246">
        <v>0.14676110000000001</v>
      </c>
      <c r="Q7246">
        <v>-2.6367499999999999E-2</v>
      </c>
      <c r="R7246">
        <v>0.98882049999999999</v>
      </c>
      <c r="S7246">
        <v>0.75648499999999996</v>
      </c>
      <c r="T7246">
        <v>-0.13181519999999999</v>
      </c>
      <c r="U7246">
        <v>2.9180600000000001</v>
      </c>
      <c r="V7246">
        <v>0.1351956</v>
      </c>
      <c r="W7246">
        <v>-1.244842E-2</v>
      </c>
      <c r="X7246">
        <v>0.99074070000000003</v>
      </c>
      <c r="Y7246">
        <v>0.23938209999999999</v>
      </c>
      <c r="Z7246">
        <v>-4.3744020000000002E-2</v>
      </c>
      <c r="AA7246">
        <v>0.96993949999999995</v>
      </c>
      <c r="AB7246">
        <v>28</v>
      </c>
      <c r="AC7246">
        <v>6.3671999999999898</v>
      </c>
      <c r="AD7246">
        <v>-1.1100290156679999</v>
      </c>
      <c r="AE7246">
        <v>24.301300000000001</v>
      </c>
      <c r="AF7246">
        <v>6.0710393072290998</v>
      </c>
      <c r="AG7246">
        <v>-1.1100290156679999</v>
      </c>
      <c r="AH7246">
        <v>24.3265239771723</v>
      </c>
      <c r="AI7246">
        <v>92.534973294636202</v>
      </c>
      <c r="AJ7246">
        <v>75.987237892103295</v>
      </c>
      <c r="AK7246">
        <v>25.0972000728664</v>
      </c>
      <c r="AL7246">
        <v>90.713260368453703</v>
      </c>
      <c r="AM7246">
        <v>82.229463344737596</v>
      </c>
      <c r="AN7246">
        <v>0.99999997402817198</v>
      </c>
    </row>
    <row r="7247" spans="1:40" x14ac:dyDescent="0.25">
      <c r="A7247" t="str">
        <f>"20190312161459785"</f>
        <v>20190312161459785</v>
      </c>
      <c r="B7247" t="str">
        <f>"1552378499773514"</f>
        <v>1552378499773514</v>
      </c>
      <c r="C7247" t="s">
        <v>40</v>
      </c>
      <c r="D7247">
        <v>5.1837910000000003</v>
      </c>
      <c r="E7247">
        <v>0.54125389999999995</v>
      </c>
      <c r="F7247" t="s">
        <v>84</v>
      </c>
      <c r="G7247">
        <v>-179.9427</v>
      </c>
      <c r="H7247" s="1">
        <v>-5.2552150000000003E-6</v>
      </c>
      <c r="I7247">
        <v>128.9736</v>
      </c>
      <c r="J7247">
        <v>-186.49039999999999</v>
      </c>
      <c r="K7247">
        <v>1.1100000000000001</v>
      </c>
      <c r="L7247">
        <v>104.0887</v>
      </c>
      <c r="M7247">
        <v>1.1908530000000001E-2</v>
      </c>
      <c r="N7247">
        <v>0</v>
      </c>
      <c r="O7247">
        <v>0.99982969999999904</v>
      </c>
      <c r="P7247">
        <v>0.14607529999999999</v>
      </c>
      <c r="Q7247">
        <v>-2.6021590000000001E-2</v>
      </c>
      <c r="R7247">
        <v>0.98893120000000001</v>
      </c>
      <c r="S7247">
        <v>0.7594147</v>
      </c>
      <c r="T7247">
        <v>-0.12867310000000001</v>
      </c>
      <c r="U7247">
        <v>2.917786</v>
      </c>
      <c r="V7247">
        <v>0.13428180000000001</v>
      </c>
      <c r="W7247">
        <v>-1.211081E-2</v>
      </c>
      <c r="X7247">
        <v>0.99086920000000001</v>
      </c>
      <c r="Y7247">
        <v>0.24010629999999999</v>
      </c>
      <c r="Z7247">
        <v>-4.2697800000000001E-2</v>
      </c>
      <c r="AA7247">
        <v>0.96980710000000003</v>
      </c>
      <c r="AB7247">
        <v>28</v>
      </c>
      <c r="AC7247">
        <v>6.5476999999999901</v>
      </c>
      <c r="AD7247">
        <v>-1.1100052552149999</v>
      </c>
      <c r="AE7247">
        <v>24.884899999999998</v>
      </c>
      <c r="AF7247">
        <v>6.2392534018645804</v>
      </c>
      <c r="AG7247">
        <v>-1.1100052552149999</v>
      </c>
      <c r="AH7247">
        <v>24.9147542266488</v>
      </c>
      <c r="AI7247">
        <v>92.4746458737052</v>
      </c>
      <c r="AJ7247">
        <v>75.940892286702507</v>
      </c>
      <c r="AK7247">
        <v>25.708079913785799</v>
      </c>
      <c r="AL7247">
        <v>90.693915247519897</v>
      </c>
      <c r="AM7247">
        <v>82.282338800836598</v>
      </c>
      <c r="AN7247">
        <v>1.0000000225193599</v>
      </c>
    </row>
    <row r="7248" spans="1:40" x14ac:dyDescent="0.25">
      <c r="A7248" t="str">
        <f>"20190312161459807"</f>
        <v>20190312161459807</v>
      </c>
      <c r="B7248" t="str">
        <f>"1552378499803770"</f>
        <v>1552378499803770</v>
      </c>
      <c r="C7248" t="s">
        <v>40</v>
      </c>
      <c r="D7248">
        <v>5.2065769999999896</v>
      </c>
      <c r="E7248">
        <v>0.54212579999999999</v>
      </c>
      <c r="F7248" t="s">
        <v>84</v>
      </c>
      <c r="G7248">
        <v>-179.88910000000001</v>
      </c>
      <c r="H7248" s="1">
        <v>-5.3192839999999996E-6</v>
      </c>
      <c r="I7248">
        <v>129.35489999999999</v>
      </c>
      <c r="J7248">
        <v>-186.48679999999999</v>
      </c>
      <c r="K7248">
        <v>1.1099699999999999</v>
      </c>
      <c r="L7248">
        <v>104.36920000000001</v>
      </c>
      <c r="M7248">
        <v>1.2170520000000001E-2</v>
      </c>
      <c r="N7248">
        <v>0</v>
      </c>
      <c r="O7248">
        <v>0.99982660000000001</v>
      </c>
      <c r="P7248">
        <v>0.1460505</v>
      </c>
      <c r="Q7248">
        <v>-2.698269E-2</v>
      </c>
      <c r="R7248">
        <v>0.98890909999999999</v>
      </c>
      <c r="S7248">
        <v>0.7622833</v>
      </c>
      <c r="T7248">
        <v>-0.12817729999999999</v>
      </c>
      <c r="U7248">
        <v>2.9176030000000002</v>
      </c>
      <c r="V7248">
        <v>0.13399629999999901</v>
      </c>
      <c r="W7248">
        <v>-1.308351E-2</v>
      </c>
      <c r="X7248">
        <v>0.99089550000000004</v>
      </c>
      <c r="Y7248">
        <v>0.24076139999999999</v>
      </c>
      <c r="Z7248">
        <v>-4.2527280000000001E-2</v>
      </c>
      <c r="AA7248">
        <v>0.96965219999999996</v>
      </c>
      <c r="AB7248">
        <v>28</v>
      </c>
      <c r="AC7248">
        <v>6.5976999999999704</v>
      </c>
      <c r="AD7248">
        <v>-1.1099753192839901</v>
      </c>
      <c r="AE7248">
        <v>24.985699999999898</v>
      </c>
      <c r="AF7248">
        <v>6.28150339920282</v>
      </c>
      <c r="AG7248">
        <v>-1.1099753192839901</v>
      </c>
      <c r="AH7248">
        <v>25.017999053422699</v>
      </c>
      <c r="AI7248">
        <v>92.463999182585496</v>
      </c>
      <c r="AJ7248">
        <v>75.905565919100198</v>
      </c>
      <c r="AK7248">
        <v>25.818396673702999</v>
      </c>
      <c r="AL7248">
        <v>90.749651263134396</v>
      </c>
      <c r="AM7248">
        <v>82.298752338919996</v>
      </c>
      <c r="AN7248">
        <v>1.0000000392839199</v>
      </c>
    </row>
    <row r="7249" spans="1:40" x14ac:dyDescent="0.25">
      <c r="A7249" t="str">
        <f>"20190312161459829"</f>
        <v>20190312161459829</v>
      </c>
      <c r="B7249" t="str">
        <f>"1552378499824266"</f>
        <v>1552378499824266</v>
      </c>
      <c r="C7249" t="s">
        <v>40</v>
      </c>
      <c r="D7249">
        <v>5.2104889999999999</v>
      </c>
      <c r="E7249">
        <v>0.54273169999999904</v>
      </c>
      <c r="F7249" t="s">
        <v>84</v>
      </c>
      <c r="G7249">
        <v>-180.1412</v>
      </c>
      <c r="H7249" s="1">
        <v>-5.1008740000000003E-6</v>
      </c>
      <c r="I7249">
        <v>128.43979999999999</v>
      </c>
      <c r="J7249">
        <v>-186.48339999999999</v>
      </c>
      <c r="K7249">
        <v>1.1099410000000001</v>
      </c>
      <c r="L7249">
        <v>104.62820000000001</v>
      </c>
      <c r="M7249">
        <v>1.2455559999999999E-2</v>
      </c>
      <c r="N7249">
        <v>0</v>
      </c>
      <c r="O7249">
        <v>0.99982309999999996</v>
      </c>
      <c r="P7249">
        <v>0.14634079999999999</v>
      </c>
      <c r="Q7249">
        <v>-2.6141279999999999E-2</v>
      </c>
      <c r="R7249">
        <v>0.98888880000000001</v>
      </c>
      <c r="S7249">
        <v>0.76882930000000005</v>
      </c>
      <c r="T7249">
        <v>-0.13448550000000001</v>
      </c>
      <c r="U7249">
        <v>2.9164119999999998</v>
      </c>
      <c r="V7249">
        <v>0.13400399999999901</v>
      </c>
      <c r="W7249">
        <v>-1.2254350000000001E-2</v>
      </c>
      <c r="X7249">
        <v>0.99090500000000004</v>
      </c>
      <c r="Y7249">
        <v>0.242594</v>
      </c>
      <c r="Z7249">
        <v>-4.4610579999999997E-2</v>
      </c>
      <c r="AA7249">
        <v>0.96910169999999995</v>
      </c>
      <c r="AB7249">
        <v>28</v>
      </c>
      <c r="AC7249">
        <v>6.3421999999999903</v>
      </c>
      <c r="AD7249">
        <v>-1.1099461008739999</v>
      </c>
      <c r="AE7249">
        <v>23.811599999999899</v>
      </c>
      <c r="AF7249">
        <v>6.0328515887890504</v>
      </c>
      <c r="AG7249">
        <v>-1.1099461008739999</v>
      </c>
      <c r="AH7249">
        <v>23.840386214906601</v>
      </c>
      <c r="AI7249">
        <v>92.584274208698503</v>
      </c>
      <c r="AJ7249">
        <v>75.7993077993344</v>
      </c>
      <c r="AK7249">
        <v>24.616890411160998</v>
      </c>
      <c r="AL7249">
        <v>90.702140123710706</v>
      </c>
      <c r="AM7249">
        <v>82.298388055107907</v>
      </c>
      <c r="AN7249">
        <v>0.99999998006746105</v>
      </c>
    </row>
    <row r="7250" spans="1:40" x14ac:dyDescent="0.25">
      <c r="A7250" t="str">
        <f>"20190312161459851"</f>
        <v>20190312161459851</v>
      </c>
      <c r="B7250" t="str">
        <f>"1552378499843786"</f>
        <v>1552378499843786</v>
      </c>
      <c r="C7250" t="s">
        <v>40</v>
      </c>
      <c r="D7250">
        <v>5.2070970000000001</v>
      </c>
      <c r="E7250">
        <v>0.54330999999999996</v>
      </c>
      <c r="F7250" t="s">
        <v>84</v>
      </c>
      <c r="G7250">
        <v>-180.0497</v>
      </c>
      <c r="H7250" s="1">
        <v>-5.2196479999999996E-6</v>
      </c>
      <c r="I7250">
        <v>128.84799999999899</v>
      </c>
      <c r="J7250">
        <v>-186.4794</v>
      </c>
      <c r="K7250">
        <v>1.10991</v>
      </c>
      <c r="L7250">
        <v>104.9134</v>
      </c>
      <c r="M7250">
        <v>1.2823670000000001E-2</v>
      </c>
      <c r="N7250">
        <v>0</v>
      </c>
      <c r="O7250">
        <v>0.99981850000000005</v>
      </c>
      <c r="P7250">
        <v>0.14665590000000001</v>
      </c>
      <c r="Q7250">
        <v>-2.5474989999999999E-2</v>
      </c>
      <c r="R7250">
        <v>0.9888595</v>
      </c>
      <c r="S7250">
        <v>0.77447509999999997</v>
      </c>
      <c r="T7250">
        <v>-0.13361410000000001</v>
      </c>
      <c r="U7250">
        <v>2.9155579999999999</v>
      </c>
      <c r="V7250">
        <v>0.13395399999999999</v>
      </c>
      <c r="W7250">
        <v>-1.160248E-2</v>
      </c>
      <c r="X7250">
        <v>0.99091960000000001</v>
      </c>
      <c r="Y7250">
        <v>0.24406359999999999</v>
      </c>
      <c r="Z7250">
        <v>-4.4315269999999997E-2</v>
      </c>
      <c r="AA7250">
        <v>0.96874610000000005</v>
      </c>
      <c r="AB7250">
        <v>28</v>
      </c>
      <c r="AC7250">
        <v>6.4296999999999898</v>
      </c>
      <c r="AD7250">
        <v>-1.109915219648</v>
      </c>
      <c r="AE7250">
        <v>23.9345999999999</v>
      </c>
      <c r="AF7250">
        <v>6.1099565941669098</v>
      </c>
      <c r="AG7250">
        <v>-1.109915219648</v>
      </c>
      <c r="AH7250">
        <v>23.967021484369599</v>
      </c>
      <c r="AI7250">
        <v>92.569415231969501</v>
      </c>
      <c r="AJ7250">
        <v>75.698115712853394</v>
      </c>
      <c r="AK7250">
        <v>24.758465223224999</v>
      </c>
      <c r="AL7250">
        <v>90.664788069984795</v>
      </c>
      <c r="AM7250">
        <v>82.301339306016203</v>
      </c>
      <c r="AN7250">
        <v>0.99999997266115404</v>
      </c>
    </row>
    <row r="7251" spans="1:40" x14ac:dyDescent="0.25">
      <c r="A7251" t="str">
        <f>"20190312161459874"</f>
        <v>20190312161459874</v>
      </c>
      <c r="B7251" t="str">
        <f>"1552378499864282"</f>
        <v>1552378499864282</v>
      </c>
      <c r="C7251" t="s">
        <v>40</v>
      </c>
      <c r="D7251">
        <v>5.1821659999999996</v>
      </c>
      <c r="E7251">
        <v>0.5439041</v>
      </c>
      <c r="F7251" t="s">
        <v>84</v>
      </c>
      <c r="G7251">
        <v>-179.86949999999999</v>
      </c>
      <c r="H7251" s="1">
        <v>-5.3710839999999997E-6</v>
      </c>
      <c r="I7251">
        <v>129.61320000000001</v>
      </c>
      <c r="J7251">
        <v>-186.4753</v>
      </c>
      <c r="K7251">
        <v>1.109874</v>
      </c>
      <c r="L7251">
        <v>105.2007</v>
      </c>
      <c r="M7251">
        <v>1.324053E-2</v>
      </c>
      <c r="N7251">
        <v>0</v>
      </c>
      <c r="O7251">
        <v>0.99981310000000001</v>
      </c>
      <c r="P7251">
        <v>0.1467579</v>
      </c>
      <c r="Q7251">
        <v>-2.495429E-2</v>
      </c>
      <c r="R7251">
        <v>0.9888576</v>
      </c>
      <c r="S7251">
        <v>0.78001399999999999</v>
      </c>
      <c r="T7251">
        <v>-0.1309777</v>
      </c>
      <c r="U7251">
        <v>2.914749</v>
      </c>
      <c r="V7251">
        <v>0.13364239999999999</v>
      </c>
      <c r="W7251">
        <v>-1.1095020000000001E-2</v>
      </c>
      <c r="X7251">
        <v>0.9909675</v>
      </c>
      <c r="Y7251">
        <v>0.24545449999999999</v>
      </c>
      <c r="Z7251">
        <v>-4.3435689999999999E-2</v>
      </c>
      <c r="AA7251">
        <v>0.96843449999999998</v>
      </c>
      <c r="AB7251">
        <v>28</v>
      </c>
      <c r="AC7251">
        <v>6.6058000000000101</v>
      </c>
      <c r="AD7251">
        <v>-1.109879371084</v>
      </c>
      <c r="AE7251">
        <v>24.412500000000001</v>
      </c>
      <c r="AF7251">
        <v>6.2698790128857702</v>
      </c>
      <c r="AG7251">
        <v>-1.109879371084</v>
      </c>
      <c r="AH7251">
        <v>24.4507423531496</v>
      </c>
      <c r="AI7251">
        <v>92.517664515020698</v>
      </c>
      <c r="AJ7251">
        <v>75.617598610935303</v>
      </c>
      <c r="AK7251">
        <v>25.2662228414674</v>
      </c>
      <c r="AL7251">
        <v>90.635710870116895</v>
      </c>
      <c r="AM7251">
        <v>82.319400516007704</v>
      </c>
      <c r="AN7251">
        <v>0.99999998830140502</v>
      </c>
    </row>
    <row r="7252" spans="1:40" x14ac:dyDescent="0.25">
      <c r="A7252" t="str">
        <f>"20190312161459896"</f>
        <v>20190312161459896</v>
      </c>
      <c r="B7252" t="str">
        <f>"1552378499893562"</f>
        <v>1552378499893562</v>
      </c>
      <c r="C7252" t="s">
        <v>40</v>
      </c>
      <c r="D7252">
        <v>5.2246680000000003</v>
      </c>
      <c r="E7252">
        <v>0.56340330000000005</v>
      </c>
      <c r="F7252" t="s">
        <v>84</v>
      </c>
      <c r="G7252">
        <v>-179.72380000000001</v>
      </c>
      <c r="H7252" s="1">
        <v>-5.5104109999999999E-6</v>
      </c>
      <c r="I7252">
        <v>130.25720000000001</v>
      </c>
      <c r="J7252">
        <v>-186.47120000000001</v>
      </c>
      <c r="K7252">
        <v>1.1098440000000001</v>
      </c>
      <c r="L7252">
        <v>105.47450000000001</v>
      </c>
      <c r="M7252">
        <v>1.368755E-2</v>
      </c>
      <c r="N7252">
        <v>0</v>
      </c>
      <c r="O7252">
        <v>0.99980709999999995</v>
      </c>
      <c r="P7252">
        <v>0.14668030000000001</v>
      </c>
      <c r="Q7252">
        <v>-2.4921889999999999E-2</v>
      </c>
      <c r="R7252">
        <v>0.98887000000000003</v>
      </c>
      <c r="S7252">
        <v>0.78518679999999996</v>
      </c>
      <c r="T7252">
        <v>-0.129076</v>
      </c>
      <c r="U7252">
        <v>2.9140009999999998</v>
      </c>
      <c r="V7252">
        <v>0.13312079999999901</v>
      </c>
      <c r="W7252">
        <v>-1.107489E-2</v>
      </c>
      <c r="X7252">
        <v>0.99103799999999997</v>
      </c>
      <c r="Y7252">
        <v>0.24669360000000001</v>
      </c>
      <c r="Z7252">
        <v>-4.2799919999999998E-2</v>
      </c>
      <c r="AA7252">
        <v>0.96814789999999995</v>
      </c>
      <c r="AB7252">
        <v>28</v>
      </c>
      <c r="AC7252">
        <v>6.7473999999999901</v>
      </c>
      <c r="AD7252">
        <v>-1.109849510411</v>
      </c>
      <c r="AE7252">
        <v>24.782699999999998</v>
      </c>
      <c r="AF7252">
        <v>6.3955782843448103</v>
      </c>
      <c r="AG7252">
        <v>-1.109849510411</v>
      </c>
      <c r="AH7252">
        <v>24.826388280716799</v>
      </c>
      <c r="AI7252">
        <v>92.478844939091601</v>
      </c>
      <c r="AJ7252">
        <v>75.554011007260797</v>
      </c>
      <c r="AK7252">
        <v>25.660957554071501</v>
      </c>
      <c r="AL7252">
        <v>90.634557390322598</v>
      </c>
      <c r="AM7252">
        <v>82.349559588574706</v>
      </c>
      <c r="AN7252">
        <v>1.0000000590125699</v>
      </c>
    </row>
    <row r="7253" spans="1:40" x14ac:dyDescent="0.25">
      <c r="A7253" t="str">
        <f>"20190312161459918"</f>
        <v>20190312161459918</v>
      </c>
      <c r="B7253" t="str">
        <f>"1552378499914058"</f>
        <v>1552378499914058</v>
      </c>
      <c r="C7253" t="s">
        <v>40</v>
      </c>
      <c r="D7253">
        <v>5.1641069999999996</v>
      </c>
      <c r="E7253">
        <v>0.56360339999999998</v>
      </c>
      <c r="F7253" t="s">
        <v>84</v>
      </c>
      <c r="G7253">
        <v>-175.96080000000001</v>
      </c>
      <c r="H7253" s="1">
        <v>-5.8148489999999997E-6</v>
      </c>
      <c r="I7253">
        <v>137.827</v>
      </c>
      <c r="J7253">
        <v>-186.46690000000001</v>
      </c>
      <c r="K7253">
        <v>1.1098049999999999</v>
      </c>
      <c r="L7253">
        <v>105.7457</v>
      </c>
      <c r="M7253">
        <v>1.419029E-2</v>
      </c>
      <c r="N7253">
        <v>0</v>
      </c>
      <c r="O7253">
        <v>0.99980009999999997</v>
      </c>
      <c r="P7253">
        <v>0.14633740000000001</v>
      </c>
      <c r="Q7253">
        <v>-2.5128689999999999E-2</v>
      </c>
      <c r="R7253">
        <v>0.98891549999999995</v>
      </c>
      <c r="S7253">
        <v>0.93949890000000003</v>
      </c>
      <c r="T7253">
        <v>-9.920669E-2</v>
      </c>
      <c r="U7253">
        <v>2.8919069999999998</v>
      </c>
      <c r="V7253">
        <v>0.132277799999999</v>
      </c>
      <c r="W7253">
        <v>-1.129468E-2</v>
      </c>
      <c r="X7253">
        <v>0.99114840000000004</v>
      </c>
      <c r="Y7253">
        <v>0.2952825</v>
      </c>
      <c r="Z7253">
        <v>-3.2675660000000002E-2</v>
      </c>
      <c r="AA7253">
        <v>0.95485100000000001</v>
      </c>
      <c r="AB7253">
        <v>28</v>
      </c>
      <c r="AC7253">
        <v>10.5061</v>
      </c>
      <c r="AD7253">
        <v>-1.109810814849</v>
      </c>
      <c r="AE7253">
        <v>32.081299999999999</v>
      </c>
      <c r="AF7253">
        <v>10.038903678440001</v>
      </c>
      <c r="AG7253">
        <v>-1.109810814849</v>
      </c>
      <c r="AH7253">
        <v>32.192374681605699</v>
      </c>
      <c r="AI7253">
        <v>91.884994425229195</v>
      </c>
      <c r="AJ7253">
        <v>72.680378273126394</v>
      </c>
      <c r="AK7253">
        <v>33.739594762691503</v>
      </c>
      <c r="AL7253">
        <v>90.647151210611398</v>
      </c>
      <c r="AM7253">
        <v>82.398275207083699</v>
      </c>
      <c r="AN7253">
        <v>1.0000000684958401</v>
      </c>
    </row>
    <row r="7254" spans="1:40" x14ac:dyDescent="0.25">
      <c r="A7254" t="str">
        <f>"20190312161459941"</f>
        <v>20190312161459941</v>
      </c>
      <c r="B7254" t="str">
        <f>"1552378499933579"</f>
        <v>1552378499933579</v>
      </c>
      <c r="C7254" t="s">
        <v>40</v>
      </c>
      <c r="D7254">
        <v>5.2331009999999996</v>
      </c>
      <c r="E7254">
        <v>0.56250369999999905</v>
      </c>
      <c r="F7254" t="s">
        <v>84</v>
      </c>
      <c r="G7254">
        <v>-176.85069999999999</v>
      </c>
      <c r="H7254" s="1">
        <v>-5.4804190000000004E-6</v>
      </c>
      <c r="I7254">
        <v>135.32900000000001</v>
      </c>
      <c r="J7254">
        <v>-186.4624</v>
      </c>
      <c r="K7254">
        <v>1.1097589999999999</v>
      </c>
      <c r="L7254">
        <v>106.0266</v>
      </c>
      <c r="M7254">
        <v>1.4785400000000001E-2</v>
      </c>
      <c r="N7254">
        <v>0</v>
      </c>
      <c r="O7254">
        <v>0.9997916</v>
      </c>
      <c r="P7254">
        <v>0.14628859999999999</v>
      </c>
      <c r="Q7254">
        <v>-2.4982069999999999E-2</v>
      </c>
      <c r="R7254">
        <v>0.98892650000000004</v>
      </c>
      <c r="S7254">
        <v>0.93998720000000002</v>
      </c>
      <c r="T7254">
        <v>-0.10848389999999999</v>
      </c>
      <c r="U7254">
        <v>2.891769</v>
      </c>
      <c r="V7254">
        <v>0.1316377</v>
      </c>
      <c r="W7254">
        <v>-1.116524E-2</v>
      </c>
      <c r="X7254">
        <v>0.99123499999999998</v>
      </c>
      <c r="Y7254">
        <v>0.29484070000000001</v>
      </c>
      <c r="Z7254">
        <v>-3.5730129999999999E-2</v>
      </c>
      <c r="AA7254">
        <v>0.95487820000000001</v>
      </c>
      <c r="AB7254">
        <v>28</v>
      </c>
      <c r="AC7254">
        <v>9.6117000000000097</v>
      </c>
      <c r="AD7254">
        <v>-1.1097644804190001</v>
      </c>
      <c r="AE7254">
        <v>29.302399999999999</v>
      </c>
      <c r="AF7254">
        <v>9.1654890755735607</v>
      </c>
      <c r="AG7254">
        <v>-1.1097644804190001</v>
      </c>
      <c r="AH7254">
        <v>29.403245649555899</v>
      </c>
      <c r="AI7254">
        <v>92.063639696715896</v>
      </c>
      <c r="AJ7254">
        <v>72.686860079804603</v>
      </c>
      <c r="AK7254">
        <v>30.8186408189035</v>
      </c>
      <c r="AL7254">
        <v>90.639734430542504</v>
      </c>
      <c r="AM7254">
        <v>82.435286609071099</v>
      </c>
      <c r="AN7254">
        <v>0.99999998593527295</v>
      </c>
    </row>
    <row r="7255" spans="1:40" x14ac:dyDescent="0.25">
      <c r="A7255" t="str">
        <f>"20190312161459963"</f>
        <v>20190312161459963</v>
      </c>
      <c r="B7255" t="str">
        <f>"1552378499954074"</f>
        <v>1552378499954074</v>
      </c>
      <c r="C7255" t="s">
        <v>40</v>
      </c>
      <c r="D7255">
        <v>5.1849189999999998</v>
      </c>
      <c r="E7255">
        <v>0.56301880000000004</v>
      </c>
      <c r="F7255" t="s">
        <v>84</v>
      </c>
      <c r="G7255">
        <v>-177.09299999999999</v>
      </c>
      <c r="H7255" s="1">
        <v>-5.5732189999999997E-6</v>
      </c>
      <c r="I7255">
        <v>135.13810000000001</v>
      </c>
      <c r="J7255">
        <v>-186.45750000000001</v>
      </c>
      <c r="K7255">
        <v>1.1096900000000001</v>
      </c>
      <c r="L7255">
        <v>106.3098</v>
      </c>
      <c r="M7255">
        <v>1.5474659999999999E-2</v>
      </c>
      <c r="N7255">
        <v>0</v>
      </c>
      <c r="O7255">
        <v>0.99978109999999998</v>
      </c>
      <c r="P7255">
        <v>0.1462434</v>
      </c>
      <c r="Q7255">
        <v>-2.4399750000000001E-2</v>
      </c>
      <c r="R7255">
        <v>0.98894769999999999</v>
      </c>
      <c r="S7255">
        <v>0.9311218</v>
      </c>
      <c r="T7255">
        <v>-0.1102877</v>
      </c>
      <c r="U7255">
        <v>2.8930820000000002</v>
      </c>
      <c r="V7255">
        <v>0.130908</v>
      </c>
      <c r="W7255">
        <v>-1.0603700000000001E-2</v>
      </c>
      <c r="X7255">
        <v>0.99133780000000005</v>
      </c>
      <c r="Y7255">
        <v>0.29139690000000001</v>
      </c>
      <c r="Z7255">
        <v>-3.6343460000000001E-2</v>
      </c>
      <c r="AA7255">
        <v>0.95591159999999997</v>
      </c>
      <c r="AB7255">
        <v>28</v>
      </c>
      <c r="AC7255">
        <v>9.3645000000000191</v>
      </c>
      <c r="AD7255">
        <v>-1.1096955732189999</v>
      </c>
      <c r="AE7255">
        <v>28.828299999999999</v>
      </c>
      <c r="AF7255">
        <v>8.9052903005981801</v>
      </c>
      <c r="AG7255">
        <v>-1.1096955732189999</v>
      </c>
      <c r="AH7255">
        <v>28.930997906869202</v>
      </c>
      <c r="AI7255">
        <v>92.099479250011299</v>
      </c>
      <c r="AJ7255">
        <v>72.891039101759603</v>
      </c>
      <c r="AK7255">
        <v>30.290894002825599</v>
      </c>
      <c r="AL7255">
        <v>90.607558650178603</v>
      </c>
      <c r="AM7255">
        <v>82.477509243145406</v>
      </c>
      <c r="AN7255">
        <v>0.99999998831326498</v>
      </c>
    </row>
    <row r="7256" spans="1:40" x14ac:dyDescent="0.25">
      <c r="A7256" t="str">
        <f>"20190312161459987"</f>
        <v>20190312161459987</v>
      </c>
      <c r="B7256" t="str">
        <f>"1552378499973594"</f>
        <v>1552378499973594</v>
      </c>
      <c r="C7256" t="s">
        <v>40</v>
      </c>
      <c r="D7256">
        <v>5.205641</v>
      </c>
      <c r="E7256">
        <v>0.56384869999999898</v>
      </c>
      <c r="F7256" t="s">
        <v>84</v>
      </c>
      <c r="G7256">
        <v>-177.70939999999999</v>
      </c>
      <c r="H7256" s="1">
        <v>-5.3258219999999899E-6</v>
      </c>
      <c r="I7256">
        <v>133.37819999999999</v>
      </c>
      <c r="J7256">
        <v>-186.45230000000001</v>
      </c>
      <c r="K7256">
        <v>1.109615</v>
      </c>
      <c r="L7256">
        <v>106.58880000000001</v>
      </c>
      <c r="M7256">
        <v>1.6256570000000001E-2</v>
      </c>
      <c r="N7256">
        <v>0</v>
      </c>
      <c r="O7256">
        <v>0.99976880000000001</v>
      </c>
      <c r="P7256">
        <v>0.1465293</v>
      </c>
      <c r="Q7256">
        <v>-2.4279240000000001E-2</v>
      </c>
      <c r="R7256">
        <v>0.98890840000000002</v>
      </c>
      <c r="S7256">
        <v>0.93476870000000001</v>
      </c>
      <c r="T7256">
        <v>-0.11857529999999999</v>
      </c>
      <c r="U7256">
        <v>2.8923649999999999</v>
      </c>
      <c r="V7256">
        <v>0.13041749999999999</v>
      </c>
      <c r="W7256">
        <v>-1.050794E-2</v>
      </c>
      <c r="X7256">
        <v>0.99140349999999999</v>
      </c>
      <c r="Y7256">
        <v>0.29177809999999998</v>
      </c>
      <c r="Z7256">
        <v>-3.9069100000000002E-2</v>
      </c>
      <c r="AA7256">
        <v>0.95568779999999998</v>
      </c>
      <c r="AB7256">
        <v>28</v>
      </c>
      <c r="AC7256">
        <v>8.7429000000000094</v>
      </c>
      <c r="AD7256">
        <v>-1.1096203258220001</v>
      </c>
      <c r="AE7256">
        <v>26.789399999999901</v>
      </c>
      <c r="AF7256">
        <v>8.2933388218471098</v>
      </c>
      <c r="AG7256">
        <v>-1.1096203258220001</v>
      </c>
      <c r="AH7256">
        <v>26.886315938552901</v>
      </c>
      <c r="AI7256">
        <v>92.258418796021701</v>
      </c>
      <c r="AJ7256">
        <v>72.857125948018506</v>
      </c>
      <c r="AK7256">
        <v>28.1582085870021</v>
      </c>
      <c r="AL7256">
        <v>90.602071681209296</v>
      </c>
      <c r="AM7256">
        <v>82.505865325993796</v>
      </c>
      <c r="AN7256">
        <v>1.00000002046077</v>
      </c>
    </row>
    <row r="7257" spans="1:40" x14ac:dyDescent="0.25">
      <c r="A7257" t="str">
        <f>"20190312161500008"</f>
        <v>20190312161500008</v>
      </c>
      <c r="B7257" t="str">
        <f>"1552378500004095"</f>
        <v>1552378500004095</v>
      </c>
      <c r="C7257" t="s">
        <v>40</v>
      </c>
      <c r="D7257">
        <v>5.2536909999999999</v>
      </c>
      <c r="E7257">
        <v>0.56426949999999998</v>
      </c>
      <c r="F7257" t="s">
        <v>84</v>
      </c>
      <c r="G7257">
        <v>-177.8459</v>
      </c>
      <c r="H7257" s="1">
        <v>-5.2759459999999997E-6</v>
      </c>
      <c r="I7257">
        <v>133.00139999999999</v>
      </c>
      <c r="J7257">
        <v>-186.447</v>
      </c>
      <c r="K7257">
        <v>1.109532</v>
      </c>
      <c r="L7257">
        <v>106.8608</v>
      </c>
      <c r="M7257">
        <v>1.71390999999999E-2</v>
      </c>
      <c r="N7257">
        <v>0</v>
      </c>
      <c r="O7257">
        <v>0.99975409999999998</v>
      </c>
      <c r="P7257">
        <v>0.14684049999999901</v>
      </c>
      <c r="Q7257">
        <v>-2.4763230000000001E-2</v>
      </c>
      <c r="R7257">
        <v>0.98885020000000001</v>
      </c>
      <c r="S7257">
        <v>0.94204710000000003</v>
      </c>
      <c r="T7257">
        <v>-0.1214567</v>
      </c>
      <c r="U7257">
        <v>2.8910680000000002</v>
      </c>
      <c r="V7257">
        <v>0.12985160000000001</v>
      </c>
      <c r="W7257">
        <v>-1.101925E-2</v>
      </c>
      <c r="X7257">
        <v>0.99147220000000003</v>
      </c>
      <c r="Y7257">
        <v>0.29322399999999998</v>
      </c>
      <c r="Z7257">
        <v>-4.0008889999999998E-2</v>
      </c>
      <c r="AA7257">
        <v>0.95520620000000001</v>
      </c>
      <c r="AB7257">
        <v>28</v>
      </c>
      <c r="AC7257">
        <v>8.6011000000000006</v>
      </c>
      <c r="AD7257">
        <v>-1.109537275946</v>
      </c>
      <c r="AE7257">
        <v>26.1405999999999</v>
      </c>
      <c r="AF7257">
        <v>8.1385357628567991</v>
      </c>
      <c r="AG7257">
        <v>-1.109537275946</v>
      </c>
      <c r="AH7257">
        <v>26.241531394622999</v>
      </c>
      <c r="AI7257">
        <v>92.312582308903501</v>
      </c>
      <c r="AJ7257">
        <v>72.769271425522405</v>
      </c>
      <c r="AK7257">
        <v>27.4969963316905</v>
      </c>
      <c r="AL7257">
        <v>90.631369300707902</v>
      </c>
      <c r="AM7257">
        <v>82.538527416962097</v>
      </c>
      <c r="AN7257">
        <v>0.99999999263298101</v>
      </c>
    </row>
    <row r="7258" spans="1:40" x14ac:dyDescent="0.25">
      <c r="A7258" t="str">
        <f>"20190312161500030"</f>
        <v>20190312161500030</v>
      </c>
      <c r="B7258" t="str">
        <f>"1552378500023615"</f>
        <v>1552378500023615</v>
      </c>
      <c r="C7258" t="s">
        <v>40</v>
      </c>
      <c r="D7258">
        <v>5.2649359999999996</v>
      </c>
      <c r="E7258">
        <v>0.56461079999999997</v>
      </c>
      <c r="F7258" t="s">
        <v>84</v>
      </c>
      <c r="G7258">
        <v>-177.41399999999999</v>
      </c>
      <c r="H7258" s="1">
        <v>-5.5265679999999997E-6</v>
      </c>
      <c r="I7258">
        <v>134.43819999999999</v>
      </c>
      <c r="J7258">
        <v>-186.44130000000001</v>
      </c>
      <c r="K7258">
        <v>1.109442</v>
      </c>
      <c r="L7258">
        <v>107.12730000000001</v>
      </c>
      <c r="M7258">
        <v>1.8141069999999999E-2</v>
      </c>
      <c r="N7258">
        <v>0</v>
      </c>
      <c r="O7258">
        <v>0.99973639999999997</v>
      </c>
      <c r="P7258">
        <v>0.14772660000000001</v>
      </c>
      <c r="Q7258">
        <v>-2.4360429999999999E-2</v>
      </c>
      <c r="R7258">
        <v>0.98872819999999995</v>
      </c>
      <c r="S7258">
        <v>0.94673160000000001</v>
      </c>
      <c r="T7258">
        <v>-0.1162884</v>
      </c>
      <c r="U7258">
        <v>2.8903349999999999</v>
      </c>
      <c r="V7258">
        <v>0.12974449999999901</v>
      </c>
      <c r="W7258">
        <v>-1.0647230000000001E-2</v>
      </c>
      <c r="X7258">
        <v>0.99149030000000005</v>
      </c>
      <c r="Y7258">
        <v>0.29375679999999998</v>
      </c>
      <c r="Z7258">
        <v>-3.8304650000000003E-2</v>
      </c>
      <c r="AA7258">
        <v>0.95511239999999997</v>
      </c>
      <c r="AB7258">
        <v>28</v>
      </c>
      <c r="AC7258">
        <v>9.0272999999999897</v>
      </c>
      <c r="AD7258">
        <v>-1.1094475265679999</v>
      </c>
      <c r="AE7258">
        <v>27.310899999999901</v>
      </c>
      <c r="AF7258">
        <v>8.5176445952797799</v>
      </c>
      <c r="AG7258">
        <v>-1.1094475265679999</v>
      </c>
      <c r="AH7258">
        <v>27.429379679226699</v>
      </c>
      <c r="AI7258">
        <v>92.212113044109302</v>
      </c>
      <c r="AJ7258">
        <v>72.748864879092906</v>
      </c>
      <c r="AK7258">
        <v>28.742860206543099</v>
      </c>
      <c r="AL7258">
        <v>90.610052864960295</v>
      </c>
      <c r="AM7258">
        <v>82.544746858352596</v>
      </c>
      <c r="AN7258">
        <v>1.0000000068904999</v>
      </c>
    </row>
    <row r="7259" spans="1:40" x14ac:dyDescent="0.25">
      <c r="A7259" t="str">
        <f>"20190312161500052"</f>
        <v>20190312161500052</v>
      </c>
      <c r="B7259" t="str">
        <f>"1552378500044112"</f>
        <v>1552378500044112</v>
      </c>
      <c r="C7259" t="s">
        <v>40</v>
      </c>
      <c r="D7259">
        <v>5.2861890000000002</v>
      </c>
      <c r="E7259">
        <v>0.5651138</v>
      </c>
      <c r="F7259" t="s">
        <v>84</v>
      </c>
      <c r="G7259">
        <v>-177.0504</v>
      </c>
      <c r="H7259" s="1">
        <v>-5.724808E-6</v>
      </c>
      <c r="I7259">
        <v>135.62979999999999</v>
      </c>
      <c r="J7259">
        <v>-186.435</v>
      </c>
      <c r="K7259">
        <v>1.109351</v>
      </c>
      <c r="L7259">
        <v>107.4072</v>
      </c>
      <c r="M7259">
        <v>1.9314060000000001E-2</v>
      </c>
      <c r="N7259">
        <v>0</v>
      </c>
      <c r="O7259">
        <v>0.9997144</v>
      </c>
      <c r="P7259">
        <v>0.14845810000000001</v>
      </c>
      <c r="Q7259">
        <v>-2.3869950000000001E-2</v>
      </c>
      <c r="R7259">
        <v>0.98863060000000003</v>
      </c>
      <c r="S7259">
        <v>0.95193479999999997</v>
      </c>
      <c r="T7259">
        <v>-0.1124612</v>
      </c>
      <c r="U7259">
        <v>2.8892060000000002</v>
      </c>
      <c r="V7259">
        <v>0.12931319999999999</v>
      </c>
      <c r="W7259">
        <v>-1.018576E-2</v>
      </c>
      <c r="X7259">
        <v>0.99155150000000003</v>
      </c>
      <c r="Y7259">
        <v>0.29431309999999999</v>
      </c>
      <c r="Z7259">
        <v>-3.704495E-2</v>
      </c>
      <c r="AA7259">
        <v>0.95499089999999998</v>
      </c>
      <c r="AB7259">
        <v>28</v>
      </c>
      <c r="AC7259">
        <v>9.3846000000000007</v>
      </c>
      <c r="AD7259">
        <v>-1.1093567248080001</v>
      </c>
      <c r="AE7259">
        <v>28.2225999999999</v>
      </c>
      <c r="AF7259">
        <v>8.8254238286186695</v>
      </c>
      <c r="AG7259">
        <v>-1.1093567248080001</v>
      </c>
      <c r="AH7259">
        <v>28.359152745705799</v>
      </c>
      <c r="AI7259">
        <v>92.139073961851395</v>
      </c>
      <c r="AJ7259">
        <v>72.713756014359205</v>
      </c>
      <c r="AK7259">
        <v>29.721378207477201</v>
      </c>
      <c r="AL7259">
        <v>90.583611142094796</v>
      </c>
      <c r="AM7259">
        <v>82.569705898176494</v>
      </c>
      <c r="AN7259">
        <v>1.00000001527663</v>
      </c>
    </row>
    <row r="7260" spans="1:40" x14ac:dyDescent="0.25">
      <c r="A7260" t="str">
        <f>"20190312161500076"</f>
        <v>20190312161500076</v>
      </c>
      <c r="B7260" t="str">
        <f>"1552378500063632"</f>
        <v>1552378500063632</v>
      </c>
      <c r="C7260" t="s">
        <v>40</v>
      </c>
      <c r="D7260">
        <v>5.2967529999999998</v>
      </c>
      <c r="E7260">
        <v>0.56559510000000002</v>
      </c>
      <c r="F7260" t="s">
        <v>84</v>
      </c>
      <c r="G7260">
        <v>-177.03550000000001</v>
      </c>
      <c r="H7260" s="1">
        <v>-5.755945E-6</v>
      </c>
      <c r="I7260">
        <v>135.74529999999999</v>
      </c>
      <c r="J7260">
        <v>-186.4281</v>
      </c>
      <c r="K7260">
        <v>1.109259</v>
      </c>
      <c r="L7260">
        <v>107.6889</v>
      </c>
      <c r="M7260">
        <v>2.0622729999999999E-2</v>
      </c>
      <c r="N7260">
        <v>0</v>
      </c>
      <c r="O7260">
        <v>0.99968829999999997</v>
      </c>
      <c r="P7260">
        <v>0.15001689999999901</v>
      </c>
      <c r="Q7260">
        <v>-2.3397589999999999E-2</v>
      </c>
      <c r="R7260">
        <v>0.98840649999999997</v>
      </c>
      <c r="S7260">
        <v>0.957901</v>
      </c>
      <c r="T7260">
        <v>-0.113054</v>
      </c>
      <c r="U7260">
        <v>2.8879239999999999</v>
      </c>
      <c r="V7260">
        <v>0.12957730000000001</v>
      </c>
      <c r="W7260">
        <v>-9.7437050000000001E-3</v>
      </c>
      <c r="X7260">
        <v>0.9915214</v>
      </c>
      <c r="Y7260">
        <v>0.29496420000000001</v>
      </c>
      <c r="Z7260">
        <v>-3.7238559999999997E-2</v>
      </c>
      <c r="AA7260">
        <v>0.95478240000000003</v>
      </c>
      <c r="AB7260">
        <v>28</v>
      </c>
      <c r="AC7260">
        <v>9.3925999999999803</v>
      </c>
      <c r="AD7260">
        <v>-1.109264755945</v>
      </c>
      <c r="AE7260">
        <v>28.056399999999901</v>
      </c>
      <c r="AF7260">
        <v>8.7995762238628892</v>
      </c>
      <c r="AG7260">
        <v>-1.109264755945</v>
      </c>
      <c r="AH7260">
        <v>28.2045070239339</v>
      </c>
      <c r="AI7260">
        <v>92.150131438968202</v>
      </c>
      <c r="AJ7260">
        <v>72.672503947601697</v>
      </c>
      <c r="AK7260">
        <v>29.566150011144401</v>
      </c>
      <c r="AL7260">
        <v>90.558282034464497</v>
      </c>
      <c r="AM7260">
        <v>82.554477396465302</v>
      </c>
      <c r="AN7260">
        <v>0.99999995156018695</v>
      </c>
    </row>
    <row r="7261" spans="1:40" x14ac:dyDescent="0.25">
      <c r="A7261" t="str">
        <f>"20190312161500096"</f>
        <v>20190312161500096</v>
      </c>
      <c r="B7261" t="str">
        <f>"1552378500093887"</f>
        <v>1552378500093887</v>
      </c>
      <c r="C7261" t="s">
        <v>40</v>
      </c>
      <c r="D7261">
        <v>5.1495569999999997</v>
      </c>
      <c r="E7261">
        <v>0.5668803</v>
      </c>
      <c r="F7261" t="s">
        <v>84</v>
      </c>
      <c r="G7261">
        <v>-176.82740000000001</v>
      </c>
      <c r="H7261" s="1">
        <v>-5.8401890000000003E-6</v>
      </c>
      <c r="I7261">
        <v>136.35669999999999</v>
      </c>
      <c r="J7261">
        <v>-186.42140000000001</v>
      </c>
      <c r="K7261">
        <v>1.1091789999999999</v>
      </c>
      <c r="L7261">
        <v>107.94799999999999</v>
      </c>
      <c r="M7261">
        <v>2.1949969999999999E-2</v>
      </c>
      <c r="N7261">
        <v>0</v>
      </c>
      <c r="O7261">
        <v>0.99966010000000005</v>
      </c>
      <c r="P7261">
        <v>0.15152079999999901</v>
      </c>
      <c r="Q7261">
        <v>-2.264971E-2</v>
      </c>
      <c r="R7261">
        <v>0.98819449999999998</v>
      </c>
      <c r="S7261">
        <v>0.96646120000000002</v>
      </c>
      <c r="T7261">
        <v>-0.1116641</v>
      </c>
      <c r="U7261">
        <v>2.8858489999999999</v>
      </c>
      <c r="V7261">
        <v>0.1297692</v>
      </c>
      <c r="W7261">
        <v>-9.0235550000000008E-3</v>
      </c>
      <c r="X7261">
        <v>0.99150320000000003</v>
      </c>
      <c r="Y7261">
        <v>0.29645460000000001</v>
      </c>
      <c r="Z7261">
        <v>-3.677938E-2</v>
      </c>
      <c r="AA7261">
        <v>0.95433849999999998</v>
      </c>
      <c r="AB7261">
        <v>27</v>
      </c>
      <c r="AC7261">
        <v>9.5939999999999905</v>
      </c>
      <c r="AD7261">
        <v>-1.1091848401890001</v>
      </c>
      <c r="AE7261">
        <v>28.4087</v>
      </c>
      <c r="AF7261">
        <v>8.9558014862073296</v>
      </c>
      <c r="AG7261">
        <v>-1.1091848401890001</v>
      </c>
      <c r="AH7261">
        <v>28.573364356577802</v>
      </c>
      <c r="AI7261">
        <v>92.121378353599297</v>
      </c>
      <c r="AJ7261">
        <v>72.597349061039495</v>
      </c>
      <c r="AK7261">
        <v>29.964542745114802</v>
      </c>
      <c r="AL7261">
        <v>90.517018617287405</v>
      </c>
      <c r="AM7261">
        <v>82.543439464472399</v>
      </c>
      <c r="AN7261">
        <v>1.0000000327118499</v>
      </c>
    </row>
    <row r="7262" spans="1:40" x14ac:dyDescent="0.25">
      <c r="A7262" t="str">
        <f>"20190312161500121"</f>
        <v>20190312161500121</v>
      </c>
      <c r="B7262" t="str">
        <f>"1552378500114383"</f>
        <v>1552378500114383</v>
      </c>
      <c r="C7262" t="s">
        <v>40</v>
      </c>
      <c r="D7262">
        <v>5.2271769999999904</v>
      </c>
      <c r="E7262">
        <v>0.5665905</v>
      </c>
      <c r="F7262" t="s">
        <v>84</v>
      </c>
      <c r="G7262">
        <v>-176.5318</v>
      </c>
      <c r="H7262" s="1">
        <v>-5.8848820000000001E-6</v>
      </c>
      <c r="I7262">
        <v>137.01070000000001</v>
      </c>
      <c r="J7262">
        <v>-186.41319999999999</v>
      </c>
      <c r="K7262">
        <v>1.1090789999999999</v>
      </c>
      <c r="L7262">
        <v>108.2385</v>
      </c>
      <c r="M7262">
        <v>2.3587210000000001E-2</v>
      </c>
      <c r="N7262">
        <v>0</v>
      </c>
      <c r="O7262">
        <v>0.99962280000000003</v>
      </c>
      <c r="P7262">
        <v>0.15344739999999901</v>
      </c>
      <c r="Q7262">
        <v>-2.2512959999999999E-2</v>
      </c>
      <c r="R7262">
        <v>0.98790029999999995</v>
      </c>
      <c r="S7262">
        <v>0.98100279999999995</v>
      </c>
      <c r="T7262">
        <v>-0.11002679999999999</v>
      </c>
      <c r="U7262">
        <v>2.8829039999999999</v>
      </c>
      <c r="V7262">
        <v>0.13007669999999999</v>
      </c>
      <c r="W7262">
        <v>-8.9204499999999999E-3</v>
      </c>
      <c r="X7262">
        <v>0.99146380000000001</v>
      </c>
      <c r="Y7262">
        <v>0.2995099</v>
      </c>
      <c r="Z7262">
        <v>-3.622773E-2</v>
      </c>
      <c r="AA7262">
        <v>0.95340510000000001</v>
      </c>
      <c r="AB7262">
        <v>27</v>
      </c>
      <c r="AC7262">
        <v>9.8813999999999798</v>
      </c>
      <c r="AD7262">
        <v>-1.1090848848819901</v>
      </c>
      <c r="AE7262">
        <v>28.772200000000002</v>
      </c>
      <c r="AF7262">
        <v>9.1877156864345206</v>
      </c>
      <c r="AG7262">
        <v>-1.1090848848819901</v>
      </c>
      <c r="AH7262">
        <v>28.958801714264901</v>
      </c>
      <c r="AI7262">
        <v>92.090680016292694</v>
      </c>
      <c r="AJ7262">
        <v>72.397406641731905</v>
      </c>
      <c r="AK7262">
        <v>30.401585247199499</v>
      </c>
      <c r="AL7262">
        <v>90.511110917875797</v>
      </c>
      <c r="AM7262">
        <v>82.525676335050704</v>
      </c>
      <c r="AN7262">
        <v>0.99999999451076604</v>
      </c>
    </row>
    <row r="7263" spans="1:40" x14ac:dyDescent="0.25">
      <c r="A7263" t="str">
        <f>"20190312161500143"</f>
        <v>20190312161500143</v>
      </c>
      <c r="B7263" t="str">
        <f>"1552378500133903"</f>
        <v>1552378500133903</v>
      </c>
      <c r="C7263" t="s">
        <v>40</v>
      </c>
      <c r="D7263">
        <v>5.3173519999999996</v>
      </c>
      <c r="E7263">
        <v>0.56669749999999997</v>
      </c>
      <c r="F7263" t="s">
        <v>84</v>
      </c>
      <c r="G7263">
        <v>-175.5719</v>
      </c>
      <c r="H7263" s="1">
        <v>-6.3133909999999999E-6</v>
      </c>
      <c r="I7263">
        <v>139.97149999999999</v>
      </c>
      <c r="J7263">
        <v>-186.405</v>
      </c>
      <c r="K7263">
        <v>1.108981</v>
      </c>
      <c r="L7263">
        <v>108.5119</v>
      </c>
      <c r="M7263">
        <v>2.527254E-2</v>
      </c>
      <c r="N7263">
        <v>0</v>
      </c>
      <c r="O7263">
        <v>0.99958159999999896</v>
      </c>
      <c r="P7263">
        <v>0.15559210000000001</v>
      </c>
      <c r="Q7263">
        <v>-2.2548829999999999E-2</v>
      </c>
      <c r="R7263">
        <v>0.987564</v>
      </c>
      <c r="S7263">
        <v>0.98445130000000003</v>
      </c>
      <c r="T7263">
        <v>-0.1007111</v>
      </c>
      <c r="U7263">
        <v>2.8815309999999998</v>
      </c>
      <c r="V7263">
        <v>0.13055539999999999</v>
      </c>
      <c r="W7263">
        <v>-8.9914890000000001E-3</v>
      </c>
      <c r="X7263">
        <v>0.99140019999999995</v>
      </c>
      <c r="Y7263">
        <v>0.29909629999999998</v>
      </c>
      <c r="Z7263">
        <v>-3.3172930000000003E-2</v>
      </c>
      <c r="AA7263">
        <v>0.95364610000000005</v>
      </c>
      <c r="AB7263">
        <v>27</v>
      </c>
      <c r="AC7263">
        <v>10.8331</v>
      </c>
      <c r="AD7263">
        <v>-1.108987313391</v>
      </c>
      <c r="AE7263">
        <v>31.459599999999899</v>
      </c>
      <c r="AF7263">
        <v>10.0233614054683</v>
      </c>
      <c r="AG7263">
        <v>-1.108987313391</v>
      </c>
      <c r="AH7263">
        <v>31.688153952349701</v>
      </c>
      <c r="AI7263">
        <v>91.9111036331973</v>
      </c>
      <c r="AJ7263">
        <v>72.4471823187355</v>
      </c>
      <c r="AK7263">
        <v>33.254123468131098</v>
      </c>
      <c r="AL7263">
        <v>90.515181334860102</v>
      </c>
      <c r="AM7263">
        <v>82.498006749148004</v>
      </c>
      <c r="AN7263">
        <v>0.99999995795181695</v>
      </c>
    </row>
    <row r="7264" spans="1:40" x14ac:dyDescent="0.25">
      <c r="A7264" t="str">
        <f>"20190312161500166"</f>
        <v>20190312161500166</v>
      </c>
      <c r="B7264" t="str">
        <f>"1552378500154400"</f>
        <v>1552378500154400</v>
      </c>
      <c r="C7264" t="s">
        <v>40</v>
      </c>
      <c r="D7264">
        <v>5.3134499999999996</v>
      </c>
      <c r="E7264">
        <v>0.56674809999999998</v>
      </c>
      <c r="F7264" t="s">
        <v>84</v>
      </c>
      <c r="G7264">
        <v>-174.63480000000001</v>
      </c>
      <c r="H7264" s="1">
        <v>-6.6653299999999999E-6</v>
      </c>
      <c r="I7264">
        <v>142.6833</v>
      </c>
      <c r="J7264">
        <v>-186.39609999999999</v>
      </c>
      <c r="K7264">
        <v>1.1088800000000001</v>
      </c>
      <c r="L7264">
        <v>108.7859</v>
      </c>
      <c r="M7264">
        <v>2.7104400000000001E-2</v>
      </c>
      <c r="N7264">
        <v>0</v>
      </c>
      <c r="O7264">
        <v>0.99953360000000002</v>
      </c>
      <c r="P7264">
        <v>0.15836159999999999</v>
      </c>
      <c r="Q7264">
        <v>-2.1374870000000001E-2</v>
      </c>
      <c r="R7264">
        <v>0.98714979999999997</v>
      </c>
      <c r="S7264">
        <v>0.99179079999999997</v>
      </c>
      <c r="T7264">
        <v>-9.3446489999999993E-2</v>
      </c>
      <c r="U7264">
        <v>2.8793790000000001</v>
      </c>
      <c r="V7264">
        <v>0.13151979999999999</v>
      </c>
      <c r="W7264">
        <v>-7.8567979999999999E-3</v>
      </c>
      <c r="X7264">
        <v>0.99128240000000001</v>
      </c>
      <c r="Y7264">
        <v>0.29976510000000001</v>
      </c>
      <c r="Z7264">
        <v>-3.0786330000000001E-2</v>
      </c>
      <c r="AA7264">
        <v>0.95351620000000004</v>
      </c>
      <c r="AB7264">
        <v>27</v>
      </c>
      <c r="AC7264">
        <v>11.761299999999901</v>
      </c>
      <c r="AD7264">
        <v>-1.10888666532999</v>
      </c>
      <c r="AE7264">
        <v>33.897399999999998</v>
      </c>
      <c r="AF7264">
        <v>10.8277763098432</v>
      </c>
      <c r="AG7264">
        <v>-1.10888666532999</v>
      </c>
      <c r="AH7264">
        <v>34.1711197407719</v>
      </c>
      <c r="AI7264">
        <v>91.771885309484603</v>
      </c>
      <c r="AJ7264">
        <v>72.418193707563603</v>
      </c>
      <c r="AK7264">
        <v>35.862735447686099</v>
      </c>
      <c r="AL7264">
        <v>90.450166001058903</v>
      </c>
      <c r="AM7264">
        <v>82.442340734275305</v>
      </c>
      <c r="AN7264">
        <v>0.99999999180830601</v>
      </c>
    </row>
    <row r="7265" spans="1:40" x14ac:dyDescent="0.25">
      <c r="A7265" t="str">
        <f>"20190312161500189"</f>
        <v>20190312161500189</v>
      </c>
      <c r="B7265" t="str">
        <f>"1552378500183680"</f>
        <v>1552378500183680</v>
      </c>
      <c r="C7265" t="s">
        <v>40</v>
      </c>
      <c r="D7265">
        <v>5.3542389999999997</v>
      </c>
      <c r="E7265">
        <v>0.56703019999999904</v>
      </c>
      <c r="F7265" t="s">
        <v>84</v>
      </c>
      <c r="G7265">
        <v>-173.30449999999999</v>
      </c>
      <c r="H7265" s="1">
        <v>-7.2906909999999999E-6</v>
      </c>
      <c r="I7265">
        <v>146.43899999999999</v>
      </c>
      <c r="J7265">
        <v>-186.3862</v>
      </c>
      <c r="K7265">
        <v>1.1087659999999999</v>
      </c>
      <c r="L7265">
        <v>109.0681</v>
      </c>
      <c r="M7265">
        <v>2.9144719999999999E-2</v>
      </c>
      <c r="N7265">
        <v>0</v>
      </c>
      <c r="O7265">
        <v>0.99947620000000004</v>
      </c>
      <c r="P7265">
        <v>0.16090380000000001</v>
      </c>
      <c r="Q7265">
        <v>-2.083923E-2</v>
      </c>
      <c r="R7265">
        <v>0.98675009999999996</v>
      </c>
      <c r="S7265">
        <v>1.0002139999999999</v>
      </c>
      <c r="T7265">
        <v>-8.4720130000000005E-2</v>
      </c>
      <c r="U7265">
        <v>2.8767399999999999</v>
      </c>
      <c r="V7265">
        <v>0.1320489</v>
      </c>
      <c r="W7265">
        <v>-7.3604040000000001E-3</v>
      </c>
      <c r="X7265">
        <v>0.99121590000000004</v>
      </c>
      <c r="Y7265">
        <v>0.30060769999999998</v>
      </c>
      <c r="Z7265">
        <v>-2.791882E-2</v>
      </c>
      <c r="AA7265">
        <v>0.95333920000000005</v>
      </c>
      <c r="AB7265">
        <v>27</v>
      </c>
      <c r="AC7265">
        <v>13.0817</v>
      </c>
      <c r="AD7265">
        <v>-1.1087732906909999</v>
      </c>
      <c r="AE7265">
        <v>37.370899999999899</v>
      </c>
      <c r="AF7265">
        <v>11.9774770591247</v>
      </c>
      <c r="AG7265">
        <v>-1.1087732906909999</v>
      </c>
      <c r="AH7265">
        <v>37.706752946066402</v>
      </c>
      <c r="AI7265">
        <v>91.605308840053098</v>
      </c>
      <c r="AJ7265">
        <v>72.377650476645599</v>
      </c>
      <c r="AK7265">
        <v>39.578890240223998</v>
      </c>
      <c r="AL7265">
        <v>90.421723882512097</v>
      </c>
      <c r="AM7265">
        <v>82.411786928753898</v>
      </c>
      <c r="AN7265">
        <v>1.00000002397553</v>
      </c>
    </row>
    <row r="7266" spans="1:40" x14ac:dyDescent="0.25">
      <c r="A7266" t="str">
        <f>"20190312161500209"</f>
        <v>20190312161500209</v>
      </c>
      <c r="B7266" t="str">
        <f>"1552378500204176"</f>
        <v>1552378500204176</v>
      </c>
      <c r="C7266" t="s">
        <v>40</v>
      </c>
      <c r="D7266">
        <v>5.3549290000000003</v>
      </c>
      <c r="E7266">
        <v>0.56722419999999996</v>
      </c>
      <c r="F7266" t="s">
        <v>84</v>
      </c>
      <c r="G7266">
        <v>-172.136</v>
      </c>
      <c r="H7266">
        <v>2.613791E-2</v>
      </c>
      <c r="I7266">
        <v>149.6163</v>
      </c>
      <c r="J7266">
        <v>-186.37690000000001</v>
      </c>
      <c r="K7266">
        <v>1.108663</v>
      </c>
      <c r="L7266">
        <v>109.3164</v>
      </c>
      <c r="M7266">
        <v>3.108257E-2</v>
      </c>
      <c r="N7266">
        <v>0</v>
      </c>
      <c r="O7266">
        <v>0.99941780000000002</v>
      </c>
      <c r="P7266">
        <v>0.16384509999999999</v>
      </c>
      <c r="Q7266">
        <v>-2.116999E-2</v>
      </c>
      <c r="R7266">
        <v>0.98625890000000005</v>
      </c>
      <c r="S7266">
        <v>1.010025</v>
      </c>
      <c r="T7266">
        <v>-7.6734189999999994E-2</v>
      </c>
      <c r="U7266">
        <v>2.8739620000000001</v>
      </c>
      <c r="V7266">
        <v>0.13307910000000001</v>
      </c>
      <c r="W7266">
        <v>-7.7285790000000002E-3</v>
      </c>
      <c r="X7266">
        <v>0.99107529999999999</v>
      </c>
      <c r="Y7266">
        <v>0.30196699999999999</v>
      </c>
      <c r="Z7266">
        <v>-2.529037E-2</v>
      </c>
      <c r="AA7266">
        <v>0.95298280000000002</v>
      </c>
      <c r="AB7266">
        <v>27</v>
      </c>
      <c r="AC7266">
        <v>14.2409</v>
      </c>
      <c r="AD7266">
        <v>-1.0825250900000001</v>
      </c>
      <c r="AE7266">
        <v>40.299900000000001</v>
      </c>
      <c r="AF7266">
        <v>12.9729477385038</v>
      </c>
      <c r="AG7266">
        <v>-1.0825250900000001</v>
      </c>
      <c r="AH7266">
        <v>40.697006423146</v>
      </c>
      <c r="AI7266">
        <v>91.451745587843703</v>
      </c>
      <c r="AJ7266">
        <v>72.319326086379903</v>
      </c>
      <c r="AK7266">
        <v>42.7283929653576</v>
      </c>
      <c r="AL7266">
        <v>90.442819360530706</v>
      </c>
      <c r="AM7266">
        <v>82.352212148764394</v>
      </c>
      <c r="AN7266">
        <v>1.00000001403012</v>
      </c>
    </row>
    <row r="7267" spans="1:40" x14ac:dyDescent="0.25">
      <c r="A7267" t="str">
        <f>"20190312161500231"</f>
        <v>20190312161500231</v>
      </c>
      <c r="B7267" t="str">
        <f>"1552378500223696"</f>
        <v>1552378500223696</v>
      </c>
      <c r="C7267" t="s">
        <v>40</v>
      </c>
      <c r="D7267">
        <v>5.3923040000000002</v>
      </c>
      <c r="E7267">
        <v>0.56743279999999996</v>
      </c>
      <c r="F7267" t="s">
        <v>84</v>
      </c>
      <c r="G7267">
        <v>-172.0515</v>
      </c>
      <c r="H7267">
        <v>6.0767620000000001E-2</v>
      </c>
      <c r="I7267">
        <v>149.62710000000001</v>
      </c>
      <c r="J7267">
        <v>-186.36590000000001</v>
      </c>
      <c r="K7267">
        <v>1.108565</v>
      </c>
      <c r="L7267">
        <v>109.5916</v>
      </c>
      <c r="M7267">
        <v>3.3356570000000002E-2</v>
      </c>
      <c r="N7267">
        <v>0</v>
      </c>
      <c r="O7267">
        <v>0.99934449999999997</v>
      </c>
      <c r="P7267">
        <v>0.1674031</v>
      </c>
      <c r="Q7267">
        <v>-2.1557840000000002E-2</v>
      </c>
      <c r="R7267">
        <v>0.9856528</v>
      </c>
      <c r="S7267">
        <v>1.020187</v>
      </c>
      <c r="T7267">
        <v>-7.4626209999999998E-2</v>
      </c>
      <c r="U7267">
        <v>2.870743</v>
      </c>
      <c r="V7267">
        <v>0.13439699999999999</v>
      </c>
      <c r="W7267">
        <v>-8.1544029999999993E-3</v>
      </c>
      <c r="X7267">
        <v>0.99089400000000005</v>
      </c>
      <c r="Y7267">
        <v>0.30313630000000003</v>
      </c>
      <c r="Z7267">
        <v>-2.4600540000000001E-2</v>
      </c>
      <c r="AA7267">
        <v>0.95262959999999997</v>
      </c>
      <c r="AB7267">
        <v>27</v>
      </c>
      <c r="AC7267">
        <v>14.314399999999999</v>
      </c>
      <c r="AD7267">
        <v>-1.04779738</v>
      </c>
      <c r="AE7267">
        <v>40.035499999999999</v>
      </c>
      <c r="AF7267">
        <v>12.9629808615787</v>
      </c>
      <c r="AG7267">
        <v>-1.04779738</v>
      </c>
      <c r="AH7267">
        <v>40.466167038258597</v>
      </c>
      <c r="AI7267">
        <v>91.412561069832194</v>
      </c>
      <c r="AJ7267">
        <v>72.237596260243194</v>
      </c>
      <c r="AK7267">
        <v>42.504675353841201</v>
      </c>
      <c r="AL7267">
        <v>90.467218062013103</v>
      </c>
      <c r="AM7267">
        <v>82.275988723607099</v>
      </c>
      <c r="AN7267">
        <v>0.99999998356664299</v>
      </c>
    </row>
    <row r="7268" spans="1:40" x14ac:dyDescent="0.25">
      <c r="A7268" t="str">
        <f>"20190312161500253"</f>
        <v>20190312161500253</v>
      </c>
      <c r="B7268" t="str">
        <f>"1552378500244192"</f>
        <v>1552378500244192</v>
      </c>
      <c r="C7268" t="s">
        <v>40</v>
      </c>
      <c r="D7268">
        <v>5.427556</v>
      </c>
      <c r="E7268">
        <v>0.56751809999999903</v>
      </c>
      <c r="F7268" t="s">
        <v>84</v>
      </c>
      <c r="G7268">
        <v>-171.94390000000001</v>
      </c>
      <c r="H7268">
        <v>7.8571070000000007E-2</v>
      </c>
      <c r="I7268">
        <v>149.64490000000001</v>
      </c>
      <c r="J7268">
        <v>-186.35400000000001</v>
      </c>
      <c r="K7268">
        <v>1.1084879999999999</v>
      </c>
      <c r="L7268">
        <v>109.86709999999999</v>
      </c>
      <c r="M7268">
        <v>3.574857E-2</v>
      </c>
      <c r="N7268">
        <v>0</v>
      </c>
      <c r="O7268">
        <v>0.99926170000000003</v>
      </c>
      <c r="P7268">
        <v>0.1710236</v>
      </c>
      <c r="Q7268">
        <v>-2.1678309999999999E-2</v>
      </c>
      <c r="R7268">
        <v>0.98502840000000003</v>
      </c>
      <c r="S7268">
        <v>1.032227</v>
      </c>
      <c r="T7268">
        <v>-7.3720099999999997E-2</v>
      </c>
      <c r="U7268">
        <v>2.8667449999999999</v>
      </c>
      <c r="V7268">
        <v>0.1356636</v>
      </c>
      <c r="W7268">
        <v>-8.3086800000000006E-3</v>
      </c>
      <c r="X7268">
        <v>0.99072009999999999</v>
      </c>
      <c r="Y7268">
        <v>0.304822599999999</v>
      </c>
      <c r="Z7268">
        <v>-2.4307459999999999E-2</v>
      </c>
      <c r="AA7268">
        <v>0.95209889999999997</v>
      </c>
      <c r="AB7268">
        <v>27</v>
      </c>
      <c r="AC7268">
        <v>14.4101</v>
      </c>
      <c r="AD7268">
        <v>-1.02991693</v>
      </c>
      <c r="AE7268">
        <v>39.777799999999999</v>
      </c>
      <c r="AF7268">
        <v>12.9710603361299</v>
      </c>
      <c r="AG7268">
        <v>-1.02991693</v>
      </c>
      <c r="AH7268">
        <v>40.243712243665698</v>
      </c>
      <c r="AI7268">
        <v>91.395336367162002</v>
      </c>
      <c r="AJ7268">
        <v>72.135208658394006</v>
      </c>
      <c r="AK7268">
        <v>42.294982093354598</v>
      </c>
      <c r="AL7268">
        <v>90.4760577835969</v>
      </c>
      <c r="AM7268">
        <v>82.202734636539603</v>
      </c>
      <c r="AN7268">
        <v>0.99999998153615599</v>
      </c>
    </row>
    <row r="7269" spans="1:40" x14ac:dyDescent="0.25">
      <c r="A7269" t="str">
        <f>"20190312161500276"</f>
        <v>20190312161500276</v>
      </c>
      <c r="B7269" t="str">
        <f>"1552378500274448"</f>
        <v>1552378500274448</v>
      </c>
      <c r="C7269" t="s">
        <v>40</v>
      </c>
      <c r="D7269">
        <v>5.4409470000000004</v>
      </c>
      <c r="E7269">
        <v>0.56796539999999995</v>
      </c>
      <c r="F7269" t="s">
        <v>84</v>
      </c>
      <c r="G7269">
        <v>-171.69290000000001</v>
      </c>
      <c r="H7269">
        <v>7.9984349999999996E-2</v>
      </c>
      <c r="I7269">
        <v>150.0865</v>
      </c>
      <c r="J7269">
        <v>-186.3415</v>
      </c>
      <c r="K7269">
        <v>1.108419</v>
      </c>
      <c r="L7269">
        <v>110.1417</v>
      </c>
      <c r="M7269">
        <v>3.8246240000000001E-2</v>
      </c>
      <c r="N7269">
        <v>0</v>
      </c>
      <c r="O7269">
        <v>0.99916919999999998</v>
      </c>
      <c r="P7269">
        <v>0.17508199999999999</v>
      </c>
      <c r="Q7269">
        <v>-2.1481259999999999E-2</v>
      </c>
      <c r="R7269">
        <v>0.98431950000000001</v>
      </c>
      <c r="S7269">
        <v>1.0435639999999999</v>
      </c>
      <c r="T7269">
        <v>-7.3207739999999993E-2</v>
      </c>
      <c r="U7269">
        <v>2.862778</v>
      </c>
      <c r="V7269">
        <v>0.13726910000000001</v>
      </c>
      <c r="W7269">
        <v>-8.1454249999999995E-3</v>
      </c>
      <c r="X7269">
        <v>0.9905003</v>
      </c>
      <c r="Y7269">
        <v>0.30619610000000003</v>
      </c>
      <c r="Z7269">
        <v>-2.4145400000000001E-2</v>
      </c>
      <c r="AA7269">
        <v>0.95166220000000001</v>
      </c>
      <c r="AB7269">
        <v>27</v>
      </c>
      <c r="AC7269">
        <v>14.648599999999901</v>
      </c>
      <c r="AD7269">
        <v>-1.0284346499999999</v>
      </c>
      <c r="AE7269">
        <v>39.944800000000001</v>
      </c>
      <c r="AF7269">
        <v>13.102334705399301</v>
      </c>
      <c r="AG7269">
        <v>-1.0284346499999999</v>
      </c>
      <c r="AH7269">
        <v>40.452241608627801</v>
      </c>
      <c r="AI7269">
        <v>91.385507394212894</v>
      </c>
      <c r="AJ7269">
        <v>72.053048701427301</v>
      </c>
      <c r="AK7269">
        <v>42.533665533603298</v>
      </c>
      <c r="AL7269">
        <v>90.466703636194097</v>
      </c>
      <c r="AM7269">
        <v>82.1098850831318</v>
      </c>
      <c r="AN7269">
        <v>0.99999999903166503</v>
      </c>
    </row>
    <row r="7270" spans="1:40" x14ac:dyDescent="0.25">
      <c r="A7270" t="str">
        <f>"20190312161500298"</f>
        <v>20190312161500298</v>
      </c>
      <c r="B7270" t="str">
        <f>"1552378500293967"</f>
        <v>1552378500293967</v>
      </c>
      <c r="C7270" t="s">
        <v>40</v>
      </c>
      <c r="D7270">
        <v>5.5061070000000001</v>
      </c>
      <c r="E7270">
        <v>0.56815130000000003</v>
      </c>
      <c r="F7270" t="s">
        <v>84</v>
      </c>
      <c r="G7270">
        <v>-170.71719999999999</v>
      </c>
      <c r="H7270">
        <v>7.9983949999999998E-2</v>
      </c>
      <c r="I7270">
        <v>152.30889999999999</v>
      </c>
      <c r="J7270">
        <v>-186.3288</v>
      </c>
      <c r="K7270">
        <v>1.1083510000000001</v>
      </c>
      <c r="L7270">
        <v>110.4016</v>
      </c>
      <c r="M7270">
        <v>4.0707170000000001E-2</v>
      </c>
      <c r="N7270">
        <v>0</v>
      </c>
      <c r="O7270">
        <v>0.99907199999999996</v>
      </c>
      <c r="P7270">
        <v>0.1797174</v>
      </c>
      <c r="Q7270">
        <v>-2.088052E-2</v>
      </c>
      <c r="R7270">
        <v>0.9834967</v>
      </c>
      <c r="S7270">
        <v>1.058945</v>
      </c>
      <c r="T7270">
        <v>-6.9702860000000005E-2</v>
      </c>
      <c r="U7270">
        <v>2.85791</v>
      </c>
      <c r="V7270">
        <v>0.13949600000000001</v>
      </c>
      <c r="W7270">
        <v>-7.5810199999999999E-3</v>
      </c>
      <c r="X7270">
        <v>0.99019360000000001</v>
      </c>
      <c r="Y7270">
        <v>0.30889229999999901</v>
      </c>
      <c r="Z7270">
        <v>-2.2992439999999999E-2</v>
      </c>
      <c r="AA7270">
        <v>0.95081910000000003</v>
      </c>
      <c r="AB7270">
        <v>27</v>
      </c>
      <c r="AC7270">
        <v>15.611599999999999</v>
      </c>
      <c r="AD7270">
        <v>-1.0283670499999999</v>
      </c>
      <c r="AE7270">
        <v>41.9072999999999</v>
      </c>
      <c r="AF7270">
        <v>13.885218449193101</v>
      </c>
      <c r="AG7270">
        <v>-1.0283670499999999</v>
      </c>
      <c r="AH7270">
        <v>42.485658231180103</v>
      </c>
      <c r="AI7270">
        <v>91.317998326577793</v>
      </c>
      <c r="AJ7270">
        <v>71.901504960156203</v>
      </c>
      <c r="AK7270">
        <v>44.708925121366804</v>
      </c>
      <c r="AL7270">
        <v>90.434364617315893</v>
      </c>
      <c r="AM7270">
        <v>81.981084935610596</v>
      </c>
      <c r="AN7270">
        <v>0.9999999856806</v>
      </c>
    </row>
    <row r="7271" spans="1:40" x14ac:dyDescent="0.25">
      <c r="A7271" t="str">
        <f>"20190312161500333"</f>
        <v>20190312161500333</v>
      </c>
      <c r="B7271" t="str">
        <f>"1552378500324224"</f>
        <v>1552378500324224</v>
      </c>
      <c r="C7271" t="s">
        <v>40</v>
      </c>
      <c r="D7271">
        <v>5.5139670000000001</v>
      </c>
      <c r="E7271">
        <v>0.56855069999999996</v>
      </c>
      <c r="F7271" t="s">
        <v>42</v>
      </c>
      <c r="G7271">
        <v>-169.70410000000001</v>
      </c>
      <c r="H7271">
        <v>7.9986959999999996E-2</v>
      </c>
      <c r="I7271">
        <v>154.56950000000001</v>
      </c>
      <c r="J7271">
        <v>-186.30709999999999</v>
      </c>
      <c r="K7271">
        <v>1.108236</v>
      </c>
      <c r="L7271">
        <v>110.8169</v>
      </c>
      <c r="M7271">
        <v>4.4825950000000003E-2</v>
      </c>
      <c r="N7271">
        <v>0</v>
      </c>
      <c r="O7271">
        <v>0.99889559999999999</v>
      </c>
      <c r="P7271">
        <v>0.18486060000000001</v>
      </c>
      <c r="Q7271">
        <v>-2.1332340000000002E-2</v>
      </c>
      <c r="R7271">
        <v>0.9825332</v>
      </c>
      <c r="S7271">
        <v>1.073761</v>
      </c>
      <c r="T7271">
        <v>-6.641996E-2</v>
      </c>
      <c r="U7271">
        <v>2.852722</v>
      </c>
      <c r="V7271">
        <v>0.14058999999999999</v>
      </c>
      <c r="W7271">
        <v>-8.0764830000000006E-3</v>
      </c>
      <c r="X7271">
        <v>0.99003490000000005</v>
      </c>
      <c r="Y7271">
        <v>0.30987559999999997</v>
      </c>
      <c r="Z7271">
        <v>-2.191862E-2</v>
      </c>
      <c r="AA7271">
        <v>0.95052440000000005</v>
      </c>
      <c r="AB7271">
        <v>27</v>
      </c>
      <c r="AC7271">
        <v>16.602999999999899</v>
      </c>
      <c r="AD7271">
        <v>-1.0282490399999999</v>
      </c>
      <c r="AE7271">
        <v>43.752600000000001</v>
      </c>
      <c r="AF7271">
        <v>14.6178038901178</v>
      </c>
      <c r="AG7271">
        <v>-1.0282490399999999</v>
      </c>
      <c r="AH7271">
        <v>44.431479419429799</v>
      </c>
      <c r="AI7271">
        <v>91.259341639967204</v>
      </c>
      <c r="AJ7271">
        <v>71.788972288591793</v>
      </c>
      <c r="AK7271">
        <v>46.785615845657297</v>
      </c>
      <c r="AL7271">
        <v>90.462753447729</v>
      </c>
      <c r="AM7271">
        <v>81.917745715172501</v>
      </c>
      <c r="AN7271">
        <v>0.99999994044782703</v>
      </c>
    </row>
    <row r="7272" spans="1:40" x14ac:dyDescent="0.25">
      <c r="A7272" t="str">
        <f>"20190312161500355"</f>
        <v>20190312161500355</v>
      </c>
      <c r="B7272" t="str">
        <f>"1552378500343744"</f>
        <v>1552378500343744</v>
      </c>
      <c r="C7272" t="s">
        <v>40</v>
      </c>
      <c r="D7272">
        <v>5.5210049999999997</v>
      </c>
      <c r="E7272">
        <v>0.56882619999999995</v>
      </c>
      <c r="F7272" t="s">
        <v>41</v>
      </c>
      <c r="G7272">
        <v>-166.71629999999999</v>
      </c>
      <c r="H7272">
        <v>-0.05</v>
      </c>
      <c r="I7272">
        <v>161.88460000000001</v>
      </c>
      <c r="J7272">
        <v>-186.292</v>
      </c>
      <c r="K7272">
        <v>1.108166</v>
      </c>
      <c r="L7272">
        <v>111.086</v>
      </c>
      <c r="M7272">
        <v>4.7616520000000002E-2</v>
      </c>
      <c r="N7272">
        <v>0</v>
      </c>
      <c r="O7272">
        <v>0.9987665</v>
      </c>
      <c r="P7272">
        <v>0.1885317</v>
      </c>
      <c r="Q7272">
        <v>-2.1672960000000002E-2</v>
      </c>
      <c r="R7272">
        <v>0.98182789999999998</v>
      </c>
      <c r="S7272">
        <v>1.09198</v>
      </c>
      <c r="T7272">
        <v>-6.4559340000000007E-2</v>
      </c>
      <c r="U7272">
        <v>2.8464809999999998</v>
      </c>
      <c r="V7272">
        <v>0.14152149999999999</v>
      </c>
      <c r="W7272">
        <v>-8.4468289999999994E-3</v>
      </c>
      <c r="X7272">
        <v>0.98989919999999998</v>
      </c>
      <c r="Y7272">
        <v>0.31322359999999999</v>
      </c>
      <c r="Z7272">
        <v>-2.1308899999999999E-2</v>
      </c>
      <c r="AA7272">
        <v>0.94944030000000001</v>
      </c>
      <c r="AB7272">
        <v>27</v>
      </c>
      <c r="AC7272">
        <v>19.575700000000001</v>
      </c>
      <c r="AD7272">
        <v>-1.158166</v>
      </c>
      <c r="AE7272">
        <v>50.7986</v>
      </c>
      <c r="AF7272">
        <v>17.126647079862501</v>
      </c>
      <c r="AG7272">
        <v>-1.158166</v>
      </c>
      <c r="AH7272">
        <v>51.649810023229101</v>
      </c>
      <c r="AI7272">
        <v>91.219289536945595</v>
      </c>
      <c r="AJ7272">
        <v>71.654908697682103</v>
      </c>
      <c r="AK7272">
        <v>54.4276240903218</v>
      </c>
      <c r="AL7272">
        <v>90.483973380618806</v>
      </c>
      <c r="AM7272">
        <v>81.863809760146594</v>
      </c>
      <c r="AN7272">
        <v>1.00000005502152</v>
      </c>
    </row>
    <row r="7273" spans="1:40" x14ac:dyDescent="0.25">
      <c r="A7273" t="str">
        <f>"20190312161500376"</f>
        <v>20190312161500376</v>
      </c>
      <c r="B7273" t="str">
        <f>"1552378500374001"</f>
        <v>1552378500374001</v>
      </c>
      <c r="C7273" t="s">
        <v>40</v>
      </c>
      <c r="D7273">
        <v>5.5354260000000002</v>
      </c>
      <c r="E7273">
        <v>0.56907140000000001</v>
      </c>
      <c r="F7273" t="s">
        <v>41</v>
      </c>
      <c r="G7273">
        <v>-166.4316</v>
      </c>
      <c r="H7273">
        <v>-0.05</v>
      </c>
      <c r="I7273">
        <v>162.17449999999999</v>
      </c>
      <c r="J7273">
        <v>-186.2758</v>
      </c>
      <c r="K7273">
        <v>1.108096</v>
      </c>
      <c r="L7273">
        <v>111.3579</v>
      </c>
      <c r="M7273">
        <v>5.0520040000000002E-2</v>
      </c>
      <c r="N7273">
        <v>0</v>
      </c>
      <c r="O7273">
        <v>0.99862379999999995</v>
      </c>
      <c r="P7273">
        <v>0.19154650000000001</v>
      </c>
      <c r="Q7273">
        <v>-2.127155E-2</v>
      </c>
      <c r="R7273">
        <v>0.98125300000000004</v>
      </c>
      <c r="S7273">
        <v>1.104797</v>
      </c>
      <c r="T7273">
        <v>-6.4426780000000003E-2</v>
      </c>
      <c r="U7273">
        <v>2.8419650000000001</v>
      </c>
      <c r="V7273">
        <v>0.14168430000000001</v>
      </c>
      <c r="W7273">
        <v>-8.0674809999999996E-3</v>
      </c>
      <c r="X7273">
        <v>0.98987899999999995</v>
      </c>
      <c r="Y7273">
        <v>0.31469269999999999</v>
      </c>
      <c r="Z7273">
        <v>-2.1270049999999999E-2</v>
      </c>
      <c r="AA7273">
        <v>0.94895529999999995</v>
      </c>
      <c r="AB7273">
        <v>27</v>
      </c>
      <c r="AC7273">
        <v>19.844200000000001</v>
      </c>
      <c r="AD7273">
        <v>-1.158096</v>
      </c>
      <c r="AE7273">
        <v>50.816600000000001</v>
      </c>
      <c r="AF7273">
        <v>17.243572906952199</v>
      </c>
      <c r="AG7273">
        <v>-1.158096</v>
      </c>
      <c r="AH7273">
        <v>51.7310133482599</v>
      </c>
      <c r="AI7273">
        <v>91.216668953483307</v>
      </c>
      <c r="AJ7273">
        <v>71.565149073379899</v>
      </c>
      <c r="AK7273">
        <v>54.541541369679301</v>
      </c>
      <c r="AL7273">
        <v>90.462237636060294</v>
      </c>
      <c r="AM7273">
        <v>81.854411790786699</v>
      </c>
      <c r="AN7273">
        <v>0.99999997987858702</v>
      </c>
    </row>
    <row r="7274" spans="1:40" x14ac:dyDescent="0.25">
      <c r="A7274" t="str">
        <f>"20190312161500398"</f>
        <v>20190312161500398</v>
      </c>
      <c r="B7274" t="str">
        <f>"1552378500394495"</f>
        <v>1552378500394495</v>
      </c>
      <c r="C7274" t="s">
        <v>40</v>
      </c>
      <c r="D7274">
        <v>5.5439679999999996</v>
      </c>
      <c r="E7274">
        <v>0.56929960000000002</v>
      </c>
      <c r="F7274" t="s">
        <v>41</v>
      </c>
      <c r="G7274">
        <v>-165.43629999999999</v>
      </c>
      <c r="H7274">
        <v>-0.05</v>
      </c>
      <c r="I7274">
        <v>164.3837</v>
      </c>
      <c r="J7274">
        <v>-186.26009999999999</v>
      </c>
      <c r="K7274">
        <v>1.108034</v>
      </c>
      <c r="L7274">
        <v>111.608</v>
      </c>
      <c r="M7274">
        <v>5.327316E-2</v>
      </c>
      <c r="N7274">
        <v>0</v>
      </c>
      <c r="O7274">
        <v>0.9984807</v>
      </c>
      <c r="P7274">
        <v>0.19503580000000001</v>
      </c>
      <c r="Q7274">
        <v>-2.1607620000000001E-2</v>
      </c>
      <c r="R7274">
        <v>0.98055809999999999</v>
      </c>
      <c r="S7274">
        <v>1.115448</v>
      </c>
      <c r="T7274">
        <v>-6.1987880000000002E-2</v>
      </c>
      <c r="U7274">
        <v>2.8382420000000002</v>
      </c>
      <c r="V7274">
        <v>0.14247360000000001</v>
      </c>
      <c r="W7274">
        <v>-8.4277239999999993E-3</v>
      </c>
      <c r="X7274">
        <v>0.9897627</v>
      </c>
      <c r="Y7274">
        <v>0.3155906</v>
      </c>
      <c r="Z7274">
        <v>-2.04691E-2</v>
      </c>
      <c r="AA7274">
        <v>0.94867469999999998</v>
      </c>
      <c r="AB7274">
        <v>27</v>
      </c>
      <c r="AC7274">
        <v>20.823799999999999</v>
      </c>
      <c r="AD7274">
        <v>-1.158034</v>
      </c>
      <c r="AE7274">
        <v>52.775700000000001</v>
      </c>
      <c r="AF7274">
        <v>17.974928178395601</v>
      </c>
      <c r="AG7274">
        <v>-1.158034</v>
      </c>
      <c r="AH7274">
        <v>53.787793258177302</v>
      </c>
      <c r="AI7274">
        <v>91.169796715998103</v>
      </c>
      <c r="AJ7274">
        <v>71.521284618969304</v>
      </c>
      <c r="AK7274">
        <v>56.723591118229301</v>
      </c>
      <c r="AL7274">
        <v>90.482878743151005</v>
      </c>
      <c r="AM7274">
        <v>81.808698708634296</v>
      </c>
      <c r="AN7274">
        <v>0.99999997777003402</v>
      </c>
    </row>
    <row r="7275" spans="1:40" x14ac:dyDescent="0.25">
      <c r="A7275" t="str">
        <f>"20190312161500420"</f>
        <v>20190312161500420</v>
      </c>
      <c r="B7275" t="str">
        <f>"1552378500414015"</f>
        <v>1552378500414015</v>
      </c>
      <c r="C7275" t="s">
        <v>40</v>
      </c>
      <c r="D7275">
        <v>5.55342</v>
      </c>
      <c r="E7275">
        <v>0.56955889999999998</v>
      </c>
      <c r="F7275" t="s">
        <v>41</v>
      </c>
      <c r="G7275">
        <v>-164.9427</v>
      </c>
      <c r="H7275">
        <v>-0.05</v>
      </c>
      <c r="I7275">
        <v>165.19280000000001</v>
      </c>
      <c r="J7275">
        <v>-186.24209999999999</v>
      </c>
      <c r="K7275">
        <v>1.10797099999999</v>
      </c>
      <c r="L7275">
        <v>111.8814</v>
      </c>
      <c r="M7275">
        <v>5.6375170000000002E-2</v>
      </c>
      <c r="N7275">
        <v>0</v>
      </c>
      <c r="O7275">
        <v>0.99831040000000004</v>
      </c>
      <c r="P7275">
        <v>0.1991858</v>
      </c>
      <c r="Q7275">
        <v>-2.168494E-2</v>
      </c>
      <c r="R7275">
        <v>0.97972179999999998</v>
      </c>
      <c r="S7275">
        <v>1.1273959999999901</v>
      </c>
      <c r="T7275">
        <v>-6.1243890000000002E-2</v>
      </c>
      <c r="U7275">
        <v>2.8338930000000002</v>
      </c>
      <c r="V7275">
        <v>0.1435872</v>
      </c>
      <c r="W7275">
        <v>-8.5330140000000002E-3</v>
      </c>
      <c r="X7275">
        <v>0.98960090000000001</v>
      </c>
      <c r="Y7275">
        <v>0.31659759999999998</v>
      </c>
      <c r="Z7275">
        <v>-2.02285E-2</v>
      </c>
      <c r="AA7275">
        <v>0.94834419999999997</v>
      </c>
      <c r="AB7275">
        <v>27</v>
      </c>
      <c r="AC7275">
        <v>21.299399999999899</v>
      </c>
      <c r="AD7275">
        <v>-1.1579710000000001</v>
      </c>
      <c r="AE7275">
        <v>53.311399999999999</v>
      </c>
      <c r="AF7275">
        <v>18.252356754471698</v>
      </c>
      <c r="AG7275">
        <v>-1.1579710000000001</v>
      </c>
      <c r="AH7275">
        <v>54.405340963124097</v>
      </c>
      <c r="AI7275">
        <v>91.156004707785698</v>
      </c>
      <c r="AJ7275">
        <v>71.453998335579499</v>
      </c>
      <c r="AK7275">
        <v>57.397130148145301</v>
      </c>
      <c r="AL7275">
        <v>90.488911612785799</v>
      </c>
      <c r="AM7275">
        <v>81.744221868829797</v>
      </c>
      <c r="AN7275">
        <v>1.0000000188062801</v>
      </c>
    </row>
    <row r="7276" spans="1:40" x14ac:dyDescent="0.25">
      <c r="A7276" t="str">
        <f>"20190312161500444"</f>
        <v>20190312161500444</v>
      </c>
      <c r="B7276" t="str">
        <f>"1552378500434511"</f>
        <v>1552378500434511</v>
      </c>
      <c r="C7276" t="s">
        <v>40</v>
      </c>
      <c r="D7276">
        <v>5.5628320000000002</v>
      </c>
      <c r="E7276">
        <v>0.56979709999999995</v>
      </c>
      <c r="F7276" t="s">
        <v>41</v>
      </c>
      <c r="G7276">
        <v>-165.2072</v>
      </c>
      <c r="H7276">
        <v>-0.05</v>
      </c>
      <c r="I7276">
        <v>164.0145</v>
      </c>
      <c r="J7276">
        <v>-186.22239999999999</v>
      </c>
      <c r="K7276">
        <v>1.107912</v>
      </c>
      <c r="L7276">
        <v>112.1647</v>
      </c>
      <c r="M7276">
        <v>5.9684429999999997E-2</v>
      </c>
      <c r="N7276">
        <v>0</v>
      </c>
      <c r="O7276">
        <v>0.99811799999999995</v>
      </c>
      <c r="P7276">
        <v>0.20372270000000001</v>
      </c>
      <c r="Q7276">
        <v>-2.1712309999999999E-2</v>
      </c>
      <c r="R7276">
        <v>0.97878779999999999</v>
      </c>
      <c r="S7276">
        <v>1.141327</v>
      </c>
      <c r="T7276">
        <v>-6.2830090000000005E-2</v>
      </c>
      <c r="U7276">
        <v>2.8286739999999999</v>
      </c>
      <c r="V7276">
        <v>0.14488960000000001</v>
      </c>
      <c r="W7276">
        <v>-8.5904169999999995E-3</v>
      </c>
      <c r="X7276">
        <v>0.98941049999999997</v>
      </c>
      <c r="Y7276">
        <v>0.31807289999999999</v>
      </c>
      <c r="Z7276">
        <v>-2.075799E-2</v>
      </c>
      <c r="AA7276">
        <v>0.94783899999999999</v>
      </c>
      <c r="AB7276">
        <v>27</v>
      </c>
      <c r="AC7276">
        <v>21.0152</v>
      </c>
      <c r="AD7276">
        <v>-1.1579120000000001</v>
      </c>
      <c r="AE7276">
        <v>51.849800000000002</v>
      </c>
      <c r="AF7276">
        <v>17.875139290211798</v>
      </c>
      <c r="AG7276">
        <v>-1.1579120000000001</v>
      </c>
      <c r="AH7276">
        <v>52.989055360573403</v>
      </c>
      <c r="AI7276">
        <v>91.186170599843294</v>
      </c>
      <c r="AJ7276">
        <v>71.358874670761196</v>
      </c>
      <c r="AK7276">
        <v>55.934795546691099</v>
      </c>
      <c r="AL7276">
        <v>90.492200709646696</v>
      </c>
      <c r="AM7276">
        <v>81.668803886530995</v>
      </c>
      <c r="AN7276">
        <v>0.999999964481321</v>
      </c>
    </row>
    <row r="7277" spans="1:40" x14ac:dyDescent="0.25">
      <c r="A7277" t="str">
        <f>"20190312161500465"</f>
        <v>20190312161500465</v>
      </c>
      <c r="B7277" t="str">
        <f>"1552378500454032"</f>
        <v>1552378500454032</v>
      </c>
      <c r="C7277" t="s">
        <v>40</v>
      </c>
      <c r="D7277">
        <v>5.5532519999999996</v>
      </c>
      <c r="E7277">
        <v>0.56999279999999997</v>
      </c>
      <c r="F7277" t="s">
        <v>41</v>
      </c>
      <c r="G7277">
        <v>-164.6566</v>
      </c>
      <c r="H7277">
        <v>-0.05</v>
      </c>
      <c r="I7277">
        <v>164.81049999999999</v>
      </c>
      <c r="J7277">
        <v>-186.20349999999999</v>
      </c>
      <c r="K7277">
        <v>1.107861</v>
      </c>
      <c r="L7277">
        <v>112.42359999999999</v>
      </c>
      <c r="M7277">
        <v>6.2790330000000005E-2</v>
      </c>
      <c r="N7277">
        <v>0</v>
      </c>
      <c r="O7277">
        <v>0.99792740000000002</v>
      </c>
      <c r="P7277">
        <v>0.20840719999999999</v>
      </c>
      <c r="Q7277">
        <v>-2.1454750000000002E-2</v>
      </c>
      <c r="R7277">
        <v>0.97780679999999998</v>
      </c>
      <c r="S7277">
        <v>1.1564030000000001</v>
      </c>
      <c r="T7277">
        <v>-6.2089440000000003E-2</v>
      </c>
      <c r="U7277">
        <v>2.8229679999999999</v>
      </c>
      <c r="V7277">
        <v>0.1465475</v>
      </c>
      <c r="W7277">
        <v>-8.3639230000000005E-3</v>
      </c>
      <c r="X7277">
        <v>0.9891683</v>
      </c>
      <c r="Y7277">
        <v>0.320131</v>
      </c>
      <c r="Z7277">
        <v>-2.0518640000000001E-2</v>
      </c>
      <c r="AA7277">
        <v>0.94715110000000002</v>
      </c>
      <c r="AB7277">
        <v>27</v>
      </c>
      <c r="AC7277">
        <v>21.546899999999901</v>
      </c>
      <c r="AD7277">
        <v>-1.157861</v>
      </c>
      <c r="AE7277">
        <v>52.386899999999997</v>
      </c>
      <c r="AF7277">
        <v>18.207049758683802</v>
      </c>
      <c r="AG7277">
        <v>-1.157861</v>
      </c>
      <c r="AH7277">
        <v>53.614176535888703</v>
      </c>
      <c r="AI7277">
        <v>91.171489390691406</v>
      </c>
      <c r="AJ7277">
        <v>71.242823780478403</v>
      </c>
      <c r="AK7277">
        <v>56.633181339493397</v>
      </c>
      <c r="AL7277">
        <v>90.479223063395494</v>
      </c>
      <c r="AM7277">
        <v>81.572801532864204</v>
      </c>
      <c r="AN7277">
        <v>1.00000002534454</v>
      </c>
    </row>
    <row r="7278" spans="1:40" x14ac:dyDescent="0.25">
      <c r="A7278" t="str">
        <f>"20190312161500488"</f>
        <v>20190312161500488</v>
      </c>
      <c r="B7278" t="str">
        <f>"1552378500484288"</f>
        <v>1552378500484288</v>
      </c>
      <c r="C7278" t="s">
        <v>40</v>
      </c>
      <c r="D7278">
        <v>5.5491630000000001</v>
      </c>
      <c r="E7278">
        <v>0.57842950000000004</v>
      </c>
      <c r="F7278" t="s">
        <v>41</v>
      </c>
      <c r="G7278">
        <v>-163.81620000000001</v>
      </c>
      <c r="H7278">
        <v>-0.05</v>
      </c>
      <c r="I7278">
        <v>166.262</v>
      </c>
      <c r="J7278">
        <v>-186.18360000000001</v>
      </c>
      <c r="K7278">
        <v>1.107809</v>
      </c>
      <c r="L7278">
        <v>112.68389999999999</v>
      </c>
      <c r="M7278">
        <v>6.599207E-2</v>
      </c>
      <c r="N7278">
        <v>0</v>
      </c>
      <c r="O7278">
        <v>0.99772070000000002</v>
      </c>
      <c r="P7278">
        <v>0.21224580000000001</v>
      </c>
      <c r="Q7278">
        <v>-2.0957159999999999E-2</v>
      </c>
      <c r="R7278">
        <v>0.97699159999999996</v>
      </c>
      <c r="S7278">
        <v>1.1714169999999999</v>
      </c>
      <c r="T7278">
        <v>-6.0585020000000003E-2</v>
      </c>
      <c r="U7278">
        <v>2.8170929999999998</v>
      </c>
      <c r="V7278">
        <v>0.14725920000000001</v>
      </c>
      <c r="W7278">
        <v>-7.8899269999999997E-3</v>
      </c>
      <c r="X7278">
        <v>0.98906649999999996</v>
      </c>
      <c r="Y7278">
        <v>0.32209900000000002</v>
      </c>
      <c r="Z7278">
        <v>-2.002746E-2</v>
      </c>
      <c r="AA7278">
        <v>0.9464941</v>
      </c>
      <c r="AB7278">
        <v>27</v>
      </c>
      <c r="AC7278">
        <v>22.3674</v>
      </c>
      <c r="AD7278">
        <v>-1.1578090000000001</v>
      </c>
      <c r="AE7278">
        <v>53.578099999999999</v>
      </c>
      <c r="AF7278">
        <v>18.775085717565201</v>
      </c>
      <c r="AG7278">
        <v>-1.1578090000000001</v>
      </c>
      <c r="AH7278">
        <v>54.915663464333299</v>
      </c>
      <c r="AI7278">
        <v>91.142880505635006</v>
      </c>
      <c r="AJ7278">
        <v>71.124983242286902</v>
      </c>
      <c r="AK7278">
        <v>58.048035790285901</v>
      </c>
      <c r="AL7278">
        <v>90.452064193539996</v>
      </c>
      <c r="AM7278">
        <v>81.531608321918299</v>
      </c>
      <c r="AN7278">
        <v>1.00000003217747</v>
      </c>
    </row>
    <row r="7279" spans="1:40" x14ac:dyDescent="0.25">
      <c r="A7279" t="str">
        <f>"20190312161500509"</f>
        <v>20190312161500509</v>
      </c>
      <c r="B7279" t="str">
        <f>"1552378500504246"</f>
        <v>1552378500504246</v>
      </c>
      <c r="C7279" t="s">
        <v>40</v>
      </c>
      <c r="D7279">
        <v>5.569051</v>
      </c>
      <c r="E7279">
        <v>0.57936779999999999</v>
      </c>
      <c r="F7279" t="s">
        <v>84</v>
      </c>
      <c r="G7279">
        <v>-174.9616</v>
      </c>
      <c r="H7279" s="1">
        <v>-5.15482099999999E-6</v>
      </c>
      <c r="I7279">
        <v>137.86689999999999</v>
      </c>
      <c r="J7279">
        <v>-186.16300000000001</v>
      </c>
      <c r="K7279">
        <v>1.1077600000000001</v>
      </c>
      <c r="L7279">
        <v>112.9418</v>
      </c>
      <c r="M7279">
        <v>6.9238480000000005E-2</v>
      </c>
      <c r="N7279">
        <v>0</v>
      </c>
      <c r="O7279">
        <v>0.99750070000000002</v>
      </c>
      <c r="P7279">
        <v>0.2152222</v>
      </c>
      <c r="Q7279">
        <v>-2.0497120000000001E-2</v>
      </c>
      <c r="R7279">
        <v>0.97634989999999999</v>
      </c>
      <c r="S7279">
        <v>1.2465059999999999</v>
      </c>
      <c r="T7279">
        <v>-0.12305199999999999</v>
      </c>
      <c r="U7279">
        <v>2.7972260000000002</v>
      </c>
      <c r="V7279">
        <v>0.14705599999999999</v>
      </c>
      <c r="W7279">
        <v>-7.4452390000000002E-3</v>
      </c>
      <c r="X7279">
        <v>0.98910019999999998</v>
      </c>
      <c r="Y7279">
        <v>0.34247610000000001</v>
      </c>
      <c r="Z7279">
        <v>-4.05441E-2</v>
      </c>
      <c r="AA7279">
        <v>0.93865129999999997</v>
      </c>
      <c r="AB7279">
        <v>27</v>
      </c>
      <c r="AC7279">
        <v>11.2013999999999</v>
      </c>
      <c r="AD7279">
        <v>-1.1077651548209999</v>
      </c>
      <c r="AE7279">
        <v>24.925099999999901</v>
      </c>
      <c r="AF7279">
        <v>9.4330637368513699</v>
      </c>
      <c r="AG7279">
        <v>-1.1077651548209999</v>
      </c>
      <c r="AH7279">
        <v>25.598848214103501</v>
      </c>
      <c r="AI7279">
        <v>92.3252120264506</v>
      </c>
      <c r="AJ7279">
        <v>69.771378290478197</v>
      </c>
      <c r="AK7279">
        <v>27.304044846697099</v>
      </c>
      <c r="AL7279">
        <v>90.426584691012906</v>
      </c>
      <c r="AM7279">
        <v>81.543408562487599</v>
      </c>
      <c r="AN7279">
        <v>1.0000000521799</v>
      </c>
    </row>
    <row r="7280" spans="1:40" x14ac:dyDescent="0.25">
      <c r="A7280" t="str">
        <f>"20190312161500534"</f>
        <v>20190312161500534</v>
      </c>
      <c r="B7280" t="str">
        <f>"1552378500523743"</f>
        <v>1552378500523743</v>
      </c>
      <c r="C7280" t="s">
        <v>40</v>
      </c>
      <c r="D7280">
        <v>5.4363590000000004</v>
      </c>
      <c r="E7280">
        <v>0.57997730000000003</v>
      </c>
      <c r="F7280" t="s">
        <v>84</v>
      </c>
      <c r="G7280">
        <v>-173.571</v>
      </c>
      <c r="H7280" s="1">
        <v>-5.5790110000000004E-6</v>
      </c>
      <c r="I7280">
        <v>140.7841</v>
      </c>
      <c r="J7280">
        <v>-186.1379</v>
      </c>
      <c r="K7280">
        <v>1.107704</v>
      </c>
      <c r="L7280">
        <v>113.2394</v>
      </c>
      <c r="M7280">
        <v>7.3081229999999997E-2</v>
      </c>
      <c r="N7280">
        <v>0</v>
      </c>
      <c r="O7280">
        <v>0.99722650000000002</v>
      </c>
      <c r="P7280">
        <v>0.21892809999999999</v>
      </c>
      <c r="Q7280">
        <v>-2.089891E-2</v>
      </c>
      <c r="R7280">
        <v>0.97551719999999997</v>
      </c>
      <c r="S7280">
        <v>1.2627109999999999</v>
      </c>
      <c r="T7280">
        <v>-0.111085199999999</v>
      </c>
      <c r="U7280">
        <v>2.791992</v>
      </c>
      <c r="V7280">
        <v>0.14699809999999999</v>
      </c>
      <c r="W7280">
        <v>-7.86454199999999E-3</v>
      </c>
      <c r="X7280">
        <v>0.98910549999999997</v>
      </c>
      <c r="Y7280">
        <v>0.34410550000000001</v>
      </c>
      <c r="Z7280">
        <v>-3.6601410000000001E-2</v>
      </c>
      <c r="AA7280">
        <v>0.93821730000000003</v>
      </c>
      <c r="AB7280">
        <v>27</v>
      </c>
      <c r="AC7280">
        <v>12.5669</v>
      </c>
      <c r="AD7280">
        <v>-1.1077095790109901</v>
      </c>
      <c r="AE7280">
        <v>27.544699999999899</v>
      </c>
      <c r="AF7280">
        <v>10.506025534196</v>
      </c>
      <c r="AG7280">
        <v>-1.1077095790109901</v>
      </c>
      <c r="AH7280">
        <v>28.351574539687199</v>
      </c>
      <c r="AI7280">
        <v>92.098149897746296</v>
      </c>
      <c r="AJ7280">
        <v>69.6671919904052</v>
      </c>
      <c r="AK7280">
        <v>30.255832031462099</v>
      </c>
      <c r="AL7280">
        <v>90.450609713527101</v>
      </c>
      <c r="AM7280">
        <v>81.546734679897895</v>
      </c>
      <c r="AN7280">
        <v>0.99999999127736405</v>
      </c>
    </row>
    <row r="7281" spans="1:40" x14ac:dyDescent="0.25">
      <c r="A7281" t="str">
        <f>"20190312161500555"</f>
        <v>20190312161500555</v>
      </c>
      <c r="B7281" t="str">
        <f>"1552378500544239"</f>
        <v>1552378500544239</v>
      </c>
      <c r="C7281" t="s">
        <v>40</v>
      </c>
      <c r="D7281">
        <v>5.3922759999999998</v>
      </c>
      <c r="E7281">
        <v>0.5796983</v>
      </c>
      <c r="F7281" t="s">
        <v>84</v>
      </c>
      <c r="G7281">
        <v>-174.33840000000001</v>
      </c>
      <c r="H7281" s="1">
        <v>-5.2945550000000003E-6</v>
      </c>
      <c r="I7281">
        <v>138.9657</v>
      </c>
      <c r="J7281">
        <v>-186.1146</v>
      </c>
      <c r="K7281">
        <v>1.107664</v>
      </c>
      <c r="L7281">
        <v>113.5048</v>
      </c>
      <c r="M7281">
        <v>7.6567819999999995E-2</v>
      </c>
      <c r="N7281">
        <v>0</v>
      </c>
      <c r="O7281">
        <v>0.99696479999999998</v>
      </c>
      <c r="P7281">
        <v>0.2217208</v>
      </c>
      <c r="Q7281">
        <v>-2.0929219999999998E-2</v>
      </c>
      <c r="R7281">
        <v>0.97488560000000002</v>
      </c>
      <c r="S7281">
        <v>1.2778020000000001</v>
      </c>
      <c r="T7281">
        <v>-0.11995649999999999</v>
      </c>
      <c r="U7281">
        <v>2.785965</v>
      </c>
      <c r="V7281">
        <v>0.14637120000000001</v>
      </c>
      <c r="W7281">
        <v>-7.9028740000000007E-3</v>
      </c>
      <c r="X7281">
        <v>0.98919809999999997</v>
      </c>
      <c r="Y7281">
        <v>0.34574500000000002</v>
      </c>
      <c r="Z7281">
        <v>-3.952692E-2</v>
      </c>
      <c r="AA7281">
        <v>0.93749559999999998</v>
      </c>
      <c r="AB7281">
        <v>27</v>
      </c>
      <c r="AC7281">
        <v>11.7761999999999</v>
      </c>
      <c r="AD7281">
        <v>-1.107669294555</v>
      </c>
      <c r="AE7281">
        <v>25.460899999999899</v>
      </c>
      <c r="AF7281">
        <v>9.7767003569973205</v>
      </c>
      <c r="AG7281">
        <v>-1.107669294555</v>
      </c>
      <c r="AH7281">
        <v>26.246986679508101</v>
      </c>
      <c r="AI7281">
        <v>92.2647136090484</v>
      </c>
      <c r="AJ7281">
        <v>69.570216941157199</v>
      </c>
      <c r="AK7281">
        <v>28.0306102482783</v>
      </c>
      <c r="AL7281">
        <v>90.452806070316299</v>
      </c>
      <c r="AM7281">
        <v>81.583044261024895</v>
      </c>
      <c r="AN7281">
        <v>0.99999993232525197</v>
      </c>
    </row>
    <row r="7282" spans="1:40" x14ac:dyDescent="0.25">
      <c r="A7282" t="str">
        <f>"20190312161500576"</f>
        <v>20190312161500576</v>
      </c>
      <c r="B7282" t="str">
        <f>"1552378500563759"</f>
        <v>1552378500563759</v>
      </c>
      <c r="C7282" t="s">
        <v>40</v>
      </c>
      <c r="D7282">
        <v>5.3607559999999896</v>
      </c>
      <c r="E7282">
        <v>0.57948310000000003</v>
      </c>
      <c r="F7282" t="s">
        <v>84</v>
      </c>
      <c r="G7282">
        <v>-173.9624</v>
      </c>
      <c r="H7282" s="1">
        <v>-5.4513099999999997E-6</v>
      </c>
      <c r="I7282">
        <v>139.85310000000001</v>
      </c>
      <c r="J7282">
        <v>-186.09209999999999</v>
      </c>
      <c r="K7282">
        <v>1.1076379999999999</v>
      </c>
      <c r="L7282">
        <v>113.75069999999999</v>
      </c>
      <c r="M7282">
        <v>7.9850320000000002E-2</v>
      </c>
      <c r="N7282">
        <v>0</v>
      </c>
      <c r="O7282">
        <v>0.99670729999999996</v>
      </c>
      <c r="P7282">
        <v>0.2242026</v>
      </c>
      <c r="Q7282">
        <v>-2.0211420000000001E-2</v>
      </c>
      <c r="R7282">
        <v>0.97433289999999995</v>
      </c>
      <c r="S7282">
        <v>1.283493</v>
      </c>
      <c r="T7282">
        <v>-0.11699</v>
      </c>
      <c r="U7282">
        <v>2.7828520000000001</v>
      </c>
      <c r="V7282">
        <v>0.14563570000000001</v>
      </c>
      <c r="W7282">
        <v>-7.1895219999999899E-3</v>
      </c>
      <c r="X7282">
        <v>0.98931219999999997</v>
      </c>
      <c r="Y7282">
        <v>0.34465059999999997</v>
      </c>
      <c r="Z7282">
        <v>-3.8567200000000003E-2</v>
      </c>
      <c r="AA7282">
        <v>0.93793850000000001</v>
      </c>
      <c r="AB7282">
        <v>27</v>
      </c>
      <c r="AC7282">
        <v>12.1296999999999</v>
      </c>
      <c r="AD7282">
        <v>-1.10764345131</v>
      </c>
      <c r="AE7282">
        <v>26.102399999999999</v>
      </c>
      <c r="AF7282">
        <v>9.9916719868373391</v>
      </c>
      <c r="AG7282">
        <v>-1.10764345131</v>
      </c>
      <c r="AH7282">
        <v>26.947784521534999</v>
      </c>
      <c r="AI7282">
        <v>92.207055984177401</v>
      </c>
      <c r="AJ7282">
        <v>69.656278514814105</v>
      </c>
      <c r="AK7282">
        <v>28.761840583086101</v>
      </c>
      <c r="AL7282">
        <v>90.411932800584296</v>
      </c>
      <c r="AM7282">
        <v>81.625689436742306</v>
      </c>
      <c r="AN7282">
        <v>1.0000000377049501</v>
      </c>
    </row>
    <row r="7283" spans="1:40" x14ac:dyDescent="0.25">
      <c r="A7283" t="str">
        <f>"20190312161500598"</f>
        <v>20190312161500598</v>
      </c>
      <c r="B7283" t="str">
        <f>"1552378500594015"</f>
        <v>1552378500594015</v>
      </c>
      <c r="C7283" t="s">
        <v>40</v>
      </c>
      <c r="D7283">
        <v>5.4172019999999996</v>
      </c>
      <c r="E7283">
        <v>0.57917819999999998</v>
      </c>
      <c r="F7283" t="s">
        <v>84</v>
      </c>
      <c r="G7283">
        <v>-173.14750000000001</v>
      </c>
      <c r="H7283" s="1">
        <v>-5.6764340000000001E-6</v>
      </c>
      <c r="I7283">
        <v>141.66560000000001</v>
      </c>
      <c r="J7283">
        <v>-186.06659999999999</v>
      </c>
      <c r="K7283">
        <v>1.1076010000000001</v>
      </c>
      <c r="L7283">
        <v>114.0181</v>
      </c>
      <c r="M7283">
        <v>8.347773E-2</v>
      </c>
      <c r="N7283">
        <v>0</v>
      </c>
      <c r="O7283">
        <v>0.99641000000000002</v>
      </c>
      <c r="P7283">
        <v>0.22783059999999999</v>
      </c>
      <c r="Q7283">
        <v>-2.079839E-2</v>
      </c>
      <c r="R7283">
        <v>0.97347859999999997</v>
      </c>
      <c r="S7283">
        <v>1.289169</v>
      </c>
      <c r="T7283">
        <v>-0.1103116</v>
      </c>
      <c r="U7283">
        <v>2.7800750000000001</v>
      </c>
      <c r="V7283">
        <v>0.1457167</v>
      </c>
      <c r="W7283">
        <v>-7.7889049999999996E-3</v>
      </c>
      <c r="X7283">
        <v>0.9892957</v>
      </c>
      <c r="Y7283">
        <v>0.343201599999999</v>
      </c>
      <c r="Z7283">
        <v>-3.6380259999999998E-2</v>
      </c>
      <c r="AA7283">
        <v>0.93855690000000003</v>
      </c>
      <c r="AB7283">
        <v>27</v>
      </c>
      <c r="AC7283">
        <v>12.919099999999901</v>
      </c>
      <c r="AD7283">
        <v>-1.107606676434</v>
      </c>
      <c r="AE7283">
        <v>27.647500000000001</v>
      </c>
      <c r="AF7283">
        <v>10.551918896182</v>
      </c>
      <c r="AG7283">
        <v>-1.107606676434</v>
      </c>
      <c r="AH7283">
        <v>28.5918810724189</v>
      </c>
      <c r="AI7283">
        <v>92.081358847259395</v>
      </c>
      <c r="AJ7283">
        <v>69.743267516037207</v>
      </c>
      <c r="AK7283">
        <v>30.496974410597399</v>
      </c>
      <c r="AL7283">
        <v>90.446275894698402</v>
      </c>
      <c r="AM7283">
        <v>81.620960133606403</v>
      </c>
      <c r="AN7283">
        <v>1.00000000286923</v>
      </c>
    </row>
    <row r="7284" spans="1:40" x14ac:dyDescent="0.25">
      <c r="A7284" t="str">
        <f>"20190312161500621"</f>
        <v>20190312161500621</v>
      </c>
      <c r="B7284" t="str">
        <f>"1552378500614510"</f>
        <v>1552378500614510</v>
      </c>
      <c r="C7284" t="s">
        <v>40</v>
      </c>
      <c r="D7284">
        <v>5.357418</v>
      </c>
      <c r="E7284">
        <v>0.57967329999999995</v>
      </c>
      <c r="F7284" t="s">
        <v>84</v>
      </c>
      <c r="G7284">
        <v>-172.43599999999901</v>
      </c>
      <c r="H7284" s="1">
        <v>-5.8517949999999899E-6</v>
      </c>
      <c r="I7284">
        <v>143.1825</v>
      </c>
      <c r="J7284">
        <v>-186.04040000000001</v>
      </c>
      <c r="K7284">
        <v>1.1075600000000001</v>
      </c>
      <c r="L7284">
        <v>114.28270000000001</v>
      </c>
      <c r="M7284">
        <v>8.7131749999999994E-2</v>
      </c>
      <c r="N7284">
        <v>0</v>
      </c>
      <c r="O7284">
        <v>0.99609709999999996</v>
      </c>
      <c r="P7284">
        <v>0.232379</v>
      </c>
      <c r="Q7284">
        <v>-2.1714399999999998E-2</v>
      </c>
      <c r="R7284">
        <v>0.97238290000000005</v>
      </c>
      <c r="S7284">
        <v>1.2973479999999999</v>
      </c>
      <c r="T7284">
        <v>-0.10542120000000001</v>
      </c>
      <c r="U7284">
        <v>2.7758479999999999</v>
      </c>
      <c r="V7284">
        <v>0.1467078</v>
      </c>
      <c r="W7284">
        <v>-8.7259130000000001E-3</v>
      </c>
      <c r="X7284">
        <v>0.98914139999999995</v>
      </c>
      <c r="Y7284">
        <v>0.34259840000000003</v>
      </c>
      <c r="Z7284">
        <v>-3.4784160000000001E-2</v>
      </c>
      <c r="AA7284">
        <v>0.93883779999999994</v>
      </c>
      <c r="AB7284">
        <v>27</v>
      </c>
      <c r="AC7284">
        <v>13.6044</v>
      </c>
      <c r="AD7284">
        <v>-1.107565851795</v>
      </c>
      <c r="AE7284">
        <v>28.899799999999999</v>
      </c>
      <c r="AF7284">
        <v>11.02105828779</v>
      </c>
      <c r="AG7284">
        <v>-1.107565851795</v>
      </c>
      <c r="AH7284">
        <v>29.939362501106299</v>
      </c>
      <c r="AI7284">
        <v>91.988292915820594</v>
      </c>
      <c r="AJ7284">
        <v>69.790700125842505</v>
      </c>
      <c r="AK7284">
        <v>31.9226542579338</v>
      </c>
      <c r="AL7284">
        <v>90.499964324779597</v>
      </c>
      <c r="AM7284">
        <v>81.563489956156204</v>
      </c>
      <c r="AN7284">
        <v>1.00000001466624</v>
      </c>
    </row>
    <row r="7285" spans="1:40" x14ac:dyDescent="0.25">
      <c r="A7285" t="str">
        <f>"20190312161500643"</f>
        <v>20190312161500643</v>
      </c>
      <c r="B7285" t="str">
        <f>"1552378500634031"</f>
        <v>1552378500634031</v>
      </c>
      <c r="C7285" t="s">
        <v>40</v>
      </c>
      <c r="D7285">
        <v>5.3603310000000004</v>
      </c>
      <c r="E7285">
        <v>0.58020859999999996</v>
      </c>
      <c r="F7285" t="s">
        <v>84</v>
      </c>
      <c r="G7285">
        <v>-173.202</v>
      </c>
      <c r="H7285" s="1">
        <v>-5.5932899999999996E-6</v>
      </c>
      <c r="I7285">
        <v>141.334</v>
      </c>
      <c r="J7285">
        <v>-186.01240000000001</v>
      </c>
      <c r="K7285">
        <v>1.1075170000000001</v>
      </c>
      <c r="L7285">
        <v>114.5536</v>
      </c>
      <c r="M7285">
        <v>9.0934139999999997E-2</v>
      </c>
      <c r="N7285">
        <v>0</v>
      </c>
      <c r="O7285">
        <v>0.99575720000000001</v>
      </c>
      <c r="P7285">
        <v>0.2371511</v>
      </c>
      <c r="Q7285">
        <v>-2.205124E-2</v>
      </c>
      <c r="R7285">
        <v>0.97122249999999999</v>
      </c>
      <c r="S7285">
        <v>1.313995</v>
      </c>
      <c r="T7285">
        <v>-0.113358</v>
      </c>
      <c r="U7285">
        <v>2.7686609999999998</v>
      </c>
      <c r="V7285">
        <v>0.14778579999999999</v>
      </c>
      <c r="W7285">
        <v>-9.0858380000000006E-3</v>
      </c>
      <c r="X7285">
        <v>0.98897769999999996</v>
      </c>
      <c r="Y7285">
        <v>0.34452290000000002</v>
      </c>
      <c r="Z7285">
        <v>-3.7408160000000003E-2</v>
      </c>
      <c r="AA7285">
        <v>0.93803230000000004</v>
      </c>
      <c r="AB7285">
        <v>27</v>
      </c>
      <c r="AC7285">
        <v>12.8104</v>
      </c>
      <c r="AD7285">
        <v>-1.1075225932899999</v>
      </c>
      <c r="AE7285">
        <v>26.7804</v>
      </c>
      <c r="AF7285">
        <v>10.3074741443956</v>
      </c>
      <c r="AG7285">
        <v>-1.1075225932899999</v>
      </c>
      <c r="AH7285">
        <v>27.795755946790301</v>
      </c>
      <c r="AI7285">
        <v>92.139520238314802</v>
      </c>
      <c r="AJ7285">
        <v>69.653755674869799</v>
      </c>
      <c r="AK7285">
        <v>29.666052622240802</v>
      </c>
      <c r="AL7285">
        <v>90.520587311087894</v>
      </c>
      <c r="AM7285">
        <v>81.501014800387097</v>
      </c>
      <c r="AN7285">
        <v>1.00000004311554</v>
      </c>
    </row>
    <row r="7286" spans="1:40" x14ac:dyDescent="0.25">
      <c r="A7286" t="str">
        <f>"20190312161500666"</f>
        <v>20190312161500666</v>
      </c>
      <c r="B7286" t="str">
        <f>"1552378500654526"</f>
        <v>1552378500654526</v>
      </c>
      <c r="C7286" t="s">
        <v>40</v>
      </c>
      <c r="D7286">
        <v>5.4771640000000001</v>
      </c>
      <c r="E7286">
        <v>0.58040950000000002</v>
      </c>
      <c r="F7286" t="s">
        <v>84</v>
      </c>
      <c r="G7286">
        <v>-173.5993</v>
      </c>
      <c r="H7286" s="1">
        <v>-5.4326599999999901E-6</v>
      </c>
      <c r="I7286">
        <v>140.29300000000001</v>
      </c>
      <c r="J7286">
        <v>-185.9847</v>
      </c>
      <c r="K7286">
        <v>1.1074740000000001</v>
      </c>
      <c r="L7286">
        <v>114.81189999999999</v>
      </c>
      <c r="M7286">
        <v>9.4621049999999998E-2</v>
      </c>
      <c r="N7286">
        <v>0</v>
      </c>
      <c r="O7286">
        <v>0.99541360000000001</v>
      </c>
      <c r="P7286">
        <v>0.24144090000000001</v>
      </c>
      <c r="Q7286">
        <v>-2.2328190000000001E-2</v>
      </c>
      <c r="R7286">
        <v>0.97015859999999998</v>
      </c>
      <c r="S7286">
        <v>1.3315429999999999</v>
      </c>
      <c r="T7286">
        <v>-0.1188033</v>
      </c>
      <c r="U7286">
        <v>2.761047</v>
      </c>
      <c r="V7286">
        <v>0.1484916</v>
      </c>
      <c r="W7286">
        <v>-9.3824370000000004E-3</v>
      </c>
      <c r="X7286">
        <v>0.98886909999999895</v>
      </c>
      <c r="Y7286">
        <v>0.34686600000000001</v>
      </c>
      <c r="Z7286">
        <v>-3.9210309999999998E-2</v>
      </c>
      <c r="AA7286">
        <v>0.93709469999999995</v>
      </c>
      <c r="AB7286">
        <v>27</v>
      </c>
      <c r="AC7286">
        <v>12.385400000000001</v>
      </c>
      <c r="AD7286">
        <v>-1.1074794326599999</v>
      </c>
      <c r="AE7286">
        <v>25.481100000000001</v>
      </c>
      <c r="AF7286">
        <v>9.9033997303393999</v>
      </c>
      <c r="AG7286">
        <v>-1.1074794326599999</v>
      </c>
      <c r="AH7286">
        <v>26.498299071739201</v>
      </c>
      <c r="AI7286">
        <v>92.241956633923493</v>
      </c>
      <c r="AJ7286">
        <v>69.507414665550797</v>
      </c>
      <c r="AK7286">
        <v>28.3101340619924</v>
      </c>
      <c r="AL7286">
        <v>90.537581960707797</v>
      </c>
      <c r="AM7286">
        <v>81.460098109235702</v>
      </c>
      <c r="AN7286">
        <v>0.99999994116471203</v>
      </c>
    </row>
    <row r="7287" spans="1:40" x14ac:dyDescent="0.25">
      <c r="A7287" t="str">
        <f>"20190312161500687"</f>
        <v>20190312161500687</v>
      </c>
      <c r="B7287" t="str">
        <f>"1552378500683807"</f>
        <v>1552378500683807</v>
      </c>
      <c r="C7287" t="s">
        <v>40</v>
      </c>
      <c r="D7287">
        <v>5.4180149999999996</v>
      </c>
      <c r="E7287">
        <v>0.58036669999999901</v>
      </c>
      <c r="F7287" t="s">
        <v>84</v>
      </c>
      <c r="G7287">
        <v>-172.34799999999899</v>
      </c>
      <c r="H7287" s="1">
        <v>-5.6659560000000001E-6</v>
      </c>
      <c r="I7287">
        <v>142.72880000000001</v>
      </c>
      <c r="J7287">
        <v>-185.95670000000001</v>
      </c>
      <c r="K7287">
        <v>1.107437</v>
      </c>
      <c r="L7287">
        <v>115.0645</v>
      </c>
      <c r="M7287">
        <v>9.8282900000000006E-2</v>
      </c>
      <c r="N7287">
        <v>0</v>
      </c>
      <c r="O7287">
        <v>0.99505869999999996</v>
      </c>
      <c r="P7287">
        <v>0.24492630000000001</v>
      </c>
      <c r="Q7287">
        <v>-2.191243E-2</v>
      </c>
      <c r="R7287">
        <v>0.96929399999999999</v>
      </c>
      <c r="S7287">
        <v>1.345688</v>
      </c>
      <c r="T7287">
        <v>-0.1092873</v>
      </c>
      <c r="U7287">
        <v>2.7548680000000001</v>
      </c>
      <c r="V7287">
        <v>0.1484085</v>
      </c>
      <c r="W7287">
        <v>-8.9787789999999992E-3</v>
      </c>
      <c r="X7287">
        <v>0.98888540000000003</v>
      </c>
      <c r="Y7287">
        <v>0.34818130000000003</v>
      </c>
      <c r="Z7287">
        <v>-3.6079720000000003E-2</v>
      </c>
      <c r="AA7287">
        <v>0.93673260000000003</v>
      </c>
      <c r="AB7287">
        <v>27</v>
      </c>
      <c r="AC7287">
        <v>13.608700000000001</v>
      </c>
      <c r="AD7287">
        <v>-1.1074426659559999</v>
      </c>
      <c r="AE7287">
        <v>27.664300000000001</v>
      </c>
      <c r="AF7287">
        <v>10.8096552974212</v>
      </c>
      <c r="AG7287">
        <v>-1.1074426659559999</v>
      </c>
      <c r="AH7287">
        <v>28.8307725042303</v>
      </c>
      <c r="AI7287">
        <v>92.059862957731497</v>
      </c>
      <c r="AJ7287">
        <v>69.447238030572706</v>
      </c>
      <c r="AK7287">
        <v>30.8105261249808</v>
      </c>
      <c r="AL7287">
        <v>90.514453045264304</v>
      </c>
      <c r="AM7287">
        <v>81.464945479599507</v>
      </c>
      <c r="AN7287">
        <v>1.0000000178388699</v>
      </c>
    </row>
    <row r="7288" spans="1:40" x14ac:dyDescent="0.25">
      <c r="A7288" t="str">
        <f>"20190312161500711"</f>
        <v>20190312161500711</v>
      </c>
      <c r="B7288" t="str">
        <f>"1552378500704303"</f>
        <v>1552378500704303</v>
      </c>
      <c r="C7288" t="s">
        <v>40</v>
      </c>
      <c r="D7288">
        <v>5.3757699999999904</v>
      </c>
      <c r="E7288">
        <v>0.57986719999999903</v>
      </c>
      <c r="F7288" t="s">
        <v>84</v>
      </c>
      <c r="G7288">
        <v>-170.71549999999999</v>
      </c>
      <c r="H7288" s="1">
        <v>-5.9967319999999997E-6</v>
      </c>
      <c r="I7288">
        <v>145.98830000000001</v>
      </c>
      <c r="J7288">
        <v>-185.92519999999999</v>
      </c>
      <c r="K7288">
        <v>1.107399</v>
      </c>
      <c r="L7288">
        <v>115.3368</v>
      </c>
      <c r="M7288">
        <v>0.1022991</v>
      </c>
      <c r="N7288">
        <v>0</v>
      </c>
      <c r="O7288">
        <v>0.99465380000000003</v>
      </c>
      <c r="P7288">
        <v>0.2486437</v>
      </c>
      <c r="Q7288">
        <v>-2.1422589999999998E-2</v>
      </c>
      <c r="R7288">
        <v>0.9683581</v>
      </c>
      <c r="S7288">
        <v>1.355515</v>
      </c>
      <c r="T7288">
        <v>-9.8493339999999999E-2</v>
      </c>
      <c r="U7288">
        <v>2.7502900000000001</v>
      </c>
      <c r="V7288">
        <v>0.14821219999999999</v>
      </c>
      <c r="W7288">
        <v>-8.5001409999999993E-3</v>
      </c>
      <c r="X7288">
        <v>0.98891910000000005</v>
      </c>
      <c r="Y7288">
        <v>0.34776249999999997</v>
      </c>
      <c r="Z7288">
        <v>-3.2527189999999997E-2</v>
      </c>
      <c r="AA7288">
        <v>0.93701829999999997</v>
      </c>
      <c r="AB7288">
        <v>26</v>
      </c>
      <c r="AC7288">
        <v>15.2096999999999</v>
      </c>
      <c r="AD7288">
        <v>-1.1074049967319901</v>
      </c>
      <c r="AE7288">
        <v>30.651499999999999</v>
      </c>
      <c r="AF7288">
        <v>11.981407463572801</v>
      </c>
      <c r="AG7288">
        <v>-1.1074049967319901</v>
      </c>
      <c r="AH7288">
        <v>32.013223172962299</v>
      </c>
      <c r="AI7288">
        <v>91.855587137989403</v>
      </c>
      <c r="AJ7288">
        <v>69.480917920852505</v>
      </c>
      <c r="AK7288">
        <v>34.199808896495803</v>
      </c>
      <c r="AL7288">
        <v>90.487028046383102</v>
      </c>
      <c r="AM7288">
        <v>81.476355062032496</v>
      </c>
      <c r="AN7288">
        <v>1.0000000474853299</v>
      </c>
    </row>
    <row r="7289" spans="1:40" x14ac:dyDescent="0.25">
      <c r="A7289" t="str">
        <f>"20190312161500733"</f>
        <v>20190312161500733</v>
      </c>
      <c r="B7289" t="str">
        <f>"1552378500723822"</f>
        <v>1552378500723822</v>
      </c>
      <c r="C7289" t="s">
        <v>40</v>
      </c>
      <c r="D7289">
        <v>5.4833569999999998</v>
      </c>
      <c r="E7289">
        <v>0.58002900000000002</v>
      </c>
      <c r="F7289" t="s">
        <v>42</v>
      </c>
      <c r="G7289">
        <v>-168.91970000000001</v>
      </c>
      <c r="H7289">
        <v>3.4444910000000002E-2</v>
      </c>
      <c r="I7289">
        <v>149.6163</v>
      </c>
      <c r="J7289">
        <v>-185.892</v>
      </c>
      <c r="K7289">
        <v>1.1073710000000001</v>
      </c>
      <c r="L7289">
        <v>115.61409999999999</v>
      </c>
      <c r="M7289">
        <v>0.1064552</v>
      </c>
      <c r="N7289">
        <v>0</v>
      </c>
      <c r="O7289">
        <v>0.99421760000000003</v>
      </c>
      <c r="P7289">
        <v>0.25176530000000003</v>
      </c>
      <c r="Q7289">
        <v>-2.085797E-2</v>
      </c>
      <c r="R7289">
        <v>0.96756350000000002</v>
      </c>
      <c r="S7289">
        <v>1.3623959999999999</v>
      </c>
      <c r="T7289">
        <v>-8.5959789999999994E-2</v>
      </c>
      <c r="U7289">
        <v>2.7463069999999998</v>
      </c>
      <c r="V7289">
        <v>0.1472704</v>
      </c>
      <c r="W7289">
        <v>-7.9383470000000001E-3</v>
      </c>
      <c r="X7289">
        <v>0.98906439999999995</v>
      </c>
      <c r="Y7289">
        <v>0.34632449999999998</v>
      </c>
      <c r="Z7289">
        <v>-2.840258E-2</v>
      </c>
      <c r="AA7289">
        <v>0.93768470000000004</v>
      </c>
      <c r="AB7289">
        <v>26</v>
      </c>
      <c r="AC7289">
        <v>16.972299999999901</v>
      </c>
      <c r="AD7289">
        <v>-1.0729260899999999</v>
      </c>
      <c r="AE7289">
        <v>34.002200000000002</v>
      </c>
      <c r="AF7289">
        <v>13.2452074143361</v>
      </c>
      <c r="AG7289">
        <v>-1.0729260899999999</v>
      </c>
      <c r="AH7289">
        <v>35.587546441744301</v>
      </c>
      <c r="AI7289">
        <v>91.618482394816795</v>
      </c>
      <c r="AJ7289">
        <v>69.585408508479304</v>
      </c>
      <c r="AK7289">
        <v>37.987631560636899</v>
      </c>
      <c r="AL7289">
        <v>90.454838562206803</v>
      </c>
      <c r="AM7289">
        <v>81.530955866106396</v>
      </c>
      <c r="AN7289">
        <v>0.999999987708306</v>
      </c>
    </row>
    <row r="7290" spans="1:40" x14ac:dyDescent="0.25">
      <c r="A7290" t="str">
        <f>"20190312161500757"</f>
        <v>20190312161500757</v>
      </c>
      <c r="B7290" t="str">
        <f>"1552378500744319"</f>
        <v>1552378500744319</v>
      </c>
      <c r="C7290" t="s">
        <v>40</v>
      </c>
      <c r="D7290">
        <v>5.4850490000000001</v>
      </c>
      <c r="E7290">
        <v>0.58008149999999903</v>
      </c>
      <c r="F7290" t="s">
        <v>42</v>
      </c>
      <c r="G7290">
        <v>-168.87010000000001</v>
      </c>
      <c r="H7290">
        <v>5.3612029999999998E-2</v>
      </c>
      <c r="I7290">
        <v>149.6199</v>
      </c>
      <c r="J7290">
        <v>-185.8586</v>
      </c>
      <c r="K7290">
        <v>1.107353</v>
      </c>
      <c r="L7290">
        <v>115.88209999999999</v>
      </c>
      <c r="M7290">
        <v>0.110517</v>
      </c>
      <c r="N7290">
        <v>0</v>
      </c>
      <c r="O7290">
        <v>0.99377420000000005</v>
      </c>
      <c r="P7290">
        <v>0.25472260000000002</v>
      </c>
      <c r="Q7290">
        <v>-2.031318E-2</v>
      </c>
      <c r="R7290">
        <v>0.96680080000000002</v>
      </c>
      <c r="S7290">
        <v>1.3723449999999999</v>
      </c>
      <c r="T7290">
        <v>-8.4956770000000001E-2</v>
      </c>
      <c r="U7290">
        <v>2.741638</v>
      </c>
      <c r="V7290">
        <v>0.1462552</v>
      </c>
      <c r="W7290">
        <v>-7.392877E-3</v>
      </c>
      <c r="X7290">
        <v>0.98921919999999997</v>
      </c>
      <c r="Y7290">
        <v>0.34585579999999999</v>
      </c>
      <c r="Z7290">
        <v>-2.80761E-2</v>
      </c>
      <c r="AA7290">
        <v>0.93786749999999997</v>
      </c>
      <c r="AB7290">
        <v>26</v>
      </c>
      <c r="AC7290">
        <v>16.988499999999899</v>
      </c>
      <c r="AD7290">
        <v>-1.05374097</v>
      </c>
      <c r="AE7290">
        <v>33.7378</v>
      </c>
      <c r="AF7290">
        <v>13.1452109084907</v>
      </c>
      <c r="AG7290">
        <v>-1.05374097</v>
      </c>
      <c r="AH7290">
        <v>35.381260022399402</v>
      </c>
      <c r="AI7290">
        <v>91.599162668008205</v>
      </c>
      <c r="AJ7290">
        <v>69.618441885681406</v>
      </c>
      <c r="AK7290">
        <v>37.758979072972799</v>
      </c>
      <c r="AL7290">
        <v>90.423584537940201</v>
      </c>
      <c r="AM7290">
        <v>81.589796129093202</v>
      </c>
      <c r="AN7290">
        <v>0.99999993190300596</v>
      </c>
    </row>
    <row r="7291" spans="1:40" x14ac:dyDescent="0.25">
      <c r="A7291" t="str">
        <f>"20190312161500777"</f>
        <v>20190312161500777</v>
      </c>
      <c r="B7291" t="str">
        <f>"1552378500763839"</f>
        <v>1552378500763839</v>
      </c>
      <c r="C7291" t="s">
        <v>40</v>
      </c>
      <c r="D7291">
        <v>5.5000910000000003</v>
      </c>
      <c r="E7291">
        <v>0.57991210000000004</v>
      </c>
      <c r="F7291" t="s">
        <v>42</v>
      </c>
      <c r="G7291">
        <v>-168.20529999999999</v>
      </c>
      <c r="H7291">
        <v>7.9986299999999996E-2</v>
      </c>
      <c r="I7291">
        <v>150.86060000000001</v>
      </c>
      <c r="J7291">
        <v>-185.828</v>
      </c>
      <c r="K7291">
        <v>1.107332</v>
      </c>
      <c r="L7291">
        <v>116.1204</v>
      </c>
      <c r="M7291">
        <v>0.1141635</v>
      </c>
      <c r="N7291">
        <v>0</v>
      </c>
      <c r="O7291">
        <v>0.99336190000000002</v>
      </c>
      <c r="P7291">
        <v>0.25756259999999997</v>
      </c>
      <c r="Q7291">
        <v>-1.9836429999999999E-2</v>
      </c>
      <c r="R7291">
        <v>0.96605799999999997</v>
      </c>
      <c r="S7291">
        <v>1.381516</v>
      </c>
      <c r="T7291">
        <v>-8.039963E-2</v>
      </c>
      <c r="U7291">
        <v>2.7373500000000002</v>
      </c>
      <c r="V7291">
        <v>0.14553379999999999</v>
      </c>
      <c r="W7291">
        <v>-6.9156280000000001E-3</v>
      </c>
      <c r="X7291">
        <v>0.98932909999999996</v>
      </c>
      <c r="Y7291">
        <v>0.34552620000000001</v>
      </c>
      <c r="Z7291">
        <v>-2.657435E-2</v>
      </c>
      <c r="AA7291">
        <v>0.93803270000000005</v>
      </c>
      <c r="AB7291">
        <v>26</v>
      </c>
      <c r="AC7291">
        <v>17.622699999999998</v>
      </c>
      <c r="AD7291">
        <v>-1.0273456999999999</v>
      </c>
      <c r="AE7291">
        <v>34.740200000000002</v>
      </c>
      <c r="AF7291">
        <v>13.531590437447299</v>
      </c>
      <c r="AG7291">
        <v>-1.0273456999999999</v>
      </c>
      <c r="AH7291">
        <v>36.499704566541403</v>
      </c>
      <c r="AI7291">
        <v>91.511765708267802</v>
      </c>
      <c r="AJ7291">
        <v>69.658669735134893</v>
      </c>
      <c r="AK7291">
        <v>38.940824495623197</v>
      </c>
      <c r="AL7291">
        <v>90.396239459316305</v>
      </c>
      <c r="AM7291">
        <v>81.631606789728394</v>
      </c>
      <c r="AN7291">
        <v>0.99999999047994204</v>
      </c>
    </row>
    <row r="7292" spans="1:40" x14ac:dyDescent="0.25">
      <c r="A7292" t="str">
        <f>"20190312161500799"</f>
        <v>20190312161500799</v>
      </c>
      <c r="B7292" t="str">
        <f>"1552378500794094"</f>
        <v>1552378500794094</v>
      </c>
      <c r="C7292" t="s">
        <v>40</v>
      </c>
      <c r="D7292">
        <v>5.4114699999999996</v>
      </c>
      <c r="E7292">
        <v>0.57975059999999901</v>
      </c>
      <c r="F7292" t="s">
        <v>42</v>
      </c>
      <c r="G7292">
        <v>-167.56729999999999</v>
      </c>
      <c r="H7292">
        <v>7.9986130000000003E-2</v>
      </c>
      <c r="I7292">
        <v>152.0806</v>
      </c>
      <c r="J7292">
        <v>-185.7929</v>
      </c>
      <c r="K7292">
        <v>1.107316</v>
      </c>
      <c r="L7292">
        <v>116.3858</v>
      </c>
      <c r="M7292">
        <v>0.1182622</v>
      </c>
      <c r="N7292">
        <v>0</v>
      </c>
      <c r="O7292">
        <v>0.9928823</v>
      </c>
      <c r="P7292">
        <v>0.26138729999999999</v>
      </c>
      <c r="Q7292">
        <v>-1.987643E-2</v>
      </c>
      <c r="R7292">
        <v>0.96502929999999998</v>
      </c>
      <c r="S7292">
        <v>1.3881840000000001</v>
      </c>
      <c r="T7292">
        <v>-7.8099009999999996E-2</v>
      </c>
      <c r="U7292">
        <v>2.7337039999999999</v>
      </c>
      <c r="V7292">
        <v>0.1453691</v>
      </c>
      <c r="W7292">
        <v>-6.9603719999999899E-3</v>
      </c>
      <c r="X7292">
        <v>0.98935300000000004</v>
      </c>
      <c r="Y7292">
        <v>0.34398590000000001</v>
      </c>
      <c r="Z7292">
        <v>-2.5820309999999999E-2</v>
      </c>
      <c r="AA7292">
        <v>0.93861969999999995</v>
      </c>
      <c r="AB7292">
        <v>26</v>
      </c>
      <c r="AC7292">
        <v>18.2256</v>
      </c>
      <c r="AD7292">
        <v>-1.02732987</v>
      </c>
      <c r="AE7292">
        <v>35.694800000000001</v>
      </c>
      <c r="AF7292">
        <v>13.8667982182905</v>
      </c>
      <c r="AG7292">
        <v>-1.02732987</v>
      </c>
      <c r="AH7292">
        <v>37.575183496287103</v>
      </c>
      <c r="AI7292">
        <v>91.469299885665393</v>
      </c>
      <c r="AJ7292">
        <v>69.743851578652695</v>
      </c>
      <c r="AK7292">
        <v>40.065420430443901</v>
      </c>
      <c r="AL7292">
        <v>90.398803163470603</v>
      </c>
      <c r="AM7292">
        <v>81.641142456172901</v>
      </c>
      <c r="AN7292">
        <v>0.99999999031109399</v>
      </c>
    </row>
    <row r="7293" spans="1:40" x14ac:dyDescent="0.25">
      <c r="A7293" t="str">
        <f>"20190312161500822"</f>
        <v>20190312161500822</v>
      </c>
      <c r="B7293" t="str">
        <f>"1552378500813615"</f>
        <v>1552378500813615</v>
      </c>
      <c r="C7293" t="s">
        <v>40</v>
      </c>
      <c r="D7293">
        <v>5.4106339999999999</v>
      </c>
      <c r="E7293">
        <v>0.57966770000000001</v>
      </c>
      <c r="F7293" t="s">
        <v>42</v>
      </c>
      <c r="G7293">
        <v>-166.99940000000001</v>
      </c>
      <c r="H7293">
        <v>7.9985979999999998E-2</v>
      </c>
      <c r="I7293">
        <v>153.0702</v>
      </c>
      <c r="J7293">
        <v>-185.7561</v>
      </c>
      <c r="K7293">
        <v>1.1072959999999901</v>
      </c>
      <c r="L7293">
        <v>116.6551</v>
      </c>
      <c r="M7293">
        <v>0.1224568</v>
      </c>
      <c r="N7293">
        <v>0</v>
      </c>
      <c r="O7293">
        <v>0.99237370000000003</v>
      </c>
      <c r="P7293">
        <v>0.26561780000000002</v>
      </c>
      <c r="Q7293">
        <v>-1.929227E-2</v>
      </c>
      <c r="R7293">
        <v>0.9638854</v>
      </c>
      <c r="S7293">
        <v>1.3978269999999999</v>
      </c>
      <c r="T7293">
        <v>-7.6410770000000003E-2</v>
      </c>
      <c r="U7293">
        <v>2.7285159999999999</v>
      </c>
      <c r="V7293">
        <v>0.14553039999999901</v>
      </c>
      <c r="W7293">
        <v>-6.3835929999999999E-3</v>
      </c>
      <c r="X7293">
        <v>0.98933320000000002</v>
      </c>
      <c r="Y7293">
        <v>0.34337620000000002</v>
      </c>
      <c r="Z7293">
        <v>-2.526933E-2</v>
      </c>
      <c r="AA7293">
        <v>0.93885790000000002</v>
      </c>
      <c r="AB7293">
        <v>26</v>
      </c>
      <c r="AC7293">
        <v>18.756699999999899</v>
      </c>
      <c r="AD7293">
        <v>-1.0273100199999901</v>
      </c>
      <c r="AE7293">
        <v>36.415100000000002</v>
      </c>
      <c r="AF7293">
        <v>14.146887861804</v>
      </c>
      <c r="AG7293">
        <v>-1.0273100199999901</v>
      </c>
      <c r="AH7293">
        <v>38.413931388842997</v>
      </c>
      <c r="AI7293">
        <v>91.437561755031297</v>
      </c>
      <c r="AJ7293">
        <v>69.782512588407101</v>
      </c>
      <c r="AK7293">
        <v>40.9489917677882</v>
      </c>
      <c r="AL7293">
        <v>90.365755416004305</v>
      </c>
      <c r="AM7293">
        <v>81.631833714413503</v>
      </c>
      <c r="AN7293">
        <v>1.0000000141029901</v>
      </c>
    </row>
    <row r="7294" spans="1:40" x14ac:dyDescent="0.25">
      <c r="A7294" t="str">
        <f>"20190312161500843"</f>
        <v>20190312161500843</v>
      </c>
      <c r="B7294" t="str">
        <f>"1552378500834111"</f>
        <v>1552378500834111</v>
      </c>
      <c r="C7294" t="s">
        <v>40</v>
      </c>
      <c r="D7294">
        <v>5.44407</v>
      </c>
      <c r="E7294">
        <v>0.57974989999999904</v>
      </c>
      <c r="F7294" t="s">
        <v>41</v>
      </c>
      <c r="G7294">
        <v>-163.16669999999999</v>
      </c>
      <c r="H7294">
        <v>-0.05</v>
      </c>
      <c r="I7294">
        <v>160.30250000000001</v>
      </c>
      <c r="J7294">
        <v>-185.72040000000001</v>
      </c>
      <c r="K7294">
        <v>1.107281</v>
      </c>
      <c r="L7294">
        <v>116.9084</v>
      </c>
      <c r="M7294">
        <v>0.1264284</v>
      </c>
      <c r="N7294">
        <v>0</v>
      </c>
      <c r="O7294">
        <v>0.99187550000000002</v>
      </c>
      <c r="P7294">
        <v>0.26931929999999998</v>
      </c>
      <c r="Q7294">
        <v>-1.9127459999999999E-2</v>
      </c>
      <c r="R7294">
        <v>0.96286090000000002</v>
      </c>
      <c r="S7294">
        <v>1.4090879999999999</v>
      </c>
      <c r="T7294">
        <v>-7.2190279999999996E-2</v>
      </c>
      <c r="U7294">
        <v>2.7226560000000002</v>
      </c>
      <c r="V7294">
        <v>0.1453718</v>
      </c>
      <c r="W7294">
        <v>-6.2226490000000002E-3</v>
      </c>
      <c r="X7294">
        <v>0.9893575</v>
      </c>
      <c r="Y7294">
        <v>0.34351989999999999</v>
      </c>
      <c r="Z7294">
        <v>-2.3879879999999999E-2</v>
      </c>
      <c r="AA7294">
        <v>0.93884179999999995</v>
      </c>
      <c r="AB7294">
        <v>26</v>
      </c>
      <c r="AC7294">
        <v>22.553699999999999</v>
      </c>
      <c r="AD7294">
        <v>-1.157281</v>
      </c>
      <c r="AE7294">
        <v>43.394100000000002</v>
      </c>
      <c r="AF7294">
        <v>16.876444445057199</v>
      </c>
      <c r="AG7294">
        <v>-1.157281</v>
      </c>
      <c r="AH7294">
        <v>45.871849439567498</v>
      </c>
      <c r="AI7294">
        <v>91.356339853890205</v>
      </c>
      <c r="AJ7294">
        <v>69.801221030815796</v>
      </c>
      <c r="AK7294">
        <v>48.8915150862234</v>
      </c>
      <c r="AL7294">
        <v>90.356533835940397</v>
      </c>
      <c r="AM7294">
        <v>81.641026880264207</v>
      </c>
      <c r="AN7294">
        <v>0.99999997220103298</v>
      </c>
    </row>
    <row r="7295" spans="1:40" x14ac:dyDescent="0.25">
      <c r="A7295" t="str">
        <f>"20190312161500858"</f>
        <v>20190312161500858</v>
      </c>
      <c r="B7295" t="str">
        <f>"1552378500853631"</f>
        <v>1552378500853631</v>
      </c>
      <c r="C7295" t="s">
        <v>40</v>
      </c>
      <c r="D7295">
        <v>5.2284560000000004</v>
      </c>
      <c r="E7295">
        <v>0.57915169999999905</v>
      </c>
      <c r="F7295" t="s">
        <v>41</v>
      </c>
      <c r="G7295">
        <v>-161.92580000000001</v>
      </c>
      <c r="H7295">
        <v>-0.05</v>
      </c>
      <c r="I7295">
        <v>162.43</v>
      </c>
      <c r="J7295">
        <v>-185.69739999999999</v>
      </c>
      <c r="K7295">
        <v>1.1072709999999999</v>
      </c>
      <c r="L7295">
        <v>117.0669</v>
      </c>
      <c r="M7295">
        <v>0.1289255</v>
      </c>
      <c r="N7295">
        <v>0</v>
      </c>
      <c r="O7295">
        <v>0.99155409999999999</v>
      </c>
      <c r="P7295">
        <v>0.27165440000000002</v>
      </c>
      <c r="Q7295">
        <v>-1.895355E-2</v>
      </c>
      <c r="R7295">
        <v>0.96220819999999996</v>
      </c>
      <c r="S7295">
        <v>1.420258</v>
      </c>
      <c r="T7295">
        <v>-6.9076059999999995E-2</v>
      </c>
      <c r="U7295">
        <v>2.7171020000000001</v>
      </c>
      <c r="V7295">
        <v>0.14528150000000001</v>
      </c>
      <c r="W7295">
        <v>-6.0508609999999899E-3</v>
      </c>
      <c r="X7295">
        <v>0.98937180000000002</v>
      </c>
      <c r="Y7295">
        <v>0.3449855</v>
      </c>
      <c r="Z7295">
        <v>-2.2853620000000002E-2</v>
      </c>
      <c r="AA7295">
        <v>0.93832979999999999</v>
      </c>
      <c r="AB7295">
        <v>26</v>
      </c>
      <c r="AC7295">
        <v>23.7715999999999</v>
      </c>
      <c r="AD7295">
        <v>-1.1572709999999999</v>
      </c>
      <c r="AE7295">
        <v>45.363100000000003</v>
      </c>
      <c r="AF7295">
        <v>17.715082436559602</v>
      </c>
      <c r="AG7295">
        <v>-1.1572709999999999</v>
      </c>
      <c r="AH7295">
        <v>48.024984750069997</v>
      </c>
      <c r="AI7295">
        <v>91.295133606592202</v>
      </c>
      <c r="AJ7295">
        <v>69.752383622059995</v>
      </c>
      <c r="AK7295">
        <v>51.201197077275403</v>
      </c>
      <c r="AL7295">
        <v>90.346690933100206</v>
      </c>
      <c r="AM7295">
        <v>81.646264932073095</v>
      </c>
      <c r="AN7295">
        <v>0.99999994289816396</v>
      </c>
    </row>
    <row r="7296" spans="1:40" x14ac:dyDescent="0.25">
      <c r="A7296" t="str">
        <f>"20190312161500877"</f>
        <v>20190312161500877</v>
      </c>
      <c r="B7296" t="str">
        <f>"1552378500864367"</f>
        <v>1552378500864367</v>
      </c>
      <c r="C7296" t="s">
        <v>40</v>
      </c>
      <c r="D7296">
        <v>5.5541320000000001</v>
      </c>
      <c r="E7296">
        <v>0.57892319999999997</v>
      </c>
      <c r="F7296" t="s">
        <v>81</v>
      </c>
      <c r="G7296">
        <v>-160.53989999999999</v>
      </c>
      <c r="H7296">
        <v>1.7358780000000001E-2</v>
      </c>
      <c r="I7296">
        <v>165.0847</v>
      </c>
      <c r="J7296">
        <v>-185.6651</v>
      </c>
      <c r="K7296">
        <v>1.107262</v>
      </c>
      <c r="L7296">
        <v>117.2856</v>
      </c>
      <c r="M7296">
        <v>0.13238629999999901</v>
      </c>
      <c r="N7296">
        <v>0</v>
      </c>
      <c r="O7296">
        <v>0.99109789999999998</v>
      </c>
      <c r="P7296">
        <v>0.27529169999999997</v>
      </c>
      <c r="Q7296">
        <v>-1.94655E-2</v>
      </c>
      <c r="R7296">
        <v>0.96116360000000001</v>
      </c>
      <c r="S7296">
        <v>1.422455</v>
      </c>
      <c r="T7296">
        <v>-6.162405E-2</v>
      </c>
      <c r="U7296">
        <v>2.7150270000000001</v>
      </c>
      <c r="V7296">
        <v>0.145567</v>
      </c>
      <c r="W7296">
        <v>-6.5693359999999899E-3</v>
      </c>
      <c r="X7296">
        <v>0.98932659999999994</v>
      </c>
      <c r="Y7296">
        <v>0.34262280000000001</v>
      </c>
      <c r="Z7296">
        <v>-2.0394389999999998E-2</v>
      </c>
      <c r="AA7296">
        <v>0.93925170000000002</v>
      </c>
      <c r="AB7296">
        <v>26</v>
      </c>
      <c r="AC7296">
        <v>25.1252</v>
      </c>
      <c r="AD7296">
        <v>-1.0899032200000001</v>
      </c>
      <c r="AE7296">
        <v>47.799100000000003</v>
      </c>
      <c r="AF7296">
        <v>18.567869737966799</v>
      </c>
      <c r="AG7296">
        <v>-1.0899032200000001</v>
      </c>
      <c r="AH7296">
        <v>50.684213736743096</v>
      </c>
      <c r="AI7296">
        <v>91.156731259204605</v>
      </c>
      <c r="AJ7296">
        <v>69.879982639051505</v>
      </c>
      <c r="AK7296">
        <v>53.989287805516803</v>
      </c>
      <c r="AL7296">
        <v>90.376397928869594</v>
      </c>
      <c r="AM7296">
        <v>81.629703935511799</v>
      </c>
      <c r="AN7296">
        <v>1.0000000145660199</v>
      </c>
    </row>
    <row r="7297" spans="1:40" x14ac:dyDescent="0.25">
      <c r="A7297" t="str">
        <f>"20190312161500899"</f>
        <v>20190312161500899</v>
      </c>
      <c r="B7297" t="str">
        <f>"1552378500893647"</f>
        <v>1552378500893647</v>
      </c>
      <c r="C7297" t="s">
        <v>40</v>
      </c>
      <c r="D7297">
        <v>5.1651769999999999</v>
      </c>
      <c r="E7297">
        <v>0.57840059999999904</v>
      </c>
      <c r="F7297" t="s">
        <v>81</v>
      </c>
      <c r="G7297">
        <v>-160.46639999999999</v>
      </c>
      <c r="H7297">
        <v>5.0611499999999997E-2</v>
      </c>
      <c r="I7297">
        <v>165.01130000000001</v>
      </c>
      <c r="J7297">
        <v>-185.6249</v>
      </c>
      <c r="K7297">
        <v>1.1072630000000001</v>
      </c>
      <c r="L7297">
        <v>117.5505</v>
      </c>
      <c r="M7297">
        <v>0.1366</v>
      </c>
      <c r="N7297">
        <v>0</v>
      </c>
      <c r="O7297">
        <v>0.99052600000000002</v>
      </c>
      <c r="P7297">
        <v>0.27966780000000002</v>
      </c>
      <c r="Q7297">
        <v>-1.9773180000000001E-2</v>
      </c>
      <c r="R7297">
        <v>0.9598932</v>
      </c>
      <c r="S7297">
        <v>1.430939</v>
      </c>
      <c r="T7297">
        <v>-6.0001369999999998E-2</v>
      </c>
      <c r="U7297">
        <v>2.710159</v>
      </c>
      <c r="V7297">
        <v>0.1458652</v>
      </c>
      <c r="W7297">
        <v>-6.8839050000000001E-3</v>
      </c>
      <c r="X7297">
        <v>0.98928050000000001</v>
      </c>
      <c r="Y7297">
        <v>0.34162769999999998</v>
      </c>
      <c r="Z7297">
        <v>-1.9861810000000001E-2</v>
      </c>
      <c r="AA7297">
        <v>0.93962540000000006</v>
      </c>
      <c r="AB7297">
        <v>26</v>
      </c>
      <c r="AC7297">
        <v>25.1585</v>
      </c>
      <c r="AD7297">
        <v>-1.0566515000000001</v>
      </c>
      <c r="AE7297">
        <v>47.460799999999999</v>
      </c>
      <c r="AF7297">
        <v>18.4317029271694</v>
      </c>
      <c r="AG7297">
        <v>-1.0566515000000001</v>
      </c>
      <c r="AH7297">
        <v>50.433305034647503</v>
      </c>
      <c r="AI7297">
        <v>91.127346739138005</v>
      </c>
      <c r="AJ7297">
        <v>69.924315694426895</v>
      </c>
      <c r="AK7297">
        <v>53.706260732857601</v>
      </c>
      <c r="AL7297">
        <v>90.394421827651598</v>
      </c>
      <c r="AM7297">
        <v>81.612415421133704</v>
      </c>
      <c r="AN7297">
        <v>0.99999997619966896</v>
      </c>
    </row>
    <row r="7298" spans="1:40" x14ac:dyDescent="0.25">
      <c r="A7298" t="str">
        <f>"20190312161500913"</f>
        <v>20190312161500913</v>
      </c>
      <c r="B7298" t="str">
        <f>"1552378500904382"</f>
        <v>1552378500904382</v>
      </c>
      <c r="C7298" t="s">
        <v>40</v>
      </c>
      <c r="D7298">
        <v>5.7995769999999904</v>
      </c>
      <c r="E7298">
        <v>0.5782484</v>
      </c>
      <c r="F7298" t="s">
        <v>81</v>
      </c>
      <c r="G7298">
        <v>-160.4008</v>
      </c>
      <c r="H7298">
        <v>0.20860860000000001</v>
      </c>
      <c r="I7298">
        <v>164.94560000000001</v>
      </c>
      <c r="J7298">
        <v>-185.6001</v>
      </c>
      <c r="K7298">
        <v>1.1072580000000001</v>
      </c>
      <c r="L7298">
        <v>117.7103</v>
      </c>
      <c r="M7298">
        <v>0.1391531</v>
      </c>
      <c r="N7298">
        <v>0</v>
      </c>
      <c r="O7298">
        <v>0.99017049999999995</v>
      </c>
      <c r="P7298">
        <v>0.28196680000000002</v>
      </c>
      <c r="Q7298">
        <v>-1.9861279999999999E-2</v>
      </c>
      <c r="R7298">
        <v>0.95921860000000003</v>
      </c>
      <c r="S7298">
        <v>1.43956</v>
      </c>
      <c r="T7298">
        <v>-5.1285150000000002E-2</v>
      </c>
      <c r="U7298">
        <v>2.7048800000000002</v>
      </c>
      <c r="V7298">
        <v>0.1456847</v>
      </c>
      <c r="W7298">
        <v>-6.9726409999999999E-3</v>
      </c>
      <c r="X7298">
        <v>0.98930649999999998</v>
      </c>
      <c r="Y7298">
        <v>0.34232360000000001</v>
      </c>
      <c r="Z7298">
        <v>-1.698334E-2</v>
      </c>
      <c r="AA7298">
        <v>0.93942859999999995</v>
      </c>
      <c r="AB7298">
        <v>26</v>
      </c>
      <c r="AC7298">
        <v>25.199299999999901</v>
      </c>
      <c r="AD7298">
        <v>-0.89864940000000004</v>
      </c>
      <c r="AE7298">
        <v>47.235300000000002</v>
      </c>
      <c r="AF7298">
        <v>18.375314723060399</v>
      </c>
      <c r="AG7298">
        <v>-0.89864940000000004</v>
      </c>
      <c r="AH7298">
        <v>50.268395998720599</v>
      </c>
      <c r="AI7298">
        <v>90.961928655875198</v>
      </c>
      <c r="AJ7298">
        <v>69.920413872302007</v>
      </c>
      <c r="AK7298">
        <v>53.529163996832899</v>
      </c>
      <c r="AL7298">
        <v>90.399506138488505</v>
      </c>
      <c r="AM7298">
        <v>81.6228642453124</v>
      </c>
      <c r="AN7298">
        <v>1.00000000023942</v>
      </c>
    </row>
    <row r="7299" spans="1:40" x14ac:dyDescent="0.25">
      <c r="A7299" t="str">
        <f>"20190312161500935"</f>
        <v>20190312161500935</v>
      </c>
      <c r="B7299" t="str">
        <f>"1552378500923903"</f>
        <v>1552378500923903</v>
      </c>
      <c r="C7299" t="s">
        <v>40</v>
      </c>
      <c r="D7299">
        <v>5.3723549999999998</v>
      </c>
      <c r="E7299">
        <v>0.5781094</v>
      </c>
      <c r="F7299" t="s">
        <v>81</v>
      </c>
      <c r="G7299">
        <v>-160.35980000000001</v>
      </c>
      <c r="H7299">
        <v>0.25643729999999998</v>
      </c>
      <c r="I7299">
        <v>164.90469999999999</v>
      </c>
      <c r="J7299">
        <v>-185.56039999999999</v>
      </c>
      <c r="K7299">
        <v>1.107254</v>
      </c>
      <c r="L7299">
        <v>117.96</v>
      </c>
      <c r="M7299">
        <v>0.14316679999999901</v>
      </c>
      <c r="N7299">
        <v>0</v>
      </c>
      <c r="O7299">
        <v>0.98959819999999998</v>
      </c>
      <c r="P7299">
        <v>0.28582659999999999</v>
      </c>
      <c r="Q7299">
        <v>-1.9845970000000001E-2</v>
      </c>
      <c r="R7299">
        <v>0.95807580000000003</v>
      </c>
      <c r="S7299">
        <v>1.4449620000000001</v>
      </c>
      <c r="T7299">
        <v>-4.8706050000000001E-2</v>
      </c>
      <c r="U7299">
        <v>2.701797</v>
      </c>
      <c r="V7299">
        <v>0.14565649999999999</v>
      </c>
      <c r="W7299">
        <v>-6.9608730000000002E-3</v>
      </c>
      <c r="X7299">
        <v>0.98931069999999999</v>
      </c>
      <c r="Y7299">
        <v>0.34042600000000001</v>
      </c>
      <c r="Z7299">
        <v>-1.6130200000000001E-2</v>
      </c>
      <c r="AA7299">
        <v>0.940133</v>
      </c>
      <c r="AB7299">
        <v>26</v>
      </c>
      <c r="AC7299">
        <v>25.200599999999898</v>
      </c>
      <c r="AD7299">
        <v>-0.85081669999999998</v>
      </c>
      <c r="AE7299">
        <v>46.944699999999997</v>
      </c>
      <c r="AF7299">
        <v>18.214711235193601</v>
      </c>
      <c r="AG7299">
        <v>-0.85081669999999998</v>
      </c>
      <c r="AH7299">
        <v>50.056489774283897</v>
      </c>
      <c r="AI7299">
        <v>90.915080486089394</v>
      </c>
      <c r="AJ7299">
        <v>70.004407979227807</v>
      </c>
      <c r="AK7299">
        <v>53.274306780675097</v>
      </c>
      <c r="AL7299">
        <v>90.398831879271498</v>
      </c>
      <c r="AM7299">
        <v>81.624497845610193</v>
      </c>
      <c r="AN7299">
        <v>0.99999996543983005</v>
      </c>
    </row>
    <row r="7300" spans="1:40" x14ac:dyDescent="0.25">
      <c r="A7300" t="str">
        <f>"20190312161500957"</f>
        <v>20190312161500957</v>
      </c>
      <c r="B7300" t="str">
        <f>"1552378500944399"</f>
        <v>1552378500944399</v>
      </c>
      <c r="C7300" t="s">
        <v>40</v>
      </c>
      <c r="D7300">
        <v>5.4622929999999998</v>
      </c>
      <c r="E7300">
        <v>0.57816889999999999</v>
      </c>
      <c r="F7300" t="s">
        <v>81</v>
      </c>
      <c r="G7300">
        <v>-160.27780000000001</v>
      </c>
      <c r="H7300">
        <v>0.35269739999999999</v>
      </c>
      <c r="I7300">
        <v>164.82259999999999</v>
      </c>
      <c r="J7300">
        <v>-185.5197</v>
      </c>
      <c r="K7300">
        <v>1.1072409999999999</v>
      </c>
      <c r="L7300">
        <v>118.2094</v>
      </c>
      <c r="M7300">
        <v>0.14720329999999901</v>
      </c>
      <c r="N7300">
        <v>0</v>
      </c>
      <c r="O7300">
        <v>0.98900580000000005</v>
      </c>
      <c r="P7300">
        <v>0.2896611</v>
      </c>
      <c r="Q7300">
        <v>-1.990449E-2</v>
      </c>
      <c r="R7300">
        <v>0.9569223</v>
      </c>
      <c r="S7300">
        <v>1.454712</v>
      </c>
      <c r="T7300">
        <v>-4.3413760000000003E-2</v>
      </c>
      <c r="U7300">
        <v>2.6963810000000001</v>
      </c>
      <c r="V7300">
        <v>0.1455815</v>
      </c>
      <c r="W7300">
        <v>-7.0234549999999996E-3</v>
      </c>
      <c r="X7300">
        <v>0.98932140000000002</v>
      </c>
      <c r="Y7300">
        <v>0.34002450000000001</v>
      </c>
      <c r="Z7300">
        <v>-1.437982E-2</v>
      </c>
      <c r="AA7300">
        <v>0.94030659999999999</v>
      </c>
      <c r="AB7300">
        <v>26</v>
      </c>
      <c r="AC7300">
        <v>25.241899999999902</v>
      </c>
      <c r="AD7300">
        <v>-0.75454359999999898</v>
      </c>
      <c r="AE7300">
        <v>46.6131999999999</v>
      </c>
      <c r="AF7300">
        <v>18.100900053713101</v>
      </c>
      <c r="AG7300">
        <v>-0.75454359999999898</v>
      </c>
      <c r="AH7300">
        <v>49.8112740349113</v>
      </c>
      <c r="AI7300">
        <v>90.815674320737301</v>
      </c>
      <c r="AJ7300">
        <v>70.029380644639602</v>
      </c>
      <c r="AK7300">
        <v>53.003537049708697</v>
      </c>
      <c r="AL7300">
        <v>90.402417610542301</v>
      </c>
      <c r="AM7300">
        <v>81.628838604157096</v>
      </c>
      <c r="AN7300">
        <v>1.0000000672801701</v>
      </c>
    </row>
    <row r="7301" spans="1:40" x14ac:dyDescent="0.25">
      <c r="A7301" t="str">
        <f>"20190312161500978"</f>
        <v>20190312161500978</v>
      </c>
      <c r="B7301" t="str">
        <f>"1552378500973679"</f>
        <v>1552378500973679</v>
      </c>
      <c r="C7301" t="s">
        <v>40</v>
      </c>
      <c r="D7301">
        <v>5.4978899999999999</v>
      </c>
      <c r="E7301">
        <v>0.57877109999999998</v>
      </c>
      <c r="F7301" t="s">
        <v>81</v>
      </c>
      <c r="G7301">
        <v>-160.17269999999999</v>
      </c>
      <c r="H7301">
        <v>0.400032</v>
      </c>
      <c r="I7301">
        <v>164.7176</v>
      </c>
      <c r="J7301">
        <v>-185.47790000000001</v>
      </c>
      <c r="K7301">
        <v>1.107226</v>
      </c>
      <c r="L7301">
        <v>118.459</v>
      </c>
      <c r="M7301">
        <v>0.1512752</v>
      </c>
      <c r="N7301">
        <v>0</v>
      </c>
      <c r="O7301">
        <v>0.98839120000000003</v>
      </c>
      <c r="P7301">
        <v>0.29326920000000001</v>
      </c>
      <c r="Q7301">
        <v>-1.95449E-2</v>
      </c>
      <c r="R7301">
        <v>0.95583010000000002</v>
      </c>
      <c r="S7301">
        <v>1.466248</v>
      </c>
      <c r="T7301">
        <v>-4.0908100000000003E-2</v>
      </c>
      <c r="U7301">
        <v>2.690353</v>
      </c>
      <c r="V7301">
        <v>0.1452408</v>
      </c>
      <c r="W7301">
        <v>-6.6664130000000004E-3</v>
      </c>
      <c r="X7301">
        <v>0.98937390000000003</v>
      </c>
      <c r="Y7301">
        <v>0.34015109999999998</v>
      </c>
      <c r="Z7301">
        <v>-1.3550599999999999E-2</v>
      </c>
      <c r="AA7301">
        <v>0.94027320000000003</v>
      </c>
      <c r="AB7301">
        <v>26</v>
      </c>
      <c r="AC7301">
        <v>25.305199999999999</v>
      </c>
      <c r="AD7301">
        <v>-0.70719399999999999</v>
      </c>
      <c r="AE7301">
        <v>46.258600000000001</v>
      </c>
      <c r="AF7301">
        <v>18.0122073386738</v>
      </c>
      <c r="AG7301">
        <v>-0.70719399999999999</v>
      </c>
      <c r="AH7301">
        <v>49.545651987973997</v>
      </c>
      <c r="AI7301">
        <v>90.768553973165794</v>
      </c>
      <c r="AJ7301">
        <v>70.021380864234899</v>
      </c>
      <c r="AK7301">
        <v>52.722968120909499</v>
      </c>
      <c r="AL7301">
        <v>90.3819601499425</v>
      </c>
      <c r="AM7301">
        <v>81.648589660723999</v>
      </c>
      <c r="AN7301">
        <v>1.00000002252406</v>
      </c>
    </row>
    <row r="7302" spans="1:40" x14ac:dyDescent="0.25">
      <c r="A7302" t="str">
        <f>"20190312161501001"</f>
        <v>20190312161501001</v>
      </c>
      <c r="B7302" t="str">
        <f>"1552378500994175"</f>
        <v>1552378500994175</v>
      </c>
      <c r="C7302" t="s">
        <v>40</v>
      </c>
      <c r="D7302">
        <v>5.4359270000000004</v>
      </c>
      <c r="E7302">
        <v>0.57893030000000001</v>
      </c>
      <c r="F7302" t="s">
        <v>81</v>
      </c>
      <c r="G7302">
        <v>-160.02969999999999</v>
      </c>
      <c r="H7302">
        <v>0.37455559999999899</v>
      </c>
      <c r="I7302">
        <v>164.57480000000001</v>
      </c>
      <c r="J7302">
        <v>-185.4324</v>
      </c>
      <c r="K7302">
        <v>1.1072059999999999</v>
      </c>
      <c r="L7302">
        <v>118.7235</v>
      </c>
      <c r="M7302">
        <v>0.15563089999999999</v>
      </c>
      <c r="N7302">
        <v>0</v>
      </c>
      <c r="O7302">
        <v>0.98771469999999995</v>
      </c>
      <c r="P7302">
        <v>0.29730050000000002</v>
      </c>
      <c r="Q7302">
        <v>-1.9147649999999999E-2</v>
      </c>
      <c r="R7302">
        <v>0.95459190000000005</v>
      </c>
      <c r="S7302">
        <v>1.480804</v>
      </c>
      <c r="T7302">
        <v>-4.2631389999999998E-2</v>
      </c>
      <c r="U7302">
        <v>2.6834259999999999</v>
      </c>
      <c r="V7302">
        <v>0.14505609999999999</v>
      </c>
      <c r="W7302">
        <v>-6.2751550000000001E-3</v>
      </c>
      <c r="X7302">
        <v>0.98940349999999999</v>
      </c>
      <c r="Y7302">
        <v>0.34094010000000002</v>
      </c>
      <c r="Z7302">
        <v>-1.411921E-2</v>
      </c>
      <c r="AA7302">
        <v>0.93997900000000001</v>
      </c>
      <c r="AB7302">
        <v>26</v>
      </c>
      <c r="AC7302">
        <v>25.402699999999999</v>
      </c>
      <c r="AD7302">
        <v>-0.73265040000000003</v>
      </c>
      <c r="AE7302">
        <v>45.851300000000002</v>
      </c>
      <c r="AF7302">
        <v>17.9530178556622</v>
      </c>
      <c r="AG7302">
        <v>-0.73265040000000003</v>
      </c>
      <c r="AH7302">
        <v>49.236721967936703</v>
      </c>
      <c r="AI7302">
        <v>90.800932916091597</v>
      </c>
      <c r="AJ7302">
        <v>69.966799891683294</v>
      </c>
      <c r="AK7302">
        <v>52.412807756141497</v>
      </c>
      <c r="AL7302">
        <v>90.359542268556794</v>
      </c>
      <c r="AM7302">
        <v>81.659306511347097</v>
      </c>
      <c r="AN7302">
        <v>0.99999996776486599</v>
      </c>
    </row>
    <row r="7303" spans="1:40" x14ac:dyDescent="0.25">
      <c r="A7303" t="str">
        <f>"20190312161501015"</f>
        <v>20190312161501015</v>
      </c>
      <c r="B7303" t="str">
        <f>"1552378501003937"</f>
        <v>1552378501003937</v>
      </c>
      <c r="C7303" t="s">
        <v>40</v>
      </c>
      <c r="D7303">
        <v>5.3360989999999999</v>
      </c>
      <c r="E7303">
        <v>0.59547930000000004</v>
      </c>
      <c r="F7303" t="s">
        <v>81</v>
      </c>
      <c r="G7303">
        <v>-159.91460000000001</v>
      </c>
      <c r="H7303">
        <v>0.41367340000000002</v>
      </c>
      <c r="I7303">
        <v>164.4598</v>
      </c>
      <c r="J7303">
        <v>-185.40369999999999</v>
      </c>
      <c r="K7303">
        <v>1.107189</v>
      </c>
      <c r="L7303">
        <v>118.88720000000001</v>
      </c>
      <c r="M7303">
        <v>0.15835539999999901</v>
      </c>
      <c r="N7303">
        <v>0</v>
      </c>
      <c r="O7303">
        <v>0.98728159999999998</v>
      </c>
      <c r="P7303">
        <v>0.29989460000000001</v>
      </c>
      <c r="Q7303">
        <v>-1.8669189999999999E-2</v>
      </c>
      <c r="R7303">
        <v>0.95378969999999996</v>
      </c>
      <c r="S7303">
        <v>1.4934540000000001</v>
      </c>
      <c r="T7303">
        <v>-4.0587779999999997E-2</v>
      </c>
      <c r="U7303">
        <v>2.676758</v>
      </c>
      <c r="V7303">
        <v>0.14501800000000001</v>
      </c>
      <c r="W7303">
        <v>-5.8022459999999996E-3</v>
      </c>
      <c r="X7303">
        <v>0.98941199999999996</v>
      </c>
      <c r="Y7303">
        <v>0.342734599999999</v>
      </c>
      <c r="Z7303">
        <v>-1.344383E-2</v>
      </c>
      <c r="AA7303">
        <v>0.93933610000000001</v>
      </c>
      <c r="AB7303">
        <v>26</v>
      </c>
      <c r="AC7303">
        <v>25.489099999999901</v>
      </c>
      <c r="AD7303">
        <v>-0.69351560000000001</v>
      </c>
      <c r="AE7303">
        <v>45.572600000000001</v>
      </c>
      <c r="AF7303">
        <v>17.9468689178928</v>
      </c>
      <c r="AG7303">
        <v>-0.69351560000000001</v>
      </c>
      <c r="AH7303">
        <v>49.0255475472227</v>
      </c>
      <c r="AI7303">
        <v>90.7610666788798</v>
      </c>
      <c r="AJ7303">
        <v>69.893748000365093</v>
      </c>
      <c r="AK7303">
        <v>52.211831802269401</v>
      </c>
      <c r="AL7303">
        <v>90.332446074181306</v>
      </c>
      <c r="AM7303">
        <v>81.661537074628697</v>
      </c>
      <c r="AN7303">
        <v>0.99999999606332202</v>
      </c>
    </row>
    <row r="7304" spans="1:40" x14ac:dyDescent="0.25">
      <c r="A7304" t="str">
        <f>"20190312161501035"</f>
        <v>20190312161501035</v>
      </c>
      <c r="B7304" t="str">
        <f>"1552378501024432"</f>
        <v>1552378501024432</v>
      </c>
      <c r="C7304" t="s">
        <v>40</v>
      </c>
      <c r="D7304">
        <v>5.4460800000000003</v>
      </c>
      <c r="E7304">
        <v>0.59106459999999905</v>
      </c>
      <c r="F7304" t="s">
        <v>84</v>
      </c>
      <c r="G7304">
        <v>-178.4776</v>
      </c>
      <c r="H7304" s="1">
        <v>-4.6140329999999996E-6</v>
      </c>
      <c r="I7304">
        <v>130.1215</v>
      </c>
      <c r="J7304">
        <v>-185.36410000000001</v>
      </c>
      <c r="K7304">
        <v>1.1071569999999999</v>
      </c>
      <c r="L7304">
        <v>119.1078</v>
      </c>
      <c r="M7304">
        <v>0.16206709999999999</v>
      </c>
      <c r="N7304">
        <v>0</v>
      </c>
      <c r="O7304">
        <v>0.98667910000000003</v>
      </c>
      <c r="P7304">
        <v>0.304027299999999</v>
      </c>
      <c r="Q7304">
        <v>-1.8870109999999999E-2</v>
      </c>
      <c r="R7304">
        <v>0.9524764</v>
      </c>
      <c r="S7304">
        <v>1.621658</v>
      </c>
      <c r="T7304">
        <v>-0.25923800000000002</v>
      </c>
      <c r="U7304">
        <v>2.6303860000000001</v>
      </c>
      <c r="V7304">
        <v>0.14558570000000001</v>
      </c>
      <c r="W7304">
        <v>-6.0184640000000003E-3</v>
      </c>
      <c r="X7304">
        <v>0.98932730000000002</v>
      </c>
      <c r="Y7304">
        <v>0.3779709</v>
      </c>
      <c r="Z7304">
        <v>-8.5163089999999997E-2</v>
      </c>
      <c r="AA7304">
        <v>0.92189219999999905</v>
      </c>
      <c r="AB7304">
        <v>26</v>
      </c>
      <c r="AC7304">
        <v>6.8865000000000096</v>
      </c>
      <c r="AD7304">
        <v>-1.1071616140329901</v>
      </c>
      <c r="AE7304">
        <v>11.0137</v>
      </c>
      <c r="AF7304">
        <v>4.9741669691153403</v>
      </c>
      <c r="AG7304">
        <v>-1.1071616140329901</v>
      </c>
      <c r="AH7304">
        <v>11.8978140668421</v>
      </c>
      <c r="AI7304">
        <v>94.907083405357994</v>
      </c>
      <c r="AJ7304">
        <v>67.311462252395799</v>
      </c>
      <c r="AK7304">
        <v>12.9431883029403</v>
      </c>
      <c r="AL7304">
        <v>90.344834681155703</v>
      </c>
      <c r="AM7304">
        <v>81.628649736645002</v>
      </c>
      <c r="AN7304">
        <v>0.99999996223934895</v>
      </c>
    </row>
    <row r="7305" spans="1:40" x14ac:dyDescent="0.25">
      <c r="A7305" t="str">
        <f>"20190312161501056"</f>
        <v>20190312161501056</v>
      </c>
      <c r="B7305" t="str">
        <f>"1552378501043951"</f>
        <v>1552378501043951</v>
      </c>
      <c r="C7305" t="s">
        <v>40</v>
      </c>
      <c r="D7305">
        <v>6.0412169999999996</v>
      </c>
      <c r="E7305">
        <v>0.59165400000000001</v>
      </c>
      <c r="F7305" t="s">
        <v>84</v>
      </c>
      <c r="G7305">
        <v>-173.71559999999999</v>
      </c>
      <c r="H7305" s="1">
        <v>-4.7543730000000001E-6</v>
      </c>
      <c r="I7305">
        <v>138.27000000000001</v>
      </c>
      <c r="J7305">
        <v>-185.3186</v>
      </c>
      <c r="K7305">
        <v>1.1071219999999999</v>
      </c>
      <c r="L7305">
        <v>119.35509999999999</v>
      </c>
      <c r="M7305">
        <v>0.16629269999999999</v>
      </c>
      <c r="N7305">
        <v>0</v>
      </c>
      <c r="O7305">
        <v>0.98597570000000001</v>
      </c>
      <c r="P7305">
        <v>0.30894129999999997</v>
      </c>
      <c r="Q7305">
        <v>-1.79162E-2</v>
      </c>
      <c r="R7305">
        <v>0.95091239999999999</v>
      </c>
      <c r="S7305">
        <v>1.601974</v>
      </c>
      <c r="T7305">
        <v>-0.15226419999999999</v>
      </c>
      <c r="U7305">
        <v>2.6353149999999999</v>
      </c>
      <c r="V7305">
        <v>0.14645910000000001</v>
      </c>
      <c r="W7305">
        <v>-5.0861270000000002E-3</v>
      </c>
      <c r="X7305">
        <v>0.98920359999999996</v>
      </c>
      <c r="Y7305">
        <v>0.36943979999999998</v>
      </c>
      <c r="Z7305">
        <v>-5.019759E-2</v>
      </c>
      <c r="AA7305">
        <v>0.92789790000000005</v>
      </c>
      <c r="AB7305">
        <v>26</v>
      </c>
      <c r="AC7305">
        <v>11.603</v>
      </c>
      <c r="AD7305">
        <v>-1.1071267543729999</v>
      </c>
      <c r="AE7305">
        <v>18.914899999999999</v>
      </c>
      <c r="AF7305">
        <v>8.2750912660146998</v>
      </c>
      <c r="AG7305">
        <v>-1.1071267543729999</v>
      </c>
      <c r="AH7305">
        <v>20.530065258520501</v>
      </c>
      <c r="AI7305">
        <v>92.863370746903996</v>
      </c>
      <c r="AJ7305">
        <v>68.047024079127198</v>
      </c>
      <c r="AK7305">
        <v>22.162726471042198</v>
      </c>
      <c r="AL7305">
        <v>90.291414882325896</v>
      </c>
      <c r="AM7305">
        <v>81.578108270516097</v>
      </c>
      <c r="AN7305">
        <v>0.99999994945681303</v>
      </c>
    </row>
    <row r="7306" spans="1:40" x14ac:dyDescent="0.25">
      <c r="A7306" t="str">
        <f>"20190312161501079"</f>
        <v>20190312161501079</v>
      </c>
      <c r="B7306" t="str">
        <f>"1552378501074207"</f>
        <v>1552378501074207</v>
      </c>
      <c r="C7306" t="s">
        <v>40</v>
      </c>
      <c r="D7306">
        <v>5.6000579999999998</v>
      </c>
      <c r="E7306">
        <v>0.59025079999999996</v>
      </c>
      <c r="F7306" t="s">
        <v>84</v>
      </c>
      <c r="G7306">
        <v>-173.041</v>
      </c>
      <c r="H7306" s="1">
        <v>-4.8272589999999999E-6</v>
      </c>
      <c r="I7306">
        <v>139.25040000000001</v>
      </c>
      <c r="J7306">
        <v>-185.26949999999999</v>
      </c>
      <c r="K7306">
        <v>1.1070869999999999</v>
      </c>
      <c r="L7306">
        <v>119.6152</v>
      </c>
      <c r="M7306">
        <v>0.17081299999999999</v>
      </c>
      <c r="N7306">
        <v>0</v>
      </c>
      <c r="O7306">
        <v>0.98520260000000004</v>
      </c>
      <c r="P7306">
        <v>0.31405139999999998</v>
      </c>
      <c r="Q7306">
        <v>-1.5867849999999999E-2</v>
      </c>
      <c r="R7306">
        <v>0.94927329999999999</v>
      </c>
      <c r="S7306">
        <v>1.620331</v>
      </c>
      <c r="T7306">
        <v>-0.1461124</v>
      </c>
      <c r="U7306">
        <v>2.6256710000000001</v>
      </c>
      <c r="V7306">
        <v>0.14725150000000001</v>
      </c>
      <c r="W7306">
        <v>-3.0607429999999999E-3</v>
      </c>
      <c r="X7306">
        <v>0.98909440000000004</v>
      </c>
      <c r="Y7306">
        <v>0.37145450000000002</v>
      </c>
      <c r="Z7306">
        <v>-4.8166279999999999E-2</v>
      </c>
      <c r="AA7306">
        <v>0.92720089999999999</v>
      </c>
      <c r="AB7306">
        <v>26</v>
      </c>
      <c r="AC7306">
        <v>12.228499999999899</v>
      </c>
      <c r="AD7306">
        <v>-1.107091827259</v>
      </c>
      <c r="AE7306">
        <v>19.635200000000001</v>
      </c>
      <c r="AF7306">
        <v>8.6745965579672006</v>
      </c>
      <c r="AG7306">
        <v>-1.107091827259</v>
      </c>
      <c r="AH7306">
        <v>21.386578923134898</v>
      </c>
      <c r="AI7306">
        <v>92.746369006850898</v>
      </c>
      <c r="AJ7306">
        <v>67.9220649780722</v>
      </c>
      <c r="AK7306">
        <v>23.105411396314899</v>
      </c>
      <c r="AL7306">
        <v>90.175367920723005</v>
      </c>
      <c r="AM7306">
        <v>81.532280101331196</v>
      </c>
      <c r="AN7306">
        <v>1.00000005225565</v>
      </c>
    </row>
    <row r="7307" spans="1:40" x14ac:dyDescent="0.25">
      <c r="A7307" t="str">
        <f>"20190312161501093"</f>
        <v>20190312161501093</v>
      </c>
      <c r="B7307" t="str">
        <f>"1552378501083967"</f>
        <v>1552378501083967</v>
      </c>
      <c r="C7307" t="s">
        <v>40</v>
      </c>
      <c r="D7307">
        <v>5.4716430000000003</v>
      </c>
      <c r="E7307">
        <v>0.59001749999999997</v>
      </c>
      <c r="F7307" t="s">
        <v>42</v>
      </c>
      <c r="G7307">
        <v>-168.12540000000001</v>
      </c>
      <c r="H7307" s="1">
        <v>-2.9052690000000002E-6</v>
      </c>
      <c r="I7307">
        <v>147.2782</v>
      </c>
      <c r="J7307">
        <v>-185.2379</v>
      </c>
      <c r="K7307">
        <v>1.107059</v>
      </c>
      <c r="L7307">
        <v>119.7791</v>
      </c>
      <c r="M7307">
        <v>0.17370360000000001</v>
      </c>
      <c r="N7307">
        <v>0</v>
      </c>
      <c r="O7307">
        <v>0.98469700000000004</v>
      </c>
      <c r="P7307">
        <v>0.31725419999999999</v>
      </c>
      <c r="Q7307">
        <v>-1.4537649999999999E-2</v>
      </c>
      <c r="R7307">
        <v>0.94822910000000005</v>
      </c>
      <c r="S7307">
        <v>1.6244510000000001</v>
      </c>
      <c r="T7307">
        <v>-0.1048994</v>
      </c>
      <c r="U7307">
        <v>2.62114</v>
      </c>
      <c r="V7307">
        <v>0.14769399999999999</v>
      </c>
      <c r="W7307">
        <v>-1.7451369999999999E-3</v>
      </c>
      <c r="X7307">
        <v>0.98903160000000001</v>
      </c>
      <c r="Y7307">
        <v>0.37079679999999998</v>
      </c>
      <c r="Z7307">
        <v>-3.4616929999999997E-2</v>
      </c>
      <c r="AA7307">
        <v>0.92806860000000002</v>
      </c>
      <c r="AB7307">
        <v>26</v>
      </c>
      <c r="AC7307">
        <v>17.112499999999901</v>
      </c>
      <c r="AD7307">
        <v>-1.1070619052689901</v>
      </c>
      <c r="AE7307">
        <v>27.499099999999999</v>
      </c>
      <c r="AF7307">
        <v>12.061044683534799</v>
      </c>
      <c r="AG7307">
        <v>-1.1070619052689901</v>
      </c>
      <c r="AH7307">
        <v>30.018702086105701</v>
      </c>
      <c r="AI7307">
        <v>91.959911886816201</v>
      </c>
      <c r="AJ7307">
        <v>68.110510569215606</v>
      </c>
      <c r="AK7307">
        <v>32.369999379899397</v>
      </c>
      <c r="AL7307">
        <v>90.099989032078398</v>
      </c>
      <c r="AM7307">
        <v>81.506673218515701</v>
      </c>
      <c r="AN7307">
        <v>1.00000003446885</v>
      </c>
    </row>
    <row r="7308" spans="1:40" x14ac:dyDescent="0.25">
      <c r="A7308" t="str">
        <f>"20190312161501113"</f>
        <v>20190312161501113</v>
      </c>
      <c r="B7308" t="str">
        <f>"1552378501104463"</f>
        <v>1552378501104463</v>
      </c>
      <c r="C7308" t="s">
        <v>40</v>
      </c>
      <c r="D7308">
        <v>5.6128169999999997</v>
      </c>
      <c r="E7308">
        <v>0.59023870000000001</v>
      </c>
      <c r="F7308" t="s">
        <v>42</v>
      </c>
      <c r="G7308">
        <v>-166.62950000000001</v>
      </c>
      <c r="H7308">
        <v>4.040117E-2</v>
      </c>
      <c r="I7308">
        <v>149.6163</v>
      </c>
      <c r="J7308">
        <v>-185.1943</v>
      </c>
      <c r="K7308">
        <v>1.1070230000000001</v>
      </c>
      <c r="L7308">
        <v>120.0008</v>
      </c>
      <c r="M7308">
        <v>0.177676</v>
      </c>
      <c r="N7308">
        <v>0</v>
      </c>
      <c r="O7308">
        <v>0.98398799999999997</v>
      </c>
      <c r="P7308">
        <v>0.3215364</v>
      </c>
      <c r="Q7308">
        <v>-1.1838069999999999E-2</v>
      </c>
      <c r="R7308">
        <v>0.94682319999999998</v>
      </c>
      <c r="S7308">
        <v>1.631775</v>
      </c>
      <c r="T7308">
        <v>-9.3535069999999998E-2</v>
      </c>
      <c r="U7308">
        <v>2.616425</v>
      </c>
      <c r="V7308">
        <v>0.14818689999999901</v>
      </c>
      <c r="W7308">
        <v>9.3490260000000003E-4</v>
      </c>
      <c r="X7308">
        <v>0.98895900000000003</v>
      </c>
      <c r="Y7308">
        <v>0.36973549999999999</v>
      </c>
      <c r="Z7308">
        <v>-3.0870069999999999E-2</v>
      </c>
      <c r="AA7308">
        <v>0.92862409999999995</v>
      </c>
      <c r="AB7308">
        <v>26</v>
      </c>
      <c r="AC7308">
        <v>18.564799999999899</v>
      </c>
      <c r="AD7308">
        <v>-1.0666218300000001</v>
      </c>
      <c r="AE7308">
        <v>29.615500000000001</v>
      </c>
      <c r="AF7308">
        <v>12.994769339643801</v>
      </c>
      <c r="AG7308">
        <v>-1.0666218300000001</v>
      </c>
      <c r="AH7308">
        <v>32.412858854953598</v>
      </c>
      <c r="AI7308">
        <v>91.749503325375599</v>
      </c>
      <c r="AJ7308">
        <v>68.153458946983505</v>
      </c>
      <c r="AK7308">
        <v>34.937016636655201</v>
      </c>
      <c r="AL7308">
        <v>89.946434022578202</v>
      </c>
      <c r="AM7308">
        <v>81.478127475318104</v>
      </c>
      <c r="AN7308">
        <v>1.0000000675277301</v>
      </c>
    </row>
    <row r="7309" spans="1:40" x14ac:dyDescent="0.25">
      <c r="A7309" t="str">
        <f>"20190312161501136"</f>
        <v>20190312161501136</v>
      </c>
      <c r="B7309" t="str">
        <f>"1552378501123984"</f>
        <v>1552378501123984</v>
      </c>
      <c r="C7309" t="s">
        <v>40</v>
      </c>
      <c r="D7309">
        <v>5.5570950000000003</v>
      </c>
      <c r="E7309">
        <v>0.59040329999999996</v>
      </c>
      <c r="F7309" t="s">
        <v>42</v>
      </c>
      <c r="G7309">
        <v>-165.59880000000001</v>
      </c>
      <c r="H7309">
        <v>7.9985420000000002E-2</v>
      </c>
      <c r="I7309">
        <v>151.07390000000001</v>
      </c>
      <c r="J7309">
        <v>-185.14099999999999</v>
      </c>
      <c r="K7309">
        <v>1.106975</v>
      </c>
      <c r="L7309">
        <v>120.2649</v>
      </c>
      <c r="M7309">
        <v>0.18250379999999999</v>
      </c>
      <c r="N7309">
        <v>0</v>
      </c>
      <c r="O7309">
        <v>0.98310399999999998</v>
      </c>
      <c r="P7309">
        <v>0.32651180000000002</v>
      </c>
      <c r="Q7309">
        <v>-1.0488890000000001E-2</v>
      </c>
      <c r="R7309">
        <v>0.9451349</v>
      </c>
      <c r="S7309">
        <v>1.6451260000000001</v>
      </c>
      <c r="T7309">
        <v>-8.6224200000000001E-2</v>
      </c>
      <c r="U7309">
        <v>2.6087189999999998</v>
      </c>
      <c r="V7309">
        <v>0.14854200000000001</v>
      </c>
      <c r="W7309">
        <v>2.2619390000000001E-3</v>
      </c>
      <c r="X7309">
        <v>0.98890350000000005</v>
      </c>
      <c r="Y7309">
        <v>0.36985240000000003</v>
      </c>
      <c r="Z7309">
        <v>-2.8455390000000001E-2</v>
      </c>
      <c r="AA7309">
        <v>0.92865469999999894</v>
      </c>
      <c r="AB7309">
        <v>26</v>
      </c>
      <c r="AC7309">
        <v>19.542199999999902</v>
      </c>
      <c r="AD7309">
        <v>-1.02698958</v>
      </c>
      <c r="AE7309">
        <v>30.809000000000001</v>
      </c>
      <c r="AF7309">
        <v>13.5798468242316</v>
      </c>
      <c r="AG7309">
        <v>-1.02698958</v>
      </c>
      <c r="AH7309">
        <v>33.8315372302539</v>
      </c>
      <c r="AI7309">
        <v>91.613666402151694</v>
      </c>
      <c r="AJ7309">
        <v>68.129666685643201</v>
      </c>
      <c r="AK7309">
        <v>36.469711525169501</v>
      </c>
      <c r="AL7309">
        <v>89.870400329614498</v>
      </c>
      <c r="AM7309">
        <v>81.457535098378798</v>
      </c>
      <c r="AN7309">
        <v>0.999999987222144</v>
      </c>
    </row>
    <row r="7310" spans="1:40" x14ac:dyDescent="0.25">
      <c r="A7310" t="str">
        <f>"20190312161501158"</f>
        <v>20190312161501158</v>
      </c>
      <c r="B7310" t="str">
        <f>"1552378501154240"</f>
        <v>1552378501154240</v>
      </c>
      <c r="C7310" t="s">
        <v>40</v>
      </c>
      <c r="D7310">
        <v>5.5708419999999998</v>
      </c>
      <c r="E7310">
        <v>0.59077159999999995</v>
      </c>
      <c r="F7310" t="s">
        <v>42</v>
      </c>
      <c r="G7310">
        <v>-165.6848</v>
      </c>
      <c r="H7310">
        <v>7.9985440000000005E-2</v>
      </c>
      <c r="I7310">
        <v>150.7321</v>
      </c>
      <c r="J7310">
        <v>-185.09</v>
      </c>
      <c r="K7310">
        <v>1.106924</v>
      </c>
      <c r="L7310">
        <v>120.511</v>
      </c>
      <c r="M7310">
        <v>0.18709300000000001</v>
      </c>
      <c r="N7310">
        <v>0</v>
      </c>
      <c r="O7310">
        <v>0.98224100000000003</v>
      </c>
      <c r="P7310">
        <v>0.3321539</v>
      </c>
      <c r="Q7310">
        <v>-9.8163199999999999E-3</v>
      </c>
      <c r="R7310">
        <v>0.94317410000000002</v>
      </c>
      <c r="S7310">
        <v>1.66012599999999</v>
      </c>
      <c r="T7310">
        <v>-8.7629199999999893E-2</v>
      </c>
      <c r="U7310">
        <v>2.5996549999999998</v>
      </c>
      <c r="V7310">
        <v>0.14983750000000001</v>
      </c>
      <c r="W7310">
        <v>2.9047130000000002E-3</v>
      </c>
      <c r="X7310">
        <v>0.98870639999999999</v>
      </c>
      <c r="Y7310">
        <v>0.37078179999999999</v>
      </c>
      <c r="Z7310">
        <v>-2.8918360000000001E-2</v>
      </c>
      <c r="AA7310">
        <v>0.92826969999999998</v>
      </c>
      <c r="AB7310">
        <v>26</v>
      </c>
      <c r="AC7310">
        <v>19.405200000000001</v>
      </c>
      <c r="AD7310">
        <v>-1.0269385600000001</v>
      </c>
      <c r="AE7310">
        <v>30.2211</v>
      </c>
      <c r="AF7310">
        <v>13.396806546017199</v>
      </c>
      <c r="AG7310">
        <v>-1.0269385600000001</v>
      </c>
      <c r="AH7310">
        <v>33.291074252995102</v>
      </c>
      <c r="AI7310">
        <v>91.639190476286899</v>
      </c>
      <c r="AJ7310">
        <v>68.079437304251002</v>
      </c>
      <c r="AK7310">
        <v>35.900204085156098</v>
      </c>
      <c r="AL7310">
        <v>89.833571975290496</v>
      </c>
      <c r="AM7310">
        <v>81.382454058830305</v>
      </c>
      <c r="AN7310">
        <v>1.0000000295824101</v>
      </c>
    </row>
    <row r="7311" spans="1:40" x14ac:dyDescent="0.25">
      <c r="A7311" t="str">
        <f>"20190312161501173"</f>
        <v>20190312161501173</v>
      </c>
      <c r="B7311" t="str">
        <f>"1552378501164001"</f>
        <v>1552378501164001</v>
      </c>
      <c r="C7311" t="s">
        <v>40</v>
      </c>
      <c r="D7311">
        <v>5.5918150000000004</v>
      </c>
      <c r="E7311">
        <v>0.59076830000000002</v>
      </c>
      <c r="F7311" t="s">
        <v>42</v>
      </c>
      <c r="G7311">
        <v>-166.20869999999999</v>
      </c>
      <c r="H7311">
        <v>6.6366640000000005E-2</v>
      </c>
      <c r="I7311">
        <v>149.6327</v>
      </c>
      <c r="J7311">
        <v>-185.05250000000001</v>
      </c>
      <c r="K7311">
        <v>1.106886</v>
      </c>
      <c r="L7311">
        <v>120.6883</v>
      </c>
      <c r="M7311">
        <v>0.19045339999999999</v>
      </c>
      <c r="N7311">
        <v>0</v>
      </c>
      <c r="O7311">
        <v>0.98159490000000005</v>
      </c>
      <c r="P7311">
        <v>0.33615099999999998</v>
      </c>
      <c r="Q7311">
        <v>-9.8812710000000005E-3</v>
      </c>
      <c r="R7311">
        <v>0.94175620000000004</v>
      </c>
      <c r="S7311">
        <v>1.6784209999999999</v>
      </c>
      <c r="T7311">
        <v>-9.2498300000000006E-2</v>
      </c>
      <c r="U7311">
        <v>2.5887150000000001</v>
      </c>
      <c r="V7311">
        <v>0.1506468</v>
      </c>
      <c r="W7311">
        <v>2.8184059999999999E-3</v>
      </c>
      <c r="X7311">
        <v>0.98858360000000001</v>
      </c>
      <c r="Y7311">
        <v>0.37398619999999999</v>
      </c>
      <c r="Z7311">
        <v>-3.0527169999999999E-2</v>
      </c>
      <c r="AA7311">
        <v>0.92693170000000003</v>
      </c>
      <c r="AB7311">
        <v>26</v>
      </c>
      <c r="AC7311">
        <v>18.843800000000002</v>
      </c>
      <c r="AD7311">
        <v>-1.04051936</v>
      </c>
      <c r="AE7311">
        <v>28.944400000000002</v>
      </c>
      <c r="AF7311">
        <v>12.9739349170013</v>
      </c>
      <c r="AG7311">
        <v>-1.04051936</v>
      </c>
      <c r="AH7311">
        <v>31.974703844522601</v>
      </c>
      <c r="AI7311">
        <v>91.727186317743701</v>
      </c>
      <c r="AJ7311">
        <v>67.914839658245199</v>
      </c>
      <c r="AK7311">
        <v>34.522273298756701</v>
      </c>
      <c r="AL7311">
        <v>89.838517012286104</v>
      </c>
      <c r="AM7311">
        <v>81.335553628360003</v>
      </c>
      <c r="AN7311">
        <v>0.99999996797578905</v>
      </c>
    </row>
    <row r="7312" spans="1:40" x14ac:dyDescent="0.25">
      <c r="A7312" t="str">
        <f>"20190312161501191"</f>
        <v>20190312161501191</v>
      </c>
      <c r="B7312" t="str">
        <f>"1552378501184495"</f>
        <v>1552378501184495</v>
      </c>
      <c r="C7312" t="s">
        <v>40</v>
      </c>
      <c r="D7312">
        <v>5.5807289999999998</v>
      </c>
      <c r="E7312">
        <v>0.59139319999999995</v>
      </c>
      <c r="F7312" t="s">
        <v>42</v>
      </c>
      <c r="G7312">
        <v>-166.12350000000001</v>
      </c>
      <c r="H7312">
        <v>4.0935140000000002E-2</v>
      </c>
      <c r="I7312">
        <v>149.6163</v>
      </c>
      <c r="J7312">
        <v>-185.011</v>
      </c>
      <c r="K7312">
        <v>1.106841</v>
      </c>
      <c r="L7312">
        <v>120.881</v>
      </c>
      <c r="M7312">
        <v>0.19415969999999999</v>
      </c>
      <c r="N7312">
        <v>0</v>
      </c>
      <c r="O7312">
        <v>0.98086850000000003</v>
      </c>
      <c r="P7312">
        <v>0.34156229999999999</v>
      </c>
      <c r="Q7312">
        <v>-1.004407E-2</v>
      </c>
      <c r="R7312">
        <v>0.93980549999999996</v>
      </c>
      <c r="S7312">
        <v>1.689255</v>
      </c>
      <c r="T7312">
        <v>-9.5126989999999995E-2</v>
      </c>
      <c r="U7312">
        <v>2.5815730000000001</v>
      </c>
      <c r="V7312">
        <v>0.15259790000000001</v>
      </c>
      <c r="W7312">
        <v>2.6205199999999999E-3</v>
      </c>
      <c r="X7312">
        <v>0.98828490000000002</v>
      </c>
      <c r="Y7312">
        <v>0.3743669</v>
      </c>
      <c r="Z7312">
        <v>-3.1395729999999997E-2</v>
      </c>
      <c r="AA7312">
        <v>0.92674900000000004</v>
      </c>
      <c r="AB7312">
        <v>26</v>
      </c>
      <c r="AC7312">
        <v>18.8874999999999</v>
      </c>
      <c r="AD7312">
        <v>-1.06590586</v>
      </c>
      <c r="AE7312">
        <v>28.735299999999899</v>
      </c>
      <c r="AF7312">
        <v>12.935775688091599</v>
      </c>
      <c r="AG7312">
        <v>-1.06590586</v>
      </c>
      <c r="AH7312">
        <v>31.8253325182487</v>
      </c>
      <c r="AI7312">
        <v>91.777161646441499</v>
      </c>
      <c r="AJ7312">
        <v>67.880145915646594</v>
      </c>
      <c r="AK7312">
        <v>34.370368602214697</v>
      </c>
      <c r="AL7312">
        <v>89.8498550942615</v>
      </c>
      <c r="AM7312">
        <v>81.222460950220096</v>
      </c>
      <c r="AN7312">
        <v>1.00000001488874</v>
      </c>
    </row>
    <row r="7313" spans="1:40" x14ac:dyDescent="0.25">
      <c r="A7313" t="str">
        <f>"20190312161501213"</f>
        <v>20190312161501213</v>
      </c>
      <c r="B7313" t="str">
        <f>"1552378501204016"</f>
        <v>1552378501204016</v>
      </c>
      <c r="C7313" t="s">
        <v>40</v>
      </c>
      <c r="D7313">
        <v>5.5819489999999998</v>
      </c>
      <c r="E7313">
        <v>0.59117749999999902</v>
      </c>
      <c r="F7313" t="s">
        <v>42</v>
      </c>
      <c r="G7313">
        <v>-166.30070000000001</v>
      </c>
      <c r="H7313" s="1">
        <v>-3.9606440000000002E-6</v>
      </c>
      <c r="I7313">
        <v>149.0248</v>
      </c>
      <c r="J7313">
        <v>-184.95339999999999</v>
      </c>
      <c r="K7313">
        <v>1.1067739999999999</v>
      </c>
      <c r="L7313">
        <v>121.14149999999999</v>
      </c>
      <c r="M7313">
        <v>0.1992766</v>
      </c>
      <c r="N7313">
        <v>0</v>
      </c>
      <c r="O7313">
        <v>0.97984159999999998</v>
      </c>
      <c r="P7313">
        <v>0.34843049999999998</v>
      </c>
      <c r="Q7313">
        <v>-1.063999E-2</v>
      </c>
      <c r="R7313">
        <v>0.93727419999999995</v>
      </c>
      <c r="S7313">
        <v>1.7086330000000001</v>
      </c>
      <c r="T7313">
        <v>-0.101077399999999</v>
      </c>
      <c r="U7313">
        <v>2.5700989999999999</v>
      </c>
      <c r="V7313">
        <v>0.1546679</v>
      </c>
      <c r="W7313">
        <v>1.982036E-3</v>
      </c>
      <c r="X7313">
        <v>0.98796450000000002</v>
      </c>
      <c r="Y7313">
        <v>0.37624740000000001</v>
      </c>
      <c r="Z7313">
        <v>-3.335171E-2</v>
      </c>
      <c r="AA7313">
        <v>0.92591880000000004</v>
      </c>
      <c r="AB7313">
        <v>26</v>
      </c>
      <c r="AC7313">
        <v>18.6526999999999</v>
      </c>
      <c r="AD7313">
        <v>-1.106777960644</v>
      </c>
      <c r="AE7313">
        <v>27.883299999999998</v>
      </c>
      <c r="AF7313">
        <v>12.7076380068085</v>
      </c>
      <c r="AG7313">
        <v>-1.106777960644</v>
      </c>
      <c r="AH7313">
        <v>31.007606352684999</v>
      </c>
      <c r="AI7313">
        <v>91.891663918390194</v>
      </c>
      <c r="AJ7313">
        <v>67.715041042759395</v>
      </c>
      <c r="AK7313">
        <v>33.528803630450597</v>
      </c>
      <c r="AL7313">
        <v>89.886437624653396</v>
      </c>
      <c r="AM7313">
        <v>81.102446060386995</v>
      </c>
      <c r="AN7313">
        <v>0.99999997050868195</v>
      </c>
    </row>
    <row r="7314" spans="1:40" x14ac:dyDescent="0.25">
      <c r="A7314" t="str">
        <f>"20190312161501229"</f>
        <v>20190312161501229</v>
      </c>
      <c r="B7314" t="str">
        <f>"1552378501224512"</f>
        <v>1552378501224512</v>
      </c>
      <c r="C7314" t="s">
        <v>40</v>
      </c>
      <c r="D7314">
        <v>5.4726369999999998</v>
      </c>
      <c r="E7314">
        <v>0.59093269999999998</v>
      </c>
      <c r="F7314" t="s">
        <v>42</v>
      </c>
      <c r="G7314">
        <v>-167.95429999999999</v>
      </c>
      <c r="H7314" s="1">
        <v>-2.737107E-6</v>
      </c>
      <c r="I7314">
        <v>146.34219999999999</v>
      </c>
      <c r="J7314">
        <v>-184.9136</v>
      </c>
      <c r="K7314">
        <v>1.106724</v>
      </c>
      <c r="L7314">
        <v>121.3184</v>
      </c>
      <c r="M7314">
        <v>0.20280500000000001</v>
      </c>
      <c r="N7314">
        <v>0</v>
      </c>
      <c r="O7314">
        <v>0.97911740000000003</v>
      </c>
      <c r="P7314">
        <v>0.35270040000000003</v>
      </c>
      <c r="Q7314">
        <v>-1.081975E-2</v>
      </c>
      <c r="R7314">
        <v>0.9356738</v>
      </c>
      <c r="S7314">
        <v>1.7255100000000001</v>
      </c>
      <c r="T7314">
        <v>-0.112343899999999</v>
      </c>
      <c r="U7314">
        <v>2.558014</v>
      </c>
      <c r="V7314">
        <v>0.15561249999999999</v>
      </c>
      <c r="W7314">
        <v>1.7779499999999999E-3</v>
      </c>
      <c r="X7314">
        <v>0.98781660000000004</v>
      </c>
      <c r="Y7314">
        <v>0.37905919999999999</v>
      </c>
      <c r="Z7314">
        <v>-3.7082940000000002E-2</v>
      </c>
      <c r="AA7314">
        <v>0.92462909999999998</v>
      </c>
      <c r="AB7314">
        <v>26</v>
      </c>
      <c r="AC7314">
        <v>16.959299999999999</v>
      </c>
      <c r="AD7314">
        <v>-1.106726737107</v>
      </c>
      <c r="AE7314">
        <v>25.023799999999898</v>
      </c>
      <c r="AF7314">
        <v>11.515907214008299</v>
      </c>
      <c r="AG7314">
        <v>-1.106726737107</v>
      </c>
      <c r="AH7314">
        <v>27.906048310054501</v>
      </c>
      <c r="AI7314">
        <v>92.099533152476596</v>
      </c>
      <c r="AJ7314">
        <v>67.575672511772098</v>
      </c>
      <c r="AK7314">
        <v>30.2090796833563</v>
      </c>
      <c r="AL7314">
        <v>89.8981309175132</v>
      </c>
      <c r="AM7314">
        <v>81.047664981753101</v>
      </c>
      <c r="AN7314">
        <v>1.0000000232490001</v>
      </c>
    </row>
    <row r="7315" spans="1:40" x14ac:dyDescent="0.25">
      <c r="A7315" t="str">
        <f>"20190312161501245"</f>
        <v>20190312161501245</v>
      </c>
      <c r="B7315" t="str">
        <f>"1552378501234273"</f>
        <v>1552378501234273</v>
      </c>
      <c r="C7315" t="s">
        <v>40</v>
      </c>
      <c r="D7315">
        <v>5.3487650000000002</v>
      </c>
      <c r="E7315">
        <v>0.59045979999999998</v>
      </c>
      <c r="F7315" t="s">
        <v>42</v>
      </c>
      <c r="G7315">
        <v>-168.601</v>
      </c>
      <c r="H7315" s="1">
        <v>-2.1529979999999999E-6</v>
      </c>
      <c r="I7315">
        <v>145.29589999999999</v>
      </c>
      <c r="J7315">
        <v>-184.87090000000001</v>
      </c>
      <c r="K7315">
        <v>1.1066860000000001</v>
      </c>
      <c r="L7315">
        <v>121.5038</v>
      </c>
      <c r="M7315">
        <v>0.2065649</v>
      </c>
      <c r="N7315">
        <v>0</v>
      </c>
      <c r="O7315">
        <v>0.97833099999999995</v>
      </c>
      <c r="P7315">
        <v>0.35763260000000002</v>
      </c>
      <c r="Q7315">
        <v>-1.135689E-2</v>
      </c>
      <c r="R7315">
        <v>0.93379330000000005</v>
      </c>
      <c r="S7315">
        <v>1.735352</v>
      </c>
      <c r="T7315">
        <v>-0.1177347</v>
      </c>
      <c r="U7315">
        <v>2.550751</v>
      </c>
      <c r="V7315">
        <v>0.15702639999999901</v>
      </c>
      <c r="W7315">
        <v>1.210514E-3</v>
      </c>
      <c r="X7315">
        <v>0.98759370000000002</v>
      </c>
      <c r="Y7315">
        <v>0.37912899999999999</v>
      </c>
      <c r="Z7315">
        <v>-3.8864740000000002E-2</v>
      </c>
      <c r="AA7315">
        <v>0.92452730000000005</v>
      </c>
      <c r="AB7315">
        <v>26</v>
      </c>
      <c r="AC7315">
        <v>16.2699</v>
      </c>
      <c r="AD7315">
        <v>-1.1066881529979999</v>
      </c>
      <c r="AE7315">
        <v>23.792099999999898</v>
      </c>
      <c r="AF7315">
        <v>10.987633503033299</v>
      </c>
      <c r="AG7315">
        <v>-1.1066881529979999</v>
      </c>
      <c r="AH7315">
        <v>26.600779447582699</v>
      </c>
      <c r="AI7315">
        <v>92.202076505891597</v>
      </c>
      <c r="AJ7315">
        <v>67.556593372207601</v>
      </c>
      <c r="AK7315">
        <v>28.8019845823843</v>
      </c>
      <c r="AL7315">
        <v>89.930642642313799</v>
      </c>
      <c r="AM7315">
        <v>80.965653886686994</v>
      </c>
      <c r="AN7315">
        <v>1.00000003596039</v>
      </c>
    </row>
    <row r="7316" spans="1:40" x14ac:dyDescent="0.25">
      <c r="A7316" t="str">
        <f>"20190312161501268"</f>
        <v>20190312161501268</v>
      </c>
      <c r="B7316" t="str">
        <f>"1552378501264527"</f>
        <v>1552378501264527</v>
      </c>
      <c r="C7316" t="s">
        <v>40</v>
      </c>
      <c r="D7316">
        <v>5.4874739999999997</v>
      </c>
      <c r="E7316">
        <v>0.58984630000000005</v>
      </c>
      <c r="F7316" t="s">
        <v>42</v>
      </c>
      <c r="G7316">
        <v>-169.06720000000001</v>
      </c>
      <c r="H7316" s="1">
        <v>-1.728966E-6</v>
      </c>
      <c r="I7316">
        <v>144.53049999999999</v>
      </c>
      <c r="J7316">
        <v>-184.81399999999999</v>
      </c>
      <c r="K7316">
        <v>1.1066199999999999</v>
      </c>
      <c r="L7316">
        <v>121.74590000000001</v>
      </c>
      <c r="M7316">
        <v>0.21155789999999999</v>
      </c>
      <c r="N7316">
        <v>0</v>
      </c>
      <c r="O7316">
        <v>0.9772634</v>
      </c>
      <c r="P7316">
        <v>0.3631277</v>
      </c>
      <c r="Q7316">
        <v>-1.0277619999999999E-2</v>
      </c>
      <c r="R7316">
        <v>0.93168269999999997</v>
      </c>
      <c r="S7316">
        <v>1.745193</v>
      </c>
      <c r="T7316">
        <v>-0.122211</v>
      </c>
      <c r="U7316">
        <v>2.5428310000000001</v>
      </c>
      <c r="V7316">
        <v>0.1578088</v>
      </c>
      <c r="W7316">
        <v>2.2614620000000001E-3</v>
      </c>
      <c r="X7316">
        <v>0.98746710000000004</v>
      </c>
      <c r="Y7316">
        <v>0.37814520000000001</v>
      </c>
      <c r="Z7316">
        <v>-4.0345180000000001E-2</v>
      </c>
      <c r="AA7316">
        <v>0.92486670000000004</v>
      </c>
      <c r="AB7316">
        <v>26</v>
      </c>
      <c r="AC7316">
        <v>15.7468</v>
      </c>
      <c r="AD7316">
        <v>-1.1066217289659901</v>
      </c>
      <c r="AE7316">
        <v>22.784599999999902</v>
      </c>
      <c r="AF7316">
        <v>10.5527170101354</v>
      </c>
      <c r="AG7316">
        <v>-1.1066217289659901</v>
      </c>
      <c r="AH7316">
        <v>25.5596654969996</v>
      </c>
      <c r="AI7316">
        <v>92.291695949387403</v>
      </c>
      <c r="AJ7316">
        <v>67.565933634319904</v>
      </c>
      <c r="AK7316">
        <v>27.674554165614499</v>
      </c>
      <c r="AL7316">
        <v>89.8704276617609</v>
      </c>
      <c r="AM7316">
        <v>80.920242654849304</v>
      </c>
      <c r="AN7316">
        <v>1.0000000025751099</v>
      </c>
    </row>
    <row r="7317" spans="1:40" x14ac:dyDescent="0.25">
      <c r="A7317" t="str">
        <f>"20190312161501282"</f>
        <v>20190312161501282</v>
      </c>
      <c r="B7317" t="str">
        <f>"1552378501274288"</f>
        <v>1552378501274288</v>
      </c>
      <c r="C7317" t="s">
        <v>40</v>
      </c>
      <c r="D7317">
        <v>5.3439329999999998</v>
      </c>
      <c r="E7317">
        <v>0.58986280000000002</v>
      </c>
      <c r="F7317" t="s">
        <v>42</v>
      </c>
      <c r="G7317">
        <v>-168.78030000000001</v>
      </c>
      <c r="H7317" s="1">
        <v>-1.9608259999999998E-6</v>
      </c>
      <c r="I7317">
        <v>144.89230000000001</v>
      </c>
      <c r="J7317">
        <v>-184.77709999999999</v>
      </c>
      <c r="K7317">
        <v>1.106573</v>
      </c>
      <c r="L7317">
        <v>121.8995</v>
      </c>
      <c r="M7317">
        <v>0.21480070000000001</v>
      </c>
      <c r="N7317">
        <v>0</v>
      </c>
      <c r="O7317">
        <v>0.97655570000000003</v>
      </c>
      <c r="P7317">
        <v>0.3666317</v>
      </c>
      <c r="Q7317">
        <v>-1.0105100000000001E-2</v>
      </c>
      <c r="R7317">
        <v>0.93031129999999995</v>
      </c>
      <c r="S7317">
        <v>1.7556</v>
      </c>
      <c r="T7317">
        <v>-0.121168899999999</v>
      </c>
      <c r="U7317">
        <v>2.5343930000000001</v>
      </c>
      <c r="V7317">
        <v>0.1582488</v>
      </c>
      <c r="W7317">
        <v>2.4145270000000001E-3</v>
      </c>
      <c r="X7317">
        <v>0.9873963</v>
      </c>
      <c r="Y7317">
        <v>0.37908629999999999</v>
      </c>
      <c r="Z7317">
        <v>-4.0016820000000002E-2</v>
      </c>
      <c r="AA7317">
        <v>0.92449559999999997</v>
      </c>
      <c r="AB7317">
        <v>26</v>
      </c>
      <c r="AC7317">
        <v>15.996799999999901</v>
      </c>
      <c r="AD7317">
        <v>-1.106574960826</v>
      </c>
      <c r="AE7317">
        <v>22.992799999999999</v>
      </c>
      <c r="AF7317">
        <v>10.6673141714365</v>
      </c>
      <c r="AG7317">
        <v>-1.106574960826</v>
      </c>
      <c r="AH7317">
        <v>25.852109695085101</v>
      </c>
      <c r="AI7317">
        <v>92.265893027312302</v>
      </c>
      <c r="AJ7317">
        <v>67.577566725793304</v>
      </c>
      <c r="AK7317">
        <v>27.9883489234855</v>
      </c>
      <c r="AL7317">
        <v>89.861657656598993</v>
      </c>
      <c r="AM7317">
        <v>80.894708169225794</v>
      </c>
      <c r="AN7317">
        <v>0.99999998294788095</v>
      </c>
    </row>
    <row r="7318" spans="1:40" x14ac:dyDescent="0.25">
      <c r="A7318" t="str">
        <f>"20190312161501295"</f>
        <v>20190312161501295</v>
      </c>
      <c r="B7318" t="str">
        <f>"1552378501284048"</f>
        <v>1552378501284048</v>
      </c>
      <c r="C7318" t="s">
        <v>40</v>
      </c>
      <c r="D7318">
        <v>5.3298500000000004</v>
      </c>
      <c r="E7318">
        <v>0.58991470000000001</v>
      </c>
      <c r="F7318" t="s">
        <v>42</v>
      </c>
      <c r="G7318">
        <v>-168.2475</v>
      </c>
      <c r="H7318" s="1">
        <v>-2.391688E-6</v>
      </c>
      <c r="I7318">
        <v>145.565</v>
      </c>
      <c r="J7318">
        <v>-184.73869999999999</v>
      </c>
      <c r="K7318">
        <v>1.106519</v>
      </c>
      <c r="L7318">
        <v>122.0568</v>
      </c>
      <c r="M7318">
        <v>0.21816679999999999</v>
      </c>
      <c r="N7318">
        <v>0</v>
      </c>
      <c r="O7318">
        <v>0.97580919999999904</v>
      </c>
      <c r="P7318">
        <v>0.37001919999999999</v>
      </c>
      <c r="Q7318">
        <v>-1.0435949999999999E-2</v>
      </c>
      <c r="R7318">
        <v>0.9289655</v>
      </c>
      <c r="S7318">
        <v>1.7655029999999901</v>
      </c>
      <c r="T7318">
        <v>-0.11819200000000001</v>
      </c>
      <c r="U7318">
        <v>2.527679</v>
      </c>
      <c r="V7318">
        <v>0.1584401</v>
      </c>
      <c r="W7318">
        <v>2.065482E-3</v>
      </c>
      <c r="X7318">
        <v>0.98736639999999998</v>
      </c>
      <c r="Y7318">
        <v>0.3795057</v>
      </c>
      <c r="Z7318">
        <v>-3.903206E-2</v>
      </c>
      <c r="AA7318">
        <v>0.92436569999999996</v>
      </c>
      <c r="AB7318">
        <v>25</v>
      </c>
      <c r="AC7318">
        <v>16.4911999999999</v>
      </c>
      <c r="AD7318">
        <v>-1.1065213916879999</v>
      </c>
      <c r="AE7318">
        <v>23.508199999999999</v>
      </c>
      <c r="AF7318">
        <v>10.948393943066</v>
      </c>
      <c r="AG7318">
        <v>-1.1065213916879999</v>
      </c>
      <c r="AH7318">
        <v>26.500650536296099</v>
      </c>
      <c r="AI7318">
        <v>92.209993449283004</v>
      </c>
      <c r="AJ7318">
        <v>67.552679143150897</v>
      </c>
      <c r="AK7318">
        <v>28.6945325518594</v>
      </c>
      <c r="AL7318">
        <v>89.881656511004493</v>
      </c>
      <c r="AM7318">
        <v>80.883614472211903</v>
      </c>
      <c r="AN7318">
        <v>0.99999996967643001</v>
      </c>
    </row>
    <row r="7319" spans="1:40" x14ac:dyDescent="0.25">
      <c r="A7319" t="str">
        <f>"20190312161501313"</f>
        <v>20190312161501313</v>
      </c>
      <c r="B7319" t="str">
        <f>"1552378501304542"</f>
        <v>1552378501304542</v>
      </c>
      <c r="C7319" t="s">
        <v>40</v>
      </c>
      <c r="D7319">
        <v>5.1978140000000002</v>
      </c>
      <c r="E7319">
        <v>0.58962060000000005</v>
      </c>
      <c r="F7319" t="s">
        <v>42</v>
      </c>
      <c r="G7319">
        <v>-168.10319999999999</v>
      </c>
      <c r="H7319" s="1">
        <v>-2.4914610000000002E-6</v>
      </c>
      <c r="I7319">
        <v>145.68360000000001</v>
      </c>
      <c r="J7319">
        <v>-184.68960000000001</v>
      </c>
      <c r="K7319">
        <v>1.106444</v>
      </c>
      <c r="L7319">
        <v>122.25449999999999</v>
      </c>
      <c r="M7319">
        <v>0.22247919999999999</v>
      </c>
      <c r="N7319">
        <v>0</v>
      </c>
      <c r="O7319">
        <v>0.97483489999999995</v>
      </c>
      <c r="P7319">
        <v>0.37488480000000002</v>
      </c>
      <c r="Q7319">
        <v>-1.1925079999999999E-2</v>
      </c>
      <c r="R7319">
        <v>0.92699469999999995</v>
      </c>
      <c r="S7319">
        <v>1.7750549999999901</v>
      </c>
      <c r="T7319">
        <v>-0.1180688</v>
      </c>
      <c r="U7319">
        <v>2.521042</v>
      </c>
      <c r="V7319">
        <v>0.15924179999999999</v>
      </c>
      <c r="W7319">
        <v>5.4485009999999997E-4</v>
      </c>
      <c r="X7319">
        <v>0.98723950000000005</v>
      </c>
      <c r="Y7319">
        <v>0.37890380000000001</v>
      </c>
      <c r="Z7319">
        <v>-3.8983230000000001E-2</v>
      </c>
      <c r="AA7319">
        <v>0.92461459999999995</v>
      </c>
      <c r="AB7319">
        <v>25</v>
      </c>
      <c r="AC7319">
        <v>16.586400000000001</v>
      </c>
      <c r="AD7319">
        <v>-1.1064464914609999</v>
      </c>
      <c r="AE7319">
        <v>23.429099999999998</v>
      </c>
      <c r="AF7319">
        <v>10.941354511582301</v>
      </c>
      <c r="AG7319">
        <v>-1.1064464914609999</v>
      </c>
      <c r="AH7319">
        <v>26.4929264345846</v>
      </c>
      <c r="AI7319">
        <v>92.210600842551401</v>
      </c>
      <c r="AJ7319">
        <v>67.559788777813907</v>
      </c>
      <c r="AK7319">
        <v>28.684710447464902</v>
      </c>
      <c r="AL7319">
        <v>89.968782388476995</v>
      </c>
      <c r="AM7319">
        <v>80.8371086553542</v>
      </c>
      <c r="AN7319">
        <v>1.00000003904456</v>
      </c>
    </row>
    <row r="7320" spans="1:40" x14ac:dyDescent="0.25">
      <c r="A7320" t="str">
        <f>"20190312161501326"</f>
        <v>20190312161501326</v>
      </c>
      <c r="B7320" t="str">
        <f>"1552378501314303"</f>
        <v>1552378501314303</v>
      </c>
      <c r="C7320" t="s">
        <v>40</v>
      </c>
      <c r="D7320">
        <v>6.0420119999999997</v>
      </c>
      <c r="E7320">
        <v>0.58959300000000003</v>
      </c>
      <c r="F7320" t="s">
        <v>42</v>
      </c>
      <c r="G7320">
        <v>-168.20580000000001</v>
      </c>
      <c r="H7320" s="1">
        <v>-2.3791720000000001E-6</v>
      </c>
      <c r="I7320">
        <v>145.44390000000001</v>
      </c>
      <c r="J7320">
        <v>-184.6523</v>
      </c>
      <c r="K7320">
        <v>1.1063889999999901</v>
      </c>
      <c r="L7320">
        <v>122.4019</v>
      </c>
      <c r="M7320">
        <v>0.2257469</v>
      </c>
      <c r="N7320">
        <v>0</v>
      </c>
      <c r="O7320">
        <v>0.97408329999999999</v>
      </c>
      <c r="P7320">
        <v>0.37864340000000002</v>
      </c>
      <c r="Q7320">
        <v>-1.2053660000000001E-2</v>
      </c>
      <c r="R7320">
        <v>0.92546419999999996</v>
      </c>
      <c r="S7320">
        <v>1.7859499999999999</v>
      </c>
      <c r="T7320">
        <v>-0.11987920000000001</v>
      </c>
      <c r="U7320">
        <v>2.5124819999999999</v>
      </c>
      <c r="V7320">
        <v>0.15993640000000001</v>
      </c>
      <c r="W7320">
        <v>3.908316E-4</v>
      </c>
      <c r="X7320">
        <v>0.98712719999999998</v>
      </c>
      <c r="Y7320">
        <v>0.37993680000000002</v>
      </c>
      <c r="Z7320">
        <v>-3.9589970000000002E-2</v>
      </c>
      <c r="AA7320">
        <v>0.92416480000000001</v>
      </c>
      <c r="AB7320">
        <v>25</v>
      </c>
      <c r="AC7320">
        <v>16.446499999999901</v>
      </c>
      <c r="AD7320">
        <v>-1.1063913791719999</v>
      </c>
      <c r="AE7320">
        <v>23.042000000000002</v>
      </c>
      <c r="AF7320">
        <v>10.8031823480064</v>
      </c>
      <c r="AG7320">
        <v>-1.1063913791719999</v>
      </c>
      <c r="AH7320">
        <v>26.120294243511498</v>
      </c>
      <c r="AI7320">
        <v>92.241517939137097</v>
      </c>
      <c r="AJ7320">
        <v>67.530333740352702</v>
      </c>
      <c r="AK7320">
        <v>28.287852907136699</v>
      </c>
      <c r="AL7320">
        <v>89.977606997284099</v>
      </c>
      <c r="AM7320">
        <v>80.796794220176196</v>
      </c>
      <c r="AN7320">
        <v>0.999999956887068</v>
      </c>
    </row>
    <row r="7321" spans="1:40" x14ac:dyDescent="0.25">
      <c r="A7321" t="str">
        <f>"20190312161501341"</f>
        <v>20190312161501341</v>
      </c>
      <c r="B7321" t="str">
        <f>"1552378501333825"</f>
        <v>1552378501333825</v>
      </c>
      <c r="C7321" t="s">
        <v>40</v>
      </c>
      <c r="D7321">
        <v>5.173057</v>
      </c>
      <c r="E7321">
        <v>0.56883569999999894</v>
      </c>
      <c r="F7321" t="s">
        <v>42</v>
      </c>
      <c r="G7321">
        <v>-167.89400000000001</v>
      </c>
      <c r="H7321" s="1">
        <v>-2.6152529999999999E-6</v>
      </c>
      <c r="I7321">
        <v>145.77719999999999</v>
      </c>
      <c r="J7321">
        <v>-184.6113</v>
      </c>
      <c r="K7321">
        <v>1.1063289999999999</v>
      </c>
      <c r="L7321">
        <v>122.5611</v>
      </c>
      <c r="M7321">
        <v>0.22934570000000001</v>
      </c>
      <c r="N7321">
        <v>0</v>
      </c>
      <c r="O7321">
        <v>0.97324219999999895</v>
      </c>
      <c r="P7321">
        <v>0.3827276</v>
      </c>
      <c r="Q7321">
        <v>-1.200234E-2</v>
      </c>
      <c r="R7321">
        <v>0.92378320000000003</v>
      </c>
      <c r="S7321">
        <v>1.7960659999999999</v>
      </c>
      <c r="T7321">
        <v>-0.1185769</v>
      </c>
      <c r="U7321">
        <v>2.5052340000000002</v>
      </c>
      <c r="V7321">
        <v>0.1606485</v>
      </c>
      <c r="W7321">
        <v>4.1562709999999999E-4</v>
      </c>
      <c r="X7321">
        <v>0.98701159999999999</v>
      </c>
      <c r="Y7321">
        <v>0.38025940000000003</v>
      </c>
      <c r="Z7321">
        <v>-3.915735E-2</v>
      </c>
      <c r="AA7321">
        <v>0.92405060000000006</v>
      </c>
      <c r="AB7321">
        <v>25</v>
      </c>
      <c r="AC7321">
        <v>16.717299999999899</v>
      </c>
      <c r="AD7321">
        <v>-1.1063316152530001</v>
      </c>
      <c r="AE7321">
        <v>23.216100000000001</v>
      </c>
      <c r="AF7321">
        <v>10.9302190301204</v>
      </c>
      <c r="AG7321">
        <v>-1.1063316152530001</v>
      </c>
      <c r="AH7321">
        <v>26.392106233536499</v>
      </c>
      <c r="AI7321">
        <v>92.217902396762895</v>
      </c>
      <c r="AJ7321">
        <v>67.503241578755095</v>
      </c>
      <c r="AK7321">
        <v>28.587356106005899</v>
      </c>
      <c r="AL7321">
        <v>89.976186320774005</v>
      </c>
      <c r="AM7321">
        <v>80.755459776663201</v>
      </c>
      <c r="AN7321">
        <v>1.0000000059163401</v>
      </c>
    </row>
    <row r="7322" spans="1:40" x14ac:dyDescent="0.25">
      <c r="A7322" t="str">
        <f>"20190312161501358"</f>
        <v>20190312161501358</v>
      </c>
      <c r="B7322" t="str">
        <f>"1552378501354320"</f>
        <v>1552378501354320</v>
      </c>
      <c r="C7322" t="s">
        <v>40</v>
      </c>
      <c r="D7322">
        <v>5.7180540000000004</v>
      </c>
      <c r="E7322">
        <v>0.56830509999999901</v>
      </c>
      <c r="F7322" t="s">
        <v>81</v>
      </c>
      <c r="G7322">
        <v>-158.45070000000001</v>
      </c>
      <c r="H7322">
        <v>3.302324</v>
      </c>
      <c r="I7322">
        <v>162.9956</v>
      </c>
      <c r="J7322">
        <v>-184.5626</v>
      </c>
      <c r="K7322">
        <v>1.1062559999999999</v>
      </c>
      <c r="L7322">
        <v>122.74679999999999</v>
      </c>
      <c r="M7322">
        <v>0.2336184</v>
      </c>
      <c r="N7322">
        <v>0</v>
      </c>
      <c r="O7322">
        <v>0.97222529999999996</v>
      </c>
      <c r="P7322">
        <v>0.38810450000000002</v>
      </c>
      <c r="Q7322">
        <v>-1.1590680000000001E-2</v>
      </c>
      <c r="R7322">
        <v>0.92154250000000004</v>
      </c>
      <c r="S7322">
        <v>1.657883</v>
      </c>
      <c r="T7322">
        <v>0.1391695</v>
      </c>
      <c r="U7322">
        <v>2.5624690000000001</v>
      </c>
      <c r="V7322">
        <v>0.1620675</v>
      </c>
      <c r="W7322">
        <v>7.88037E-4</v>
      </c>
      <c r="X7322">
        <v>0.98677930000000003</v>
      </c>
      <c r="Y7322">
        <v>0.33142139999999998</v>
      </c>
      <c r="Z7322">
        <v>4.6108410000000002E-2</v>
      </c>
      <c r="AA7322">
        <v>0.94235550000000001</v>
      </c>
      <c r="AB7322">
        <v>25</v>
      </c>
      <c r="AC7322">
        <v>26.111899999999899</v>
      </c>
      <c r="AD7322">
        <v>2.1960679999999901</v>
      </c>
      <c r="AE7322">
        <v>40.248800000000003</v>
      </c>
      <c r="AF7322">
        <v>15.9519689533958</v>
      </c>
      <c r="AG7322">
        <v>2.1960679999999901</v>
      </c>
      <c r="AH7322">
        <v>45.141075633649898</v>
      </c>
      <c r="AI7322">
        <v>87.3737288708802</v>
      </c>
      <c r="AJ7322">
        <v>70.537592902860396</v>
      </c>
      <c r="AK7322">
        <v>47.927077289499202</v>
      </c>
      <c r="AL7322">
        <v>89.954848798473293</v>
      </c>
      <c r="AM7322">
        <v>80.673074791283597</v>
      </c>
      <c r="AN7322">
        <v>0.99999994123352398</v>
      </c>
    </row>
    <row r="7323" spans="1:40" x14ac:dyDescent="0.25">
      <c r="A7323" t="str">
        <f>"20190312161501372"</f>
        <v>20190312161501372</v>
      </c>
      <c r="B7323" t="str">
        <f>"1552378501364079"</f>
        <v>1552378501364079</v>
      </c>
      <c r="C7323" t="s">
        <v>40</v>
      </c>
      <c r="D7323">
        <v>5.4180590000000004</v>
      </c>
      <c r="E7323">
        <v>0.56948160000000003</v>
      </c>
      <c r="F7323" t="s">
        <v>81</v>
      </c>
      <c r="G7323">
        <v>-158.34049999999999</v>
      </c>
      <c r="H7323">
        <v>3.5393509999999999</v>
      </c>
      <c r="I7323">
        <v>162.8853</v>
      </c>
      <c r="J7323">
        <v>-184.52090000000001</v>
      </c>
      <c r="K7323">
        <v>1.1061920000000001</v>
      </c>
      <c r="L7323">
        <v>122.9037</v>
      </c>
      <c r="M7323">
        <v>0.237292</v>
      </c>
      <c r="N7323">
        <v>0</v>
      </c>
      <c r="O7323">
        <v>0.97133519999999896</v>
      </c>
      <c r="P7323">
        <v>0.39222400000000002</v>
      </c>
      <c r="Q7323">
        <v>-1.1485769999999999E-2</v>
      </c>
      <c r="R7323">
        <v>0.919798</v>
      </c>
      <c r="S7323">
        <v>1.6688540000000001</v>
      </c>
      <c r="T7323">
        <v>0.1548514</v>
      </c>
      <c r="U7323">
        <v>2.554535</v>
      </c>
      <c r="V7323">
        <v>0.16275329999999999</v>
      </c>
      <c r="W7323">
        <v>8.6433099999999998E-4</v>
      </c>
      <c r="X7323">
        <v>0.98666640000000005</v>
      </c>
      <c r="Y7323">
        <v>0.33189030000000003</v>
      </c>
      <c r="Z7323">
        <v>5.1293070000000003E-2</v>
      </c>
      <c r="AA7323">
        <v>0.94192240000000005</v>
      </c>
      <c r="AB7323">
        <v>25</v>
      </c>
      <c r="AC7323">
        <v>26.180399999999999</v>
      </c>
      <c r="AD7323">
        <v>2.4331589999999998</v>
      </c>
      <c r="AE7323">
        <v>39.9816</v>
      </c>
      <c r="AF7323">
        <v>15.9030056402616</v>
      </c>
      <c r="AG7323">
        <v>2.4331589999999998</v>
      </c>
      <c r="AH7323">
        <v>44.9359705411105</v>
      </c>
      <c r="AI7323">
        <v>87.077879407745797</v>
      </c>
      <c r="AJ7323">
        <v>70.510940895296599</v>
      </c>
      <c r="AK7323">
        <v>47.729103276565098</v>
      </c>
      <c r="AL7323">
        <v>89.950477474654505</v>
      </c>
      <c r="AM7323">
        <v>80.633252434153505</v>
      </c>
      <c r="AN7323">
        <v>0.99999998430896297</v>
      </c>
    </row>
    <row r="7324" spans="1:40" x14ac:dyDescent="0.25">
      <c r="A7324" t="str">
        <f>"20190312161501392"</f>
        <v>20190312161501392</v>
      </c>
      <c r="B7324" t="str">
        <f>"1552378501384575"</f>
        <v>1552378501384575</v>
      </c>
      <c r="C7324" t="s">
        <v>40</v>
      </c>
      <c r="D7324">
        <v>5.1150929999999999</v>
      </c>
      <c r="E7324">
        <v>0.56861340000000005</v>
      </c>
      <c r="F7324" t="s">
        <v>81</v>
      </c>
      <c r="G7324">
        <v>-158.1191</v>
      </c>
      <c r="H7324">
        <v>3.4024770000000002</v>
      </c>
      <c r="I7324">
        <v>162.66419999999999</v>
      </c>
      <c r="J7324">
        <v>-184.46080000000001</v>
      </c>
      <c r="K7324">
        <v>1.1060939999999999</v>
      </c>
      <c r="L7324">
        <v>123.1245</v>
      </c>
      <c r="M7324">
        <v>0.24258540000000001</v>
      </c>
      <c r="N7324">
        <v>0</v>
      </c>
      <c r="O7324">
        <v>0.97002659999999996</v>
      </c>
      <c r="P7324">
        <v>0.39905410000000002</v>
      </c>
      <c r="Q7324">
        <v>-1.119903E-2</v>
      </c>
      <c r="R7324">
        <v>0.91685899999999998</v>
      </c>
      <c r="S7324">
        <v>1.6887970000000001</v>
      </c>
      <c r="T7324">
        <v>0.1468844</v>
      </c>
      <c r="U7324">
        <v>2.5432890000000001</v>
      </c>
      <c r="V7324">
        <v>0.16471279999999999</v>
      </c>
      <c r="W7324">
        <v>1.0994119999999999E-3</v>
      </c>
      <c r="X7324">
        <v>0.98634089999999996</v>
      </c>
      <c r="Y7324">
        <v>0.33387020000000001</v>
      </c>
      <c r="Z7324">
        <v>4.8628190000000002E-2</v>
      </c>
      <c r="AA7324">
        <v>0.94136390000000003</v>
      </c>
      <c r="AB7324">
        <v>25</v>
      </c>
      <c r="AC7324">
        <v>26.341699999999999</v>
      </c>
      <c r="AD7324">
        <v>2.2963830000000001</v>
      </c>
      <c r="AE7324">
        <v>39.539700000000003</v>
      </c>
      <c r="AF7324">
        <v>15.9247947302079</v>
      </c>
      <c r="AG7324">
        <v>2.2963830000000001</v>
      </c>
      <c r="AH7324">
        <v>44.644865793713798</v>
      </c>
      <c r="AI7324">
        <v>87.226367744613398</v>
      </c>
      <c r="AJ7324">
        <v>70.368715499686402</v>
      </c>
      <c r="AK7324">
        <v>47.455626682414298</v>
      </c>
      <c r="AL7324">
        <v>89.937008316180098</v>
      </c>
      <c r="AM7324">
        <v>80.519442824847999</v>
      </c>
      <c r="AN7324">
        <v>0.99999994310169604</v>
      </c>
    </row>
    <row r="7325" spans="1:40" x14ac:dyDescent="0.25">
      <c r="A7325" t="str">
        <f>"20190312161501413"</f>
        <v>20190312161501413</v>
      </c>
      <c r="B7325" t="str">
        <f>"1552378501404095"</f>
        <v>1552378501404095</v>
      </c>
      <c r="C7325" t="s">
        <v>40</v>
      </c>
      <c r="D7325">
        <v>5.375667</v>
      </c>
      <c r="E7325">
        <v>0.56900729999999999</v>
      </c>
      <c r="F7325" t="s">
        <v>81</v>
      </c>
      <c r="G7325">
        <v>-157.994</v>
      </c>
      <c r="H7325">
        <v>3.3197519999999998</v>
      </c>
      <c r="I7325">
        <v>162.5393</v>
      </c>
      <c r="J7325">
        <v>-184.39420000000001</v>
      </c>
      <c r="K7325">
        <v>1.1059890000000001</v>
      </c>
      <c r="L7325">
        <v>123.3627</v>
      </c>
      <c r="M7325">
        <v>0.24844640000000001</v>
      </c>
      <c r="N7325">
        <v>0</v>
      </c>
      <c r="O7325">
        <v>0.96854189999999996</v>
      </c>
      <c r="P7325">
        <v>0.40628760000000003</v>
      </c>
      <c r="Q7325">
        <v>-1.058945E-2</v>
      </c>
      <c r="R7325">
        <v>0.91368389999999999</v>
      </c>
      <c r="S7325">
        <v>1.701141</v>
      </c>
      <c r="T7325">
        <v>0.1422842</v>
      </c>
      <c r="U7325">
        <v>2.5333709999999998</v>
      </c>
      <c r="V7325">
        <v>0.1665481</v>
      </c>
      <c r="W7325">
        <v>1.656357E-3</v>
      </c>
      <c r="X7325">
        <v>0.98603189999999996</v>
      </c>
      <c r="Y7325">
        <v>0.33307740000000002</v>
      </c>
      <c r="Z7325">
        <v>4.7102699999999997E-2</v>
      </c>
      <c r="AA7325">
        <v>0.94172230000000001</v>
      </c>
      <c r="AB7325">
        <v>25</v>
      </c>
      <c r="AC7325">
        <v>26.400200000000002</v>
      </c>
      <c r="AD7325">
        <v>2.2137630000000001</v>
      </c>
      <c r="AE7325">
        <v>39.176599999999901</v>
      </c>
      <c r="AF7325">
        <v>15.803303836535299</v>
      </c>
      <c r="AG7325">
        <v>2.2137630000000001</v>
      </c>
      <c r="AH7325">
        <v>44.410165869051099</v>
      </c>
      <c r="AI7325">
        <v>87.311178077135807</v>
      </c>
      <c r="AJ7325">
        <v>70.411960010783105</v>
      </c>
      <c r="AK7325">
        <v>47.190125993544903</v>
      </c>
      <c r="AL7325">
        <v>89.905097687387595</v>
      </c>
      <c r="AM7325">
        <v>80.412807779423602</v>
      </c>
      <c r="AN7325">
        <v>0.99999996047486495</v>
      </c>
    </row>
    <row r="7326" spans="1:40" x14ac:dyDescent="0.25">
      <c r="A7326" t="str">
        <f>"20190312161501426"</f>
        <v>20190312161501426</v>
      </c>
      <c r="B7326" t="str">
        <f>"1552378501424591"</f>
        <v>1552378501424591</v>
      </c>
      <c r="C7326" t="s">
        <v>40</v>
      </c>
      <c r="D7326">
        <v>5.181667</v>
      </c>
      <c r="E7326">
        <v>0.56810709999999998</v>
      </c>
      <c r="F7326" t="s">
        <v>81</v>
      </c>
      <c r="G7326">
        <v>-157.7484</v>
      </c>
      <c r="H7326">
        <v>3.257174</v>
      </c>
      <c r="I7326">
        <v>162.29399999999899</v>
      </c>
      <c r="J7326">
        <v>-184.35079999999999</v>
      </c>
      <c r="K7326">
        <v>1.105936</v>
      </c>
      <c r="L7326">
        <v>123.5154</v>
      </c>
      <c r="M7326">
        <v>0.25227250000000001</v>
      </c>
      <c r="N7326">
        <v>0</v>
      </c>
      <c r="O7326">
        <v>0.96755219999999997</v>
      </c>
      <c r="P7326">
        <v>0.41059469999999998</v>
      </c>
      <c r="Q7326">
        <v>-1.0334070000000001E-2</v>
      </c>
      <c r="R7326">
        <v>0.9117594</v>
      </c>
      <c r="S7326">
        <v>1.7237549999999999</v>
      </c>
      <c r="T7326">
        <v>0.13916519999999999</v>
      </c>
      <c r="U7326">
        <v>2.5185240000000002</v>
      </c>
      <c r="V7326">
        <v>0.16730619999999999</v>
      </c>
      <c r="W7326">
        <v>1.883331E-3</v>
      </c>
      <c r="X7326">
        <v>0.98590319999999998</v>
      </c>
      <c r="Y7326">
        <v>0.33772170000000001</v>
      </c>
      <c r="Z7326">
        <v>4.6080250000000003E-2</v>
      </c>
      <c r="AA7326">
        <v>0.94011739999999999</v>
      </c>
      <c r="AB7326">
        <v>25</v>
      </c>
      <c r="AC7326">
        <v>26.6023999999999</v>
      </c>
      <c r="AD7326">
        <v>2.1512380000000002</v>
      </c>
      <c r="AE7326">
        <v>38.778599999999898</v>
      </c>
      <c r="AF7326">
        <v>15.924717899618001</v>
      </c>
      <c r="AG7326">
        <v>2.1512380000000002</v>
      </c>
      <c r="AH7326">
        <v>44.143450092364802</v>
      </c>
      <c r="AI7326">
        <v>87.375329718371205</v>
      </c>
      <c r="AJ7326">
        <v>70.163127534605593</v>
      </c>
      <c r="AK7326">
        <v>46.977320604438098</v>
      </c>
      <c r="AL7326">
        <v>89.892093020170705</v>
      </c>
      <c r="AM7326">
        <v>80.368750302265795</v>
      </c>
      <c r="AN7326">
        <v>1.00000001563216</v>
      </c>
    </row>
    <row r="7327" spans="1:40" x14ac:dyDescent="0.25">
      <c r="A7327" t="str">
        <f>"20190312161501439"</f>
        <v>20190312161501439</v>
      </c>
      <c r="B7327" t="str">
        <f>"1552378501434352"</f>
        <v>1552378501434352</v>
      </c>
      <c r="C7327" t="s">
        <v>40</v>
      </c>
      <c r="D7327">
        <v>5.1415499999999996</v>
      </c>
      <c r="E7327">
        <v>0.56722410000000001</v>
      </c>
      <c r="F7327" t="s">
        <v>81</v>
      </c>
      <c r="G7327">
        <v>-157.702</v>
      </c>
      <c r="H7327">
        <v>3.2238250000000002</v>
      </c>
      <c r="I7327">
        <v>162.24770000000001</v>
      </c>
      <c r="J7327">
        <v>-184.3135</v>
      </c>
      <c r="K7327">
        <v>1.105882</v>
      </c>
      <c r="L7327">
        <v>123.64360000000001</v>
      </c>
      <c r="M7327">
        <v>0.25555620000000001</v>
      </c>
      <c r="N7327">
        <v>0</v>
      </c>
      <c r="O7327">
        <v>0.96669000000000005</v>
      </c>
      <c r="P7327">
        <v>0.41429650000000001</v>
      </c>
      <c r="Q7327">
        <v>-1.019508E-2</v>
      </c>
      <c r="R7327">
        <v>0.91008480000000003</v>
      </c>
      <c r="S7327">
        <v>1.729141</v>
      </c>
      <c r="T7327">
        <v>0.1374243</v>
      </c>
      <c r="U7327">
        <v>2.5131990000000002</v>
      </c>
      <c r="V7327">
        <v>0.16796649999999999</v>
      </c>
      <c r="W7327">
        <v>1.9982490000000001E-3</v>
      </c>
      <c r="X7327">
        <v>0.98579070000000002</v>
      </c>
      <c r="Y7327">
        <v>0.33683780000000002</v>
      </c>
      <c r="Z7327">
        <v>4.5506329999999998E-2</v>
      </c>
      <c r="AA7327">
        <v>0.94046240000000003</v>
      </c>
      <c r="AB7327">
        <v>25</v>
      </c>
      <c r="AC7327">
        <v>26.611499999999999</v>
      </c>
      <c r="AD7327">
        <v>2.1179429999999999</v>
      </c>
      <c r="AE7327">
        <v>38.604100000000003</v>
      </c>
      <c r="AF7327">
        <v>15.8288547414015</v>
      </c>
      <c r="AG7327">
        <v>2.1179429999999999</v>
      </c>
      <c r="AH7327">
        <v>44.033530912140399</v>
      </c>
      <c r="AI7327">
        <v>87.408401852992895</v>
      </c>
      <c r="AJ7327">
        <v>70.227871073066297</v>
      </c>
      <c r="AK7327">
        <v>46.840048778433903</v>
      </c>
      <c r="AL7327">
        <v>89.885508692112793</v>
      </c>
      <c r="AM7327">
        <v>80.330372650580898</v>
      </c>
      <c r="AN7327">
        <v>1.0000000211639</v>
      </c>
    </row>
    <row r="7328" spans="1:40" x14ac:dyDescent="0.25">
      <c r="A7328" t="str">
        <f>"20190312161501451"</f>
        <v>20190312161501451</v>
      </c>
      <c r="B7328" t="str">
        <f>"1552378501444111"</f>
        <v>1552378501444111</v>
      </c>
      <c r="C7328" t="s">
        <v>40</v>
      </c>
      <c r="D7328">
        <v>5.3278889999999999</v>
      </c>
      <c r="E7328">
        <v>0.56722410000000001</v>
      </c>
      <c r="F7328" t="s">
        <v>81</v>
      </c>
      <c r="G7328">
        <v>-157.6746</v>
      </c>
      <c r="H7328">
        <v>3.2046570000000001</v>
      </c>
      <c r="I7328">
        <v>162.22030000000001</v>
      </c>
      <c r="J7328">
        <v>-184.27269999999999</v>
      </c>
      <c r="K7328">
        <v>1.1058209999999999</v>
      </c>
      <c r="L7328">
        <v>123.78279999999999</v>
      </c>
      <c r="M7328">
        <v>0.2591542</v>
      </c>
      <c r="N7328">
        <v>0</v>
      </c>
      <c r="O7328">
        <v>0.96573160000000002</v>
      </c>
      <c r="P7328">
        <v>0.41838910000000001</v>
      </c>
      <c r="Q7328">
        <v>-1.042411E-2</v>
      </c>
      <c r="R7328">
        <v>0.90820809999999996</v>
      </c>
      <c r="S7328">
        <v>1.7326809999999999</v>
      </c>
      <c r="T7328">
        <v>0.13651340000000001</v>
      </c>
      <c r="U7328">
        <v>2.5091549999999998</v>
      </c>
      <c r="V7328">
        <v>0.168731399999999</v>
      </c>
      <c r="W7328">
        <v>1.7412339999999999E-3</v>
      </c>
      <c r="X7328">
        <v>0.9856606</v>
      </c>
      <c r="Y7328">
        <v>0.33494570000000001</v>
      </c>
      <c r="Z7328">
        <v>4.5197889999999998E-2</v>
      </c>
      <c r="AA7328">
        <v>0.94115280000000001</v>
      </c>
      <c r="AB7328">
        <v>25</v>
      </c>
      <c r="AC7328">
        <v>26.598099999999899</v>
      </c>
      <c r="AD7328">
        <v>2.0988359999999999</v>
      </c>
      <c r="AE7328">
        <v>38.4375</v>
      </c>
      <c r="AF7328">
        <v>15.695326969730701</v>
      </c>
      <c r="AG7328">
        <v>2.0988359999999999</v>
      </c>
      <c r="AH7328">
        <v>43.9291860711852</v>
      </c>
      <c r="AI7328">
        <v>87.423873068751007</v>
      </c>
      <c r="AJ7328">
        <v>70.338851904938394</v>
      </c>
      <c r="AK7328">
        <v>46.696057543635</v>
      </c>
      <c r="AL7328">
        <v>89.900234597007994</v>
      </c>
      <c r="AM7328">
        <v>80.285917629772598</v>
      </c>
      <c r="AN7328">
        <v>1.00000006781707</v>
      </c>
    </row>
    <row r="7329" spans="1:40" x14ac:dyDescent="0.25">
      <c r="A7329" t="str">
        <f>"20190312161501467"</f>
        <v>20190312161501467</v>
      </c>
      <c r="B7329" t="str">
        <f>"1552378501464608"</f>
        <v>1552378501464608</v>
      </c>
      <c r="C7329" t="s">
        <v>40</v>
      </c>
      <c r="D7329">
        <v>5.4236040000000001</v>
      </c>
      <c r="E7329">
        <v>0.56718959999999996</v>
      </c>
      <c r="F7329" t="s">
        <v>81</v>
      </c>
      <c r="G7329">
        <v>-157.55590000000001</v>
      </c>
      <c r="H7329">
        <v>3.1907540000000001</v>
      </c>
      <c r="I7329">
        <v>162.1018</v>
      </c>
      <c r="J7329">
        <v>-184.22059999999999</v>
      </c>
      <c r="K7329">
        <v>1.1057399999999999</v>
      </c>
      <c r="L7329">
        <v>123.9576</v>
      </c>
      <c r="M7329">
        <v>0.26376569999999999</v>
      </c>
      <c r="N7329">
        <v>0</v>
      </c>
      <c r="O7329">
        <v>0.96448210000000001</v>
      </c>
      <c r="P7329">
        <v>0.423738</v>
      </c>
      <c r="Q7329">
        <v>-1.0701270000000001E-2</v>
      </c>
      <c r="R7329">
        <v>0.90572160000000002</v>
      </c>
      <c r="S7329">
        <v>1.7439880000000001</v>
      </c>
      <c r="T7329">
        <v>0.13609979999999999</v>
      </c>
      <c r="U7329">
        <v>2.5013429999999999</v>
      </c>
      <c r="V7329">
        <v>0.1698327</v>
      </c>
      <c r="W7329">
        <v>1.424137E-3</v>
      </c>
      <c r="X7329">
        <v>0.98547189999999996</v>
      </c>
      <c r="Y7329">
        <v>0.33468979999999998</v>
      </c>
      <c r="Z7329">
        <v>4.5039000000000003E-2</v>
      </c>
      <c r="AA7329">
        <v>0.94125139999999996</v>
      </c>
      <c r="AB7329">
        <v>25</v>
      </c>
      <c r="AC7329">
        <v>26.6646999999999</v>
      </c>
      <c r="AD7329">
        <v>2.0850140000000001</v>
      </c>
      <c r="AE7329">
        <v>38.144199999999998</v>
      </c>
      <c r="AF7329">
        <v>15.626711383861799</v>
      </c>
      <c r="AG7329">
        <v>2.0850140000000001</v>
      </c>
      <c r="AH7329">
        <v>43.739268973222799</v>
      </c>
      <c r="AI7329">
        <v>87.429704342408996</v>
      </c>
      <c r="AJ7329">
        <v>70.339735549295995</v>
      </c>
      <c r="AK7329">
        <v>46.493709707514697</v>
      </c>
      <c r="AL7329">
        <v>89.918402934495106</v>
      </c>
      <c r="AM7329">
        <v>80.221898156422498</v>
      </c>
      <c r="AN7329">
        <v>1.0000000199225401</v>
      </c>
    </row>
    <row r="7330" spans="1:40" x14ac:dyDescent="0.25">
      <c r="A7330" t="str">
        <f>"20190312161501480"</f>
        <v>20190312161501480</v>
      </c>
      <c r="B7330" t="str">
        <f>"1552378501474367"</f>
        <v>1552378501474367</v>
      </c>
      <c r="C7330" t="s">
        <v>40</v>
      </c>
      <c r="D7330">
        <v>5.4685990000000002</v>
      </c>
      <c r="E7330">
        <v>0.56695960000000001</v>
      </c>
      <c r="F7330" t="s">
        <v>81</v>
      </c>
      <c r="G7330">
        <v>-157.40440000000001</v>
      </c>
      <c r="H7330">
        <v>3.138544</v>
      </c>
      <c r="I7330">
        <v>161.95050000000001</v>
      </c>
      <c r="J7330">
        <v>-184.1806</v>
      </c>
      <c r="K7330">
        <v>1.105672</v>
      </c>
      <c r="L7330">
        <v>124.0887</v>
      </c>
      <c r="M7330">
        <v>0.267318099999999</v>
      </c>
      <c r="N7330">
        <v>0</v>
      </c>
      <c r="O7330">
        <v>0.96350340000000001</v>
      </c>
      <c r="P7330">
        <v>0.42768060000000002</v>
      </c>
      <c r="Q7330">
        <v>-1.111822E-2</v>
      </c>
      <c r="R7330">
        <v>0.90386149999999998</v>
      </c>
      <c r="S7330">
        <v>1.7583470000000001</v>
      </c>
      <c r="T7330">
        <v>0.13329389999999999</v>
      </c>
      <c r="U7330">
        <v>2.4912109999999998</v>
      </c>
      <c r="V7330">
        <v>0.17049220000000001</v>
      </c>
      <c r="W7330">
        <v>9.7781789999999897E-4</v>
      </c>
      <c r="X7330">
        <v>0.98535850000000003</v>
      </c>
      <c r="Y7330">
        <v>0.33666600000000002</v>
      </c>
      <c r="Z7330">
        <v>4.4109490000000001E-2</v>
      </c>
      <c r="AA7330">
        <v>0.94059040000000005</v>
      </c>
      <c r="AB7330">
        <v>25</v>
      </c>
      <c r="AC7330">
        <v>26.7761999999999</v>
      </c>
      <c r="AD7330">
        <v>2.0328719999999998</v>
      </c>
      <c r="AE7330">
        <v>37.861800000000002</v>
      </c>
      <c r="AF7330">
        <v>15.649327578393001</v>
      </c>
      <c r="AG7330">
        <v>2.0328719999999998</v>
      </c>
      <c r="AH7330">
        <v>43.558443023140299</v>
      </c>
      <c r="AI7330">
        <v>87.485106299391802</v>
      </c>
      <c r="AJ7330">
        <v>70.238059548176693</v>
      </c>
      <c r="AK7330">
        <v>46.328954022559103</v>
      </c>
      <c r="AL7330">
        <v>89.943975150026304</v>
      </c>
      <c r="AM7330">
        <v>80.183557034975806</v>
      </c>
      <c r="AN7330">
        <v>0.99999995995546698</v>
      </c>
    </row>
    <row r="7331" spans="1:40" x14ac:dyDescent="0.25">
      <c r="A7331" t="str">
        <f>"20190312161501492"</f>
        <v>20190312161501492</v>
      </c>
      <c r="B7331" t="str">
        <f>"1552378501484128"</f>
        <v>1552378501484128</v>
      </c>
      <c r="C7331" t="s">
        <v>40</v>
      </c>
      <c r="D7331">
        <v>5.469201</v>
      </c>
      <c r="E7331">
        <v>0.56705699999999903</v>
      </c>
      <c r="F7331" t="s">
        <v>81</v>
      </c>
      <c r="G7331">
        <v>-157.31059999999999</v>
      </c>
      <c r="H7331">
        <v>3.0651190000000001</v>
      </c>
      <c r="I7331">
        <v>161.85679999999999</v>
      </c>
      <c r="J7331">
        <v>-184.13669999999999</v>
      </c>
      <c r="K7331">
        <v>1.1055950000000001</v>
      </c>
      <c r="L7331">
        <v>124.2308</v>
      </c>
      <c r="M7331">
        <v>0.27121299999999998</v>
      </c>
      <c r="N7331">
        <v>0</v>
      </c>
      <c r="O7331">
        <v>0.9624142</v>
      </c>
      <c r="P7331">
        <v>0.43188480000000001</v>
      </c>
      <c r="Q7331">
        <v>-1.1377730000000001E-2</v>
      </c>
      <c r="R7331">
        <v>0.90185700000000002</v>
      </c>
      <c r="S7331">
        <v>1.7675019999999999</v>
      </c>
      <c r="T7331">
        <v>0.12889400000000001</v>
      </c>
      <c r="U7331">
        <v>2.484375</v>
      </c>
      <c r="V7331">
        <v>0.1710931</v>
      </c>
      <c r="W7331">
        <v>6.8790099999999999E-4</v>
      </c>
      <c r="X7331">
        <v>0.98525459999999998</v>
      </c>
      <c r="Y7331">
        <v>0.33641910000000003</v>
      </c>
      <c r="Z7331">
        <v>4.2640949999999997E-2</v>
      </c>
      <c r="AA7331">
        <v>0.94074650000000004</v>
      </c>
      <c r="AB7331">
        <v>25</v>
      </c>
      <c r="AC7331">
        <v>26.8261</v>
      </c>
      <c r="AD7331">
        <v>1.959524</v>
      </c>
      <c r="AE7331">
        <v>37.625999999999898</v>
      </c>
      <c r="AF7331">
        <v>15.5867120780609</v>
      </c>
      <c r="AG7331">
        <v>1.959524</v>
      </c>
      <c r="AH7331">
        <v>43.413720401945397</v>
      </c>
      <c r="AI7331">
        <v>87.567474994769498</v>
      </c>
      <c r="AJ7331">
        <v>70.250474929145398</v>
      </c>
      <c r="AK7331">
        <v>46.168565570626498</v>
      </c>
      <c r="AL7331">
        <v>89.960586171861493</v>
      </c>
      <c r="AM7331">
        <v>80.148617118902806</v>
      </c>
      <c r="AN7331">
        <v>0.99999997444827704</v>
      </c>
    </row>
    <row r="7332" spans="1:40" x14ac:dyDescent="0.25">
      <c r="A7332" t="str">
        <f>"20190312161501505"</f>
        <v>20190312161501505</v>
      </c>
      <c r="B7332" t="str">
        <f>"1552378501493888"</f>
        <v>1552378501493888</v>
      </c>
      <c r="C7332" t="s">
        <v>40</v>
      </c>
      <c r="D7332">
        <v>5.4155129999999998</v>
      </c>
      <c r="E7332">
        <v>0.56705699999999903</v>
      </c>
      <c r="F7332" t="s">
        <v>81</v>
      </c>
      <c r="G7332">
        <v>-157.18170000000001</v>
      </c>
      <c r="H7332">
        <v>3.0416560000000001</v>
      </c>
      <c r="I7332">
        <v>161.72810000000001</v>
      </c>
      <c r="J7332">
        <v>-184.0925</v>
      </c>
      <c r="K7332">
        <v>1.105515</v>
      </c>
      <c r="L7332">
        <v>124.37220000000001</v>
      </c>
      <c r="M7332">
        <v>0.27515600000000001</v>
      </c>
      <c r="N7332">
        <v>0</v>
      </c>
      <c r="O7332">
        <v>0.96129419999999999</v>
      </c>
      <c r="P7332">
        <v>0.43603809999999898</v>
      </c>
      <c r="Q7332">
        <v>-1.161275E-2</v>
      </c>
      <c r="R7332">
        <v>0.89985329999999997</v>
      </c>
      <c r="S7332">
        <v>1.7797240000000001</v>
      </c>
      <c r="T7332">
        <v>0.1278319</v>
      </c>
      <c r="U7332">
        <v>2.475784</v>
      </c>
      <c r="V7332">
        <v>0.17159469999999999</v>
      </c>
      <c r="W7332">
        <v>4.2134920000000002E-4</v>
      </c>
      <c r="X7332">
        <v>0.98516760000000003</v>
      </c>
      <c r="Y7332">
        <v>0.33717730000000001</v>
      </c>
      <c r="Z7332">
        <v>4.2275029999999998E-2</v>
      </c>
      <c r="AA7332">
        <v>0.94049150000000004</v>
      </c>
      <c r="AB7332">
        <v>25</v>
      </c>
      <c r="AC7332">
        <v>26.910799999999899</v>
      </c>
      <c r="AD7332">
        <v>1.9361409999999999</v>
      </c>
      <c r="AE7332">
        <v>37.355899999999998</v>
      </c>
      <c r="AF7332">
        <v>15.5645496311923</v>
      </c>
      <c r="AG7332">
        <v>1.9361409999999999</v>
      </c>
      <c r="AH7332">
        <v>43.242592129587401</v>
      </c>
      <c r="AI7332">
        <v>87.587664356211306</v>
      </c>
      <c r="AJ7332">
        <v>70.204388710963201</v>
      </c>
      <c r="AK7332">
        <v>45.999191528543101</v>
      </c>
      <c r="AL7332">
        <v>89.975858469857101</v>
      </c>
      <c r="AM7332">
        <v>80.119448469096099</v>
      </c>
      <c r="AN7332">
        <v>1.0000000593464899</v>
      </c>
    </row>
    <row r="7333" spans="1:40" x14ac:dyDescent="0.25">
      <c r="A7333" t="str">
        <f>"20190312161501520"</f>
        <v>20190312161501520</v>
      </c>
      <c r="B7333" t="str">
        <f>"1552378501514384"</f>
        <v>1552378501514384</v>
      </c>
      <c r="C7333" t="s">
        <v>40</v>
      </c>
      <c r="D7333">
        <v>5.5014279999999998</v>
      </c>
      <c r="E7333">
        <v>0.56670580000000004</v>
      </c>
      <c r="F7333" t="s">
        <v>81</v>
      </c>
      <c r="G7333">
        <v>-157.0634</v>
      </c>
      <c r="H7333">
        <v>3.0237289999999999</v>
      </c>
      <c r="I7333">
        <v>161.60980000000001</v>
      </c>
      <c r="J7333">
        <v>-184.04660000000001</v>
      </c>
      <c r="K7333">
        <v>1.105432</v>
      </c>
      <c r="L7333">
        <v>124.51560000000001</v>
      </c>
      <c r="M7333">
        <v>0.27925119999999998</v>
      </c>
      <c r="N7333">
        <v>0</v>
      </c>
      <c r="O7333">
        <v>0.96011230000000003</v>
      </c>
      <c r="P7333">
        <v>0.44005870000000002</v>
      </c>
      <c r="Q7333">
        <v>-1.1623730000000001E-2</v>
      </c>
      <c r="R7333">
        <v>0.89789379999999996</v>
      </c>
      <c r="S7333">
        <v>1.791107</v>
      </c>
      <c r="T7333">
        <v>0.12711430000000001</v>
      </c>
      <c r="U7333">
        <v>2.46759</v>
      </c>
      <c r="V7333">
        <v>0.17180179999999901</v>
      </c>
      <c r="W7333">
        <v>3.8367940000000003E-4</v>
      </c>
      <c r="X7333">
        <v>0.98513139999999999</v>
      </c>
      <c r="Y7333">
        <v>0.337497099999999</v>
      </c>
      <c r="Z7333">
        <v>4.202028E-2</v>
      </c>
      <c r="AA7333">
        <v>0.94038820000000001</v>
      </c>
      <c r="AB7333">
        <v>25</v>
      </c>
      <c r="AC7333">
        <v>26.9832</v>
      </c>
      <c r="AD7333">
        <v>1.9182969999999999</v>
      </c>
      <c r="AE7333">
        <v>37.094200000000001</v>
      </c>
      <c r="AF7333">
        <v>15.522733739950899</v>
      </c>
      <c r="AG7333">
        <v>1.9182969999999999</v>
      </c>
      <c r="AH7333">
        <v>43.0787305852648</v>
      </c>
      <c r="AI7333">
        <v>87.601094655020802</v>
      </c>
      <c r="AJ7333">
        <v>70.184181375126201</v>
      </c>
      <c r="AK7333">
        <v>45.830253708434299</v>
      </c>
      <c r="AL7333">
        <v>89.978016787846002</v>
      </c>
      <c r="AM7333">
        <v>80.107402605911105</v>
      </c>
      <c r="AN7333">
        <v>0.999999940479539</v>
      </c>
    </row>
    <row r="7334" spans="1:40" x14ac:dyDescent="0.25">
      <c r="A7334" t="str">
        <f>"20190312161501536"</f>
        <v>20190312161501536</v>
      </c>
      <c r="B7334" t="str">
        <f>"1552378501524143"</f>
        <v>1552378501524143</v>
      </c>
      <c r="C7334" t="s">
        <v>40</v>
      </c>
      <c r="D7334">
        <v>5.579739</v>
      </c>
      <c r="E7334">
        <v>0.56691569999999902</v>
      </c>
      <c r="F7334" t="s">
        <v>81</v>
      </c>
      <c r="G7334">
        <v>-156.97829999999999</v>
      </c>
      <c r="H7334">
        <v>2.9404159999999999</v>
      </c>
      <c r="I7334">
        <v>161.52500000000001</v>
      </c>
      <c r="J7334">
        <v>-183.989</v>
      </c>
      <c r="K7334">
        <v>1.105332</v>
      </c>
      <c r="L7334">
        <v>124.69289999999999</v>
      </c>
      <c r="M7334">
        <v>0.2843984</v>
      </c>
      <c r="N7334">
        <v>0</v>
      </c>
      <c r="O7334">
        <v>0.95860000000000001</v>
      </c>
      <c r="P7334">
        <v>0.44518170000000001</v>
      </c>
      <c r="Q7334">
        <v>-1.075599E-2</v>
      </c>
      <c r="R7334">
        <v>0.8953757</v>
      </c>
      <c r="S7334">
        <v>1.7997129999999999</v>
      </c>
      <c r="T7334">
        <v>0.1220067</v>
      </c>
      <c r="U7334">
        <v>2.4606780000000001</v>
      </c>
      <c r="V7334">
        <v>0.17215259999999999</v>
      </c>
      <c r="W7334">
        <v>1.2162360000000001E-3</v>
      </c>
      <c r="X7334">
        <v>0.98506959999999999</v>
      </c>
      <c r="Y7334">
        <v>0.33589010000000002</v>
      </c>
      <c r="Z7334">
        <v>4.0306630000000003E-2</v>
      </c>
      <c r="AA7334">
        <v>0.94103840000000005</v>
      </c>
      <c r="AB7334">
        <v>25</v>
      </c>
      <c r="AC7334">
        <v>27.0107</v>
      </c>
      <c r="AD7334">
        <v>1.8350839999999999</v>
      </c>
      <c r="AE7334">
        <v>36.832099999999997</v>
      </c>
      <c r="AF7334">
        <v>15.394186935154901</v>
      </c>
      <c r="AG7334">
        <v>1.8350839999999999</v>
      </c>
      <c r="AH7334">
        <v>42.924139124885599</v>
      </c>
      <c r="AI7334">
        <v>87.695542297712294</v>
      </c>
      <c r="AJ7334">
        <v>70.270285093363597</v>
      </c>
      <c r="AK7334">
        <v>45.638035061712401</v>
      </c>
      <c r="AL7334">
        <v>89.930314797091697</v>
      </c>
      <c r="AM7334">
        <v>80.0869937492959</v>
      </c>
      <c r="AN7334">
        <v>1.0000000568804599</v>
      </c>
    </row>
    <row r="7335" spans="1:40" x14ac:dyDescent="0.25">
      <c r="A7335" t="str">
        <f>"20190312161501551"</f>
        <v>20190312161501551</v>
      </c>
      <c r="B7335" t="str">
        <f>"1552378501543665"</f>
        <v>1552378501543665</v>
      </c>
      <c r="C7335" t="s">
        <v>40</v>
      </c>
      <c r="D7335">
        <v>5.5681000000000003</v>
      </c>
      <c r="E7335">
        <v>0.56767919999999905</v>
      </c>
      <c r="F7335" t="s">
        <v>81</v>
      </c>
      <c r="G7335">
        <v>-156.82759999999999</v>
      </c>
      <c r="H7335">
        <v>3.0101390000000001</v>
      </c>
      <c r="I7335">
        <v>161.34989999999999</v>
      </c>
      <c r="J7335">
        <v>-183.93559999999999</v>
      </c>
      <c r="K7335">
        <v>1.1052360000000001</v>
      </c>
      <c r="L7335">
        <v>124.85429999999999</v>
      </c>
      <c r="M7335">
        <v>0.28917870000000001</v>
      </c>
      <c r="N7335">
        <v>0</v>
      </c>
      <c r="O7335">
        <v>0.95716860000000004</v>
      </c>
      <c r="P7335">
        <v>0.44978390000000001</v>
      </c>
      <c r="Q7335">
        <v>-9.9309399999999992E-3</v>
      </c>
      <c r="R7335">
        <v>0.89308220000000005</v>
      </c>
      <c r="S7335">
        <v>1.8150790000000001</v>
      </c>
      <c r="T7335">
        <v>0.12729190000000001</v>
      </c>
      <c r="U7335">
        <v>2.4496310000000001</v>
      </c>
      <c r="V7335">
        <v>0.1723141</v>
      </c>
      <c r="W7335">
        <v>2.0111230000000001E-3</v>
      </c>
      <c r="X7335">
        <v>0.98504000000000003</v>
      </c>
      <c r="Y7335">
        <v>0.33698729999999999</v>
      </c>
      <c r="Z7335">
        <v>4.20291E-2</v>
      </c>
      <c r="AA7335">
        <v>0.94057069999999998</v>
      </c>
      <c r="AB7335">
        <v>25</v>
      </c>
      <c r="AC7335">
        <v>27.108000000000001</v>
      </c>
      <c r="AD7335">
        <v>1.90490299999999</v>
      </c>
      <c r="AE7335">
        <v>36.495600000000003</v>
      </c>
      <c r="AF7335">
        <v>15.367764853604999</v>
      </c>
      <c r="AG7335">
        <v>1.90490299999999</v>
      </c>
      <c r="AH7335">
        <v>42.700890433970898</v>
      </c>
      <c r="AI7335">
        <v>87.596433591085002</v>
      </c>
      <c r="AJ7335">
        <v>70.206535313539803</v>
      </c>
      <c r="AK7335">
        <v>45.422052968674699</v>
      </c>
      <c r="AL7335">
        <v>89.884771062069802</v>
      </c>
      <c r="AM7335">
        <v>80.077586647316394</v>
      </c>
      <c r="AN7335">
        <v>0.99999999763726499</v>
      </c>
    </row>
    <row r="7336" spans="1:40" x14ac:dyDescent="0.25">
      <c r="A7336" t="str">
        <f>"20190312161501570"</f>
        <v>20190312161501570</v>
      </c>
      <c r="B7336" t="str">
        <f>"1552378501564160"</f>
        <v>1552378501564160</v>
      </c>
      <c r="C7336" t="s">
        <v>40</v>
      </c>
      <c r="D7336">
        <v>5.6695979999999997</v>
      </c>
      <c r="E7336">
        <v>0.6307933</v>
      </c>
      <c r="F7336" t="s">
        <v>81</v>
      </c>
      <c r="G7336">
        <v>-156.8278</v>
      </c>
      <c r="H7336">
        <v>3.1026669999999998</v>
      </c>
      <c r="I7336">
        <v>160.90219999999999</v>
      </c>
      <c r="J7336">
        <v>-183.86850000000001</v>
      </c>
      <c r="K7336">
        <v>1.1051260000000001</v>
      </c>
      <c r="L7336">
        <v>125.05289999999999</v>
      </c>
      <c r="M7336">
        <v>0.29520560000000001</v>
      </c>
      <c r="N7336">
        <v>0</v>
      </c>
      <c r="O7336">
        <v>0.95532680000000003</v>
      </c>
      <c r="P7336">
        <v>0.4559995</v>
      </c>
      <c r="Q7336">
        <v>-9.5854489999999994E-3</v>
      </c>
      <c r="R7336">
        <v>0.88992839999999995</v>
      </c>
      <c r="S7336">
        <v>1.832962</v>
      </c>
      <c r="T7336">
        <v>0.13506319999999999</v>
      </c>
      <c r="U7336">
        <v>2.4374690000000001</v>
      </c>
      <c r="V7336">
        <v>0.1729773</v>
      </c>
      <c r="W7336">
        <v>2.3143909999999998E-3</v>
      </c>
      <c r="X7336">
        <v>0.98492310000000005</v>
      </c>
      <c r="Y7336">
        <v>0.33765020000000001</v>
      </c>
      <c r="Z7336">
        <v>4.4546229999999999E-2</v>
      </c>
      <c r="AA7336">
        <v>0.94021699999999997</v>
      </c>
      <c r="AB7336">
        <v>25</v>
      </c>
      <c r="AC7336">
        <v>27.040700000000001</v>
      </c>
      <c r="AD7336">
        <v>1.997541</v>
      </c>
      <c r="AE7336">
        <v>35.849299999999999</v>
      </c>
      <c r="AF7336">
        <v>15.2212286613585</v>
      </c>
      <c r="AG7336">
        <v>1.997541</v>
      </c>
      <c r="AH7336">
        <v>42.151266301899803</v>
      </c>
      <c r="AI7336">
        <v>87.447861495036506</v>
      </c>
      <c r="AJ7336">
        <v>70.144860121798004</v>
      </c>
      <c r="AK7336">
        <v>44.8598397551944</v>
      </c>
      <c r="AL7336">
        <v>89.867395046212295</v>
      </c>
      <c r="AM7336">
        <v>80.039002222160505</v>
      </c>
      <c r="AN7336">
        <v>1.0000000078172999</v>
      </c>
    </row>
    <row r="7337" spans="1:40" x14ac:dyDescent="0.25">
      <c r="A7337" t="str">
        <f>"20190312161501584"</f>
        <v>20190312161501584</v>
      </c>
      <c r="B7337" t="str">
        <f>"1552378501573920"</f>
        <v>1552378501573920</v>
      </c>
      <c r="C7337" t="s">
        <v>40</v>
      </c>
      <c r="D7337">
        <v>5.0075200000000004</v>
      </c>
      <c r="E7337">
        <v>0.6307933</v>
      </c>
      <c r="F7337" t="s">
        <v>81</v>
      </c>
      <c r="G7337">
        <v>-146.42779999999999</v>
      </c>
      <c r="H7337">
        <v>1.949387</v>
      </c>
      <c r="I7337">
        <v>160.821</v>
      </c>
      <c r="J7337">
        <v>-183.81399999999999</v>
      </c>
      <c r="K7337">
        <v>1.105037</v>
      </c>
      <c r="L7337">
        <v>125.2103</v>
      </c>
      <c r="M7337">
        <v>0.30010310000000001</v>
      </c>
      <c r="N7337">
        <v>0</v>
      </c>
      <c r="O7337">
        <v>0.95379950000000002</v>
      </c>
      <c r="P7337">
        <v>0.46095459999999999</v>
      </c>
      <c r="Q7337">
        <v>-9.6922589999999999E-3</v>
      </c>
      <c r="R7337">
        <v>0.88737080000000002</v>
      </c>
      <c r="S7337">
        <v>2.2971650000000001</v>
      </c>
      <c r="T7337">
        <v>5.1801560000000003E-2</v>
      </c>
      <c r="U7337">
        <v>2.19455</v>
      </c>
      <c r="V7337">
        <v>0.1734155</v>
      </c>
      <c r="W7337">
        <v>2.177539E-3</v>
      </c>
      <c r="X7337">
        <v>0.98484640000000001</v>
      </c>
      <c r="Y7337">
        <v>0.48230780000000001</v>
      </c>
      <c r="Z7337">
        <v>1.6809859999999999E-2</v>
      </c>
      <c r="AA7337">
        <v>0.87584050000000002</v>
      </c>
      <c r="AB7337">
        <v>25</v>
      </c>
      <c r="AC7337">
        <v>37.386200000000002</v>
      </c>
      <c r="AD7337">
        <v>0.84434999999999905</v>
      </c>
      <c r="AE7337">
        <v>35.610699999999902</v>
      </c>
      <c r="AF7337">
        <v>24.9679358137336</v>
      </c>
      <c r="AG7337">
        <v>0.84434999999999905</v>
      </c>
      <c r="AH7337">
        <v>45.177724644513397</v>
      </c>
      <c r="AI7337">
        <v>89.062859536072295</v>
      </c>
      <c r="AJ7337">
        <v>61.0723126445913</v>
      </c>
      <c r="AK7337">
        <v>51.624970215746401</v>
      </c>
      <c r="AL7337">
        <v>89.875236113770299</v>
      </c>
      <c r="AM7337">
        <v>80.013513455847601</v>
      </c>
      <c r="AN7337">
        <v>1.0000000544546499</v>
      </c>
    </row>
    <row r="7338" spans="1:40" x14ac:dyDescent="0.25">
      <c r="A7338" t="str">
        <f>"20190312161501604"</f>
        <v>20190312161501604</v>
      </c>
      <c r="B7338" t="str">
        <f>"1552378501594416"</f>
        <v>1552378501594416</v>
      </c>
      <c r="C7338" t="s">
        <v>40</v>
      </c>
      <c r="D7338">
        <v>5.6631429999999998</v>
      </c>
      <c r="E7338">
        <v>0.62402769999999996</v>
      </c>
      <c r="F7338" t="s">
        <v>81</v>
      </c>
      <c r="G7338">
        <v>-146.11920000000001</v>
      </c>
      <c r="H7338">
        <v>1.950302</v>
      </c>
      <c r="I7338">
        <v>160.82089999999999</v>
      </c>
      <c r="J7338">
        <v>-183.7406</v>
      </c>
      <c r="K7338">
        <v>1.1049260000000001</v>
      </c>
      <c r="L7338">
        <v>125.4183</v>
      </c>
      <c r="M7338">
        <v>0.30669380000000002</v>
      </c>
      <c r="N7338">
        <v>0</v>
      </c>
      <c r="O7338">
        <v>0.9517004</v>
      </c>
      <c r="P7338">
        <v>0.46784989999999999</v>
      </c>
      <c r="Q7338">
        <v>-9.9038630000000006E-3</v>
      </c>
      <c r="R7338">
        <v>0.88375249999999905</v>
      </c>
      <c r="S7338">
        <v>2.3093870000000001</v>
      </c>
      <c r="T7338">
        <v>5.1787609999999998E-2</v>
      </c>
      <c r="U7338">
        <v>2.181702</v>
      </c>
      <c r="V7338">
        <v>0.17426949999999999</v>
      </c>
      <c r="W7338">
        <v>1.9238619999999999E-3</v>
      </c>
      <c r="X7338">
        <v>0.98469609999999996</v>
      </c>
      <c r="Y7338">
        <v>0.48113660000000003</v>
      </c>
      <c r="Z7338">
        <v>1.6795129999999998E-2</v>
      </c>
      <c r="AA7338">
        <v>0.87648479999999995</v>
      </c>
      <c r="AB7338">
        <v>25</v>
      </c>
      <c r="AC7338">
        <v>37.621400000000001</v>
      </c>
      <c r="AD7338">
        <v>0.84537599999999902</v>
      </c>
      <c r="AE7338">
        <v>35.4025999999999</v>
      </c>
      <c r="AF7338">
        <v>24.942424798357301</v>
      </c>
      <c r="AG7338">
        <v>0.84537599999999902</v>
      </c>
      <c r="AH7338">
        <v>45.223451025679701</v>
      </c>
      <c r="AI7338">
        <v>89.062224146998602</v>
      </c>
      <c r="AJ7338">
        <v>61.121621154031502</v>
      </c>
      <c r="AK7338">
        <v>51.652683745136997</v>
      </c>
      <c r="AL7338">
        <v>89.889770757340898</v>
      </c>
      <c r="AM7338">
        <v>79.963830743569204</v>
      </c>
      <c r="AN7338">
        <v>0.99999998461522699</v>
      </c>
    </row>
    <row r="7339" spans="1:40" x14ac:dyDescent="0.25">
      <c r="A7339" t="str">
        <f>"20190312161501616"</f>
        <v>20190312161501616</v>
      </c>
      <c r="B7339" t="str">
        <f>"1552378501613936"</f>
        <v>1552378501613936</v>
      </c>
      <c r="C7339" t="s">
        <v>40</v>
      </c>
      <c r="D7339">
        <v>5.5245220000000002</v>
      </c>
      <c r="E7339">
        <v>0.62733470000000002</v>
      </c>
      <c r="F7339" t="s">
        <v>81</v>
      </c>
      <c r="G7339">
        <v>-146.8869</v>
      </c>
      <c r="H7339">
        <v>3.6856610000000001</v>
      </c>
      <c r="I7339">
        <v>160.82060000000001</v>
      </c>
      <c r="J7339">
        <v>-183.69130000000001</v>
      </c>
      <c r="K7339">
        <v>1.1048469999999999</v>
      </c>
      <c r="L7339">
        <v>125.5547</v>
      </c>
      <c r="M7339">
        <v>0.31111290000000003</v>
      </c>
      <c r="N7339">
        <v>0</v>
      </c>
      <c r="O7339">
        <v>0.95026480000000002</v>
      </c>
      <c r="P7339">
        <v>0.47223989999999999</v>
      </c>
      <c r="Q7339">
        <v>-1.0337839999999999E-2</v>
      </c>
      <c r="R7339">
        <v>0.88140949999999996</v>
      </c>
      <c r="S7339">
        <v>2.2794490000000001</v>
      </c>
      <c r="T7339">
        <v>0.15962419999999999</v>
      </c>
      <c r="U7339">
        <v>2.1896819999999999</v>
      </c>
      <c r="V7339">
        <v>0.17458779999999999</v>
      </c>
      <c r="W7339">
        <v>1.4651449999999999E-3</v>
      </c>
      <c r="X7339">
        <v>0.98464050000000003</v>
      </c>
      <c r="Y7339">
        <v>0.46881990000000001</v>
      </c>
      <c r="Z7339">
        <v>5.1846900000000001E-2</v>
      </c>
      <c r="AA7339">
        <v>0.88177079999999997</v>
      </c>
      <c r="AB7339">
        <v>25</v>
      </c>
      <c r="AC7339">
        <v>36.804400000000001</v>
      </c>
      <c r="AD7339">
        <v>2.5808140000000002</v>
      </c>
      <c r="AE7339">
        <v>35.265900000000002</v>
      </c>
      <c r="AF7339">
        <v>23.943338191176601</v>
      </c>
      <c r="AG7339">
        <v>2.5808140000000002</v>
      </c>
      <c r="AH7339">
        <v>44.851911502248498</v>
      </c>
      <c r="AI7339">
        <v>87.094115363565095</v>
      </c>
      <c r="AJ7339">
        <v>61.905320578221001</v>
      </c>
      <c r="AK7339">
        <v>50.908133044192297</v>
      </c>
      <c r="AL7339">
        <v>89.916053343445796</v>
      </c>
      <c r="AM7339">
        <v>79.945317382026005</v>
      </c>
      <c r="AN7339">
        <v>0.99999998039948002</v>
      </c>
    </row>
    <row r="7340" spans="1:40" x14ac:dyDescent="0.25">
      <c r="A7340" t="str">
        <f>"20190312161501629"</f>
        <v>20190312161501629</v>
      </c>
      <c r="B7340" t="str">
        <f>"1552378501623696"</f>
        <v>1552378501623696</v>
      </c>
      <c r="C7340" t="s">
        <v>40</v>
      </c>
      <c r="D7340">
        <v>5.0002519999999997</v>
      </c>
      <c r="E7340">
        <v>0.62828450000000002</v>
      </c>
      <c r="F7340" t="s">
        <v>111</v>
      </c>
      <c r="G7340">
        <v>-151.49549999999999</v>
      </c>
      <c r="H7340">
        <v>4.9200939999999997</v>
      </c>
      <c r="I7340">
        <v>155.68950000000001</v>
      </c>
      <c r="J7340">
        <v>-183.64269999999999</v>
      </c>
      <c r="K7340">
        <v>1.1047689999999999</v>
      </c>
      <c r="L7340">
        <v>125.6883</v>
      </c>
      <c r="M7340">
        <v>0.31548660000000001</v>
      </c>
      <c r="N7340">
        <v>0</v>
      </c>
      <c r="O7340">
        <v>0.94882149999999998</v>
      </c>
      <c r="P7340">
        <v>0.47684660000000001</v>
      </c>
      <c r="Q7340">
        <v>-1.049666E-2</v>
      </c>
      <c r="R7340">
        <v>0.87892380000000003</v>
      </c>
      <c r="S7340">
        <v>2.3148040000000001</v>
      </c>
      <c r="T7340">
        <v>0.27430890000000002</v>
      </c>
      <c r="U7340">
        <v>2.1666259999999999</v>
      </c>
      <c r="V7340">
        <v>0.17520469999999999</v>
      </c>
      <c r="W7340">
        <v>1.2772720000000001E-3</v>
      </c>
      <c r="X7340">
        <v>0.98453120000000005</v>
      </c>
      <c r="Y7340">
        <v>0.47422199999999998</v>
      </c>
      <c r="Z7340">
        <v>8.8685680000000003E-2</v>
      </c>
      <c r="AA7340">
        <v>0.87592719999999902</v>
      </c>
      <c r="AB7340">
        <v>25</v>
      </c>
      <c r="AC7340">
        <v>32.147199999999998</v>
      </c>
      <c r="AD7340">
        <v>3.8153250000000001</v>
      </c>
      <c r="AE7340">
        <v>30.001200000000001</v>
      </c>
      <c r="AF7340">
        <v>20.881932496990899</v>
      </c>
      <c r="AG7340">
        <v>3.8153250000000001</v>
      </c>
      <c r="AH7340">
        <v>38.323249616096099</v>
      </c>
      <c r="AI7340">
        <v>85.003853718314701</v>
      </c>
      <c r="AJ7340">
        <v>61.414501886902798</v>
      </c>
      <c r="AK7340">
        <v>43.809625321407601</v>
      </c>
      <c r="AL7340">
        <v>89.926817685288</v>
      </c>
      <c r="AM7340">
        <v>79.909421094470005</v>
      </c>
      <c r="AN7340">
        <v>1.0000000010496399</v>
      </c>
    </row>
    <row r="7341" spans="1:40" x14ac:dyDescent="0.25">
      <c r="A7341" t="str">
        <f>"20190312161501643"</f>
        <v>20190312161501643</v>
      </c>
      <c r="B7341" t="str">
        <f>"1552378501634431"</f>
        <v>1552378501634431</v>
      </c>
      <c r="C7341" t="s">
        <v>40</v>
      </c>
      <c r="D7341">
        <v>5.6642380000000001</v>
      </c>
      <c r="E7341">
        <v>0.62828450000000002</v>
      </c>
      <c r="F7341" t="s">
        <v>43</v>
      </c>
      <c r="G7341">
        <v>-183.0616</v>
      </c>
      <c r="H7341">
        <v>1.181511</v>
      </c>
      <c r="I7341">
        <v>126.2238</v>
      </c>
      <c r="J7341">
        <v>-183.58609999999999</v>
      </c>
      <c r="K7341">
        <v>1.104678</v>
      </c>
      <c r="L7341">
        <v>125.84</v>
      </c>
      <c r="M7341">
        <v>0.32058029999999998</v>
      </c>
      <c r="N7341">
        <v>0</v>
      </c>
      <c r="O7341">
        <v>0.94711239999999997</v>
      </c>
      <c r="P7341">
        <v>0.48190490000000002</v>
      </c>
      <c r="Q7341">
        <v>-1.037447E-2</v>
      </c>
      <c r="R7341">
        <v>0.876162199999999</v>
      </c>
      <c r="S7341">
        <v>2.333221</v>
      </c>
      <c r="T7341">
        <v>0.30818119999999999</v>
      </c>
      <c r="U7341">
        <v>2.1511079999999998</v>
      </c>
      <c r="V7341">
        <v>0.17559079999999999</v>
      </c>
      <c r="W7341">
        <v>1.370731E-3</v>
      </c>
      <c r="X7341">
        <v>0.98446230000000001</v>
      </c>
      <c r="Y7341">
        <v>0.47532590000000002</v>
      </c>
      <c r="Z7341">
        <v>9.9439929999999996E-2</v>
      </c>
      <c r="AA7341">
        <v>0.87417219999999995</v>
      </c>
      <c r="AB7341">
        <v>25</v>
      </c>
      <c r="AC7341">
        <v>0.52449999999998898</v>
      </c>
      <c r="AD7341">
        <v>7.6832999999999901E-2</v>
      </c>
      <c r="AE7341">
        <v>0.38379999999999298</v>
      </c>
      <c r="AF7341">
        <v>0.36860879307491901</v>
      </c>
      <c r="AG7341">
        <v>7.6832999999999901E-2</v>
      </c>
      <c r="AH7341">
        <v>0.52437257850998198</v>
      </c>
      <c r="AI7341">
        <v>83.164547109106394</v>
      </c>
      <c r="AJ7341">
        <v>54.894619354462499</v>
      </c>
      <c r="AK7341">
        <v>0.64555584833099999</v>
      </c>
      <c r="AL7341">
        <v>89.921462875360504</v>
      </c>
      <c r="AM7341">
        <v>79.886949701624502</v>
      </c>
      <c r="AN7341">
        <v>1.0000000140347001</v>
      </c>
    </row>
    <row r="7342" spans="1:40" x14ac:dyDescent="0.25">
      <c r="A7342" t="str">
        <f>"20190312161501658"</f>
        <v>20190312161501658</v>
      </c>
      <c r="B7342" t="str">
        <f>"1552378501653951"</f>
        <v>1552378501653951</v>
      </c>
      <c r="C7342" t="s">
        <v>40</v>
      </c>
      <c r="D7342">
        <v>5.5667249999999999</v>
      </c>
      <c r="E7342">
        <v>0.64301489999999994</v>
      </c>
      <c r="F7342" t="s">
        <v>111</v>
      </c>
      <c r="G7342">
        <v>-152.6875</v>
      </c>
      <c r="H7342">
        <v>5.16031</v>
      </c>
      <c r="I7342">
        <v>153.99350000000001</v>
      </c>
      <c r="J7342">
        <v>-183.52629999999999</v>
      </c>
      <c r="K7342">
        <v>1.104579</v>
      </c>
      <c r="L7342">
        <v>125.9975</v>
      </c>
      <c r="M7342">
        <v>0.3259552</v>
      </c>
      <c r="N7342">
        <v>0</v>
      </c>
      <c r="O7342">
        <v>0.9452758</v>
      </c>
      <c r="P7342">
        <v>0.48717929999999998</v>
      </c>
      <c r="Q7342">
        <v>-1.006919E-2</v>
      </c>
      <c r="R7342">
        <v>0.87324389999999996</v>
      </c>
      <c r="S7342">
        <v>2.345825</v>
      </c>
      <c r="T7342">
        <v>0.30790640000000002</v>
      </c>
      <c r="U7342">
        <v>2.1374209999999998</v>
      </c>
      <c r="V7342">
        <v>0.17593839999999999</v>
      </c>
      <c r="W7342">
        <v>1.646343E-3</v>
      </c>
      <c r="X7342">
        <v>0.98439980000000005</v>
      </c>
      <c r="Y7342">
        <v>0.47546949999999999</v>
      </c>
      <c r="Z7342">
        <v>9.9308569999999999E-2</v>
      </c>
      <c r="AA7342">
        <v>0.87410900000000002</v>
      </c>
      <c r="AB7342">
        <v>25</v>
      </c>
      <c r="AC7342">
        <v>30.8387999999999</v>
      </c>
      <c r="AD7342">
        <v>4.0557309999999998</v>
      </c>
      <c r="AE7342">
        <v>27.995999999999999</v>
      </c>
      <c r="AF7342">
        <v>19.8396869517723</v>
      </c>
      <c r="AG7342">
        <v>4.0557309999999998</v>
      </c>
      <c r="AH7342">
        <v>36.176768267009201</v>
      </c>
      <c r="AI7342">
        <v>84.386010135191597</v>
      </c>
      <c r="AJ7342">
        <v>61.259213549730397</v>
      </c>
      <c r="AK7342">
        <v>41.458662478830298</v>
      </c>
      <c r="AL7342">
        <v>89.905671451728693</v>
      </c>
      <c r="AM7342">
        <v>79.866714302867294</v>
      </c>
      <c r="AN7342">
        <v>0.99999999863993605</v>
      </c>
    </row>
    <row r="7343" spans="1:40" x14ac:dyDescent="0.25">
      <c r="A7343" t="str">
        <f>"20190312161501672"</f>
        <v>20190312161501672</v>
      </c>
      <c r="B7343" t="str">
        <f>"1552378501663712"</f>
        <v>1552378501663712</v>
      </c>
      <c r="C7343" t="s">
        <v>40</v>
      </c>
      <c r="D7343">
        <v>5.6408100000000001</v>
      </c>
      <c r="E7343">
        <v>0.64261599999999997</v>
      </c>
      <c r="F7343" t="s">
        <v>84</v>
      </c>
      <c r="G7343">
        <v>-173.11940000000001</v>
      </c>
      <c r="H7343" s="1">
        <v>-3.15126E-6</v>
      </c>
      <c r="I7343">
        <v>134.7423</v>
      </c>
      <c r="J7343">
        <v>-183.47239999999999</v>
      </c>
      <c r="K7343">
        <v>1.104495</v>
      </c>
      <c r="L7343">
        <v>126.1373</v>
      </c>
      <c r="M7343">
        <v>0.33078950000000001</v>
      </c>
      <c r="N7343">
        <v>0</v>
      </c>
      <c r="O7343">
        <v>0.94359470000000001</v>
      </c>
      <c r="P7343">
        <v>0.49194880000000002</v>
      </c>
      <c r="Q7343">
        <v>-1.006659E-2</v>
      </c>
      <c r="R7343">
        <v>0.87056599999999995</v>
      </c>
      <c r="S7343">
        <v>2.4549560000000001</v>
      </c>
      <c r="T7343">
        <v>-0.26056849999999998</v>
      </c>
      <c r="U7343">
        <v>2.0628660000000001</v>
      </c>
      <c r="V7343">
        <v>0.17628489999999999</v>
      </c>
      <c r="W7343">
        <v>1.6225009999999999E-3</v>
      </c>
      <c r="X7343">
        <v>0.98433789999999999</v>
      </c>
      <c r="Y7343">
        <v>0.50688529999999998</v>
      </c>
      <c r="Z7343">
        <v>-8.3760340000000003E-2</v>
      </c>
      <c r="AA7343">
        <v>0.85793449999999905</v>
      </c>
      <c r="AB7343">
        <v>25</v>
      </c>
      <c r="AC7343">
        <v>10.3529999999999</v>
      </c>
      <c r="AD7343">
        <v>-1.1044981512600001</v>
      </c>
      <c r="AE7343">
        <v>8.6050000000000004</v>
      </c>
      <c r="AF7343">
        <v>6.8770188725022399</v>
      </c>
      <c r="AG7343">
        <v>-1.1044981512600001</v>
      </c>
      <c r="AH7343">
        <v>11.4682966771088</v>
      </c>
      <c r="AI7343">
        <v>94.721724883770904</v>
      </c>
      <c r="AJ7343">
        <v>59.050789720380898</v>
      </c>
      <c r="AK7343">
        <v>13.417717146112199</v>
      </c>
      <c r="AL7343">
        <v>89.907037504298103</v>
      </c>
      <c r="AM7343">
        <v>79.846546987860506</v>
      </c>
      <c r="AN7343">
        <v>1.0000000499269499</v>
      </c>
    </row>
    <row r="7344" spans="1:40" x14ac:dyDescent="0.25">
      <c r="A7344" t="str">
        <f>"20190312161501685"</f>
        <v>20190312161501685</v>
      </c>
      <c r="B7344" t="str">
        <f>"1552378501674448"</f>
        <v>1552378501674448</v>
      </c>
      <c r="C7344" t="s">
        <v>40</v>
      </c>
      <c r="D7344">
        <v>5.3328089999999904</v>
      </c>
      <c r="E7344">
        <v>0.64261599999999997</v>
      </c>
      <c r="F7344" t="s">
        <v>84</v>
      </c>
      <c r="G7344">
        <v>-173.21299999999999</v>
      </c>
      <c r="H7344" s="1">
        <v>-3.1686320000000001E-6</v>
      </c>
      <c r="I7344">
        <v>134.67859999999999</v>
      </c>
      <c r="J7344">
        <v>-183.41560000000001</v>
      </c>
      <c r="K7344">
        <v>1.1044069999999999</v>
      </c>
      <c r="L7344">
        <v>126.28189999999999</v>
      </c>
      <c r="M7344">
        <v>0.3358833</v>
      </c>
      <c r="N7344">
        <v>0</v>
      </c>
      <c r="O7344">
        <v>0.94179330000000006</v>
      </c>
      <c r="P7344">
        <v>0.49711820000000001</v>
      </c>
      <c r="Q7344">
        <v>-9.9838429999999992E-3</v>
      </c>
      <c r="R7344">
        <v>0.86762539999999999</v>
      </c>
      <c r="S7344">
        <v>2.4634399999999999</v>
      </c>
      <c r="T7344">
        <v>-0.26520709999999997</v>
      </c>
      <c r="U7344">
        <v>2.0509189999999999</v>
      </c>
      <c r="V7344">
        <v>0.17682220000000001</v>
      </c>
      <c r="W7344">
        <v>1.6739999999999999E-3</v>
      </c>
      <c r="X7344">
        <v>0.98424140000000004</v>
      </c>
      <c r="Y7344">
        <v>0.5060424</v>
      </c>
      <c r="Z7344">
        <v>-8.5225220000000004E-2</v>
      </c>
      <c r="AA7344">
        <v>0.85828769999999999</v>
      </c>
      <c r="AB7344">
        <v>25</v>
      </c>
      <c r="AC7344">
        <v>10.2026</v>
      </c>
      <c r="AD7344">
        <v>-1.10441016863199</v>
      </c>
      <c r="AE7344">
        <v>8.3966999999999903</v>
      </c>
      <c r="AF7344">
        <v>6.7420352110810704</v>
      </c>
      <c r="AG7344">
        <v>-1.10441016863199</v>
      </c>
      <c r="AH7344">
        <v>11.257373661320999</v>
      </c>
      <c r="AI7344">
        <v>94.810994992266501</v>
      </c>
      <c r="AJ7344">
        <v>59.082630139498598</v>
      </c>
      <c r="AK7344">
        <v>13.1682657308637</v>
      </c>
      <c r="AL7344">
        <v>89.904086821553804</v>
      </c>
      <c r="AM7344">
        <v>79.815269352306501</v>
      </c>
      <c r="AN7344">
        <v>1.0000000130814</v>
      </c>
    </row>
    <row r="7345" spans="1:40" x14ac:dyDescent="0.25">
      <c r="A7345" t="str">
        <f>"20190312161501698"</f>
        <v>20190312161501698</v>
      </c>
      <c r="B7345" t="str">
        <f>"1552378501693968"</f>
        <v>1552378501693968</v>
      </c>
      <c r="C7345" t="s">
        <v>40</v>
      </c>
      <c r="D7345">
        <v>5.759061</v>
      </c>
      <c r="E7345">
        <v>0.64220169999999999</v>
      </c>
      <c r="F7345" t="s">
        <v>84</v>
      </c>
      <c r="G7345">
        <v>-173.0993</v>
      </c>
      <c r="H7345" s="1">
        <v>-3.1517369999999998E-6</v>
      </c>
      <c r="I7345">
        <v>134.7671</v>
      </c>
      <c r="J7345">
        <v>-183.3631</v>
      </c>
      <c r="K7345">
        <v>1.104328</v>
      </c>
      <c r="L7345">
        <v>126.4131</v>
      </c>
      <c r="M7345">
        <v>0.34059270000000003</v>
      </c>
      <c r="N7345">
        <v>0</v>
      </c>
      <c r="O7345">
        <v>0.94010009999999999</v>
      </c>
      <c r="P7345">
        <v>0.50161140000000004</v>
      </c>
      <c r="Q7345">
        <v>-1.0026820000000001E-2</v>
      </c>
      <c r="R7345">
        <v>0.865035</v>
      </c>
      <c r="S7345">
        <v>2.4756469999999999</v>
      </c>
      <c r="T7345">
        <v>-0.26502799999999999</v>
      </c>
      <c r="U7345">
        <v>2.0362089999999999</v>
      </c>
      <c r="V7345">
        <v>0.17700060000000001</v>
      </c>
      <c r="W7345">
        <v>1.6086729999999999E-3</v>
      </c>
      <c r="X7345">
        <v>0.98420940000000001</v>
      </c>
      <c r="Y7345">
        <v>0.50685349999999996</v>
      </c>
      <c r="Z7345">
        <v>-8.514824E-2</v>
      </c>
      <c r="AA7345">
        <v>0.85781659999999904</v>
      </c>
      <c r="AB7345">
        <v>25</v>
      </c>
      <c r="AC7345">
        <v>10.2638</v>
      </c>
      <c r="AD7345">
        <v>-1.104331151737</v>
      </c>
      <c r="AE7345">
        <v>8.3539999999999992</v>
      </c>
      <c r="AF7345">
        <v>6.7573425196145998</v>
      </c>
      <c r="AG7345">
        <v>-1.104331151737</v>
      </c>
      <c r="AH7345">
        <v>11.2720617582549</v>
      </c>
      <c r="AI7345">
        <v>94.803195629299907</v>
      </c>
      <c r="AJ7345">
        <v>59.0582793340186</v>
      </c>
      <c r="AK7345">
        <v>13.1886542718354</v>
      </c>
      <c r="AL7345">
        <v>89.907829784115805</v>
      </c>
      <c r="AM7345">
        <v>79.8048846373202</v>
      </c>
      <c r="AN7345">
        <v>0.99999997163876997</v>
      </c>
    </row>
    <row r="7346" spans="1:40" x14ac:dyDescent="0.25">
      <c r="A7346" t="str">
        <f>"20190312161501715"</f>
        <v>20190312161501715</v>
      </c>
      <c r="B7346" t="str">
        <f>"1552378501703728"</f>
        <v>1552378501703728</v>
      </c>
      <c r="C7346" t="s">
        <v>40</v>
      </c>
      <c r="D7346">
        <v>5.548089</v>
      </c>
      <c r="E7346">
        <v>0.64080099999999995</v>
      </c>
      <c r="F7346" t="s">
        <v>84</v>
      </c>
      <c r="G7346">
        <v>-173.2527</v>
      </c>
      <c r="H7346" s="1">
        <v>-3.1783620000000001E-6</v>
      </c>
      <c r="I7346">
        <v>134.65790000000001</v>
      </c>
      <c r="J7346">
        <v>-183.29400000000001</v>
      </c>
      <c r="K7346">
        <v>1.1042240000000001</v>
      </c>
      <c r="L7346">
        <v>126.5831</v>
      </c>
      <c r="M7346">
        <v>0.34677980000000003</v>
      </c>
      <c r="N7346">
        <v>0</v>
      </c>
      <c r="O7346">
        <v>0.93783530000000004</v>
      </c>
      <c r="P7346">
        <v>0.50812630000000003</v>
      </c>
      <c r="Q7346">
        <v>-1.092517E-2</v>
      </c>
      <c r="R7346">
        <v>0.86121329999999996</v>
      </c>
      <c r="S7346">
        <v>2.4832000000000001</v>
      </c>
      <c r="T7346">
        <v>-0.27123309999999901</v>
      </c>
      <c r="U7346">
        <v>2.024994</v>
      </c>
      <c r="V7346">
        <v>0.17793529999999999</v>
      </c>
      <c r="W7346">
        <v>6.6835080000000001E-4</v>
      </c>
      <c r="X7346">
        <v>0.98404190000000002</v>
      </c>
      <c r="Y7346">
        <v>0.50464679999999995</v>
      </c>
      <c r="Z7346">
        <v>-8.7075429999999995E-2</v>
      </c>
      <c r="AA7346">
        <v>0.8589234</v>
      </c>
      <c r="AB7346">
        <v>25</v>
      </c>
      <c r="AC7346">
        <v>10.0413</v>
      </c>
      <c r="AD7346">
        <v>-1.1042271783619999</v>
      </c>
      <c r="AE7346">
        <v>8.0748000000000104</v>
      </c>
      <c r="AF7346">
        <v>6.5693536780886799</v>
      </c>
      <c r="AG7346">
        <v>-1.1042271783619999</v>
      </c>
      <c r="AH7346">
        <v>10.9755027605822</v>
      </c>
      <c r="AI7346">
        <v>94.9338970413651</v>
      </c>
      <c r="AJ7346">
        <v>59.0974987106434</v>
      </c>
      <c r="AK7346">
        <v>12.838901286979301</v>
      </c>
      <c r="AL7346">
        <v>89.961706314751098</v>
      </c>
      <c r="AM7346">
        <v>79.750477149813904</v>
      </c>
      <c r="AN7346">
        <v>0.99999993931724396</v>
      </c>
    </row>
    <row r="7347" spans="1:40" x14ac:dyDescent="0.25">
      <c r="A7347" t="str">
        <f>"20190312161501728"</f>
        <v>20190312161501728</v>
      </c>
      <c r="B7347" t="str">
        <f>"1552378501724224"</f>
        <v>1552378501724224</v>
      </c>
      <c r="C7347" t="s">
        <v>40</v>
      </c>
      <c r="D7347">
        <v>5.5998359999999998</v>
      </c>
      <c r="E7347">
        <v>0.63963309999999995</v>
      </c>
      <c r="F7347" t="s">
        <v>84</v>
      </c>
      <c r="G7347">
        <v>-173.02850000000001</v>
      </c>
      <c r="H7347" s="1">
        <v>-3.1635650000000002E-6</v>
      </c>
      <c r="I7347">
        <v>134.881</v>
      </c>
      <c r="J7347">
        <v>-183.23750000000001</v>
      </c>
      <c r="K7347">
        <v>1.104144</v>
      </c>
      <c r="L7347">
        <v>126.71980000000001</v>
      </c>
      <c r="M7347">
        <v>0.35182190000000002</v>
      </c>
      <c r="N7347">
        <v>0</v>
      </c>
      <c r="O7347">
        <v>0.93595519999999999</v>
      </c>
      <c r="P7347">
        <v>0.51313149999999996</v>
      </c>
      <c r="Q7347">
        <v>-1.1265519999999999E-2</v>
      </c>
      <c r="R7347">
        <v>0.85823609999999995</v>
      </c>
      <c r="S7347">
        <v>2.4887389999999998</v>
      </c>
      <c r="T7347">
        <v>-0.267706</v>
      </c>
      <c r="U7347">
        <v>2.0117029999999998</v>
      </c>
      <c r="V7347">
        <v>0.17836489999999999</v>
      </c>
      <c r="W7347">
        <v>2.9975549999999997E-4</v>
      </c>
      <c r="X7347">
        <v>0.98396439999999996</v>
      </c>
      <c r="Y7347">
        <v>0.50378449999999997</v>
      </c>
      <c r="Z7347">
        <v>-8.6001019999999997E-2</v>
      </c>
      <c r="AA7347">
        <v>0.85953769999999996</v>
      </c>
      <c r="AB7347">
        <v>25</v>
      </c>
      <c r="AC7347">
        <v>10.209</v>
      </c>
      <c r="AD7347">
        <v>-1.104147163565</v>
      </c>
      <c r="AE7347">
        <v>8.1611999999999902</v>
      </c>
      <c r="AF7347">
        <v>6.6372097836067399</v>
      </c>
      <c r="AG7347">
        <v>-1.104147163565</v>
      </c>
      <c r="AH7347">
        <v>11.1518557325783</v>
      </c>
      <c r="AI7347">
        <v>94.863094335567993</v>
      </c>
      <c r="AJ7347">
        <v>59.240313896511303</v>
      </c>
      <c r="AK7347">
        <v>13.0244224805038</v>
      </c>
      <c r="AL7347">
        <v>89.982825275289798</v>
      </c>
      <c r="AM7347">
        <v>79.725465563711097</v>
      </c>
      <c r="AN7347">
        <v>1.0000000339363599</v>
      </c>
    </row>
    <row r="7348" spans="1:40" x14ac:dyDescent="0.25">
      <c r="A7348" t="str">
        <f>"20190312161501742"</f>
        <v>20190312161501742</v>
      </c>
      <c r="B7348" t="str">
        <f>"1552378501733984"</f>
        <v>1552378501733984</v>
      </c>
      <c r="C7348" t="s">
        <v>40</v>
      </c>
      <c r="D7348">
        <v>5.4796069999999997</v>
      </c>
      <c r="E7348">
        <v>0.63850759999999995</v>
      </c>
      <c r="F7348" t="s">
        <v>84</v>
      </c>
      <c r="G7348">
        <v>-172.6507</v>
      </c>
      <c r="H7348" s="1">
        <v>-3.1258790000000001E-6</v>
      </c>
      <c r="I7348">
        <v>135.22309999999999</v>
      </c>
      <c r="J7348">
        <v>-183.1764</v>
      </c>
      <c r="K7348">
        <v>1.1040570000000001</v>
      </c>
      <c r="L7348">
        <v>126.86409999999999</v>
      </c>
      <c r="M7348">
        <v>0.3572708</v>
      </c>
      <c r="N7348">
        <v>0</v>
      </c>
      <c r="O7348">
        <v>0.93388850000000001</v>
      </c>
      <c r="P7348">
        <v>0.51838339999999905</v>
      </c>
      <c r="Q7348">
        <v>-1.1570459999999999E-2</v>
      </c>
      <c r="R7348">
        <v>0.85507</v>
      </c>
      <c r="S7348">
        <v>2.4924469999999999</v>
      </c>
      <c r="T7348">
        <v>-0.25994970000000001</v>
      </c>
      <c r="U7348">
        <v>2.001938</v>
      </c>
      <c r="V7348">
        <v>0.1786597</v>
      </c>
      <c r="W7348" s="1">
        <v>-2.924609E-5</v>
      </c>
      <c r="X7348">
        <v>0.98391090000000003</v>
      </c>
      <c r="Y7348">
        <v>0.50159259999999894</v>
      </c>
      <c r="Z7348">
        <v>-8.3520999999999998E-2</v>
      </c>
      <c r="AA7348">
        <v>0.86106280000000002</v>
      </c>
      <c r="AB7348">
        <v>25</v>
      </c>
      <c r="AC7348">
        <v>10.525700000000001</v>
      </c>
      <c r="AD7348">
        <v>-1.1040601258789999</v>
      </c>
      <c r="AE7348">
        <v>8.3589999999999893</v>
      </c>
      <c r="AF7348">
        <v>6.7982533699533301</v>
      </c>
      <c r="AG7348">
        <v>-1.1040601258789999</v>
      </c>
      <c r="AH7348">
        <v>11.4905851897703</v>
      </c>
      <c r="AI7348">
        <v>94.727306846697999</v>
      </c>
      <c r="AJ7348">
        <v>59.389877950142399</v>
      </c>
      <c r="AK7348">
        <v>13.3965945541024</v>
      </c>
      <c r="AL7348">
        <v>90.001675677567704</v>
      </c>
      <c r="AM7348">
        <v>79.708298874814901</v>
      </c>
      <c r="AN7348">
        <v>0.99999997419911602</v>
      </c>
    </row>
    <row r="7349" spans="1:40" x14ac:dyDescent="0.25">
      <c r="A7349" t="str">
        <f>"20190312161501757"</f>
        <v>20190312161501757</v>
      </c>
      <c r="B7349" t="str">
        <f>"1552378501743744"</f>
        <v>1552378501743744</v>
      </c>
      <c r="C7349" t="s">
        <v>40</v>
      </c>
      <c r="D7349">
        <v>5.5417889999999996</v>
      </c>
      <c r="E7349">
        <v>0.63796219999999904</v>
      </c>
      <c r="F7349" t="s">
        <v>84</v>
      </c>
      <c r="G7349">
        <v>-172.34190000000001</v>
      </c>
      <c r="H7349" s="1">
        <v>-3.095214E-6</v>
      </c>
      <c r="I7349">
        <v>135.50309999999999</v>
      </c>
      <c r="J7349">
        <v>-183.11060000000001</v>
      </c>
      <c r="K7349">
        <v>1.1039680000000001</v>
      </c>
      <c r="L7349">
        <v>127.0172</v>
      </c>
      <c r="M7349">
        <v>0.36312680000000003</v>
      </c>
      <c r="N7349">
        <v>0</v>
      </c>
      <c r="O7349">
        <v>0.93162690000000004</v>
      </c>
      <c r="P7349">
        <v>0.52416509999999905</v>
      </c>
      <c r="Q7349">
        <v>-1.1737879999999999E-2</v>
      </c>
      <c r="R7349">
        <v>0.85153579999999995</v>
      </c>
      <c r="S7349">
        <v>2.497147</v>
      </c>
      <c r="T7349">
        <v>-0.25446560000000001</v>
      </c>
      <c r="U7349">
        <v>1.9911350000000001</v>
      </c>
      <c r="V7349">
        <v>0.17914730000000001</v>
      </c>
      <c r="W7349">
        <v>-2.2549859999999999E-4</v>
      </c>
      <c r="X7349">
        <v>0.98382219999999998</v>
      </c>
      <c r="Y7349">
        <v>0.49934770000000001</v>
      </c>
      <c r="Z7349">
        <v>-8.1753190000000003E-2</v>
      </c>
      <c r="AA7349">
        <v>0.86253599999999997</v>
      </c>
      <c r="AB7349">
        <v>25</v>
      </c>
      <c r="AC7349">
        <v>10.7686999999999</v>
      </c>
      <c r="AD7349">
        <v>-1.1039710952140001</v>
      </c>
      <c r="AE7349">
        <v>8.4858999999999796</v>
      </c>
      <c r="AF7349">
        <v>6.9069023034335899</v>
      </c>
      <c r="AG7349">
        <v>-1.1039710952140001</v>
      </c>
      <c r="AH7349">
        <v>11.741213610046801</v>
      </c>
      <c r="AI7349">
        <v>94.633278550042803</v>
      </c>
      <c r="AJ7349">
        <v>59.5333454901808</v>
      </c>
      <c r="AK7349">
        <v>13.6667534054358</v>
      </c>
      <c r="AL7349">
        <v>90.012920118646093</v>
      </c>
      <c r="AM7349">
        <v>79.679902964209404</v>
      </c>
      <c r="AN7349">
        <v>0.99999996357987297</v>
      </c>
    </row>
    <row r="7350" spans="1:40" x14ac:dyDescent="0.25">
      <c r="A7350" t="str">
        <f>"20190312161501772"</f>
        <v>20190312161501772</v>
      </c>
      <c r="B7350" t="str">
        <f>"1552378501764241"</f>
        <v>1552378501764241</v>
      </c>
      <c r="C7350" t="s">
        <v>40</v>
      </c>
      <c r="D7350">
        <v>5.7337499999999997</v>
      </c>
      <c r="E7350">
        <v>0.63797819999999905</v>
      </c>
      <c r="F7350" t="s">
        <v>84</v>
      </c>
      <c r="G7350">
        <v>-172.29480000000001</v>
      </c>
      <c r="H7350" s="1">
        <v>-3.0900749999999998E-6</v>
      </c>
      <c r="I7350">
        <v>135.54470000000001</v>
      </c>
      <c r="J7350">
        <v>-183.0436</v>
      </c>
      <c r="K7350">
        <v>1.103882</v>
      </c>
      <c r="L7350">
        <v>127.1704</v>
      </c>
      <c r="M7350">
        <v>0.36906929999999999</v>
      </c>
      <c r="N7350">
        <v>0</v>
      </c>
      <c r="O7350">
        <v>0.92928840000000001</v>
      </c>
      <c r="P7350">
        <v>0.5300163</v>
      </c>
      <c r="Q7350">
        <v>-1.16565E-2</v>
      </c>
      <c r="R7350">
        <v>0.84790739999999998</v>
      </c>
      <c r="S7350">
        <v>2.5068049999999999</v>
      </c>
      <c r="T7350">
        <v>-0.25586940000000002</v>
      </c>
      <c r="U7350">
        <v>1.9764250000000001</v>
      </c>
      <c r="V7350">
        <v>0.1796394</v>
      </c>
      <c r="W7350">
        <v>-1.72684199999999E-4</v>
      </c>
      <c r="X7350">
        <v>0.98373250000000001</v>
      </c>
      <c r="Y7350">
        <v>0.4985252</v>
      </c>
      <c r="Z7350">
        <v>-8.2167970000000007E-2</v>
      </c>
      <c r="AA7350">
        <v>0.86297219999999997</v>
      </c>
      <c r="AB7350">
        <v>25</v>
      </c>
      <c r="AC7350">
        <v>10.7487999999999</v>
      </c>
      <c r="AD7350">
        <v>-1.1038850900749999</v>
      </c>
      <c r="AE7350">
        <v>8.3742999999999999</v>
      </c>
      <c r="AF7350">
        <v>6.8537828872467497</v>
      </c>
      <c r="AG7350">
        <v>-1.1038850900749999</v>
      </c>
      <c r="AH7350">
        <v>11.6738135271803</v>
      </c>
      <c r="AI7350">
        <v>94.661889289572699</v>
      </c>
      <c r="AJ7350">
        <v>59.582487460919097</v>
      </c>
      <c r="AK7350">
        <v>13.5820036969876</v>
      </c>
      <c r="AL7350">
        <v>90.009894076019407</v>
      </c>
      <c r="AM7350">
        <v>79.651243129266405</v>
      </c>
      <c r="AN7350">
        <v>0.99999998770422105</v>
      </c>
    </row>
    <row r="7351" spans="1:40" x14ac:dyDescent="0.25">
      <c r="A7351" t="str">
        <f>"20190312161501786"</f>
        <v>20190312161501786</v>
      </c>
      <c r="B7351" t="str">
        <f>"1552378501783759"</f>
        <v>1552378501783759</v>
      </c>
      <c r="C7351" t="s">
        <v>40</v>
      </c>
      <c r="D7351">
        <v>5.4284160000000004</v>
      </c>
      <c r="E7351">
        <v>0.63606099999999999</v>
      </c>
      <c r="F7351" t="s">
        <v>84</v>
      </c>
      <c r="G7351">
        <v>-172.541</v>
      </c>
      <c r="H7351" s="1">
        <v>-3.1190589999999998E-6</v>
      </c>
      <c r="I7351">
        <v>135.33330000000001</v>
      </c>
      <c r="J7351">
        <v>-182.97399999999999</v>
      </c>
      <c r="K7351">
        <v>1.1037939999999999</v>
      </c>
      <c r="L7351">
        <v>127.3266</v>
      </c>
      <c r="M7351">
        <v>0.37523050000000002</v>
      </c>
      <c r="N7351">
        <v>0</v>
      </c>
      <c r="O7351">
        <v>0.92681740000000001</v>
      </c>
      <c r="P7351">
        <v>0.53612769999999899</v>
      </c>
      <c r="Q7351">
        <v>-1.144152E-2</v>
      </c>
      <c r="R7351">
        <v>0.84405929999999996</v>
      </c>
      <c r="S7351">
        <v>2.5204770000000001</v>
      </c>
      <c r="T7351">
        <v>-0.2649167</v>
      </c>
      <c r="U7351">
        <v>1.9589840000000001</v>
      </c>
      <c r="V7351">
        <v>0.1802174</v>
      </c>
      <c r="W7351" s="1">
        <v>1.2914419999999999E-5</v>
      </c>
      <c r="X7351">
        <v>0.98362680000000002</v>
      </c>
      <c r="Y7351">
        <v>0.49857000000000001</v>
      </c>
      <c r="Z7351">
        <v>-8.4989789999999996E-2</v>
      </c>
      <c r="AA7351">
        <v>0.86267299999999902</v>
      </c>
      <c r="AB7351">
        <v>25</v>
      </c>
      <c r="AC7351">
        <v>10.433</v>
      </c>
      <c r="AD7351">
        <v>-1.1037971190589999</v>
      </c>
      <c r="AE7351">
        <v>8.0067000000000093</v>
      </c>
      <c r="AF7351">
        <v>6.6192045573174099</v>
      </c>
      <c r="AG7351">
        <v>-1.1037971190589999</v>
      </c>
      <c r="AH7351">
        <v>11.2574258676878</v>
      </c>
      <c r="AI7351">
        <v>94.831291905943601</v>
      </c>
      <c r="AJ7351">
        <v>59.545083955937002</v>
      </c>
      <c r="AK7351">
        <v>13.1057954439302</v>
      </c>
      <c r="AL7351">
        <v>89.999260058236501</v>
      </c>
      <c r="AM7351">
        <v>79.617576970243405</v>
      </c>
      <c r="AN7351">
        <v>0.99999999655389105</v>
      </c>
    </row>
    <row r="7352" spans="1:40" x14ac:dyDescent="0.25">
      <c r="A7352" t="str">
        <f>"20190312161501804"</f>
        <v>20190312161501804</v>
      </c>
      <c r="B7352" t="str">
        <f>"1552378501794495"</f>
        <v>1552378501794495</v>
      </c>
      <c r="C7352" t="s">
        <v>40</v>
      </c>
      <c r="D7352">
        <v>5.5612219999999999</v>
      </c>
      <c r="E7352">
        <v>0.6356252</v>
      </c>
      <c r="F7352" t="s">
        <v>84</v>
      </c>
      <c r="G7352">
        <v>-171.9117</v>
      </c>
      <c r="H7352" s="1">
        <v>-3.0460839999999999E-6</v>
      </c>
      <c r="I7352">
        <v>135.87649999999999</v>
      </c>
      <c r="J7352">
        <v>-182.89599999999999</v>
      </c>
      <c r="K7352">
        <v>1.103702</v>
      </c>
      <c r="L7352">
        <v>127.4974</v>
      </c>
      <c r="M7352">
        <v>0.38209310000000002</v>
      </c>
      <c r="N7352">
        <v>0</v>
      </c>
      <c r="O7352">
        <v>0.92400899999999997</v>
      </c>
      <c r="P7352">
        <v>0.54265559999999902</v>
      </c>
      <c r="Q7352">
        <v>-1.145637E-2</v>
      </c>
      <c r="R7352">
        <v>0.83987719999999899</v>
      </c>
      <c r="S7352">
        <v>2.5217900000000002</v>
      </c>
      <c r="T7352">
        <v>-0.25162319999999999</v>
      </c>
      <c r="U7352">
        <v>1.9490510000000001</v>
      </c>
      <c r="V7352">
        <v>0.1805494</v>
      </c>
      <c r="W7352" s="1">
        <v>-2.594036E-5</v>
      </c>
      <c r="X7352">
        <v>0.98356589999999999</v>
      </c>
      <c r="Y7352">
        <v>0.4947762</v>
      </c>
      <c r="Z7352">
        <v>-8.0728869999999994E-2</v>
      </c>
      <c r="AA7352">
        <v>0.86526259999999999</v>
      </c>
      <c r="AB7352">
        <v>25</v>
      </c>
      <c r="AC7352">
        <v>10.9842999999999</v>
      </c>
      <c r="AD7352">
        <v>-1.1037050460840001</v>
      </c>
      <c r="AE7352">
        <v>8.3790999999999904</v>
      </c>
      <c r="AF7352">
        <v>6.9046650760314296</v>
      </c>
      <c r="AG7352">
        <v>-1.1037050460840001</v>
      </c>
      <c r="AH7352">
        <v>11.8649298874934</v>
      </c>
      <c r="AI7352">
        <v>94.596669927971504</v>
      </c>
      <c r="AJ7352">
        <v>59.803206910689703</v>
      </c>
      <c r="AK7352">
        <v>13.7720414563729</v>
      </c>
      <c r="AL7352">
        <v>90.001486273172304</v>
      </c>
      <c r="AM7352">
        <v>79.598237390029496</v>
      </c>
      <c r="AN7352">
        <v>0.99999998307803595</v>
      </c>
    </row>
    <row r="7353" spans="1:40" x14ac:dyDescent="0.25">
      <c r="A7353" t="str">
        <f>"20190312161501817"</f>
        <v>20190312161501817</v>
      </c>
      <c r="B7353" t="str">
        <f>"1552378501814016"</f>
        <v>1552378501814016</v>
      </c>
      <c r="C7353" t="s">
        <v>40</v>
      </c>
      <c r="D7353">
        <v>4.7360920000000002</v>
      </c>
      <c r="E7353">
        <v>0.63620669999999901</v>
      </c>
      <c r="F7353" t="s">
        <v>84</v>
      </c>
      <c r="G7353">
        <v>-171.84909999999999</v>
      </c>
      <c r="H7353" s="1">
        <v>-3.0337420000000002E-6</v>
      </c>
      <c r="I7353">
        <v>135.9171</v>
      </c>
      <c r="J7353">
        <v>-182.8331</v>
      </c>
      <c r="K7353">
        <v>1.103629</v>
      </c>
      <c r="L7353">
        <v>127.6328</v>
      </c>
      <c r="M7353">
        <v>0.38760739999999999</v>
      </c>
      <c r="N7353">
        <v>0</v>
      </c>
      <c r="O7353">
        <v>0.92170920000000001</v>
      </c>
      <c r="P7353">
        <v>0.54793890000000001</v>
      </c>
      <c r="Q7353">
        <v>-1.152651E-2</v>
      </c>
      <c r="R7353">
        <v>0.83643889999999999</v>
      </c>
      <c r="S7353">
        <v>2.5339360000000002</v>
      </c>
      <c r="T7353">
        <v>-0.25316670000000002</v>
      </c>
      <c r="U7353">
        <v>1.93129</v>
      </c>
      <c r="V7353">
        <v>0.18087159999999999</v>
      </c>
      <c r="W7353">
        <v>-1.16026E-4</v>
      </c>
      <c r="X7353">
        <v>0.98350669999999996</v>
      </c>
      <c r="Y7353">
        <v>0.49538949999999998</v>
      </c>
      <c r="Z7353">
        <v>-8.1197279999999997E-2</v>
      </c>
      <c r="AA7353">
        <v>0.86486779999999996</v>
      </c>
      <c r="AB7353">
        <v>25</v>
      </c>
      <c r="AC7353">
        <v>10.984</v>
      </c>
      <c r="AD7353">
        <v>-1.103632033742</v>
      </c>
      <c r="AE7353">
        <v>8.2843</v>
      </c>
      <c r="AF7353">
        <v>6.8695275969590597</v>
      </c>
      <c r="AG7353">
        <v>-1.103632033742</v>
      </c>
      <c r="AH7353">
        <v>11.818408487902699</v>
      </c>
      <c r="AI7353">
        <v>94.615744842693701</v>
      </c>
      <c r="AJ7353">
        <v>59.832422959432897</v>
      </c>
      <c r="AK7353">
        <v>13.714342574772401</v>
      </c>
      <c r="AL7353">
        <v>90.006647800201506</v>
      </c>
      <c r="AM7353">
        <v>79.579467666529396</v>
      </c>
      <c r="AN7353">
        <v>0.99999998904674103</v>
      </c>
    </row>
    <row r="7354" spans="1:40" x14ac:dyDescent="0.25">
      <c r="A7354" t="str">
        <f>"20190312161502070"</f>
        <v>20190312161502070</v>
      </c>
      <c r="B7354" t="str">
        <f>"1552378502063872"</f>
        <v>1552378502063872</v>
      </c>
      <c r="C7354" t="s">
        <v>40</v>
      </c>
      <c r="D7354">
        <v>5.6008709999999997</v>
      </c>
      <c r="E7354">
        <v>0.66094169999999997</v>
      </c>
      <c r="F7354" t="s">
        <v>84</v>
      </c>
      <c r="G7354">
        <v>-171.1173</v>
      </c>
      <c r="H7354" s="1">
        <v>-2.8443969999999999E-6</v>
      </c>
      <c r="I7354">
        <v>136.41970000000001</v>
      </c>
      <c r="J7354">
        <v>-181.4796</v>
      </c>
      <c r="K7354">
        <v>1.102481</v>
      </c>
      <c r="L7354">
        <v>130.0932</v>
      </c>
      <c r="M7354">
        <v>0.49951259999999997</v>
      </c>
      <c r="N7354">
        <v>0</v>
      </c>
      <c r="O7354">
        <v>0.86617819999999901</v>
      </c>
      <c r="P7354">
        <v>0.65379739999999997</v>
      </c>
      <c r="Q7354">
        <v>-1.6436719999999998E-2</v>
      </c>
      <c r="R7354">
        <v>0.75649109999999997</v>
      </c>
      <c r="S7354">
        <v>2.5502319999999998</v>
      </c>
      <c r="T7354">
        <v>-0.2402329</v>
      </c>
      <c r="U7354">
        <v>1.9126890000000001</v>
      </c>
      <c r="V7354">
        <v>0.18838150000000001</v>
      </c>
      <c r="W7354">
        <v>-5.3601050000000004E-3</v>
      </c>
      <c r="X7354">
        <v>0.98208130000000005</v>
      </c>
      <c r="Y7354">
        <v>0.39088820000000002</v>
      </c>
      <c r="Z7354">
        <v>-7.2778519999999999E-2</v>
      </c>
      <c r="AA7354">
        <v>0.91755629999999999</v>
      </c>
      <c r="AB7354">
        <v>24</v>
      </c>
      <c r="AC7354">
        <v>10.362299999999999</v>
      </c>
      <c r="AD7354">
        <v>-1.102483844397</v>
      </c>
      <c r="AE7354">
        <v>6.3265000000000002</v>
      </c>
      <c r="AF7354">
        <v>5.7685119899358197</v>
      </c>
      <c r="AG7354">
        <v>-1.102483844397</v>
      </c>
      <c r="AH7354">
        <v>10.570001545824701</v>
      </c>
      <c r="AI7354">
        <v>95.231193248157496</v>
      </c>
      <c r="AJ7354">
        <v>61.376772439265402</v>
      </c>
      <c r="AK7354">
        <v>12.0919863498073</v>
      </c>
      <c r="AL7354">
        <v>90.307112864842907</v>
      </c>
      <c r="AM7354">
        <v>79.1414966807246</v>
      </c>
      <c r="AN7354">
        <v>1.0000000000387701</v>
      </c>
    </row>
    <row r="7355" spans="1:40" x14ac:dyDescent="0.25">
      <c r="A7355" t="str">
        <f>"20190312161502082"</f>
        <v>20190312161502082</v>
      </c>
      <c r="B7355" t="str">
        <f>"1552378502073632"</f>
        <v>1552378502073632</v>
      </c>
      <c r="C7355" t="s">
        <v>40</v>
      </c>
      <c r="D7355">
        <v>4.2875699999999997</v>
      </c>
      <c r="E7355">
        <v>0.6589758</v>
      </c>
      <c r="F7355" t="s">
        <v>43</v>
      </c>
      <c r="G7355">
        <v>-180.78309999999999</v>
      </c>
      <c r="H7355">
        <v>1.226731</v>
      </c>
      <c r="I7355">
        <v>130.434</v>
      </c>
      <c r="J7355">
        <v>-181.41200000000001</v>
      </c>
      <c r="K7355">
        <v>1.102433</v>
      </c>
      <c r="L7355">
        <v>130.19739999999999</v>
      </c>
      <c r="M7355">
        <v>0.50475649999999905</v>
      </c>
      <c r="N7355">
        <v>0</v>
      </c>
      <c r="O7355">
        <v>0.86313249999999997</v>
      </c>
      <c r="P7355">
        <v>0.65911750000000002</v>
      </c>
      <c r="Q7355">
        <v>-1.617528E-2</v>
      </c>
      <c r="R7355">
        <v>0.75186600000000003</v>
      </c>
      <c r="S7355">
        <v>2.9376530000000001</v>
      </c>
      <c r="T7355">
        <v>0.52412239999999999</v>
      </c>
      <c r="U7355">
        <v>1.438202</v>
      </c>
      <c r="V7355">
        <v>0.1893542</v>
      </c>
      <c r="W7355">
        <v>-5.1261120000000004E-3</v>
      </c>
      <c r="X7355">
        <v>0.98189539999999997</v>
      </c>
      <c r="Y7355">
        <v>0.54037500000000005</v>
      </c>
      <c r="Z7355">
        <v>0.16052859999999999</v>
      </c>
      <c r="AA7355">
        <v>0.82596939999999996</v>
      </c>
      <c r="AB7355">
        <v>24</v>
      </c>
      <c r="AC7355">
        <v>0.628900000000015</v>
      </c>
      <c r="AD7355">
        <v>0.12429800000000001</v>
      </c>
      <c r="AE7355">
        <v>0.236600000000009</v>
      </c>
      <c r="AF7355">
        <v>0.409435164889487</v>
      </c>
      <c r="AG7355">
        <v>0.12429800000000001</v>
      </c>
      <c r="AH7355">
        <v>0.504454474249175</v>
      </c>
      <c r="AI7355">
        <v>79.169294146586907</v>
      </c>
      <c r="AJ7355">
        <v>50.935852287865004</v>
      </c>
      <c r="AK7355">
        <v>0.66148428828060102</v>
      </c>
      <c r="AL7355">
        <v>90.293705888793895</v>
      </c>
      <c r="AM7355">
        <v>79.084755635120402</v>
      </c>
      <c r="AN7355">
        <v>0.99999993331151604</v>
      </c>
    </row>
    <row r="7356" spans="1:40" x14ac:dyDescent="0.25">
      <c r="A7356" t="str">
        <f>"20190312161502114"</f>
        <v>20190312161502114</v>
      </c>
      <c r="B7356" t="str">
        <f>"1552378502103889"</f>
        <v>1552378502103889</v>
      </c>
      <c r="C7356" t="s">
        <v>40</v>
      </c>
      <c r="D7356">
        <v>3.6954030000000002</v>
      </c>
      <c r="E7356">
        <v>0.66679919999999904</v>
      </c>
      <c r="F7356" t="s">
        <v>43</v>
      </c>
      <c r="G7356">
        <v>-180.8477</v>
      </c>
      <c r="H7356">
        <v>1.2016560000000001</v>
      </c>
      <c r="I7356">
        <v>130.4717</v>
      </c>
      <c r="J7356">
        <v>-181.21539999999999</v>
      </c>
      <c r="K7356">
        <v>1.1022970000000001</v>
      </c>
      <c r="L7356">
        <v>130.49260000000001</v>
      </c>
      <c r="M7356">
        <v>0.51981029999999995</v>
      </c>
      <c r="N7356">
        <v>0</v>
      </c>
      <c r="O7356">
        <v>0.85415039999999998</v>
      </c>
      <c r="P7356">
        <v>0.67388079999999995</v>
      </c>
      <c r="Q7356">
        <v>-1.6375279999999999E-2</v>
      </c>
      <c r="R7356">
        <v>0.7386587</v>
      </c>
      <c r="S7356">
        <v>2.9355929999999999</v>
      </c>
      <c r="T7356">
        <v>0.51628390000000002</v>
      </c>
      <c r="U7356">
        <v>1.427689</v>
      </c>
      <c r="V7356">
        <v>0.19158600000000001</v>
      </c>
      <c r="W7356">
        <v>-5.3921180000000004E-3</v>
      </c>
      <c r="X7356">
        <v>0.98146100000000003</v>
      </c>
      <c r="Y7356">
        <v>0.52828529999999996</v>
      </c>
      <c r="Z7356">
        <v>0.15714400000000001</v>
      </c>
      <c r="AA7356">
        <v>0.83439819999999998</v>
      </c>
      <c r="AB7356">
        <v>24</v>
      </c>
      <c r="AC7356">
        <v>0.36769999999998398</v>
      </c>
      <c r="AD7356">
        <v>9.9359000000000197E-2</v>
      </c>
      <c r="AE7356">
        <v>-2.09000000000116E-2</v>
      </c>
      <c r="AF7356">
        <v>0.30292405523760202</v>
      </c>
      <c r="AG7356">
        <v>9.9359000000000197E-2</v>
      </c>
      <c r="AH7356">
        <v>0.16154435998011099</v>
      </c>
      <c r="AI7356">
        <v>73.858631139451504</v>
      </c>
      <c r="AJ7356">
        <v>28.070257998400098</v>
      </c>
      <c r="AK7356">
        <v>0.357395823092517</v>
      </c>
      <c r="AL7356">
        <v>90.308947106580902</v>
      </c>
      <c r="AM7356">
        <v>78.954481379216006</v>
      </c>
      <c r="AN7356">
        <v>0.99999998242676202</v>
      </c>
    </row>
    <row r="7357" spans="1:40" x14ac:dyDescent="0.25">
      <c r="A7357" t="str">
        <f>"20190312161502125"</f>
        <v>20190312161502125</v>
      </c>
      <c r="B7357" t="str">
        <f>"1552378502113648"</f>
        <v>1552378502113648</v>
      </c>
      <c r="C7357" t="s">
        <v>40</v>
      </c>
      <c r="D7357">
        <v>5.5299959999999997</v>
      </c>
      <c r="E7357">
        <v>0.66679919999999904</v>
      </c>
      <c r="F7357" t="s">
        <v>43</v>
      </c>
      <c r="G7357">
        <v>-180.54230000000001</v>
      </c>
      <c r="H7357">
        <v>1.238424</v>
      </c>
      <c r="I7357">
        <v>130.78980000000001</v>
      </c>
      <c r="J7357">
        <v>-181.14439999999999</v>
      </c>
      <c r="K7357">
        <v>1.1022459999999901</v>
      </c>
      <c r="L7357">
        <v>130.5967</v>
      </c>
      <c r="M7357">
        <v>0.52518310000000001</v>
      </c>
      <c r="N7357">
        <v>0</v>
      </c>
      <c r="O7357">
        <v>0.85085710000000003</v>
      </c>
      <c r="P7357">
        <v>0.67916209999999999</v>
      </c>
      <c r="Q7357">
        <v>-1.6946639999999999E-2</v>
      </c>
      <c r="R7357">
        <v>0.73379269999999996</v>
      </c>
      <c r="S7357">
        <v>3.0094759999999998</v>
      </c>
      <c r="T7357">
        <v>0.60864099999999999</v>
      </c>
      <c r="U7357">
        <v>1.329391</v>
      </c>
      <c r="V7357">
        <v>0.19243579999999999</v>
      </c>
      <c r="W7357">
        <v>-5.9882299999999998E-3</v>
      </c>
      <c r="X7357">
        <v>0.98129129999999998</v>
      </c>
      <c r="Y7357">
        <v>0.54854239999999999</v>
      </c>
      <c r="Z7357">
        <v>0.18417539999999999</v>
      </c>
      <c r="AA7357">
        <v>0.81558609999999998</v>
      </c>
      <c r="AB7357">
        <v>24</v>
      </c>
      <c r="AC7357">
        <v>0.60209999999997799</v>
      </c>
      <c r="AD7357">
        <v>0.13617799999999999</v>
      </c>
      <c r="AE7357">
        <v>0.19310000000001501</v>
      </c>
      <c r="AF7357">
        <v>0.392718965743862</v>
      </c>
      <c r="AG7357">
        <v>0.13617799999999999</v>
      </c>
      <c r="AH7357">
        <v>0.459265233839455</v>
      </c>
      <c r="AI7357">
        <v>77.300188168054007</v>
      </c>
      <c r="AJ7357">
        <v>49.466156599667798</v>
      </c>
      <c r="AK7357">
        <v>0.61943295743166404</v>
      </c>
      <c r="AL7357">
        <v>90.343102354351103</v>
      </c>
      <c r="AM7357">
        <v>78.904829661346398</v>
      </c>
      <c r="AN7357">
        <v>1.0000000057379299</v>
      </c>
    </row>
    <row r="7358" spans="1:40" x14ac:dyDescent="0.25">
      <c r="A7358" t="str">
        <f>"20190312161502137"</f>
        <v>20190312161502137</v>
      </c>
      <c r="B7358" t="str">
        <f>"1552378502134144"</f>
        <v>1552378502134144</v>
      </c>
      <c r="C7358" t="s">
        <v>40</v>
      </c>
      <c r="D7358">
        <v>4.7091519999999996</v>
      </c>
      <c r="E7358">
        <v>0.67244939999999997</v>
      </c>
      <c r="F7358" t="s">
        <v>43</v>
      </c>
      <c r="G7358">
        <v>-180.6071</v>
      </c>
      <c r="H7358">
        <v>1.2103889999999999</v>
      </c>
      <c r="I7358">
        <v>130.82939999999999</v>
      </c>
      <c r="J7358">
        <v>-181.0762</v>
      </c>
      <c r="K7358">
        <v>1.102203</v>
      </c>
      <c r="L7358">
        <v>130.69460000000001</v>
      </c>
      <c r="M7358">
        <v>0.53029510000000002</v>
      </c>
      <c r="N7358">
        <v>0</v>
      </c>
      <c r="O7358">
        <v>0.84768029999999905</v>
      </c>
      <c r="P7358">
        <v>0.68418970000000001</v>
      </c>
      <c r="Q7358">
        <v>-1.7590149999999999E-2</v>
      </c>
      <c r="R7358">
        <v>0.72909199999999996</v>
      </c>
      <c r="S7358">
        <v>3.0189360000000001</v>
      </c>
      <c r="T7358">
        <v>0.60765040000000003</v>
      </c>
      <c r="U7358">
        <v>1.3081969999999901</v>
      </c>
      <c r="V7358">
        <v>0.19326850000000001</v>
      </c>
      <c r="W7358">
        <v>-6.6553300000000001E-3</v>
      </c>
      <c r="X7358">
        <v>0.98112330000000003</v>
      </c>
      <c r="Y7358">
        <v>0.54938750000000003</v>
      </c>
      <c r="Z7358">
        <v>0.18363979999999999</v>
      </c>
      <c r="AA7358">
        <v>0.81513789999999997</v>
      </c>
      <c r="AB7358">
        <v>24</v>
      </c>
      <c r="AC7358">
        <v>0.46909999999999702</v>
      </c>
      <c r="AD7358">
        <v>0.10818599999999901</v>
      </c>
      <c r="AE7358">
        <v>0.13479999999998399</v>
      </c>
      <c r="AF7358">
        <v>0.310923866580819</v>
      </c>
      <c r="AG7358">
        <v>0.10818599999999901</v>
      </c>
      <c r="AH7358">
        <v>0.34606709279292203</v>
      </c>
      <c r="AI7358">
        <v>76.9088437260733</v>
      </c>
      <c r="AJ7358">
        <v>48.061901130093702</v>
      </c>
      <c r="AK7358">
        <v>0.477640339711495</v>
      </c>
      <c r="AL7358">
        <v>90.381325147477298</v>
      </c>
      <c r="AM7358">
        <v>78.856157776235406</v>
      </c>
      <c r="AN7358">
        <v>0.99999996815627301</v>
      </c>
    </row>
    <row r="7359" spans="1:40" x14ac:dyDescent="0.25">
      <c r="A7359" t="str">
        <f>"20190312161502149"</f>
        <v>20190312161502149</v>
      </c>
      <c r="B7359" t="str">
        <f>"1552378502143904"</f>
        <v>1552378502143904</v>
      </c>
      <c r="C7359" t="s">
        <v>40</v>
      </c>
      <c r="D7359">
        <v>5.2975339999999997</v>
      </c>
      <c r="E7359">
        <v>0.64863119999999996</v>
      </c>
      <c r="F7359" t="s">
        <v>42</v>
      </c>
      <c r="G7359">
        <v>-167.95269999999999</v>
      </c>
      <c r="H7359" s="1">
        <v>-1.7232470000000001E-6</v>
      </c>
      <c r="I7359">
        <v>136.03530000000001</v>
      </c>
      <c r="J7359">
        <v>-181.00129999999999</v>
      </c>
      <c r="K7359">
        <v>1.102155</v>
      </c>
      <c r="L7359">
        <v>130.80160000000001</v>
      </c>
      <c r="M7359">
        <v>0.53589249999999999</v>
      </c>
      <c r="N7359">
        <v>0</v>
      </c>
      <c r="O7359">
        <v>0.84415249999999997</v>
      </c>
      <c r="P7359">
        <v>0.68979919999999995</v>
      </c>
      <c r="Q7359">
        <v>-1.792705E-2</v>
      </c>
      <c r="R7359">
        <v>0.723778699999999</v>
      </c>
      <c r="S7359">
        <v>3.053833</v>
      </c>
      <c r="T7359">
        <v>-0.25648110000000002</v>
      </c>
      <c r="U7359">
        <v>1.242767</v>
      </c>
      <c r="V7359">
        <v>0.19434940000000001</v>
      </c>
      <c r="W7359">
        <v>-7.0221579999999997E-3</v>
      </c>
      <c r="X7359">
        <v>0.98090719999999998</v>
      </c>
      <c r="Y7359">
        <v>0.57670659999999996</v>
      </c>
      <c r="Z7359">
        <v>-7.8740270000000001E-2</v>
      </c>
      <c r="AA7359">
        <v>0.81314779999999998</v>
      </c>
      <c r="AB7359">
        <v>24</v>
      </c>
      <c r="AC7359">
        <v>13.048599999999899</v>
      </c>
      <c r="AD7359">
        <v>-1.102156723247</v>
      </c>
      <c r="AE7359">
        <v>5.23369999999999</v>
      </c>
      <c r="AF7359">
        <v>8.1610790133846507</v>
      </c>
      <c r="AG7359">
        <v>-1.102156723247</v>
      </c>
      <c r="AH7359">
        <v>11.3422697257457</v>
      </c>
      <c r="AI7359">
        <v>94.5099518378113</v>
      </c>
      <c r="AJ7359">
        <v>54.263932778803699</v>
      </c>
      <c r="AK7359">
        <v>14.0165988255666</v>
      </c>
      <c r="AL7359">
        <v>90.4023433362362</v>
      </c>
      <c r="AM7359">
        <v>78.792999871716404</v>
      </c>
      <c r="AN7359">
        <v>0.99999996749758702</v>
      </c>
    </row>
    <row r="7360" spans="1:40" x14ac:dyDescent="0.25">
      <c r="A7360" t="str">
        <f>"20190312161502163"</f>
        <v>20190312161502163</v>
      </c>
      <c r="B7360" t="str">
        <f>"1552378502153666"</f>
        <v>1552378502153666</v>
      </c>
      <c r="C7360" t="s">
        <v>40</v>
      </c>
      <c r="D7360">
        <v>5.5309780000000002</v>
      </c>
      <c r="E7360">
        <v>0.65024439999999994</v>
      </c>
      <c r="F7360" t="s">
        <v>43</v>
      </c>
      <c r="G7360">
        <v>-180.28649999999999</v>
      </c>
      <c r="H7360">
        <v>1.2203219999999999</v>
      </c>
      <c r="I7360">
        <v>131.1336</v>
      </c>
      <c r="J7360">
        <v>-180.9051</v>
      </c>
      <c r="K7360">
        <v>1.102098</v>
      </c>
      <c r="L7360">
        <v>130.9357</v>
      </c>
      <c r="M7360">
        <v>0.54300289999999996</v>
      </c>
      <c r="N7360">
        <v>0</v>
      </c>
      <c r="O7360">
        <v>0.83959599999999901</v>
      </c>
      <c r="P7360">
        <v>0.69674019999999903</v>
      </c>
      <c r="Q7360">
        <v>-1.8467500000000001E-2</v>
      </c>
      <c r="R7360">
        <v>0.7170858</v>
      </c>
      <c r="S7360">
        <v>2.931702</v>
      </c>
      <c r="T7360">
        <v>0.48471140000000001</v>
      </c>
      <c r="U7360">
        <v>1.3628229999999999</v>
      </c>
      <c r="V7360">
        <v>0.19551060000000001</v>
      </c>
      <c r="W7360">
        <v>-7.5946769999999898E-3</v>
      </c>
      <c r="X7360">
        <v>0.98067219999999999</v>
      </c>
      <c r="Y7360">
        <v>0.52117590000000003</v>
      </c>
      <c r="Z7360">
        <v>0.14758379999999999</v>
      </c>
      <c r="AA7360">
        <v>0.84059189999999995</v>
      </c>
      <c r="AB7360">
        <v>24</v>
      </c>
      <c r="AC7360">
        <v>0.61860000000001403</v>
      </c>
      <c r="AD7360">
        <v>0.118223999999999</v>
      </c>
      <c r="AE7360">
        <v>0.19790000000000399</v>
      </c>
      <c r="AF7360">
        <v>0.39874833501532803</v>
      </c>
      <c r="AG7360">
        <v>0.118223999999999</v>
      </c>
      <c r="AH7360">
        <v>0.48601101318607698</v>
      </c>
      <c r="AI7360">
        <v>79.349425346070703</v>
      </c>
      <c r="AJ7360">
        <v>50.632791725249703</v>
      </c>
      <c r="AK7360">
        <v>0.63967480315520697</v>
      </c>
      <c r="AL7360">
        <v>90.435147113884597</v>
      </c>
      <c r="AM7360">
        <v>78.725117824787702</v>
      </c>
      <c r="AN7360">
        <v>1.00000001884196</v>
      </c>
    </row>
    <row r="7361" spans="1:40" x14ac:dyDescent="0.25">
      <c r="A7361" t="str">
        <f>"20190312161502283"</f>
        <v>20190312161502283</v>
      </c>
      <c r="B7361" t="str">
        <f>"1552378502273713"</f>
        <v>1552378502273713</v>
      </c>
      <c r="C7361" t="s">
        <v>40</v>
      </c>
      <c r="D7361">
        <v>4.211875</v>
      </c>
      <c r="E7361">
        <v>0.65211869999999905</v>
      </c>
      <c r="F7361" t="s">
        <v>43</v>
      </c>
      <c r="G7361">
        <v>-179.4821</v>
      </c>
      <c r="H7361">
        <v>1.211967</v>
      </c>
      <c r="I7361">
        <v>132.12700000000001</v>
      </c>
      <c r="J7361">
        <v>-180.101</v>
      </c>
      <c r="K7361">
        <v>1.101777</v>
      </c>
      <c r="L7361">
        <v>131.96870000000001</v>
      </c>
      <c r="M7361">
        <v>0.5997422</v>
      </c>
      <c r="N7361">
        <v>0</v>
      </c>
      <c r="O7361">
        <v>0.80004909999999996</v>
      </c>
      <c r="P7361">
        <v>0.7507684</v>
      </c>
      <c r="Q7361">
        <v>-2.0882520000000002E-2</v>
      </c>
      <c r="R7361">
        <v>0.66023540000000003</v>
      </c>
      <c r="S7361">
        <v>3.0508419999999998</v>
      </c>
      <c r="T7361">
        <v>0.48270210000000002</v>
      </c>
      <c r="U7361">
        <v>1.102249</v>
      </c>
      <c r="V7361">
        <v>0.20453660000000001</v>
      </c>
      <c r="W7361">
        <v>-1.023724E-2</v>
      </c>
      <c r="X7361">
        <v>0.97880540000000005</v>
      </c>
      <c r="Y7361">
        <v>0.53705159999999996</v>
      </c>
      <c r="Z7361">
        <v>0.14399579999999901</v>
      </c>
      <c r="AA7361">
        <v>0.83116840000000003</v>
      </c>
      <c r="AB7361">
        <v>24</v>
      </c>
      <c r="AC7361">
        <v>0.61889999999999601</v>
      </c>
      <c r="AD7361">
        <v>0.11019</v>
      </c>
      <c r="AE7361">
        <v>0.158299999999996</v>
      </c>
      <c r="AF7361">
        <v>0.38869283383841702</v>
      </c>
      <c r="AG7361">
        <v>0.11019</v>
      </c>
      <c r="AH7361">
        <v>0.483500368647443</v>
      </c>
      <c r="AI7361">
        <v>79.928122008173005</v>
      </c>
      <c r="AJ7361">
        <v>51.203702785159699</v>
      </c>
      <c r="AK7361">
        <v>0.63007663157710603</v>
      </c>
      <c r="AL7361">
        <v>90.586560881889397</v>
      </c>
      <c r="AM7361">
        <v>78.1969993930838</v>
      </c>
      <c r="AN7361">
        <v>1.0000000164457601</v>
      </c>
    </row>
    <row r="7362" spans="1:40" x14ac:dyDescent="0.25">
      <c r="A7362" t="str">
        <f>"20190312161502295"</f>
        <v>20190312161502295</v>
      </c>
      <c r="B7362" t="str">
        <f>"1552378502284449"</f>
        <v>1552378502284449</v>
      </c>
      <c r="C7362" t="s">
        <v>40</v>
      </c>
      <c r="D7362">
        <v>4.0568589999999896</v>
      </c>
      <c r="E7362">
        <v>0.64959250000000002</v>
      </c>
      <c r="F7362" t="s">
        <v>43</v>
      </c>
      <c r="G7362">
        <v>-179.53720000000001</v>
      </c>
      <c r="H7362">
        <v>1.1929129999999999</v>
      </c>
      <c r="I7362">
        <v>132.16810000000001</v>
      </c>
      <c r="J7362">
        <v>-180.0258</v>
      </c>
      <c r="K7362">
        <v>1.10175499999999</v>
      </c>
      <c r="L7362">
        <v>132.05760000000001</v>
      </c>
      <c r="M7362">
        <v>0.60479189999999905</v>
      </c>
      <c r="N7362">
        <v>0</v>
      </c>
      <c r="O7362">
        <v>0.79623849999999996</v>
      </c>
      <c r="P7362">
        <v>0.75505319999999898</v>
      </c>
      <c r="Q7362">
        <v>-2.0591910000000001E-2</v>
      </c>
      <c r="R7362">
        <v>0.65534019999999904</v>
      </c>
      <c r="S7362">
        <v>3.057785</v>
      </c>
      <c r="T7362">
        <v>0.49432619999999999</v>
      </c>
      <c r="U7362">
        <v>1.0823670000000001</v>
      </c>
      <c r="V7362">
        <v>0.2047197</v>
      </c>
      <c r="W7362">
        <v>-9.9512579999999993E-3</v>
      </c>
      <c r="X7362">
        <v>0.97877009999999998</v>
      </c>
      <c r="Y7362">
        <v>0.53660629999999998</v>
      </c>
      <c r="Z7362">
        <v>0.147044799999999</v>
      </c>
      <c r="AA7362">
        <v>0.8309221</v>
      </c>
      <c r="AB7362">
        <v>24</v>
      </c>
      <c r="AC7362">
        <v>0.48859999999999099</v>
      </c>
      <c r="AD7362">
        <v>9.1158000000000003E-2</v>
      </c>
      <c r="AE7362">
        <v>0.110500000000001</v>
      </c>
      <c r="AF7362">
        <v>0.31192072418098199</v>
      </c>
      <c r="AG7362">
        <v>9.1158000000000003E-2</v>
      </c>
      <c r="AH7362">
        <v>0.371236631488498</v>
      </c>
      <c r="AI7362">
        <v>79.352665025319894</v>
      </c>
      <c r="AJ7362">
        <v>49.962325643135998</v>
      </c>
      <c r="AK7362">
        <v>0.49337709279669201</v>
      </c>
      <c r="AL7362">
        <v>90.570174468845806</v>
      </c>
      <c r="AM7362">
        <v>78.186316113539505</v>
      </c>
      <c r="AN7362">
        <v>1.00000004587894</v>
      </c>
    </row>
    <row r="7363" spans="1:40" x14ac:dyDescent="0.25">
      <c r="A7363" t="str">
        <f>"20190312161502305"</f>
        <v>20190312161502305</v>
      </c>
      <c r="B7363" t="str">
        <f>"1552378502294208"</f>
        <v>1552378502294208</v>
      </c>
      <c r="C7363" t="s">
        <v>40</v>
      </c>
      <c r="D7363">
        <v>5.2439749999999998</v>
      </c>
      <c r="E7363">
        <v>0.64959250000000002</v>
      </c>
      <c r="F7363" t="s">
        <v>43</v>
      </c>
      <c r="G7363">
        <v>-179.3535</v>
      </c>
      <c r="H7363">
        <v>1.218305</v>
      </c>
      <c r="I7363">
        <v>132.29509999999999</v>
      </c>
      <c r="J7363">
        <v>-179.946</v>
      </c>
      <c r="K7363">
        <v>1.1017319999999999</v>
      </c>
      <c r="L7363">
        <v>132.15119999999999</v>
      </c>
      <c r="M7363">
        <v>0.610116199999999</v>
      </c>
      <c r="N7363">
        <v>0</v>
      </c>
      <c r="O7363">
        <v>0.79216600000000004</v>
      </c>
      <c r="P7363">
        <v>0.75944669999999903</v>
      </c>
      <c r="Q7363">
        <v>-2.047144E-2</v>
      </c>
      <c r="R7363">
        <v>0.65024749999999998</v>
      </c>
      <c r="S7363">
        <v>3.051682</v>
      </c>
      <c r="T7363">
        <v>0.52903140000000004</v>
      </c>
      <c r="U7363">
        <v>1.0783689999999999</v>
      </c>
      <c r="V7363">
        <v>0.20474510000000001</v>
      </c>
      <c r="W7363">
        <v>-9.8317960000000003E-3</v>
      </c>
      <c r="X7363">
        <v>0.97876600000000002</v>
      </c>
      <c r="Y7363">
        <v>0.52968899999999997</v>
      </c>
      <c r="Z7363">
        <v>0.15668779999999999</v>
      </c>
      <c r="AA7363">
        <v>0.83359380000000005</v>
      </c>
      <c r="AB7363">
        <v>24</v>
      </c>
      <c r="AC7363">
        <v>0.59250000000000103</v>
      </c>
      <c r="AD7363">
        <v>0.116573</v>
      </c>
      <c r="AE7363">
        <v>0.143900000000002</v>
      </c>
      <c r="AF7363">
        <v>0.36814959500216099</v>
      </c>
      <c r="AG7363">
        <v>0.116573</v>
      </c>
      <c r="AH7363">
        <v>0.458771798139819</v>
      </c>
      <c r="AI7363">
        <v>78.790457425931706</v>
      </c>
      <c r="AJ7363">
        <v>51.254079341843799</v>
      </c>
      <c r="AK7363">
        <v>0.59966236449997301</v>
      </c>
      <c r="AL7363">
        <v>90.563329462719494</v>
      </c>
      <c r="AM7363">
        <v>78.184843461678696</v>
      </c>
      <c r="AN7363">
        <v>1.0000000514712899</v>
      </c>
    </row>
    <row r="7364" spans="1:40" x14ac:dyDescent="0.25">
      <c r="A7364" t="str">
        <f>"20190312161502318"</f>
        <v>20190312161502318</v>
      </c>
      <c r="B7364" t="str">
        <f>"1552378502313728"</f>
        <v>1552378502313728</v>
      </c>
      <c r="C7364" t="s">
        <v>40</v>
      </c>
      <c r="D7364">
        <v>5.3431989999999896</v>
      </c>
      <c r="E7364">
        <v>0.64949330000000005</v>
      </c>
      <c r="F7364" t="s">
        <v>43</v>
      </c>
      <c r="G7364">
        <v>-179.4084</v>
      </c>
      <c r="H7364">
        <v>1.194752</v>
      </c>
      <c r="I7364">
        <v>132.33699999999999</v>
      </c>
      <c r="J7364">
        <v>-179.8604</v>
      </c>
      <c r="K7364">
        <v>1.1017079999999999</v>
      </c>
      <c r="L7364">
        <v>132.24930000000001</v>
      </c>
      <c r="M7364">
        <v>0.61575780000000002</v>
      </c>
      <c r="N7364">
        <v>0</v>
      </c>
      <c r="O7364">
        <v>0.7877885</v>
      </c>
      <c r="P7364">
        <v>0.76411099999999998</v>
      </c>
      <c r="Q7364">
        <v>-2.020893E-2</v>
      </c>
      <c r="R7364">
        <v>0.64476820000000001</v>
      </c>
      <c r="S7364">
        <v>3.0588380000000002</v>
      </c>
      <c r="T7364">
        <v>0.52925109999999997</v>
      </c>
      <c r="U7364">
        <v>1.057785</v>
      </c>
      <c r="V7364">
        <v>0.20480590000000001</v>
      </c>
      <c r="W7364">
        <v>-9.5707580000000004E-3</v>
      </c>
      <c r="X7364">
        <v>0.97875579999999995</v>
      </c>
      <c r="Y7364">
        <v>0.52931450000000002</v>
      </c>
      <c r="Z7364">
        <v>0.1562916</v>
      </c>
      <c r="AA7364">
        <v>0.83390589999999998</v>
      </c>
      <c r="AB7364">
        <v>24</v>
      </c>
      <c r="AC7364">
        <v>0.45199999999999801</v>
      </c>
      <c r="AD7364">
        <v>9.3044000000000099E-2</v>
      </c>
      <c r="AE7364">
        <v>8.7700000000012296E-2</v>
      </c>
      <c r="AF7364">
        <v>0.290260166912853</v>
      </c>
      <c r="AG7364">
        <v>9.3044000000000099E-2</v>
      </c>
      <c r="AH7364">
        <v>0.333819723647163</v>
      </c>
      <c r="AI7364">
        <v>78.121936698195398</v>
      </c>
      <c r="AJ7364">
        <v>48.992658073041099</v>
      </c>
      <c r="AK7364">
        <v>0.45204397831200599</v>
      </c>
      <c r="AL7364">
        <v>90.548372419768398</v>
      </c>
      <c r="AM7364">
        <v>78.181313860069494</v>
      </c>
      <c r="AN7364">
        <v>0.99999998605857199</v>
      </c>
    </row>
    <row r="7365" spans="1:40" x14ac:dyDescent="0.25">
      <c r="A7365" t="str">
        <f>"20190312161502329"</f>
        <v>20190312161502329</v>
      </c>
      <c r="B7365" t="str">
        <f>"1552378502324464"</f>
        <v>1552378502324464</v>
      </c>
      <c r="C7365" t="s">
        <v>40</v>
      </c>
      <c r="D7365">
        <v>3.4350130000000001</v>
      </c>
      <c r="E7365">
        <v>0.6486248</v>
      </c>
      <c r="F7365" t="s">
        <v>43</v>
      </c>
      <c r="G7365">
        <v>-179.2259</v>
      </c>
      <c r="H7365">
        <v>1.210369</v>
      </c>
      <c r="I7365">
        <v>132.46369999999999</v>
      </c>
      <c r="J7365">
        <v>-179.78739999999999</v>
      </c>
      <c r="K7365">
        <v>1.1016919999999999</v>
      </c>
      <c r="L7365">
        <v>132.33269999999999</v>
      </c>
      <c r="M7365">
        <v>0.62054379999999998</v>
      </c>
      <c r="N7365">
        <v>0</v>
      </c>
      <c r="O7365">
        <v>0.78402380000000005</v>
      </c>
      <c r="P7365">
        <v>0.76794419999999897</v>
      </c>
      <c r="Q7365">
        <v>-2.008443E-2</v>
      </c>
      <c r="R7365">
        <v>0.64020189999999999</v>
      </c>
      <c r="S7365">
        <v>3.0657649999999999</v>
      </c>
      <c r="T7365">
        <v>0.524953</v>
      </c>
      <c r="U7365">
        <v>1.0360720000000001</v>
      </c>
      <c r="V7365">
        <v>0.20468459999999999</v>
      </c>
      <c r="W7365">
        <v>-9.4435969999999998E-3</v>
      </c>
      <c r="X7365">
        <v>0.97878240000000005</v>
      </c>
      <c r="Y7365">
        <v>0.53029890000000002</v>
      </c>
      <c r="Z7365">
        <v>0.1547531</v>
      </c>
      <c r="AA7365">
        <v>0.83356739999999996</v>
      </c>
      <c r="AB7365">
        <v>24</v>
      </c>
      <c r="AC7365">
        <v>0.561499999999995</v>
      </c>
      <c r="AD7365">
        <v>0.108676999999999</v>
      </c>
      <c r="AE7365">
        <v>0.13100000000000001</v>
      </c>
      <c r="AF7365">
        <v>0.34666387746898097</v>
      </c>
      <c r="AG7365">
        <v>0.108676999999999</v>
      </c>
      <c r="AH7365">
        <v>0.43571519353745802</v>
      </c>
      <c r="AI7365">
        <v>78.955732644282307</v>
      </c>
      <c r="AJ7365">
        <v>51.4935281822451</v>
      </c>
      <c r="AK7365">
        <v>0.56730438403930294</v>
      </c>
      <c r="AL7365">
        <v>90.541086306775796</v>
      </c>
      <c r="AM7365">
        <v>78.188428972885802</v>
      </c>
      <c r="AN7365">
        <v>0.99999997677560903</v>
      </c>
    </row>
    <row r="7366" spans="1:40" x14ac:dyDescent="0.25">
      <c r="A7366" t="str">
        <f>"20190312161502340"</f>
        <v>20190312161502340</v>
      </c>
      <c r="B7366" t="str">
        <f>"1552378502334225"</f>
        <v>1552378502334225</v>
      </c>
      <c r="C7366" t="s">
        <v>40</v>
      </c>
      <c r="D7366">
        <v>5.5609339999999996</v>
      </c>
      <c r="E7366">
        <v>0.64798889999999998</v>
      </c>
      <c r="F7366" t="s">
        <v>43</v>
      </c>
      <c r="G7366">
        <v>-179.0369</v>
      </c>
      <c r="H7366">
        <v>1.2292700000000001</v>
      </c>
      <c r="I7366">
        <v>132.583</v>
      </c>
      <c r="J7366">
        <v>-179.70519999999999</v>
      </c>
      <c r="K7366">
        <v>1.1016709999999901</v>
      </c>
      <c r="L7366">
        <v>132.42429999999999</v>
      </c>
      <c r="M7366">
        <v>0.62587060000000005</v>
      </c>
      <c r="N7366">
        <v>0</v>
      </c>
      <c r="O7366">
        <v>0.77977799999999997</v>
      </c>
      <c r="P7366">
        <v>0.77205230000000002</v>
      </c>
      <c r="Q7366">
        <v>-2.0284569999999998E-2</v>
      </c>
      <c r="R7366">
        <v>0.63523509999999905</v>
      </c>
      <c r="S7366">
        <v>3.0671840000000001</v>
      </c>
      <c r="T7366">
        <v>0.52139659999999999</v>
      </c>
      <c r="U7366">
        <v>1.023193</v>
      </c>
      <c r="V7366">
        <v>0.20432149999999999</v>
      </c>
      <c r="W7366">
        <v>-9.6350680000000001E-3</v>
      </c>
      <c r="X7366">
        <v>0.97885639999999996</v>
      </c>
      <c r="Y7366">
        <v>0.52804090000000004</v>
      </c>
      <c r="Z7366">
        <v>0.15327879999999899</v>
      </c>
      <c r="AA7366">
        <v>0.83527149999999994</v>
      </c>
      <c r="AB7366">
        <v>24</v>
      </c>
      <c r="AC7366">
        <v>0.66829999999998702</v>
      </c>
      <c r="AD7366">
        <v>0.12759899999999999</v>
      </c>
      <c r="AE7366">
        <v>0.15870000000001</v>
      </c>
      <c r="AF7366">
        <v>0.407777162313471</v>
      </c>
      <c r="AG7366">
        <v>0.12759899999999999</v>
      </c>
      <c r="AH7366">
        <v>0.52400054174325705</v>
      </c>
      <c r="AI7366">
        <v>79.121789221907704</v>
      </c>
      <c r="AJ7366">
        <v>52.109950271882802</v>
      </c>
      <c r="AK7366">
        <v>0.67612150287700101</v>
      </c>
      <c r="AL7366">
        <v>90.552057284176698</v>
      </c>
      <c r="AM7366">
        <v>78.209661430831304</v>
      </c>
      <c r="AN7366">
        <v>0.99999998085928699</v>
      </c>
    </row>
    <row r="7367" spans="1:40" x14ac:dyDescent="0.25">
      <c r="A7367" t="str">
        <f>"20190312161502350"</f>
        <v>20190312161502350</v>
      </c>
      <c r="B7367" t="str">
        <f>"1552378502343984"</f>
        <v>1552378502343984</v>
      </c>
      <c r="C7367" t="s">
        <v>40</v>
      </c>
      <c r="D7367">
        <v>5.373075</v>
      </c>
      <c r="E7367">
        <v>0.64723169999999897</v>
      </c>
      <c r="F7367" t="s">
        <v>43</v>
      </c>
      <c r="G7367">
        <v>-179.09049999999999</v>
      </c>
      <c r="H7367">
        <v>1.2053670000000001</v>
      </c>
      <c r="I7367">
        <v>132.6259</v>
      </c>
      <c r="J7367">
        <v>-179.6317</v>
      </c>
      <c r="K7367">
        <v>1.1016509999999999</v>
      </c>
      <c r="L7367">
        <v>132.5059</v>
      </c>
      <c r="M7367">
        <v>0.63060059999999996</v>
      </c>
      <c r="N7367">
        <v>0</v>
      </c>
      <c r="O7367">
        <v>0.77595760000000003</v>
      </c>
      <c r="P7367">
        <v>0.77576020000000001</v>
      </c>
      <c r="Q7367">
        <v>-1.9951159999999999E-2</v>
      </c>
      <c r="R7367">
        <v>0.63071239999999995</v>
      </c>
      <c r="S7367">
        <v>3.070557</v>
      </c>
      <c r="T7367">
        <v>0.51794949999999995</v>
      </c>
      <c r="U7367">
        <v>1.007309</v>
      </c>
      <c r="V7367">
        <v>0.20410329999999999</v>
      </c>
      <c r="W7367">
        <v>-9.2962159999999995E-3</v>
      </c>
      <c r="X7367">
        <v>0.97890520000000003</v>
      </c>
      <c r="Y7367">
        <v>0.52728430000000004</v>
      </c>
      <c r="Z7367">
        <v>0.15193110000000001</v>
      </c>
      <c r="AA7367">
        <v>0.8359953</v>
      </c>
      <c r="AB7367">
        <v>24</v>
      </c>
      <c r="AC7367">
        <v>0.54120000000000301</v>
      </c>
      <c r="AD7367">
        <v>0.103716</v>
      </c>
      <c r="AE7367">
        <v>0.12000000000000401</v>
      </c>
      <c r="AF7367">
        <v>0.33267102614441701</v>
      </c>
      <c r="AG7367">
        <v>0.103716</v>
      </c>
      <c r="AH7367">
        <v>0.41975296753004199</v>
      </c>
      <c r="AI7367">
        <v>79.040539464391301</v>
      </c>
      <c r="AJ7367">
        <v>51.601766964324497</v>
      </c>
      <c r="AK7367">
        <v>0.54554520806460804</v>
      </c>
      <c r="AL7367">
        <v>90.532641622923506</v>
      </c>
      <c r="AM7367">
        <v>78.2224714724791</v>
      </c>
      <c r="AN7367">
        <v>0.99999998364492404</v>
      </c>
    </row>
    <row r="7368" spans="1:40" x14ac:dyDescent="0.25">
      <c r="A7368" t="str">
        <f>"20190312161502362"</f>
        <v>20190312161502362</v>
      </c>
      <c r="B7368" t="str">
        <f>"1552378502354720"</f>
        <v>1552378502354720</v>
      </c>
      <c r="C7368" t="s">
        <v>40</v>
      </c>
      <c r="D7368">
        <v>5.4598269999999998</v>
      </c>
      <c r="E7368">
        <v>0.64629150000000002</v>
      </c>
      <c r="F7368" t="s">
        <v>43</v>
      </c>
      <c r="G7368">
        <v>-178.8998</v>
      </c>
      <c r="H7368">
        <v>1.224113</v>
      </c>
      <c r="I7368">
        <v>132.74260000000001</v>
      </c>
      <c r="J7368">
        <v>-179.5428</v>
      </c>
      <c r="K7368">
        <v>1.1016330000000001</v>
      </c>
      <c r="L7368">
        <v>132.6026</v>
      </c>
      <c r="M7368">
        <v>0.63626470000000002</v>
      </c>
      <c r="N7368">
        <v>0</v>
      </c>
      <c r="O7368">
        <v>0.7713198</v>
      </c>
      <c r="P7368">
        <v>0.78014479999999997</v>
      </c>
      <c r="Q7368">
        <v>-2.0012930000000002E-2</v>
      </c>
      <c r="R7368">
        <v>0.62527880000000002</v>
      </c>
      <c r="S7368">
        <v>3.0724490000000002</v>
      </c>
      <c r="T7368">
        <v>0.51407899999999995</v>
      </c>
      <c r="U7368">
        <v>0.99375919999999895</v>
      </c>
      <c r="V7368">
        <v>0.2037708</v>
      </c>
      <c r="W7368">
        <v>-9.3490499999999994E-3</v>
      </c>
      <c r="X7368">
        <v>0.97897400000000001</v>
      </c>
      <c r="Y7368">
        <v>0.52482799999999996</v>
      </c>
      <c r="Z7368">
        <v>0.1502965</v>
      </c>
      <c r="AA7368">
        <v>0.83783449999999904</v>
      </c>
      <c r="AB7368">
        <v>24</v>
      </c>
      <c r="AC7368">
        <v>0.64300000000000002</v>
      </c>
      <c r="AD7368">
        <v>0.12247999999999901</v>
      </c>
      <c r="AE7368">
        <v>0.140000000000014</v>
      </c>
      <c r="AF7368">
        <v>0.39330443322711001</v>
      </c>
      <c r="AG7368">
        <v>0.12247999999999901</v>
      </c>
      <c r="AH7368">
        <v>0.49984788067196001</v>
      </c>
      <c r="AI7368">
        <v>79.100034200848199</v>
      </c>
      <c r="AJ7368">
        <v>51.802623749518297</v>
      </c>
      <c r="AK7368">
        <v>0.64771724649599105</v>
      </c>
      <c r="AL7368">
        <v>90.535668901248698</v>
      </c>
      <c r="AM7368">
        <v>78.241926701529394</v>
      </c>
      <c r="AN7368">
        <v>1.0000000181722699</v>
      </c>
    </row>
    <row r="7369" spans="1:40" x14ac:dyDescent="0.25">
      <c r="A7369" t="str">
        <f>"20190312161502377"</f>
        <v>20190312161502377</v>
      </c>
      <c r="B7369" t="str">
        <f>"1552378502374240"</f>
        <v>1552378502374240</v>
      </c>
      <c r="C7369" t="s">
        <v>40</v>
      </c>
      <c r="D7369">
        <v>5.0626670000000003</v>
      </c>
      <c r="E7369">
        <v>0.6447235</v>
      </c>
      <c r="F7369" t="s">
        <v>43</v>
      </c>
      <c r="G7369">
        <v>-178.9564</v>
      </c>
      <c r="H7369">
        <v>1.198491</v>
      </c>
      <c r="I7369">
        <v>132.78909999999999</v>
      </c>
      <c r="J7369">
        <v>-179.43960000000001</v>
      </c>
      <c r="K7369">
        <v>1.101612</v>
      </c>
      <c r="L7369">
        <v>132.7132</v>
      </c>
      <c r="M7369">
        <v>0.64276409999999995</v>
      </c>
      <c r="N7369">
        <v>0</v>
      </c>
      <c r="O7369">
        <v>0.76591189999999998</v>
      </c>
      <c r="P7369">
        <v>0.78513820000000001</v>
      </c>
      <c r="Q7369">
        <v>-1.9977499999999999E-2</v>
      </c>
      <c r="R7369">
        <v>0.6189983</v>
      </c>
      <c r="S7369">
        <v>3.0746310000000001</v>
      </c>
      <c r="T7369">
        <v>0.50789790000000001</v>
      </c>
      <c r="U7369">
        <v>0.97796629999999996</v>
      </c>
      <c r="V7369">
        <v>0.2033499</v>
      </c>
      <c r="W7369">
        <v>-9.3018790000000007E-3</v>
      </c>
      <c r="X7369">
        <v>0.97906199999999999</v>
      </c>
      <c r="Y7369">
        <v>0.52211209999999997</v>
      </c>
      <c r="Z7369">
        <v>0.14791989999999999</v>
      </c>
      <c r="AA7369">
        <v>0.83995159999999902</v>
      </c>
      <c r="AB7369">
        <v>24</v>
      </c>
      <c r="AC7369">
        <v>0.48320000000001001</v>
      </c>
      <c r="AD7369">
        <v>9.6878999999999896E-2</v>
      </c>
      <c r="AE7369">
        <v>7.5899999999990003E-2</v>
      </c>
      <c r="AF7369">
        <v>0.30920996397353501</v>
      </c>
      <c r="AG7369">
        <v>9.6878999999999896E-2</v>
      </c>
      <c r="AH7369">
        <v>0.35483895440879198</v>
      </c>
      <c r="AI7369">
        <v>78.368903794435795</v>
      </c>
      <c r="AJ7369">
        <v>48.930803222867702</v>
      </c>
      <c r="AK7369">
        <v>0.480527861863846</v>
      </c>
      <c r="AL7369">
        <v>90.532966065825704</v>
      </c>
      <c r="AM7369">
        <v>78.2665649963146</v>
      </c>
      <c r="AN7369">
        <v>1.0000000533134601</v>
      </c>
    </row>
    <row r="7370" spans="1:40" x14ac:dyDescent="0.25">
      <c r="A7370" t="str">
        <f>"20190312161502389"</f>
        <v>20190312161502389</v>
      </c>
      <c r="B7370" t="str">
        <f>"1552378502384000"</f>
        <v>1552378502384000</v>
      </c>
      <c r="C7370" t="s">
        <v>40</v>
      </c>
      <c r="D7370">
        <v>5.5401410000000002</v>
      </c>
      <c r="E7370">
        <v>0.64421980000000001</v>
      </c>
      <c r="F7370" t="s">
        <v>43</v>
      </c>
      <c r="G7370">
        <v>-178.78290000000001</v>
      </c>
      <c r="H7370">
        <v>1.2083159999999999</v>
      </c>
      <c r="I7370">
        <v>132.9188</v>
      </c>
      <c r="J7370">
        <v>-179.3434</v>
      </c>
      <c r="K7370">
        <v>1.1015919999999999</v>
      </c>
      <c r="L7370">
        <v>132.81489999999999</v>
      </c>
      <c r="M7370">
        <v>0.64875959999999999</v>
      </c>
      <c r="N7370">
        <v>0</v>
      </c>
      <c r="O7370">
        <v>0.76083979999999996</v>
      </c>
      <c r="P7370">
        <v>0.78980709999999998</v>
      </c>
      <c r="Q7370">
        <v>-1.9852390000000001E-2</v>
      </c>
      <c r="R7370">
        <v>0.61303390000000002</v>
      </c>
      <c r="S7370">
        <v>3.0746000000000002</v>
      </c>
      <c r="T7370">
        <v>0.49954029999999999</v>
      </c>
      <c r="U7370">
        <v>0.96282959999999995</v>
      </c>
      <c r="V7370">
        <v>0.20308080000000001</v>
      </c>
      <c r="W7370">
        <v>-9.1684479999999992E-3</v>
      </c>
      <c r="X7370">
        <v>0.97911910000000002</v>
      </c>
      <c r="Y7370">
        <v>0.51965870000000003</v>
      </c>
      <c r="Z7370">
        <v>0.1450581</v>
      </c>
      <c r="AA7370">
        <v>0.84196970000000004</v>
      </c>
      <c r="AB7370">
        <v>24</v>
      </c>
      <c r="AC7370">
        <v>0.56049999999999001</v>
      </c>
      <c r="AD7370">
        <v>0.106724</v>
      </c>
      <c r="AE7370">
        <v>0.10390000000001</v>
      </c>
      <c r="AF7370">
        <v>0.34692644452457899</v>
      </c>
      <c r="AG7370">
        <v>0.106724</v>
      </c>
      <c r="AH7370">
        <v>0.42774005076545202</v>
      </c>
      <c r="AI7370">
        <v>79.033073448305203</v>
      </c>
      <c r="AJ7370">
        <v>50.955583045365799</v>
      </c>
      <c r="AK7370">
        <v>0.56098976917168297</v>
      </c>
      <c r="AL7370">
        <v>90.5253207130433</v>
      </c>
      <c r="AM7370">
        <v>78.282327082723498</v>
      </c>
      <c r="AN7370">
        <v>1.0000000418760799</v>
      </c>
    </row>
    <row r="7371" spans="1:40" x14ac:dyDescent="0.25">
      <c r="A7371" t="str">
        <f>"20190312161502402"</f>
        <v>20190312161502402</v>
      </c>
      <c r="B7371" t="str">
        <f>"1552378502393761"</f>
        <v>1552378502393761</v>
      </c>
      <c r="C7371" t="s">
        <v>40</v>
      </c>
      <c r="D7371">
        <v>5.2570610000000002</v>
      </c>
      <c r="E7371">
        <v>0.6435573</v>
      </c>
      <c r="F7371" t="s">
        <v>43</v>
      </c>
      <c r="G7371">
        <v>-178.60310000000001</v>
      </c>
      <c r="H7371">
        <v>1.221061</v>
      </c>
      <c r="I7371">
        <v>133.04150000000001</v>
      </c>
      <c r="J7371">
        <v>-179.24940000000001</v>
      </c>
      <c r="K7371">
        <v>1.1015779999999999</v>
      </c>
      <c r="L7371">
        <v>132.91220000000001</v>
      </c>
      <c r="M7371">
        <v>0.6545455</v>
      </c>
      <c r="N7371">
        <v>0</v>
      </c>
      <c r="O7371">
        <v>0.75586779999999998</v>
      </c>
      <c r="P7371">
        <v>0.79438869999999995</v>
      </c>
      <c r="Q7371">
        <v>-1.961777E-2</v>
      </c>
      <c r="R7371">
        <v>0.60709299999999999</v>
      </c>
      <c r="S7371">
        <v>3.0792389999999998</v>
      </c>
      <c r="T7371">
        <v>0.49687520000000002</v>
      </c>
      <c r="U7371">
        <v>0.94261170000000005</v>
      </c>
      <c r="V7371">
        <v>0.20296320000000001</v>
      </c>
      <c r="W7371">
        <v>-8.9284680000000002E-3</v>
      </c>
      <c r="X7371">
        <v>0.97914559999999995</v>
      </c>
      <c r="Y7371">
        <v>0.51875530000000003</v>
      </c>
      <c r="Z7371">
        <v>0.1438015</v>
      </c>
      <c r="AA7371">
        <v>0.84274199999999999</v>
      </c>
      <c r="AB7371">
        <v>23</v>
      </c>
      <c r="AC7371">
        <v>0.64629999999999599</v>
      </c>
      <c r="AD7371">
        <v>0.11948299999999901</v>
      </c>
      <c r="AE7371">
        <v>0.1293</v>
      </c>
      <c r="AF7371">
        <v>0.39108004290587001</v>
      </c>
      <c r="AG7371">
        <v>0.11948299999999901</v>
      </c>
      <c r="AH7371">
        <v>0.50425630901168905</v>
      </c>
      <c r="AI7371">
        <v>79.394879820476504</v>
      </c>
      <c r="AJ7371">
        <v>52.204344974138003</v>
      </c>
      <c r="AK7371">
        <v>0.64922585625215901</v>
      </c>
      <c r="AL7371">
        <v>90.5115703605736</v>
      </c>
      <c r="AM7371">
        <v>78.289233282228096</v>
      </c>
      <c r="AN7371">
        <v>0.99999994204721099</v>
      </c>
    </row>
    <row r="7372" spans="1:40" x14ac:dyDescent="0.25">
      <c r="A7372" t="str">
        <f>"20190312161502416"</f>
        <v>20190312161502416</v>
      </c>
      <c r="B7372" t="str">
        <f>"1552378502404497"</f>
        <v>1552378502404497</v>
      </c>
      <c r="C7372" t="s">
        <v>40</v>
      </c>
      <c r="D7372">
        <v>5.546862</v>
      </c>
      <c r="E7372">
        <v>0.6435573</v>
      </c>
      <c r="F7372" t="s">
        <v>43</v>
      </c>
      <c r="G7372">
        <v>-178.6583</v>
      </c>
      <c r="H7372">
        <v>1.1961299999999999</v>
      </c>
      <c r="I7372">
        <v>133.0891</v>
      </c>
      <c r="J7372">
        <v>-179.1455</v>
      </c>
      <c r="K7372">
        <v>1.1015619999999999</v>
      </c>
      <c r="L7372">
        <v>133.01820000000001</v>
      </c>
      <c r="M7372">
        <v>0.66086919999999905</v>
      </c>
      <c r="N7372">
        <v>0</v>
      </c>
      <c r="O7372">
        <v>0.75034499999999904</v>
      </c>
      <c r="P7372">
        <v>0.79901</v>
      </c>
      <c r="Q7372">
        <v>-1.988796E-2</v>
      </c>
      <c r="R7372">
        <v>0.60098879999999999</v>
      </c>
      <c r="S7372">
        <v>3.0829010000000001</v>
      </c>
      <c r="T7372">
        <v>0.49311339999999998</v>
      </c>
      <c r="U7372">
        <v>0.92349239999999999</v>
      </c>
      <c r="V7372">
        <v>0.20223289999999999</v>
      </c>
      <c r="W7372">
        <v>-9.1779070000000008E-3</v>
      </c>
      <c r="X7372">
        <v>0.97929440000000001</v>
      </c>
      <c r="Y7372">
        <v>0.51691790000000004</v>
      </c>
      <c r="Z7372">
        <v>0.1421375</v>
      </c>
      <c r="AA7372">
        <v>0.84415219999999902</v>
      </c>
      <c r="AB7372">
        <v>23</v>
      </c>
      <c r="AC7372">
        <v>0.48720000000000102</v>
      </c>
      <c r="AD7372">
        <v>9.4567999999999694E-2</v>
      </c>
      <c r="AE7372">
        <v>7.0899999999994606E-2</v>
      </c>
      <c r="AF7372">
        <v>0.30740785432774498</v>
      </c>
      <c r="AG7372">
        <v>9.4567999999999694E-2</v>
      </c>
      <c r="AH7372">
        <v>0.36186762987248999</v>
      </c>
      <c r="AI7372">
        <v>78.735869277019205</v>
      </c>
      <c r="AJ7372">
        <v>49.651979298309698</v>
      </c>
      <c r="AK7372">
        <v>0.48413931577173303</v>
      </c>
      <c r="AL7372">
        <v>90.525862744473798</v>
      </c>
      <c r="AM7372">
        <v>78.331937671843804</v>
      </c>
      <c r="AN7372">
        <v>0.999999950845334</v>
      </c>
    </row>
    <row r="7373" spans="1:40" x14ac:dyDescent="0.25">
      <c r="A7373" t="str">
        <f>"20190312161502438"</f>
        <v>20190312161502438</v>
      </c>
      <c r="B7373" t="str">
        <f>"1552378502433780"</f>
        <v>1552378502433780</v>
      </c>
      <c r="C7373" t="s">
        <v>40</v>
      </c>
      <c r="D7373">
        <v>5.4414249999999997</v>
      </c>
      <c r="E7373">
        <v>0.65474270000000001</v>
      </c>
      <c r="F7373" t="s">
        <v>43</v>
      </c>
      <c r="G7373">
        <v>-178.47970000000001</v>
      </c>
      <c r="H7373">
        <v>1.2076519999999999</v>
      </c>
      <c r="I7373">
        <v>133.21209999999999</v>
      </c>
      <c r="J7373">
        <v>-178.97380000000001</v>
      </c>
      <c r="K7373">
        <v>1.10154</v>
      </c>
      <c r="L7373">
        <v>133.18960000000001</v>
      </c>
      <c r="M7373">
        <v>0.67115029999999998</v>
      </c>
      <c r="N7373">
        <v>0</v>
      </c>
      <c r="O7373">
        <v>0.74116280000000001</v>
      </c>
      <c r="P7373">
        <v>0.80708630000000003</v>
      </c>
      <c r="Q7373">
        <v>-2.0756750000000001E-2</v>
      </c>
      <c r="R7373">
        <v>0.5900685</v>
      </c>
      <c r="S7373">
        <v>3.0899960000000002</v>
      </c>
      <c r="T7373">
        <v>0.492371</v>
      </c>
      <c r="U7373">
        <v>0.89994810000000003</v>
      </c>
      <c r="V7373">
        <v>0.202014</v>
      </c>
      <c r="W7373">
        <v>-1.0035479999999999E-2</v>
      </c>
      <c r="X7373">
        <v>0.97933119999999996</v>
      </c>
      <c r="Y7373">
        <v>0.51178219999999996</v>
      </c>
      <c r="Z7373">
        <v>0.14064209999999999</v>
      </c>
      <c r="AA7373">
        <v>0.84752510000000003</v>
      </c>
      <c r="AB7373">
        <v>23</v>
      </c>
      <c r="AC7373">
        <v>0.49410000000000298</v>
      </c>
      <c r="AD7373">
        <v>0.106111999999999</v>
      </c>
      <c r="AE7373">
        <v>2.2499999999979502E-2</v>
      </c>
      <c r="AF7373">
        <v>0.33569819858050798</v>
      </c>
      <c r="AG7373">
        <v>0.106111999999999</v>
      </c>
      <c r="AH7373">
        <v>0.33300566183084701</v>
      </c>
      <c r="AI7373">
        <v>77.351797841868503</v>
      </c>
      <c r="AJ7373">
        <v>44.769299734361098</v>
      </c>
      <c r="AK7373">
        <v>0.484608922622767</v>
      </c>
      <c r="AL7373">
        <v>90.575000310800903</v>
      </c>
      <c r="AM7373">
        <v>78.344647608623305</v>
      </c>
      <c r="AN7373">
        <v>0.99999998317413497</v>
      </c>
    </row>
    <row r="7374" spans="1:40" x14ac:dyDescent="0.25">
      <c r="A7374" t="str">
        <f>"20190312161502450"</f>
        <v>20190312161502450</v>
      </c>
      <c r="B7374" t="str">
        <f>"1552378502444512"</f>
        <v>1552378502444512</v>
      </c>
      <c r="C7374" t="s">
        <v>40</v>
      </c>
      <c r="D7374">
        <v>5.4648339999999997</v>
      </c>
      <c r="E7374">
        <v>0.65169429999999995</v>
      </c>
      <c r="F7374" t="s">
        <v>42</v>
      </c>
      <c r="G7374">
        <v>-153.46870000000001</v>
      </c>
      <c r="H7374" s="1">
        <v>-2.8147279999999998E-6</v>
      </c>
      <c r="I7374">
        <v>139.4442</v>
      </c>
      <c r="J7374">
        <v>-178.88730000000001</v>
      </c>
      <c r="K7374">
        <v>1.101531</v>
      </c>
      <c r="L7374">
        <v>133.27430000000001</v>
      </c>
      <c r="M7374">
        <v>0.67624700000000004</v>
      </c>
      <c r="N7374">
        <v>0</v>
      </c>
      <c r="O7374">
        <v>0.73651529999999998</v>
      </c>
      <c r="P7374">
        <v>0.81105760000000005</v>
      </c>
      <c r="Q7374">
        <v>-2.095137E-2</v>
      </c>
      <c r="R7374">
        <v>0.58459099999999997</v>
      </c>
      <c r="S7374">
        <v>3.148987</v>
      </c>
      <c r="T7374">
        <v>-0.13600209999999999</v>
      </c>
      <c r="U7374">
        <v>0.77223209999999998</v>
      </c>
      <c r="V7374">
        <v>0.20188059999999999</v>
      </c>
      <c r="W7374">
        <v>-1.022348E-2</v>
      </c>
      <c r="X7374">
        <v>0.97935680000000003</v>
      </c>
      <c r="Y7374">
        <v>0.55335559999999995</v>
      </c>
      <c r="Z7374">
        <v>-3.944139E-2</v>
      </c>
      <c r="AA7374">
        <v>0.83201069999999999</v>
      </c>
      <c r="AB7374">
        <v>23</v>
      </c>
      <c r="AC7374">
        <v>25.418600000000001</v>
      </c>
      <c r="AD7374">
        <v>-1.101533814728</v>
      </c>
      <c r="AE7374">
        <v>6.1698999999999797</v>
      </c>
      <c r="AF7374">
        <v>14.524763153444299</v>
      </c>
      <c r="AG7374">
        <v>-1.101533814728</v>
      </c>
      <c r="AH7374">
        <v>21.697553648621799</v>
      </c>
      <c r="AI7374">
        <v>92.415736819653205</v>
      </c>
      <c r="AJ7374">
        <v>56.200880734182199</v>
      </c>
      <c r="AK7374">
        <v>26.133617348990601</v>
      </c>
      <c r="AL7374">
        <v>90.585772449247699</v>
      </c>
      <c r="AM7374">
        <v>78.352429995728698</v>
      </c>
      <c r="AN7374">
        <v>1.0000000189529501</v>
      </c>
    </row>
    <row r="7375" spans="1:40" x14ac:dyDescent="0.25">
      <c r="A7375" t="str">
        <f>"20190312161502461"</f>
        <v>20190312161502461</v>
      </c>
      <c r="B7375" t="str">
        <f>"1552378502454272"</f>
        <v>1552378502454272</v>
      </c>
      <c r="C7375" t="s">
        <v>40</v>
      </c>
      <c r="D7375">
        <v>5.5536070000000004</v>
      </c>
      <c r="E7375">
        <v>0.65039239999999998</v>
      </c>
      <c r="F7375" t="s">
        <v>42</v>
      </c>
      <c r="G7375">
        <v>-151.85640000000001</v>
      </c>
      <c r="H7375" s="1">
        <v>-3.5541290000000002E-6</v>
      </c>
      <c r="I7375">
        <v>139.9102</v>
      </c>
      <c r="J7375">
        <v>-178.8006</v>
      </c>
      <c r="K7375">
        <v>1.1015189999999999</v>
      </c>
      <c r="L7375">
        <v>133.35759999999999</v>
      </c>
      <c r="M7375">
        <v>0.68129799999999996</v>
      </c>
      <c r="N7375">
        <v>0</v>
      </c>
      <c r="O7375">
        <v>0.73184539999999998</v>
      </c>
      <c r="P7375">
        <v>0.81492940000000003</v>
      </c>
      <c r="Q7375">
        <v>-2.1026090000000001E-2</v>
      </c>
      <c r="R7375">
        <v>0.57917890000000005</v>
      </c>
      <c r="S7375">
        <v>3.1399539999999999</v>
      </c>
      <c r="T7375">
        <v>-0.12795570000000001</v>
      </c>
      <c r="U7375">
        <v>0.77084350000000001</v>
      </c>
      <c r="V7375">
        <v>0.20165949999999999</v>
      </c>
      <c r="W7375">
        <v>-1.028868E-2</v>
      </c>
      <c r="X7375">
        <v>0.97940159999999998</v>
      </c>
      <c r="Y7375">
        <v>0.5475198</v>
      </c>
      <c r="Z7375">
        <v>-3.698746E-2</v>
      </c>
      <c r="AA7375">
        <v>0.83597489999999997</v>
      </c>
      <c r="AB7375">
        <v>23</v>
      </c>
      <c r="AC7375">
        <v>26.944199999999899</v>
      </c>
      <c r="AD7375">
        <v>-1.1015225541289999</v>
      </c>
      <c r="AE7375">
        <v>6.5526000000000098</v>
      </c>
      <c r="AF7375">
        <v>15.232474368358</v>
      </c>
      <c r="AG7375">
        <v>-1.1015225541289999</v>
      </c>
      <c r="AH7375">
        <v>23.118763656888099</v>
      </c>
      <c r="AI7375">
        <v>92.278396923440894</v>
      </c>
      <c r="AJ7375">
        <v>56.6199405420925</v>
      </c>
      <c r="AK7375">
        <v>27.7077400800388</v>
      </c>
      <c r="AL7375">
        <v>90.589508369678498</v>
      </c>
      <c r="AM7375">
        <v>78.365356140083705</v>
      </c>
      <c r="AN7375">
        <v>0.99999995247947504</v>
      </c>
    </row>
    <row r="7376" spans="1:40" x14ac:dyDescent="0.25">
      <c r="A7376" t="str">
        <f>"20190312161502471"</f>
        <v>20190312161502471</v>
      </c>
      <c r="B7376" t="str">
        <f>"1552378502464033"</f>
        <v>1552378502464033</v>
      </c>
      <c r="C7376" t="s">
        <v>40</v>
      </c>
      <c r="D7376">
        <v>5.5149460000000001</v>
      </c>
      <c r="E7376">
        <v>0.64936079999999996</v>
      </c>
      <c r="F7376" t="s">
        <v>42</v>
      </c>
      <c r="G7376">
        <v>-151.80609999999999</v>
      </c>
      <c r="H7376" s="1">
        <v>-3.5675320000000002E-6</v>
      </c>
      <c r="I7376">
        <v>139.87950000000001</v>
      </c>
      <c r="J7376">
        <v>-178.7158</v>
      </c>
      <c r="K7376">
        <v>1.1015140000000001</v>
      </c>
      <c r="L7376">
        <v>133.43819999999999</v>
      </c>
      <c r="M7376">
        <v>0.68619090000000005</v>
      </c>
      <c r="N7376">
        <v>0</v>
      </c>
      <c r="O7376">
        <v>0.72725960000000001</v>
      </c>
      <c r="P7376">
        <v>0.8186911</v>
      </c>
      <c r="Q7376">
        <v>-2.1335650000000001E-2</v>
      </c>
      <c r="R7376">
        <v>0.57383779999999995</v>
      </c>
      <c r="S7376">
        <v>3.138992</v>
      </c>
      <c r="T7376">
        <v>-0.1280878</v>
      </c>
      <c r="U7376">
        <v>0.75839230000000002</v>
      </c>
      <c r="V7376">
        <v>0.20148279999999999</v>
      </c>
      <c r="W7376">
        <v>-1.0589889999999999E-2</v>
      </c>
      <c r="X7376">
        <v>0.97943480000000005</v>
      </c>
      <c r="Y7376">
        <v>0.54497890000000004</v>
      </c>
      <c r="Z7376">
        <v>-3.6901219999999998E-2</v>
      </c>
      <c r="AA7376">
        <v>0.83763739999999998</v>
      </c>
      <c r="AB7376">
        <v>23</v>
      </c>
      <c r="AC7376">
        <v>26.909700000000001</v>
      </c>
      <c r="AD7376">
        <v>-1.1015175675319999</v>
      </c>
      <c r="AE7376">
        <v>6.4413000000000098</v>
      </c>
      <c r="AF7376">
        <v>15.1281858522158</v>
      </c>
      <c r="AG7376">
        <v>-1.1015175675319999</v>
      </c>
      <c r="AH7376">
        <v>23.1157817769279</v>
      </c>
      <c r="AI7376">
        <v>92.283308003914001</v>
      </c>
      <c r="AJ7376">
        <v>56.7971502261545</v>
      </c>
      <c r="AK7376">
        <v>27.648050840688899</v>
      </c>
      <c r="AL7376">
        <v>90.606767346385595</v>
      </c>
      <c r="AM7376">
        <v>78.375656486787193</v>
      </c>
      <c r="AN7376">
        <v>0.99999999595854605</v>
      </c>
    </row>
    <row r="7377" spans="1:40" x14ac:dyDescent="0.25">
      <c r="A7377" t="str">
        <f>"20190312161502483"</f>
        <v>20190312161502483</v>
      </c>
      <c r="B7377" t="str">
        <f>"1552378502473793"</f>
        <v>1552378502473793</v>
      </c>
      <c r="C7377" t="s">
        <v>40</v>
      </c>
      <c r="D7377">
        <v>5.5753579999999996</v>
      </c>
      <c r="E7377">
        <v>0.64881560000000005</v>
      </c>
      <c r="F7377" t="s">
        <v>42</v>
      </c>
      <c r="G7377">
        <v>-151.08709999999999</v>
      </c>
      <c r="H7377" s="1">
        <v>-3.9059649999999996E-6</v>
      </c>
      <c r="I7377">
        <v>139.9922</v>
      </c>
      <c r="J7377">
        <v>-178.624</v>
      </c>
      <c r="K7377">
        <v>1.10151</v>
      </c>
      <c r="L7377">
        <v>133.5241</v>
      </c>
      <c r="M7377">
        <v>0.69142139999999996</v>
      </c>
      <c r="N7377">
        <v>0</v>
      </c>
      <c r="O7377">
        <v>0.72228840000000005</v>
      </c>
      <c r="P7377">
        <v>0.822843199999999</v>
      </c>
      <c r="Q7377">
        <v>-2.140131E-2</v>
      </c>
      <c r="R7377">
        <v>0.56786550000000002</v>
      </c>
      <c r="S7377">
        <v>3.1391749999999998</v>
      </c>
      <c r="T7377">
        <v>-0.1251544</v>
      </c>
      <c r="U7377">
        <v>0.74465939999999997</v>
      </c>
      <c r="V7377">
        <v>0.20153840000000001</v>
      </c>
      <c r="W7377">
        <v>-1.065201E-2</v>
      </c>
      <c r="X7377">
        <v>0.97942269999999998</v>
      </c>
      <c r="Y7377">
        <v>0.542446599999999</v>
      </c>
      <c r="Z7377">
        <v>-3.5914069999999999E-2</v>
      </c>
      <c r="AA7377">
        <v>0.83932229999999997</v>
      </c>
      <c r="AB7377">
        <v>23</v>
      </c>
      <c r="AC7377">
        <v>27.536899999999999</v>
      </c>
      <c r="AD7377">
        <v>-1.1015139059649901</v>
      </c>
      <c r="AE7377">
        <v>6.46809999999999</v>
      </c>
      <c r="AF7377">
        <v>15.3958726248633</v>
      </c>
      <c r="AG7377">
        <v>-1.1015139059649901</v>
      </c>
      <c r="AH7377">
        <v>23.6783261292553</v>
      </c>
      <c r="AI7377">
        <v>92.233437760277894</v>
      </c>
      <c r="AJ7377">
        <v>56.967694909573197</v>
      </c>
      <c r="AK7377">
        <v>28.264984610811702</v>
      </c>
      <c r="AL7377">
        <v>90.610326753252593</v>
      </c>
      <c r="AM7377">
        <v>78.372396303345894</v>
      </c>
      <c r="AN7377">
        <v>1.00000000863344</v>
      </c>
    </row>
    <row r="7378" spans="1:40" x14ac:dyDescent="0.25">
      <c r="A7378" t="str">
        <f>"20190312161502495"</f>
        <v>20190312161502495</v>
      </c>
      <c r="B7378" t="str">
        <f>"1552378502484528"</f>
        <v>1552378502484528</v>
      </c>
      <c r="C7378" t="s">
        <v>40</v>
      </c>
      <c r="D7378">
        <v>5.5748989999999896</v>
      </c>
      <c r="E7378">
        <v>0.64816180000000001</v>
      </c>
      <c r="F7378" t="s">
        <v>42</v>
      </c>
      <c r="G7378">
        <v>-150.17699999999999</v>
      </c>
      <c r="H7378" s="1">
        <v>-4.3001809999999996E-6</v>
      </c>
      <c r="I7378">
        <v>140.09200000000001</v>
      </c>
      <c r="J7378">
        <v>-178.53720000000001</v>
      </c>
      <c r="K7378">
        <v>1.1015140000000001</v>
      </c>
      <c r="L7378">
        <v>133.60419999999999</v>
      </c>
      <c r="M7378">
        <v>0.69631339999999997</v>
      </c>
      <c r="N7378">
        <v>0</v>
      </c>
      <c r="O7378">
        <v>0.71757349999999998</v>
      </c>
      <c r="P7378">
        <v>0.82647179999999998</v>
      </c>
      <c r="Q7378">
        <v>-2.1296010000000001E-2</v>
      </c>
      <c r="R7378">
        <v>0.56257519999999905</v>
      </c>
      <c r="S7378">
        <v>3.1420750000000002</v>
      </c>
      <c r="T7378">
        <v>-0.1216661</v>
      </c>
      <c r="U7378">
        <v>0.7254486</v>
      </c>
      <c r="V7378">
        <v>0.20117099999999999</v>
      </c>
      <c r="W7378">
        <v>-1.053288E-2</v>
      </c>
      <c r="X7378">
        <v>0.97949949999999997</v>
      </c>
      <c r="Y7378">
        <v>0.54182669999999999</v>
      </c>
      <c r="Z7378">
        <v>-3.4796880000000002E-2</v>
      </c>
      <c r="AA7378">
        <v>0.83976969999999995</v>
      </c>
      <c r="AB7378">
        <v>23</v>
      </c>
      <c r="AC7378">
        <v>28.360199999999899</v>
      </c>
      <c r="AD7378">
        <v>-1.1015183001809901</v>
      </c>
      <c r="AE7378">
        <v>6.4878000000000204</v>
      </c>
      <c r="AF7378">
        <v>15.812186399828899</v>
      </c>
      <c r="AG7378">
        <v>-1.1015183001809901</v>
      </c>
      <c r="AH7378">
        <v>24.3710027942391</v>
      </c>
      <c r="AI7378">
        <v>92.171413782942594</v>
      </c>
      <c r="AJ7378">
        <v>57.024029912207702</v>
      </c>
      <c r="AK7378">
        <v>29.072054597248201</v>
      </c>
      <c r="AL7378">
        <v>90.603500734392696</v>
      </c>
      <c r="AM7378">
        <v>78.393902857142507</v>
      </c>
      <c r="AN7378">
        <v>0.99999999165117204</v>
      </c>
    </row>
    <row r="7379" spans="1:40" x14ac:dyDescent="0.25">
      <c r="A7379" t="str">
        <f>"20190312161502506"</f>
        <v>20190312161502506</v>
      </c>
      <c r="B7379" t="str">
        <f>"1552378502494289"</f>
        <v>1552378502494289</v>
      </c>
      <c r="C7379" t="s">
        <v>40</v>
      </c>
      <c r="D7379">
        <v>4.5163549999999999</v>
      </c>
      <c r="E7379">
        <v>0.64816180000000001</v>
      </c>
      <c r="F7379" t="s">
        <v>42</v>
      </c>
      <c r="G7379">
        <v>-150.3083</v>
      </c>
      <c r="H7379" s="1">
        <v>-4.2347829999999998E-6</v>
      </c>
      <c r="I7379">
        <v>139.9753</v>
      </c>
      <c r="J7379">
        <v>-178.4495</v>
      </c>
      <c r="K7379">
        <v>1.101513</v>
      </c>
      <c r="L7379">
        <v>133.6842</v>
      </c>
      <c r="M7379">
        <v>0.70120450000000001</v>
      </c>
      <c r="N7379">
        <v>0</v>
      </c>
      <c r="O7379">
        <v>0.71279459999999994</v>
      </c>
      <c r="P7379">
        <v>0.83023749999999996</v>
      </c>
      <c r="Q7379">
        <v>-2.143757E-2</v>
      </c>
      <c r="R7379">
        <v>0.55699759999999998</v>
      </c>
      <c r="S7379">
        <v>3.1437529999999998</v>
      </c>
      <c r="T7379">
        <v>-0.1226722</v>
      </c>
      <c r="U7379">
        <v>0.70953369999999905</v>
      </c>
      <c r="V7379">
        <v>0.20106180000000001</v>
      </c>
      <c r="W7379">
        <v>-1.066689E-2</v>
      </c>
      <c r="X7379">
        <v>0.97952050000000002</v>
      </c>
      <c r="Y7379">
        <v>0.54020859999999904</v>
      </c>
      <c r="Z7379">
        <v>-3.4950269999999999E-2</v>
      </c>
      <c r="AA7379">
        <v>0.84080509999999997</v>
      </c>
      <c r="AB7379">
        <v>23</v>
      </c>
      <c r="AC7379">
        <v>28.141200000000001</v>
      </c>
      <c r="AD7379">
        <v>-1.101517234783</v>
      </c>
      <c r="AE7379">
        <v>6.2911000000000001</v>
      </c>
      <c r="AF7379">
        <v>15.62659287072</v>
      </c>
      <c r="AG7379">
        <v>-1.101517234783</v>
      </c>
      <c r="AH7379">
        <v>24.1845672424278</v>
      </c>
      <c r="AI7379">
        <v>92.190801433264198</v>
      </c>
      <c r="AJ7379">
        <v>57.131919851400497</v>
      </c>
      <c r="AK7379">
        <v>28.8148752846385</v>
      </c>
      <c r="AL7379">
        <v>90.611179355973107</v>
      </c>
      <c r="AM7379">
        <v>78.400274057860003</v>
      </c>
      <c r="AN7379">
        <v>1.0000000199408801</v>
      </c>
    </row>
    <row r="7380" spans="1:40" x14ac:dyDescent="0.25">
      <c r="A7380" t="str">
        <f>"20190312161502516"</f>
        <v>20190312161502516</v>
      </c>
      <c r="B7380" t="str">
        <f>"1552378502513809"</f>
        <v>1552378502513809</v>
      </c>
      <c r="C7380" t="s">
        <v>40</v>
      </c>
      <c r="D7380">
        <v>5.3954950000000004</v>
      </c>
      <c r="E7380">
        <v>0.6219249</v>
      </c>
      <c r="F7380" t="s">
        <v>42</v>
      </c>
      <c r="G7380">
        <v>-150.251</v>
      </c>
      <c r="H7380" s="1">
        <v>-4.2265890000000002E-6</v>
      </c>
      <c r="I7380">
        <v>139.84909999999999</v>
      </c>
      <c r="J7380">
        <v>-178.3646</v>
      </c>
      <c r="K7380">
        <v>1.101512</v>
      </c>
      <c r="L7380">
        <v>133.7602</v>
      </c>
      <c r="M7380">
        <v>0.70588359999999895</v>
      </c>
      <c r="N7380">
        <v>0</v>
      </c>
      <c r="O7380">
        <v>0.70816109999999999</v>
      </c>
      <c r="P7380">
        <v>0.83378999999999903</v>
      </c>
      <c r="Q7380">
        <v>-2.1361979999999999E-2</v>
      </c>
      <c r="R7380">
        <v>0.55166839999999995</v>
      </c>
      <c r="S7380">
        <v>3.1484679999999998</v>
      </c>
      <c r="T7380">
        <v>-0.122988</v>
      </c>
      <c r="U7380">
        <v>0.68833919999999904</v>
      </c>
      <c r="V7380">
        <v>0.20088790000000001</v>
      </c>
      <c r="W7380">
        <v>-1.058218E-2</v>
      </c>
      <c r="X7380">
        <v>0.97955709999999996</v>
      </c>
      <c r="Y7380">
        <v>0.54033169999999897</v>
      </c>
      <c r="Z7380">
        <v>-3.4917940000000001E-2</v>
      </c>
      <c r="AA7380">
        <v>0.84072729999999996</v>
      </c>
      <c r="AB7380">
        <v>23</v>
      </c>
      <c r="AC7380">
        <v>28.113599999999899</v>
      </c>
      <c r="AD7380">
        <v>-1.1015162265889999</v>
      </c>
      <c r="AE7380">
        <v>6.08889999999999</v>
      </c>
      <c r="AF7380">
        <v>15.589886842408699</v>
      </c>
      <c r="AG7380">
        <v>-1.1015162265889999</v>
      </c>
      <c r="AH7380">
        <v>24.124329784854801</v>
      </c>
      <c r="AI7380">
        <v>92.196172554598405</v>
      </c>
      <c r="AJ7380">
        <v>57.128207517047301</v>
      </c>
      <c r="AK7380">
        <v>28.744411584253701</v>
      </c>
      <c r="AL7380">
        <v>90.606325555664199</v>
      </c>
      <c r="AM7380">
        <v>78.410456522366204</v>
      </c>
      <c r="AN7380">
        <v>1.0000000215301801</v>
      </c>
    </row>
    <row r="7381" spans="1:40" x14ac:dyDescent="0.25">
      <c r="A7381" t="str">
        <f>"20190312161502527"</f>
        <v>20190312161502527</v>
      </c>
      <c r="B7381" t="str">
        <f>"1552378502524545"</f>
        <v>1552378502524545</v>
      </c>
      <c r="C7381" t="s">
        <v>40</v>
      </c>
      <c r="D7381">
        <v>5.5489040000000003</v>
      </c>
      <c r="E7381">
        <v>0.6219249</v>
      </c>
      <c r="F7381" t="s">
        <v>43</v>
      </c>
      <c r="G7381">
        <v>-177.7252</v>
      </c>
      <c r="H7381">
        <v>1.182782</v>
      </c>
      <c r="I7381">
        <v>133.93969999999999</v>
      </c>
      <c r="J7381">
        <v>-178.2732</v>
      </c>
      <c r="K7381">
        <v>1.101515</v>
      </c>
      <c r="L7381">
        <v>133.8415</v>
      </c>
      <c r="M7381">
        <v>0.71087140000000004</v>
      </c>
      <c r="N7381">
        <v>0</v>
      </c>
      <c r="O7381">
        <v>0.70315399999999995</v>
      </c>
      <c r="P7381">
        <v>0.83765829999999997</v>
      </c>
      <c r="Q7381">
        <v>-2.1291029999999999E-2</v>
      </c>
      <c r="R7381">
        <v>0.54577949999999997</v>
      </c>
      <c r="S7381">
        <v>3.0426639999999998</v>
      </c>
      <c r="T7381">
        <v>0.38674209999999998</v>
      </c>
      <c r="U7381">
        <v>0.85437009999999902</v>
      </c>
      <c r="V7381">
        <v>0.20086970000000001</v>
      </c>
      <c r="W7381">
        <v>-1.0505540000000001E-2</v>
      </c>
      <c r="X7381">
        <v>0.97956160000000003</v>
      </c>
      <c r="Y7381">
        <v>0.47731240000000003</v>
      </c>
      <c r="Z7381">
        <v>0.10766779999999999</v>
      </c>
      <c r="AA7381">
        <v>0.87211269999999996</v>
      </c>
      <c r="AB7381">
        <v>23</v>
      </c>
      <c r="AC7381">
        <v>0.54800000000000104</v>
      </c>
      <c r="AD7381">
        <v>8.1266999999999895E-2</v>
      </c>
      <c r="AE7381">
        <v>9.8199999999991405E-2</v>
      </c>
      <c r="AF7381">
        <v>0.308974508276394</v>
      </c>
      <c r="AG7381">
        <v>8.1266999999999895E-2</v>
      </c>
      <c r="AH7381">
        <v>0.44909223209804899</v>
      </c>
      <c r="AI7381">
        <v>81.520646356201993</v>
      </c>
      <c r="AJ7381">
        <v>55.472110382789502</v>
      </c>
      <c r="AK7381">
        <v>0.55113828118218</v>
      </c>
      <c r="AL7381">
        <v>90.601934196851701</v>
      </c>
      <c r="AM7381">
        <v>78.411529902517103</v>
      </c>
      <c r="AN7381">
        <v>0.99999996547167003</v>
      </c>
    </row>
    <row r="7382" spans="1:40" x14ac:dyDescent="0.25">
      <c r="A7382" t="str">
        <f>"20190312161502540"</f>
        <v>20190312161502540</v>
      </c>
      <c r="B7382" t="str">
        <f>"1552378502534305"</f>
        <v>1552378502534305</v>
      </c>
      <c r="C7382" t="s">
        <v>40</v>
      </c>
      <c r="D7382">
        <v>5.6069100000000001</v>
      </c>
      <c r="E7382">
        <v>0.63683519999999905</v>
      </c>
      <c r="F7382" t="s">
        <v>43</v>
      </c>
      <c r="G7382">
        <v>-177.66800000000001</v>
      </c>
      <c r="H7382">
        <v>1.1783729999999999</v>
      </c>
      <c r="I7382">
        <v>134.0068</v>
      </c>
      <c r="J7382">
        <v>-178.18270000000001</v>
      </c>
      <c r="K7382">
        <v>1.1015159999999999</v>
      </c>
      <c r="L7382">
        <v>133.92009999999999</v>
      </c>
      <c r="M7382">
        <v>0.71573999999999904</v>
      </c>
      <c r="N7382">
        <v>0</v>
      </c>
      <c r="O7382">
        <v>0.69819750000000003</v>
      </c>
      <c r="P7382">
        <v>0.84119889999999997</v>
      </c>
      <c r="Q7382">
        <v>-2.1217949999999999E-2</v>
      </c>
      <c r="R7382">
        <v>0.54030940000000005</v>
      </c>
      <c r="S7382">
        <v>3.048584</v>
      </c>
      <c r="T7382">
        <v>0.3871404</v>
      </c>
      <c r="U7382">
        <v>0.832901</v>
      </c>
      <c r="V7382">
        <v>0.2004494</v>
      </c>
      <c r="W7382">
        <v>-1.041719E-2</v>
      </c>
      <c r="X7382">
        <v>0.97964870000000004</v>
      </c>
      <c r="Y7382">
        <v>0.4773831</v>
      </c>
      <c r="Z7382">
        <v>0.107332</v>
      </c>
      <c r="AA7382">
        <v>0.87211539999999999</v>
      </c>
      <c r="AB7382">
        <v>23</v>
      </c>
      <c r="AC7382">
        <v>0.51470000000000404</v>
      </c>
      <c r="AD7382">
        <v>7.6856999999999898E-2</v>
      </c>
      <c r="AE7382">
        <v>8.6700000000007493E-2</v>
      </c>
      <c r="AF7382">
        <v>0.29103247856194198</v>
      </c>
      <c r="AG7382">
        <v>7.6856999999999898E-2</v>
      </c>
      <c r="AH7382">
        <v>0.41987200235922201</v>
      </c>
      <c r="AI7382">
        <v>81.4444608081035</v>
      </c>
      <c r="AJ7382">
        <v>55.272401013266403</v>
      </c>
      <c r="AK7382">
        <v>0.51662307380918404</v>
      </c>
      <c r="AL7382">
        <v>90.5968718004452</v>
      </c>
      <c r="AM7382">
        <v>78.436124258298804</v>
      </c>
      <c r="AN7382">
        <v>1.00000002760977</v>
      </c>
    </row>
    <row r="7383" spans="1:40" x14ac:dyDescent="0.25">
      <c r="A7383" t="str">
        <f>"20190312161502549"</f>
        <v>20190312161502549</v>
      </c>
      <c r="B7383" t="str">
        <f>"1552378502544064"</f>
        <v>1552378502544064</v>
      </c>
      <c r="C7383" t="s">
        <v>40</v>
      </c>
      <c r="D7383">
        <v>5.6556759999999997</v>
      </c>
      <c r="E7383">
        <v>0.63815519999999903</v>
      </c>
      <c r="F7383" t="s">
        <v>42</v>
      </c>
      <c r="G7383">
        <v>-152.20939999999999</v>
      </c>
      <c r="H7383" s="1">
        <v>-3.365432E-6</v>
      </c>
      <c r="I7383">
        <v>139.77019999999999</v>
      </c>
      <c r="J7383">
        <v>-178.09630000000001</v>
      </c>
      <c r="K7383">
        <v>1.101518</v>
      </c>
      <c r="L7383">
        <v>133.99469999999999</v>
      </c>
      <c r="M7383">
        <v>0.7203408</v>
      </c>
      <c r="N7383">
        <v>0</v>
      </c>
      <c r="O7383">
        <v>0.69344980000000001</v>
      </c>
      <c r="P7383">
        <v>0.84460780000000002</v>
      </c>
      <c r="Q7383">
        <v>-2.1339879999999999E-2</v>
      </c>
      <c r="R7383">
        <v>0.53496030000000006</v>
      </c>
      <c r="S7383">
        <v>3.112717</v>
      </c>
      <c r="T7383">
        <v>-0.1320093</v>
      </c>
      <c r="U7383">
        <v>0.70109560000000004</v>
      </c>
      <c r="V7383">
        <v>0.20018440000000001</v>
      </c>
      <c r="W7383">
        <v>-1.0527989999999999E-2</v>
      </c>
      <c r="X7383">
        <v>0.97970159999999995</v>
      </c>
      <c r="Y7383">
        <v>0.51737869999999997</v>
      </c>
      <c r="Z7383">
        <v>-3.6985009999999999E-2</v>
      </c>
      <c r="AA7383">
        <v>0.85495689999999902</v>
      </c>
      <c r="AB7383">
        <v>23</v>
      </c>
      <c r="AC7383">
        <v>25.886900000000001</v>
      </c>
      <c r="AD7383">
        <v>-1.101521365432</v>
      </c>
      <c r="AE7383">
        <v>5.7754999999999903</v>
      </c>
      <c r="AF7383">
        <v>13.7688205136596</v>
      </c>
      <c r="AG7383">
        <v>-1.101521365432</v>
      </c>
      <c r="AH7383">
        <v>22.616081417764999</v>
      </c>
      <c r="AI7383">
        <v>92.382238633839194</v>
      </c>
      <c r="AJ7383">
        <v>58.666667430726797</v>
      </c>
      <c r="AK7383">
        <v>26.500583132279399</v>
      </c>
      <c r="AL7383">
        <v>90.603220580401597</v>
      </c>
      <c r="AM7383">
        <v>78.451607888851299</v>
      </c>
      <c r="AN7383">
        <v>0.99999992880967703</v>
      </c>
    </row>
    <row r="7384" spans="1:40" x14ac:dyDescent="0.25">
      <c r="A7384" t="str">
        <f>"20190312161502561"</f>
        <v>20190312161502561</v>
      </c>
      <c r="B7384" t="str">
        <f>"1552378502553825"</f>
        <v>1552378502553825</v>
      </c>
      <c r="C7384" t="s">
        <v>40</v>
      </c>
      <c r="D7384">
        <v>5.3372630000000001</v>
      </c>
      <c r="E7384">
        <v>0.63815519999999903</v>
      </c>
      <c r="F7384" t="s">
        <v>42</v>
      </c>
      <c r="G7384">
        <v>-153.84010000000001</v>
      </c>
      <c r="H7384" s="1">
        <v>-2.6957529999999999E-6</v>
      </c>
      <c r="I7384">
        <v>139.21680000000001</v>
      </c>
      <c r="J7384">
        <v>-178.00389999999999</v>
      </c>
      <c r="K7384">
        <v>1.101521</v>
      </c>
      <c r="L7384">
        <v>134.0729</v>
      </c>
      <c r="M7384">
        <v>0.72520099999999998</v>
      </c>
      <c r="N7384">
        <v>0</v>
      </c>
      <c r="O7384">
        <v>0.68836529999999996</v>
      </c>
      <c r="P7384">
        <v>0.84807739999999998</v>
      </c>
      <c r="Q7384">
        <v>-2.133581E-2</v>
      </c>
      <c r="R7384">
        <v>0.52944259999999999</v>
      </c>
      <c r="S7384">
        <v>3.1225740000000002</v>
      </c>
      <c r="T7384">
        <v>-0.1418015</v>
      </c>
      <c r="U7384">
        <v>0.67225649999999904</v>
      </c>
      <c r="V7384">
        <v>0.1996802</v>
      </c>
      <c r="W7384">
        <v>-1.0506669999999999E-2</v>
      </c>
      <c r="X7384">
        <v>0.97980480000000003</v>
      </c>
      <c r="Y7384">
        <v>0.51933549999999995</v>
      </c>
      <c r="Z7384">
        <v>-3.9557340000000003E-2</v>
      </c>
      <c r="AA7384">
        <v>0.85365440000000004</v>
      </c>
      <c r="AB7384">
        <v>23</v>
      </c>
      <c r="AC7384">
        <v>24.163799999999899</v>
      </c>
      <c r="AD7384">
        <v>-1.1015236957529999</v>
      </c>
      <c r="AE7384">
        <v>5.1439000000000004</v>
      </c>
      <c r="AF7384">
        <v>12.8790843093968</v>
      </c>
      <c r="AG7384">
        <v>-1.1015236957529999</v>
      </c>
      <c r="AH7384">
        <v>21.025190446101099</v>
      </c>
      <c r="AI7384">
        <v>92.558003904077196</v>
      </c>
      <c r="AJ7384">
        <v>58.510241547213198</v>
      </c>
      <c r="AK7384">
        <v>24.680818470943699</v>
      </c>
      <c r="AL7384">
        <v>90.601998918305895</v>
      </c>
      <c r="AM7384">
        <v>78.481096970179493</v>
      </c>
      <c r="AN7384">
        <v>1.0000000092447801</v>
      </c>
    </row>
    <row r="7385" spans="1:40" x14ac:dyDescent="0.25">
      <c r="A7385" t="str">
        <f>"20190312161502574"</f>
        <v>20190312161502574</v>
      </c>
      <c r="B7385" t="str">
        <f>"1552378502564561"</f>
        <v>1552378502564561</v>
      </c>
      <c r="C7385" t="s">
        <v>40</v>
      </c>
      <c r="D7385">
        <v>5.6529850000000001</v>
      </c>
      <c r="E7385">
        <v>0.61612900000000004</v>
      </c>
      <c r="F7385" t="s">
        <v>42</v>
      </c>
      <c r="G7385">
        <v>-153.60679999999999</v>
      </c>
      <c r="H7385" s="1">
        <v>-2.8063339999999998E-6</v>
      </c>
      <c r="I7385">
        <v>139.1575</v>
      </c>
      <c r="J7385">
        <v>-177.9</v>
      </c>
      <c r="K7385">
        <v>1.1015250000000001</v>
      </c>
      <c r="L7385">
        <v>134.15979999999999</v>
      </c>
      <c r="M7385">
        <v>0.73059989999999997</v>
      </c>
      <c r="N7385">
        <v>0</v>
      </c>
      <c r="O7385">
        <v>0.68263229999999997</v>
      </c>
      <c r="P7385">
        <v>0.85208919999999999</v>
      </c>
      <c r="Q7385">
        <v>-2.1426649999999998E-2</v>
      </c>
      <c r="R7385">
        <v>0.52295789999999998</v>
      </c>
      <c r="S7385">
        <v>3.1270289999999998</v>
      </c>
      <c r="T7385">
        <v>-0.14118439999999999</v>
      </c>
      <c r="U7385">
        <v>0.65170289999999997</v>
      </c>
      <c r="V7385">
        <v>0.19943430000000001</v>
      </c>
      <c r="W7385">
        <v>-1.058603E-2</v>
      </c>
      <c r="X7385">
        <v>0.979854</v>
      </c>
      <c r="Y7385">
        <v>0.51824250000000005</v>
      </c>
      <c r="Z7385">
        <v>-3.917561E-2</v>
      </c>
      <c r="AA7385">
        <v>0.85433599999999998</v>
      </c>
      <c r="AB7385">
        <v>23</v>
      </c>
      <c r="AC7385">
        <v>24.293199999999999</v>
      </c>
      <c r="AD7385">
        <v>-1.1015278063339999</v>
      </c>
      <c r="AE7385">
        <v>4.9977</v>
      </c>
      <c r="AF7385">
        <v>12.9080748100456</v>
      </c>
      <c r="AG7385">
        <v>-1.1015278063339999</v>
      </c>
      <c r="AH7385">
        <v>21.121046623981101</v>
      </c>
      <c r="AI7385">
        <v>92.548013343057207</v>
      </c>
      <c r="AJ7385">
        <v>58.568916455848601</v>
      </c>
      <c r="AK7385">
        <v>24.777618313757401</v>
      </c>
      <c r="AL7385">
        <v>90.606546180331407</v>
      </c>
      <c r="AM7385">
        <v>78.495465958995695</v>
      </c>
      <c r="AN7385">
        <v>0.99999998268182499</v>
      </c>
    </row>
    <row r="7386" spans="1:40" x14ac:dyDescent="0.25">
      <c r="A7386" t="str">
        <f>"20190312161502594"</f>
        <v>20190312161502594</v>
      </c>
      <c r="B7386" t="str">
        <f>"1552378502584080"</f>
        <v>1552378502584080</v>
      </c>
      <c r="C7386" t="s">
        <v>40</v>
      </c>
      <c r="D7386">
        <v>5.6197569999999999</v>
      </c>
      <c r="E7386">
        <v>0.63645450000000003</v>
      </c>
      <c r="F7386" t="s">
        <v>43</v>
      </c>
      <c r="G7386">
        <v>-177.2253</v>
      </c>
      <c r="H7386">
        <v>1.179826</v>
      </c>
      <c r="I7386">
        <v>134.33459999999999</v>
      </c>
      <c r="J7386">
        <v>-177.73050000000001</v>
      </c>
      <c r="K7386">
        <v>1.1015269999999999</v>
      </c>
      <c r="L7386">
        <v>134.29849999999999</v>
      </c>
      <c r="M7386">
        <v>0.73925169999999996</v>
      </c>
      <c r="N7386">
        <v>0</v>
      </c>
      <c r="O7386">
        <v>0.673253199999999</v>
      </c>
      <c r="P7386">
        <v>0.85828269999999995</v>
      </c>
      <c r="Q7386">
        <v>-2.1580229999999999E-2</v>
      </c>
      <c r="R7386">
        <v>0.51272320000000005</v>
      </c>
      <c r="S7386">
        <v>3.045166</v>
      </c>
      <c r="T7386">
        <v>0.35336489999999998</v>
      </c>
      <c r="U7386">
        <v>0.78941349999999999</v>
      </c>
      <c r="V7386">
        <v>0.19865099999999999</v>
      </c>
      <c r="W7386">
        <v>-1.071164E-2</v>
      </c>
      <c r="X7386">
        <v>0.98001179999999999</v>
      </c>
      <c r="Y7386">
        <v>0.46004329999999999</v>
      </c>
      <c r="Z7386">
        <v>9.5511410000000005E-2</v>
      </c>
      <c r="AA7386">
        <v>0.88274449999999904</v>
      </c>
      <c r="AB7386">
        <v>23</v>
      </c>
      <c r="AC7386">
        <v>0.50520000000000198</v>
      </c>
      <c r="AD7386">
        <v>7.8298999999999896E-2</v>
      </c>
      <c r="AE7386">
        <v>3.6100000000004601E-2</v>
      </c>
      <c r="AF7386">
        <v>0.30616084882811101</v>
      </c>
      <c r="AG7386">
        <v>7.8298999999999896E-2</v>
      </c>
      <c r="AH7386">
        <v>0.38853605704803801</v>
      </c>
      <c r="AI7386">
        <v>81.005473741637005</v>
      </c>
      <c r="AJ7386">
        <v>51.762396266190002</v>
      </c>
      <c r="AK7386">
        <v>0.500824786110458</v>
      </c>
      <c r="AL7386">
        <v>90.613743474036397</v>
      </c>
      <c r="AM7386">
        <v>78.541249930757004</v>
      </c>
      <c r="AN7386">
        <v>1.00000004358586</v>
      </c>
    </row>
    <row r="7387" spans="1:40" x14ac:dyDescent="0.25">
      <c r="A7387" t="str">
        <f>"20190312161502607"</f>
        <v>20190312161502607</v>
      </c>
      <c r="B7387" t="str">
        <f>"1552378502604577"</f>
        <v>1552378502604577</v>
      </c>
      <c r="C7387" t="s">
        <v>40</v>
      </c>
      <c r="D7387">
        <v>5.6958159999999998</v>
      </c>
      <c r="E7387">
        <v>0.63705389999999995</v>
      </c>
      <c r="F7387" t="s">
        <v>42</v>
      </c>
      <c r="G7387">
        <v>-155.32239999999999</v>
      </c>
      <c r="H7387" s="1">
        <v>-2.1687250000000001E-6</v>
      </c>
      <c r="I7387">
        <v>138.6028</v>
      </c>
      <c r="J7387">
        <v>-177.62520000000001</v>
      </c>
      <c r="K7387">
        <v>1.101534</v>
      </c>
      <c r="L7387">
        <v>134.38310000000001</v>
      </c>
      <c r="M7387">
        <v>0.74453549999999902</v>
      </c>
      <c r="N7387">
        <v>0</v>
      </c>
      <c r="O7387">
        <v>0.66740519999999903</v>
      </c>
      <c r="P7387">
        <v>0.86189130000000003</v>
      </c>
      <c r="Q7387">
        <v>-2.2020990000000001E-2</v>
      </c>
      <c r="R7387">
        <v>0.50661469999999997</v>
      </c>
      <c r="S7387">
        <v>3.13205</v>
      </c>
      <c r="T7387">
        <v>-0.153964299999999</v>
      </c>
      <c r="U7387">
        <v>0.60163880000000003</v>
      </c>
      <c r="V7387">
        <v>0.19787009999999999</v>
      </c>
      <c r="W7387">
        <v>-1.1128040000000001E-2</v>
      </c>
      <c r="X7387">
        <v>0.98016510000000001</v>
      </c>
      <c r="Y7387">
        <v>0.51381109999999997</v>
      </c>
      <c r="Z7387">
        <v>-4.2136359999999998E-2</v>
      </c>
      <c r="AA7387">
        <v>0.85686799999999996</v>
      </c>
      <c r="AB7387">
        <v>23</v>
      </c>
      <c r="AC7387">
        <v>22.302800000000001</v>
      </c>
      <c r="AD7387">
        <v>-1.101536168725</v>
      </c>
      <c r="AE7387">
        <v>4.21969999999998</v>
      </c>
      <c r="AF7387">
        <v>11.717086596475999</v>
      </c>
      <c r="AG7387">
        <v>-1.101536168725</v>
      </c>
      <c r="AH7387">
        <v>19.378142834734401</v>
      </c>
      <c r="AI7387">
        <v>92.7848648428605</v>
      </c>
      <c r="AJ7387">
        <v>58.840543934839701</v>
      </c>
      <c r="AK7387">
        <v>22.671919194538798</v>
      </c>
      <c r="AL7387">
        <v>90.637602875600393</v>
      </c>
      <c r="AM7387">
        <v>78.586848168504702</v>
      </c>
      <c r="AN7387">
        <v>1.00000001650313</v>
      </c>
    </row>
    <row r="7388" spans="1:40" x14ac:dyDescent="0.25">
      <c r="A7388" t="str">
        <f>"20190312161502619"</f>
        <v>20190312161502619</v>
      </c>
      <c r="B7388" t="str">
        <f>"1552378502614337"</f>
        <v>1552378502614337</v>
      </c>
      <c r="C7388" t="s">
        <v>40</v>
      </c>
      <c r="D7388">
        <v>5.3813829999999996</v>
      </c>
      <c r="E7388">
        <v>0.61231499999999905</v>
      </c>
      <c r="F7388" t="s">
        <v>42</v>
      </c>
      <c r="G7388">
        <v>-155.78049999999999</v>
      </c>
      <c r="H7388" s="1">
        <v>-2.0107070000000001E-6</v>
      </c>
      <c r="I7388">
        <v>138.38570000000001</v>
      </c>
      <c r="J7388">
        <v>-177.53129999999999</v>
      </c>
      <c r="K7388">
        <v>1.101539</v>
      </c>
      <c r="L7388">
        <v>134.45670000000001</v>
      </c>
      <c r="M7388">
        <v>0.74916609999999995</v>
      </c>
      <c r="N7388">
        <v>0</v>
      </c>
      <c r="O7388">
        <v>0.66220310000000004</v>
      </c>
      <c r="P7388">
        <v>0.86516459999999995</v>
      </c>
      <c r="Q7388">
        <v>-2.2021010000000001E-2</v>
      </c>
      <c r="R7388">
        <v>0.50100449999999996</v>
      </c>
      <c r="S7388">
        <v>3.1386569999999998</v>
      </c>
      <c r="T7388">
        <v>-0.15826950000000001</v>
      </c>
      <c r="U7388">
        <v>0.57510380000000005</v>
      </c>
      <c r="V7388">
        <v>0.19741130000000001</v>
      </c>
      <c r="W7388">
        <v>-1.1111889999999999E-2</v>
      </c>
      <c r="X7388">
        <v>0.98025770000000001</v>
      </c>
      <c r="Y7388">
        <v>0.51510619999999996</v>
      </c>
      <c r="Z7388">
        <v>-4.312738E-2</v>
      </c>
      <c r="AA7388">
        <v>0.85604069999999899</v>
      </c>
      <c r="AB7388">
        <v>23</v>
      </c>
      <c r="AC7388">
        <v>21.750800000000002</v>
      </c>
      <c r="AD7388">
        <v>-1.1015410107070001</v>
      </c>
      <c r="AE7388">
        <v>3.9289999999999998</v>
      </c>
      <c r="AF7388">
        <v>11.432936577443799</v>
      </c>
      <c r="AG7388">
        <v>-1.1015410107070001</v>
      </c>
      <c r="AH7388">
        <v>18.852175711792398</v>
      </c>
      <c r="AI7388">
        <v>92.860171898052201</v>
      </c>
      <c r="AJ7388">
        <v>58.765205956745199</v>
      </c>
      <c r="AK7388">
        <v>22.0755511924486</v>
      </c>
      <c r="AL7388">
        <v>90.636677548587599</v>
      </c>
      <c r="AM7388">
        <v>78.613667202336899</v>
      </c>
      <c r="AN7388">
        <v>0.99999992693817297</v>
      </c>
    </row>
    <row r="7389" spans="1:40" x14ac:dyDescent="0.25">
      <c r="A7389" t="str">
        <f>"20190312161502630"</f>
        <v>20190312161502630</v>
      </c>
      <c r="B7389" t="str">
        <f>"1552378502624096"</f>
        <v>1552378502624096</v>
      </c>
      <c r="C7389" t="s">
        <v>40</v>
      </c>
      <c r="D7389">
        <v>5.7906719999999998</v>
      </c>
      <c r="E7389">
        <v>0.61270389999999997</v>
      </c>
      <c r="F7389" t="s">
        <v>43</v>
      </c>
      <c r="G7389">
        <v>-176.84710000000001</v>
      </c>
      <c r="H7389">
        <v>1.178933</v>
      </c>
      <c r="I7389">
        <v>134.6223</v>
      </c>
      <c r="J7389">
        <v>-177.4341</v>
      </c>
      <c r="K7389">
        <v>1.1015520000000001</v>
      </c>
      <c r="L7389">
        <v>134.5325</v>
      </c>
      <c r="M7389">
        <v>0.75392000000000003</v>
      </c>
      <c r="N7389">
        <v>0</v>
      </c>
      <c r="O7389">
        <v>0.65678570000000003</v>
      </c>
      <c r="P7389">
        <v>0.86839630000000001</v>
      </c>
      <c r="Q7389">
        <v>-2.2263959999999999E-2</v>
      </c>
      <c r="R7389">
        <v>0.4953707</v>
      </c>
      <c r="S7389">
        <v>3.0489649999999999</v>
      </c>
      <c r="T7389">
        <v>0.34488089999999999</v>
      </c>
      <c r="U7389">
        <v>0.73802190000000001</v>
      </c>
      <c r="V7389">
        <v>0.19670779999999999</v>
      </c>
      <c r="W7389">
        <v>-1.133258E-2</v>
      </c>
      <c r="X7389">
        <v>0.98039670000000001</v>
      </c>
      <c r="Y7389">
        <v>0.4551328</v>
      </c>
      <c r="Z7389">
        <v>9.1846300000000006E-2</v>
      </c>
      <c r="AA7389">
        <v>0.88567399999999996</v>
      </c>
      <c r="AB7389">
        <v>23</v>
      </c>
      <c r="AC7389">
        <v>0.58699999999998898</v>
      </c>
      <c r="AD7389">
        <v>7.7380999999999894E-2</v>
      </c>
      <c r="AE7389">
        <v>8.9799999999996702E-2</v>
      </c>
      <c r="AF7389">
        <v>0.31256149604058803</v>
      </c>
      <c r="AG7389">
        <v>7.7380999999999894E-2</v>
      </c>
      <c r="AH7389">
        <v>0.49321493868852401</v>
      </c>
      <c r="AI7389">
        <v>82.4510801216218</v>
      </c>
      <c r="AJ7389">
        <v>57.636637437875002</v>
      </c>
      <c r="AK7389">
        <v>0.58901908603512598</v>
      </c>
      <c r="AL7389">
        <v>90.6493228795172</v>
      </c>
      <c r="AM7389">
        <v>78.654756405032003</v>
      </c>
      <c r="AN7389">
        <v>1.00000003766059</v>
      </c>
    </row>
    <row r="7390" spans="1:40" x14ac:dyDescent="0.25">
      <c r="A7390" t="str">
        <f>"20190312161502642"</f>
        <v>20190312161502642</v>
      </c>
      <c r="B7390" t="str">
        <f>"1552378502633857"</f>
        <v>1552378502633857</v>
      </c>
      <c r="C7390" t="s">
        <v>40</v>
      </c>
      <c r="D7390">
        <v>4.9286789999999998</v>
      </c>
      <c r="E7390">
        <v>0.61270389999999997</v>
      </c>
      <c r="F7390" t="s">
        <v>43</v>
      </c>
      <c r="G7390">
        <v>-176.7285</v>
      </c>
      <c r="H7390">
        <v>1.180423</v>
      </c>
      <c r="I7390">
        <v>134.69759999999999</v>
      </c>
      <c r="J7390">
        <v>-177.33430000000001</v>
      </c>
      <c r="K7390">
        <v>1.101561</v>
      </c>
      <c r="L7390">
        <v>134.6087</v>
      </c>
      <c r="M7390">
        <v>0.75872229999999996</v>
      </c>
      <c r="N7390">
        <v>0</v>
      </c>
      <c r="O7390">
        <v>0.65123209999999998</v>
      </c>
      <c r="P7390">
        <v>0.87171549999999998</v>
      </c>
      <c r="Q7390">
        <v>-2.2297930000000001E-2</v>
      </c>
      <c r="R7390">
        <v>0.48950490000000002</v>
      </c>
      <c r="S7390">
        <v>3.0552220000000001</v>
      </c>
      <c r="T7390">
        <v>0.34150459999999999</v>
      </c>
      <c r="U7390">
        <v>0.71551509999999996</v>
      </c>
      <c r="V7390">
        <v>0.19611790000000001</v>
      </c>
      <c r="W7390">
        <v>-1.134669E-2</v>
      </c>
      <c r="X7390">
        <v>0.98051469999999996</v>
      </c>
      <c r="Y7390">
        <v>0.45534239999999998</v>
      </c>
      <c r="Z7390">
        <v>9.0463799999999997E-2</v>
      </c>
      <c r="AA7390">
        <v>0.88570849999999901</v>
      </c>
      <c r="AB7390">
        <v>23</v>
      </c>
      <c r="AC7390">
        <v>0.60580000000001599</v>
      </c>
      <c r="AD7390">
        <v>7.8861999999999904E-2</v>
      </c>
      <c r="AE7390">
        <v>8.8899999999995302E-2</v>
      </c>
      <c r="AF7390">
        <v>0.32176695845182202</v>
      </c>
      <c r="AG7390">
        <v>7.8861999999999904E-2</v>
      </c>
      <c r="AH7390">
        <v>0.50914364542507395</v>
      </c>
      <c r="AI7390">
        <v>82.540385715737699</v>
      </c>
      <c r="AJ7390">
        <v>57.7080644464694</v>
      </c>
      <c r="AK7390">
        <v>0.60743760360391696</v>
      </c>
      <c r="AL7390">
        <v>90.650131381527601</v>
      </c>
      <c r="AM7390">
        <v>78.689226972204096</v>
      </c>
      <c r="AN7390">
        <v>1.0000000274952201</v>
      </c>
    </row>
    <row r="7391" spans="1:40" x14ac:dyDescent="0.25">
      <c r="A7391" t="str">
        <f>"20190312161502653"</f>
        <v>20190312161502653</v>
      </c>
      <c r="B7391" t="str">
        <f>"1552378502644593"</f>
        <v>1552378502644593</v>
      </c>
      <c r="C7391" t="s">
        <v>40</v>
      </c>
      <c r="D7391">
        <v>5.7478360000000004</v>
      </c>
      <c r="E7391">
        <v>0.61157059999999996</v>
      </c>
      <c r="F7391" t="s">
        <v>112</v>
      </c>
      <c r="G7391">
        <v>-76.235119999999995</v>
      </c>
      <c r="H7391">
        <v>12.388400000000001</v>
      </c>
      <c r="I7391">
        <v>157.57140000000001</v>
      </c>
      <c r="J7391">
        <v>-177.23830000000001</v>
      </c>
      <c r="K7391">
        <v>1.1015710000000001</v>
      </c>
      <c r="L7391">
        <v>134.68100000000001</v>
      </c>
      <c r="M7391">
        <v>0.76328229999999997</v>
      </c>
      <c r="N7391">
        <v>0</v>
      </c>
      <c r="O7391">
        <v>0.64588140000000005</v>
      </c>
      <c r="P7391">
        <v>0.87491479999999999</v>
      </c>
      <c r="Q7391">
        <v>-2.2138390000000001E-2</v>
      </c>
      <c r="R7391">
        <v>0.4837706</v>
      </c>
      <c r="S7391">
        <v>3.059952</v>
      </c>
      <c r="T7391">
        <v>0.341617</v>
      </c>
      <c r="U7391">
        <v>0.69500729999999999</v>
      </c>
      <c r="V7391">
        <v>0.1956685</v>
      </c>
      <c r="W7391">
        <v>-1.1170680000000001E-2</v>
      </c>
      <c r="X7391">
        <v>0.98060639999999999</v>
      </c>
      <c r="Y7391">
        <v>0.45506020000000003</v>
      </c>
      <c r="Z7391">
        <v>9.0020139999999998E-2</v>
      </c>
      <c r="AA7391">
        <v>0.88589879999999999</v>
      </c>
      <c r="AB7391">
        <v>23</v>
      </c>
      <c r="AC7391">
        <v>101.00318</v>
      </c>
      <c r="AD7391">
        <v>11.286829000000001</v>
      </c>
      <c r="AE7391">
        <v>22.8904</v>
      </c>
      <c r="AF7391">
        <v>47.209184638272298</v>
      </c>
      <c r="AG7391">
        <v>11.286829000000001</v>
      </c>
      <c r="AH7391">
        <v>90.810732270740104</v>
      </c>
      <c r="AI7391">
        <v>83.706965508844903</v>
      </c>
      <c r="AJ7391">
        <v>62.5317251843408</v>
      </c>
      <c r="AK7391">
        <v>102.96935815393699</v>
      </c>
      <c r="AL7391">
        <v>90.640046175563896</v>
      </c>
      <c r="AM7391">
        <v>78.715507715438903</v>
      </c>
      <c r="AN7391">
        <v>0.99999992885243305</v>
      </c>
    </row>
    <row r="7392" spans="1:40" x14ac:dyDescent="0.25">
      <c r="A7392" t="str">
        <f>"20190312161502665"</f>
        <v>20190312161502665</v>
      </c>
      <c r="B7392" t="str">
        <f>"1552378502654353"</f>
        <v>1552378502654353</v>
      </c>
      <c r="C7392" t="s">
        <v>40</v>
      </c>
      <c r="D7392">
        <v>5.7104920000000003</v>
      </c>
      <c r="E7392">
        <v>0.61157059999999996</v>
      </c>
      <c r="F7392" t="s">
        <v>43</v>
      </c>
      <c r="G7392">
        <v>-176.52590000000001</v>
      </c>
      <c r="H7392">
        <v>1.1794739999999999</v>
      </c>
      <c r="I7392">
        <v>134.84</v>
      </c>
      <c r="J7392">
        <v>-177.13900000000001</v>
      </c>
      <c r="K7392">
        <v>1.101577</v>
      </c>
      <c r="L7392">
        <v>134.755</v>
      </c>
      <c r="M7392">
        <v>0.76794510000000005</v>
      </c>
      <c r="N7392">
        <v>0</v>
      </c>
      <c r="O7392">
        <v>0.64033039999999997</v>
      </c>
      <c r="P7392">
        <v>0.87823340000000005</v>
      </c>
      <c r="Q7392">
        <v>-2.2173060000000001E-2</v>
      </c>
      <c r="R7392">
        <v>0.47771789999999997</v>
      </c>
      <c r="S7392">
        <v>3.0600130000000001</v>
      </c>
      <c r="T7392">
        <v>0.3346227</v>
      </c>
      <c r="U7392">
        <v>0.68247990000000003</v>
      </c>
      <c r="V7392">
        <v>0.19532910000000001</v>
      </c>
      <c r="W7392">
        <v>-1.11913E-2</v>
      </c>
      <c r="X7392">
        <v>0.98067389999999999</v>
      </c>
      <c r="Y7392">
        <v>0.45233420000000002</v>
      </c>
      <c r="Z7392">
        <v>8.7662420000000005E-2</v>
      </c>
      <c r="AA7392">
        <v>0.88752969999999898</v>
      </c>
      <c r="AB7392">
        <v>23</v>
      </c>
      <c r="AC7392">
        <v>0.61310000000000198</v>
      </c>
      <c r="AD7392">
        <v>7.78969999999998E-2</v>
      </c>
      <c r="AE7392">
        <v>8.5000000000007903E-2</v>
      </c>
      <c r="AF7392">
        <v>0.32224622260139801</v>
      </c>
      <c r="AG7392">
        <v>7.78969999999998E-2</v>
      </c>
      <c r="AH7392">
        <v>0.51712710757126401</v>
      </c>
      <c r="AI7392">
        <v>82.7146061537089</v>
      </c>
      <c r="AJ7392">
        <v>58.071025337112403</v>
      </c>
      <c r="AK7392">
        <v>0.61427275372988199</v>
      </c>
      <c r="AL7392">
        <v>90.641227642646896</v>
      </c>
      <c r="AM7392">
        <v>78.735335993145895</v>
      </c>
      <c r="AN7392">
        <v>1.0000000003218501</v>
      </c>
    </row>
    <row r="7393" spans="1:40" x14ac:dyDescent="0.25">
      <c r="A7393" t="str">
        <f>"20190312161502684"</f>
        <v>20190312161502684</v>
      </c>
      <c r="B7393" t="str">
        <f>"1552378502673872"</f>
        <v>1552378502673872</v>
      </c>
      <c r="C7393" t="s">
        <v>40</v>
      </c>
      <c r="D7393">
        <v>4.789237</v>
      </c>
      <c r="E7393">
        <v>0.62388149999999998</v>
      </c>
      <c r="F7393" t="s">
        <v>44</v>
      </c>
      <c r="G7393">
        <v>0</v>
      </c>
      <c r="H7393">
        <v>0</v>
      </c>
      <c r="I7393">
        <v>0</v>
      </c>
      <c r="J7393">
        <v>-176.9804</v>
      </c>
      <c r="K7393">
        <v>1.1015969999999999</v>
      </c>
      <c r="L7393">
        <v>134.87029999999999</v>
      </c>
      <c r="M7393">
        <v>0.77524890000000002</v>
      </c>
      <c r="N7393">
        <v>0</v>
      </c>
      <c r="O7393">
        <v>0.63146800000000003</v>
      </c>
      <c r="P7393">
        <v>0.88355169999999905</v>
      </c>
      <c r="Q7393">
        <v>-2.2216329999999999E-2</v>
      </c>
      <c r="R7393">
        <v>0.46780650000000001</v>
      </c>
      <c r="S7393">
        <v>3.0646360000000001</v>
      </c>
      <c r="T7393">
        <v>0.33453820000000001</v>
      </c>
      <c r="U7393">
        <v>0.66137699999999999</v>
      </c>
      <c r="V7393">
        <v>0.1950983</v>
      </c>
      <c r="W7393">
        <v>-1.1219430000000001E-2</v>
      </c>
      <c r="X7393">
        <v>0.98071949999999997</v>
      </c>
      <c r="Y7393">
        <v>0.44828639999999997</v>
      </c>
      <c r="Z7393">
        <v>8.6688269999999998E-2</v>
      </c>
      <c r="AA7393">
        <v>0.88967659999999904</v>
      </c>
      <c r="AB7393">
        <v>23</v>
      </c>
      <c r="AC7393">
        <v>3.0646360000000001</v>
      </c>
      <c r="AD7393">
        <v>0.33453820000000001</v>
      </c>
      <c r="AE7393">
        <v>0.66137699999999999</v>
      </c>
      <c r="AF7393">
        <v>1.4066408460840301</v>
      </c>
      <c r="AG7393">
        <v>0.33453820000000001</v>
      </c>
      <c r="AH7393">
        <v>2.76237376199935</v>
      </c>
      <c r="AI7393">
        <v>83.840522955890904</v>
      </c>
      <c r="AJ7393">
        <v>63.014144657610203</v>
      </c>
      <c r="AK7393">
        <v>3.1178940132906501</v>
      </c>
      <c r="AL7393">
        <v>90.642839487197804</v>
      </c>
      <c r="AM7393">
        <v>78.748816320194607</v>
      </c>
      <c r="AN7393">
        <v>0.99999997997633205</v>
      </c>
    </row>
    <row r="7394" spans="1:40" x14ac:dyDescent="0.25">
      <c r="A7394" t="str">
        <f>"20190312161502695"</f>
        <v>20190312161502695</v>
      </c>
      <c r="B7394" t="str">
        <f>"1552378502684610"</f>
        <v>1552378502684610</v>
      </c>
      <c r="C7394" t="s">
        <v>40</v>
      </c>
      <c r="D7394">
        <v>5.3197650000000003</v>
      </c>
      <c r="E7394">
        <v>0.61340790000000001</v>
      </c>
      <c r="F7394" t="s">
        <v>42</v>
      </c>
      <c r="G7394">
        <v>-150.58539999999999</v>
      </c>
      <c r="H7394" s="1">
        <v>-4.0678110000000003E-6</v>
      </c>
      <c r="I7394">
        <v>139.35319999999999</v>
      </c>
      <c r="J7394">
        <v>-176.88380000000001</v>
      </c>
      <c r="K7394">
        <v>1.1016159999999999</v>
      </c>
      <c r="L7394">
        <v>134.9392</v>
      </c>
      <c r="M7394">
        <v>0.77961939999999996</v>
      </c>
      <c r="N7394">
        <v>0</v>
      </c>
      <c r="O7394">
        <v>0.62606410000000001</v>
      </c>
      <c r="P7394">
        <v>0.88676549999999998</v>
      </c>
      <c r="Q7394">
        <v>-2.211254E-2</v>
      </c>
      <c r="R7394">
        <v>0.4616904</v>
      </c>
      <c r="S7394">
        <v>3.1122589999999999</v>
      </c>
      <c r="T7394">
        <v>-0.12989039999999999</v>
      </c>
      <c r="U7394">
        <v>0.52857969999999999</v>
      </c>
      <c r="V7394">
        <v>0.19506209999999999</v>
      </c>
      <c r="W7394">
        <v>-1.110891E-2</v>
      </c>
      <c r="X7394">
        <v>0.98072800000000004</v>
      </c>
      <c r="Y7394">
        <v>0.48589159999999998</v>
      </c>
      <c r="Z7394">
        <v>-3.4065280000000003E-2</v>
      </c>
      <c r="AA7394">
        <v>0.87335499999999899</v>
      </c>
      <c r="AB7394">
        <v>23</v>
      </c>
      <c r="AC7394">
        <v>26.298400000000001</v>
      </c>
      <c r="AD7394">
        <v>-1.101620067811</v>
      </c>
      <c r="AE7394">
        <v>4.4139999999999802</v>
      </c>
      <c r="AF7394">
        <v>13.0025991634077</v>
      </c>
      <c r="AG7394">
        <v>-1.101620067811</v>
      </c>
      <c r="AH7394">
        <v>23.229307334291001</v>
      </c>
      <c r="AI7394">
        <v>92.369655681698205</v>
      </c>
      <c r="AJ7394">
        <v>60.762089717681</v>
      </c>
      <c r="AK7394">
        <v>26.643608445722901</v>
      </c>
      <c r="AL7394">
        <v>90.636506737146306</v>
      </c>
      <c r="AM7394">
        <v>78.7509457186285</v>
      </c>
      <c r="AN7394">
        <v>1.0000000203608901</v>
      </c>
    </row>
    <row r="7395" spans="1:40" x14ac:dyDescent="0.25">
      <c r="A7395" t="str">
        <f>"20190312161502708"</f>
        <v>20190312161502708</v>
      </c>
      <c r="B7395" t="str">
        <f>"1552378502704129"</f>
        <v>1552378502704129</v>
      </c>
      <c r="C7395" t="s">
        <v>40</v>
      </c>
      <c r="D7395">
        <v>5.3052859999999997</v>
      </c>
      <c r="E7395">
        <v>0.60529330000000003</v>
      </c>
      <c r="F7395" t="s">
        <v>43</v>
      </c>
      <c r="G7395">
        <v>-176.22980000000001</v>
      </c>
      <c r="H7395">
        <v>1.1837359999999999</v>
      </c>
      <c r="I7395">
        <v>135.0652</v>
      </c>
      <c r="J7395">
        <v>-176.77619999999999</v>
      </c>
      <c r="K7395">
        <v>1.1016330000000001</v>
      </c>
      <c r="L7395">
        <v>135.01519999999999</v>
      </c>
      <c r="M7395">
        <v>0.78443180000000001</v>
      </c>
      <c r="N7395">
        <v>0</v>
      </c>
      <c r="O7395">
        <v>0.62002369999999996</v>
      </c>
      <c r="P7395">
        <v>0.89021039999999996</v>
      </c>
      <c r="Q7395">
        <v>-2.2478459999999999E-2</v>
      </c>
      <c r="R7395">
        <v>0.45499460000000003</v>
      </c>
      <c r="S7395">
        <v>3.0835569999999999</v>
      </c>
      <c r="T7395">
        <v>0.38715680000000002</v>
      </c>
      <c r="U7395">
        <v>0.59384159999999997</v>
      </c>
      <c r="V7395">
        <v>0.19486490000000001</v>
      </c>
      <c r="W7395">
        <v>-1.146374E-2</v>
      </c>
      <c r="X7395">
        <v>0.9807631</v>
      </c>
      <c r="Y7395">
        <v>0.45321499999999998</v>
      </c>
      <c r="Z7395">
        <v>9.9205119999999994E-2</v>
      </c>
      <c r="AA7395">
        <v>0.88586369999999903</v>
      </c>
      <c r="AB7395">
        <v>23</v>
      </c>
      <c r="AC7395">
        <v>0.54639999999997702</v>
      </c>
      <c r="AD7395">
        <v>8.2102999999999995E-2</v>
      </c>
      <c r="AE7395">
        <v>5.0000000000011299E-2</v>
      </c>
      <c r="AF7395">
        <v>0.29303357815914199</v>
      </c>
      <c r="AG7395">
        <v>8.2102999999999995E-2</v>
      </c>
      <c r="AH7395">
        <v>0.44960219661461998</v>
      </c>
      <c r="AI7395">
        <v>81.301929657959406</v>
      </c>
      <c r="AJ7395">
        <v>56.905223693675303</v>
      </c>
      <c r="AK7395">
        <v>0.54291041225826697</v>
      </c>
      <c r="AL7395">
        <v>90.656838305015498</v>
      </c>
      <c r="AM7395">
        <v>78.762420444958707</v>
      </c>
      <c r="AN7395">
        <v>1.0000000024542</v>
      </c>
    </row>
    <row r="7396" spans="1:40" x14ac:dyDescent="0.25">
      <c r="A7396" t="str">
        <f>"20190312161502719"</f>
        <v>20190312161502719</v>
      </c>
      <c r="B7396" t="str">
        <f>"1552378502713890"</f>
        <v>1552378502713890</v>
      </c>
      <c r="C7396" t="s">
        <v>40</v>
      </c>
      <c r="D7396">
        <v>5.3378069999999997</v>
      </c>
      <c r="E7396">
        <v>0.60088160000000002</v>
      </c>
      <c r="F7396" t="s">
        <v>44</v>
      </c>
      <c r="G7396">
        <v>0</v>
      </c>
      <c r="H7396">
        <v>0</v>
      </c>
      <c r="I7396">
        <v>0</v>
      </c>
      <c r="J7396">
        <v>-176.6756</v>
      </c>
      <c r="K7396">
        <v>1.101647</v>
      </c>
      <c r="L7396">
        <v>135.08439999999999</v>
      </c>
      <c r="M7396">
        <v>0.7888482</v>
      </c>
      <c r="N7396">
        <v>0</v>
      </c>
      <c r="O7396">
        <v>0.61439519999999903</v>
      </c>
      <c r="P7396">
        <v>0.89342180000000004</v>
      </c>
      <c r="Q7396">
        <v>-2.2417840000000001E-2</v>
      </c>
      <c r="R7396">
        <v>0.44865919999999998</v>
      </c>
      <c r="S7396">
        <v>3.0578159999999999</v>
      </c>
      <c r="T7396">
        <v>0.32269910000000002</v>
      </c>
      <c r="U7396">
        <v>0.62675479999999995</v>
      </c>
      <c r="V7396">
        <v>0.1948172</v>
      </c>
      <c r="W7396">
        <v>-1.1396160000000001E-2</v>
      </c>
      <c r="X7396">
        <v>0.98077340000000002</v>
      </c>
      <c r="Y7396">
        <v>0.43847720000000001</v>
      </c>
      <c r="Z7396">
        <v>8.2112450000000003E-2</v>
      </c>
      <c r="AA7396">
        <v>0.89498339999999998</v>
      </c>
      <c r="AB7396">
        <v>23</v>
      </c>
      <c r="AC7396">
        <v>3.0578159999999999</v>
      </c>
      <c r="AD7396">
        <v>0.32269910000000002</v>
      </c>
      <c r="AE7396">
        <v>0.62675479999999995</v>
      </c>
      <c r="AF7396">
        <v>1.36981646123517</v>
      </c>
      <c r="AG7396">
        <v>0.32269910000000002</v>
      </c>
      <c r="AH7396">
        <v>2.7679750290105698</v>
      </c>
      <c r="AI7396">
        <v>84.034913343000298</v>
      </c>
      <c r="AJ7396">
        <v>63.6700963572858</v>
      </c>
      <c r="AK7396">
        <v>3.10519204041195</v>
      </c>
      <c r="AL7396">
        <v>90.652965980070803</v>
      </c>
      <c r="AM7396">
        <v>78.7652162430159</v>
      </c>
      <c r="AN7396">
        <v>1.00000003801307</v>
      </c>
    </row>
    <row r="7397" spans="1:40" x14ac:dyDescent="0.25">
      <c r="A7397" t="str">
        <f>"20190312161502731"</f>
        <v>20190312161502731</v>
      </c>
      <c r="B7397" t="str">
        <f>"1552378502724625"</f>
        <v>1552378502724625</v>
      </c>
      <c r="C7397" t="s">
        <v>40</v>
      </c>
      <c r="D7397">
        <v>5.7546549999999996</v>
      </c>
      <c r="E7397">
        <v>0.60309179999999996</v>
      </c>
      <c r="F7397" t="s">
        <v>44</v>
      </c>
      <c r="G7397">
        <v>0</v>
      </c>
      <c r="H7397">
        <v>0</v>
      </c>
      <c r="I7397">
        <v>0</v>
      </c>
      <c r="J7397">
        <v>-176.57380000000001</v>
      </c>
      <c r="K7397">
        <v>1.1016629999999901</v>
      </c>
      <c r="L7397">
        <v>135.15389999999999</v>
      </c>
      <c r="M7397">
        <v>0.79326680000000005</v>
      </c>
      <c r="N7397">
        <v>0</v>
      </c>
      <c r="O7397">
        <v>0.60867939999999998</v>
      </c>
      <c r="P7397">
        <v>0.89663150000000003</v>
      </c>
      <c r="Q7397">
        <v>-2.2709440000000001E-2</v>
      </c>
      <c r="R7397">
        <v>0.4421948</v>
      </c>
      <c r="S7397">
        <v>3.0460210000000001</v>
      </c>
      <c r="T7397">
        <v>0.29833759999999998</v>
      </c>
      <c r="U7397">
        <v>0.63587950000000004</v>
      </c>
      <c r="V7397">
        <v>0.194804</v>
      </c>
      <c r="W7397">
        <v>-1.16817E-2</v>
      </c>
      <c r="X7397">
        <v>0.98077259999999999</v>
      </c>
      <c r="Y7397">
        <v>0.42948130000000001</v>
      </c>
      <c r="Z7397">
        <v>7.5334440000000003E-2</v>
      </c>
      <c r="AA7397">
        <v>0.89992809999999901</v>
      </c>
      <c r="AB7397">
        <v>23</v>
      </c>
      <c r="AC7397">
        <v>3.0460210000000001</v>
      </c>
      <c r="AD7397">
        <v>0.29833759999999998</v>
      </c>
      <c r="AE7397">
        <v>0.63587950000000004</v>
      </c>
      <c r="AF7397">
        <v>1.33749356061584</v>
      </c>
      <c r="AG7397">
        <v>0.29833759999999998</v>
      </c>
      <c r="AH7397">
        <v>2.7781489792513199</v>
      </c>
      <c r="AI7397">
        <v>84.473387357325507</v>
      </c>
      <c r="AJ7397">
        <v>64.292285153295794</v>
      </c>
      <c r="AK7397">
        <v>3.0977420969437999</v>
      </c>
      <c r="AL7397">
        <v>90.669327346679196</v>
      </c>
      <c r="AM7397">
        <v>78.765949173974406</v>
      </c>
      <c r="AN7397">
        <v>0.99999997672082397</v>
      </c>
    </row>
    <row r="7398" spans="1:40" x14ac:dyDescent="0.25">
      <c r="A7398" t="str">
        <f>"20190312161502743"</f>
        <v>20190312161502743</v>
      </c>
      <c r="B7398" t="str">
        <f>"1552378502734385"</f>
        <v>1552378502734385</v>
      </c>
      <c r="C7398" t="s">
        <v>40</v>
      </c>
      <c r="D7398">
        <v>5.5386949999999997</v>
      </c>
      <c r="E7398">
        <v>0.60309179999999996</v>
      </c>
      <c r="F7398" t="s">
        <v>43</v>
      </c>
      <c r="G7398">
        <v>-175.82239999999999</v>
      </c>
      <c r="H7398">
        <v>1.1792670000000001</v>
      </c>
      <c r="I7398">
        <v>135.30090000000001</v>
      </c>
      <c r="J7398">
        <v>-176.47040000000001</v>
      </c>
      <c r="K7398">
        <v>1.1016779999999999</v>
      </c>
      <c r="L7398">
        <v>135.22309999999999</v>
      </c>
      <c r="M7398">
        <v>0.79768680000000003</v>
      </c>
      <c r="N7398">
        <v>0</v>
      </c>
      <c r="O7398">
        <v>0.60287539999999995</v>
      </c>
      <c r="P7398">
        <v>0.8997579</v>
      </c>
      <c r="Q7398">
        <v>-2.290389E-2</v>
      </c>
      <c r="R7398">
        <v>0.43578810000000001</v>
      </c>
      <c r="S7398">
        <v>3.0586850000000001</v>
      </c>
      <c r="T7398">
        <v>0.31589329999999999</v>
      </c>
      <c r="U7398">
        <v>0.59855649999999905</v>
      </c>
      <c r="V7398">
        <v>0.19463730000000001</v>
      </c>
      <c r="W7398">
        <v>-1.186657E-2</v>
      </c>
      <c r="X7398">
        <v>0.98080350000000005</v>
      </c>
      <c r="Y7398">
        <v>0.43369360000000001</v>
      </c>
      <c r="Z7398">
        <v>7.9329449999999996E-2</v>
      </c>
      <c r="AA7398">
        <v>0.89756159999999996</v>
      </c>
      <c r="AB7398">
        <v>23</v>
      </c>
      <c r="AC7398">
        <v>0.648000000000024</v>
      </c>
      <c r="AD7398">
        <v>7.7588999999999894E-2</v>
      </c>
      <c r="AE7398">
        <v>7.7800000000024697E-2</v>
      </c>
      <c r="AF7398">
        <v>0.32406220122762203</v>
      </c>
      <c r="AG7398">
        <v>7.7588999999999894E-2</v>
      </c>
      <c r="AH7398">
        <v>0.55601343693222804</v>
      </c>
      <c r="AI7398">
        <v>83.125456848012803</v>
      </c>
      <c r="AJ7398">
        <v>59.765016197943503</v>
      </c>
      <c r="AK7398">
        <v>0.648218562858764</v>
      </c>
      <c r="AL7398">
        <v>90.679920336271707</v>
      </c>
      <c r="AM7398">
        <v>78.775662971249304</v>
      </c>
      <c r="AN7398">
        <v>0.99999999982355203</v>
      </c>
    </row>
    <row r="7399" spans="1:40" x14ac:dyDescent="0.25">
      <c r="A7399" t="str">
        <f>"20190312161502755"</f>
        <v>20190312161502755</v>
      </c>
      <c r="B7399" t="str">
        <f>"1552378502744145"</f>
        <v>1552378502744145</v>
      </c>
      <c r="C7399" t="s">
        <v>40</v>
      </c>
      <c r="D7399">
        <v>5.3750150000000003</v>
      </c>
      <c r="E7399">
        <v>0.6038886</v>
      </c>
      <c r="F7399" t="s">
        <v>44</v>
      </c>
      <c r="G7399">
        <v>0</v>
      </c>
      <c r="H7399">
        <v>0</v>
      </c>
      <c r="I7399">
        <v>0</v>
      </c>
      <c r="J7399">
        <v>-176.3647</v>
      </c>
      <c r="K7399">
        <v>1.101693</v>
      </c>
      <c r="L7399">
        <v>135.2928</v>
      </c>
      <c r="M7399">
        <v>0.80213710000000005</v>
      </c>
      <c r="N7399">
        <v>0</v>
      </c>
      <c r="O7399">
        <v>0.59694139999999996</v>
      </c>
      <c r="P7399">
        <v>0.90289169999999996</v>
      </c>
      <c r="Q7399">
        <v>-2.3197539999999999E-2</v>
      </c>
      <c r="R7399">
        <v>0.42924200000000001</v>
      </c>
      <c r="S7399">
        <v>3.0628199999999999</v>
      </c>
      <c r="T7399">
        <v>0.31558019999999998</v>
      </c>
      <c r="U7399">
        <v>0.57695010000000002</v>
      </c>
      <c r="V7399">
        <v>0.1944746</v>
      </c>
      <c r="W7399">
        <v>-1.2150869999999999E-2</v>
      </c>
      <c r="X7399">
        <v>0.98083229999999999</v>
      </c>
      <c r="Y7399">
        <v>0.43339240000000001</v>
      </c>
      <c r="Z7399">
        <v>7.8742210000000007E-2</v>
      </c>
      <c r="AA7399">
        <v>0.89775869999999902</v>
      </c>
      <c r="AB7399">
        <v>23</v>
      </c>
      <c r="AC7399">
        <v>3.0628199999999999</v>
      </c>
      <c r="AD7399">
        <v>0.31558019999999998</v>
      </c>
      <c r="AE7399">
        <v>0.57695010000000002</v>
      </c>
      <c r="AF7399">
        <v>1.3518330734680599</v>
      </c>
      <c r="AG7399">
        <v>0.31558019999999998</v>
      </c>
      <c r="AH7399">
        <v>2.77310750459226</v>
      </c>
      <c r="AI7399">
        <v>84.1593500039086</v>
      </c>
      <c r="AJ7399">
        <v>64.011715217781699</v>
      </c>
      <c r="AK7399">
        <v>3.1011560349618099</v>
      </c>
      <c r="AL7399">
        <v>90.696210695959493</v>
      </c>
      <c r="AM7399">
        <v>78.785128584152801</v>
      </c>
      <c r="AN7399">
        <v>1.0000000072051001</v>
      </c>
    </row>
    <row r="7400" spans="1:40" x14ac:dyDescent="0.25">
      <c r="A7400" t="str">
        <f>"20190312161502772"</f>
        <v>20190312161502772</v>
      </c>
      <c r="B7400" t="str">
        <f>"1552378502764640"</f>
        <v>1552378502764640</v>
      </c>
      <c r="C7400" t="s">
        <v>40</v>
      </c>
      <c r="D7400">
        <v>5.7400630000000001</v>
      </c>
      <c r="E7400">
        <v>0.60176409999999902</v>
      </c>
      <c r="F7400" t="s">
        <v>43</v>
      </c>
      <c r="G7400">
        <v>-175.63159999999999</v>
      </c>
      <c r="H7400">
        <v>1.1788590000000001</v>
      </c>
      <c r="I7400">
        <v>135.4239</v>
      </c>
      <c r="J7400">
        <v>-176.2158</v>
      </c>
      <c r="K7400">
        <v>1.1017159999999999</v>
      </c>
      <c r="L7400">
        <v>135.38929999999999</v>
      </c>
      <c r="M7400">
        <v>0.80830409999999997</v>
      </c>
      <c r="N7400">
        <v>0</v>
      </c>
      <c r="O7400">
        <v>0.58856399999999998</v>
      </c>
      <c r="P7400">
        <v>0.90717139999999996</v>
      </c>
      <c r="Q7400">
        <v>-2.3370309999999998E-2</v>
      </c>
      <c r="R7400">
        <v>0.42011199999999999</v>
      </c>
      <c r="S7400">
        <v>3.0698089999999998</v>
      </c>
      <c r="T7400">
        <v>0.32312600000000002</v>
      </c>
      <c r="U7400">
        <v>0.54931640000000004</v>
      </c>
      <c r="V7400">
        <v>0.19415930000000001</v>
      </c>
      <c r="W7400">
        <v>-1.2308650000000001E-2</v>
      </c>
      <c r="X7400">
        <v>0.98089280000000001</v>
      </c>
      <c r="Y7400">
        <v>0.4320408</v>
      </c>
      <c r="Z7400">
        <v>7.978143E-2</v>
      </c>
      <c r="AA7400">
        <v>0.89831830000000001</v>
      </c>
      <c r="AB7400">
        <v>23</v>
      </c>
      <c r="AC7400">
        <v>0.58420000000000905</v>
      </c>
      <c r="AD7400">
        <v>7.71430000000001E-2</v>
      </c>
      <c r="AE7400">
        <v>3.4600000000011698E-2</v>
      </c>
      <c r="AF7400">
        <v>0.31051370977488602</v>
      </c>
      <c r="AG7400">
        <v>7.71430000000001E-2</v>
      </c>
      <c r="AH7400">
        <v>0.48422012815169901</v>
      </c>
      <c r="AI7400">
        <v>82.361726930639406</v>
      </c>
      <c r="AJ7400">
        <v>57.329343954069998</v>
      </c>
      <c r="AK7400">
        <v>0.58037827226250405</v>
      </c>
      <c r="AL7400">
        <v>90.705251497541298</v>
      </c>
      <c r="AM7400">
        <v>78.803524549289193</v>
      </c>
      <c r="AN7400">
        <v>1.0000000108665701</v>
      </c>
    </row>
    <row r="7401" spans="1:40" x14ac:dyDescent="0.25">
      <c r="A7401" t="str">
        <f>"20190312161502786"</f>
        <v>20190312161502786</v>
      </c>
      <c r="B7401" t="str">
        <f>"1552378502774400"</f>
        <v>1552378502774400</v>
      </c>
      <c r="C7401" t="s">
        <v>40</v>
      </c>
      <c r="D7401">
        <v>5.1750350000000003</v>
      </c>
      <c r="E7401">
        <v>0.60247919999999999</v>
      </c>
      <c r="F7401" t="s">
        <v>43</v>
      </c>
      <c r="G7401">
        <v>-175.4298</v>
      </c>
      <c r="H7401">
        <v>1.178917</v>
      </c>
      <c r="I7401">
        <v>135.52600000000001</v>
      </c>
      <c r="J7401">
        <v>-176.09209999999999</v>
      </c>
      <c r="K7401">
        <v>1.1017319999999999</v>
      </c>
      <c r="L7401">
        <v>135.46780000000001</v>
      </c>
      <c r="M7401">
        <v>0.81332899999999997</v>
      </c>
      <c r="N7401">
        <v>0</v>
      </c>
      <c r="O7401">
        <v>0.58160040000000002</v>
      </c>
      <c r="P7401">
        <v>0.91039999999999999</v>
      </c>
      <c r="Q7401">
        <v>-2.361313E-2</v>
      </c>
      <c r="R7401">
        <v>0.41305510000000001</v>
      </c>
      <c r="S7401">
        <v>3.0676570000000001</v>
      </c>
      <c r="T7401">
        <v>0.30131219999999997</v>
      </c>
      <c r="U7401">
        <v>0.53352359999999999</v>
      </c>
      <c r="V7401">
        <v>0.19334409999999999</v>
      </c>
      <c r="W7401">
        <v>-1.252639E-2</v>
      </c>
      <c r="X7401">
        <v>0.98105100000000001</v>
      </c>
      <c r="Y7401">
        <v>0.42935849999999998</v>
      </c>
      <c r="Z7401">
        <v>7.3856099999999994E-2</v>
      </c>
      <c r="AA7401">
        <v>0.90010919999999905</v>
      </c>
      <c r="AB7401">
        <v>23</v>
      </c>
      <c r="AC7401">
        <v>0.66229999999998701</v>
      </c>
      <c r="AD7401">
        <v>7.7185000000000004E-2</v>
      </c>
      <c r="AE7401">
        <v>5.8199999999999301E-2</v>
      </c>
      <c r="AF7401">
        <v>0.33340469990621102</v>
      </c>
      <c r="AG7401">
        <v>7.7185000000000004E-2</v>
      </c>
      <c r="AH7401">
        <v>0.56497027508099296</v>
      </c>
      <c r="AI7401">
        <v>83.289537369734205</v>
      </c>
      <c r="AJ7401">
        <v>59.453961221049603</v>
      </c>
      <c r="AK7401">
        <v>0.66053586569515199</v>
      </c>
      <c r="AL7401">
        <v>90.717728080334894</v>
      </c>
      <c r="AM7401">
        <v>78.851106860526201</v>
      </c>
      <c r="AN7401">
        <v>0.99999995802611996</v>
      </c>
    </row>
    <row r="7402" spans="1:40" x14ac:dyDescent="0.25">
      <c r="A7402" t="str">
        <f>"20190312161502800"</f>
        <v>20190312161502800</v>
      </c>
      <c r="B7402" t="str">
        <f>"1552378502793921"</f>
        <v>1552378502793921</v>
      </c>
      <c r="C7402" t="s">
        <v>40</v>
      </c>
      <c r="D7402">
        <v>5.7601279999999999</v>
      </c>
      <c r="E7402">
        <v>0.60256989999999999</v>
      </c>
      <c r="F7402" t="s">
        <v>44</v>
      </c>
      <c r="G7402">
        <v>0</v>
      </c>
      <c r="H7402">
        <v>0</v>
      </c>
      <c r="I7402">
        <v>0</v>
      </c>
      <c r="J7402">
        <v>-175.97</v>
      </c>
      <c r="K7402">
        <v>1.1017539999999999</v>
      </c>
      <c r="L7402">
        <v>135.54349999999999</v>
      </c>
      <c r="M7402">
        <v>0.81819839999999999</v>
      </c>
      <c r="N7402">
        <v>0</v>
      </c>
      <c r="O7402">
        <v>0.57472999999999996</v>
      </c>
      <c r="P7402">
        <v>0.91369460000000002</v>
      </c>
      <c r="Q7402">
        <v>-2.3892719999999999E-2</v>
      </c>
      <c r="R7402">
        <v>0.40569860000000002</v>
      </c>
      <c r="S7402">
        <v>3.0740810000000001</v>
      </c>
      <c r="T7402">
        <v>0.29833009999999999</v>
      </c>
      <c r="U7402">
        <v>0.50448609999999905</v>
      </c>
      <c r="V7402">
        <v>0.1929852</v>
      </c>
      <c r="W7402">
        <v>-1.2792390000000001E-2</v>
      </c>
      <c r="X7402">
        <v>0.9811183</v>
      </c>
      <c r="Y7402">
        <v>0.4304598</v>
      </c>
      <c r="Z7402">
        <v>7.2594199999999998E-2</v>
      </c>
      <c r="AA7402">
        <v>0.89968570000000003</v>
      </c>
      <c r="AB7402">
        <v>23</v>
      </c>
      <c r="AC7402">
        <v>3.0740810000000001</v>
      </c>
      <c r="AD7402">
        <v>0.29833009999999999</v>
      </c>
      <c r="AE7402">
        <v>0.50448609999999905</v>
      </c>
      <c r="AF7402">
        <v>1.34185093703088</v>
      </c>
      <c r="AG7402">
        <v>0.29833009999999999</v>
      </c>
      <c r="AH7402">
        <v>2.7799880739287</v>
      </c>
      <c r="AI7402">
        <v>84.479839577226798</v>
      </c>
      <c r="AJ7402">
        <v>64.234220515568396</v>
      </c>
      <c r="AK7402">
        <v>3.1012736862396499</v>
      </c>
      <c r="AL7402">
        <v>90.732969930200895</v>
      </c>
      <c r="AM7402">
        <v>78.872029549132193</v>
      </c>
      <c r="AN7402">
        <v>1.00000002562792</v>
      </c>
    </row>
    <row r="7403" spans="1:40" x14ac:dyDescent="0.25">
      <c r="A7403" t="str">
        <f>"20190312161502819"</f>
        <v>20190312161502819</v>
      </c>
      <c r="B7403" t="str">
        <f>"1552378502814416"</f>
        <v>1552378502814416</v>
      </c>
      <c r="C7403" t="s">
        <v>40</v>
      </c>
      <c r="D7403">
        <v>5.4163269999999999</v>
      </c>
      <c r="E7403">
        <v>0.60227030000000004</v>
      </c>
      <c r="F7403" t="s">
        <v>44</v>
      </c>
      <c r="G7403">
        <v>0</v>
      </c>
      <c r="H7403">
        <v>0</v>
      </c>
      <c r="I7403">
        <v>0</v>
      </c>
      <c r="J7403">
        <v>-175.8022</v>
      </c>
      <c r="K7403">
        <v>1.1017790000000001</v>
      </c>
      <c r="L7403">
        <v>135.6455</v>
      </c>
      <c r="M7403">
        <v>0.82475909999999997</v>
      </c>
      <c r="N7403">
        <v>0</v>
      </c>
      <c r="O7403">
        <v>0.56527499999999997</v>
      </c>
      <c r="P7403">
        <v>0.91806270000000001</v>
      </c>
      <c r="Q7403">
        <v>-2.481204E-2</v>
      </c>
      <c r="R7403">
        <v>0.39565800000000001</v>
      </c>
      <c r="S7403">
        <v>3.0784609999999999</v>
      </c>
      <c r="T7403">
        <v>0.29886780000000002</v>
      </c>
      <c r="U7403">
        <v>0.47904970000000002</v>
      </c>
      <c r="V7403">
        <v>0.19241659999999999</v>
      </c>
      <c r="W7403">
        <v>-1.3691969999999999E-2</v>
      </c>
      <c r="X7403">
        <v>0.98121780000000003</v>
      </c>
      <c r="Y7403">
        <v>0.42757279999999998</v>
      </c>
      <c r="Z7403">
        <v>7.1823269999999995E-2</v>
      </c>
      <c r="AA7403">
        <v>0.90112320000000001</v>
      </c>
      <c r="AB7403">
        <v>23</v>
      </c>
      <c r="AC7403">
        <v>3.0784609999999999</v>
      </c>
      <c r="AD7403">
        <v>0.29886780000000002</v>
      </c>
      <c r="AE7403">
        <v>0.47904970000000002</v>
      </c>
      <c r="AF7403">
        <v>1.3329691218831199</v>
      </c>
      <c r="AG7403">
        <v>0.29886780000000002</v>
      </c>
      <c r="AH7403">
        <v>2.7844920808668898</v>
      </c>
      <c r="AI7403">
        <v>84.470328195020798</v>
      </c>
      <c r="AJ7403">
        <v>64.419013233015093</v>
      </c>
      <c r="AK7403">
        <v>3.10153587601065</v>
      </c>
      <c r="AL7403">
        <v>90.784516612050197</v>
      </c>
      <c r="AM7403">
        <v>78.905098796020297</v>
      </c>
      <c r="AN7403">
        <v>0.99999999451744004</v>
      </c>
    </row>
    <row r="7404" spans="1:40" x14ac:dyDescent="0.25">
      <c r="A7404" t="str">
        <f>"20190312161502840"</f>
        <v>20190312161502840</v>
      </c>
      <c r="B7404" t="str">
        <f>"1552378502833937"</f>
        <v>1552378502833937</v>
      </c>
      <c r="C7404" t="s">
        <v>40</v>
      </c>
      <c r="D7404">
        <v>5.7725580000000001</v>
      </c>
      <c r="E7404">
        <v>0.60114160000000005</v>
      </c>
      <c r="F7404" t="s">
        <v>44</v>
      </c>
      <c r="G7404">
        <v>0</v>
      </c>
      <c r="H7404">
        <v>0</v>
      </c>
      <c r="I7404">
        <v>0</v>
      </c>
      <c r="J7404">
        <v>-175.6061</v>
      </c>
      <c r="K7404">
        <v>1.1018030000000001</v>
      </c>
      <c r="L7404">
        <v>135.76140000000001</v>
      </c>
      <c r="M7404">
        <v>0.83223189999999903</v>
      </c>
      <c r="N7404">
        <v>0</v>
      </c>
      <c r="O7404">
        <v>0.55421450000000005</v>
      </c>
      <c r="P7404">
        <v>0.92290499999999998</v>
      </c>
      <c r="Q7404">
        <v>-2.531044E-2</v>
      </c>
      <c r="R7404">
        <v>0.38419520000000001</v>
      </c>
      <c r="S7404">
        <v>3.0829620000000002</v>
      </c>
      <c r="T7404">
        <v>0.29486020000000002</v>
      </c>
      <c r="U7404">
        <v>0.44728089999999998</v>
      </c>
      <c r="V7404">
        <v>0.19151969999999999</v>
      </c>
      <c r="W7404">
        <v>-1.416219E-2</v>
      </c>
      <c r="X7404">
        <v>0.9813866</v>
      </c>
      <c r="Y7404">
        <v>0.42496669999999998</v>
      </c>
      <c r="Z7404">
        <v>6.9867739999999998E-2</v>
      </c>
      <c r="AA7404">
        <v>0.90250859999999999</v>
      </c>
      <c r="AB7404">
        <v>23</v>
      </c>
      <c r="AC7404">
        <v>3.0829620000000002</v>
      </c>
      <c r="AD7404">
        <v>0.29486020000000002</v>
      </c>
      <c r="AE7404">
        <v>0.44728089999999998</v>
      </c>
      <c r="AF7404">
        <v>1.32467130982645</v>
      </c>
      <c r="AG7404">
        <v>0.29486020000000002</v>
      </c>
      <c r="AH7404">
        <v>2.7889755898441599</v>
      </c>
      <c r="AI7404">
        <v>84.544861817115802</v>
      </c>
      <c r="AJ7404">
        <v>64.593825593406095</v>
      </c>
      <c r="AK7404">
        <v>3.1016256152811099</v>
      </c>
      <c r="AL7404">
        <v>90.811460833831703</v>
      </c>
      <c r="AM7404">
        <v>78.957393305542695</v>
      </c>
      <c r="AN7404">
        <v>1.00000001088662</v>
      </c>
    </row>
    <row r="7405" spans="1:40" x14ac:dyDescent="0.25">
      <c r="A7405" t="str">
        <f>"20190312161502853"</f>
        <v>20190312161502853</v>
      </c>
      <c r="B7405" t="str">
        <f>"1552378502844673"</f>
        <v>1552378502844673</v>
      </c>
      <c r="C7405" t="s">
        <v>40</v>
      </c>
      <c r="D7405">
        <v>5.1775729999999998</v>
      </c>
      <c r="E7405">
        <v>0.60073399999999999</v>
      </c>
      <c r="F7405" t="s">
        <v>44</v>
      </c>
      <c r="G7405">
        <v>0</v>
      </c>
      <c r="H7405">
        <v>0</v>
      </c>
      <c r="I7405">
        <v>0</v>
      </c>
      <c r="J7405">
        <v>-175.49430000000001</v>
      </c>
      <c r="K7405">
        <v>1.101812</v>
      </c>
      <c r="L7405">
        <v>135.82599999999999</v>
      </c>
      <c r="M7405">
        <v>0.83640590000000004</v>
      </c>
      <c r="N7405">
        <v>0</v>
      </c>
      <c r="O7405">
        <v>0.54789500000000002</v>
      </c>
      <c r="P7405">
        <v>0.92570350000000001</v>
      </c>
      <c r="Q7405">
        <v>-2.5815919999999999E-2</v>
      </c>
      <c r="R7405">
        <v>0.37736799999999998</v>
      </c>
      <c r="S7405">
        <v>3.0847470000000001</v>
      </c>
      <c r="T7405">
        <v>0.28424440000000001</v>
      </c>
      <c r="U7405">
        <v>0.41717530000000003</v>
      </c>
      <c r="V7405">
        <v>0.1913175</v>
      </c>
      <c r="W7405">
        <v>-1.4659230000000001E-2</v>
      </c>
      <c r="X7405">
        <v>0.98141869999999998</v>
      </c>
      <c r="Y7405">
        <v>0.42712810000000001</v>
      </c>
      <c r="Z7405">
        <v>6.7021529999999996E-2</v>
      </c>
      <c r="AA7405">
        <v>0.90170380000000006</v>
      </c>
      <c r="AB7405">
        <v>23</v>
      </c>
      <c r="AC7405">
        <v>3.0847470000000001</v>
      </c>
      <c r="AD7405">
        <v>0.28424440000000001</v>
      </c>
      <c r="AE7405">
        <v>0.41717530000000003</v>
      </c>
      <c r="AF7405">
        <v>1.3302560519470099</v>
      </c>
      <c r="AG7405">
        <v>0.28424440000000001</v>
      </c>
      <c r="AH7405">
        <v>2.7857722776867302</v>
      </c>
      <c r="AI7405">
        <v>84.739308664888199</v>
      </c>
      <c r="AJ7405">
        <v>64.474690751536897</v>
      </c>
      <c r="AK7405">
        <v>3.1001456781578698</v>
      </c>
      <c r="AL7405">
        <v>90.8399421184061</v>
      </c>
      <c r="AM7405">
        <v>78.969117549825</v>
      </c>
      <c r="AN7405">
        <v>0.99999997177006505</v>
      </c>
    </row>
    <row r="7406" spans="1:40" x14ac:dyDescent="0.25">
      <c r="A7406" t="str">
        <f>"20190312161502867"</f>
        <v>20190312161502867</v>
      </c>
      <c r="B7406" t="str">
        <f>"1552378502854433"</f>
        <v>1552378502854433</v>
      </c>
      <c r="C7406" t="s">
        <v>40</v>
      </c>
      <c r="D7406">
        <v>5.7720029999999998</v>
      </c>
      <c r="E7406">
        <v>0.60052890000000003</v>
      </c>
      <c r="F7406" t="s">
        <v>44</v>
      </c>
      <c r="G7406">
        <v>0</v>
      </c>
      <c r="H7406">
        <v>0</v>
      </c>
      <c r="I7406">
        <v>0</v>
      </c>
      <c r="J7406">
        <v>-175.36259999999999</v>
      </c>
      <c r="K7406">
        <v>1.101828</v>
      </c>
      <c r="L7406">
        <v>135.9007</v>
      </c>
      <c r="M7406">
        <v>0.84123579999999998</v>
      </c>
      <c r="N7406">
        <v>0</v>
      </c>
      <c r="O7406">
        <v>0.54044989999999904</v>
      </c>
      <c r="P7406">
        <v>0.92888210000000004</v>
      </c>
      <c r="Q7406">
        <v>-2.602606E-2</v>
      </c>
      <c r="R7406">
        <v>0.36946040000000002</v>
      </c>
      <c r="S7406">
        <v>3.086487</v>
      </c>
      <c r="T7406">
        <v>0.27738750000000001</v>
      </c>
      <c r="U7406">
        <v>0.3974762</v>
      </c>
      <c r="V7406">
        <v>0.190969</v>
      </c>
      <c r="W7406">
        <v>-1.485673E-2</v>
      </c>
      <c r="X7406">
        <v>0.98148360000000001</v>
      </c>
      <c r="Y7406">
        <v>0.42504799999999998</v>
      </c>
      <c r="Z7406">
        <v>6.4774010000000007E-2</v>
      </c>
      <c r="AA7406">
        <v>0.90285020000000005</v>
      </c>
      <c r="AB7406">
        <v>23</v>
      </c>
      <c r="AC7406">
        <v>3.086487</v>
      </c>
      <c r="AD7406">
        <v>0.27738750000000001</v>
      </c>
      <c r="AE7406">
        <v>0.3974762</v>
      </c>
      <c r="AF7406">
        <v>1.3233636358137899</v>
      </c>
      <c r="AG7406">
        <v>0.27738750000000001</v>
      </c>
      <c r="AH7406">
        <v>2.7894488916026101</v>
      </c>
      <c r="AI7406">
        <v>84.866118563369994</v>
      </c>
      <c r="AJ7406">
        <v>64.619514407716593</v>
      </c>
      <c r="AK7406">
        <v>3.0998806842544102</v>
      </c>
      <c r="AL7406">
        <v>90.851259269855007</v>
      </c>
      <c r="AM7406">
        <v>78.989429944602904</v>
      </c>
      <c r="AN7406">
        <v>0.99999996922812595</v>
      </c>
    </row>
    <row r="7407" spans="1:40" x14ac:dyDescent="0.25">
      <c r="A7407" t="str">
        <f>"20190312161502879"</f>
        <v>20190312161502879</v>
      </c>
      <c r="B7407" t="str">
        <f>"1552378502873953"</f>
        <v>1552378502873953</v>
      </c>
      <c r="C7407" t="s">
        <v>40</v>
      </c>
      <c r="D7407">
        <v>5.590452</v>
      </c>
      <c r="E7407">
        <v>0.59933459999999905</v>
      </c>
      <c r="F7407" t="s">
        <v>44</v>
      </c>
      <c r="G7407">
        <v>0</v>
      </c>
      <c r="H7407">
        <v>0</v>
      </c>
      <c r="I7407">
        <v>0</v>
      </c>
      <c r="J7407">
        <v>-175.25819999999999</v>
      </c>
      <c r="K7407">
        <v>1.101839</v>
      </c>
      <c r="L7407">
        <v>135.95840000000001</v>
      </c>
      <c r="M7407">
        <v>0.84499799999999903</v>
      </c>
      <c r="N7407">
        <v>0</v>
      </c>
      <c r="O7407">
        <v>0.53454869999999899</v>
      </c>
      <c r="P7407">
        <v>0.93121189999999998</v>
      </c>
      <c r="Q7407">
        <v>-2.6369420000000001E-2</v>
      </c>
      <c r="R7407">
        <v>0.3635234</v>
      </c>
      <c r="S7407">
        <v>3.0891419999999998</v>
      </c>
      <c r="T7407">
        <v>0.27602290000000002</v>
      </c>
      <c r="U7407">
        <v>0.37281799999999998</v>
      </c>
      <c r="V7407">
        <v>0.1903532</v>
      </c>
      <c r="W7407">
        <v>-1.5182620000000001E-2</v>
      </c>
      <c r="X7407">
        <v>0.98159830000000003</v>
      </c>
      <c r="Y7407">
        <v>0.42596620000000002</v>
      </c>
      <c r="Z7407">
        <v>6.4057929999999999E-2</v>
      </c>
      <c r="AA7407">
        <v>0.90246850000000001</v>
      </c>
      <c r="AB7407">
        <v>23</v>
      </c>
      <c r="AC7407">
        <v>3.0891419999999998</v>
      </c>
      <c r="AD7407">
        <v>0.27602290000000002</v>
      </c>
      <c r="AE7407">
        <v>0.37281799999999998</v>
      </c>
      <c r="AF7407">
        <v>1.3259895570565099</v>
      </c>
      <c r="AG7407">
        <v>0.27602290000000002</v>
      </c>
      <c r="AH7407">
        <v>2.7880003458127298</v>
      </c>
      <c r="AI7407">
        <v>84.8909414204619</v>
      </c>
      <c r="AJ7407">
        <v>64.563961397195797</v>
      </c>
      <c r="AK7407">
        <v>3.0995778543213302</v>
      </c>
      <c r="AL7407">
        <v>90.869933439071303</v>
      </c>
      <c r="AM7407">
        <v>79.025322491380095</v>
      </c>
      <c r="AN7407">
        <v>1.0000000376315901</v>
      </c>
    </row>
    <row r="7408" spans="1:40" x14ac:dyDescent="0.25">
      <c r="A7408" t="str">
        <f>"20190312161502891"</f>
        <v>20190312161502891</v>
      </c>
      <c r="B7408" t="str">
        <f>"1552378502884689"</f>
        <v>1552378502884689</v>
      </c>
      <c r="C7408" t="s">
        <v>40</v>
      </c>
      <c r="D7408">
        <v>5.1924419999999998</v>
      </c>
      <c r="E7408">
        <v>0.5990993</v>
      </c>
      <c r="F7408" t="s">
        <v>44</v>
      </c>
      <c r="G7408">
        <v>0</v>
      </c>
      <c r="H7408">
        <v>0</v>
      </c>
      <c r="I7408">
        <v>0</v>
      </c>
      <c r="J7408">
        <v>-175.14709999999999</v>
      </c>
      <c r="K7408">
        <v>1.1018520000000001</v>
      </c>
      <c r="L7408">
        <v>136.01920000000001</v>
      </c>
      <c r="M7408">
        <v>0.84894259999999999</v>
      </c>
      <c r="N7408">
        <v>0</v>
      </c>
      <c r="O7408">
        <v>0.52826169999999995</v>
      </c>
      <c r="P7408">
        <v>0.93377840000000001</v>
      </c>
      <c r="Q7408">
        <v>-2.654072E-2</v>
      </c>
      <c r="R7408">
        <v>0.35686630000000003</v>
      </c>
      <c r="S7408">
        <v>3.0879669999999999</v>
      </c>
      <c r="T7408">
        <v>0.27081379999999999</v>
      </c>
      <c r="U7408">
        <v>0.36196899999999999</v>
      </c>
      <c r="V7408">
        <v>0.19006919999999999</v>
      </c>
      <c r="W7408">
        <v>-1.5343849999999999E-2</v>
      </c>
      <c r="X7408">
        <v>0.98165080000000005</v>
      </c>
      <c r="Y7408">
        <v>0.42250120000000002</v>
      </c>
      <c r="Z7408">
        <v>6.2285439999999997E-2</v>
      </c>
      <c r="AA7408">
        <v>0.90421969999999996</v>
      </c>
      <c r="AB7408">
        <v>23</v>
      </c>
      <c r="AC7408">
        <v>3.0879669999999999</v>
      </c>
      <c r="AD7408">
        <v>0.27081379999999999</v>
      </c>
      <c r="AE7408">
        <v>0.36196899999999999</v>
      </c>
      <c r="AF7408">
        <v>1.3141496326142199</v>
      </c>
      <c r="AG7408">
        <v>0.27081379999999999</v>
      </c>
      <c r="AH7408">
        <v>2.7918712056736599</v>
      </c>
      <c r="AI7408">
        <v>84.984334029152606</v>
      </c>
      <c r="AJ7408">
        <v>64.793367551064193</v>
      </c>
      <c r="AK7408">
        <v>3.09755939414246</v>
      </c>
      <c r="AL7408">
        <v>90.879172334426997</v>
      </c>
      <c r="AM7408">
        <v>79.041871502958998</v>
      </c>
      <c r="AN7408">
        <v>1.0000000138310501</v>
      </c>
    </row>
    <row r="7409" spans="1:40" x14ac:dyDescent="0.25">
      <c r="A7409" t="str">
        <f>"20190312161502905"</f>
        <v>20190312161502905</v>
      </c>
      <c r="B7409" t="str">
        <f>"1552378502894449"</f>
        <v>1552378502894449</v>
      </c>
      <c r="C7409" t="s">
        <v>40</v>
      </c>
      <c r="D7409">
        <v>5.1703939999999999</v>
      </c>
      <c r="E7409">
        <v>0.5990993</v>
      </c>
      <c r="F7409" t="s">
        <v>44</v>
      </c>
      <c r="G7409">
        <v>0</v>
      </c>
      <c r="H7409">
        <v>0</v>
      </c>
      <c r="I7409">
        <v>0</v>
      </c>
      <c r="J7409">
        <v>-175.0179</v>
      </c>
      <c r="K7409">
        <v>1.1018669999999999</v>
      </c>
      <c r="L7409">
        <v>136.08840000000001</v>
      </c>
      <c r="M7409">
        <v>0.85345319999999902</v>
      </c>
      <c r="N7409">
        <v>0</v>
      </c>
      <c r="O7409">
        <v>0.52094319999999905</v>
      </c>
      <c r="P7409">
        <v>0.93662509999999999</v>
      </c>
      <c r="Q7409">
        <v>-2.6526480000000002E-2</v>
      </c>
      <c r="R7409">
        <v>0.34932790000000002</v>
      </c>
      <c r="S7409">
        <v>3.0897519999999998</v>
      </c>
      <c r="T7409">
        <v>0.26480379999999998</v>
      </c>
      <c r="U7409">
        <v>0.34159850000000003</v>
      </c>
      <c r="V7409">
        <v>0.18954309999999999</v>
      </c>
      <c r="W7409">
        <v>-1.531326E-2</v>
      </c>
      <c r="X7409">
        <v>0.98175299999999999</v>
      </c>
      <c r="Y7409">
        <v>0.42083890000000002</v>
      </c>
      <c r="Z7409">
        <v>6.031239E-2</v>
      </c>
      <c r="AA7409">
        <v>0.90512820000000005</v>
      </c>
      <c r="AB7409">
        <v>23</v>
      </c>
      <c r="AC7409">
        <v>3.0897519999999998</v>
      </c>
      <c r="AD7409">
        <v>0.26480379999999998</v>
      </c>
      <c r="AE7409">
        <v>0.34159850000000003</v>
      </c>
      <c r="AF7409">
        <v>1.30870582460588</v>
      </c>
      <c r="AG7409">
        <v>0.26480379999999998</v>
      </c>
      <c r="AH7409">
        <v>2.7949625707850001</v>
      </c>
      <c r="AI7409">
        <v>85.095861270733906</v>
      </c>
      <c r="AJ7409">
        <v>64.909251944522595</v>
      </c>
      <c r="AK7409">
        <v>3.09752284252124</v>
      </c>
      <c r="AL7409">
        <v>90.877419447085003</v>
      </c>
      <c r="AM7409">
        <v>79.072581897960404</v>
      </c>
      <c r="AN7409">
        <v>1.0000000178492101</v>
      </c>
    </row>
    <row r="7410" spans="1:40" x14ac:dyDescent="0.25">
      <c r="A7410" t="str">
        <f>"20190312161502918"</f>
        <v>20190312161502918</v>
      </c>
      <c r="B7410" t="str">
        <f>"1552378502913972"</f>
        <v>1552378502913972</v>
      </c>
      <c r="C7410" t="s">
        <v>40</v>
      </c>
      <c r="D7410">
        <v>5.8382449999999997</v>
      </c>
      <c r="E7410">
        <v>0.59628590000000004</v>
      </c>
      <c r="F7410" t="s">
        <v>44</v>
      </c>
      <c r="G7410">
        <v>0</v>
      </c>
      <c r="H7410">
        <v>0</v>
      </c>
      <c r="I7410">
        <v>0</v>
      </c>
      <c r="J7410">
        <v>-174.89500000000001</v>
      </c>
      <c r="K7410">
        <v>1.1018779999999999</v>
      </c>
      <c r="L7410">
        <v>136.15270000000001</v>
      </c>
      <c r="M7410">
        <v>0.85766319999999996</v>
      </c>
      <c r="N7410">
        <v>0</v>
      </c>
      <c r="O7410">
        <v>0.51398270000000001</v>
      </c>
      <c r="P7410">
        <v>0.93911809999999996</v>
      </c>
      <c r="Q7410">
        <v>-2.7072140000000001E-2</v>
      </c>
      <c r="R7410">
        <v>0.34252660000000001</v>
      </c>
      <c r="S7410">
        <v>3.0923769999999999</v>
      </c>
      <c r="T7410">
        <v>0.26491740000000003</v>
      </c>
      <c r="U7410">
        <v>0.31669619999999998</v>
      </c>
      <c r="V7410">
        <v>0.1886573</v>
      </c>
      <c r="W7410">
        <v>-1.583507E-2</v>
      </c>
      <c r="X7410">
        <v>0.98191530000000005</v>
      </c>
      <c r="Y7410">
        <v>0.42077799999999999</v>
      </c>
      <c r="Z7410">
        <v>5.9823800000000003E-2</v>
      </c>
      <c r="AA7410">
        <v>0.90518889999999996</v>
      </c>
      <c r="AB7410">
        <v>23</v>
      </c>
      <c r="AC7410">
        <v>3.0923769999999999</v>
      </c>
      <c r="AD7410">
        <v>0.26491740000000003</v>
      </c>
      <c r="AE7410">
        <v>0.31669619999999998</v>
      </c>
      <c r="AF7410">
        <v>1.3084617688312301</v>
      </c>
      <c r="AG7410">
        <v>0.26491740000000003</v>
      </c>
      <c r="AH7410">
        <v>2.79502626104764</v>
      </c>
      <c r="AI7410">
        <v>85.093695218094396</v>
      </c>
      <c r="AJ7410">
        <v>64.913856828718593</v>
      </c>
      <c r="AK7410">
        <v>3.0974869215642702</v>
      </c>
      <c r="AL7410">
        <v>90.907320608211606</v>
      </c>
      <c r="AM7410">
        <v>79.124183524152798</v>
      </c>
      <c r="AN7410">
        <v>0.99999999132964201</v>
      </c>
    </row>
    <row r="7411" spans="1:40" x14ac:dyDescent="0.25">
      <c r="A7411" t="str">
        <f>"20190312161502931"</f>
        <v>20190312161502931</v>
      </c>
      <c r="B7411" t="str">
        <f>"1552378502923729"</f>
        <v>1552378502923729</v>
      </c>
      <c r="C7411" t="s">
        <v>40</v>
      </c>
      <c r="D7411">
        <v>5.8798769999999996</v>
      </c>
      <c r="E7411">
        <v>0.5956553</v>
      </c>
      <c r="F7411" t="s">
        <v>44</v>
      </c>
      <c r="G7411">
        <v>0</v>
      </c>
      <c r="H7411">
        <v>0</v>
      </c>
      <c r="I7411">
        <v>0</v>
      </c>
      <c r="J7411">
        <v>-174.78450000000001</v>
      </c>
      <c r="K7411">
        <v>1.1018939999999999</v>
      </c>
      <c r="L7411">
        <v>136.2099</v>
      </c>
      <c r="M7411">
        <v>0.86139209999999999</v>
      </c>
      <c r="N7411">
        <v>0</v>
      </c>
      <c r="O7411">
        <v>0.50770859999999995</v>
      </c>
      <c r="P7411">
        <v>0.94140210000000002</v>
      </c>
      <c r="Q7411">
        <v>-2.7380069999999999E-2</v>
      </c>
      <c r="R7411">
        <v>0.33617340000000001</v>
      </c>
      <c r="S7411">
        <v>3.08609</v>
      </c>
      <c r="T7411">
        <v>0.2184548</v>
      </c>
      <c r="U7411">
        <v>0.314422599999999</v>
      </c>
      <c r="V7411">
        <v>0.18811430000000001</v>
      </c>
      <c r="W7411">
        <v>-1.6127430000000002E-2</v>
      </c>
      <c r="X7411">
        <v>0.98201470000000002</v>
      </c>
      <c r="Y7411">
        <v>0.4156686</v>
      </c>
      <c r="Z7411">
        <v>4.8902080000000001E-2</v>
      </c>
      <c r="AA7411">
        <v>0.90820060000000002</v>
      </c>
      <c r="AB7411">
        <v>23</v>
      </c>
      <c r="AC7411">
        <v>3.08609</v>
      </c>
      <c r="AD7411">
        <v>0.2184548</v>
      </c>
      <c r="AE7411">
        <v>0.314422599999999</v>
      </c>
      <c r="AF7411">
        <v>1.28974973555207</v>
      </c>
      <c r="AG7411">
        <v>0.2184548</v>
      </c>
      <c r="AH7411">
        <v>2.8043928087376999</v>
      </c>
      <c r="AI7411">
        <v>85.951835297484195</v>
      </c>
      <c r="AJ7411">
        <v>65.302138970193596</v>
      </c>
      <c r="AK7411">
        <v>3.09447829297596</v>
      </c>
      <c r="AL7411">
        <v>90.924073754866399</v>
      </c>
      <c r="AM7411">
        <v>79.155815011435905</v>
      </c>
      <c r="AN7411">
        <v>0.99999997743949198</v>
      </c>
    </row>
    <row r="7412" spans="1:40" x14ac:dyDescent="0.25">
      <c r="A7412" t="str">
        <f>"20190312161502943"</f>
        <v>20190312161502943</v>
      </c>
      <c r="B7412" t="str">
        <f>"1552378502934465"</f>
        <v>1552378502934465</v>
      </c>
      <c r="C7412" t="s">
        <v>40</v>
      </c>
      <c r="D7412">
        <v>5.8692120000000001</v>
      </c>
      <c r="E7412">
        <v>0.5950221</v>
      </c>
      <c r="F7412" t="s">
        <v>44</v>
      </c>
      <c r="G7412">
        <v>0</v>
      </c>
      <c r="H7412">
        <v>0</v>
      </c>
      <c r="I7412">
        <v>0</v>
      </c>
      <c r="J7412">
        <v>-174.66820000000001</v>
      </c>
      <c r="K7412">
        <v>1.101909</v>
      </c>
      <c r="L7412">
        <v>136.26859999999999</v>
      </c>
      <c r="M7412">
        <v>0.86524909999999999</v>
      </c>
      <c r="N7412">
        <v>0</v>
      </c>
      <c r="O7412">
        <v>0.50110719999999997</v>
      </c>
      <c r="P7412">
        <v>0.94372639999999997</v>
      </c>
      <c r="Q7412">
        <v>-2.775004E-2</v>
      </c>
      <c r="R7412">
        <v>0.3295612</v>
      </c>
      <c r="S7412">
        <v>3.086487</v>
      </c>
      <c r="T7412">
        <v>0.21494099999999999</v>
      </c>
      <c r="U7412">
        <v>0.29829410000000001</v>
      </c>
      <c r="V7412">
        <v>0.18748219999999999</v>
      </c>
      <c r="W7412">
        <v>-1.6479779999999999E-2</v>
      </c>
      <c r="X7412">
        <v>0.98212980000000005</v>
      </c>
      <c r="Y7412">
        <v>0.41351579999999899</v>
      </c>
      <c r="Z7412">
        <v>4.7663129999999998E-2</v>
      </c>
      <c r="AA7412">
        <v>0.90924850000000002</v>
      </c>
      <c r="AB7412">
        <v>23</v>
      </c>
      <c r="AC7412">
        <v>3.086487</v>
      </c>
      <c r="AD7412">
        <v>0.21494099999999999</v>
      </c>
      <c r="AE7412">
        <v>0.29829410000000001</v>
      </c>
      <c r="AF7412">
        <v>1.28255159923752</v>
      </c>
      <c r="AG7412">
        <v>0.21494099999999999</v>
      </c>
      <c r="AH7412">
        <v>2.80690313224309</v>
      </c>
      <c r="AI7412">
        <v>86.015814627261406</v>
      </c>
      <c r="AJ7412">
        <v>65.443029464823994</v>
      </c>
      <c r="AK7412">
        <v>3.09351635392215</v>
      </c>
      <c r="AL7412">
        <v>90.944264537247193</v>
      </c>
      <c r="AM7412">
        <v>79.192630660320305</v>
      </c>
      <c r="AN7412">
        <v>1.0000000512568601</v>
      </c>
    </row>
    <row r="7413" spans="1:40" x14ac:dyDescent="0.25">
      <c r="A7413" t="str">
        <f>"20190312161502956"</f>
        <v>20190312161502956</v>
      </c>
      <c r="B7413" t="str">
        <f>"1552378502953985"</f>
        <v>1552378502953985</v>
      </c>
      <c r="C7413" t="s">
        <v>40</v>
      </c>
      <c r="D7413">
        <v>5.9227889999999999</v>
      </c>
      <c r="E7413">
        <v>0.59398830000000002</v>
      </c>
      <c r="F7413" t="s">
        <v>44</v>
      </c>
      <c r="G7413">
        <v>0</v>
      </c>
      <c r="H7413">
        <v>0</v>
      </c>
      <c r="I7413">
        <v>0</v>
      </c>
      <c r="J7413">
        <v>-174.54570000000001</v>
      </c>
      <c r="K7413">
        <v>1.101925</v>
      </c>
      <c r="L7413">
        <v>136.32919999999999</v>
      </c>
      <c r="M7413">
        <v>0.86923850000000003</v>
      </c>
      <c r="N7413">
        <v>0</v>
      </c>
      <c r="O7413">
        <v>0.49415480000000001</v>
      </c>
      <c r="P7413">
        <v>0.9461465</v>
      </c>
      <c r="Q7413">
        <v>-2.7897100000000001E-2</v>
      </c>
      <c r="R7413">
        <v>0.32253470000000001</v>
      </c>
      <c r="S7413">
        <v>3.0868530000000001</v>
      </c>
      <c r="T7413">
        <v>0.2117038</v>
      </c>
      <c r="U7413">
        <v>0.28137210000000001</v>
      </c>
      <c r="V7413">
        <v>0.18690780000000001</v>
      </c>
      <c r="W7413">
        <v>-1.6605930000000001E-2</v>
      </c>
      <c r="X7413">
        <v>0.98223709999999997</v>
      </c>
      <c r="Y7413">
        <v>0.41125200000000001</v>
      </c>
      <c r="Z7413">
        <v>4.6473100000000003E-2</v>
      </c>
      <c r="AA7413">
        <v>0.91033629999999999</v>
      </c>
      <c r="AB7413">
        <v>23</v>
      </c>
      <c r="AC7413">
        <v>3.0868530000000001</v>
      </c>
      <c r="AD7413">
        <v>0.2117038</v>
      </c>
      <c r="AE7413">
        <v>0.28137210000000001</v>
      </c>
      <c r="AF7413">
        <v>1.27500694554553</v>
      </c>
      <c r="AG7413">
        <v>0.2117038</v>
      </c>
      <c r="AH7413">
        <v>2.8094795463187698</v>
      </c>
      <c r="AI7413">
        <v>86.074639498567095</v>
      </c>
      <c r="AJ7413">
        <v>65.590351591999493</v>
      </c>
      <c r="AK7413">
        <v>3.0925129799739399</v>
      </c>
      <c r="AL7413">
        <v>90.951493435919303</v>
      </c>
      <c r="AM7413">
        <v>79.226115009188007</v>
      </c>
      <c r="AN7413">
        <v>1.0000000016142001</v>
      </c>
    </row>
    <row r="7414" spans="1:40" x14ac:dyDescent="0.25">
      <c r="A7414" t="str">
        <f>"20190312161502972"</f>
        <v>20190312161502972</v>
      </c>
      <c r="B7414" t="str">
        <f>"1552378502964721"</f>
        <v>1552378502964721</v>
      </c>
      <c r="C7414" t="s">
        <v>40</v>
      </c>
      <c r="D7414">
        <v>5.9302809999999999</v>
      </c>
      <c r="E7414">
        <v>0.59325620000000001</v>
      </c>
      <c r="F7414" t="s">
        <v>44</v>
      </c>
      <c r="G7414">
        <v>0</v>
      </c>
      <c r="H7414">
        <v>0</v>
      </c>
      <c r="I7414">
        <v>0</v>
      </c>
      <c r="J7414">
        <v>-174.40379999999999</v>
      </c>
      <c r="K7414">
        <v>1.101947</v>
      </c>
      <c r="L7414">
        <v>136.3981</v>
      </c>
      <c r="M7414">
        <v>0.87377260000000001</v>
      </c>
      <c r="N7414">
        <v>0</v>
      </c>
      <c r="O7414">
        <v>0.48609229999999998</v>
      </c>
      <c r="P7414">
        <v>0.94894120000000004</v>
      </c>
      <c r="Q7414">
        <v>-2.7961139999999999E-2</v>
      </c>
      <c r="R7414">
        <v>0.31421169999999998</v>
      </c>
      <c r="S7414">
        <v>3.086182</v>
      </c>
      <c r="T7414">
        <v>0.20811250000000001</v>
      </c>
      <c r="U7414">
        <v>0.2661133</v>
      </c>
      <c r="V7414">
        <v>0.18644749999999999</v>
      </c>
      <c r="W7414">
        <v>-1.6642669999999998E-2</v>
      </c>
      <c r="X7414">
        <v>0.98232390000000003</v>
      </c>
      <c r="Y7414">
        <v>0.40735909999999997</v>
      </c>
      <c r="Z7414">
        <v>4.5109969999999999E-2</v>
      </c>
      <c r="AA7414">
        <v>0.91215329999999994</v>
      </c>
      <c r="AB7414">
        <v>23</v>
      </c>
      <c r="AC7414">
        <v>3.086182</v>
      </c>
      <c r="AD7414">
        <v>0.20811250000000001</v>
      </c>
      <c r="AE7414">
        <v>0.2661133</v>
      </c>
      <c r="AF7414">
        <v>1.26209944363246</v>
      </c>
      <c r="AG7414">
        <v>0.20811250000000001</v>
      </c>
      <c r="AH7414">
        <v>2.8136101303390602</v>
      </c>
      <c r="AI7414">
        <v>86.139100039166706</v>
      </c>
      <c r="AJ7414">
        <v>65.840454667547704</v>
      </c>
      <c r="AK7414">
        <v>3.09072932878636</v>
      </c>
      <c r="AL7414">
        <v>90.953598826249802</v>
      </c>
      <c r="AM7414">
        <v>79.252956755344599</v>
      </c>
      <c r="AN7414">
        <v>0.99999994661609304</v>
      </c>
    </row>
    <row r="7415" spans="1:40" x14ac:dyDescent="0.25">
      <c r="A7415" t="str">
        <f>"20190312161502986"</f>
        <v>20190312161502986</v>
      </c>
      <c r="B7415" t="str">
        <f>"1552378502974482"</f>
        <v>1552378502974482</v>
      </c>
      <c r="C7415" t="s">
        <v>40</v>
      </c>
      <c r="D7415">
        <v>6.0404600000000004</v>
      </c>
      <c r="E7415">
        <v>0.59269139999999998</v>
      </c>
      <c r="F7415" t="s">
        <v>44</v>
      </c>
      <c r="G7415">
        <v>0</v>
      </c>
      <c r="H7415">
        <v>0</v>
      </c>
      <c r="I7415">
        <v>0</v>
      </c>
      <c r="J7415">
        <v>-174.26589999999999</v>
      </c>
      <c r="K7415">
        <v>1.101977</v>
      </c>
      <c r="L7415">
        <v>136.46360000000001</v>
      </c>
      <c r="M7415">
        <v>0.87808609999999898</v>
      </c>
      <c r="N7415">
        <v>0</v>
      </c>
      <c r="O7415">
        <v>0.4782555</v>
      </c>
      <c r="P7415">
        <v>0.95141330000000002</v>
      </c>
      <c r="Q7415">
        <v>-2.7627800000000001E-2</v>
      </c>
      <c r="R7415">
        <v>0.30667499999999998</v>
      </c>
      <c r="S7415">
        <v>3.0865170000000002</v>
      </c>
      <c r="T7415">
        <v>0.2049667</v>
      </c>
      <c r="U7415">
        <v>0.2444153</v>
      </c>
      <c r="V7415">
        <v>0.18546380000000001</v>
      </c>
      <c r="W7415">
        <v>-1.6255479999999999E-2</v>
      </c>
      <c r="X7415">
        <v>0.98251659999999996</v>
      </c>
      <c r="Y7415">
        <v>0.40564529999999999</v>
      </c>
      <c r="Z7415">
        <v>4.3936269999999999E-2</v>
      </c>
      <c r="AA7415">
        <v>0.91297399999999995</v>
      </c>
      <c r="AB7415">
        <v>22</v>
      </c>
      <c r="AC7415">
        <v>3.0865170000000002</v>
      </c>
      <c r="AD7415">
        <v>0.2049667</v>
      </c>
      <c r="AE7415">
        <v>0.2444153</v>
      </c>
      <c r="AF7415">
        <v>1.2561701707136399</v>
      </c>
      <c r="AG7415">
        <v>0.2049667</v>
      </c>
      <c r="AH7415">
        <v>2.8151179302082898</v>
      </c>
      <c r="AI7415">
        <v>86.196002899888995</v>
      </c>
      <c r="AJ7415">
        <v>65.952475707158499</v>
      </c>
      <c r="AK7415">
        <v>3.0894762997763601</v>
      </c>
      <c r="AL7415">
        <v>90.931411452616601</v>
      </c>
      <c r="AM7415">
        <v>79.310396461798305</v>
      </c>
      <c r="AN7415">
        <v>0.99999996550801395</v>
      </c>
    </row>
    <row r="7416" spans="1:40" x14ac:dyDescent="0.25">
      <c r="A7416" t="str">
        <f>"20190312161503008"</f>
        <v>20190312161503008</v>
      </c>
      <c r="B7416" t="str">
        <f>"1552378503004736"</f>
        <v>1552378503004736</v>
      </c>
      <c r="C7416" t="s">
        <v>40</v>
      </c>
      <c r="D7416">
        <v>5.9806179999999998</v>
      </c>
      <c r="E7416">
        <v>0.59057340000000003</v>
      </c>
      <c r="F7416" t="s">
        <v>44</v>
      </c>
      <c r="G7416">
        <v>0</v>
      </c>
      <c r="H7416">
        <v>0</v>
      </c>
      <c r="I7416">
        <v>0</v>
      </c>
      <c r="J7416">
        <v>-174.06440000000001</v>
      </c>
      <c r="K7416">
        <v>1.102039</v>
      </c>
      <c r="L7416">
        <v>136.5564</v>
      </c>
      <c r="M7416">
        <v>0.88422889999999998</v>
      </c>
      <c r="N7416">
        <v>0</v>
      </c>
      <c r="O7416">
        <v>0.4667982</v>
      </c>
      <c r="P7416">
        <v>0.95504350000000005</v>
      </c>
      <c r="Q7416">
        <v>-2.7089510000000001E-2</v>
      </c>
      <c r="R7416">
        <v>0.29522589999999999</v>
      </c>
      <c r="S7416">
        <v>3.0868679999999999</v>
      </c>
      <c r="T7416">
        <v>0.2049985</v>
      </c>
      <c r="U7416">
        <v>0.2242584</v>
      </c>
      <c r="V7416">
        <v>0.18451139999999999</v>
      </c>
      <c r="W7416">
        <v>-1.56072E-2</v>
      </c>
      <c r="X7416">
        <v>0.98270639999999998</v>
      </c>
      <c r="Y7416">
        <v>0.39972930000000001</v>
      </c>
      <c r="Z7416">
        <v>4.30906E-2</v>
      </c>
      <c r="AA7416">
        <v>0.91561990000000004</v>
      </c>
      <c r="AB7416">
        <v>22</v>
      </c>
      <c r="AC7416">
        <v>3.0868679999999999</v>
      </c>
      <c r="AD7416">
        <v>0.2049985</v>
      </c>
      <c r="AE7416">
        <v>0.2242584</v>
      </c>
      <c r="AF7416">
        <v>1.2373685207618801</v>
      </c>
      <c r="AG7416">
        <v>0.2049985</v>
      </c>
      <c r="AH7416">
        <v>2.82213857439339</v>
      </c>
      <c r="AI7416">
        <v>86.193955492071296</v>
      </c>
      <c r="AJ7416">
        <v>66.324920150293195</v>
      </c>
      <c r="AK7416">
        <v>3.08829586896299</v>
      </c>
      <c r="AL7416">
        <v>90.8942630375535</v>
      </c>
      <c r="AM7416">
        <v>79.366041931957</v>
      </c>
      <c r="AN7416">
        <v>0.99999995501137895</v>
      </c>
    </row>
    <row r="7417" spans="1:40" x14ac:dyDescent="0.25">
      <c r="A7417" t="str">
        <f>"20190312161503026"</f>
        <v>20190312161503026</v>
      </c>
      <c r="B7417" t="str">
        <f>"1552378503014496"</f>
        <v>1552378503014496</v>
      </c>
      <c r="C7417" t="s">
        <v>40</v>
      </c>
      <c r="D7417">
        <v>5.8944299999999998</v>
      </c>
      <c r="E7417">
        <v>0.58999969999999902</v>
      </c>
      <c r="F7417" t="s">
        <v>44</v>
      </c>
      <c r="G7417">
        <v>0</v>
      </c>
      <c r="H7417">
        <v>0</v>
      </c>
      <c r="I7417">
        <v>0</v>
      </c>
      <c r="J7417">
        <v>-173.89279999999999</v>
      </c>
      <c r="K7417">
        <v>1.102106</v>
      </c>
      <c r="L7417">
        <v>136.6328</v>
      </c>
      <c r="M7417">
        <v>0.88931130000000003</v>
      </c>
      <c r="N7417">
        <v>0</v>
      </c>
      <c r="O7417">
        <v>0.4570379</v>
      </c>
      <c r="P7417">
        <v>0.95816330000000005</v>
      </c>
      <c r="Q7417">
        <v>-2.6813770000000001E-2</v>
      </c>
      <c r="R7417">
        <v>0.28496389999999999</v>
      </c>
      <c r="S7417">
        <v>3.0840299999999998</v>
      </c>
      <c r="T7417">
        <v>0.19859660000000001</v>
      </c>
      <c r="U7417">
        <v>0.2032166</v>
      </c>
      <c r="V7417">
        <v>0.18425079999999999</v>
      </c>
      <c r="W7417">
        <v>-1.52093E-2</v>
      </c>
      <c r="X7417">
        <v>0.98276160000000001</v>
      </c>
      <c r="Y7417">
        <v>0.39593339999999999</v>
      </c>
      <c r="Z7417">
        <v>4.1124090000000002E-2</v>
      </c>
      <c r="AA7417">
        <v>0.91735789999999995</v>
      </c>
      <c r="AB7417">
        <v>22</v>
      </c>
      <c r="AC7417">
        <v>3.0840299999999998</v>
      </c>
      <c r="AD7417">
        <v>0.19859660000000001</v>
      </c>
      <c r="AE7417">
        <v>0.2032166</v>
      </c>
      <c r="AF7417">
        <v>1.2238911324100501</v>
      </c>
      <c r="AG7417">
        <v>0.19859660000000001</v>
      </c>
      <c r="AH7417">
        <v>2.8242225756962198</v>
      </c>
      <c r="AI7417">
        <v>86.308329648863904</v>
      </c>
      <c r="AJ7417">
        <v>66.570259346679805</v>
      </c>
      <c r="AK7417">
        <v>3.0844097118566598</v>
      </c>
      <c r="AL7417">
        <v>90.8714622811966</v>
      </c>
      <c r="AM7417">
        <v>79.381302179849499</v>
      </c>
      <c r="AN7417">
        <v>1.00000002127084</v>
      </c>
    </row>
    <row r="7418" spans="1:40" x14ac:dyDescent="0.25">
      <c r="A7418" t="str">
        <f>"20190312161503038"</f>
        <v>20190312161503038</v>
      </c>
      <c r="B7418" t="str">
        <f>"1552378503034017"</f>
        <v>1552378503034017</v>
      </c>
      <c r="C7418" t="s">
        <v>40</v>
      </c>
      <c r="D7418">
        <v>5.9199199999999896</v>
      </c>
      <c r="E7418">
        <v>0.58871640000000003</v>
      </c>
      <c r="F7418" t="s">
        <v>44</v>
      </c>
      <c r="G7418">
        <v>0</v>
      </c>
      <c r="H7418">
        <v>0</v>
      </c>
      <c r="I7418">
        <v>0</v>
      </c>
      <c r="J7418">
        <v>-173.77599999999899</v>
      </c>
      <c r="K7418">
        <v>1.1021529999999999</v>
      </c>
      <c r="L7418">
        <v>136.6833</v>
      </c>
      <c r="M7418">
        <v>0.89269560000000003</v>
      </c>
      <c r="N7418">
        <v>0</v>
      </c>
      <c r="O7418">
        <v>0.45038850000000002</v>
      </c>
      <c r="P7418">
        <v>0.96016389999999996</v>
      </c>
      <c r="Q7418">
        <v>-2.639855E-2</v>
      </c>
      <c r="R7418">
        <v>0.27818769999999998</v>
      </c>
      <c r="S7418">
        <v>3.0845790000000002</v>
      </c>
      <c r="T7418">
        <v>0.19314529999999999</v>
      </c>
      <c r="U7418">
        <v>0.17425539999999901</v>
      </c>
      <c r="V7418">
        <v>0.1838766</v>
      </c>
      <c r="W7418">
        <v>-1.468413E-2</v>
      </c>
      <c r="X7418">
        <v>0.98283960000000004</v>
      </c>
      <c r="Y7418">
        <v>0.39777439999999997</v>
      </c>
      <c r="Z7418">
        <v>3.9700230000000003E-2</v>
      </c>
      <c r="AA7418">
        <v>0.91662399999999999</v>
      </c>
      <c r="AB7418">
        <v>22</v>
      </c>
      <c r="AC7418">
        <v>3.0845790000000002</v>
      </c>
      <c r="AD7418">
        <v>0.19314529999999999</v>
      </c>
      <c r="AE7418">
        <v>0.17425539999999901</v>
      </c>
      <c r="AF7418">
        <v>1.2290493445384201</v>
      </c>
      <c r="AG7418">
        <v>0.19314529999999999</v>
      </c>
      <c r="AH7418">
        <v>2.8213924189556199</v>
      </c>
      <c r="AI7418">
        <v>86.408765268101405</v>
      </c>
      <c r="AJ7418">
        <v>66.461191457708196</v>
      </c>
      <c r="AK7418">
        <v>3.0835243764177802</v>
      </c>
      <c r="AL7418">
        <v>90.8413689522922</v>
      </c>
      <c r="AM7418">
        <v>79.403200992611303</v>
      </c>
      <c r="AN7418">
        <v>0.99999995351478699</v>
      </c>
    </row>
    <row r="7419" spans="1:40" x14ac:dyDescent="0.25">
      <c r="A7419" t="str">
        <f>"20190312161503052"</f>
        <v>20190312161503052</v>
      </c>
      <c r="B7419" t="str">
        <f>"1552378503043777"</f>
        <v>1552378503043777</v>
      </c>
      <c r="C7419" t="s">
        <v>40</v>
      </c>
      <c r="D7419">
        <v>4.3376000000000001</v>
      </c>
      <c r="E7419">
        <v>0.58871640000000003</v>
      </c>
      <c r="F7419" t="s">
        <v>44</v>
      </c>
      <c r="G7419">
        <v>0</v>
      </c>
      <c r="H7419">
        <v>0</v>
      </c>
      <c r="I7419">
        <v>0</v>
      </c>
      <c r="J7419">
        <v>-173.6473</v>
      </c>
      <c r="K7419">
        <v>1.1022080000000001</v>
      </c>
      <c r="L7419">
        <v>136.7381</v>
      </c>
      <c r="M7419">
        <v>0.89635719999999997</v>
      </c>
      <c r="N7419">
        <v>0</v>
      </c>
      <c r="O7419">
        <v>0.44305260000000002</v>
      </c>
      <c r="P7419">
        <v>0.962256</v>
      </c>
      <c r="Q7419">
        <v>-2.5652330000000001E-2</v>
      </c>
      <c r="R7419">
        <v>0.27093420000000001</v>
      </c>
      <c r="S7419">
        <v>3.0825960000000001</v>
      </c>
      <c r="T7419">
        <v>0.18379290000000001</v>
      </c>
      <c r="U7419">
        <v>0.1620026</v>
      </c>
      <c r="V7419">
        <v>0.18326129999999999</v>
      </c>
      <c r="W7419">
        <v>-1.3803899999999999E-2</v>
      </c>
      <c r="X7419">
        <v>0.98296729999999999</v>
      </c>
      <c r="Y7419">
        <v>0.39401779999999997</v>
      </c>
      <c r="Z7419">
        <v>3.7308880000000003E-2</v>
      </c>
      <c r="AA7419">
        <v>0.91834530000000003</v>
      </c>
      <c r="AB7419">
        <v>22</v>
      </c>
      <c r="AC7419">
        <v>3.0825960000000001</v>
      </c>
      <c r="AD7419">
        <v>0.18379290000000001</v>
      </c>
      <c r="AE7419">
        <v>0.1620026</v>
      </c>
      <c r="AF7419">
        <v>1.21637928511352</v>
      </c>
      <c r="AG7419">
        <v>0.18379290000000001</v>
      </c>
      <c r="AH7419">
        <v>2.82521897955864</v>
      </c>
      <c r="AI7419">
        <v>86.580546731086898</v>
      </c>
      <c r="AJ7419">
        <v>66.706026005324006</v>
      </c>
      <c r="AK7419">
        <v>3.0814315955091498</v>
      </c>
      <c r="AL7419">
        <v>90.790930344496303</v>
      </c>
      <c r="AM7419">
        <v>79.439202792132306</v>
      </c>
      <c r="AN7419">
        <v>0.99999998230109399</v>
      </c>
    </row>
    <row r="7420" spans="1:40" x14ac:dyDescent="0.25">
      <c r="A7420" t="str">
        <f>"20190312161503075"</f>
        <v>20190312161503075</v>
      </c>
      <c r="B7420" t="str">
        <f>"1552378503064273"</f>
        <v>1552378503064273</v>
      </c>
      <c r="C7420" t="s">
        <v>40</v>
      </c>
      <c r="D7420">
        <v>5.953201</v>
      </c>
      <c r="E7420">
        <v>0.58741679999999996</v>
      </c>
      <c r="F7420" t="s">
        <v>44</v>
      </c>
      <c r="G7420">
        <v>0</v>
      </c>
      <c r="H7420">
        <v>0</v>
      </c>
      <c r="I7420">
        <v>0</v>
      </c>
      <c r="J7420">
        <v>-173.44280000000001</v>
      </c>
      <c r="K7420">
        <v>1.1022860000000001</v>
      </c>
      <c r="L7420">
        <v>136.82239999999999</v>
      </c>
      <c r="M7420">
        <v>0.90202530000000003</v>
      </c>
      <c r="N7420">
        <v>0</v>
      </c>
      <c r="O7420">
        <v>0.43138860000000001</v>
      </c>
      <c r="P7420">
        <v>0.96548909999999999</v>
      </c>
      <c r="Q7420">
        <v>-2.552478E-2</v>
      </c>
      <c r="R7420">
        <v>0.25918999999999998</v>
      </c>
      <c r="S7420">
        <v>3.0835880000000002</v>
      </c>
      <c r="T7420">
        <v>0.1857104</v>
      </c>
      <c r="U7420">
        <v>0.1385651</v>
      </c>
      <c r="V7420">
        <v>0.1824983</v>
      </c>
      <c r="W7420">
        <v>-1.344861E-2</v>
      </c>
      <c r="X7420">
        <v>0.98311420000000005</v>
      </c>
      <c r="Y7420">
        <v>0.38907409999999998</v>
      </c>
      <c r="Z7420">
        <v>3.6916549999999999E-2</v>
      </c>
      <c r="AA7420">
        <v>0.92046649999999997</v>
      </c>
      <c r="AB7420">
        <v>22</v>
      </c>
      <c r="AC7420">
        <v>3.0835880000000002</v>
      </c>
      <c r="AD7420">
        <v>0.1857104</v>
      </c>
      <c r="AE7420">
        <v>0.1385651</v>
      </c>
      <c r="AF7420">
        <v>1.20104119951851</v>
      </c>
      <c r="AG7420">
        <v>0.1857104</v>
      </c>
      <c r="AH7420">
        <v>2.8313620918217399</v>
      </c>
      <c r="AI7420">
        <v>86.544533365162096</v>
      </c>
      <c r="AJ7420">
        <v>67.0137307913256</v>
      </c>
      <c r="AK7420">
        <v>3.0811685462847098</v>
      </c>
      <c r="AL7420">
        <v>90.7705718131905</v>
      </c>
      <c r="AM7420">
        <v>79.483725596241996</v>
      </c>
      <c r="AN7420">
        <v>1.00000001242773</v>
      </c>
    </row>
    <row r="7421" spans="1:40" x14ac:dyDescent="0.25">
      <c r="A7421" t="str">
        <f>"20190312161503087"</f>
        <v>20190312161503087</v>
      </c>
      <c r="B7421" t="str">
        <f>"1552378503083794"</f>
        <v>1552378503083794</v>
      </c>
      <c r="C7421" t="s">
        <v>40</v>
      </c>
      <c r="D7421">
        <v>6.0148570000000001</v>
      </c>
      <c r="E7421">
        <v>0.58612299999999995</v>
      </c>
      <c r="F7421" t="s">
        <v>44</v>
      </c>
      <c r="G7421">
        <v>0</v>
      </c>
      <c r="H7421">
        <v>0</v>
      </c>
      <c r="I7421">
        <v>0</v>
      </c>
      <c r="J7421">
        <v>-173.3201</v>
      </c>
      <c r="K7421">
        <v>1.102336</v>
      </c>
      <c r="L7421">
        <v>136.8717</v>
      </c>
      <c r="M7421">
        <v>0.90534110000000001</v>
      </c>
      <c r="N7421">
        <v>0</v>
      </c>
      <c r="O7421">
        <v>0.4243807</v>
      </c>
      <c r="P7421">
        <v>0.96750999999999998</v>
      </c>
      <c r="Q7421">
        <v>-2.552511E-2</v>
      </c>
      <c r="R7421">
        <v>0.25154149999999997</v>
      </c>
      <c r="S7421">
        <v>3.0821230000000002</v>
      </c>
      <c r="T7421">
        <v>0.17370469999999999</v>
      </c>
      <c r="U7421">
        <v>0.11059570000000001</v>
      </c>
      <c r="V7421">
        <v>0.1826584</v>
      </c>
      <c r="W7421">
        <v>-1.331719E-2</v>
      </c>
      <c r="X7421">
        <v>0.98308620000000002</v>
      </c>
      <c r="Y7421">
        <v>0.3904397</v>
      </c>
      <c r="Z7421">
        <v>3.4245789999999998E-2</v>
      </c>
      <c r="AA7421">
        <v>0.91999140000000001</v>
      </c>
      <c r="AB7421">
        <v>22</v>
      </c>
      <c r="AC7421">
        <v>3.0821230000000002</v>
      </c>
      <c r="AD7421">
        <v>0.17370469999999999</v>
      </c>
      <c r="AE7421">
        <v>0.11059570000000001</v>
      </c>
      <c r="AF7421">
        <v>1.2042028333361801</v>
      </c>
      <c r="AG7421">
        <v>0.17370469999999999</v>
      </c>
      <c r="AH7421">
        <v>2.82870083727336</v>
      </c>
      <c r="AI7421">
        <v>86.766157883611797</v>
      </c>
      <c r="AJ7421">
        <v>66.9401187741923</v>
      </c>
      <c r="AK7421">
        <v>3.0792574126578001</v>
      </c>
      <c r="AL7421">
        <v>90.763041369353701</v>
      </c>
      <c r="AM7421">
        <v>79.474412989329593</v>
      </c>
      <c r="AN7421">
        <v>0.99999995763524696</v>
      </c>
    </row>
    <row r="7422" spans="1:40" x14ac:dyDescent="0.25">
      <c r="A7422" t="str">
        <f>"20190312161503099"</f>
        <v>20190312161503099</v>
      </c>
      <c r="B7422" t="str">
        <f>"1552378503094529"</f>
        <v>1552378503094529</v>
      </c>
      <c r="C7422" t="s">
        <v>40</v>
      </c>
      <c r="D7422">
        <v>5.9470980000000004</v>
      </c>
      <c r="E7422">
        <v>0.585511</v>
      </c>
      <c r="F7422" t="s">
        <v>44</v>
      </c>
      <c r="G7422">
        <v>0</v>
      </c>
      <c r="H7422">
        <v>0</v>
      </c>
      <c r="I7422">
        <v>0</v>
      </c>
      <c r="J7422">
        <v>-173.21360000000001</v>
      </c>
      <c r="K7422">
        <v>1.102379</v>
      </c>
      <c r="L7422">
        <v>136.91309999999999</v>
      </c>
      <c r="M7422">
        <v>0.90816350000000001</v>
      </c>
      <c r="N7422">
        <v>0</v>
      </c>
      <c r="O7422">
        <v>0.4183019</v>
      </c>
      <c r="P7422">
        <v>0.96907259999999995</v>
      </c>
      <c r="Q7422">
        <v>-2.5483970000000002E-2</v>
      </c>
      <c r="R7422">
        <v>0.2454567</v>
      </c>
      <c r="S7422">
        <v>3.0800930000000002</v>
      </c>
      <c r="T7422">
        <v>0.16129640000000001</v>
      </c>
      <c r="U7422">
        <v>9.587097E-2</v>
      </c>
      <c r="V7422">
        <v>0.1822512</v>
      </c>
      <c r="W7422">
        <v>-1.3138749999999999E-2</v>
      </c>
      <c r="X7422">
        <v>0.98316429999999999</v>
      </c>
      <c r="Y7422">
        <v>0.38882290000000003</v>
      </c>
      <c r="Z7422">
        <v>3.1497619999999997E-2</v>
      </c>
      <c r="AA7422">
        <v>0.92077390000000003</v>
      </c>
      <c r="AB7422">
        <v>22</v>
      </c>
      <c r="AC7422">
        <v>3.0800930000000002</v>
      </c>
      <c r="AD7422">
        <v>0.16129640000000001</v>
      </c>
      <c r="AE7422">
        <v>9.587097E-2</v>
      </c>
      <c r="AF7422">
        <v>1.19821725069408</v>
      </c>
      <c r="AG7422">
        <v>0.16129640000000001</v>
      </c>
      <c r="AH7422">
        <v>2.8299504496468701</v>
      </c>
      <c r="AI7422">
        <v>86.995563054969494</v>
      </c>
      <c r="AJ7422">
        <v>67.051922108703295</v>
      </c>
      <c r="AK7422">
        <v>3.0773951088494198</v>
      </c>
      <c r="AL7422">
        <v>90.752816520484899</v>
      </c>
      <c r="AM7422">
        <v>79.498170734437807</v>
      </c>
      <c r="AN7422">
        <v>1.0000000837237399</v>
      </c>
    </row>
    <row r="7423" spans="1:40" x14ac:dyDescent="0.25">
      <c r="A7423" t="str">
        <f>"20190312161503111"</f>
        <v>20190312161503111</v>
      </c>
      <c r="B7423" t="str">
        <f>"1552378503104289"</f>
        <v>1552378503104289</v>
      </c>
      <c r="C7423" t="s">
        <v>40</v>
      </c>
      <c r="D7423">
        <v>5.8114980000000003</v>
      </c>
      <c r="E7423">
        <v>0.58533409999999997</v>
      </c>
      <c r="F7423" t="s">
        <v>44</v>
      </c>
      <c r="G7423">
        <v>0</v>
      </c>
      <c r="H7423">
        <v>0</v>
      </c>
      <c r="I7423">
        <v>0</v>
      </c>
      <c r="J7423">
        <v>-173.102</v>
      </c>
      <c r="K7423">
        <v>1.102425</v>
      </c>
      <c r="L7423">
        <v>136.95609999999999</v>
      </c>
      <c r="M7423">
        <v>0.91107139999999998</v>
      </c>
      <c r="N7423">
        <v>0</v>
      </c>
      <c r="O7423">
        <v>0.41192529999999999</v>
      </c>
      <c r="P7423">
        <v>0.97063600000000005</v>
      </c>
      <c r="Q7423">
        <v>-2.5127509999999999E-2</v>
      </c>
      <c r="R7423">
        <v>0.23923739999999999</v>
      </c>
      <c r="S7423">
        <v>3.0793300000000001</v>
      </c>
      <c r="T7423">
        <v>0.15590379999999901</v>
      </c>
      <c r="U7423">
        <v>8.0978389999999997E-2</v>
      </c>
      <c r="V7423">
        <v>0.1816788</v>
      </c>
      <c r="W7423">
        <v>-1.263368E-2</v>
      </c>
      <c r="X7423">
        <v>0.98327679999999995</v>
      </c>
      <c r="Y7423">
        <v>0.38688889999999998</v>
      </c>
      <c r="Z7423">
        <v>3.011465E-2</v>
      </c>
      <c r="AA7423">
        <v>0.92163450000000002</v>
      </c>
      <c r="AB7423">
        <v>22</v>
      </c>
      <c r="AC7423">
        <v>3.0793300000000001</v>
      </c>
      <c r="AD7423">
        <v>0.15590379999999901</v>
      </c>
      <c r="AE7423">
        <v>8.0978389999999997E-2</v>
      </c>
      <c r="AF7423">
        <v>1.1917832349967801</v>
      </c>
      <c r="AG7423">
        <v>0.15590379999999901</v>
      </c>
      <c r="AH7423">
        <v>2.8319706258835202</v>
      </c>
      <c r="AI7423">
        <v>87.095230239584893</v>
      </c>
      <c r="AJ7423">
        <v>67.177095087071294</v>
      </c>
      <c r="AK7423">
        <v>3.0764770273709101</v>
      </c>
      <c r="AL7423">
        <v>90.723875778559204</v>
      </c>
      <c r="AM7423">
        <v>79.531594993972803</v>
      </c>
      <c r="AN7423">
        <v>1.00000003082901</v>
      </c>
    </row>
    <row r="7424" spans="1:40" x14ac:dyDescent="0.25">
      <c r="A7424" t="str">
        <f>"20190312161503122"</f>
        <v>20190312161503122</v>
      </c>
      <c r="B7424" t="str">
        <f>"1552378503114050"</f>
        <v>1552378503114050</v>
      </c>
      <c r="C7424" t="s">
        <v>40</v>
      </c>
      <c r="D7424">
        <v>6.0198210000000003</v>
      </c>
      <c r="E7424">
        <v>0.58463929999999997</v>
      </c>
      <c r="F7424" t="s">
        <v>44</v>
      </c>
      <c r="G7424">
        <v>0</v>
      </c>
      <c r="H7424">
        <v>0</v>
      </c>
      <c r="I7424">
        <v>0</v>
      </c>
      <c r="J7424">
        <v>-172.9829</v>
      </c>
      <c r="K7424">
        <v>1.102476</v>
      </c>
      <c r="L7424">
        <v>137.00059999999999</v>
      </c>
      <c r="M7424">
        <v>0.91411549999999997</v>
      </c>
      <c r="N7424">
        <v>0</v>
      </c>
      <c r="O7424">
        <v>0.40511940000000002</v>
      </c>
      <c r="P7424">
        <v>0.97233159999999996</v>
      </c>
      <c r="Q7424">
        <v>-2.490823E-2</v>
      </c>
      <c r="R7424">
        <v>0.2322736</v>
      </c>
      <c r="S7424">
        <v>3.0795140000000001</v>
      </c>
      <c r="T7424">
        <v>0.16167770000000001</v>
      </c>
      <c r="U7424">
        <v>6.2667849999999997E-2</v>
      </c>
      <c r="V7424">
        <v>0.18140529999999999</v>
      </c>
      <c r="W7424">
        <v>-1.226091E-2</v>
      </c>
      <c r="X7424">
        <v>0.98333199999999998</v>
      </c>
      <c r="Y7424">
        <v>0.38542850000000001</v>
      </c>
      <c r="Z7424">
        <v>3.08667E-2</v>
      </c>
      <c r="AA7424">
        <v>0.92222130000000002</v>
      </c>
      <c r="AB7424">
        <v>22</v>
      </c>
      <c r="AC7424">
        <v>3.0795140000000001</v>
      </c>
      <c r="AD7424">
        <v>0.16167770000000001</v>
      </c>
      <c r="AE7424">
        <v>6.2667849999999997E-2</v>
      </c>
      <c r="AF7424">
        <v>1.18717567290362</v>
      </c>
      <c r="AG7424">
        <v>0.16167770000000001</v>
      </c>
      <c r="AH7424">
        <v>2.83299904174276</v>
      </c>
      <c r="AI7424">
        <v>86.987028541968996</v>
      </c>
      <c r="AJ7424">
        <v>67.26375134976</v>
      </c>
      <c r="AK7424">
        <v>3.0759403972650201</v>
      </c>
      <c r="AL7424">
        <v>90.702515985970905</v>
      </c>
      <c r="AM7424">
        <v>79.547580407652504</v>
      </c>
      <c r="AN7424">
        <v>1.0000000175030499</v>
      </c>
    </row>
    <row r="7425" spans="1:40" x14ac:dyDescent="0.25">
      <c r="A7425" t="str">
        <f>"20190312161503136"</f>
        <v>20190312161503136</v>
      </c>
      <c r="B7425" t="str">
        <f>"1552378503123809"</f>
        <v>1552378503123809</v>
      </c>
      <c r="C7425" t="s">
        <v>40</v>
      </c>
      <c r="D7425">
        <v>5.7300129999999996</v>
      </c>
      <c r="E7425">
        <v>0.58438029999999996</v>
      </c>
      <c r="F7425" t="s">
        <v>44</v>
      </c>
      <c r="G7425">
        <v>0</v>
      </c>
      <c r="H7425">
        <v>0</v>
      </c>
      <c r="I7425">
        <v>0</v>
      </c>
      <c r="J7425">
        <v>-172.86109999999999</v>
      </c>
      <c r="K7425">
        <v>1.102528</v>
      </c>
      <c r="L7425">
        <v>137.04509999999999</v>
      </c>
      <c r="M7425">
        <v>0.91716779999999998</v>
      </c>
      <c r="N7425">
        <v>0</v>
      </c>
      <c r="O7425">
        <v>0.39815489999999998</v>
      </c>
      <c r="P7425">
        <v>0.97390860000000001</v>
      </c>
      <c r="Q7425">
        <v>-2.4408900000000001E-2</v>
      </c>
      <c r="R7425">
        <v>0.22562450000000001</v>
      </c>
      <c r="S7425">
        <v>3.078506</v>
      </c>
      <c r="T7425">
        <v>0.15910489999999999</v>
      </c>
      <c r="U7425">
        <v>4.5852660000000003E-2</v>
      </c>
      <c r="V7425">
        <v>0.18066460000000001</v>
      </c>
      <c r="W7425">
        <v>-1.1591779999999999E-2</v>
      </c>
      <c r="X7425">
        <v>0.98347649999999998</v>
      </c>
      <c r="Y7425">
        <v>0.3834861</v>
      </c>
      <c r="Z7425">
        <v>3.00092E-2</v>
      </c>
      <c r="AA7425">
        <v>0.92305899999999996</v>
      </c>
      <c r="AB7425">
        <v>22</v>
      </c>
      <c r="AC7425">
        <v>3.078506</v>
      </c>
      <c r="AD7425">
        <v>0.15910489999999999</v>
      </c>
      <c r="AE7425">
        <v>4.5852660000000003E-2</v>
      </c>
      <c r="AF7425">
        <v>1.1806779999532599</v>
      </c>
      <c r="AG7425">
        <v>0.15910489999999999</v>
      </c>
      <c r="AH7425">
        <v>2.8345854134225901</v>
      </c>
      <c r="AI7425">
        <v>87.033884631452693</v>
      </c>
      <c r="AJ7425">
        <v>67.387011776799895</v>
      </c>
      <c r="AK7425">
        <v>3.0747665561414199</v>
      </c>
      <c r="AL7425">
        <v>90.664174914816201</v>
      </c>
      <c r="AM7425">
        <v>79.590820073081801</v>
      </c>
      <c r="AN7425">
        <v>1.00000004655448</v>
      </c>
    </row>
    <row r="7426" spans="1:40" x14ac:dyDescent="0.25">
      <c r="A7426" t="str">
        <f>"20190312161503149"</f>
        <v>20190312161503149</v>
      </c>
      <c r="B7426" t="str">
        <f>"1552378503144306"</f>
        <v>1552378503144306</v>
      </c>
      <c r="C7426" t="s">
        <v>40</v>
      </c>
      <c r="D7426">
        <v>5.7649140000000001</v>
      </c>
      <c r="E7426">
        <v>0.5842851</v>
      </c>
      <c r="F7426" t="s">
        <v>44</v>
      </c>
      <c r="G7426">
        <v>0</v>
      </c>
      <c r="H7426">
        <v>0</v>
      </c>
      <c r="I7426">
        <v>0</v>
      </c>
      <c r="J7426">
        <v>-172.7424</v>
      </c>
      <c r="K7426">
        <v>1.102582</v>
      </c>
      <c r="L7426">
        <v>137.08779999999999</v>
      </c>
      <c r="M7426">
        <v>0.92008760000000001</v>
      </c>
      <c r="N7426">
        <v>0</v>
      </c>
      <c r="O7426">
        <v>0.39135439999999999</v>
      </c>
      <c r="P7426">
        <v>0.97538009999999997</v>
      </c>
      <c r="Q7426">
        <v>-2.4253190000000001E-2</v>
      </c>
      <c r="R7426">
        <v>0.2191929</v>
      </c>
      <c r="S7426">
        <v>3.0782470000000002</v>
      </c>
      <c r="T7426">
        <v>0.1633753</v>
      </c>
      <c r="U7426">
        <v>2.6962280000000002E-2</v>
      </c>
      <c r="V7426">
        <v>0.1798833</v>
      </c>
      <c r="W7426">
        <v>-1.1267859999999999E-2</v>
      </c>
      <c r="X7426">
        <v>0.98362340000000004</v>
      </c>
      <c r="Y7426">
        <v>0.38226949999999998</v>
      </c>
      <c r="Z7426">
        <v>3.0455280000000001E-2</v>
      </c>
      <c r="AA7426">
        <v>0.92354890000000001</v>
      </c>
      <c r="AB7426">
        <v>22</v>
      </c>
      <c r="AC7426">
        <v>3.0782470000000002</v>
      </c>
      <c r="AD7426">
        <v>0.1633753</v>
      </c>
      <c r="AE7426">
        <v>2.6962280000000002E-2</v>
      </c>
      <c r="AF7426">
        <v>1.1767289546264199</v>
      </c>
      <c r="AG7426">
        <v>0.1633753</v>
      </c>
      <c r="AH7426">
        <v>2.8352217276801301</v>
      </c>
      <c r="AI7426">
        <v>86.953502033609098</v>
      </c>
      <c r="AJ7426">
        <v>67.459620237397303</v>
      </c>
      <c r="AK7426">
        <v>3.0740632339650702</v>
      </c>
      <c r="AL7426">
        <v>90.645614497474398</v>
      </c>
      <c r="AM7426">
        <v>79.636372152489201</v>
      </c>
      <c r="AN7426">
        <v>0.99999997965771403</v>
      </c>
    </row>
    <row r="7427" spans="1:40" x14ac:dyDescent="0.25">
      <c r="A7427" t="str">
        <f>"20190312161503161"</f>
        <v>20190312161503161</v>
      </c>
      <c r="B7427" t="str">
        <f>"1552378503154065"</f>
        <v>1552378503154065</v>
      </c>
      <c r="C7427" t="s">
        <v>40</v>
      </c>
      <c r="D7427">
        <v>5.9270559999999897</v>
      </c>
      <c r="E7427">
        <v>0.5840687</v>
      </c>
      <c r="F7427" t="s">
        <v>44</v>
      </c>
      <c r="G7427">
        <v>0</v>
      </c>
      <c r="H7427">
        <v>0</v>
      </c>
      <c r="I7427">
        <v>0</v>
      </c>
      <c r="J7427">
        <v>-172.61930000000001</v>
      </c>
      <c r="K7427">
        <v>1.1026400000000001</v>
      </c>
      <c r="L7427">
        <v>137.13050000000001</v>
      </c>
      <c r="M7427">
        <v>0.9230526</v>
      </c>
      <c r="N7427">
        <v>0</v>
      </c>
      <c r="O7427">
        <v>0.38430259999999999</v>
      </c>
      <c r="P7427">
        <v>0.97689239999999999</v>
      </c>
      <c r="Q7427">
        <v>-2.406705E-2</v>
      </c>
      <c r="R7427">
        <v>0.21237239999999999</v>
      </c>
      <c r="S7427">
        <v>3.0780180000000001</v>
      </c>
      <c r="T7427">
        <v>0.15836979999999901</v>
      </c>
      <c r="U7427">
        <v>7.2174069999999899E-3</v>
      </c>
      <c r="V7427">
        <v>0.17923989999999901</v>
      </c>
      <c r="W7427">
        <v>-1.091016E-2</v>
      </c>
      <c r="X7427">
        <v>0.98374490000000003</v>
      </c>
      <c r="Y7427">
        <v>0.38119969999999997</v>
      </c>
      <c r="Z7427">
        <v>2.9165880000000002E-2</v>
      </c>
      <c r="AA7427">
        <v>0.92403259999999998</v>
      </c>
      <c r="AB7427">
        <v>22</v>
      </c>
      <c r="AC7427">
        <v>3.0780180000000001</v>
      </c>
      <c r="AD7427">
        <v>0.15836979999999901</v>
      </c>
      <c r="AE7427">
        <v>7.2174069999999899E-3</v>
      </c>
      <c r="AF7427">
        <v>1.1732901344642901</v>
      </c>
      <c r="AG7427">
        <v>0.15836979999999901</v>
      </c>
      <c r="AH7427">
        <v>2.8368421988370498</v>
      </c>
      <c r="AI7427">
        <v>87.046846573708905</v>
      </c>
      <c r="AJ7427">
        <v>67.530492222653294</v>
      </c>
      <c r="AK7427">
        <v>3.0739818467723401</v>
      </c>
      <c r="AL7427">
        <v>90.625118523200001</v>
      </c>
      <c r="AM7427">
        <v>79.673889412598399</v>
      </c>
      <c r="AN7427">
        <v>1.0000000008096199</v>
      </c>
    </row>
    <row r="7428" spans="1:40" x14ac:dyDescent="0.25">
      <c r="A7428" t="str">
        <f>"20190312161503178"</f>
        <v>20190312161503178</v>
      </c>
      <c r="B7428" t="str">
        <f>"1552378503174563"</f>
        <v>1552378503174563</v>
      </c>
      <c r="C7428" t="s">
        <v>40</v>
      </c>
      <c r="D7428">
        <v>5.8746359999999997</v>
      </c>
      <c r="E7428">
        <v>0.58349689999999999</v>
      </c>
      <c r="F7428" t="s">
        <v>44</v>
      </c>
      <c r="G7428">
        <v>0</v>
      </c>
      <c r="H7428">
        <v>0</v>
      </c>
      <c r="I7428">
        <v>0</v>
      </c>
      <c r="J7428">
        <v>-172.4701</v>
      </c>
      <c r="K7428">
        <v>1.1027070000000001</v>
      </c>
      <c r="L7428">
        <v>137.18109999999999</v>
      </c>
      <c r="M7428">
        <v>0.92656839999999996</v>
      </c>
      <c r="N7428">
        <v>0</v>
      </c>
      <c r="O7428">
        <v>0.37573909999999999</v>
      </c>
      <c r="P7428">
        <v>0.97846200000000005</v>
      </c>
      <c r="Q7428">
        <v>-2.4357810000000001E-2</v>
      </c>
      <c r="R7428">
        <v>0.20498520000000001</v>
      </c>
      <c r="S7428">
        <v>3.0776370000000002</v>
      </c>
      <c r="T7428">
        <v>0.159040299999999</v>
      </c>
      <c r="U7428">
        <v>-1.272583E-2</v>
      </c>
      <c r="V7428">
        <v>0.17756150000000001</v>
      </c>
      <c r="W7428">
        <v>-1.0977290000000001E-2</v>
      </c>
      <c r="X7428">
        <v>0.98404849999999999</v>
      </c>
      <c r="Y7428">
        <v>0.37863449999999998</v>
      </c>
      <c r="Z7428">
        <v>2.8817550000000001E-2</v>
      </c>
      <c r="AA7428">
        <v>0.92509750000000002</v>
      </c>
      <c r="AB7428">
        <v>22</v>
      </c>
      <c r="AC7428">
        <v>3.0776370000000002</v>
      </c>
      <c r="AD7428">
        <v>0.159040299999999</v>
      </c>
      <c r="AE7428">
        <v>-1.272583E-2</v>
      </c>
      <c r="AF7428">
        <v>1.1652383682999199</v>
      </c>
      <c r="AG7428">
        <v>0.159040299999999</v>
      </c>
      <c r="AH7428">
        <v>2.8396910526194601</v>
      </c>
      <c r="AI7428">
        <v>87.033948398193999</v>
      </c>
      <c r="AJ7428">
        <v>67.689703605876403</v>
      </c>
      <c r="AK7428">
        <v>3.0735841531198398</v>
      </c>
      <c r="AL7428">
        <v>90.628965007927405</v>
      </c>
      <c r="AM7428">
        <v>79.771621101651405</v>
      </c>
      <c r="AN7428">
        <v>1.0000000187651199</v>
      </c>
    </row>
    <row r="7429" spans="1:40" x14ac:dyDescent="0.25">
      <c r="A7429" t="str">
        <f>"20190312161503198"</f>
        <v>20190312161503198</v>
      </c>
      <c r="B7429" t="str">
        <f>"1552378503194081"</f>
        <v>1552378503194081</v>
      </c>
      <c r="C7429" t="s">
        <v>40</v>
      </c>
      <c r="D7429">
        <v>5.9166160000000003</v>
      </c>
      <c r="E7429">
        <v>0.58284569999999902</v>
      </c>
      <c r="F7429" t="s">
        <v>44</v>
      </c>
      <c r="G7429">
        <v>0</v>
      </c>
      <c r="H7429">
        <v>0</v>
      </c>
      <c r="I7429">
        <v>0</v>
      </c>
      <c r="J7429">
        <v>-172.27599999999899</v>
      </c>
      <c r="K7429">
        <v>1.102795</v>
      </c>
      <c r="L7429">
        <v>137.24449999999999</v>
      </c>
      <c r="M7429">
        <v>0.93100879999999997</v>
      </c>
      <c r="N7429">
        <v>0</v>
      </c>
      <c r="O7429">
        <v>0.36458839999999998</v>
      </c>
      <c r="P7429">
        <v>0.98050610000000005</v>
      </c>
      <c r="Q7429">
        <v>-2.4785330000000001E-2</v>
      </c>
      <c r="R7429">
        <v>0.19491929999999999</v>
      </c>
      <c r="S7429">
        <v>3.076584</v>
      </c>
      <c r="T7429">
        <v>0.15628149999999999</v>
      </c>
      <c r="U7429">
        <v>-3.1707760000000001E-2</v>
      </c>
      <c r="V7429">
        <v>0.17585580000000001</v>
      </c>
      <c r="W7429">
        <v>-1.113661E-2</v>
      </c>
      <c r="X7429">
        <v>0.98435289999999998</v>
      </c>
      <c r="Y7429">
        <v>0.373284</v>
      </c>
      <c r="Z7429">
        <v>2.766337E-2</v>
      </c>
      <c r="AA7429">
        <v>0.92730460000000003</v>
      </c>
      <c r="AB7429">
        <v>22</v>
      </c>
      <c r="AC7429">
        <v>3.076584</v>
      </c>
      <c r="AD7429">
        <v>0.15628149999999999</v>
      </c>
      <c r="AE7429">
        <v>-3.1707760000000001E-2</v>
      </c>
      <c r="AF7429">
        <v>1.14841556729695</v>
      </c>
      <c r="AG7429">
        <v>0.15628149999999999</v>
      </c>
      <c r="AH7429">
        <v>2.8458490401493499</v>
      </c>
      <c r="AI7429">
        <v>87.084705603288896</v>
      </c>
      <c r="AJ7429">
        <v>68.023924827617705</v>
      </c>
      <c r="AK7429">
        <v>3.0728063690657801</v>
      </c>
      <c r="AL7429">
        <v>90.638093967477104</v>
      </c>
      <c r="AM7429">
        <v>79.870900592968397</v>
      </c>
      <c r="AN7429">
        <v>0.99999995910716999</v>
      </c>
    </row>
    <row r="7430" spans="1:40" x14ac:dyDescent="0.25">
      <c r="A7430" t="str">
        <f>"20190312161503220"</f>
        <v>20190312161503220</v>
      </c>
      <c r="B7430" t="str">
        <f>"1552378503214577"</f>
        <v>1552378503214577</v>
      </c>
      <c r="C7430" t="s">
        <v>40</v>
      </c>
      <c r="D7430">
        <v>5.8595839999999999</v>
      </c>
      <c r="E7430">
        <v>0.58207249999999999</v>
      </c>
      <c r="F7430" t="s">
        <v>44</v>
      </c>
      <c r="G7430">
        <v>0</v>
      </c>
      <c r="H7430">
        <v>0</v>
      </c>
      <c r="I7430">
        <v>0</v>
      </c>
      <c r="J7430">
        <v>-172.0686</v>
      </c>
      <c r="K7430">
        <v>1.1028910000000001</v>
      </c>
      <c r="L7430">
        <v>137.30950000000001</v>
      </c>
      <c r="M7430">
        <v>0.93559130000000001</v>
      </c>
      <c r="N7430">
        <v>0</v>
      </c>
      <c r="O7430">
        <v>0.3526531</v>
      </c>
      <c r="P7430">
        <v>0.98255110000000001</v>
      </c>
      <c r="Q7430">
        <v>-2.4835110000000001E-2</v>
      </c>
      <c r="R7430">
        <v>0.18432860000000001</v>
      </c>
      <c r="S7430">
        <v>3.0750730000000002</v>
      </c>
      <c r="T7430">
        <v>0.15129100000000001</v>
      </c>
      <c r="U7430">
        <v>-5.841064E-2</v>
      </c>
      <c r="V7430">
        <v>0.1738951</v>
      </c>
      <c r="W7430">
        <v>-1.091606E-2</v>
      </c>
      <c r="X7430">
        <v>0.98470369999999996</v>
      </c>
      <c r="Y7430">
        <v>0.36955369999999998</v>
      </c>
      <c r="Z7430">
        <v>2.6151879999999999E-2</v>
      </c>
      <c r="AA7430">
        <v>0.92884129999999998</v>
      </c>
      <c r="AB7430">
        <v>22</v>
      </c>
      <c r="AC7430">
        <v>3.0750730000000002</v>
      </c>
      <c r="AD7430">
        <v>0.15129100000000001</v>
      </c>
      <c r="AE7430">
        <v>-5.841064E-2</v>
      </c>
      <c r="AF7430">
        <v>1.13650611192048</v>
      </c>
      <c r="AG7430">
        <v>0.15129100000000001</v>
      </c>
      <c r="AH7430">
        <v>2.8499521575230502</v>
      </c>
      <c r="AI7430">
        <v>87.1770711245927</v>
      </c>
      <c r="AJ7430">
        <v>68.258837210352894</v>
      </c>
      <c r="AK7430">
        <v>3.07193138095302</v>
      </c>
      <c r="AL7430">
        <v>90.625456575500493</v>
      </c>
      <c r="AM7430">
        <v>79.985031179239797</v>
      </c>
      <c r="AN7430">
        <v>1.0000000214818101</v>
      </c>
    </row>
    <row r="7431" spans="1:40" x14ac:dyDescent="0.25">
      <c r="A7431" t="str">
        <f>"20190312161503234"</f>
        <v>20190312161503234</v>
      </c>
      <c r="B7431" t="str">
        <f>"1552378503224338"</f>
        <v>1552378503224338</v>
      </c>
      <c r="C7431" t="s">
        <v>40</v>
      </c>
      <c r="D7431">
        <v>5.9869589999999997</v>
      </c>
      <c r="E7431">
        <v>0.58151129999999995</v>
      </c>
      <c r="F7431" t="s">
        <v>44</v>
      </c>
      <c r="G7431">
        <v>0</v>
      </c>
      <c r="H7431">
        <v>0</v>
      </c>
      <c r="I7431">
        <v>0</v>
      </c>
      <c r="J7431">
        <v>-171.94309999999999</v>
      </c>
      <c r="K7431">
        <v>1.1029500000000001</v>
      </c>
      <c r="L7431">
        <v>137.34739999999999</v>
      </c>
      <c r="M7431">
        <v>0.93828219999999996</v>
      </c>
      <c r="N7431">
        <v>0</v>
      </c>
      <c r="O7431">
        <v>0.34542410000000001</v>
      </c>
      <c r="P7431">
        <v>0.983819</v>
      </c>
      <c r="Q7431">
        <v>-2.4952249999999999E-2</v>
      </c>
      <c r="R7431">
        <v>0.17741979999999999</v>
      </c>
      <c r="S7431">
        <v>3.0731350000000002</v>
      </c>
      <c r="T7431">
        <v>0.15093229999999999</v>
      </c>
      <c r="U7431">
        <v>-8.5464479999999995E-2</v>
      </c>
      <c r="V7431">
        <v>0.17321819999999999</v>
      </c>
      <c r="W7431">
        <v>-1.089036E-2</v>
      </c>
      <c r="X7431">
        <v>0.98482329999999996</v>
      </c>
      <c r="Y7431">
        <v>0.37058039999999998</v>
      </c>
      <c r="Z7431">
        <v>2.5798060000000001E-2</v>
      </c>
      <c r="AA7431">
        <v>0.92844199999999999</v>
      </c>
      <c r="AB7431">
        <v>22</v>
      </c>
      <c r="AC7431">
        <v>3.0731350000000002</v>
      </c>
      <c r="AD7431">
        <v>0.15093229999999999</v>
      </c>
      <c r="AE7431">
        <v>-8.5464479999999995E-2</v>
      </c>
      <c r="AF7431">
        <v>1.13915529072893</v>
      </c>
      <c r="AG7431">
        <v>0.15093229999999999</v>
      </c>
      <c r="AH7431">
        <v>2.84752369696769</v>
      </c>
      <c r="AI7431">
        <v>87.1825866153752</v>
      </c>
      <c r="AJ7431">
        <v>68.196061316279994</v>
      </c>
      <c r="AK7431">
        <v>3.0706426917457499</v>
      </c>
      <c r="AL7431">
        <v>90.623983975853605</v>
      </c>
      <c r="AM7431">
        <v>80.024417760417293</v>
      </c>
      <c r="AN7431">
        <v>1.0000000384875201</v>
      </c>
    </row>
    <row r="7432" spans="1:40" x14ac:dyDescent="0.25">
      <c r="A7432" t="str">
        <f>"20190312161503254"</f>
        <v>20190312161503254</v>
      </c>
      <c r="B7432" t="str">
        <f>"1552378503243857"</f>
        <v>1552378503243857</v>
      </c>
      <c r="C7432" t="s">
        <v>40</v>
      </c>
      <c r="D7432">
        <v>6.0337730000000001</v>
      </c>
      <c r="E7432">
        <v>0.58043029999999995</v>
      </c>
      <c r="F7432" t="s">
        <v>44</v>
      </c>
      <c r="G7432">
        <v>0</v>
      </c>
      <c r="H7432">
        <v>0</v>
      </c>
      <c r="I7432">
        <v>0</v>
      </c>
      <c r="J7432">
        <v>-171.7551</v>
      </c>
      <c r="K7432">
        <v>1.1030409999999999</v>
      </c>
      <c r="L7432">
        <v>137.40219999999999</v>
      </c>
      <c r="M7432">
        <v>0.94219109999999995</v>
      </c>
      <c r="N7432">
        <v>0</v>
      </c>
      <c r="O7432">
        <v>0.3346074</v>
      </c>
      <c r="P7432">
        <v>0.98559589999999997</v>
      </c>
      <c r="Q7432">
        <v>-2.5649350000000001E-2</v>
      </c>
      <c r="R7432">
        <v>0.16716159999999999</v>
      </c>
      <c r="S7432">
        <v>3.0716860000000001</v>
      </c>
      <c r="T7432">
        <v>0.15101800000000001</v>
      </c>
      <c r="U7432">
        <v>-0.1026154</v>
      </c>
      <c r="V7432">
        <v>0.17213519999999999</v>
      </c>
      <c r="W7432">
        <v>-1.138334E-2</v>
      </c>
      <c r="X7432">
        <v>0.98500750000000004</v>
      </c>
      <c r="Y7432">
        <v>0.36510169999999997</v>
      </c>
      <c r="Z7432">
        <v>2.518486E-2</v>
      </c>
      <c r="AA7432">
        <v>0.93062690000000003</v>
      </c>
      <c r="AB7432">
        <v>21</v>
      </c>
      <c r="AC7432">
        <v>3.0716860000000001</v>
      </c>
      <c r="AD7432">
        <v>0.15101800000000001</v>
      </c>
      <c r="AE7432">
        <v>-0.1026154</v>
      </c>
      <c r="AF7432">
        <v>1.1219597447187799</v>
      </c>
      <c r="AG7432">
        <v>0.15101800000000001</v>
      </c>
      <c r="AH7432">
        <v>2.85333890849481</v>
      </c>
      <c r="AI7432">
        <v>87.180131897287197</v>
      </c>
      <c r="AJ7432">
        <v>68.534780279906698</v>
      </c>
      <c r="AK7432">
        <v>3.06971383549409</v>
      </c>
      <c r="AL7432">
        <v>90.652231463650097</v>
      </c>
      <c r="AM7432">
        <v>80.087363304625498</v>
      </c>
      <c r="AN7432">
        <v>0.99999994128242098</v>
      </c>
    </row>
    <row r="7433" spans="1:40" x14ac:dyDescent="0.25">
      <c r="A7433" t="str">
        <f>"20190312161503267"</f>
        <v>20190312161503267</v>
      </c>
      <c r="B7433" t="str">
        <f>"1552378503264164"</f>
        <v>1552378503264164</v>
      </c>
      <c r="C7433" t="s">
        <v>40</v>
      </c>
      <c r="D7433">
        <v>6.163646</v>
      </c>
      <c r="E7433">
        <v>0.57932069999999902</v>
      </c>
      <c r="F7433" t="s">
        <v>44</v>
      </c>
      <c r="G7433">
        <v>0</v>
      </c>
      <c r="H7433">
        <v>0</v>
      </c>
      <c r="I7433">
        <v>0</v>
      </c>
      <c r="J7433">
        <v>-171.62569999999999</v>
      </c>
      <c r="K7433">
        <v>1.103108</v>
      </c>
      <c r="L7433">
        <v>137.43870000000001</v>
      </c>
      <c r="M7433">
        <v>0.944801</v>
      </c>
      <c r="N7433">
        <v>0</v>
      </c>
      <c r="O7433">
        <v>0.32716000000000001</v>
      </c>
      <c r="P7433">
        <v>0.98679720000000004</v>
      </c>
      <c r="Q7433">
        <v>-2.6015380000000001E-2</v>
      </c>
      <c r="R7433">
        <v>0.15985820000000001</v>
      </c>
      <c r="S7433">
        <v>3.0690919999999999</v>
      </c>
      <c r="T7433">
        <v>0.14868589999999901</v>
      </c>
      <c r="U7433">
        <v>-0.1260223</v>
      </c>
      <c r="V7433">
        <v>0.17164939999999901</v>
      </c>
      <c r="W7433">
        <v>-1.161741E-2</v>
      </c>
      <c r="X7433">
        <v>0.98508960000000001</v>
      </c>
      <c r="Y7433">
        <v>0.36490289999999997</v>
      </c>
      <c r="Z7433">
        <v>2.446883E-2</v>
      </c>
      <c r="AA7433">
        <v>0.930724</v>
      </c>
      <c r="AB7433">
        <v>21</v>
      </c>
      <c r="AC7433">
        <v>3.0690919999999999</v>
      </c>
      <c r="AD7433">
        <v>0.14868589999999901</v>
      </c>
      <c r="AE7433">
        <v>-0.1260223</v>
      </c>
      <c r="AF7433">
        <v>1.1207025210928101</v>
      </c>
      <c r="AG7433">
        <v>0.14868589999999901</v>
      </c>
      <c r="AH7433">
        <v>2.8522224852305</v>
      </c>
      <c r="AI7433">
        <v>87.222253220300601</v>
      </c>
      <c r="AJ7433">
        <v>68.549017436924501</v>
      </c>
      <c r="AK7433">
        <v>3.0681027921008601</v>
      </c>
      <c r="AL7433">
        <v>90.665643535200999</v>
      </c>
      <c r="AM7433">
        <v>80.115593746760197</v>
      </c>
      <c r="AN7433">
        <v>1.0000000003818099</v>
      </c>
    </row>
    <row r="7434" spans="1:40" x14ac:dyDescent="0.25">
      <c r="A7434" t="str">
        <f>"20190312161503280"</f>
        <v>20190312161503280</v>
      </c>
      <c r="B7434" t="str">
        <f>"1552378503273924"</f>
        <v>1552378503273924</v>
      </c>
      <c r="C7434" t="s">
        <v>40</v>
      </c>
      <c r="D7434">
        <v>6.2925890000000004</v>
      </c>
      <c r="E7434">
        <v>0.57873730000000001</v>
      </c>
      <c r="F7434" t="s">
        <v>44</v>
      </c>
      <c r="G7434">
        <v>0</v>
      </c>
      <c r="H7434">
        <v>0</v>
      </c>
      <c r="I7434">
        <v>0</v>
      </c>
      <c r="J7434">
        <v>-171.50620000000001</v>
      </c>
      <c r="K7434">
        <v>1.1031740000000001</v>
      </c>
      <c r="L7434">
        <v>137.471</v>
      </c>
      <c r="M7434">
        <v>0.94714849999999995</v>
      </c>
      <c r="N7434">
        <v>0</v>
      </c>
      <c r="O7434">
        <v>0.32029550000000001</v>
      </c>
      <c r="P7434">
        <v>0.98779879999999998</v>
      </c>
      <c r="Q7434">
        <v>-2.609999E-2</v>
      </c>
      <c r="R7434">
        <v>0.15353339999999999</v>
      </c>
      <c r="S7434">
        <v>3.0666959999999999</v>
      </c>
      <c r="T7434">
        <v>0.14743029999999999</v>
      </c>
      <c r="U7434">
        <v>-0.1399994</v>
      </c>
      <c r="V7434">
        <v>0.17081350000000001</v>
      </c>
      <c r="W7434">
        <v>-1.157584E-2</v>
      </c>
      <c r="X7434">
        <v>0.98523539999999998</v>
      </c>
      <c r="Y7434">
        <v>0.36243449999999999</v>
      </c>
      <c r="Z7434">
        <v>2.3905969999999999E-2</v>
      </c>
      <c r="AA7434">
        <v>0.93170260000000005</v>
      </c>
      <c r="AB7434">
        <v>21</v>
      </c>
      <c r="AC7434">
        <v>3.0666959999999999</v>
      </c>
      <c r="AD7434">
        <v>0.14743029999999999</v>
      </c>
      <c r="AE7434">
        <v>-0.1399994</v>
      </c>
      <c r="AF7434">
        <v>1.1124621115982301</v>
      </c>
      <c r="AG7434">
        <v>0.14743029999999999</v>
      </c>
      <c r="AH7434">
        <v>2.8536521830958499</v>
      </c>
      <c r="AI7434">
        <v>87.244172819501301</v>
      </c>
      <c r="AJ7434">
        <v>68.702272439985407</v>
      </c>
      <c r="AK7434">
        <v>3.0663721928669001</v>
      </c>
      <c r="AL7434">
        <v>90.663261574718604</v>
      </c>
      <c r="AM7434">
        <v>80.164213632031206</v>
      </c>
      <c r="AN7434">
        <v>1.0000000226335499</v>
      </c>
    </row>
    <row r="7435" spans="1:40" x14ac:dyDescent="0.25">
      <c r="A7435" t="str">
        <f>"20190312161503294"</f>
        <v>20190312161503294</v>
      </c>
      <c r="B7435" t="str">
        <f>"1552378503284660"</f>
        <v>1552378503284660</v>
      </c>
      <c r="C7435" t="s">
        <v>40</v>
      </c>
      <c r="D7435">
        <v>6.0696669999999999</v>
      </c>
      <c r="E7435">
        <v>0.57815000000000005</v>
      </c>
      <c r="F7435" t="s">
        <v>44</v>
      </c>
      <c r="G7435">
        <v>0</v>
      </c>
      <c r="H7435">
        <v>0</v>
      </c>
      <c r="I7435">
        <v>0</v>
      </c>
      <c r="J7435">
        <v>-171.37629999999999</v>
      </c>
      <c r="K7435">
        <v>1.103251</v>
      </c>
      <c r="L7435">
        <v>137.50540000000001</v>
      </c>
      <c r="M7435">
        <v>0.94963679999999995</v>
      </c>
      <c r="N7435">
        <v>0</v>
      </c>
      <c r="O7435">
        <v>0.31283610000000001</v>
      </c>
      <c r="P7435">
        <v>0.98890679999999997</v>
      </c>
      <c r="Q7435">
        <v>-2.6211680000000001E-2</v>
      </c>
      <c r="R7435">
        <v>0.14620620000000001</v>
      </c>
      <c r="S7435">
        <v>3.065048</v>
      </c>
      <c r="T7435">
        <v>0.14690120000000001</v>
      </c>
      <c r="U7435">
        <v>-0.15499879999999999</v>
      </c>
      <c r="V7435">
        <v>0.17036979999999999</v>
      </c>
      <c r="W7435">
        <v>-1.15636E-2</v>
      </c>
      <c r="X7435">
        <v>0.98531230000000003</v>
      </c>
      <c r="Y7435">
        <v>0.35969279999999998</v>
      </c>
      <c r="Z7435">
        <v>2.342379E-2</v>
      </c>
      <c r="AA7435">
        <v>0.93277670000000001</v>
      </c>
      <c r="AB7435">
        <v>21</v>
      </c>
      <c r="AC7435">
        <v>3.065048</v>
      </c>
      <c r="AD7435">
        <v>0.14690120000000001</v>
      </c>
      <c r="AE7435">
        <v>-0.15499879999999999</v>
      </c>
      <c r="AF7435">
        <v>1.10370036551774</v>
      </c>
      <c r="AG7435">
        <v>0.14690120000000001</v>
      </c>
      <c r="AH7435">
        <v>2.85611227542794</v>
      </c>
      <c r="AI7435">
        <v>87.253262595562205</v>
      </c>
      <c r="AJ7435">
        <v>68.871747308745299</v>
      </c>
      <c r="AK7435">
        <v>3.0654708919276299</v>
      </c>
      <c r="AL7435">
        <v>90.662560270896606</v>
      </c>
      <c r="AM7435">
        <v>80.190016489081898</v>
      </c>
      <c r="AN7435">
        <v>0.99999995706414402</v>
      </c>
    </row>
    <row r="7436" spans="1:40" x14ac:dyDescent="0.25">
      <c r="A7436" t="str">
        <f>"20190312161503308"</f>
        <v>20190312161503308</v>
      </c>
      <c r="B7436" t="str">
        <f>"1552378503304180"</f>
        <v>1552378503304180</v>
      </c>
      <c r="C7436" t="s">
        <v>40</v>
      </c>
      <c r="D7436">
        <v>6.453576</v>
      </c>
      <c r="E7436">
        <v>0.57659879999999997</v>
      </c>
      <c r="F7436" t="s">
        <v>44</v>
      </c>
      <c r="G7436">
        <v>0</v>
      </c>
      <c r="H7436">
        <v>0</v>
      </c>
      <c r="I7436">
        <v>0</v>
      </c>
      <c r="J7436">
        <v>-171.25049999999999</v>
      </c>
      <c r="K7436">
        <v>1.1033280000000001</v>
      </c>
      <c r="L7436">
        <v>137.53790000000001</v>
      </c>
      <c r="M7436">
        <v>0.95198199999999999</v>
      </c>
      <c r="N7436">
        <v>0</v>
      </c>
      <c r="O7436">
        <v>0.30562040000000001</v>
      </c>
      <c r="P7436">
        <v>0.98987420000000004</v>
      </c>
      <c r="Q7436">
        <v>-2.598313E-2</v>
      </c>
      <c r="R7436">
        <v>0.13954929999999999</v>
      </c>
      <c r="S7436">
        <v>3.06311</v>
      </c>
      <c r="T7436">
        <v>0.146321799999999</v>
      </c>
      <c r="U7436">
        <v>-0.1729889</v>
      </c>
      <c r="V7436">
        <v>0.1695316</v>
      </c>
      <c r="W7436">
        <v>-1.121019E-2</v>
      </c>
      <c r="X7436">
        <v>0.98546100000000003</v>
      </c>
      <c r="Y7436">
        <v>0.35812110000000003</v>
      </c>
      <c r="Z7436">
        <v>2.2976219999999999E-2</v>
      </c>
      <c r="AA7436">
        <v>0.93339240000000001</v>
      </c>
      <c r="AB7436">
        <v>21</v>
      </c>
      <c r="AC7436">
        <v>3.06311</v>
      </c>
      <c r="AD7436">
        <v>0.146321799999999</v>
      </c>
      <c r="AE7436">
        <v>-0.1729889</v>
      </c>
      <c r="AF7436">
        <v>1.0985122414721</v>
      </c>
      <c r="AG7436">
        <v>0.146321799999999</v>
      </c>
      <c r="AH7436">
        <v>2.85712519965255</v>
      </c>
      <c r="AI7436">
        <v>87.263257853319402</v>
      </c>
      <c r="AJ7436">
        <v>68.969163744223195</v>
      </c>
      <c r="AK7436">
        <v>3.0645233920316102</v>
      </c>
      <c r="AL7436">
        <v>90.642310023440601</v>
      </c>
      <c r="AM7436">
        <v>80.238794294363302</v>
      </c>
      <c r="AN7436">
        <v>1.00000000713969</v>
      </c>
    </row>
    <row r="7437" spans="1:40" x14ac:dyDescent="0.25">
      <c r="A7437" t="str">
        <f>"20190312161503320"</f>
        <v>20190312161503320</v>
      </c>
      <c r="B7437" t="str">
        <f>"1552378503313940"</f>
        <v>1552378503313940</v>
      </c>
      <c r="C7437" t="s">
        <v>40</v>
      </c>
      <c r="D7437">
        <v>6.2579449999999897</v>
      </c>
      <c r="E7437">
        <v>0.5760286</v>
      </c>
      <c r="F7437" t="s">
        <v>44</v>
      </c>
      <c r="G7437">
        <v>0</v>
      </c>
      <c r="H7437">
        <v>0</v>
      </c>
      <c r="I7437">
        <v>0</v>
      </c>
      <c r="J7437">
        <v>-171.12790000000001</v>
      </c>
      <c r="K7437">
        <v>1.103405</v>
      </c>
      <c r="L7437">
        <v>137.56819999999999</v>
      </c>
      <c r="M7437">
        <v>0.95420179999999999</v>
      </c>
      <c r="N7437">
        <v>0</v>
      </c>
      <c r="O7437">
        <v>0.29861349999999998</v>
      </c>
      <c r="P7437">
        <v>0.99064450000000004</v>
      </c>
      <c r="Q7437">
        <v>-2.5989229999999999E-2</v>
      </c>
      <c r="R7437">
        <v>0.13397000000000001</v>
      </c>
      <c r="S7437">
        <v>3.0599669999999999</v>
      </c>
      <c r="T7437">
        <v>0.1411482</v>
      </c>
      <c r="U7437">
        <v>-0.18141170000000001</v>
      </c>
      <c r="V7437">
        <v>0.1678433</v>
      </c>
      <c r="W7437">
        <v>-1.1081769999999999E-2</v>
      </c>
      <c r="X7437">
        <v>0.98575140000000006</v>
      </c>
      <c r="Y7437">
        <v>0.35393249999999998</v>
      </c>
      <c r="Z7437">
        <v>2.1778450000000001E-2</v>
      </c>
      <c r="AA7437">
        <v>0.93501730000000005</v>
      </c>
      <c r="AB7437">
        <v>21</v>
      </c>
      <c r="AC7437">
        <v>3.0599669999999999</v>
      </c>
      <c r="AD7437">
        <v>0.1411482</v>
      </c>
      <c r="AE7437">
        <v>-0.18141170000000001</v>
      </c>
      <c r="AF7437">
        <v>1.0847296727360001</v>
      </c>
      <c r="AG7437">
        <v>0.1411482</v>
      </c>
      <c r="AH7437">
        <v>2.8600612795761502</v>
      </c>
      <c r="AI7437">
        <v>87.3580095748829</v>
      </c>
      <c r="AJ7437">
        <v>69.229867215621695</v>
      </c>
      <c r="AK7437">
        <v>3.0621090444672201</v>
      </c>
      <c r="AL7437">
        <v>90.634951646423303</v>
      </c>
      <c r="AM7437">
        <v>80.336953392315394</v>
      </c>
      <c r="AN7437">
        <v>1.0000000007915899</v>
      </c>
    </row>
    <row r="7438" spans="1:40" x14ac:dyDescent="0.25">
      <c r="A7438" t="str">
        <f>"20190312161503333"</f>
        <v>20190312161503333</v>
      </c>
      <c r="B7438" t="str">
        <f>"1552378503324675"</f>
        <v>1552378503324675</v>
      </c>
      <c r="C7438" t="s">
        <v>40</v>
      </c>
      <c r="D7438">
        <v>6.4517740000000003</v>
      </c>
      <c r="E7438">
        <v>0.57548060000000001</v>
      </c>
      <c r="F7438" t="s">
        <v>44</v>
      </c>
      <c r="G7438">
        <v>0</v>
      </c>
      <c r="H7438">
        <v>0</v>
      </c>
      <c r="I7438">
        <v>0</v>
      </c>
      <c r="J7438">
        <v>-171.00579999999999</v>
      </c>
      <c r="K7438">
        <v>1.103485</v>
      </c>
      <c r="L7438">
        <v>137.5976</v>
      </c>
      <c r="M7438">
        <v>0.95635150000000002</v>
      </c>
      <c r="N7438">
        <v>0</v>
      </c>
      <c r="O7438">
        <v>0.2916513</v>
      </c>
      <c r="P7438">
        <v>0.99147110000000005</v>
      </c>
      <c r="Q7438">
        <v>-2.6351840000000001E-2</v>
      </c>
      <c r="R7438">
        <v>0.12763459999999999</v>
      </c>
      <c r="S7438">
        <v>3.0582280000000002</v>
      </c>
      <c r="T7438">
        <v>0.1406577</v>
      </c>
      <c r="U7438">
        <v>-0.1939545</v>
      </c>
      <c r="V7438">
        <v>0.1669553</v>
      </c>
      <c r="W7438">
        <v>-1.132883E-2</v>
      </c>
      <c r="X7438">
        <v>0.98589939999999998</v>
      </c>
      <c r="Y7438">
        <v>0.35098249999999998</v>
      </c>
      <c r="Z7438">
        <v>2.1336830000000001E-2</v>
      </c>
      <c r="AA7438">
        <v>0.9361389</v>
      </c>
      <c r="AB7438">
        <v>21</v>
      </c>
      <c r="AC7438">
        <v>3.0582280000000002</v>
      </c>
      <c r="AD7438">
        <v>0.1406577</v>
      </c>
      <c r="AE7438">
        <v>-0.1939545</v>
      </c>
      <c r="AF7438">
        <v>1.07533775406942</v>
      </c>
      <c r="AG7438">
        <v>0.1406577</v>
      </c>
      <c r="AH7438">
        <v>2.8626178731513598</v>
      </c>
      <c r="AI7438">
        <v>87.366382648960595</v>
      </c>
      <c r="AJ7438">
        <v>69.411392575178198</v>
      </c>
      <c r="AK7438">
        <v>3.06116268133237</v>
      </c>
      <c r="AL7438">
        <v>90.649108017533294</v>
      </c>
      <c r="AM7438">
        <v>80.388536851838296</v>
      </c>
      <c r="AN7438">
        <v>1.0000000207538</v>
      </c>
    </row>
    <row r="7439" spans="1:40" x14ac:dyDescent="0.25">
      <c r="A7439" t="str">
        <f>"20190312161503353"</f>
        <v>20190312161503353</v>
      </c>
      <c r="B7439" t="str">
        <f>"1552378503344196"</f>
        <v>1552378503344196</v>
      </c>
      <c r="C7439" t="s">
        <v>40</v>
      </c>
      <c r="D7439">
        <v>5.809857</v>
      </c>
      <c r="E7439">
        <v>0.5394852</v>
      </c>
      <c r="F7439" t="s">
        <v>44</v>
      </c>
      <c r="G7439">
        <v>0</v>
      </c>
      <c r="H7439">
        <v>0</v>
      </c>
      <c r="I7439">
        <v>0</v>
      </c>
      <c r="J7439">
        <v>-170.82159999999999</v>
      </c>
      <c r="K7439">
        <v>1.1036090000000001</v>
      </c>
      <c r="L7439">
        <v>137.64019999999999</v>
      </c>
      <c r="M7439">
        <v>0.95947749999999998</v>
      </c>
      <c r="N7439">
        <v>0</v>
      </c>
      <c r="O7439">
        <v>0.28119040000000001</v>
      </c>
      <c r="P7439">
        <v>0.99264419999999998</v>
      </c>
      <c r="Q7439">
        <v>-2.7373580000000002E-2</v>
      </c>
      <c r="R7439">
        <v>0.1179326</v>
      </c>
      <c r="S7439">
        <v>3.0564269999999998</v>
      </c>
      <c r="T7439">
        <v>0.1383431</v>
      </c>
      <c r="U7439">
        <v>-0.20915220000000001</v>
      </c>
      <c r="V7439">
        <v>0.16581089999999901</v>
      </c>
      <c r="W7439">
        <v>-1.2186209999999999E-2</v>
      </c>
      <c r="X7439">
        <v>0.98608229999999997</v>
      </c>
      <c r="Y7439">
        <v>0.34546059999999901</v>
      </c>
      <c r="Z7439">
        <v>2.0413210000000001E-2</v>
      </c>
      <c r="AA7439">
        <v>0.93821120000000002</v>
      </c>
      <c r="AB7439">
        <v>21</v>
      </c>
      <c r="AC7439">
        <v>3.0564269999999998</v>
      </c>
      <c r="AD7439">
        <v>0.1383431</v>
      </c>
      <c r="AE7439">
        <v>-0.20915220000000001</v>
      </c>
      <c r="AF7439">
        <v>1.05813457494303</v>
      </c>
      <c r="AG7439">
        <v>0.1383431</v>
      </c>
      <c r="AH7439">
        <v>2.86839345441975</v>
      </c>
      <c r="AI7439">
        <v>87.409162305427003</v>
      </c>
      <c r="AJ7439">
        <v>69.751259552244505</v>
      </c>
      <c r="AK7439">
        <v>3.0604686898195101</v>
      </c>
      <c r="AL7439">
        <v>90.698235662578995</v>
      </c>
      <c r="AM7439">
        <v>80.454940369883204</v>
      </c>
      <c r="AN7439">
        <v>1.00000003032313</v>
      </c>
    </row>
    <row r="7440" spans="1:40" x14ac:dyDescent="0.25">
      <c r="A7440" t="str">
        <f>"20190312161503370"</f>
        <v>20190312161503370</v>
      </c>
      <c r="B7440" t="str">
        <f>"1552378503364692"</f>
        <v>1552378503364692</v>
      </c>
      <c r="C7440" t="s">
        <v>40</v>
      </c>
      <c r="D7440">
        <v>5.9454739999999999</v>
      </c>
      <c r="E7440">
        <v>0.53889290000000001</v>
      </c>
      <c r="F7440" t="s">
        <v>44</v>
      </c>
      <c r="G7440">
        <v>0</v>
      </c>
      <c r="H7440">
        <v>0</v>
      </c>
      <c r="I7440">
        <v>0</v>
      </c>
      <c r="J7440">
        <v>-170.6688</v>
      </c>
      <c r="K7440">
        <v>1.1037170000000001</v>
      </c>
      <c r="L7440">
        <v>137.67420000000001</v>
      </c>
      <c r="M7440">
        <v>0.96196510000000002</v>
      </c>
      <c r="N7440">
        <v>0</v>
      </c>
      <c r="O7440">
        <v>0.27255400000000002</v>
      </c>
      <c r="P7440">
        <v>0.99358709999999995</v>
      </c>
      <c r="Q7440">
        <v>-2.7877079999999999E-2</v>
      </c>
      <c r="R7440">
        <v>0.1095791</v>
      </c>
      <c r="S7440">
        <v>3.0179290000000001</v>
      </c>
      <c r="T7440">
        <v>3.207028E-2</v>
      </c>
      <c r="U7440">
        <v>4.3670649999999998E-2</v>
      </c>
      <c r="V7440">
        <v>0.165233299999999</v>
      </c>
      <c r="W7440">
        <v>-1.2567709999999999E-2</v>
      </c>
      <c r="X7440">
        <v>0.98617440000000001</v>
      </c>
      <c r="Y7440">
        <v>0.25862089999999999</v>
      </c>
      <c r="Z7440">
        <v>4.2412090000000001E-3</v>
      </c>
      <c r="AA7440">
        <v>0.96596959999999998</v>
      </c>
      <c r="AB7440">
        <v>21</v>
      </c>
      <c r="AC7440">
        <v>3.0179290000000001</v>
      </c>
      <c r="AD7440">
        <v>3.207028E-2</v>
      </c>
      <c r="AE7440">
        <v>4.3670649999999998E-2</v>
      </c>
      <c r="AF7440">
        <v>0.78058258620828902</v>
      </c>
      <c r="AG7440">
        <v>3.207028E-2</v>
      </c>
      <c r="AH7440">
        <v>2.9152078388008298</v>
      </c>
      <c r="AI7440">
        <v>89.391159429880403</v>
      </c>
      <c r="AJ7440">
        <v>75.009994416310093</v>
      </c>
      <c r="AK7440">
        <v>3.0180746213698399</v>
      </c>
      <c r="AL7440">
        <v>90.720095720523801</v>
      </c>
      <c r="AM7440">
        <v>80.4884539306303</v>
      </c>
      <c r="AN7440">
        <v>0.99999996898944599</v>
      </c>
    </row>
    <row r="7441" spans="1:40" x14ac:dyDescent="0.25">
      <c r="A7441" t="str">
        <f>"20190312161503388"</f>
        <v>20190312161503388</v>
      </c>
      <c r="B7441" t="str">
        <f>"1552378503384211"</f>
        <v>1552378503384211</v>
      </c>
      <c r="C7441" t="s">
        <v>40</v>
      </c>
      <c r="D7441">
        <v>6.2718020000000001</v>
      </c>
      <c r="E7441">
        <v>0.53802559999999999</v>
      </c>
      <c r="F7441" t="s">
        <v>44</v>
      </c>
      <c r="G7441">
        <v>0</v>
      </c>
      <c r="H7441">
        <v>0</v>
      </c>
      <c r="I7441">
        <v>0</v>
      </c>
      <c r="J7441">
        <v>-170.50319999999999</v>
      </c>
      <c r="K7441">
        <v>1.1038330000000001</v>
      </c>
      <c r="L7441">
        <v>137.70939999999999</v>
      </c>
      <c r="M7441">
        <v>0.96455440000000003</v>
      </c>
      <c r="N7441">
        <v>0</v>
      </c>
      <c r="O7441">
        <v>0.26323930000000001</v>
      </c>
      <c r="P7441">
        <v>0.9944404</v>
      </c>
      <c r="Q7441">
        <v>-2.7995519999999999E-2</v>
      </c>
      <c r="R7441">
        <v>0.10151110000000001</v>
      </c>
      <c r="S7441">
        <v>3.017563</v>
      </c>
      <c r="T7441">
        <v>2.6496889999999999E-2</v>
      </c>
      <c r="U7441">
        <v>2.2888180000000001E-2</v>
      </c>
      <c r="V7441">
        <v>0.16370409999999999</v>
      </c>
      <c r="W7441">
        <v>-1.2546160000000001E-2</v>
      </c>
      <c r="X7441">
        <v>0.98642969999999996</v>
      </c>
      <c r="Y7441">
        <v>0.25593949999999999</v>
      </c>
      <c r="Z7441">
        <v>3.414107E-3</v>
      </c>
      <c r="AA7441">
        <v>0.96668679999999996</v>
      </c>
      <c r="AB7441">
        <v>21</v>
      </c>
      <c r="AC7441">
        <v>3.017563</v>
      </c>
      <c r="AD7441">
        <v>2.6496889999999999E-2</v>
      </c>
      <c r="AE7441">
        <v>2.2888180000000001E-2</v>
      </c>
      <c r="AF7441">
        <v>0.77233600250162504</v>
      </c>
      <c r="AG7441">
        <v>2.6496889999999999E-2</v>
      </c>
      <c r="AH7441">
        <v>2.9168996244313798</v>
      </c>
      <c r="AI7441">
        <v>89.4968806546092</v>
      </c>
      <c r="AJ7441">
        <v>75.169564030490903</v>
      </c>
      <c r="AK7441">
        <v>3.0175334969056702</v>
      </c>
      <c r="AL7441">
        <v>90.718860879833102</v>
      </c>
      <c r="AM7441">
        <v>80.577290297964495</v>
      </c>
      <c r="AN7441">
        <v>0.99999999576482201</v>
      </c>
    </row>
    <row r="7442" spans="1:40" x14ac:dyDescent="0.25">
      <c r="A7442" t="str">
        <f>"20190312161503411"</f>
        <v>20190312161503411</v>
      </c>
      <c r="B7442" t="str">
        <f>"1552378503404709"</f>
        <v>1552378503404709</v>
      </c>
      <c r="C7442" t="s">
        <v>40</v>
      </c>
      <c r="D7442">
        <v>5.9181489999999997</v>
      </c>
      <c r="E7442">
        <v>0.53701069999999995</v>
      </c>
      <c r="F7442" t="s">
        <v>44</v>
      </c>
      <c r="G7442">
        <v>0</v>
      </c>
      <c r="H7442">
        <v>0</v>
      </c>
      <c r="I7442">
        <v>0</v>
      </c>
      <c r="J7442">
        <v>-170.29419999999999</v>
      </c>
      <c r="K7442">
        <v>1.1039840000000001</v>
      </c>
      <c r="L7442">
        <v>137.75120000000001</v>
      </c>
      <c r="M7442">
        <v>0.96765950000000001</v>
      </c>
      <c r="N7442">
        <v>0</v>
      </c>
      <c r="O7442">
        <v>0.25158019999999998</v>
      </c>
      <c r="P7442">
        <v>0.99543020000000004</v>
      </c>
      <c r="Q7442">
        <v>-2.8272459999999999E-2</v>
      </c>
      <c r="R7442">
        <v>9.1211390000000003E-2</v>
      </c>
      <c r="S7442">
        <v>3.0169069999999998</v>
      </c>
      <c r="T7442">
        <v>2.333462E-2</v>
      </c>
      <c r="U7442">
        <v>5.2795409999999996E-3</v>
      </c>
      <c r="V7442">
        <v>0.16201119999999999</v>
      </c>
      <c r="W7442">
        <v>-1.266719E-2</v>
      </c>
      <c r="X7442">
        <v>0.98670760000000002</v>
      </c>
      <c r="Y7442">
        <v>0.24991430000000001</v>
      </c>
      <c r="Z7442">
        <v>2.896643E-3</v>
      </c>
      <c r="AA7442">
        <v>0.9682636</v>
      </c>
      <c r="AB7442">
        <v>21</v>
      </c>
      <c r="AC7442">
        <v>3.0169069999999998</v>
      </c>
      <c r="AD7442">
        <v>2.333462E-2</v>
      </c>
      <c r="AE7442">
        <v>5.2795409999999996E-3</v>
      </c>
      <c r="AF7442">
        <v>0.75396929704013105</v>
      </c>
      <c r="AG7442">
        <v>2.333462E-2</v>
      </c>
      <c r="AH7442">
        <v>2.9209924868197699</v>
      </c>
      <c r="AI7442">
        <v>89.556822098370702</v>
      </c>
      <c r="AJ7442">
        <v>75.526675488117206</v>
      </c>
      <c r="AK7442">
        <v>3.0168213923643701</v>
      </c>
      <c r="AL7442">
        <v>90.725795945342597</v>
      </c>
      <c r="AM7442">
        <v>80.675592309219098</v>
      </c>
      <c r="AN7442">
        <v>0.999999987262848</v>
      </c>
    </row>
    <row r="7443" spans="1:40" x14ac:dyDescent="0.25">
      <c r="A7443" t="str">
        <f>"20190312161503433"</f>
        <v>20190312161503433</v>
      </c>
      <c r="B7443" t="str">
        <f>"1552378503424228"</f>
        <v>1552378503424228</v>
      </c>
      <c r="C7443" t="s">
        <v>40</v>
      </c>
      <c r="D7443">
        <v>5.9535090000000004</v>
      </c>
      <c r="E7443">
        <v>0.54874089999999998</v>
      </c>
      <c r="F7443" t="s">
        <v>44</v>
      </c>
      <c r="G7443">
        <v>0</v>
      </c>
      <c r="H7443">
        <v>0</v>
      </c>
      <c r="I7443">
        <v>0</v>
      </c>
      <c r="J7443">
        <v>-170.0915</v>
      </c>
      <c r="K7443">
        <v>1.1041350000000001</v>
      </c>
      <c r="L7443">
        <v>137.7895</v>
      </c>
      <c r="M7443">
        <v>0.97049989999999997</v>
      </c>
      <c r="N7443">
        <v>0</v>
      </c>
      <c r="O7443">
        <v>0.24038680000000001</v>
      </c>
      <c r="P7443">
        <v>0.99627299999999996</v>
      </c>
      <c r="Q7443">
        <v>-2.9134259999999999E-2</v>
      </c>
      <c r="R7443">
        <v>8.1189590000000006E-2</v>
      </c>
      <c r="S7443">
        <v>3.016006</v>
      </c>
      <c r="T7443">
        <v>2.0401720000000002E-2</v>
      </c>
      <c r="U7443">
        <v>-1.7898560000000001E-2</v>
      </c>
      <c r="V7443">
        <v>0.16053020000000001</v>
      </c>
      <c r="W7443">
        <v>-1.339193E-2</v>
      </c>
      <c r="X7443">
        <v>0.98694009999999999</v>
      </c>
      <c r="Y7443">
        <v>0.24617330000000001</v>
      </c>
      <c r="Z7443">
        <v>2.447126E-3</v>
      </c>
      <c r="AA7443">
        <v>0.96922269999999999</v>
      </c>
      <c r="AB7443">
        <v>21</v>
      </c>
      <c r="AC7443">
        <v>3.016006</v>
      </c>
      <c r="AD7443">
        <v>2.0401720000000002E-2</v>
      </c>
      <c r="AE7443">
        <v>-1.7898560000000001E-2</v>
      </c>
      <c r="AF7443">
        <v>0.74247237931894305</v>
      </c>
      <c r="AG7443">
        <v>2.0401720000000002E-2</v>
      </c>
      <c r="AH7443">
        <v>2.9231002229155498</v>
      </c>
      <c r="AI7443">
        <v>89.612418701325197</v>
      </c>
      <c r="AJ7443">
        <v>75.748167970537494</v>
      </c>
      <c r="AK7443">
        <v>3.0159901156070501</v>
      </c>
      <c r="AL7443">
        <v>90.767323986357596</v>
      </c>
      <c r="AM7443">
        <v>80.761492251745807</v>
      </c>
      <c r="AN7443">
        <v>1.00000002494458</v>
      </c>
    </row>
    <row r="7444" spans="1:40" x14ac:dyDescent="0.25">
      <c r="A7444" t="str">
        <f>"20190312161503454"</f>
        <v>20190312161503454</v>
      </c>
      <c r="B7444" t="str">
        <f>"1552378503443748"</f>
        <v>1552378503443748</v>
      </c>
      <c r="C7444" t="s">
        <v>40</v>
      </c>
      <c r="D7444">
        <v>6.2989790000000001</v>
      </c>
      <c r="E7444">
        <v>0.54691880000000004</v>
      </c>
      <c r="F7444" t="s">
        <v>42</v>
      </c>
      <c r="G7444">
        <v>-157.86619999999999</v>
      </c>
      <c r="H7444" s="1">
        <v>-1.358256E-6</v>
      </c>
      <c r="I7444">
        <v>137.18799999999999</v>
      </c>
      <c r="J7444">
        <v>-169.88980000000001</v>
      </c>
      <c r="K7444">
        <v>1.104293</v>
      </c>
      <c r="L7444">
        <v>137.8253</v>
      </c>
      <c r="M7444">
        <v>0.97316579999999997</v>
      </c>
      <c r="N7444">
        <v>0</v>
      </c>
      <c r="O7444">
        <v>0.22935249999999999</v>
      </c>
      <c r="P7444">
        <v>0.99701850000000003</v>
      </c>
      <c r="Q7444">
        <v>-3.0157070000000001E-2</v>
      </c>
      <c r="R7444">
        <v>7.1026119999999998E-2</v>
      </c>
      <c r="S7444">
        <v>3.0153660000000002</v>
      </c>
      <c r="T7444">
        <v>-0.27233540000000001</v>
      </c>
      <c r="U7444">
        <v>-0.148345899999999</v>
      </c>
      <c r="V7444">
        <v>0.15937209999999999</v>
      </c>
      <c r="W7444">
        <v>-1.4296619999999999E-2</v>
      </c>
      <c r="X7444">
        <v>0.98711510000000002</v>
      </c>
      <c r="Y7444">
        <v>0.27490120000000001</v>
      </c>
      <c r="Z7444">
        <v>-3.2933839999999999E-2</v>
      </c>
      <c r="AA7444">
        <v>0.96090819999999999</v>
      </c>
      <c r="AB7444">
        <v>20</v>
      </c>
      <c r="AC7444">
        <v>12.0236</v>
      </c>
      <c r="AD7444">
        <v>-1.1042943582560001</v>
      </c>
      <c r="AE7444">
        <v>-0.63730000000000997</v>
      </c>
      <c r="AF7444">
        <v>3.3502442391209399</v>
      </c>
      <c r="AG7444">
        <v>-1.1042943582560001</v>
      </c>
      <c r="AH7444">
        <v>11.4603870537624</v>
      </c>
      <c r="AI7444">
        <v>95.284061986236793</v>
      </c>
      <c r="AJ7444">
        <v>73.704640112635403</v>
      </c>
      <c r="AK7444">
        <v>11.990999704506899</v>
      </c>
      <c r="AL7444">
        <v>90.819163861321897</v>
      </c>
      <c r="AM7444">
        <v>80.828602399555095</v>
      </c>
      <c r="AN7444">
        <v>1.0000000401249201</v>
      </c>
    </row>
    <row r="7445" spans="1:40" x14ac:dyDescent="0.25">
      <c r="A7445" t="str">
        <f>"20190312161503476"</f>
        <v>20190312161503476</v>
      </c>
      <c r="B7445" t="str">
        <f>"1552378503474005"</f>
        <v>1552378503474005</v>
      </c>
      <c r="C7445" t="s">
        <v>40</v>
      </c>
      <c r="D7445">
        <v>6.2854289999999997</v>
      </c>
      <c r="E7445">
        <v>0.54526289999999999</v>
      </c>
      <c r="F7445" t="s">
        <v>42</v>
      </c>
      <c r="G7445">
        <v>-154.68899999999999</v>
      </c>
      <c r="H7445" s="1">
        <v>-2.7244219999999999E-6</v>
      </c>
      <c r="I7445">
        <v>137.00190000000001</v>
      </c>
      <c r="J7445">
        <v>-169.68870000000001</v>
      </c>
      <c r="K7445">
        <v>1.104454</v>
      </c>
      <c r="L7445">
        <v>137.8588</v>
      </c>
      <c r="M7445">
        <v>0.97566719999999896</v>
      </c>
      <c r="N7445">
        <v>0</v>
      </c>
      <c r="O7445">
        <v>0.21846380000000001</v>
      </c>
      <c r="P7445">
        <v>0.99762169999999895</v>
      </c>
      <c r="Q7445">
        <v>-3.0907509999999999E-2</v>
      </c>
      <c r="R7445">
        <v>6.1609789999999998E-2</v>
      </c>
      <c r="S7445">
        <v>3.0139619999999998</v>
      </c>
      <c r="T7445">
        <v>-0.21895600000000001</v>
      </c>
      <c r="U7445">
        <v>-0.16325379999999901</v>
      </c>
      <c r="V7445">
        <v>0.15765170000000001</v>
      </c>
      <c r="W7445">
        <v>-1.492605E-2</v>
      </c>
      <c r="X7445">
        <v>0.98738199999999998</v>
      </c>
      <c r="Y7445">
        <v>0.26968199999999998</v>
      </c>
      <c r="Z7445">
        <v>-2.5543349999999999E-2</v>
      </c>
      <c r="AA7445">
        <v>0.96261059999999998</v>
      </c>
      <c r="AB7445">
        <v>20</v>
      </c>
      <c r="AC7445">
        <v>14.999700000000001</v>
      </c>
      <c r="AD7445">
        <v>-1.104456724422</v>
      </c>
      <c r="AE7445">
        <v>-0.856899999999996</v>
      </c>
      <c r="AF7445">
        <v>4.0915438379936404</v>
      </c>
      <c r="AG7445">
        <v>-1.104456724422</v>
      </c>
      <c r="AH7445">
        <v>14.3723530347664</v>
      </c>
      <c r="AI7445">
        <v>94.227006658730403</v>
      </c>
      <c r="AJ7445">
        <v>74.109324277271995</v>
      </c>
      <c r="AK7445">
        <v>14.984161217442299</v>
      </c>
      <c r="AL7445">
        <v>90.855231402137505</v>
      </c>
      <c r="AM7445">
        <v>80.928362480831794</v>
      </c>
      <c r="AN7445">
        <v>1.00000002970274</v>
      </c>
    </row>
    <row r="7446" spans="1:40" x14ac:dyDescent="0.25">
      <c r="A7446" t="str">
        <f>"20190312161503500"</f>
        <v>20190312161503500</v>
      </c>
      <c r="B7446" t="str">
        <f>"1552378503494500"</f>
        <v>1552378503494500</v>
      </c>
      <c r="C7446" t="s">
        <v>40</v>
      </c>
      <c r="D7446">
        <v>6.3122249999999998</v>
      </c>
      <c r="E7446">
        <v>0.54474909999999999</v>
      </c>
      <c r="F7446" t="s">
        <v>42</v>
      </c>
      <c r="G7446">
        <v>-155.61670000000001</v>
      </c>
      <c r="H7446" s="1">
        <v>-2.322938E-6</v>
      </c>
      <c r="I7446">
        <v>137.02180000000001</v>
      </c>
      <c r="J7446">
        <v>-169.4795</v>
      </c>
      <c r="K7446">
        <v>1.10463</v>
      </c>
      <c r="L7446">
        <v>137.8914</v>
      </c>
      <c r="M7446">
        <v>0.978105</v>
      </c>
      <c r="N7446">
        <v>0</v>
      </c>
      <c r="O7446">
        <v>0.20727380000000001</v>
      </c>
      <c r="P7446">
        <v>0.99813499999999999</v>
      </c>
      <c r="Q7446">
        <v>-3.1385980000000001E-2</v>
      </c>
      <c r="R7446">
        <v>5.2359219999999998E-2</v>
      </c>
      <c r="S7446">
        <v>3.0108950000000001</v>
      </c>
      <c r="T7446">
        <v>-0.23631250000000001</v>
      </c>
      <c r="U7446">
        <v>-0.17909239999999901</v>
      </c>
      <c r="V7446">
        <v>0.15549189999999999</v>
      </c>
      <c r="W7446">
        <v>-1.526655E-2</v>
      </c>
      <c r="X7446">
        <v>0.98771920000000002</v>
      </c>
      <c r="Y7446">
        <v>0.26359009999999999</v>
      </c>
      <c r="Z7446">
        <v>-2.648648E-2</v>
      </c>
      <c r="AA7446">
        <v>0.96427110000000005</v>
      </c>
      <c r="AB7446">
        <v>20</v>
      </c>
      <c r="AC7446">
        <v>13.862799999999901</v>
      </c>
      <c r="AD7446">
        <v>-1.104632322938</v>
      </c>
      <c r="AE7446">
        <v>-0.86959999999999105</v>
      </c>
      <c r="AF7446">
        <v>3.7011955079811298</v>
      </c>
      <c r="AG7446">
        <v>-1.104632322938</v>
      </c>
      <c r="AH7446">
        <v>13.2972595963804</v>
      </c>
      <c r="AI7446">
        <v>94.575621302326496</v>
      </c>
      <c r="AJ7446">
        <v>74.445842847169601</v>
      </c>
      <c r="AK7446">
        <v>13.8468831702556</v>
      </c>
      <c r="AL7446">
        <v>90.874742856753898</v>
      </c>
      <c r="AM7446">
        <v>81.053622958118297</v>
      </c>
      <c r="AN7446">
        <v>1.0000000082815701</v>
      </c>
    </row>
    <row r="7447" spans="1:40" x14ac:dyDescent="0.25">
      <c r="A7447" t="str">
        <f>"20190312161503522"</f>
        <v>20190312161503522</v>
      </c>
      <c r="B7447" t="str">
        <f>"1552378503514020"</f>
        <v>1552378503514020</v>
      </c>
      <c r="C7447" t="s">
        <v>40</v>
      </c>
      <c r="D7447">
        <v>6.2147990000000002</v>
      </c>
      <c r="E7447">
        <v>0.54186559999999995</v>
      </c>
      <c r="F7447" t="s">
        <v>42</v>
      </c>
      <c r="G7447">
        <v>-155.452</v>
      </c>
      <c r="H7447" s="1">
        <v>-2.4071499999999999E-6</v>
      </c>
      <c r="I7447">
        <v>136.9453</v>
      </c>
      <c r="J7447">
        <v>-169.27680000000001</v>
      </c>
      <c r="K7447">
        <v>1.1048150000000001</v>
      </c>
      <c r="L7447">
        <v>137.92089999999999</v>
      </c>
      <c r="M7447">
        <v>0.98031000000000001</v>
      </c>
      <c r="N7447">
        <v>0</v>
      </c>
      <c r="O7447">
        <v>0.196577</v>
      </c>
      <c r="P7447">
        <v>0.99854240000000005</v>
      </c>
      <c r="Q7447">
        <v>-3.2159409999999999E-2</v>
      </c>
      <c r="R7447">
        <v>4.3345399999999999E-2</v>
      </c>
      <c r="S7447">
        <v>3.0087739999999998</v>
      </c>
      <c r="T7447">
        <v>-0.2369328</v>
      </c>
      <c r="U7447">
        <v>-0.20292660000000001</v>
      </c>
      <c r="V7447">
        <v>0.1536119</v>
      </c>
      <c r="W7447">
        <v>-1.5902050000000001E-2</v>
      </c>
      <c r="X7447">
        <v>0.98800330000000003</v>
      </c>
      <c r="Y7447">
        <v>0.26073619999999997</v>
      </c>
      <c r="Z7447">
        <v>-2.5629320000000001E-2</v>
      </c>
      <c r="AA7447">
        <v>0.96506979999999998</v>
      </c>
      <c r="AB7447">
        <v>20</v>
      </c>
      <c r="AC7447">
        <v>13.8248</v>
      </c>
      <c r="AD7447">
        <v>-1.1048174071500001</v>
      </c>
      <c r="AE7447">
        <v>-0.97559999999998503</v>
      </c>
      <c r="AF7447">
        <v>3.6514663251661599</v>
      </c>
      <c r="AG7447">
        <v>-1.1048174071500001</v>
      </c>
      <c r="AH7447">
        <v>13.278761842902099</v>
      </c>
      <c r="AI7447">
        <v>94.586671415700806</v>
      </c>
      <c r="AJ7447">
        <v>74.624523697473194</v>
      </c>
      <c r="AK7447">
        <v>13.8159090872616</v>
      </c>
      <c r="AL7447">
        <v>90.911158749543802</v>
      </c>
      <c r="AM7447">
        <v>81.162573775492007</v>
      </c>
      <c r="AN7447">
        <v>1.00000000591335</v>
      </c>
    </row>
    <row r="7448" spans="1:40" x14ac:dyDescent="0.25">
      <c r="A7448" t="str">
        <f>"20190312161503544"</f>
        <v>20190312161503544</v>
      </c>
      <c r="B7448" t="str">
        <f>"1552378503534372"</f>
        <v>1552378503534372</v>
      </c>
      <c r="C7448" t="s">
        <v>40</v>
      </c>
      <c r="D7448">
        <v>6.0376329999999996</v>
      </c>
      <c r="E7448">
        <v>0.54116419999999998</v>
      </c>
      <c r="F7448" t="s">
        <v>42</v>
      </c>
      <c r="G7448">
        <v>-153.9752</v>
      </c>
      <c r="H7448" s="1">
        <v>-3.0540330000000002E-6</v>
      </c>
      <c r="I7448">
        <v>136.87020000000001</v>
      </c>
      <c r="J7448">
        <v>-169.078</v>
      </c>
      <c r="K7448">
        <v>1.105005</v>
      </c>
      <c r="L7448">
        <v>137.9478</v>
      </c>
      <c r="M7448">
        <v>0.98232419999999998</v>
      </c>
      <c r="N7448">
        <v>0</v>
      </c>
      <c r="O7448">
        <v>0.18624650000000001</v>
      </c>
      <c r="P7448">
        <v>0.99886260000000004</v>
      </c>
      <c r="Q7448">
        <v>-3.2671869999999999E-2</v>
      </c>
      <c r="R7448">
        <v>3.4731579999999998E-2</v>
      </c>
      <c r="S7448">
        <v>3.006348</v>
      </c>
      <c r="T7448">
        <v>-0.2170657</v>
      </c>
      <c r="U7448">
        <v>-0.20642089999999999</v>
      </c>
      <c r="V7448">
        <v>0.15173059999999999</v>
      </c>
      <c r="W7448">
        <v>-1.6274899999999998E-2</v>
      </c>
      <c r="X7448">
        <v>0.9882879</v>
      </c>
      <c r="Y7448">
        <v>0.25200810000000001</v>
      </c>
      <c r="Z7448">
        <v>-2.2454100000000001E-2</v>
      </c>
      <c r="AA7448">
        <v>0.96746460000000001</v>
      </c>
      <c r="AB7448">
        <v>20</v>
      </c>
      <c r="AC7448">
        <v>15.1028</v>
      </c>
      <c r="AD7448">
        <v>-1.1050080540330001</v>
      </c>
      <c r="AE7448">
        <v>-1.0775999999999799</v>
      </c>
      <c r="AF7448">
        <v>3.8515627282579801</v>
      </c>
      <c r="AG7448">
        <v>-1.1050080540330001</v>
      </c>
      <c r="AH7448">
        <v>14.5601696817329</v>
      </c>
      <c r="AI7448">
        <v>94.196212051317104</v>
      </c>
      <c r="AJ7448">
        <v>75.183081159607596</v>
      </c>
      <c r="AK7448">
        <v>15.1014608369534</v>
      </c>
      <c r="AL7448">
        <v>90.932524242117594</v>
      </c>
      <c r="AM7448">
        <v>81.271604337608693</v>
      </c>
      <c r="AN7448">
        <v>1.00000001031639</v>
      </c>
    </row>
    <row r="7449" spans="1:40" x14ac:dyDescent="0.25">
      <c r="A7449" t="str">
        <f>"20190312161503566"</f>
        <v>20190312161503566</v>
      </c>
      <c r="B7449" t="str">
        <f>"1552378503554191"</f>
        <v>1552378503554191</v>
      </c>
      <c r="C7449" t="s">
        <v>40</v>
      </c>
      <c r="D7449">
        <v>6.0107949999999999</v>
      </c>
      <c r="E7449">
        <v>0.54040489999999997</v>
      </c>
      <c r="F7449" t="s">
        <v>42</v>
      </c>
      <c r="G7449">
        <v>-154.61660000000001</v>
      </c>
      <c r="H7449" s="1">
        <v>-2.7816089999999998E-6</v>
      </c>
      <c r="I7449">
        <v>136.85470000000001</v>
      </c>
      <c r="J7449">
        <v>-168.87710000000001</v>
      </c>
      <c r="K7449">
        <v>1.105208</v>
      </c>
      <c r="L7449">
        <v>137.97299999999899</v>
      </c>
      <c r="M7449">
        <v>0.98421619999999999</v>
      </c>
      <c r="N7449">
        <v>0</v>
      </c>
      <c r="O7449">
        <v>0.1759706</v>
      </c>
      <c r="P7449">
        <v>0.99911179999999999</v>
      </c>
      <c r="Q7449">
        <v>-3.2926589999999999E-2</v>
      </c>
      <c r="R7449">
        <v>2.6300440000000001E-2</v>
      </c>
      <c r="S7449">
        <v>3.0038149999999999</v>
      </c>
      <c r="T7449">
        <v>-0.2295229</v>
      </c>
      <c r="U7449">
        <v>-0.2270355</v>
      </c>
      <c r="V7449">
        <v>0.14974699999999999</v>
      </c>
      <c r="W7449">
        <v>-1.6387539999999999E-2</v>
      </c>
      <c r="X7449">
        <v>0.98858849999999998</v>
      </c>
      <c r="Y7449">
        <v>0.2484616</v>
      </c>
      <c r="Z7449">
        <v>-2.2844529999999998E-2</v>
      </c>
      <c r="AA7449">
        <v>0.96837229999999996</v>
      </c>
      <c r="AB7449">
        <v>20</v>
      </c>
      <c r="AC7449">
        <v>14.2605</v>
      </c>
      <c r="AD7449">
        <v>-1.105210781609</v>
      </c>
      <c r="AE7449">
        <v>-1.1182999999999701</v>
      </c>
      <c r="AF7449">
        <v>3.5892874909844701</v>
      </c>
      <c r="AG7449">
        <v>-1.105210781609</v>
      </c>
      <c r="AH7449">
        <v>13.7589313521565</v>
      </c>
      <c r="AI7449">
        <v>94.444412532930002</v>
      </c>
      <c r="AJ7449">
        <v>75.379121912459297</v>
      </c>
      <c r="AK7449">
        <v>14.2622812873004</v>
      </c>
      <c r="AL7449">
        <v>90.938978938361601</v>
      </c>
      <c r="AM7449">
        <v>81.386569158350795</v>
      </c>
      <c r="AN7449">
        <v>0.99999996890425003</v>
      </c>
    </row>
    <row r="7450" spans="1:40" x14ac:dyDescent="0.25">
      <c r="A7450" t="str">
        <f>"20190312161503590"</f>
        <v>20190312161503590</v>
      </c>
      <c r="B7450" t="str">
        <f>"1552378503584447"</f>
        <v>1552378503584447</v>
      </c>
      <c r="C7450" t="s">
        <v>40</v>
      </c>
      <c r="D7450">
        <v>6.0727739999999999</v>
      </c>
      <c r="E7450">
        <v>0.53755379999999997</v>
      </c>
      <c r="F7450" t="s">
        <v>42</v>
      </c>
      <c r="G7450">
        <v>-155.4494</v>
      </c>
      <c r="H7450" s="1">
        <v>-2.4218229999999998E-6</v>
      </c>
      <c r="I7450">
        <v>136.869</v>
      </c>
      <c r="J7450">
        <v>-168.67230000000001</v>
      </c>
      <c r="K7450">
        <v>1.105415</v>
      </c>
      <c r="L7450">
        <v>137.9967</v>
      </c>
      <c r="M7450">
        <v>0.98599720000000002</v>
      </c>
      <c r="N7450">
        <v>0</v>
      </c>
      <c r="O7450">
        <v>0.1656966</v>
      </c>
      <c r="P7450">
        <v>0.99927790000000005</v>
      </c>
      <c r="Q7450">
        <v>-3.3399150000000002E-2</v>
      </c>
      <c r="R7450">
        <v>1.8129010000000001E-2</v>
      </c>
      <c r="S7450">
        <v>3.0010219999999999</v>
      </c>
      <c r="T7450">
        <v>-0.24700820000000001</v>
      </c>
      <c r="U7450">
        <v>-0.2467346</v>
      </c>
      <c r="V7450">
        <v>0.1475215</v>
      </c>
      <c r="W7450">
        <v>-1.6718730000000001E-2</v>
      </c>
      <c r="X7450">
        <v>0.9889175</v>
      </c>
      <c r="Y7450">
        <v>0.24459690000000001</v>
      </c>
      <c r="Z7450">
        <v>-2.3602789999999998E-2</v>
      </c>
      <c r="AA7450">
        <v>0.96933749999999996</v>
      </c>
      <c r="AB7450">
        <v>20</v>
      </c>
      <c r="AC7450">
        <v>13.222899999999999</v>
      </c>
      <c r="AD7450">
        <v>-1.105417421823</v>
      </c>
      <c r="AE7450">
        <v>-1.1276999999999999</v>
      </c>
      <c r="AF7450">
        <v>3.2807210818850399</v>
      </c>
      <c r="AG7450">
        <v>-1.105417421823</v>
      </c>
      <c r="AH7450">
        <v>12.7645981880948</v>
      </c>
      <c r="AI7450">
        <v>94.794420175949796</v>
      </c>
      <c r="AJ7450">
        <v>75.585981027070204</v>
      </c>
      <c r="AK7450">
        <v>13.225734210134</v>
      </c>
      <c r="AL7450">
        <v>90.957957331937195</v>
      </c>
      <c r="AM7450">
        <v>81.515484037068504</v>
      </c>
      <c r="AN7450">
        <v>0.99999996535065505</v>
      </c>
    </row>
    <row r="7451" spans="1:40" x14ac:dyDescent="0.25">
      <c r="A7451" t="str">
        <f>"20190312161503611"</f>
        <v>20190312161503611</v>
      </c>
      <c r="B7451" t="str">
        <f>"1552378503603968"</f>
        <v>1552378503603968</v>
      </c>
      <c r="C7451" t="s">
        <v>40</v>
      </c>
      <c r="D7451">
        <v>6.4085799999999997</v>
      </c>
      <c r="E7451">
        <v>0.53523050000000005</v>
      </c>
      <c r="F7451" t="s">
        <v>42</v>
      </c>
      <c r="G7451">
        <v>-154.47980000000001</v>
      </c>
      <c r="H7451" s="1">
        <v>-2.8462349999999999E-6</v>
      </c>
      <c r="I7451">
        <v>136.8212</v>
      </c>
      <c r="J7451">
        <v>-168.47489999999999</v>
      </c>
      <c r="K7451">
        <v>1.105613</v>
      </c>
      <c r="L7451">
        <v>138.01759999999999</v>
      </c>
      <c r="M7451">
        <v>0.98757799999999996</v>
      </c>
      <c r="N7451">
        <v>0</v>
      </c>
      <c r="O7451">
        <v>0.15599379999999999</v>
      </c>
      <c r="P7451">
        <v>0.99938110000000002</v>
      </c>
      <c r="Q7451">
        <v>-3.359703E-2</v>
      </c>
      <c r="R7451">
        <v>1.0437470000000001E-2</v>
      </c>
      <c r="S7451">
        <v>2.9988709999999998</v>
      </c>
      <c r="T7451">
        <v>-0.23357439999999999</v>
      </c>
      <c r="U7451">
        <v>-0.24836730000000001</v>
      </c>
      <c r="V7451">
        <v>0.14541479999999901</v>
      </c>
      <c r="W7451">
        <v>-1.6781810000000001E-2</v>
      </c>
      <c r="X7451">
        <v>0.98922840000000001</v>
      </c>
      <c r="Y7451">
        <v>0.2358365</v>
      </c>
      <c r="Z7451">
        <v>-2.1250169999999999E-2</v>
      </c>
      <c r="AA7451">
        <v>0.97156039999999999</v>
      </c>
      <c r="AB7451">
        <v>20</v>
      </c>
      <c r="AC7451">
        <v>13.9950999999999</v>
      </c>
      <c r="AD7451">
        <v>-1.1056158462350001</v>
      </c>
      <c r="AE7451">
        <v>-1.1963999999999799</v>
      </c>
      <c r="AF7451">
        <v>3.3445635039282902</v>
      </c>
      <c r="AG7451">
        <v>-1.1056158462350001</v>
      </c>
      <c r="AH7451">
        <v>13.553075433396801</v>
      </c>
      <c r="AI7451">
        <v>94.5284189032988</v>
      </c>
      <c r="AJ7451">
        <v>76.137784400994803</v>
      </c>
      <c r="AK7451">
        <v>14.0033690637145</v>
      </c>
      <c r="AL7451">
        <v>90.961572061835099</v>
      </c>
      <c r="AM7451">
        <v>81.637513520344299</v>
      </c>
      <c r="AN7451">
        <v>0.99999996028623706</v>
      </c>
    </row>
    <row r="7452" spans="1:40" x14ac:dyDescent="0.25">
      <c r="A7452" t="str">
        <f>"20190312161503634"</f>
        <v>20190312161503634</v>
      </c>
      <c r="B7452" t="str">
        <f>"1552378503624463"</f>
        <v>1552378503624463</v>
      </c>
      <c r="C7452" t="s">
        <v>40</v>
      </c>
      <c r="D7452">
        <v>6.0383589999999998</v>
      </c>
      <c r="E7452">
        <v>0.53498129999999999</v>
      </c>
      <c r="F7452" t="s">
        <v>42</v>
      </c>
      <c r="G7452">
        <v>-153.24799999999999</v>
      </c>
      <c r="H7452" s="1">
        <v>-3.3900320000000002E-6</v>
      </c>
      <c r="I7452">
        <v>136.7345</v>
      </c>
      <c r="J7452">
        <v>-168.28540000000001</v>
      </c>
      <c r="K7452">
        <v>1.105796</v>
      </c>
      <c r="L7452">
        <v>138.0361</v>
      </c>
      <c r="M7452">
        <v>0.98898180000000002</v>
      </c>
      <c r="N7452">
        <v>0</v>
      </c>
      <c r="O7452">
        <v>0.14682579999999901</v>
      </c>
      <c r="P7452">
        <v>0.99941590000000002</v>
      </c>
      <c r="Q7452">
        <v>-3.3757790000000003E-2</v>
      </c>
      <c r="R7452">
        <v>5.3171349999999997E-3</v>
      </c>
      <c r="S7452">
        <v>2.9971770000000002</v>
      </c>
      <c r="T7452">
        <v>-0.2176235</v>
      </c>
      <c r="U7452">
        <v>-0.2525482</v>
      </c>
      <c r="V7452">
        <v>0.14131179999999999</v>
      </c>
      <c r="W7452">
        <v>-1.6786240000000001E-2</v>
      </c>
      <c r="X7452">
        <v>0.9898228</v>
      </c>
      <c r="Y7452">
        <v>0.22840569999999999</v>
      </c>
      <c r="Z7452">
        <v>-1.888422E-2</v>
      </c>
      <c r="AA7452">
        <v>0.97338290000000005</v>
      </c>
      <c r="AB7452">
        <v>20</v>
      </c>
      <c r="AC7452">
        <v>15.0374</v>
      </c>
      <c r="AD7452">
        <v>-1.105799390032</v>
      </c>
      <c r="AE7452">
        <v>-1.3016000000000001</v>
      </c>
      <c r="AF7452">
        <v>3.4770983227331</v>
      </c>
      <c r="AG7452">
        <v>-1.105799390032</v>
      </c>
      <c r="AH7452">
        <v>14.6048387096974</v>
      </c>
      <c r="AI7452">
        <v>94.212565331524203</v>
      </c>
      <c r="AJ7452">
        <v>76.608408968341607</v>
      </c>
      <c r="AK7452">
        <v>15.0537144510325</v>
      </c>
      <c r="AL7452">
        <v>90.961825890251902</v>
      </c>
      <c r="AM7452">
        <v>81.875085819466094</v>
      </c>
      <c r="AN7452">
        <v>0.99999998903620801</v>
      </c>
    </row>
    <row r="7453" spans="1:40" x14ac:dyDescent="0.25">
      <c r="A7453" t="str">
        <f>"20190312161503655"</f>
        <v>20190312161503655</v>
      </c>
      <c r="B7453" t="str">
        <f>"1552378503643984"</f>
        <v>1552378503643984</v>
      </c>
      <c r="C7453" t="s">
        <v>40</v>
      </c>
      <c r="D7453">
        <v>6.0790680000000004</v>
      </c>
      <c r="E7453">
        <v>0.53320330000000005</v>
      </c>
      <c r="F7453" t="s">
        <v>42</v>
      </c>
      <c r="G7453">
        <v>-154.0324</v>
      </c>
      <c r="H7453" s="1">
        <v>-3.0474179999999999E-6</v>
      </c>
      <c r="I7453">
        <v>136.76910000000001</v>
      </c>
      <c r="J7453">
        <v>-168.08949999999999</v>
      </c>
      <c r="K7453">
        <v>1.1059680000000001</v>
      </c>
      <c r="L7453">
        <v>138.05350000000001</v>
      </c>
      <c r="M7453">
        <v>0.99032140000000002</v>
      </c>
      <c r="N7453">
        <v>0</v>
      </c>
      <c r="O7453">
        <v>0.1374966</v>
      </c>
      <c r="P7453">
        <v>0.99944379999999999</v>
      </c>
      <c r="Q7453">
        <v>-3.3309869999999998E-2</v>
      </c>
      <c r="R7453">
        <v>-1.7206299999999999E-3</v>
      </c>
      <c r="S7453">
        <v>2.9953159999999999</v>
      </c>
      <c r="T7453">
        <v>-0.2323865</v>
      </c>
      <c r="U7453">
        <v>-0.2662506</v>
      </c>
      <c r="V7453">
        <v>0.13896649999999999</v>
      </c>
      <c r="W7453">
        <v>-1.6215440000000001E-2</v>
      </c>
      <c r="X7453">
        <v>0.9901643</v>
      </c>
      <c r="Y7453">
        <v>0.22360169999999999</v>
      </c>
      <c r="Z7453">
        <v>-1.926721E-2</v>
      </c>
      <c r="AA7453">
        <v>0.97449019999999997</v>
      </c>
      <c r="AB7453">
        <v>19</v>
      </c>
      <c r="AC7453">
        <v>14.057099999999901</v>
      </c>
      <c r="AD7453">
        <v>-1.105971047418</v>
      </c>
      <c r="AE7453">
        <v>-1.2844</v>
      </c>
      <c r="AF7453">
        <v>3.1857893969735702</v>
      </c>
      <c r="AG7453">
        <v>-1.105971047418</v>
      </c>
      <c r="AH7453">
        <v>13.663033679162099</v>
      </c>
      <c r="AI7453">
        <v>94.507399129151906</v>
      </c>
      <c r="AJ7453">
        <v>76.874933329818006</v>
      </c>
      <c r="AK7453">
        <v>14.073056361626399</v>
      </c>
      <c r="AL7453">
        <v>90.929117009180402</v>
      </c>
      <c r="AM7453">
        <v>82.010896140301298</v>
      </c>
      <c r="AN7453">
        <v>0.99999998480556596</v>
      </c>
    </row>
    <row r="7454" spans="1:40" x14ac:dyDescent="0.25">
      <c r="A7454" t="str">
        <f>"20190312161503678"</f>
        <v>20190312161503678</v>
      </c>
      <c r="B7454" t="str">
        <f>"1552378503674239"</f>
        <v>1552378503674239</v>
      </c>
      <c r="C7454" t="s">
        <v>40</v>
      </c>
      <c r="D7454">
        <v>6.2469099999999997</v>
      </c>
      <c r="E7454">
        <v>0.53071769999999996</v>
      </c>
      <c r="F7454" t="s">
        <v>42</v>
      </c>
      <c r="G7454">
        <v>-152.96469999999999</v>
      </c>
      <c r="H7454" s="1">
        <v>-3.522119E-6</v>
      </c>
      <c r="I7454">
        <v>136.67509999999999</v>
      </c>
      <c r="J7454">
        <v>-167.8939</v>
      </c>
      <c r="K7454">
        <v>1.106131</v>
      </c>
      <c r="L7454">
        <v>138.06909999999999</v>
      </c>
      <c r="M7454">
        <v>0.99154739999999997</v>
      </c>
      <c r="N7454">
        <v>0</v>
      </c>
      <c r="O7454">
        <v>0.12835239999999901</v>
      </c>
      <c r="P7454">
        <v>0.99941089999999999</v>
      </c>
      <c r="Q7454">
        <v>-3.310225E-2</v>
      </c>
      <c r="R7454">
        <v>-9.0717999999999997E-3</v>
      </c>
      <c r="S7454">
        <v>2.9939119999999999</v>
      </c>
      <c r="T7454">
        <v>-0.21892429999999999</v>
      </c>
      <c r="U7454">
        <v>-0.27282709999999999</v>
      </c>
      <c r="V7454">
        <v>0.13712299999999999</v>
      </c>
      <c r="W7454">
        <v>-1.5904270000000002E-2</v>
      </c>
      <c r="X7454">
        <v>0.99042640000000004</v>
      </c>
      <c r="Y7454">
        <v>0.2169305</v>
      </c>
      <c r="Z7454">
        <v>-1.725405E-2</v>
      </c>
      <c r="AA7454">
        <v>0.97603459999999997</v>
      </c>
      <c r="AB7454">
        <v>19</v>
      </c>
      <c r="AC7454">
        <v>14.9292</v>
      </c>
      <c r="AD7454">
        <v>-1.106134522119</v>
      </c>
      <c r="AE7454">
        <v>-1.3939999999999999</v>
      </c>
      <c r="AF7454">
        <v>3.2811520221335302</v>
      </c>
      <c r="AG7454">
        <v>-1.106134522119</v>
      </c>
      <c r="AH7454">
        <v>14.547544637389599</v>
      </c>
      <c r="AI7454">
        <v>94.242008765206194</v>
      </c>
      <c r="AJ7454">
        <v>77.289800737776901</v>
      </c>
      <c r="AK7454">
        <v>14.9539475440506</v>
      </c>
      <c r="AL7454">
        <v>90.911285914449607</v>
      </c>
      <c r="AM7454">
        <v>82.117596486996007</v>
      </c>
      <c r="AN7454">
        <v>1.0000000583750901</v>
      </c>
    </row>
    <row r="7455" spans="1:40" x14ac:dyDescent="0.25">
      <c r="A7455" t="str">
        <f>"20190312161503701"</f>
        <v>20190312161503701</v>
      </c>
      <c r="B7455" t="str">
        <f>"1552378503693760"</f>
        <v>1552378503693760</v>
      </c>
      <c r="C7455" t="s">
        <v>40</v>
      </c>
      <c r="D7455">
        <v>6.3037039999999998</v>
      </c>
      <c r="E7455">
        <v>0.52922829999999998</v>
      </c>
      <c r="F7455" t="s">
        <v>42</v>
      </c>
      <c r="G7455">
        <v>-151.62610000000001</v>
      </c>
      <c r="H7455" s="1">
        <v>-4.1139919999999997E-6</v>
      </c>
      <c r="I7455">
        <v>136.57589999999999</v>
      </c>
      <c r="J7455">
        <v>-167.69839999999999</v>
      </c>
      <c r="K7455">
        <v>1.106298</v>
      </c>
      <c r="L7455">
        <v>138.08320000000001</v>
      </c>
      <c r="M7455">
        <v>0.99266710000000002</v>
      </c>
      <c r="N7455">
        <v>0</v>
      </c>
      <c r="O7455">
        <v>0.119381399999999</v>
      </c>
      <c r="P7455">
        <v>0.99932149999999997</v>
      </c>
      <c r="Q7455">
        <v>-3.3203379999999998E-2</v>
      </c>
      <c r="R7455">
        <v>-1.5940490000000002E-2</v>
      </c>
      <c r="S7455">
        <v>2.9925380000000001</v>
      </c>
      <c r="T7455">
        <v>-0.20347789999999999</v>
      </c>
      <c r="U7455">
        <v>-0.27468870000000001</v>
      </c>
      <c r="V7455">
        <v>0.13498009999999999</v>
      </c>
      <c r="W7455">
        <v>-1.5906719999999999E-2</v>
      </c>
      <c r="X7455">
        <v>0.99072059999999995</v>
      </c>
      <c r="Y7455">
        <v>0.20890329999999999</v>
      </c>
      <c r="Z7455">
        <v>-1.516821E-2</v>
      </c>
      <c r="AA7455">
        <v>0.97781870000000004</v>
      </c>
      <c r="AB7455">
        <v>19</v>
      </c>
      <c r="AC7455">
        <v>16.072299999999899</v>
      </c>
      <c r="AD7455">
        <v>-1.106302113992</v>
      </c>
      <c r="AE7455">
        <v>-1.5073000000000101</v>
      </c>
      <c r="AF7455">
        <v>3.3996289691448802</v>
      </c>
      <c r="AG7455">
        <v>-1.106302113992</v>
      </c>
      <c r="AH7455">
        <v>15.703586600469</v>
      </c>
      <c r="AI7455">
        <v>93.938826949875505</v>
      </c>
      <c r="AJ7455">
        <v>77.784687186523499</v>
      </c>
      <c r="AK7455">
        <v>16.1054032428158</v>
      </c>
      <c r="AL7455">
        <v>90.911426379028597</v>
      </c>
      <c r="AM7455">
        <v>82.241543025904093</v>
      </c>
      <c r="AN7455">
        <v>0.999999979200764</v>
      </c>
    </row>
    <row r="7456" spans="1:40" x14ac:dyDescent="0.25">
      <c r="A7456" t="str">
        <f>"20190312161503724"</f>
        <v>20190312161503724</v>
      </c>
      <c r="B7456" t="str">
        <f>"1552378503714255"</f>
        <v>1552378503714255</v>
      </c>
      <c r="C7456" t="s">
        <v>40</v>
      </c>
      <c r="D7456">
        <v>6.1692099999999996</v>
      </c>
      <c r="E7456">
        <v>0.52803480000000003</v>
      </c>
      <c r="F7456" t="s">
        <v>42</v>
      </c>
      <c r="G7456">
        <v>-150.8794</v>
      </c>
      <c r="H7456" s="1">
        <v>-4.449442E-6</v>
      </c>
      <c r="I7456">
        <v>136.4906</v>
      </c>
      <c r="J7456">
        <v>-167.50700000000001</v>
      </c>
      <c r="K7456">
        <v>1.106471</v>
      </c>
      <c r="L7456">
        <v>138.09549999999999</v>
      </c>
      <c r="M7456">
        <v>0.99366460000000001</v>
      </c>
      <c r="N7456">
        <v>0</v>
      </c>
      <c r="O7456">
        <v>0.1107712</v>
      </c>
      <c r="P7456">
        <v>0.99919639999999998</v>
      </c>
      <c r="Q7456">
        <v>-3.3120450000000003E-2</v>
      </c>
      <c r="R7456">
        <v>-2.2584920000000001E-2</v>
      </c>
      <c r="S7456">
        <v>2.9909669999999999</v>
      </c>
      <c r="T7456">
        <v>-0.19673589999999999</v>
      </c>
      <c r="U7456">
        <v>-0.28321839999999998</v>
      </c>
      <c r="V7456">
        <v>0.1329872</v>
      </c>
      <c r="W7456">
        <v>-1.5727720000000001E-2</v>
      </c>
      <c r="X7456">
        <v>0.99099300000000001</v>
      </c>
      <c r="Y7456">
        <v>0.2033133</v>
      </c>
      <c r="Z7456">
        <v>-1.3926269999999999E-2</v>
      </c>
      <c r="AA7456">
        <v>0.97901470000000002</v>
      </c>
      <c r="AB7456">
        <v>19</v>
      </c>
      <c r="AC7456">
        <v>16.627600000000001</v>
      </c>
      <c r="AD7456">
        <v>-1.1064754494419999</v>
      </c>
      <c r="AE7456">
        <v>-1.60489999999998</v>
      </c>
      <c r="AF7456">
        <v>3.4221967703036702</v>
      </c>
      <c r="AG7456">
        <v>-1.1064754494419999</v>
      </c>
      <c r="AH7456">
        <v>16.276019150799399</v>
      </c>
      <c r="AI7456">
        <v>93.806124228957401</v>
      </c>
      <c r="AJ7456">
        <v>78.125950612073595</v>
      </c>
      <c r="AK7456">
        <v>16.6686687546452</v>
      </c>
      <c r="AL7456">
        <v>90.901169095127301</v>
      </c>
      <c r="AM7456">
        <v>82.356803815992194</v>
      </c>
      <c r="AN7456">
        <v>1.00000004129461</v>
      </c>
    </row>
    <row r="7457" spans="1:40" x14ac:dyDescent="0.25">
      <c r="A7457" t="str">
        <f>"20190312161503745"</f>
        <v>20190312161503745</v>
      </c>
      <c r="B7457" t="str">
        <f>"1552378503733776"</f>
        <v>1552378503733776</v>
      </c>
      <c r="C7457" t="s">
        <v>40</v>
      </c>
      <c r="D7457">
        <v>6.225867</v>
      </c>
      <c r="E7457">
        <v>0.52698100000000003</v>
      </c>
      <c r="F7457" t="s">
        <v>42</v>
      </c>
      <c r="G7457">
        <v>-150.0368</v>
      </c>
      <c r="H7457" s="1">
        <v>-4.8304280000000003E-6</v>
      </c>
      <c r="I7457">
        <v>136.38069999999999</v>
      </c>
      <c r="J7457">
        <v>-167.31700000000001</v>
      </c>
      <c r="K7457">
        <v>1.106665</v>
      </c>
      <c r="L7457">
        <v>138.1063</v>
      </c>
      <c r="M7457">
        <v>0.99456129999999998</v>
      </c>
      <c r="N7457">
        <v>0</v>
      </c>
      <c r="O7457">
        <v>0.10240390000000001</v>
      </c>
      <c r="P7457">
        <v>0.99906550000000005</v>
      </c>
      <c r="Q7457">
        <v>-3.2085429999999998E-2</v>
      </c>
      <c r="R7457">
        <v>-2.896427E-2</v>
      </c>
      <c r="S7457">
        <v>2.9895170000000002</v>
      </c>
      <c r="T7457">
        <v>-0.18934039999999999</v>
      </c>
      <c r="U7457">
        <v>-0.29344179999999997</v>
      </c>
      <c r="V7457">
        <v>0.13099559999999999</v>
      </c>
      <c r="W7457">
        <v>-1.458981E-2</v>
      </c>
      <c r="X7457">
        <v>0.99127560000000003</v>
      </c>
      <c r="Y7457">
        <v>0.19850799999999999</v>
      </c>
      <c r="Z7457">
        <v>-1.272943E-2</v>
      </c>
      <c r="AA7457">
        <v>0.98001660000000002</v>
      </c>
      <c r="AB7457">
        <v>19</v>
      </c>
      <c r="AC7457">
        <v>17.280200000000001</v>
      </c>
      <c r="AD7457">
        <v>-1.106669830428</v>
      </c>
      <c r="AE7457">
        <v>-1.72560000000001</v>
      </c>
      <c r="AF7457">
        <v>3.4723037564721202</v>
      </c>
      <c r="AG7457">
        <v>-1.106669830428</v>
      </c>
      <c r="AH7457">
        <v>16.943775199978202</v>
      </c>
      <c r="AI7457">
        <v>93.661050604595403</v>
      </c>
      <c r="AJ7457">
        <v>78.418671165862804</v>
      </c>
      <c r="AK7457">
        <v>17.331276049910102</v>
      </c>
      <c r="AL7457">
        <v>90.835964185844603</v>
      </c>
      <c r="AM7457">
        <v>82.4720661944705</v>
      </c>
      <c r="AN7457">
        <v>1.0000000124652699</v>
      </c>
    </row>
    <row r="7458" spans="1:40" x14ac:dyDescent="0.25">
      <c r="A7458" t="str">
        <f>"20190312161503768"</f>
        <v>20190312161503768</v>
      </c>
      <c r="B7458" t="str">
        <f>"1552378503764032"</f>
        <v>1552378503764032</v>
      </c>
      <c r="C7458" t="s">
        <v>40</v>
      </c>
      <c r="D7458">
        <v>6.2262380000000004</v>
      </c>
      <c r="E7458">
        <v>0.52549799999999902</v>
      </c>
      <c r="F7458" t="s">
        <v>42</v>
      </c>
      <c r="G7458">
        <v>-148.79929999999999</v>
      </c>
      <c r="H7458" s="1">
        <v>-1.297573E-6</v>
      </c>
      <c r="I7458">
        <v>136.2227</v>
      </c>
      <c r="J7458">
        <v>-167.1233</v>
      </c>
      <c r="K7458">
        <v>1.1068659999999999</v>
      </c>
      <c r="L7458">
        <v>138.11590000000001</v>
      </c>
      <c r="M7458">
        <v>0.99538360000000004</v>
      </c>
      <c r="N7458">
        <v>0</v>
      </c>
      <c r="O7458">
        <v>9.4071379999999996E-2</v>
      </c>
      <c r="P7458">
        <v>0.99888319999999997</v>
      </c>
      <c r="Q7458">
        <v>-3.131432E-2</v>
      </c>
      <c r="R7458">
        <v>-3.5389400000000001E-2</v>
      </c>
      <c r="S7458">
        <v>2.9882659999999999</v>
      </c>
      <c r="T7458">
        <v>-0.17858650000000001</v>
      </c>
      <c r="U7458">
        <v>-0.30395509999999998</v>
      </c>
      <c r="V7458">
        <v>0.12908749999999999</v>
      </c>
      <c r="W7458">
        <v>-1.3707399999999899E-2</v>
      </c>
      <c r="X7458">
        <v>0.99153849999999999</v>
      </c>
      <c r="Y7458">
        <v>0.19384129999999999</v>
      </c>
      <c r="Z7458">
        <v>-1.1376209999999999E-2</v>
      </c>
      <c r="AA7458">
        <v>0.98096689999999998</v>
      </c>
      <c r="AB7458">
        <v>19</v>
      </c>
      <c r="AC7458">
        <v>18.324000000000002</v>
      </c>
      <c r="AD7458">
        <v>-1.1068672975729901</v>
      </c>
      <c r="AE7458">
        <v>-1.8932</v>
      </c>
      <c r="AF7458">
        <v>3.59589544206781</v>
      </c>
      <c r="AG7458">
        <v>-1.1068672975729901</v>
      </c>
      <c r="AH7458">
        <v>17.999600373376701</v>
      </c>
      <c r="AI7458">
        <v>93.450894866061702</v>
      </c>
      <c r="AJ7458">
        <v>78.702386409239196</v>
      </c>
      <c r="AK7458">
        <v>18.3886169367352</v>
      </c>
      <c r="AL7458">
        <v>90.7854007361463</v>
      </c>
      <c r="AM7458">
        <v>82.582433839661903</v>
      </c>
      <c r="AN7458">
        <v>1.0000000362266199</v>
      </c>
    </row>
    <row r="7459" spans="1:40" x14ac:dyDescent="0.25">
      <c r="A7459" t="str">
        <f>"20190312161503791"</f>
        <v>20190312161503791</v>
      </c>
      <c r="B7459" t="str">
        <f>"1552378503784527"</f>
        <v>1552378503784527</v>
      </c>
      <c r="C7459" t="s">
        <v>40</v>
      </c>
      <c r="D7459">
        <v>6.275874</v>
      </c>
      <c r="E7459">
        <v>0.52454299999999998</v>
      </c>
      <c r="F7459" t="s">
        <v>42</v>
      </c>
      <c r="G7459">
        <v>-147.24549999999999</v>
      </c>
      <c r="H7459" s="1">
        <v>-1.873373E-6</v>
      </c>
      <c r="I7459">
        <v>136.04599999999999</v>
      </c>
      <c r="J7459">
        <v>-166.9365</v>
      </c>
      <c r="K7459">
        <v>1.1070719999999901</v>
      </c>
      <c r="L7459">
        <v>138.12379999999999</v>
      </c>
      <c r="M7459">
        <v>0.99608909999999995</v>
      </c>
      <c r="N7459">
        <v>0</v>
      </c>
      <c r="O7459">
        <v>8.6273610000000001E-2</v>
      </c>
      <c r="P7459">
        <v>0.99864339999999996</v>
      </c>
      <c r="Q7459">
        <v>-3.1182049999999999E-2</v>
      </c>
      <c r="R7459">
        <v>-4.170053E-2</v>
      </c>
      <c r="S7459">
        <v>2.9871370000000002</v>
      </c>
      <c r="T7459">
        <v>-0.16633390000000001</v>
      </c>
      <c r="U7459">
        <v>-0.3110504</v>
      </c>
      <c r="V7459">
        <v>0.1275973</v>
      </c>
      <c r="W7459">
        <v>-1.347053E-2</v>
      </c>
      <c r="X7459">
        <v>0.99173460000000002</v>
      </c>
      <c r="Y7459">
        <v>0.188587</v>
      </c>
      <c r="Z7459">
        <v>-1.0021550000000001E-2</v>
      </c>
      <c r="AA7459">
        <v>0.98200540000000003</v>
      </c>
      <c r="AB7459">
        <v>19</v>
      </c>
      <c r="AC7459">
        <v>19.690999999999999</v>
      </c>
      <c r="AD7459">
        <v>-1.1070738733729999</v>
      </c>
      <c r="AE7459">
        <v>-2.0777999999999901</v>
      </c>
      <c r="AF7459">
        <v>3.7574262007939798</v>
      </c>
      <c r="AG7459">
        <v>-1.1070738733729999</v>
      </c>
      <c r="AH7459">
        <v>19.377685714669902</v>
      </c>
      <c r="AI7459">
        <v>93.210168061345399</v>
      </c>
      <c r="AJ7459">
        <v>79.026255283124897</v>
      </c>
      <c r="AK7459">
        <v>19.769637525054399</v>
      </c>
      <c r="AL7459">
        <v>90.771827843442793</v>
      </c>
      <c r="AM7459">
        <v>82.668559870480493</v>
      </c>
      <c r="AN7459">
        <v>1.0000000214914599</v>
      </c>
    </row>
    <row r="7460" spans="1:40" x14ac:dyDescent="0.25">
      <c r="A7460" t="str">
        <f>"20190312161503814"</f>
        <v>20190312161503814</v>
      </c>
      <c r="B7460" t="str">
        <f>"1552378503804047"</f>
        <v>1552378503804047</v>
      </c>
      <c r="C7460" t="s">
        <v>40</v>
      </c>
      <c r="D7460">
        <v>6.2257449999999999</v>
      </c>
      <c r="E7460">
        <v>0.5234936</v>
      </c>
      <c r="F7460" t="s">
        <v>42</v>
      </c>
      <c r="G7460">
        <v>-146.3329</v>
      </c>
      <c r="H7460" s="1">
        <v>-2.222665E-6</v>
      </c>
      <c r="I7460">
        <v>135.90049999999999</v>
      </c>
      <c r="J7460">
        <v>-166.73660000000001</v>
      </c>
      <c r="K7460">
        <v>1.1072850000000001</v>
      </c>
      <c r="L7460">
        <v>138.1309</v>
      </c>
      <c r="M7460">
        <v>0.99675539999999996</v>
      </c>
      <c r="N7460">
        <v>0</v>
      </c>
      <c r="O7460">
        <v>7.819516E-2</v>
      </c>
      <c r="P7460">
        <v>0.99835549999999995</v>
      </c>
      <c r="Q7460">
        <v>-3.1086409999999998E-2</v>
      </c>
      <c r="R7460">
        <v>-4.8169280000000002E-2</v>
      </c>
      <c r="S7460">
        <v>2.985611</v>
      </c>
      <c r="T7460">
        <v>-0.16042290000000001</v>
      </c>
      <c r="U7460">
        <v>-0.32217410000000002</v>
      </c>
      <c r="V7460">
        <v>0.12598999999999999</v>
      </c>
      <c r="W7460">
        <v>-1.327212E-2</v>
      </c>
      <c r="X7460">
        <v>0.99194269999999996</v>
      </c>
      <c r="Y7460">
        <v>0.18434049999999999</v>
      </c>
      <c r="Z7460">
        <v>-9.1230200000000008E-3</v>
      </c>
      <c r="AA7460">
        <v>0.98282009999999997</v>
      </c>
      <c r="AB7460">
        <v>19</v>
      </c>
      <c r="AC7460">
        <v>20.403700000000001</v>
      </c>
      <c r="AD7460">
        <v>-1.1072872226649999</v>
      </c>
      <c r="AE7460">
        <v>-2.2303999999999999</v>
      </c>
      <c r="AF7460">
        <v>3.8082460781187399</v>
      </c>
      <c r="AG7460">
        <v>-1.1072872226649999</v>
      </c>
      <c r="AH7460">
        <v>20.108242420928999</v>
      </c>
      <c r="AI7460">
        <v>93.0969447587796</v>
      </c>
      <c r="AJ7460">
        <v>79.275917768939294</v>
      </c>
      <c r="AK7460">
        <v>20.495615054050699</v>
      </c>
      <c r="AL7460">
        <v>90.7604588072615</v>
      </c>
      <c r="AM7460">
        <v>82.761428224557207</v>
      </c>
      <c r="AN7460">
        <v>0.99999997467629098</v>
      </c>
    </row>
    <row r="7461" spans="1:40" x14ac:dyDescent="0.25">
      <c r="A7461" t="str">
        <f>"20190312161503835"</f>
        <v>20190312161503835</v>
      </c>
      <c r="B7461" t="str">
        <f>"1552378503824091"</f>
        <v>1552378503824091</v>
      </c>
      <c r="C7461" t="s">
        <v>40</v>
      </c>
      <c r="D7461">
        <v>6.1031610000000001</v>
      </c>
      <c r="E7461">
        <v>0.52209939999999999</v>
      </c>
      <c r="F7461" t="s">
        <v>42</v>
      </c>
      <c r="G7461">
        <v>-145.41079999999999</v>
      </c>
      <c r="H7461" s="1">
        <v>-2.636567E-6</v>
      </c>
      <c r="I7461">
        <v>135.7516</v>
      </c>
      <c r="J7461">
        <v>-166.5591</v>
      </c>
      <c r="K7461">
        <v>1.1074409999999999</v>
      </c>
      <c r="L7461">
        <v>138.1362</v>
      </c>
      <c r="M7461">
        <v>0.99727840000000001</v>
      </c>
      <c r="N7461">
        <v>0</v>
      </c>
      <c r="O7461">
        <v>7.1212189999999995E-2</v>
      </c>
      <c r="P7461">
        <v>0.99803730000000002</v>
      </c>
      <c r="Q7461">
        <v>-3.131395E-2</v>
      </c>
      <c r="R7461">
        <v>-5.4232389999999998E-2</v>
      </c>
      <c r="S7461">
        <v>2.98407</v>
      </c>
      <c r="T7461">
        <v>-0.1549401</v>
      </c>
      <c r="U7461">
        <v>-0.33293149999999999</v>
      </c>
      <c r="V7461">
        <v>0.12507109999999999</v>
      </c>
      <c r="W7461">
        <v>-1.3427059999999999E-2</v>
      </c>
      <c r="X7461">
        <v>0.99205690000000002</v>
      </c>
      <c r="Y7461">
        <v>0.18104980000000001</v>
      </c>
      <c r="Z7461">
        <v>-8.3682089999999997E-3</v>
      </c>
      <c r="AA7461">
        <v>0.98343829999999999</v>
      </c>
      <c r="AB7461">
        <v>18</v>
      </c>
      <c r="AC7461">
        <v>21.148299999999999</v>
      </c>
      <c r="AD7461">
        <v>-1.107443636567</v>
      </c>
      <c r="AE7461">
        <v>-2.3845999999999998</v>
      </c>
      <c r="AF7461">
        <v>3.8743444498467898</v>
      </c>
      <c r="AG7461">
        <v>-1.107443636567</v>
      </c>
      <c r="AH7461">
        <v>20.868239719988502</v>
      </c>
      <c r="AI7461">
        <v>92.986799883371106</v>
      </c>
      <c r="AJ7461">
        <v>79.482362858792598</v>
      </c>
      <c r="AK7461">
        <v>21.253715094899</v>
      </c>
      <c r="AL7461">
        <v>90.769337003060102</v>
      </c>
      <c r="AM7461">
        <v>82.814486947837295</v>
      </c>
      <c r="AN7461">
        <v>0.99999997941653096</v>
      </c>
    </row>
    <row r="7462" spans="1:40" x14ac:dyDescent="0.25">
      <c r="A7462" t="str">
        <f>"20190312161503857"</f>
        <v>20190312161503857</v>
      </c>
      <c r="B7462" t="str">
        <f>"1552378503854331"</f>
        <v>1552378503854331</v>
      </c>
      <c r="C7462" t="s">
        <v>40</v>
      </c>
      <c r="D7462">
        <v>6.250102</v>
      </c>
      <c r="E7462">
        <v>0.49309130000000001</v>
      </c>
      <c r="F7462" t="s">
        <v>42</v>
      </c>
      <c r="G7462">
        <v>-146.4718</v>
      </c>
      <c r="H7462" s="1">
        <v>-2.1901279999999999E-6</v>
      </c>
      <c r="I7462">
        <v>135.845</v>
      </c>
      <c r="J7462">
        <v>-166.37950000000001</v>
      </c>
      <c r="K7462">
        <v>1.107593</v>
      </c>
      <c r="L7462">
        <v>138.1404</v>
      </c>
      <c r="M7462">
        <v>0.9977452</v>
      </c>
      <c r="N7462">
        <v>0</v>
      </c>
      <c r="O7462">
        <v>6.4339880000000002E-2</v>
      </c>
      <c r="P7462">
        <v>0.99769960000000002</v>
      </c>
      <c r="Q7462">
        <v>-3.1553390000000001E-2</v>
      </c>
      <c r="R7462">
        <v>-6.0001329999999999E-2</v>
      </c>
      <c r="S7462">
        <v>2.9822690000000001</v>
      </c>
      <c r="T7462">
        <v>-0.16441700000000001</v>
      </c>
      <c r="U7462">
        <v>-0.34014889999999998</v>
      </c>
      <c r="V7462">
        <v>0.12397469999999999</v>
      </c>
      <c r="W7462">
        <v>-1.360049E-2</v>
      </c>
      <c r="X7462">
        <v>0.99219210000000002</v>
      </c>
      <c r="Y7462">
        <v>0.17666270000000001</v>
      </c>
      <c r="Z7462">
        <v>-8.3855389999999991E-3</v>
      </c>
      <c r="AA7462">
        <v>0.98423579999999999</v>
      </c>
      <c r="AB7462">
        <v>18</v>
      </c>
      <c r="AC7462">
        <v>19.907699999999998</v>
      </c>
      <c r="AD7462">
        <v>-1.1075951901279999</v>
      </c>
      <c r="AE7462">
        <v>-2.2953999999999999</v>
      </c>
      <c r="AF7462">
        <v>3.56085733282994</v>
      </c>
      <c r="AG7462">
        <v>-1.1075951901279999</v>
      </c>
      <c r="AH7462">
        <v>19.6586708171955</v>
      </c>
      <c r="AI7462">
        <v>93.173182626463202</v>
      </c>
      <c r="AJ7462">
        <v>79.733094094161999</v>
      </c>
      <c r="AK7462">
        <v>20.0092431228374</v>
      </c>
      <c r="AL7462">
        <v>90.779274755175607</v>
      </c>
      <c r="AM7462">
        <v>82.8777874906759</v>
      </c>
      <c r="AN7462">
        <v>0.99999993143536703</v>
      </c>
    </row>
    <row r="7463" spans="1:40" x14ac:dyDescent="0.25">
      <c r="A7463" t="str">
        <f>"20190312161503879"</f>
        <v>20190312161503879</v>
      </c>
      <c r="B7463" t="str">
        <f>"1552378503873851"</f>
        <v>1552378503873851</v>
      </c>
      <c r="C7463" t="s">
        <v>40</v>
      </c>
      <c r="D7463">
        <v>6.0709780000000002</v>
      </c>
      <c r="E7463">
        <v>0.4886141</v>
      </c>
      <c r="F7463" t="s">
        <v>43</v>
      </c>
      <c r="G7463">
        <v>-165.6071</v>
      </c>
      <c r="H7463">
        <v>0.93800349999999999</v>
      </c>
      <c r="I7463">
        <v>138.10509999999999</v>
      </c>
      <c r="J7463">
        <v>-166.19820000000001</v>
      </c>
      <c r="K7463">
        <v>1.1077429999999999</v>
      </c>
      <c r="L7463">
        <v>138.1437</v>
      </c>
      <c r="M7463">
        <v>0.9981565</v>
      </c>
      <c r="N7463">
        <v>0</v>
      </c>
      <c r="O7463">
        <v>5.7603420000000002E-2</v>
      </c>
      <c r="P7463">
        <v>0.99732229999999999</v>
      </c>
      <c r="Q7463">
        <v>-3.1702069999999999E-2</v>
      </c>
      <c r="R7463">
        <v>-6.590116E-2</v>
      </c>
      <c r="S7463">
        <v>2.9780579999999999</v>
      </c>
      <c r="T7463">
        <v>-0.65361619999999998</v>
      </c>
      <c r="U7463">
        <v>-0.13619999999999999</v>
      </c>
      <c r="V7463">
        <v>0.1231495</v>
      </c>
      <c r="W7463">
        <v>-1.3690219999999999E-2</v>
      </c>
      <c r="X7463">
        <v>0.99229369999999995</v>
      </c>
      <c r="Y7463">
        <v>9.9432980000000004E-2</v>
      </c>
      <c r="Z7463">
        <v>-2.3266619999999998E-2</v>
      </c>
      <c r="AA7463">
        <v>0.9947722</v>
      </c>
      <c r="AB7463">
        <v>18</v>
      </c>
      <c r="AC7463">
        <v>0.59110000000001095</v>
      </c>
      <c r="AD7463">
        <v>-0.16973949999999899</v>
      </c>
      <c r="AE7463">
        <v>-3.8600000000002403E-2</v>
      </c>
      <c r="AF7463">
        <v>6.7083281862497901E-2</v>
      </c>
      <c r="AG7463">
        <v>-0.16973949999999899</v>
      </c>
      <c r="AH7463">
        <v>0.54328512406881202</v>
      </c>
      <c r="AI7463">
        <v>107.227452858427</v>
      </c>
      <c r="AJ7463">
        <v>82.960911972582593</v>
      </c>
      <c r="AK7463">
        <v>0.57312336420718202</v>
      </c>
      <c r="AL7463">
        <v>90.784416327388797</v>
      </c>
      <c r="AM7463">
        <v>82.925429373925297</v>
      </c>
      <c r="AN7463">
        <v>1.00000000426679</v>
      </c>
    </row>
    <row r="7464" spans="1:40" x14ac:dyDescent="0.25">
      <c r="A7464" t="str">
        <f>"20190312161503903"</f>
        <v>20190312161503903</v>
      </c>
      <c r="B7464" t="str">
        <f>"1552378503894346"</f>
        <v>1552378503894346</v>
      </c>
      <c r="C7464" t="s">
        <v>40</v>
      </c>
      <c r="D7464">
        <v>6.014303</v>
      </c>
      <c r="E7464">
        <v>0.48764730000000001</v>
      </c>
      <c r="F7464" t="s">
        <v>43</v>
      </c>
      <c r="G7464">
        <v>-165.4315</v>
      </c>
      <c r="H7464">
        <v>0.96503570000000005</v>
      </c>
      <c r="I7464">
        <v>138.1139</v>
      </c>
      <c r="J7464">
        <v>-166.01230000000001</v>
      </c>
      <c r="K7464">
        <v>1.107909</v>
      </c>
      <c r="L7464">
        <v>138.14599999999999</v>
      </c>
      <c r="M7464">
        <v>0.99852019999999997</v>
      </c>
      <c r="N7464">
        <v>0</v>
      </c>
      <c r="O7464">
        <v>5.0914809999999998E-2</v>
      </c>
      <c r="P7464">
        <v>0.99689139999999998</v>
      </c>
      <c r="Q7464">
        <v>-3.2101589999999999E-2</v>
      </c>
      <c r="R7464">
        <v>-7.1953790000000004E-2</v>
      </c>
      <c r="S7464">
        <v>2.982742</v>
      </c>
      <c r="T7464">
        <v>-0.55506440000000001</v>
      </c>
      <c r="U7464">
        <v>-0.11593630000000001</v>
      </c>
      <c r="V7464">
        <v>0.12252680000000001</v>
      </c>
      <c r="W7464">
        <v>-1.4034339999999999E-2</v>
      </c>
      <c r="X7464">
        <v>0.99236599999999997</v>
      </c>
      <c r="Y7464">
        <v>8.7304839999999995E-2</v>
      </c>
      <c r="Z7464">
        <v>-1.7442949999999999E-2</v>
      </c>
      <c r="AA7464">
        <v>0.99602889999999999</v>
      </c>
      <c r="AB7464">
        <v>18</v>
      </c>
      <c r="AC7464">
        <v>0.58080000000000997</v>
      </c>
      <c r="AD7464">
        <v>-0.14287329999999901</v>
      </c>
      <c r="AE7464">
        <v>-3.2100000000013999E-2</v>
      </c>
      <c r="AF7464">
        <v>5.8128266459628403E-2</v>
      </c>
      <c r="AG7464">
        <v>-0.14287329999999901</v>
      </c>
      <c r="AH7464">
        <v>0.54550228985337001</v>
      </c>
      <c r="AI7464">
        <v>104.597667578775</v>
      </c>
      <c r="AJ7464">
        <v>83.917562228001898</v>
      </c>
      <c r="AK7464">
        <v>0.56689013349128103</v>
      </c>
      <c r="AL7464">
        <v>90.804134826083796</v>
      </c>
      <c r="AM7464">
        <v>82.961349559520897</v>
      </c>
      <c r="AN7464">
        <v>1.0000000286867301</v>
      </c>
    </row>
    <row r="7465" spans="1:40" x14ac:dyDescent="0.25">
      <c r="A7465" t="str">
        <f>"20190312161503924"</f>
        <v>20190312161503924</v>
      </c>
      <c r="B7465" t="str">
        <f>"1552378503913866"</f>
        <v>1552378503913866</v>
      </c>
      <c r="C7465" t="s">
        <v>40</v>
      </c>
      <c r="D7465">
        <v>6.0717739999999996</v>
      </c>
      <c r="E7465">
        <v>0.4879926</v>
      </c>
      <c r="F7465" t="s">
        <v>43</v>
      </c>
      <c r="G7465">
        <v>-165.26230000000001</v>
      </c>
      <c r="H7465">
        <v>0.98046759999999999</v>
      </c>
      <c r="I7465">
        <v>138.11449999999999</v>
      </c>
      <c r="J7465">
        <v>-165.83750000000001</v>
      </c>
      <c r="K7465">
        <v>1.108085</v>
      </c>
      <c r="L7465">
        <v>138.1474</v>
      </c>
      <c r="M7465">
        <v>0.99881149999999996</v>
      </c>
      <c r="N7465">
        <v>0</v>
      </c>
      <c r="O7465">
        <v>4.4840400000000002E-2</v>
      </c>
      <c r="P7465">
        <v>0.99651190000000001</v>
      </c>
      <c r="Q7465">
        <v>-3.2069359999999998E-2</v>
      </c>
      <c r="R7465">
        <v>-7.7043860000000006E-2</v>
      </c>
      <c r="S7465">
        <v>2.9840089999999999</v>
      </c>
      <c r="T7465">
        <v>-0.50674620000000004</v>
      </c>
      <c r="U7465">
        <v>-0.12510679999999999</v>
      </c>
      <c r="V7465">
        <v>0.12156500000000001</v>
      </c>
      <c r="W7465">
        <v>-1.3948139999999999E-2</v>
      </c>
      <c r="X7465">
        <v>0.99248550000000002</v>
      </c>
      <c r="Y7465">
        <v>8.480248E-2</v>
      </c>
      <c r="Z7465">
        <v>-1.4705029999999999E-2</v>
      </c>
      <c r="AA7465">
        <v>0.99628930000000004</v>
      </c>
      <c r="AB7465">
        <v>18</v>
      </c>
      <c r="AC7465">
        <v>0.57519999999999505</v>
      </c>
      <c r="AD7465">
        <v>-0.12761739999999999</v>
      </c>
      <c r="AE7465">
        <v>-3.29000000000121E-2</v>
      </c>
      <c r="AF7465">
        <v>5.5920132344665197E-2</v>
      </c>
      <c r="AG7465">
        <v>-0.12761739999999999</v>
      </c>
      <c r="AH7465">
        <v>0.54634004912190304</v>
      </c>
      <c r="AI7465">
        <v>103.08177428293</v>
      </c>
      <c r="AJ7465">
        <v>84.155894886216004</v>
      </c>
      <c r="AK7465">
        <v>0.56382684510293501</v>
      </c>
      <c r="AL7465">
        <v>90.799195442487999</v>
      </c>
      <c r="AM7465">
        <v>83.016885751695099</v>
      </c>
      <c r="AN7465">
        <v>1.00000003377235</v>
      </c>
    </row>
    <row r="7466" spans="1:40" x14ac:dyDescent="0.25">
      <c r="A7466" t="str">
        <f>"20190312161503946"</f>
        <v>20190312161503946</v>
      </c>
      <c r="B7466" t="str">
        <f>"1552378503934363"</f>
        <v>1552378503934363</v>
      </c>
      <c r="C7466" t="s">
        <v>40</v>
      </c>
      <c r="D7466">
        <v>6.004181</v>
      </c>
      <c r="E7466">
        <v>0.48893110000000001</v>
      </c>
      <c r="F7466" t="s">
        <v>43</v>
      </c>
      <c r="G7466">
        <v>-165.10149999999999</v>
      </c>
      <c r="H7466">
        <v>0.98093569999999997</v>
      </c>
      <c r="I7466">
        <v>138.11199999999999</v>
      </c>
      <c r="J7466">
        <v>-165.66200000000001</v>
      </c>
      <c r="K7466">
        <v>1.108268</v>
      </c>
      <c r="L7466">
        <v>138.14789999999999</v>
      </c>
      <c r="M7466">
        <v>0.99905820000000001</v>
      </c>
      <c r="N7466">
        <v>0</v>
      </c>
      <c r="O7466">
        <v>3.8957899999999997E-2</v>
      </c>
      <c r="P7466">
        <v>0.99606870000000003</v>
      </c>
      <c r="Q7466">
        <v>-3.2139590000000003E-2</v>
      </c>
      <c r="R7466">
        <v>-8.2547609999999993E-2</v>
      </c>
      <c r="S7466">
        <v>2.9828640000000002</v>
      </c>
      <c r="T7466">
        <v>-0.51508120000000002</v>
      </c>
      <c r="U7466">
        <v>-0.1430206</v>
      </c>
      <c r="V7466">
        <v>0.121209</v>
      </c>
      <c r="W7466">
        <v>-1.3964249999999999E-2</v>
      </c>
      <c r="X7466">
        <v>0.99252879999999999</v>
      </c>
      <c r="Y7466">
        <v>8.4946010000000002E-2</v>
      </c>
      <c r="Z7466">
        <v>-1.395185E-2</v>
      </c>
      <c r="AA7466">
        <v>0.9962879</v>
      </c>
      <c r="AB7466">
        <v>18</v>
      </c>
      <c r="AC7466">
        <v>0.56050000000001798</v>
      </c>
      <c r="AD7466">
        <v>-0.12733230000000001</v>
      </c>
      <c r="AE7466">
        <v>-3.5899999999998003E-2</v>
      </c>
      <c r="AF7466">
        <v>5.48913109916183E-2</v>
      </c>
      <c r="AG7466">
        <v>-0.12733230000000001</v>
      </c>
      <c r="AH7466">
        <v>0.53136432745361895</v>
      </c>
      <c r="AI7466">
        <v>103.407085454457</v>
      </c>
      <c r="AJ7466">
        <v>84.102117840983595</v>
      </c>
      <c r="AK7466">
        <v>0.54915810030983403</v>
      </c>
      <c r="AL7466">
        <v>90.800118578074901</v>
      </c>
      <c r="AM7466">
        <v>83.037435367087696</v>
      </c>
      <c r="AN7466">
        <v>1.0000000203942501</v>
      </c>
    </row>
    <row r="7467" spans="1:40" x14ac:dyDescent="0.25">
      <c r="A7467" t="str">
        <f>"20190312161503969"</f>
        <v>20190312161503969</v>
      </c>
      <c r="B7467" t="str">
        <f>"1552378503964618"</f>
        <v>1552378503964618</v>
      </c>
      <c r="C7467" t="s">
        <v>40</v>
      </c>
      <c r="D7467">
        <v>6.3535690000000002</v>
      </c>
      <c r="E7467">
        <v>0.48972640000000001</v>
      </c>
      <c r="F7467" t="s">
        <v>43</v>
      </c>
      <c r="G7467">
        <v>-164.94210000000001</v>
      </c>
      <c r="H7467">
        <v>0.98086859999999998</v>
      </c>
      <c r="I7467">
        <v>138.10749999999999</v>
      </c>
      <c r="J7467">
        <v>-165.47909999999999</v>
      </c>
      <c r="K7467">
        <v>1.1084689999999999</v>
      </c>
      <c r="L7467">
        <v>138.14769999999999</v>
      </c>
      <c r="M7467">
        <v>0.99926979999999999</v>
      </c>
      <c r="N7467">
        <v>0</v>
      </c>
      <c r="O7467">
        <v>3.30868E-2</v>
      </c>
      <c r="P7467">
        <v>0.99560859999999995</v>
      </c>
      <c r="Q7467">
        <v>-3.2277409999999999E-2</v>
      </c>
      <c r="R7467">
        <v>-8.7872359999999997E-2</v>
      </c>
      <c r="S7467">
        <v>2.980972</v>
      </c>
      <c r="T7467">
        <v>-0.52742080000000002</v>
      </c>
      <c r="U7467">
        <v>-0.1670837</v>
      </c>
      <c r="V7467">
        <v>0.12069000000000001</v>
      </c>
      <c r="W7467">
        <v>-1.4035239999999999E-2</v>
      </c>
      <c r="X7467">
        <v>0.992591</v>
      </c>
      <c r="Y7467">
        <v>8.7110740000000006E-2</v>
      </c>
      <c r="Z7467">
        <v>-1.3447020000000001E-2</v>
      </c>
      <c r="AA7467">
        <v>0.99610790000000005</v>
      </c>
      <c r="AB7467">
        <v>18</v>
      </c>
      <c r="AC7467">
        <v>0.53699999999997705</v>
      </c>
      <c r="AD7467">
        <v>-0.1276004</v>
      </c>
      <c r="AE7467">
        <v>-4.0199999999998598E-2</v>
      </c>
      <c r="AF7467">
        <v>5.4868142728855498E-2</v>
      </c>
      <c r="AG7467">
        <v>-0.1276004</v>
      </c>
      <c r="AH7467">
        <v>0.50691373189233602</v>
      </c>
      <c r="AI7467">
        <v>104.05017842170901</v>
      </c>
      <c r="AJ7467">
        <v>83.822377761377894</v>
      </c>
      <c r="AK7467">
        <v>0.52559861752832704</v>
      </c>
      <c r="AL7467">
        <v>90.804186437587504</v>
      </c>
      <c r="AM7467">
        <v>83.067387545416906</v>
      </c>
      <c r="AN7467">
        <v>0.99999997867142798</v>
      </c>
    </row>
    <row r="7468" spans="1:40" x14ac:dyDescent="0.25">
      <c r="A7468" t="str">
        <f>"20190312161503993"</f>
        <v>20190312161503993</v>
      </c>
      <c r="B7468" t="str">
        <f>"1552378503984138"</f>
        <v>1552378503984138</v>
      </c>
      <c r="C7468" t="s">
        <v>40</v>
      </c>
      <c r="D7468">
        <v>5.7122979999999997</v>
      </c>
      <c r="E7468">
        <v>0.48899300000000001</v>
      </c>
      <c r="F7468" t="s">
        <v>43</v>
      </c>
      <c r="G7468">
        <v>-164.64089999999999</v>
      </c>
      <c r="H7468">
        <v>0.95213040000000004</v>
      </c>
      <c r="I7468">
        <v>138.0943</v>
      </c>
      <c r="J7468">
        <v>-165.28880000000001</v>
      </c>
      <c r="K7468">
        <v>1.108676</v>
      </c>
      <c r="L7468">
        <v>138.14670000000001</v>
      </c>
      <c r="M7468">
        <v>0.99944469999999996</v>
      </c>
      <c r="N7468">
        <v>0</v>
      </c>
      <c r="O7468">
        <v>2.7296810000000001E-2</v>
      </c>
      <c r="P7468">
        <v>0.99514499999999995</v>
      </c>
      <c r="Q7468">
        <v>-3.2100679999999999E-2</v>
      </c>
      <c r="R7468">
        <v>-9.3039380000000005E-2</v>
      </c>
      <c r="S7468">
        <v>2.9785159999999999</v>
      </c>
      <c r="T7468">
        <v>-0.55542230000000004</v>
      </c>
      <c r="U7468">
        <v>-0.1895599</v>
      </c>
      <c r="V7468">
        <v>0.1200999</v>
      </c>
      <c r="W7468">
        <v>-1.3788699999999999E-2</v>
      </c>
      <c r="X7468">
        <v>0.9926661</v>
      </c>
      <c r="Y7468">
        <v>8.8743730000000007E-2</v>
      </c>
      <c r="Z7468">
        <v>-1.323878E-2</v>
      </c>
      <c r="AA7468">
        <v>0.99596649999999998</v>
      </c>
      <c r="AB7468">
        <v>17</v>
      </c>
      <c r="AC7468">
        <v>0.64790000000002101</v>
      </c>
      <c r="AD7468">
        <v>-0.15654559999999901</v>
      </c>
      <c r="AE7468">
        <v>-5.2400000000005699E-2</v>
      </c>
      <c r="AF7468">
        <v>6.6228019665644899E-2</v>
      </c>
      <c r="AG7468">
        <v>-0.15654559999999901</v>
      </c>
      <c r="AH7468">
        <v>0.610800906645805</v>
      </c>
      <c r="AI7468">
        <v>104.294909602256</v>
      </c>
      <c r="AJ7468">
        <v>83.811699631208597</v>
      </c>
      <c r="AK7468">
        <v>0.63401137452535505</v>
      </c>
      <c r="AL7468">
        <v>90.790059312123503</v>
      </c>
      <c r="AM7468">
        <v>83.101473202001003</v>
      </c>
      <c r="AN7468">
        <v>1.0000000501584501</v>
      </c>
    </row>
    <row r="7469" spans="1:40" x14ac:dyDescent="0.25">
      <c r="A7469" t="str">
        <f>"20190312161504016"</f>
        <v>20190312161504016</v>
      </c>
      <c r="B7469" t="str">
        <f>"1552378504004634"</f>
        <v>1552378504004634</v>
      </c>
      <c r="C7469" t="s">
        <v>40</v>
      </c>
      <c r="D7469">
        <v>6.2153980000000004</v>
      </c>
      <c r="E7469">
        <v>0.4888634</v>
      </c>
      <c r="F7469" t="s">
        <v>43</v>
      </c>
      <c r="G7469">
        <v>-164.48240000000001</v>
      </c>
      <c r="H7469">
        <v>0.95762829999999999</v>
      </c>
      <c r="I7469">
        <v>138.09270000000001</v>
      </c>
      <c r="J7469">
        <v>-165.11439999999999</v>
      </c>
      <c r="K7469">
        <v>1.1088370000000001</v>
      </c>
      <c r="L7469">
        <v>138.14510000000001</v>
      </c>
      <c r="M7469">
        <v>0.99957019999999996</v>
      </c>
      <c r="N7469">
        <v>0</v>
      </c>
      <c r="O7469">
        <v>2.222058E-2</v>
      </c>
      <c r="P7469">
        <v>0.99475990000000003</v>
      </c>
      <c r="Q7469">
        <v>-3.1922970000000002E-2</v>
      </c>
      <c r="R7469">
        <v>-9.7128290000000006E-2</v>
      </c>
      <c r="S7469">
        <v>2.978043</v>
      </c>
      <c r="T7469">
        <v>-0.55761839999999996</v>
      </c>
      <c r="U7469">
        <v>-0.19902039999999999</v>
      </c>
      <c r="V7469">
        <v>0.11914470000000001</v>
      </c>
      <c r="W7469">
        <v>-1.3546610000000001E-2</v>
      </c>
      <c r="X7469">
        <v>0.99278449999999996</v>
      </c>
      <c r="Y7469">
        <v>8.6949620000000005E-2</v>
      </c>
      <c r="Z7469">
        <v>-1.2183060000000001E-2</v>
      </c>
      <c r="AA7469">
        <v>0.99613819999999997</v>
      </c>
      <c r="AB7469">
        <v>17</v>
      </c>
      <c r="AC7469">
        <v>0.63199999999997603</v>
      </c>
      <c r="AD7469">
        <v>-0.151208699999999</v>
      </c>
      <c r="AE7469">
        <v>-5.2400000000005699E-2</v>
      </c>
      <c r="AF7469">
        <v>6.2859364702868403E-2</v>
      </c>
      <c r="AG7469">
        <v>-0.151208699999999</v>
      </c>
      <c r="AH7469">
        <v>0.59675285753874796</v>
      </c>
      <c r="AI7469">
        <v>104.143593978816</v>
      </c>
      <c r="AJ7469">
        <v>83.986884716507603</v>
      </c>
      <c r="AK7469">
        <v>0.61881285027639799</v>
      </c>
      <c r="AL7469">
        <v>90.776187307667598</v>
      </c>
      <c r="AM7469">
        <v>83.1566257986414</v>
      </c>
      <c r="AN7469">
        <v>1.00000001681041</v>
      </c>
    </row>
    <row r="7470" spans="1:40" x14ac:dyDescent="0.25">
      <c r="A7470" t="str">
        <f>"20190312161504038"</f>
        <v>20190312161504038</v>
      </c>
      <c r="B7470" t="str">
        <f>"1552378504033914"</f>
        <v>1552378504033914</v>
      </c>
      <c r="C7470" t="s">
        <v>40</v>
      </c>
      <c r="D7470">
        <v>6.1137420000000002</v>
      </c>
      <c r="E7470">
        <v>0.46151110000000001</v>
      </c>
      <c r="F7470" t="s">
        <v>43</v>
      </c>
      <c r="G7470">
        <v>-164.32570000000001</v>
      </c>
      <c r="H7470">
        <v>0.96181329999999998</v>
      </c>
      <c r="I7470">
        <v>138.08940000000001</v>
      </c>
      <c r="J7470">
        <v>-164.9434</v>
      </c>
      <c r="K7470">
        <v>1.1089739999999999</v>
      </c>
      <c r="L7470">
        <v>138.1429</v>
      </c>
      <c r="M7470">
        <v>0.99966429999999995</v>
      </c>
      <c r="N7470">
        <v>0</v>
      </c>
      <c r="O7470">
        <v>1.7459829999999999E-2</v>
      </c>
      <c r="P7470">
        <v>0.994417</v>
      </c>
      <c r="Q7470">
        <v>-3.2290989999999999E-2</v>
      </c>
      <c r="R7470">
        <v>-0.10046049999999999</v>
      </c>
      <c r="S7470">
        <v>2.977509</v>
      </c>
      <c r="T7470">
        <v>-0.5548708</v>
      </c>
      <c r="U7470">
        <v>-0.2100525</v>
      </c>
      <c r="V7470">
        <v>0.1177455</v>
      </c>
      <c r="W7470">
        <v>-1.385071E-2</v>
      </c>
      <c r="X7470">
        <v>0.99294720000000003</v>
      </c>
      <c r="Y7470">
        <v>8.6007420000000001E-2</v>
      </c>
      <c r="Z7470">
        <v>-1.1158909999999999E-2</v>
      </c>
      <c r="AA7470">
        <v>0.99623200000000001</v>
      </c>
      <c r="AB7470">
        <v>17</v>
      </c>
      <c r="AC7470">
        <v>0.61769999999998404</v>
      </c>
      <c r="AD7470">
        <v>-0.14716069999999901</v>
      </c>
      <c r="AE7470">
        <v>-5.34999999999854E-2</v>
      </c>
      <c r="AF7470">
        <v>6.0850696187162698E-2</v>
      </c>
      <c r="AG7470">
        <v>-0.14716069999999901</v>
      </c>
      <c r="AH7470">
        <v>0.58378374021132995</v>
      </c>
      <c r="AI7470">
        <v>104.075197187296</v>
      </c>
      <c r="AJ7470">
        <v>84.0492639800853</v>
      </c>
      <c r="AK7470">
        <v>0.60511365394120897</v>
      </c>
      <c r="AL7470">
        <v>90.793612607554294</v>
      </c>
      <c r="AM7470">
        <v>83.237341443253399</v>
      </c>
      <c r="AN7470">
        <v>0.999999993462797</v>
      </c>
    </row>
    <row r="7471" spans="1:40" x14ac:dyDescent="0.25">
      <c r="A7471" t="str">
        <f>"20190312161504063"</f>
        <v>20190312161504063</v>
      </c>
      <c r="B7471" t="str">
        <f>"1552378504054411"</f>
        <v>1552378504054411</v>
      </c>
      <c r="C7471" t="s">
        <v>40</v>
      </c>
      <c r="D7471">
        <v>6.2385359999999999</v>
      </c>
      <c r="E7471">
        <v>0.46093980000000001</v>
      </c>
      <c r="F7471" t="s">
        <v>43</v>
      </c>
      <c r="G7471">
        <v>-164.15180000000001</v>
      </c>
      <c r="H7471">
        <v>1.00364599999999</v>
      </c>
      <c r="I7471">
        <v>138.14259999999999</v>
      </c>
      <c r="J7471">
        <v>-164.75540000000001</v>
      </c>
      <c r="K7471">
        <v>1.1091200000000001</v>
      </c>
      <c r="L7471">
        <v>138.13990000000001</v>
      </c>
      <c r="M7471">
        <v>0.99973849999999997</v>
      </c>
      <c r="N7471">
        <v>0</v>
      </c>
      <c r="O7471">
        <v>1.247876E-2</v>
      </c>
      <c r="P7471">
        <v>0.99399289999999996</v>
      </c>
      <c r="Q7471">
        <v>-3.2373730000000003E-2</v>
      </c>
      <c r="R7471">
        <v>-0.10454819999999999</v>
      </c>
      <c r="S7471">
        <v>3.0038149999999999</v>
      </c>
      <c r="T7471">
        <v>-0.39942240000000001</v>
      </c>
      <c r="U7471">
        <v>-6.1035159999999996E-4</v>
      </c>
      <c r="V7471">
        <v>0.1168853</v>
      </c>
      <c r="W7471">
        <v>-1.3866119999999999E-2</v>
      </c>
      <c r="X7471">
        <v>0.99304859999999995</v>
      </c>
      <c r="Y7471">
        <v>1.2464660000000001E-2</v>
      </c>
      <c r="Z7471">
        <v>-2.4774150000000002E-3</v>
      </c>
      <c r="AA7471">
        <v>0.99991920000000001</v>
      </c>
      <c r="AB7471">
        <v>17</v>
      </c>
      <c r="AC7471">
        <v>0.60360000000000003</v>
      </c>
      <c r="AD7471">
        <v>-0.105474</v>
      </c>
      <c r="AE7471">
        <v>2.69999999997594E-3</v>
      </c>
      <c r="AF7471">
        <v>4.6905518734347701E-3</v>
      </c>
      <c r="AG7471">
        <v>-0.105474</v>
      </c>
      <c r="AH7471">
        <v>0.58570283410980495</v>
      </c>
      <c r="AI7471">
        <v>100.208153050262</v>
      </c>
      <c r="AJ7471">
        <v>89.541161378897499</v>
      </c>
      <c r="AK7471">
        <v>0.59514248364331601</v>
      </c>
      <c r="AL7471">
        <v>90.794495629188802</v>
      </c>
      <c r="AM7471">
        <v>83.286973286049303</v>
      </c>
      <c r="AN7471">
        <v>0.999999982300952</v>
      </c>
    </row>
    <row r="7472" spans="1:40" x14ac:dyDescent="0.25">
      <c r="A7472" t="str">
        <f>"20190312161504084"</f>
        <v>20190312161504084</v>
      </c>
      <c r="B7472" t="str">
        <f>"1552378504073930"</f>
        <v>1552378504073930</v>
      </c>
      <c r="C7472" t="s">
        <v>40</v>
      </c>
      <c r="D7472">
        <v>6.0898640000000004</v>
      </c>
      <c r="E7472">
        <v>0.45957999999999999</v>
      </c>
      <c r="F7472" t="s">
        <v>43</v>
      </c>
      <c r="G7472">
        <v>-163.99590000000001</v>
      </c>
      <c r="H7472">
        <v>1.010311</v>
      </c>
      <c r="I7472">
        <v>138.1378</v>
      </c>
      <c r="J7472">
        <v>-164.59190000000001</v>
      </c>
      <c r="K7472">
        <v>1.1092569999999999</v>
      </c>
      <c r="L7472">
        <v>138.13669999999999</v>
      </c>
      <c r="M7472">
        <v>0.99978089999999997</v>
      </c>
      <c r="N7472">
        <v>0</v>
      </c>
      <c r="O7472">
        <v>8.3643950000000002E-3</v>
      </c>
      <c r="P7472">
        <v>0.99366549999999998</v>
      </c>
      <c r="Q7472">
        <v>-3.2740770000000002E-2</v>
      </c>
      <c r="R7472">
        <v>-0.107502</v>
      </c>
      <c r="S7472">
        <v>3.0045470000000001</v>
      </c>
      <c r="T7472">
        <v>-0.39084669999999999</v>
      </c>
      <c r="U7472">
        <v>-8.1634519999999999E-3</v>
      </c>
      <c r="V7472">
        <v>0.1157535</v>
      </c>
      <c r="W7472">
        <v>-1.416486E-2</v>
      </c>
      <c r="X7472">
        <v>0.99317699999999998</v>
      </c>
      <c r="Y7472">
        <v>1.0920340000000001E-2</v>
      </c>
      <c r="Z7472">
        <v>-1.791015E-3</v>
      </c>
      <c r="AA7472">
        <v>0.99993880000000002</v>
      </c>
      <c r="AB7472">
        <v>17</v>
      </c>
      <c r="AC7472">
        <v>0.59600000000000297</v>
      </c>
      <c r="AD7472">
        <v>-9.8945999999999895E-2</v>
      </c>
      <c r="AE7472">
        <v>1.1000000000080899E-3</v>
      </c>
      <c r="AF7472">
        <v>3.7819011313497699E-3</v>
      </c>
      <c r="AG7472">
        <v>-9.8945999999999895E-2</v>
      </c>
      <c r="AH7472">
        <v>0.58000261677498299</v>
      </c>
      <c r="AI7472">
        <v>99.681017123166299</v>
      </c>
      <c r="AJ7472">
        <v>89.626408750186897</v>
      </c>
      <c r="AK7472">
        <v>0.58839412739930996</v>
      </c>
      <c r="AL7472">
        <v>90.811613809599606</v>
      </c>
      <c r="AM7472">
        <v>83.352242604128605</v>
      </c>
      <c r="AN7472">
        <v>1.00000003467503</v>
      </c>
    </row>
    <row r="7473" spans="1:40" x14ac:dyDescent="0.25">
      <c r="A7473" t="str">
        <f>"20190312161504104"</f>
        <v>20190312161504104</v>
      </c>
      <c r="B7473" t="str">
        <f>"1552378504094427"</f>
        <v>1552378504094427</v>
      </c>
      <c r="C7473" t="s">
        <v>40</v>
      </c>
      <c r="D7473">
        <v>6.0809259999999998</v>
      </c>
      <c r="E7473">
        <v>0.45820640000000001</v>
      </c>
      <c r="F7473" t="s">
        <v>43</v>
      </c>
      <c r="G7473">
        <v>-163.84379999999999</v>
      </c>
      <c r="H7473">
        <v>1.0116879999999999</v>
      </c>
      <c r="I7473">
        <v>138.13509999999999</v>
      </c>
      <c r="J7473">
        <v>-164.44370000000001</v>
      </c>
      <c r="K7473">
        <v>1.109391</v>
      </c>
      <c r="L7473">
        <v>138.1335</v>
      </c>
      <c r="M7473">
        <v>0.99980369999999996</v>
      </c>
      <c r="N7473">
        <v>0</v>
      </c>
      <c r="O7473">
        <v>4.8109470000000003E-3</v>
      </c>
      <c r="P7473">
        <v>0.99343130000000002</v>
      </c>
      <c r="Q7473">
        <v>-3.2815579999999997E-2</v>
      </c>
      <c r="R7473">
        <v>-0.109625399999999</v>
      </c>
      <c r="S7473">
        <v>3.0055390000000002</v>
      </c>
      <c r="T7473">
        <v>-0.3918239</v>
      </c>
      <c r="U7473">
        <v>-6.2713619999999999E-3</v>
      </c>
      <c r="V7473">
        <v>0.1143507</v>
      </c>
      <c r="W7473">
        <v>-1.416599E-2</v>
      </c>
      <c r="X7473">
        <v>0.99333939999999998</v>
      </c>
      <c r="Y7473">
        <v>6.8001370000000004E-3</v>
      </c>
      <c r="Z7473">
        <v>-1.0660509999999999E-3</v>
      </c>
      <c r="AA7473">
        <v>0.99997630000000004</v>
      </c>
      <c r="AB7473">
        <v>17</v>
      </c>
      <c r="AC7473">
        <v>0.59990000000001897</v>
      </c>
      <c r="AD7473">
        <v>-9.7703000000000095E-2</v>
      </c>
      <c r="AE7473">
        <v>1.59999999999627E-3</v>
      </c>
      <c r="AF7473">
        <v>1.2533926510483601E-3</v>
      </c>
      <c r="AG7473">
        <v>-9.7703000000000095E-2</v>
      </c>
      <c r="AH7473">
        <v>0.58439956988458996</v>
      </c>
      <c r="AI7473">
        <v>99.491209060606593</v>
      </c>
      <c r="AJ7473">
        <v>89.877114901234194</v>
      </c>
      <c r="AK7473">
        <v>0.59251186020486701</v>
      </c>
      <c r="AL7473">
        <v>90.811678620350406</v>
      </c>
      <c r="AM7473">
        <v>83.433162059959798</v>
      </c>
      <c r="AN7473">
        <v>0.99999996072776398</v>
      </c>
    </row>
    <row r="7474" spans="1:40" x14ac:dyDescent="0.25">
      <c r="A7474" t="str">
        <f>"20190312161504126"</f>
        <v>20190312161504126</v>
      </c>
      <c r="B7474" t="str">
        <f>"1552378504113946"</f>
        <v>1552378504113946</v>
      </c>
      <c r="C7474" t="s">
        <v>40</v>
      </c>
      <c r="D7474">
        <v>6.0833760000000003</v>
      </c>
      <c r="E7474">
        <v>0.4566576</v>
      </c>
      <c r="F7474" t="s">
        <v>43</v>
      </c>
      <c r="G7474">
        <v>-163.69290000000001</v>
      </c>
      <c r="H7474">
        <v>1.0133749999999999</v>
      </c>
      <c r="I7474">
        <v>138.13299999999899</v>
      </c>
      <c r="J7474">
        <v>-164.27500000000001</v>
      </c>
      <c r="K7474">
        <v>1.1095569999999999</v>
      </c>
      <c r="L7474">
        <v>138.12950000000001</v>
      </c>
      <c r="M7474">
        <v>0.99981410000000004</v>
      </c>
      <c r="N7474">
        <v>0</v>
      </c>
      <c r="O7474">
        <v>9.5763650000000005E-4</v>
      </c>
      <c r="P7474">
        <v>0.99311579999999999</v>
      </c>
      <c r="Q7474">
        <v>-3.2928720000000002E-2</v>
      </c>
      <c r="R7474">
        <v>-0.1124134</v>
      </c>
      <c r="S7474">
        <v>3.0069729999999999</v>
      </c>
      <c r="T7474">
        <v>-0.38436559999999997</v>
      </c>
      <c r="U7474">
        <v>-1.480103E-3</v>
      </c>
      <c r="V7474">
        <v>0.113316</v>
      </c>
      <c r="W7474">
        <v>-1.4191250000000001E-2</v>
      </c>
      <c r="X7474">
        <v>0.9934577</v>
      </c>
      <c r="Y7474">
        <v>1.430604E-3</v>
      </c>
      <c r="Z7474">
        <v>-2.1299909999999999E-4</v>
      </c>
      <c r="AA7474">
        <v>0.99999890000000002</v>
      </c>
      <c r="AB7474">
        <v>17</v>
      </c>
      <c r="AC7474">
        <v>0.58209999999999695</v>
      </c>
      <c r="AD7474">
        <v>-9.6182000000000004E-2</v>
      </c>
      <c r="AE7474">
        <v>3.4999999999740798E-3</v>
      </c>
      <c r="AF7474">
        <v>-2.8642580205752799E-3</v>
      </c>
      <c r="AG7474">
        <v>-9.6182000000000004E-2</v>
      </c>
      <c r="AH7474">
        <v>0.56663349021731901</v>
      </c>
      <c r="AI7474">
        <v>99.633605787688893</v>
      </c>
      <c r="AJ7474">
        <v>90.289620188548398</v>
      </c>
      <c r="AK7474">
        <v>0.57474576408518996</v>
      </c>
      <c r="AL7474">
        <v>90.813125980993306</v>
      </c>
      <c r="AM7474">
        <v>83.492838222587395</v>
      </c>
      <c r="AN7474">
        <v>1.00000005456092</v>
      </c>
    </row>
    <row r="7475" spans="1:40" x14ac:dyDescent="0.25">
      <c r="A7475" t="str">
        <f>"20190312161504148"</f>
        <v>20190312161504148</v>
      </c>
      <c r="B7475" t="str">
        <f>"1552378504144202"</f>
        <v>1552378504144202</v>
      </c>
      <c r="C7475" t="s">
        <v>40</v>
      </c>
      <c r="D7475">
        <v>6.1575639999999998</v>
      </c>
      <c r="E7475">
        <v>0.45573839999999999</v>
      </c>
      <c r="F7475" t="s">
        <v>43</v>
      </c>
      <c r="G7475">
        <v>-163.54179999999999</v>
      </c>
      <c r="H7475">
        <v>1.017701</v>
      </c>
      <c r="I7475">
        <v>138.13</v>
      </c>
      <c r="J7475">
        <v>-164.11689999999999</v>
      </c>
      <c r="K7475">
        <v>1.1097109999999999</v>
      </c>
      <c r="L7475">
        <v>138.12540000000001</v>
      </c>
      <c r="M7475">
        <v>0.9998108</v>
      </c>
      <c r="N7475">
        <v>0</v>
      </c>
      <c r="O7475">
        <v>-2.4445489999999999E-3</v>
      </c>
      <c r="P7475">
        <v>0.99289490000000002</v>
      </c>
      <c r="Q7475">
        <v>-3.2916109999999998E-2</v>
      </c>
      <c r="R7475">
        <v>-0.1143528</v>
      </c>
      <c r="S7475">
        <v>3.008575</v>
      </c>
      <c r="T7475">
        <v>-0.37679889999999999</v>
      </c>
      <c r="U7475">
        <v>2.6550290000000002E-3</v>
      </c>
      <c r="V7475">
        <v>0.1118811</v>
      </c>
      <c r="W7475">
        <v>-1.408734E-2</v>
      </c>
      <c r="X7475">
        <v>0.9936218</v>
      </c>
      <c r="Y7475">
        <v>-3.282741E-3</v>
      </c>
      <c r="Z7475">
        <v>5.097926E-4</v>
      </c>
      <c r="AA7475">
        <v>0.99999450000000001</v>
      </c>
      <c r="AB7475">
        <v>17</v>
      </c>
      <c r="AC7475">
        <v>0.57509999999999195</v>
      </c>
      <c r="AD7475">
        <v>-9.2010000000000106E-2</v>
      </c>
      <c r="AE7475">
        <v>4.5999999999821696E-3</v>
      </c>
      <c r="AF7475">
        <v>-5.8562181715513398E-3</v>
      </c>
      <c r="AG7475">
        <v>-9.2010000000000106E-2</v>
      </c>
      <c r="AH7475">
        <v>0.56073500797734299</v>
      </c>
      <c r="AI7475">
        <v>99.318020907418202</v>
      </c>
      <c r="AJ7475">
        <v>90.598365327261703</v>
      </c>
      <c r="AK7475">
        <v>0.56826392157396699</v>
      </c>
      <c r="AL7475">
        <v>90.807171779234594</v>
      </c>
      <c r="AM7475">
        <v>83.575596058398204</v>
      </c>
      <c r="AN7475">
        <v>1.00000005756036</v>
      </c>
    </row>
    <row r="7476" spans="1:40" x14ac:dyDescent="0.25">
      <c r="A7476" t="str">
        <f>"20190312161504172"</f>
        <v>20190312161504172</v>
      </c>
      <c r="B7476" t="str">
        <f>"1552378504163723"</f>
        <v>1552378504163723</v>
      </c>
      <c r="C7476" t="s">
        <v>40</v>
      </c>
      <c r="D7476">
        <v>6.1048970000000002</v>
      </c>
      <c r="E7476">
        <v>0.4552813</v>
      </c>
      <c r="F7476" t="s">
        <v>43</v>
      </c>
      <c r="G7476">
        <v>-163.3914</v>
      </c>
      <c r="H7476">
        <v>1.023307</v>
      </c>
      <c r="I7476">
        <v>138.12639999999999</v>
      </c>
      <c r="J7476">
        <v>-163.94370000000001</v>
      </c>
      <c r="K7476">
        <v>1.1098730000000001</v>
      </c>
      <c r="L7476">
        <v>138.1206</v>
      </c>
      <c r="M7476">
        <v>0.99979499999999999</v>
      </c>
      <c r="N7476">
        <v>0</v>
      </c>
      <c r="O7476">
        <v>-5.9091769999999998E-3</v>
      </c>
      <c r="P7476">
        <v>0.99273020000000001</v>
      </c>
      <c r="Q7476">
        <v>-3.2514849999999998E-2</v>
      </c>
      <c r="R7476">
        <v>-0.1158863</v>
      </c>
      <c r="S7476">
        <v>3.0100859999999998</v>
      </c>
      <c r="T7476">
        <v>-0.35835250000000002</v>
      </c>
      <c r="U7476">
        <v>4.333496E-3</v>
      </c>
      <c r="V7476">
        <v>0.1099796</v>
      </c>
      <c r="W7476">
        <v>-1.3572209999999999E-2</v>
      </c>
      <c r="X7476">
        <v>0.99384119999999998</v>
      </c>
      <c r="Y7476">
        <v>-7.2569319999999998E-3</v>
      </c>
      <c r="Z7476">
        <v>1.1315959999999999E-3</v>
      </c>
      <c r="AA7476">
        <v>0.999973</v>
      </c>
      <c r="AB7476">
        <v>16</v>
      </c>
      <c r="AC7476">
        <v>0.55230000000000201</v>
      </c>
      <c r="AD7476">
        <v>-8.6565999999999907E-2</v>
      </c>
      <c r="AE7476">
        <v>5.7999999999935803E-3</v>
      </c>
      <c r="AF7476">
        <v>-8.8468368089446407E-3</v>
      </c>
      <c r="AG7476">
        <v>-8.6565999999999907E-2</v>
      </c>
      <c r="AH7476">
        <v>0.53901576289401198</v>
      </c>
      <c r="AI7476">
        <v>99.122592250585001</v>
      </c>
      <c r="AJ7476">
        <v>90.940308127529704</v>
      </c>
      <c r="AK7476">
        <v>0.54599444276085596</v>
      </c>
      <c r="AL7476">
        <v>90.777654208818504</v>
      </c>
      <c r="AM7476">
        <v>83.685276557651093</v>
      </c>
      <c r="AN7476">
        <v>1.00000002405894</v>
      </c>
    </row>
    <row r="7477" spans="1:40" x14ac:dyDescent="0.25">
      <c r="A7477" t="str">
        <f>"20190312161504195"</f>
        <v>20190312161504195</v>
      </c>
      <c r="B7477" t="str">
        <f>"1552378504184219"</f>
        <v>1552378504184219</v>
      </c>
      <c r="C7477" t="s">
        <v>40</v>
      </c>
      <c r="D7477">
        <v>6.0066600000000001</v>
      </c>
      <c r="E7477">
        <v>0.45460479999999998</v>
      </c>
      <c r="F7477" t="s">
        <v>43</v>
      </c>
      <c r="G7477">
        <v>-163.10589999999999</v>
      </c>
      <c r="H7477">
        <v>1.0113259999999999</v>
      </c>
      <c r="I7477">
        <v>138.1215</v>
      </c>
      <c r="J7477">
        <v>-163.7731</v>
      </c>
      <c r="K7477">
        <v>1.1100179999999999</v>
      </c>
      <c r="L7477">
        <v>138.1155</v>
      </c>
      <c r="M7477">
        <v>0.99976980000000004</v>
      </c>
      <c r="N7477">
        <v>0</v>
      </c>
      <c r="O7477">
        <v>-9.0703490000000001E-3</v>
      </c>
      <c r="P7477">
        <v>0.99249560000000003</v>
      </c>
      <c r="Q7477">
        <v>-3.2382729999999998E-2</v>
      </c>
      <c r="R7477">
        <v>-0.1179138</v>
      </c>
      <c r="S7477">
        <v>3.0107569999999999</v>
      </c>
      <c r="T7477">
        <v>-0.35414600000000002</v>
      </c>
      <c r="U7477">
        <v>3.28064E-3</v>
      </c>
      <c r="V7477">
        <v>0.1088725</v>
      </c>
      <c r="W7477">
        <v>-1.3326030000000001E-2</v>
      </c>
      <c r="X7477">
        <v>0.99396640000000003</v>
      </c>
      <c r="Y7477">
        <v>-1.0029959999999999E-2</v>
      </c>
      <c r="Z7477">
        <v>1.651313E-3</v>
      </c>
      <c r="AA7477">
        <v>0.99994830000000001</v>
      </c>
      <c r="AB7477">
        <v>16</v>
      </c>
      <c r="AC7477">
        <v>0.66720000000000801</v>
      </c>
      <c r="AD7477">
        <v>-9.8692000000000002E-2</v>
      </c>
      <c r="AE7477">
        <v>6.0000000000002196E-3</v>
      </c>
      <c r="AF7477">
        <v>-1.1794586901473701E-2</v>
      </c>
      <c r="AG7477">
        <v>-9.8692000000000002E-2</v>
      </c>
      <c r="AH7477">
        <v>0.65283508613465302</v>
      </c>
      <c r="AI7477">
        <v>98.595184128283194</v>
      </c>
      <c r="AJ7477">
        <v>91.035034043083598</v>
      </c>
      <c r="AK7477">
        <v>0.660358139824608</v>
      </c>
      <c r="AL7477">
        <v>90.763547873358604</v>
      </c>
      <c r="AM7477">
        <v>83.749118540342394</v>
      </c>
      <c r="AN7477">
        <v>1.0000000043303801</v>
      </c>
    </row>
    <row r="7478" spans="1:40" x14ac:dyDescent="0.25">
      <c r="A7478" t="str">
        <f>"20190312161504218"</f>
        <v>20190312161504218</v>
      </c>
      <c r="B7478" t="str">
        <f>"1552378504214474"</f>
        <v>1552378504214474</v>
      </c>
      <c r="C7478" t="s">
        <v>40</v>
      </c>
      <c r="D7478">
        <v>6.1219440000000001</v>
      </c>
      <c r="E7478">
        <v>0.45406390000000002</v>
      </c>
      <c r="F7478" t="s">
        <v>43</v>
      </c>
      <c r="G7478">
        <v>-162.9615</v>
      </c>
      <c r="H7478">
        <v>1.012864</v>
      </c>
      <c r="I7478">
        <v>138.11600000000001</v>
      </c>
      <c r="J7478">
        <v>-163.60759999999999</v>
      </c>
      <c r="K7478">
        <v>1.1101430000000001</v>
      </c>
      <c r="L7478">
        <v>138.1104</v>
      </c>
      <c r="M7478">
        <v>0.99973820000000002</v>
      </c>
      <c r="N7478">
        <v>0</v>
      </c>
      <c r="O7478">
        <v>-1.193581E-2</v>
      </c>
      <c r="P7478">
        <v>0.9922784</v>
      </c>
      <c r="Q7478">
        <v>-3.2692499999999999E-2</v>
      </c>
      <c r="R7478">
        <v>-0.1196446</v>
      </c>
      <c r="S7478">
        <v>3.0112299999999999</v>
      </c>
      <c r="T7478">
        <v>-0.3603191</v>
      </c>
      <c r="U7478">
        <v>2.4108889999999998E-3</v>
      </c>
      <c r="V7478">
        <v>0.1077606</v>
      </c>
      <c r="W7478">
        <v>-1.352545E-2</v>
      </c>
      <c r="X7478">
        <v>0.99408479999999999</v>
      </c>
      <c r="Y7478">
        <v>-1.2563879999999999E-2</v>
      </c>
      <c r="Z7478">
        <v>2.1724069999999999E-3</v>
      </c>
      <c r="AA7478">
        <v>0.99991870000000005</v>
      </c>
      <c r="AB7478">
        <v>16</v>
      </c>
      <c r="AC7478">
        <v>0.64609999999998902</v>
      </c>
      <c r="AD7478">
        <v>-9.7279000000000102E-2</v>
      </c>
      <c r="AE7478">
        <v>5.6000000000153696E-3</v>
      </c>
      <c r="AF7478">
        <v>-1.30177167734778E-2</v>
      </c>
      <c r="AG7478">
        <v>-9.7279000000000102E-2</v>
      </c>
      <c r="AH7478">
        <v>0.63166867378651004</v>
      </c>
      <c r="AI7478">
        <v>98.753122572165296</v>
      </c>
      <c r="AJ7478">
        <v>91.180610495348205</v>
      </c>
      <c r="AK7478">
        <v>0.63924797867040895</v>
      </c>
      <c r="AL7478">
        <v>90.7749748796479</v>
      </c>
      <c r="AM7478">
        <v>83.813191472349899</v>
      </c>
      <c r="AN7478">
        <v>0.99999993715054902</v>
      </c>
    </row>
    <row r="7479" spans="1:40" x14ac:dyDescent="0.25">
      <c r="A7479" t="str">
        <f>"20190312161504239"</f>
        <v>20190312161504239</v>
      </c>
      <c r="B7479" t="str">
        <f>"1552378504233995"</f>
        <v>1552378504233995</v>
      </c>
      <c r="C7479" t="s">
        <v>40</v>
      </c>
      <c r="D7479">
        <v>6.0910539999999997</v>
      </c>
      <c r="E7479">
        <v>0.45350499999999999</v>
      </c>
      <c r="F7479" t="s">
        <v>43</v>
      </c>
      <c r="G7479">
        <v>-162.81819999999999</v>
      </c>
      <c r="H7479">
        <v>1.0147489999999999</v>
      </c>
      <c r="I7479">
        <v>138.11070000000001</v>
      </c>
      <c r="J7479">
        <v>-163.46109999999999</v>
      </c>
      <c r="K7479">
        <v>1.110242</v>
      </c>
      <c r="L7479">
        <v>138.10570000000001</v>
      </c>
      <c r="M7479">
        <v>0.99970559999999997</v>
      </c>
      <c r="N7479">
        <v>0</v>
      </c>
      <c r="O7479">
        <v>-1.4315369999999999E-2</v>
      </c>
      <c r="P7479">
        <v>0.99214820000000004</v>
      </c>
      <c r="Q7479">
        <v>-3.2685989999999998E-2</v>
      </c>
      <c r="R7479">
        <v>-0.1207218</v>
      </c>
      <c r="S7479">
        <v>3.01152</v>
      </c>
      <c r="T7479">
        <v>-0.36384119999999998</v>
      </c>
      <c r="U7479">
        <v>1.3580319999999999E-3</v>
      </c>
      <c r="V7479">
        <v>0.10647719999999999</v>
      </c>
      <c r="W7479">
        <v>-1.3423650000000001E-2</v>
      </c>
      <c r="X7479">
        <v>0.99422449999999996</v>
      </c>
      <c r="Y7479">
        <v>-1.4559040000000001E-2</v>
      </c>
      <c r="Z7479">
        <v>2.599854E-3</v>
      </c>
      <c r="AA7479">
        <v>0.99989059999999996</v>
      </c>
      <c r="AB7479">
        <v>16</v>
      </c>
      <c r="AC7479">
        <v>0.64289999999999703</v>
      </c>
      <c r="AD7479">
        <v>-9.5492999999999995E-2</v>
      </c>
      <c r="AE7479">
        <v>4.9999999999954499E-3</v>
      </c>
      <c r="AF7479">
        <v>-1.3897998280226399E-2</v>
      </c>
      <c r="AG7479">
        <v>-9.5492999999999995E-2</v>
      </c>
      <c r="AH7479">
        <v>0.62888844596182203</v>
      </c>
      <c r="AI7479">
        <v>98.631995844288497</v>
      </c>
      <c r="AJ7479">
        <v>91.265990902860693</v>
      </c>
      <c r="AK7479">
        <v>0.63624896453312396</v>
      </c>
      <c r="AL7479">
        <v>90.769141612196805</v>
      </c>
      <c r="AM7479">
        <v>83.887165909066098</v>
      </c>
      <c r="AN7479">
        <v>0.99999997244970495</v>
      </c>
    </row>
    <row r="7480" spans="1:40" x14ac:dyDescent="0.25">
      <c r="A7480" t="str">
        <f>"20190312161504282"</f>
        <v>20190312161504282</v>
      </c>
      <c r="B7480" t="str">
        <f>"1552378504274011"</f>
        <v>1552378504274011</v>
      </c>
      <c r="C7480" t="s">
        <v>40</v>
      </c>
      <c r="D7480">
        <v>6.106636</v>
      </c>
      <c r="E7480">
        <v>0.45515349999999999</v>
      </c>
      <c r="F7480" t="s">
        <v>43</v>
      </c>
      <c r="G7480">
        <v>-162.6764</v>
      </c>
      <c r="H7480">
        <v>1.0162439999999999</v>
      </c>
      <c r="I7480">
        <v>138.1062</v>
      </c>
      <c r="J7480">
        <v>-163.16079999999999</v>
      </c>
      <c r="K7480">
        <v>1.1104290000000001</v>
      </c>
      <c r="L7480">
        <v>138.09540000000001</v>
      </c>
      <c r="M7480">
        <v>0.99963049999999998</v>
      </c>
      <c r="N7480">
        <v>0</v>
      </c>
      <c r="O7480">
        <v>-1.8721499999999999E-2</v>
      </c>
      <c r="P7480">
        <v>0.99182510000000002</v>
      </c>
      <c r="Q7480">
        <v>-3.1667180000000003E-2</v>
      </c>
      <c r="R7480">
        <v>-0.12361460000000001</v>
      </c>
      <c r="S7480">
        <v>3.0122070000000001</v>
      </c>
      <c r="T7480">
        <v>-0.36077189999999998</v>
      </c>
      <c r="U7480">
        <v>2.746582E-3</v>
      </c>
      <c r="V7480">
        <v>0.1050012</v>
      </c>
      <c r="W7480">
        <v>-1.2237430000000001E-2</v>
      </c>
      <c r="X7480">
        <v>0.99439679999999997</v>
      </c>
      <c r="Y7480">
        <v>-1.9364570000000001E-2</v>
      </c>
      <c r="Z7480">
        <v>3.3901460000000001E-3</v>
      </c>
      <c r="AA7480">
        <v>0.9998068</v>
      </c>
      <c r="AB7480">
        <v>16</v>
      </c>
      <c r="AC7480">
        <v>0.484399999999993</v>
      </c>
      <c r="AD7480">
        <v>-9.4184999999999894E-2</v>
      </c>
      <c r="AE7480">
        <v>1.0799999999989001E-2</v>
      </c>
      <c r="AF7480">
        <v>-1.91451305405443E-2</v>
      </c>
      <c r="AG7480">
        <v>-9.4184999999999894E-2</v>
      </c>
      <c r="AH7480">
        <v>0.466485860110251</v>
      </c>
      <c r="AI7480">
        <v>101.405397184709</v>
      </c>
      <c r="AJ7480">
        <v>92.350167516197502</v>
      </c>
      <c r="AK7480">
        <v>0.47628395724737099</v>
      </c>
      <c r="AL7480">
        <v>90.701170591535003</v>
      </c>
      <c r="AM7480">
        <v>83.972311283854395</v>
      </c>
      <c r="AN7480">
        <v>1.00000000127234</v>
      </c>
    </row>
    <row r="7481" spans="1:40" x14ac:dyDescent="0.25">
      <c r="A7481" t="str">
        <f>"20190312161504304"</f>
        <v>20190312161504304</v>
      </c>
      <c r="B7481" t="str">
        <f>"1552378504294507"</f>
        <v>1552378504294507</v>
      </c>
      <c r="C7481" t="s">
        <v>40</v>
      </c>
      <c r="D7481">
        <v>5.4168839999999996</v>
      </c>
      <c r="E7481">
        <v>0.48917060000000001</v>
      </c>
      <c r="F7481" t="s">
        <v>43</v>
      </c>
      <c r="G7481">
        <v>-162.39689999999999</v>
      </c>
      <c r="H7481">
        <v>1.0192920000000001</v>
      </c>
      <c r="I7481">
        <v>138.09030000000001</v>
      </c>
      <c r="J7481">
        <v>-163.01159999999999</v>
      </c>
      <c r="K7481">
        <v>1.1105499999999999</v>
      </c>
      <c r="L7481">
        <v>138.09010000000001</v>
      </c>
      <c r="M7481">
        <v>0.99958800000000003</v>
      </c>
      <c r="N7481">
        <v>0</v>
      </c>
      <c r="O7481">
        <v>-2.0696180000000002E-2</v>
      </c>
      <c r="P7481">
        <v>0.99180710000000005</v>
      </c>
      <c r="Q7481">
        <v>-3.1496730000000001E-2</v>
      </c>
      <c r="R7481">
        <v>-0.1238006</v>
      </c>
      <c r="S7481">
        <v>3.0107879999999998</v>
      </c>
      <c r="T7481">
        <v>-0.3591645</v>
      </c>
      <c r="U7481">
        <v>-1.9882199999999999E-2</v>
      </c>
      <c r="V7481">
        <v>0.10322679999999999</v>
      </c>
      <c r="W7481">
        <v>-1.18637E-2</v>
      </c>
      <c r="X7481">
        <v>0.99458709999999995</v>
      </c>
      <c r="Y7481">
        <v>-1.385278E-2</v>
      </c>
      <c r="Z7481">
        <v>3.2838030000000001E-3</v>
      </c>
      <c r="AA7481">
        <v>0.99989870000000003</v>
      </c>
      <c r="AB7481">
        <v>16</v>
      </c>
      <c r="AC7481">
        <v>0.61469999999999902</v>
      </c>
      <c r="AD7481">
        <v>-9.1257999999999798E-2</v>
      </c>
      <c r="AE7481">
        <v>2.0000000000663901E-4</v>
      </c>
      <c r="AF7481">
        <v>-1.26457017661453E-2</v>
      </c>
      <c r="AG7481">
        <v>-9.1257999999999798E-2</v>
      </c>
      <c r="AH7481">
        <v>0.60131113170419404</v>
      </c>
      <c r="AI7481">
        <v>98.627764198552896</v>
      </c>
      <c r="AJ7481">
        <v>91.204764913629205</v>
      </c>
      <c r="AK7481">
        <v>0.60832804756030801</v>
      </c>
      <c r="AL7481">
        <v>90.679755879195497</v>
      </c>
      <c r="AM7481">
        <v>84.074567036783904</v>
      </c>
      <c r="AN7481">
        <v>1.0000000095511601</v>
      </c>
    </row>
    <row r="7482" spans="1:40" x14ac:dyDescent="0.25">
      <c r="A7482" t="str">
        <f>"20190312161504328"</f>
        <v>20190312161504328</v>
      </c>
      <c r="B7482" t="str">
        <f>"1552378504314027"</f>
        <v>1552378504314027</v>
      </c>
      <c r="C7482" t="s">
        <v>40</v>
      </c>
      <c r="D7482">
        <v>5.993093</v>
      </c>
      <c r="E7482">
        <v>0.49009370000000002</v>
      </c>
      <c r="F7482" t="s">
        <v>42</v>
      </c>
      <c r="G7482">
        <v>-122.5915</v>
      </c>
      <c r="H7482" s="1">
        <v>-4.1166950000000004E-6</v>
      </c>
      <c r="I7482">
        <v>134.22579999999999</v>
      </c>
      <c r="J7482">
        <v>-162.8492</v>
      </c>
      <c r="K7482">
        <v>1.110673</v>
      </c>
      <c r="L7482">
        <v>138.08420000000001</v>
      </c>
      <c r="M7482">
        <v>0.99953950000000003</v>
      </c>
      <c r="N7482">
        <v>0</v>
      </c>
      <c r="O7482">
        <v>-2.2710359999999999E-2</v>
      </c>
      <c r="P7482">
        <v>0.99157819999999997</v>
      </c>
      <c r="Q7482">
        <v>-3.2570139999999997E-2</v>
      </c>
      <c r="R7482">
        <v>-0.12534719999999999</v>
      </c>
      <c r="S7482">
        <v>2.986526</v>
      </c>
      <c r="T7482">
        <v>-8.2055810000000007E-2</v>
      </c>
      <c r="U7482">
        <v>-0.28552250000000001</v>
      </c>
      <c r="V7482">
        <v>0.1027757</v>
      </c>
      <c r="W7482">
        <v>-1.2682870000000001E-2</v>
      </c>
      <c r="X7482">
        <v>0.9946237</v>
      </c>
      <c r="Y7482">
        <v>7.2514560000000006E-2</v>
      </c>
      <c r="Z7482">
        <v>-3.713724E-4</v>
      </c>
      <c r="AA7482">
        <v>0.99736729999999996</v>
      </c>
      <c r="AB7482">
        <v>15</v>
      </c>
      <c r="AC7482">
        <v>40.2577</v>
      </c>
      <c r="AD7482">
        <v>-1.110677116695</v>
      </c>
      <c r="AE7482">
        <v>-3.8584000000000098</v>
      </c>
      <c r="AF7482">
        <v>2.9407343912974899</v>
      </c>
      <c r="AG7482">
        <v>-1.110677116695</v>
      </c>
      <c r="AH7482">
        <v>40.304557090371198</v>
      </c>
      <c r="AI7482">
        <v>91.574323776980293</v>
      </c>
      <c r="AJ7482">
        <v>85.826932728745206</v>
      </c>
      <c r="AK7482">
        <v>40.426956905865502</v>
      </c>
      <c r="AL7482">
        <v>90.726694404531898</v>
      </c>
      <c r="AM7482">
        <v>84.100493640008807</v>
      </c>
      <c r="AN7482">
        <v>1.0000000021518001</v>
      </c>
    </row>
    <row r="7483" spans="1:40" x14ac:dyDescent="0.25">
      <c r="A7483" t="str">
        <f>"20190312161504349"</f>
        <v>20190312161504349</v>
      </c>
      <c r="B7483" t="str">
        <f>"1552378504344282"</f>
        <v>1552378504344282</v>
      </c>
      <c r="C7483" t="s">
        <v>40</v>
      </c>
      <c r="D7483">
        <v>6.0719479999999999</v>
      </c>
      <c r="E7483">
        <v>0.49062939999999999</v>
      </c>
      <c r="F7483" t="s">
        <v>42</v>
      </c>
      <c r="G7483">
        <v>-127.09739999999999</v>
      </c>
      <c r="H7483" s="1">
        <v>-2.3298429999999998E-6</v>
      </c>
      <c r="I7483">
        <v>134.5198</v>
      </c>
      <c r="J7483">
        <v>-162.71080000000001</v>
      </c>
      <c r="K7483">
        <v>1.110692</v>
      </c>
      <c r="L7483">
        <v>138.07900000000001</v>
      </c>
      <c r="M7483">
        <v>0.99950209999999995</v>
      </c>
      <c r="N7483">
        <v>0</v>
      </c>
      <c r="O7483">
        <v>-2.431328E-2</v>
      </c>
      <c r="P7483">
        <v>0.99127259999999995</v>
      </c>
      <c r="Q7483">
        <v>-3.4452770000000001E-2</v>
      </c>
      <c r="R7483">
        <v>-0.12724769999999999</v>
      </c>
      <c r="S7483">
        <v>2.9848180000000002</v>
      </c>
      <c r="T7483">
        <v>-9.2727069999999995E-2</v>
      </c>
      <c r="U7483">
        <v>-0.29757689999999998</v>
      </c>
      <c r="V7483">
        <v>0.1030877</v>
      </c>
      <c r="W7483">
        <v>-1.4561330000000001E-2</v>
      </c>
      <c r="X7483">
        <v>0.9945657</v>
      </c>
      <c r="Y7483">
        <v>7.49533E-2</v>
      </c>
      <c r="Z7483">
        <v>-4.0795849999999999E-4</v>
      </c>
      <c r="AA7483">
        <v>0.99718700000000005</v>
      </c>
      <c r="AB7483">
        <v>15</v>
      </c>
      <c r="AC7483">
        <v>35.613399999999999</v>
      </c>
      <c r="AD7483">
        <v>-1.1106943298430001</v>
      </c>
      <c r="AE7483">
        <v>-3.5592000000000001</v>
      </c>
      <c r="AF7483">
        <v>2.6895036172865798</v>
      </c>
      <c r="AG7483">
        <v>-1.1106943298430001</v>
      </c>
      <c r="AH7483">
        <v>35.655083933238203</v>
      </c>
      <c r="AI7483">
        <v>91.779197107805402</v>
      </c>
      <c r="AJ7483">
        <v>85.686283151409697</v>
      </c>
      <c r="AK7483">
        <v>35.773622711265901</v>
      </c>
      <c r="AL7483">
        <v>90.834332223317304</v>
      </c>
      <c r="AM7483">
        <v>84.082368546222099</v>
      </c>
      <c r="AN7483">
        <v>1.0000000189195699</v>
      </c>
    </row>
    <row r="7484" spans="1:40" x14ac:dyDescent="0.25">
      <c r="A7484" t="str">
        <f>"20190312161504371"</f>
        <v>20190312161504371</v>
      </c>
      <c r="B7484" t="str">
        <f>"1552378504363804"</f>
        <v>1552378504363804</v>
      </c>
      <c r="C7484" t="s">
        <v>40</v>
      </c>
      <c r="D7484">
        <v>6.1204960000000002</v>
      </c>
      <c r="E7484">
        <v>0.49068610000000001</v>
      </c>
      <c r="F7484" t="s">
        <v>42</v>
      </c>
      <c r="G7484">
        <v>-129.21680000000001</v>
      </c>
      <c r="H7484" s="1">
        <v>-1.5802699999999999E-6</v>
      </c>
      <c r="I7484">
        <v>134.62639999999999</v>
      </c>
      <c r="J7484">
        <v>-162.55869999999999</v>
      </c>
      <c r="K7484">
        <v>1.1106529999999999</v>
      </c>
      <c r="L7484">
        <v>138.07320000000001</v>
      </c>
      <c r="M7484">
        <v>0.9994634</v>
      </c>
      <c r="N7484">
        <v>0</v>
      </c>
      <c r="O7484">
        <v>-2.5978419999999999E-2</v>
      </c>
      <c r="P7484">
        <v>0.99086580000000002</v>
      </c>
      <c r="Q7484">
        <v>-3.5454430000000002E-2</v>
      </c>
      <c r="R7484">
        <v>-0.13010939999999999</v>
      </c>
      <c r="S7484">
        <v>2.9834900000000002</v>
      </c>
      <c r="T7484">
        <v>-9.8935250000000002E-2</v>
      </c>
      <c r="U7484">
        <v>-0.30754090000000001</v>
      </c>
      <c r="V7484">
        <v>0.1043019</v>
      </c>
      <c r="W7484">
        <v>-1.5729489999999999E-2</v>
      </c>
      <c r="X7484">
        <v>0.99442129999999995</v>
      </c>
      <c r="Y7484">
        <v>7.6628799999999997E-2</v>
      </c>
      <c r="Z7484">
        <v>-4.0806849999999999E-4</v>
      </c>
      <c r="AA7484">
        <v>0.99705960000000005</v>
      </c>
      <c r="AB7484">
        <v>15</v>
      </c>
      <c r="AC7484">
        <v>33.341899999999903</v>
      </c>
      <c r="AD7484">
        <v>-1.1106545802700001</v>
      </c>
      <c r="AE7484">
        <v>-3.4468000000000201</v>
      </c>
      <c r="AF7484">
        <v>2.5764652518132101</v>
      </c>
      <c r="AG7484">
        <v>-1.1106545802700001</v>
      </c>
      <c r="AH7484">
        <v>33.383551375781003</v>
      </c>
      <c r="AI7484">
        <v>91.899854409026304</v>
      </c>
      <c r="AJ7484">
        <v>85.586792703525802</v>
      </c>
      <c r="AK7484">
        <v>33.501242204579299</v>
      </c>
      <c r="AL7484">
        <v>90.901270547111395</v>
      </c>
      <c r="AM7484">
        <v>84.012309060207102</v>
      </c>
      <c r="AN7484">
        <v>1.0000000125464801</v>
      </c>
    </row>
    <row r="7485" spans="1:40" x14ac:dyDescent="0.25">
      <c r="A7485" t="str">
        <f>"20190312161504394"</f>
        <v>20190312161504394</v>
      </c>
      <c r="B7485" t="str">
        <f>"1552378504384299"</f>
        <v>1552378504384299</v>
      </c>
      <c r="C7485" t="s">
        <v>40</v>
      </c>
      <c r="D7485">
        <v>6.1711489999999998</v>
      </c>
      <c r="E7485">
        <v>0.4905639</v>
      </c>
      <c r="F7485" t="s">
        <v>42</v>
      </c>
      <c r="G7485">
        <v>-131.34819999999999</v>
      </c>
      <c r="H7485" s="1">
        <v>-4.5554670000000004E-6</v>
      </c>
      <c r="I7485">
        <v>134.75919999999999</v>
      </c>
      <c r="J7485">
        <v>-162.41130000000001</v>
      </c>
      <c r="K7485">
        <v>1.1106499999999999</v>
      </c>
      <c r="L7485">
        <v>138.06739999999999</v>
      </c>
      <c r="M7485">
        <v>0.99942390000000003</v>
      </c>
      <c r="N7485">
        <v>0</v>
      </c>
      <c r="O7485">
        <v>-2.7549089999999998E-2</v>
      </c>
      <c r="P7485">
        <v>0.99060729999999997</v>
      </c>
      <c r="Q7485">
        <v>-3.462867E-2</v>
      </c>
      <c r="R7485">
        <v>-0.1322815</v>
      </c>
      <c r="S7485">
        <v>2.9823</v>
      </c>
      <c r="T7485">
        <v>-0.10612820000000001</v>
      </c>
      <c r="U7485">
        <v>-0.31666559999999999</v>
      </c>
      <c r="V7485">
        <v>0.1049197</v>
      </c>
      <c r="W7485">
        <v>-1.502267E-2</v>
      </c>
      <c r="X7485">
        <v>0.99436720000000001</v>
      </c>
      <c r="Y7485">
        <v>7.8115959999999998E-2</v>
      </c>
      <c r="Z7485">
        <v>-4.0853690000000002E-4</v>
      </c>
      <c r="AA7485">
        <v>0.99694419999999995</v>
      </c>
      <c r="AB7485">
        <v>15</v>
      </c>
      <c r="AC7485">
        <v>31.063099999999999</v>
      </c>
      <c r="AD7485">
        <v>-1.110654555467</v>
      </c>
      <c r="AE7485">
        <v>-3.3081999999999998</v>
      </c>
      <c r="AF7485">
        <v>2.44792123892617</v>
      </c>
      <c r="AG7485">
        <v>-1.110654555467</v>
      </c>
      <c r="AH7485">
        <v>31.1031447507888</v>
      </c>
      <c r="AI7485">
        <v>92.0387927018174</v>
      </c>
      <c r="AJ7485">
        <v>85.499907253648502</v>
      </c>
      <c r="AK7485">
        <v>31.219088476797101</v>
      </c>
      <c r="AL7485">
        <v>90.860767986974494</v>
      </c>
      <c r="AM7485">
        <v>83.976777486323499</v>
      </c>
      <c r="AN7485">
        <v>0.999999976248929</v>
      </c>
    </row>
    <row r="7486" spans="1:40" x14ac:dyDescent="0.25">
      <c r="A7486" t="str">
        <f>"20190312161504418"</f>
        <v>20190312161504418</v>
      </c>
      <c r="B7486" t="str">
        <f>"1552378504403818"</f>
        <v>1552378504403818</v>
      </c>
      <c r="C7486" t="s">
        <v>40</v>
      </c>
      <c r="D7486">
        <v>5.763617</v>
      </c>
      <c r="E7486">
        <v>0.4898362</v>
      </c>
      <c r="F7486" t="s">
        <v>42</v>
      </c>
      <c r="G7486">
        <v>-131.0257</v>
      </c>
      <c r="H7486" s="1">
        <v>-4.7087100000000002E-6</v>
      </c>
      <c r="I7486">
        <v>134.67519999999999</v>
      </c>
      <c r="J7486">
        <v>-162.2517</v>
      </c>
      <c r="K7486">
        <v>1.110676</v>
      </c>
      <c r="L7486">
        <v>138.0609</v>
      </c>
      <c r="M7486">
        <v>0.99937710000000002</v>
      </c>
      <c r="N7486">
        <v>0</v>
      </c>
      <c r="O7486">
        <v>-2.9220980000000001E-2</v>
      </c>
      <c r="P7486">
        <v>0.99024889999999999</v>
      </c>
      <c r="Q7486">
        <v>-3.3792160000000002E-2</v>
      </c>
      <c r="R7486">
        <v>-0.1351501</v>
      </c>
      <c r="S7486">
        <v>2.9817200000000001</v>
      </c>
      <c r="T7486">
        <v>-0.1055152</v>
      </c>
      <c r="U7486">
        <v>-0.32226559999999999</v>
      </c>
      <c r="V7486">
        <v>0.1061362</v>
      </c>
      <c r="W7486">
        <v>-1.4222520000000001E-2</v>
      </c>
      <c r="X7486">
        <v>0.99424990000000002</v>
      </c>
      <c r="Y7486">
        <v>7.8320920000000002E-2</v>
      </c>
      <c r="Z7486">
        <v>-3.5091560000000003E-4</v>
      </c>
      <c r="AA7486">
        <v>0.99692820000000004</v>
      </c>
      <c r="AB7486">
        <v>15</v>
      </c>
      <c r="AC7486">
        <v>31.225999999999999</v>
      </c>
      <c r="AD7486">
        <v>-1.1106807087099999</v>
      </c>
      <c r="AE7486">
        <v>-3.3857000000000101</v>
      </c>
      <c r="AF7486">
        <v>2.4685338468086302</v>
      </c>
      <c r="AG7486">
        <v>-1.1106807087099999</v>
      </c>
      <c r="AH7486">
        <v>31.272508340507901</v>
      </c>
      <c r="AI7486">
        <v>92.027771131890205</v>
      </c>
      <c r="AJ7486">
        <v>85.486645891061301</v>
      </c>
      <c r="AK7486">
        <v>31.389441678638899</v>
      </c>
      <c r="AL7486">
        <v>90.814917830277494</v>
      </c>
      <c r="AM7486">
        <v>83.906749632296695</v>
      </c>
      <c r="AN7486">
        <v>1.0000000183377999</v>
      </c>
    </row>
    <row r="7487" spans="1:40" x14ac:dyDescent="0.25">
      <c r="A7487" t="str">
        <f>"20190312161504441"</f>
        <v>20190312161504441</v>
      </c>
      <c r="B7487" t="str">
        <f>"1552378504434075"</f>
        <v>1552378504434075</v>
      </c>
      <c r="C7487" t="s">
        <v>40</v>
      </c>
      <c r="D7487">
        <v>6.0589570000000004</v>
      </c>
      <c r="E7487">
        <v>0.4896549</v>
      </c>
      <c r="F7487" t="s">
        <v>42</v>
      </c>
      <c r="G7487">
        <v>-130.0059</v>
      </c>
      <c r="H7487" s="1">
        <v>-5.1693419999999997E-6</v>
      </c>
      <c r="I7487">
        <v>134.54470000000001</v>
      </c>
      <c r="J7487">
        <v>-162.10409999999999</v>
      </c>
      <c r="K7487">
        <v>1.1107070000000001</v>
      </c>
      <c r="L7487">
        <v>138.0548</v>
      </c>
      <c r="M7487">
        <v>0.99933249999999996</v>
      </c>
      <c r="N7487">
        <v>0</v>
      </c>
      <c r="O7487">
        <v>-3.072225E-2</v>
      </c>
      <c r="P7487">
        <v>0.98987199999999997</v>
      </c>
      <c r="Q7487">
        <v>-3.4090839999999997E-2</v>
      </c>
      <c r="R7487">
        <v>-0.13780919999999999</v>
      </c>
      <c r="S7487">
        <v>2.9816739999999999</v>
      </c>
      <c r="T7487">
        <v>-0.1027013</v>
      </c>
      <c r="U7487">
        <v>-0.32513429999999999</v>
      </c>
      <c r="V7487">
        <v>0.10731309999999999</v>
      </c>
      <c r="W7487">
        <v>-1.454394E-2</v>
      </c>
      <c r="X7487">
        <v>0.99411890000000003</v>
      </c>
      <c r="Y7487">
        <v>7.7775689999999995E-2</v>
      </c>
      <c r="Z7487">
        <v>-2.807021E-4</v>
      </c>
      <c r="AA7487">
        <v>0.99697080000000005</v>
      </c>
      <c r="AB7487">
        <v>15</v>
      </c>
      <c r="AC7487">
        <v>32.098199999999899</v>
      </c>
      <c r="AD7487">
        <v>-1.1107121693419999</v>
      </c>
      <c r="AE7487">
        <v>-3.5100999999999898</v>
      </c>
      <c r="AF7487">
        <v>2.5191400355172902</v>
      </c>
      <c r="AG7487">
        <v>-1.1107121693419999</v>
      </c>
      <c r="AH7487">
        <v>32.152856608274597</v>
      </c>
      <c r="AI7487">
        <v>91.972441328948605</v>
      </c>
      <c r="AJ7487">
        <v>85.520092074112</v>
      </c>
      <c r="AK7487">
        <v>32.270511866314401</v>
      </c>
      <c r="AL7487">
        <v>90.833335753741906</v>
      </c>
      <c r="AM7487">
        <v>83.838895281836102</v>
      </c>
      <c r="AN7487">
        <v>1.0000000074797699</v>
      </c>
    </row>
    <row r="7488" spans="1:40" x14ac:dyDescent="0.25">
      <c r="A7488" t="str">
        <f>"20190312161504462"</f>
        <v>20190312161504462</v>
      </c>
      <c r="B7488" t="str">
        <f>"1552378504454573"</f>
        <v>1552378504454573</v>
      </c>
      <c r="C7488" t="s">
        <v>40</v>
      </c>
      <c r="D7488">
        <v>5.7600360000000004</v>
      </c>
      <c r="E7488">
        <v>0.48917539999999998</v>
      </c>
      <c r="F7488" t="s">
        <v>42</v>
      </c>
      <c r="G7488">
        <v>-130.95769999999999</v>
      </c>
      <c r="H7488" s="1">
        <v>-4.7534040000000002E-6</v>
      </c>
      <c r="I7488">
        <v>134.58770000000001</v>
      </c>
      <c r="J7488">
        <v>-161.97</v>
      </c>
      <c r="K7488">
        <v>1.1107290000000001</v>
      </c>
      <c r="L7488">
        <v>138.04910000000001</v>
      </c>
      <c r="M7488">
        <v>0.99929290000000004</v>
      </c>
      <c r="N7488">
        <v>0</v>
      </c>
      <c r="O7488">
        <v>-3.2015679999999998E-2</v>
      </c>
      <c r="P7488">
        <v>0.98979790000000001</v>
      </c>
      <c r="Q7488">
        <v>-3.383357E-2</v>
      </c>
      <c r="R7488">
        <v>-0.13840339999999901</v>
      </c>
      <c r="S7488">
        <v>2.9808500000000002</v>
      </c>
      <c r="T7488">
        <v>-0.10630009999999999</v>
      </c>
      <c r="U7488">
        <v>-0.33181759999999999</v>
      </c>
      <c r="V7488">
        <v>0.1066241</v>
      </c>
      <c r="W7488">
        <v>-1.4334059999999999E-2</v>
      </c>
      <c r="X7488">
        <v>0.99419610000000003</v>
      </c>
      <c r="Y7488">
        <v>7.8721730000000004E-2</v>
      </c>
      <c r="Z7488">
        <v>-2.614777E-4</v>
      </c>
      <c r="AA7488">
        <v>0.99689660000000002</v>
      </c>
      <c r="AB7488">
        <v>14</v>
      </c>
      <c r="AC7488">
        <v>31.0123</v>
      </c>
      <c r="AD7488">
        <v>-1.110733753404</v>
      </c>
      <c r="AE7488">
        <v>-3.46139999999999</v>
      </c>
      <c r="AF7488">
        <v>2.4634308313698101</v>
      </c>
      <c r="AG7488">
        <v>-1.110733753404</v>
      </c>
      <c r="AH7488">
        <v>31.067873637045199</v>
      </c>
      <c r="AI7488">
        <v>92.041156555141995</v>
      </c>
      <c r="AJ7488">
        <v>85.466393953666397</v>
      </c>
      <c r="AK7488">
        <v>31.1851726507855</v>
      </c>
      <c r="AL7488">
        <v>90.821309247795199</v>
      </c>
      <c r="AM7488">
        <v>83.878622862869193</v>
      </c>
      <c r="AN7488">
        <v>1.0000000246160501</v>
      </c>
    </row>
    <row r="7489" spans="1:40" x14ac:dyDescent="0.25">
      <c r="A7489" t="str">
        <f>"20190312161504483"</f>
        <v>20190312161504483</v>
      </c>
      <c r="B7489" t="str">
        <f>"1552378504474090"</f>
        <v>1552378504474090</v>
      </c>
      <c r="C7489" t="s">
        <v>40</v>
      </c>
      <c r="D7489">
        <v>6.2067110000000003</v>
      </c>
      <c r="E7489">
        <v>0.48898920000000001</v>
      </c>
      <c r="F7489" t="s">
        <v>42</v>
      </c>
      <c r="G7489">
        <v>-130.77459999999999</v>
      </c>
      <c r="H7489" s="1">
        <v>-4.8300749999999997E-6</v>
      </c>
      <c r="I7489">
        <v>134.59829999999999</v>
      </c>
      <c r="J7489">
        <v>-161.8366</v>
      </c>
      <c r="K7489">
        <v>1.110754</v>
      </c>
      <c r="L7489">
        <v>138.04339999999999</v>
      </c>
      <c r="M7489">
        <v>0.99925529999999996</v>
      </c>
      <c r="N7489">
        <v>0</v>
      </c>
      <c r="O7489">
        <v>-3.3214439999999998E-2</v>
      </c>
      <c r="P7489">
        <v>0.98986739999999995</v>
      </c>
      <c r="Q7489">
        <v>-3.2789279999999997E-2</v>
      </c>
      <c r="R7489">
        <v>-0.13815729999999901</v>
      </c>
      <c r="S7489">
        <v>2.9811860000000001</v>
      </c>
      <c r="T7489">
        <v>-0.10614709999999999</v>
      </c>
      <c r="U7489">
        <v>-0.32977289999999998</v>
      </c>
      <c r="V7489">
        <v>0.1051856</v>
      </c>
      <c r="W7489">
        <v>-1.3347589999999999E-2</v>
      </c>
      <c r="X7489">
        <v>0.994363</v>
      </c>
      <c r="Y7489">
        <v>7.6839999999999894E-2</v>
      </c>
      <c r="Z7489">
        <v>-1.852004E-4</v>
      </c>
      <c r="AA7489">
        <v>0.99704340000000002</v>
      </c>
      <c r="AB7489">
        <v>14</v>
      </c>
      <c r="AC7489">
        <v>31.062000000000001</v>
      </c>
      <c r="AD7489">
        <v>-1.110758830075</v>
      </c>
      <c r="AE7489">
        <v>-3.4450999999999898</v>
      </c>
      <c r="AF7489">
        <v>2.4082504026437102</v>
      </c>
      <c r="AG7489">
        <v>-1.110758830075</v>
      </c>
      <c r="AH7489">
        <v>31.119993337544798</v>
      </c>
      <c r="AI7489">
        <v>92.038089054509697</v>
      </c>
      <c r="AJ7489">
        <v>85.574930627990398</v>
      </c>
      <c r="AK7489">
        <v>31.232794311576701</v>
      </c>
      <c r="AL7489">
        <v>90.764783304819403</v>
      </c>
      <c r="AM7489">
        <v>83.961600040264599</v>
      </c>
      <c r="AN7489">
        <v>0.99999997218758296</v>
      </c>
    </row>
    <row r="7490" spans="1:40" x14ac:dyDescent="0.25">
      <c r="A7490" t="str">
        <f>"20190312161504505"</f>
        <v>20190312161504505</v>
      </c>
      <c r="B7490" t="str">
        <f>"1552378504494588"</f>
        <v>1552378504494588</v>
      </c>
      <c r="C7490" t="s">
        <v>40</v>
      </c>
      <c r="D7490">
        <v>5.7520280000000001</v>
      </c>
      <c r="E7490">
        <v>0.48875420000000003</v>
      </c>
      <c r="F7490" t="s">
        <v>42</v>
      </c>
      <c r="G7490">
        <v>-130.4041</v>
      </c>
      <c r="H7490" s="1">
        <v>-4.99070999999999E-6</v>
      </c>
      <c r="I7490">
        <v>134.58869999999999</v>
      </c>
      <c r="J7490">
        <v>-161.69839999999999</v>
      </c>
      <c r="K7490">
        <v>1.1108070000000001</v>
      </c>
      <c r="L7490">
        <v>138.03739999999999</v>
      </c>
      <c r="M7490">
        <v>0.99921789999999999</v>
      </c>
      <c r="N7490">
        <v>0</v>
      </c>
      <c r="O7490">
        <v>-3.4354450000000002E-2</v>
      </c>
      <c r="P7490">
        <v>0.98994090000000001</v>
      </c>
      <c r="Q7490">
        <v>-3.2097939999999998E-2</v>
      </c>
      <c r="R7490">
        <v>-0.13779340000000001</v>
      </c>
      <c r="S7490">
        <v>2.9814910000000001</v>
      </c>
      <c r="T7490">
        <v>-0.10535940000000001</v>
      </c>
      <c r="U7490">
        <v>-0.32768249999999999</v>
      </c>
      <c r="V7490">
        <v>0.1036874</v>
      </c>
      <c r="W7490">
        <v>-1.2693070000000001E-2</v>
      </c>
      <c r="X7490">
        <v>0.99452890000000005</v>
      </c>
      <c r="Y7490">
        <v>7.5002810000000003E-2</v>
      </c>
      <c r="Z7490">
        <v>-1.11354E-4</v>
      </c>
      <c r="AA7490">
        <v>0.99718329999999999</v>
      </c>
      <c r="AB7490">
        <v>14</v>
      </c>
      <c r="AC7490">
        <v>31.2943</v>
      </c>
      <c r="AD7490">
        <v>-1.11081199070999</v>
      </c>
      <c r="AE7490">
        <v>-3.4487000000000001</v>
      </c>
      <c r="AF7490">
        <v>2.3684106373897098</v>
      </c>
      <c r="AG7490">
        <v>-1.11081199070999</v>
      </c>
      <c r="AH7490">
        <v>31.355289330795301</v>
      </c>
      <c r="AI7490">
        <v>92.023188799228706</v>
      </c>
      <c r="AJ7490">
        <v>85.680386352981699</v>
      </c>
      <c r="AK7490">
        <v>31.464224783774501</v>
      </c>
      <c r="AL7490">
        <v>90.727278897775193</v>
      </c>
      <c r="AM7490">
        <v>84.047971212120004</v>
      </c>
      <c r="AN7490">
        <v>0.99999996193999596</v>
      </c>
    </row>
    <row r="7491" spans="1:40" x14ac:dyDescent="0.25">
      <c r="A7491" t="str">
        <f>"20190312161504527"</f>
        <v>20190312161504527</v>
      </c>
      <c r="B7491" t="str">
        <f>"1552378504514106"</f>
        <v>1552378504514106</v>
      </c>
      <c r="C7491" t="s">
        <v>40</v>
      </c>
      <c r="D7491">
        <v>6.2002949999999997</v>
      </c>
      <c r="E7491">
        <v>0.48849039999999999</v>
      </c>
      <c r="F7491" t="s">
        <v>42</v>
      </c>
      <c r="G7491">
        <v>-129.37180000000001</v>
      </c>
      <c r="H7491" s="1">
        <v>-1.5561649999999999E-6</v>
      </c>
      <c r="I7491">
        <v>134.51859999999999</v>
      </c>
      <c r="J7491">
        <v>-161.56229999999999</v>
      </c>
      <c r="K7491">
        <v>1.1108769999999999</v>
      </c>
      <c r="L7491">
        <v>138.03139999999999</v>
      </c>
      <c r="M7491">
        <v>0.99918300000000004</v>
      </c>
      <c r="N7491">
        <v>0</v>
      </c>
      <c r="O7491">
        <v>-3.5365000000000001E-2</v>
      </c>
      <c r="P7491">
        <v>0.98987349999999996</v>
      </c>
      <c r="Q7491">
        <v>-3.262955E-2</v>
      </c>
      <c r="R7491">
        <v>-0.13815089999999999</v>
      </c>
      <c r="S7491">
        <v>2.981995</v>
      </c>
      <c r="T7491">
        <v>-0.1024675</v>
      </c>
      <c r="U7491">
        <v>-0.32458500000000001</v>
      </c>
      <c r="V7491">
        <v>0.1030433</v>
      </c>
      <c r="W7491">
        <v>-1.323093E-2</v>
      </c>
      <c r="X7491">
        <v>0.9945889</v>
      </c>
      <c r="Y7491">
        <v>7.2955450000000005E-2</v>
      </c>
      <c r="Z7491" s="1">
        <v>-3.8649889999999997E-5</v>
      </c>
      <c r="AA7491">
        <v>0.99733519999999998</v>
      </c>
      <c r="AB7491">
        <v>14</v>
      </c>
      <c r="AC7491">
        <v>32.190499999999901</v>
      </c>
      <c r="AD7491">
        <v>-1.1108785561650001</v>
      </c>
      <c r="AE7491">
        <v>-3.5127999999999902</v>
      </c>
      <c r="AF7491">
        <v>2.3691786021166399</v>
      </c>
      <c r="AG7491">
        <v>-1.1108785561650001</v>
      </c>
      <c r="AH7491">
        <v>32.256647295020898</v>
      </c>
      <c r="AI7491">
        <v>91.967120821249495</v>
      </c>
      <c r="AJ7491">
        <v>85.799295970036397</v>
      </c>
      <c r="AK7491">
        <v>32.362607328994002</v>
      </c>
      <c r="AL7491">
        <v>90.758098545168593</v>
      </c>
      <c r="AM7491">
        <v>84.085036201093502</v>
      </c>
      <c r="AN7491">
        <v>1.00000002959338</v>
      </c>
    </row>
    <row r="7492" spans="1:40" x14ac:dyDescent="0.25">
      <c r="A7492" t="str">
        <f>"20190312161504551"</f>
        <v>20190312161504551</v>
      </c>
      <c r="B7492" t="str">
        <f>"1552378504544363"</f>
        <v>1552378504544363</v>
      </c>
      <c r="C7492" t="s">
        <v>40</v>
      </c>
      <c r="D7492">
        <v>6.1503610000000002</v>
      </c>
      <c r="E7492">
        <v>0.48817080000000002</v>
      </c>
      <c r="F7492" t="s">
        <v>42</v>
      </c>
      <c r="G7492">
        <v>-130.36619999999999</v>
      </c>
      <c r="H7492" s="1">
        <v>-4.9970529999999997E-6</v>
      </c>
      <c r="I7492">
        <v>134.6447</v>
      </c>
      <c r="J7492">
        <v>-161.4221</v>
      </c>
      <c r="K7492">
        <v>1.110957</v>
      </c>
      <c r="L7492">
        <v>138.02529999999999</v>
      </c>
      <c r="M7492">
        <v>0.9991506</v>
      </c>
      <c r="N7492">
        <v>0</v>
      </c>
      <c r="O7492">
        <v>-3.6271060000000001E-2</v>
      </c>
      <c r="P7492">
        <v>0.98989519999999998</v>
      </c>
      <c r="Q7492">
        <v>-3.1681519999999998E-2</v>
      </c>
      <c r="R7492">
        <v>-0.13821710000000001</v>
      </c>
      <c r="S7492">
        <v>2.9820099999999998</v>
      </c>
      <c r="T7492">
        <v>-0.1061882</v>
      </c>
      <c r="U7492">
        <v>-0.32373049999999998</v>
      </c>
      <c r="V7492">
        <v>0.10220940000000001</v>
      </c>
      <c r="W7492">
        <v>-1.227666E-2</v>
      </c>
      <c r="X7492">
        <v>0.99468710000000005</v>
      </c>
      <c r="Y7492">
        <v>7.176768E-2</v>
      </c>
      <c r="Z7492" s="1">
        <v>1.3146899999999999E-5</v>
      </c>
      <c r="AA7492">
        <v>0.99742140000000001</v>
      </c>
      <c r="AB7492">
        <v>14</v>
      </c>
      <c r="AC7492">
        <v>31.055900000000001</v>
      </c>
      <c r="AD7492">
        <v>-1.110961997053</v>
      </c>
      <c r="AE7492">
        <v>-3.3805999999999798</v>
      </c>
      <c r="AF7492">
        <v>2.2488845693038799</v>
      </c>
      <c r="AG7492">
        <v>-1.110961997053</v>
      </c>
      <c r="AH7492">
        <v>31.118741961259399</v>
      </c>
      <c r="AI7492">
        <v>92.039319272173898</v>
      </c>
      <c r="AJ7492">
        <v>85.866543074320205</v>
      </c>
      <c r="AK7492">
        <v>31.219670395704</v>
      </c>
      <c r="AL7492">
        <v>90.703418508226505</v>
      </c>
      <c r="AM7492">
        <v>84.133144225159</v>
      </c>
      <c r="AN7492">
        <v>0.99999995236776096</v>
      </c>
    </row>
    <row r="7493" spans="1:40" x14ac:dyDescent="0.25">
      <c r="A7493" t="str">
        <f>"20190312161504572"</f>
        <v>20190312161504572</v>
      </c>
      <c r="B7493" t="str">
        <f>"1552378504564859"</f>
        <v>1552378504564859</v>
      </c>
      <c r="C7493" t="s">
        <v>40</v>
      </c>
      <c r="D7493">
        <v>6.1461350000000001</v>
      </c>
      <c r="E7493">
        <v>0.48797119999999999</v>
      </c>
      <c r="F7493" t="s">
        <v>42</v>
      </c>
      <c r="G7493">
        <v>-130.17439999999999</v>
      </c>
      <c r="H7493" s="1">
        <v>-5.0768290000000004E-6</v>
      </c>
      <c r="I7493">
        <v>134.65880000000001</v>
      </c>
      <c r="J7493">
        <v>-161.2867</v>
      </c>
      <c r="K7493">
        <v>1.111027</v>
      </c>
      <c r="L7493">
        <v>138.01939999999999</v>
      </c>
      <c r="M7493">
        <v>0.99912380000000001</v>
      </c>
      <c r="N7493">
        <v>0</v>
      </c>
      <c r="O7493">
        <v>-3.7017059999999997E-2</v>
      </c>
      <c r="P7493">
        <v>0.9899251</v>
      </c>
      <c r="Q7493">
        <v>-3.045759E-2</v>
      </c>
      <c r="R7493">
        <v>-0.13827970000000001</v>
      </c>
      <c r="S7493">
        <v>2.982361</v>
      </c>
      <c r="T7493">
        <v>-0.1060328</v>
      </c>
      <c r="U7493">
        <v>-0.32130429999999999</v>
      </c>
      <c r="V7493">
        <v>0.1015305</v>
      </c>
      <c r="W7493">
        <v>-1.105133E-2</v>
      </c>
      <c r="X7493">
        <v>0.99477110000000002</v>
      </c>
      <c r="Y7493">
        <v>7.0209789999999994E-2</v>
      </c>
      <c r="Z7493" s="1">
        <v>6.7140090000000004E-5</v>
      </c>
      <c r="AA7493">
        <v>0.99753219999999998</v>
      </c>
      <c r="AB7493">
        <v>14</v>
      </c>
      <c r="AC7493">
        <v>31.112300000000001</v>
      </c>
      <c r="AD7493">
        <v>-1.1110320768290001</v>
      </c>
      <c r="AE7493">
        <v>-3.3605999999999701</v>
      </c>
      <c r="AF7493">
        <v>2.20361262410804</v>
      </c>
      <c r="AG7493">
        <v>-1.1110320768290001</v>
      </c>
      <c r="AH7493">
        <v>31.1760935752554</v>
      </c>
      <c r="AI7493">
        <v>92.035928471135406</v>
      </c>
      <c r="AJ7493">
        <v>85.956899880256998</v>
      </c>
      <c r="AK7493">
        <v>31.273616859678199</v>
      </c>
      <c r="AL7493">
        <v>90.633207419951106</v>
      </c>
      <c r="AM7493">
        <v>84.172332935122895</v>
      </c>
      <c r="AN7493">
        <v>1.00000005786011</v>
      </c>
    </row>
    <row r="7494" spans="1:40" x14ac:dyDescent="0.25">
      <c r="A7494" t="str">
        <f>"20190312161504595"</f>
        <v>20190312161504595</v>
      </c>
      <c r="B7494" t="str">
        <f>"1552378504584380"</f>
        <v>1552378504584380</v>
      </c>
      <c r="C7494" t="s">
        <v>40</v>
      </c>
      <c r="D7494">
        <v>6.1452879999999999</v>
      </c>
      <c r="E7494">
        <v>0.48782249999999999</v>
      </c>
      <c r="F7494" t="s">
        <v>42</v>
      </c>
      <c r="G7494">
        <v>-129.41489999999999</v>
      </c>
      <c r="H7494" s="1">
        <v>-1.519753E-6</v>
      </c>
      <c r="I7494">
        <v>134.60040000000001</v>
      </c>
      <c r="J7494">
        <v>-161.1568</v>
      </c>
      <c r="K7494">
        <v>1.1110799999999901</v>
      </c>
      <c r="L7494">
        <v>138.0138</v>
      </c>
      <c r="M7494">
        <v>0.99910060000000001</v>
      </c>
      <c r="N7494">
        <v>0</v>
      </c>
      <c r="O7494">
        <v>-3.7634710000000002E-2</v>
      </c>
      <c r="P7494">
        <v>0.98993739999999997</v>
      </c>
      <c r="Q7494">
        <v>-3.077498E-2</v>
      </c>
      <c r="R7494">
        <v>-0.1381202</v>
      </c>
      <c r="S7494">
        <v>2.982666</v>
      </c>
      <c r="T7494">
        <v>-0.10397389999999999</v>
      </c>
      <c r="U7494">
        <v>-0.31996149999999901</v>
      </c>
      <c r="V7494">
        <v>0.100757</v>
      </c>
      <c r="W7494">
        <v>-1.136037E-2</v>
      </c>
      <c r="X7494">
        <v>0.99484620000000001</v>
      </c>
      <c r="Y7494">
        <v>6.9140060000000003E-2</v>
      </c>
      <c r="Z7494">
        <v>1.058552E-4</v>
      </c>
      <c r="AA7494">
        <v>0.99760689999999996</v>
      </c>
      <c r="AB7494">
        <v>14</v>
      </c>
      <c r="AC7494">
        <v>31.741900000000001</v>
      </c>
      <c r="AD7494">
        <v>-1.11108151975299</v>
      </c>
      <c r="AE7494">
        <v>-3.41339999999999</v>
      </c>
      <c r="AF7494">
        <v>2.21347462731574</v>
      </c>
      <c r="AG7494">
        <v>-1.11108151975299</v>
      </c>
      <c r="AH7494">
        <v>31.809362137329099</v>
      </c>
      <c r="AI7494">
        <v>91.995671215386594</v>
      </c>
      <c r="AJ7494">
        <v>86.019453404591403</v>
      </c>
      <c r="AK7494">
        <v>31.905634167855901</v>
      </c>
      <c r="AL7494">
        <v>90.650915258562605</v>
      </c>
      <c r="AM7494">
        <v>84.216861956294395</v>
      </c>
      <c r="AN7494">
        <v>0.99999999635498804</v>
      </c>
    </row>
    <row r="7495" spans="1:40" x14ac:dyDescent="0.25">
      <c r="A7495" t="str">
        <f>"20190312161504621"</f>
        <v>20190312161504621</v>
      </c>
      <c r="B7495" t="str">
        <f>"1552378504614635"</f>
        <v>1552378504614635</v>
      </c>
      <c r="C7495" t="s">
        <v>40</v>
      </c>
      <c r="D7495">
        <v>6.0296120000000002</v>
      </c>
      <c r="E7495">
        <v>0.48742999999999997</v>
      </c>
      <c r="F7495" t="s">
        <v>42</v>
      </c>
      <c r="G7495">
        <v>-130.19659999999999</v>
      </c>
      <c r="H7495" s="1">
        <v>-5.0582199999999998E-6</v>
      </c>
      <c r="I7495">
        <v>134.7099</v>
      </c>
      <c r="J7495">
        <v>-160.9999</v>
      </c>
      <c r="K7495">
        <v>1.1112649999999999</v>
      </c>
      <c r="L7495">
        <v>138.00700000000001</v>
      </c>
      <c r="M7495">
        <v>0.99906510000000004</v>
      </c>
      <c r="N7495">
        <v>0</v>
      </c>
      <c r="O7495">
        <v>-3.828285E-2</v>
      </c>
      <c r="P7495">
        <v>0.98982689999999995</v>
      </c>
      <c r="Q7495">
        <v>-3.3399699999999997E-2</v>
      </c>
      <c r="R7495">
        <v>-0.13830020000000001</v>
      </c>
      <c r="S7495">
        <v>2.982758</v>
      </c>
      <c r="T7495">
        <v>-0.10704370000000001</v>
      </c>
      <c r="U7495">
        <v>-0.31829829999999998</v>
      </c>
      <c r="V7495">
        <v>0.1002966</v>
      </c>
      <c r="W7495">
        <v>-1.343157E-2</v>
      </c>
      <c r="X7495">
        <v>0.9948669</v>
      </c>
      <c r="Y7495">
        <v>6.7939239999999998E-2</v>
      </c>
      <c r="Z7495">
        <v>1.5363139999999999E-4</v>
      </c>
      <c r="AA7495">
        <v>0.99768939999999995</v>
      </c>
      <c r="AB7495">
        <v>13</v>
      </c>
      <c r="AC7495">
        <v>30.8033</v>
      </c>
      <c r="AD7495">
        <v>-1.1112700582199999</v>
      </c>
      <c r="AE7495">
        <v>-3.2970999999999999</v>
      </c>
      <c r="AF7495">
        <v>2.11248779097046</v>
      </c>
      <c r="AG7495">
        <v>-1.1112700582199999</v>
      </c>
      <c r="AH7495">
        <v>30.867239450938001</v>
      </c>
      <c r="AI7495">
        <v>92.057041789499394</v>
      </c>
      <c r="AJ7495">
        <v>86.084904317482099</v>
      </c>
      <c r="AK7495">
        <v>30.959392712565201</v>
      </c>
      <c r="AL7495">
        <v>90.769595428439402</v>
      </c>
      <c r="AM7495">
        <v>84.243228562578906</v>
      </c>
      <c r="AN7495">
        <v>0.99999998187991701</v>
      </c>
    </row>
    <row r="7496" spans="1:40" x14ac:dyDescent="0.25">
      <c r="A7496" t="str">
        <f>"20190312161504662"</f>
        <v>20190312161504662</v>
      </c>
      <c r="B7496" t="str">
        <f>"1552378504654651"</f>
        <v>1552378504654651</v>
      </c>
      <c r="C7496" t="s">
        <v>40</v>
      </c>
      <c r="D7496">
        <v>6.0693530000000004</v>
      </c>
      <c r="E7496">
        <v>0.46380979999999999</v>
      </c>
      <c r="F7496" t="s">
        <v>42</v>
      </c>
      <c r="G7496">
        <v>-132.9015</v>
      </c>
      <c r="H7496" s="1">
        <v>-3.8407969999999998E-6</v>
      </c>
      <c r="I7496">
        <v>135.03149999999999</v>
      </c>
      <c r="J7496">
        <v>-160.77780000000001</v>
      </c>
      <c r="K7496">
        <v>1.1118950000000001</v>
      </c>
      <c r="L7496">
        <v>137.9974</v>
      </c>
      <c r="M7496">
        <v>0.99898129999999996</v>
      </c>
      <c r="N7496">
        <v>0</v>
      </c>
      <c r="O7496">
        <v>-3.9055390000000002E-2</v>
      </c>
      <c r="P7496">
        <v>0.98960800000000004</v>
      </c>
      <c r="Q7496">
        <v>-3.6521640000000001E-2</v>
      </c>
      <c r="R7496">
        <v>-0.13907630000000001</v>
      </c>
      <c r="S7496">
        <v>2.9827270000000001</v>
      </c>
      <c r="T7496">
        <v>-0.11796429999999999</v>
      </c>
      <c r="U7496">
        <v>-0.3158569</v>
      </c>
      <c r="V7496">
        <v>0.10031080000000001</v>
      </c>
      <c r="W7496">
        <v>-1.4030020000000001E-2</v>
      </c>
      <c r="X7496">
        <v>0.99485730000000006</v>
      </c>
      <c r="Y7496">
        <v>6.6356929999999995E-2</v>
      </c>
      <c r="Z7496">
        <v>2.309961E-4</v>
      </c>
      <c r="AA7496">
        <v>0.99779589999999996</v>
      </c>
      <c r="AB7496">
        <v>13</v>
      </c>
      <c r="AC7496">
        <v>27.876300000000001</v>
      </c>
      <c r="AD7496">
        <v>-1.1118988407969901</v>
      </c>
      <c r="AE7496">
        <v>-2.9659</v>
      </c>
      <c r="AF7496">
        <v>1.8716934714778299</v>
      </c>
      <c r="AG7496">
        <v>-1.1118988407969901</v>
      </c>
      <c r="AH7496">
        <v>27.926951364896301</v>
      </c>
      <c r="AI7496">
        <v>92.274902983022002</v>
      </c>
      <c r="AJ7496">
        <v>86.165711086559895</v>
      </c>
      <c r="AK7496">
        <v>28.011679136043</v>
      </c>
      <c r="AL7496">
        <v>90.803887248558894</v>
      </c>
      <c r="AM7496">
        <v>84.242363808643802</v>
      </c>
      <c r="AN7496">
        <v>1.00000007271056</v>
      </c>
    </row>
    <row r="7497" spans="1:40" x14ac:dyDescent="0.25">
      <c r="A7497" t="str">
        <f>"20190312161504686"</f>
        <v>20190312161504686</v>
      </c>
      <c r="B7497" t="str">
        <f>"1552378504674171"</f>
        <v>1552378504674171</v>
      </c>
      <c r="C7497" t="s">
        <v>40</v>
      </c>
      <c r="D7497">
        <v>6.0952960000000003</v>
      </c>
      <c r="E7497">
        <v>0.4479553</v>
      </c>
      <c r="F7497" t="s">
        <v>43</v>
      </c>
      <c r="G7497">
        <v>-160.01150000000001</v>
      </c>
      <c r="H7497">
        <v>1.0357160000000001</v>
      </c>
      <c r="I7497">
        <v>137.9631</v>
      </c>
      <c r="J7497">
        <v>-160.64750000000001</v>
      </c>
      <c r="K7497">
        <v>1.1122379999999901</v>
      </c>
      <c r="L7497">
        <v>137.99170000000001</v>
      </c>
      <c r="M7497">
        <v>0.99892499999999995</v>
      </c>
      <c r="N7497">
        <v>0</v>
      </c>
      <c r="O7497">
        <v>-3.9433870000000003E-2</v>
      </c>
      <c r="P7497">
        <v>0.98950899999999997</v>
      </c>
      <c r="Q7497">
        <v>-3.8493380000000001E-2</v>
      </c>
      <c r="R7497">
        <v>-0.1392496</v>
      </c>
      <c r="S7497">
        <v>3.0016940000000001</v>
      </c>
      <c r="T7497">
        <v>-0.298423299999999</v>
      </c>
      <c r="U7497">
        <v>-0.13381960000000001</v>
      </c>
      <c r="V7497">
        <v>0.10011009999999999</v>
      </c>
      <c r="W7497">
        <v>-1.424809E-2</v>
      </c>
      <c r="X7497">
        <v>0.99487440000000005</v>
      </c>
      <c r="Y7497">
        <v>5.2640469999999896E-3</v>
      </c>
      <c r="Z7497">
        <v>3.6475240000000001E-3</v>
      </c>
      <c r="AA7497">
        <v>0.99997950000000002</v>
      </c>
      <c r="AB7497">
        <v>12</v>
      </c>
      <c r="AC7497">
        <v>0.63599999999999501</v>
      </c>
      <c r="AD7497">
        <v>-7.6521999999999701E-2</v>
      </c>
      <c r="AE7497">
        <v>-2.8600000000011502E-2</v>
      </c>
      <c r="AF7497">
        <v>3.4406427894144499E-3</v>
      </c>
      <c r="AG7497">
        <v>-7.6521999999999701E-2</v>
      </c>
      <c r="AH7497">
        <v>0.62756663178379102</v>
      </c>
      <c r="AI7497">
        <v>96.951907979216699</v>
      </c>
      <c r="AJ7497">
        <v>89.685878238986007</v>
      </c>
      <c r="AK7497">
        <v>0.63222411519591404</v>
      </c>
      <c r="AL7497">
        <v>90.816383001062405</v>
      </c>
      <c r="AM7497">
        <v>84.253904520491204</v>
      </c>
      <c r="AN7497">
        <v>1.000000055983</v>
      </c>
    </row>
    <row r="7498" spans="1:40" x14ac:dyDescent="0.25">
      <c r="A7498" t="str">
        <f>"20190312161504710"</f>
        <v>20190312161504710</v>
      </c>
      <c r="B7498" t="str">
        <f>"1552378504704428"</f>
        <v>1552378504704428</v>
      </c>
      <c r="C7498" t="s">
        <v>40</v>
      </c>
      <c r="D7498">
        <v>6.0061619999999998</v>
      </c>
      <c r="E7498">
        <v>0.44299670000000002</v>
      </c>
      <c r="F7498" t="s">
        <v>42</v>
      </c>
      <c r="G7498">
        <v>-149.86279999999999</v>
      </c>
      <c r="H7498" s="1">
        <v>-4.7357919999999999E-7</v>
      </c>
      <c r="I7498">
        <v>137.95939999999999</v>
      </c>
      <c r="J7498">
        <v>-160.535</v>
      </c>
      <c r="K7498">
        <v>1.112398</v>
      </c>
      <c r="L7498">
        <v>137.98689999999999</v>
      </c>
      <c r="M7498">
        <v>0.99888250000000001</v>
      </c>
      <c r="N7498">
        <v>0</v>
      </c>
      <c r="O7498">
        <v>-3.9744149999999999E-2</v>
      </c>
      <c r="P7498">
        <v>0.98944880000000002</v>
      </c>
      <c r="Q7498">
        <v>-3.9706499999999999E-2</v>
      </c>
      <c r="R7498">
        <v>-0.13933509999999999</v>
      </c>
      <c r="S7498">
        <v>3.0184329999999999</v>
      </c>
      <c r="T7498">
        <v>-0.31129250000000003</v>
      </c>
      <c r="U7498">
        <v>-9.0332030000000001E-3</v>
      </c>
      <c r="V7498">
        <v>9.9888649999999995E-2</v>
      </c>
      <c r="W7498">
        <v>-1.425831E-2</v>
      </c>
      <c r="X7498">
        <v>0.99489649999999996</v>
      </c>
      <c r="Y7498">
        <v>-3.6363039999999999E-2</v>
      </c>
      <c r="Z7498">
        <v>5.9585569999999997E-3</v>
      </c>
      <c r="AA7498">
        <v>0.99932089999999996</v>
      </c>
      <c r="AB7498">
        <v>12</v>
      </c>
      <c r="AC7498">
        <v>10.6722</v>
      </c>
      <c r="AD7498">
        <v>-1.1123984735791901</v>
      </c>
      <c r="AE7498">
        <v>-2.75000000000034E-2</v>
      </c>
      <c r="AF7498">
        <v>-0.39255316401414198</v>
      </c>
      <c r="AG7498">
        <v>-1.1123984735791901</v>
      </c>
      <c r="AH7498">
        <v>10.550232517010301</v>
      </c>
      <c r="AI7498">
        <v>96.014798561143294</v>
      </c>
      <c r="AJ7498">
        <v>92.130878982740697</v>
      </c>
      <c r="AK7498">
        <v>10.615975438629199</v>
      </c>
      <c r="AL7498">
        <v>90.816968633373406</v>
      </c>
      <c r="AM7498">
        <v>84.266656989111198</v>
      </c>
      <c r="AN7498">
        <v>1.00000004375756</v>
      </c>
    </row>
    <row r="7499" spans="1:40" x14ac:dyDescent="0.25">
      <c r="A7499" t="str">
        <f>"20190312161504730"</f>
        <v>20190312161504730</v>
      </c>
      <c r="B7499" t="str">
        <f>"1552378504723948"</f>
        <v>1552378504723948</v>
      </c>
      <c r="C7499" t="s">
        <v>40</v>
      </c>
      <c r="D7499">
        <v>6.1187079999999998</v>
      </c>
      <c r="E7499">
        <v>0.44220680000000001</v>
      </c>
      <c r="F7499" t="s">
        <v>42</v>
      </c>
      <c r="G7499">
        <v>-150.1207</v>
      </c>
      <c r="H7499" s="1">
        <v>-4.4914069999999999E-6</v>
      </c>
      <c r="I7499">
        <v>138.089</v>
      </c>
      <c r="J7499">
        <v>-160.43279999999999</v>
      </c>
      <c r="K7499">
        <v>1.1122829999999999</v>
      </c>
      <c r="L7499">
        <v>137.98249999999999</v>
      </c>
      <c r="M7499">
        <v>0.99886600000000003</v>
      </c>
      <c r="N7499">
        <v>0</v>
      </c>
      <c r="O7499">
        <v>-4.0023040000000003E-2</v>
      </c>
      <c r="P7499">
        <v>0.98940760000000005</v>
      </c>
      <c r="Q7499">
        <v>-3.9586459999999997E-2</v>
      </c>
      <c r="R7499">
        <v>-0.13966249999999999</v>
      </c>
      <c r="S7499">
        <v>3.023193</v>
      </c>
      <c r="T7499">
        <v>-0.32292029999999999</v>
      </c>
      <c r="U7499">
        <v>2.964783E-2</v>
      </c>
      <c r="V7499">
        <v>9.9939410000000006E-2</v>
      </c>
      <c r="W7499">
        <v>-1.392848E-2</v>
      </c>
      <c r="X7499">
        <v>0.99489609999999995</v>
      </c>
      <c r="Y7499">
        <v>-4.9324649999999998E-2</v>
      </c>
      <c r="Z7499">
        <v>6.8903300000000001E-3</v>
      </c>
      <c r="AA7499">
        <v>0.99875899999999995</v>
      </c>
      <c r="AB7499">
        <v>11</v>
      </c>
      <c r="AC7499">
        <v>10.3120999999999</v>
      </c>
      <c r="AD7499">
        <v>-1.112287491407</v>
      </c>
      <c r="AE7499">
        <v>0.106500000000011</v>
      </c>
      <c r="AF7499">
        <v>-0.51330220359187395</v>
      </c>
      <c r="AG7499">
        <v>-1.112287491407</v>
      </c>
      <c r="AH7499">
        <v>10.1811305428641</v>
      </c>
      <c r="AI7499">
        <v>96.226984433354403</v>
      </c>
      <c r="AJ7499">
        <v>92.886238301243793</v>
      </c>
      <c r="AK7499">
        <v>10.2545639471697</v>
      </c>
      <c r="AL7499">
        <v>90.798068869940494</v>
      </c>
      <c r="AM7499">
        <v>84.263760633706795</v>
      </c>
      <c r="AN7499">
        <v>1.00000006901073</v>
      </c>
    </row>
    <row r="7500" spans="1:40" x14ac:dyDescent="0.25">
      <c r="A7500" t="str">
        <f>"20190312161504751"</f>
        <v>20190312161504751</v>
      </c>
      <c r="B7500" t="str">
        <f>"1552378504744443"</f>
        <v>1552378504744443</v>
      </c>
      <c r="C7500" t="s">
        <v>40</v>
      </c>
      <c r="D7500">
        <v>5.9750370000000004</v>
      </c>
      <c r="E7500">
        <v>0.44187109999999902</v>
      </c>
      <c r="F7500" t="s">
        <v>42</v>
      </c>
      <c r="G7500">
        <v>-150.04669999999999</v>
      </c>
      <c r="H7500" s="1">
        <v>-4.5206749999999997E-6</v>
      </c>
      <c r="I7500">
        <v>138.1028</v>
      </c>
      <c r="J7500">
        <v>-160.32839999999999</v>
      </c>
      <c r="K7500">
        <v>1.111969</v>
      </c>
      <c r="L7500">
        <v>137.97810000000001</v>
      </c>
      <c r="M7500">
        <v>0.99887079999999995</v>
      </c>
      <c r="N7500">
        <v>0</v>
      </c>
      <c r="O7500">
        <v>-4.0275119999999998E-2</v>
      </c>
      <c r="P7500">
        <v>0.98919259999999998</v>
      </c>
      <c r="Q7500">
        <v>-3.9004990000000003E-2</v>
      </c>
      <c r="R7500">
        <v>-0.14133879999999999</v>
      </c>
      <c r="S7500">
        <v>3.0241090000000002</v>
      </c>
      <c r="T7500">
        <v>-0.32386549999999997</v>
      </c>
      <c r="U7500">
        <v>3.5018920000000002E-2</v>
      </c>
      <c r="V7500">
        <v>0.1013724</v>
      </c>
      <c r="W7500">
        <v>-1.3935690000000001E-2</v>
      </c>
      <c r="X7500">
        <v>0.99475089999999999</v>
      </c>
      <c r="Y7500">
        <v>-5.1331139999999997E-2</v>
      </c>
      <c r="Z7500">
        <v>7.0422599999999998E-3</v>
      </c>
      <c r="AA7500">
        <v>0.99865689999999996</v>
      </c>
      <c r="AB7500">
        <v>11</v>
      </c>
      <c r="AC7500">
        <v>10.281700000000001</v>
      </c>
      <c r="AD7500">
        <v>-1.1119735206750001</v>
      </c>
      <c r="AE7500">
        <v>0.12469999999999</v>
      </c>
      <c r="AF7500">
        <v>-0.53259834059377498</v>
      </c>
      <c r="AG7500">
        <v>-1.1119735206750001</v>
      </c>
      <c r="AH7500">
        <v>10.149629975345199</v>
      </c>
      <c r="AI7500">
        <v>96.243754855465198</v>
      </c>
      <c r="AJ7500">
        <v>93.0038212398848</v>
      </c>
      <c r="AK7500">
        <v>10.2242425019906</v>
      </c>
      <c r="AL7500">
        <v>90.798482099633702</v>
      </c>
      <c r="AM7500">
        <v>84.181227930014799</v>
      </c>
      <c r="AN7500">
        <v>0.99999995999417202</v>
      </c>
    </row>
    <row r="7501" spans="1:40" x14ac:dyDescent="0.25">
      <c r="A7501" t="str">
        <f>"20190312161504773"</f>
        <v>20190312161504773</v>
      </c>
      <c r="B7501" t="str">
        <f>"1552378504763964"</f>
        <v>1552378504763964</v>
      </c>
      <c r="C7501" t="s">
        <v>40</v>
      </c>
      <c r="D7501">
        <v>6.0783740000000002</v>
      </c>
      <c r="E7501">
        <v>0.44137729999999997</v>
      </c>
      <c r="F7501" t="s">
        <v>42</v>
      </c>
      <c r="G7501">
        <v>-150.40979999999999</v>
      </c>
      <c r="H7501" s="1">
        <v>-4.3680969999999999E-6</v>
      </c>
      <c r="I7501">
        <v>138.08500000000001</v>
      </c>
      <c r="J7501">
        <v>-160.21520000000001</v>
      </c>
      <c r="K7501">
        <v>1.1116740000000001</v>
      </c>
      <c r="L7501">
        <v>137.97319999999999</v>
      </c>
      <c r="M7501">
        <v>0.99888010000000005</v>
      </c>
      <c r="N7501">
        <v>0</v>
      </c>
      <c r="O7501">
        <v>-4.0515820000000001E-2</v>
      </c>
      <c r="P7501">
        <v>0.98906510000000003</v>
      </c>
      <c r="Q7501">
        <v>-3.7987119999999999E-2</v>
      </c>
      <c r="R7501">
        <v>-0.14250450000000001</v>
      </c>
      <c r="S7501">
        <v>3.0240629999999999</v>
      </c>
      <c r="T7501">
        <v>-0.33902470000000001</v>
      </c>
      <c r="U7501">
        <v>3.2608030000000003E-2</v>
      </c>
      <c r="V7501">
        <v>0.1023029</v>
      </c>
      <c r="W7501">
        <v>-1.36855E-2</v>
      </c>
      <c r="X7501">
        <v>0.99465910000000002</v>
      </c>
      <c r="Y7501">
        <v>-5.0727359999999999E-2</v>
      </c>
      <c r="Z7501">
        <v>7.3630750000000002E-3</v>
      </c>
      <c r="AA7501">
        <v>0.99868539999999995</v>
      </c>
      <c r="AB7501">
        <v>11</v>
      </c>
      <c r="AC7501">
        <v>9.8054000000000094</v>
      </c>
      <c r="AD7501">
        <v>-1.1116783680969999</v>
      </c>
      <c r="AE7501">
        <v>0.111800000000016</v>
      </c>
      <c r="AF7501">
        <v>-0.502640664071907</v>
      </c>
      <c r="AG7501">
        <v>-1.1116783680969999</v>
      </c>
      <c r="AH7501">
        <v>9.6685525418550302</v>
      </c>
      <c r="AI7501">
        <v>96.550227867145296</v>
      </c>
      <c r="AJ7501">
        <v>92.975966223534698</v>
      </c>
      <c r="AK7501">
        <v>9.7452236857798695</v>
      </c>
      <c r="AL7501">
        <v>90.784145907951697</v>
      </c>
      <c r="AM7501">
        <v>84.127650630137694</v>
      </c>
      <c r="AN7501">
        <v>0.999999950735733</v>
      </c>
    </row>
    <row r="7502" spans="1:40" x14ac:dyDescent="0.25">
      <c r="A7502" t="str">
        <f>"20190312161504797"</f>
        <v>20190312161504797</v>
      </c>
      <c r="B7502" t="str">
        <f>"1552378504794219"</f>
        <v>1552378504794219</v>
      </c>
      <c r="C7502" t="s">
        <v>40</v>
      </c>
      <c r="D7502">
        <v>5.9854250000000002</v>
      </c>
      <c r="E7502">
        <v>0.44074429999999998</v>
      </c>
      <c r="F7502" t="s">
        <v>42</v>
      </c>
      <c r="G7502">
        <v>-150.30350000000001</v>
      </c>
      <c r="H7502" s="1">
        <v>-4.4142790000000003E-6</v>
      </c>
      <c r="I7502">
        <v>138.08150000000001</v>
      </c>
      <c r="J7502">
        <v>-160.1028</v>
      </c>
      <c r="K7502">
        <v>1.1115280000000001</v>
      </c>
      <c r="L7502">
        <v>137.9684</v>
      </c>
      <c r="M7502">
        <v>0.99888330000000003</v>
      </c>
      <c r="N7502">
        <v>0</v>
      </c>
      <c r="O7502">
        <v>-4.0727520000000003E-2</v>
      </c>
      <c r="P7502">
        <v>0.98907590000000001</v>
      </c>
      <c r="Q7502">
        <v>-3.6393549999999997E-2</v>
      </c>
      <c r="R7502">
        <v>-0.14284369999999999</v>
      </c>
      <c r="S7502">
        <v>3.024902</v>
      </c>
      <c r="T7502">
        <v>-0.3392674</v>
      </c>
      <c r="U7502">
        <v>3.3081050000000001E-2</v>
      </c>
      <c r="V7502">
        <v>0.1024311</v>
      </c>
      <c r="W7502">
        <v>-1.257985E-2</v>
      </c>
      <c r="X7502">
        <v>0.99466060000000001</v>
      </c>
      <c r="Y7502">
        <v>-5.1087630000000002E-2</v>
      </c>
      <c r="Z7502">
        <v>7.4100299999999997E-3</v>
      </c>
      <c r="AA7502">
        <v>0.99866670000000002</v>
      </c>
      <c r="AB7502">
        <v>11</v>
      </c>
      <c r="AC7502">
        <v>9.7992999999999792</v>
      </c>
      <c r="AD7502">
        <v>-1.111532414279</v>
      </c>
      <c r="AE7502">
        <v>0.113100000000002</v>
      </c>
      <c r="AF7502">
        <v>-0.50571593512471602</v>
      </c>
      <c r="AG7502">
        <v>-1.111532414279</v>
      </c>
      <c r="AH7502">
        <v>9.6622560897589196</v>
      </c>
      <c r="AI7502">
        <v>96.553487149514098</v>
      </c>
      <c r="AJ7502">
        <v>92.996088430208601</v>
      </c>
      <c r="AK7502">
        <v>9.7391193472056408</v>
      </c>
      <c r="AL7502">
        <v>90.720791290765007</v>
      </c>
      <c r="AM7502">
        <v>84.120352073068602</v>
      </c>
      <c r="AN7502">
        <v>1.00000004603279</v>
      </c>
    </row>
    <row r="7503" spans="1:40" x14ac:dyDescent="0.25">
      <c r="A7503" t="str">
        <f>"20190312161504819"</f>
        <v>20190312161504819</v>
      </c>
      <c r="B7503" t="str">
        <f>"1552378504814716"</f>
        <v>1552378504814716</v>
      </c>
      <c r="C7503" t="s">
        <v>40</v>
      </c>
      <c r="D7503">
        <v>5.997566</v>
      </c>
      <c r="E7503">
        <v>0.4400966</v>
      </c>
      <c r="F7503" t="s">
        <v>42</v>
      </c>
      <c r="G7503">
        <v>-150.351</v>
      </c>
      <c r="H7503" s="1">
        <v>-4.392943E-6</v>
      </c>
      <c r="I7503">
        <v>138.08690000000001</v>
      </c>
      <c r="J7503">
        <v>-159.999</v>
      </c>
      <c r="K7503">
        <v>1.111483</v>
      </c>
      <c r="L7503">
        <v>137.9639</v>
      </c>
      <c r="M7503">
        <v>0.99888310000000002</v>
      </c>
      <c r="N7503">
        <v>0</v>
      </c>
      <c r="O7503">
        <v>-4.0898299999999999E-2</v>
      </c>
      <c r="P7503">
        <v>0.98909879999999994</v>
      </c>
      <c r="Q7503">
        <v>-3.6010279999999999E-2</v>
      </c>
      <c r="R7503">
        <v>-0.14278360000000001</v>
      </c>
      <c r="S7503">
        <v>3.025757</v>
      </c>
      <c r="T7503">
        <v>-0.34488439999999998</v>
      </c>
      <c r="U7503">
        <v>3.6804200000000002E-2</v>
      </c>
      <c r="V7503">
        <v>0.1022005</v>
      </c>
      <c r="W7503">
        <v>-1.246966E-2</v>
      </c>
      <c r="X7503">
        <v>0.99468559999999995</v>
      </c>
      <c r="Y7503">
        <v>-5.2454859999999999E-2</v>
      </c>
      <c r="Z7503">
        <v>7.6268250000000003E-3</v>
      </c>
      <c r="AA7503">
        <v>0.99859419999999999</v>
      </c>
      <c r="AB7503">
        <v>11</v>
      </c>
      <c r="AC7503">
        <v>9.6479999999999908</v>
      </c>
      <c r="AD7503">
        <v>-1.111487392943</v>
      </c>
      <c r="AE7503">
        <v>0.123000000000018</v>
      </c>
      <c r="AF7503">
        <v>-0.51081591795043502</v>
      </c>
      <c r="AG7503">
        <v>-1.111487392943</v>
      </c>
      <c r="AH7503">
        <v>9.5087126546377796</v>
      </c>
      <c r="AI7503">
        <v>96.6576185768551</v>
      </c>
      <c r="AJ7503">
        <v>93.075020899345006</v>
      </c>
      <c r="AK7503">
        <v>9.5870722055887097</v>
      </c>
      <c r="AL7503">
        <v>90.714477450524498</v>
      </c>
      <c r="AM7503">
        <v>84.133642740504897</v>
      </c>
      <c r="AN7503">
        <v>0.99999993873406001</v>
      </c>
    </row>
    <row r="7504" spans="1:40" x14ac:dyDescent="0.25">
      <c r="A7504" t="str">
        <f>"20190312161504843"</f>
        <v>20190312161504843</v>
      </c>
      <c r="B7504" t="str">
        <f>"1552378504834235"</f>
        <v>1552378504834235</v>
      </c>
      <c r="C7504" t="s">
        <v>40</v>
      </c>
      <c r="D7504">
        <v>6.1164379999999996</v>
      </c>
      <c r="E7504">
        <v>0.43943460000000001</v>
      </c>
      <c r="F7504" t="s">
        <v>42</v>
      </c>
      <c r="G7504">
        <v>-150.3091</v>
      </c>
      <c r="H7504" s="1">
        <v>-4.4089299999999998E-6</v>
      </c>
      <c r="I7504">
        <v>138.0984</v>
      </c>
      <c r="J7504">
        <v>-159.88659999999999</v>
      </c>
      <c r="K7504">
        <v>1.1114459999999999</v>
      </c>
      <c r="L7504">
        <v>137.95910000000001</v>
      </c>
      <c r="M7504">
        <v>0.99888469999999996</v>
      </c>
      <c r="N7504">
        <v>0</v>
      </c>
      <c r="O7504">
        <v>-4.1047569999999999E-2</v>
      </c>
      <c r="P7504">
        <v>0.98901450000000002</v>
      </c>
      <c r="Q7504">
        <v>-3.6745890000000003E-2</v>
      </c>
      <c r="R7504">
        <v>-0.14317949999999999</v>
      </c>
      <c r="S7504">
        <v>3.0264890000000002</v>
      </c>
      <c r="T7504">
        <v>-0.34715210000000002</v>
      </c>
      <c r="U7504">
        <v>4.2007450000000002E-2</v>
      </c>
      <c r="V7504">
        <v>0.10245219999999999</v>
      </c>
      <c r="W7504">
        <v>-1.352706E-2</v>
      </c>
      <c r="X7504">
        <v>0.99464600000000003</v>
      </c>
      <c r="Y7504">
        <v>-5.4296570000000002E-2</v>
      </c>
      <c r="Z7504">
        <v>7.7970599999999998E-3</v>
      </c>
      <c r="AA7504">
        <v>0.9984944</v>
      </c>
      <c r="AB7504">
        <v>11</v>
      </c>
      <c r="AC7504">
        <v>9.5774999999999793</v>
      </c>
      <c r="AD7504">
        <v>-1.1114504089299999</v>
      </c>
      <c r="AE7504">
        <v>0.13929999999999099</v>
      </c>
      <c r="AF7504">
        <v>-0.525349236457053</v>
      </c>
      <c r="AG7504">
        <v>-1.1114504089299999</v>
      </c>
      <c r="AH7504">
        <v>9.4366462370288406</v>
      </c>
      <c r="AI7504">
        <v>96.707072265692901</v>
      </c>
      <c r="AJ7504">
        <v>93.186434517709003</v>
      </c>
      <c r="AK7504">
        <v>9.5163861856582503</v>
      </c>
      <c r="AL7504">
        <v>90.775067046845507</v>
      </c>
      <c r="AM7504">
        <v>84.119063681944297</v>
      </c>
      <c r="AN7504">
        <v>1.00000004997654</v>
      </c>
    </row>
    <row r="7505" spans="1:40" x14ac:dyDescent="0.25">
      <c r="A7505" t="str">
        <f>"20190312161504866"</f>
        <v>20190312161504866</v>
      </c>
      <c r="B7505" t="str">
        <f>"1552378504854732"</f>
        <v>1552378504854732</v>
      </c>
      <c r="C7505" t="s">
        <v>40</v>
      </c>
      <c r="D7505">
        <v>6.1436630000000001</v>
      </c>
      <c r="E7505">
        <v>0.43912600000000002</v>
      </c>
      <c r="F7505" t="s">
        <v>42</v>
      </c>
      <c r="G7505">
        <v>-150.17140000000001</v>
      </c>
      <c r="H7505" s="1">
        <v>-4.4660909999999999E-6</v>
      </c>
      <c r="I7505">
        <v>138.10890000000001</v>
      </c>
      <c r="J7505">
        <v>-159.78469999999999</v>
      </c>
      <c r="K7505">
        <v>1.1113949999999999</v>
      </c>
      <c r="L7505">
        <v>137.95480000000001</v>
      </c>
      <c r="M7505">
        <v>0.9988899</v>
      </c>
      <c r="N7505">
        <v>0</v>
      </c>
      <c r="O7505">
        <v>-4.1139009999999997E-2</v>
      </c>
      <c r="P7505">
        <v>0.98906559999999999</v>
      </c>
      <c r="Q7505">
        <v>-3.6428509999999997E-2</v>
      </c>
      <c r="R7505">
        <v>-0.1429077</v>
      </c>
      <c r="S7505">
        <v>3.0272220000000001</v>
      </c>
      <c r="T7505">
        <v>-0.34632429999999997</v>
      </c>
      <c r="U7505">
        <v>4.669189E-2</v>
      </c>
      <c r="V7505">
        <v>0.1020882</v>
      </c>
      <c r="W7505">
        <v>-1.3588869999999999E-2</v>
      </c>
      <c r="X7505">
        <v>0.99468259999999997</v>
      </c>
      <c r="Y7505">
        <v>-5.5921060000000002E-2</v>
      </c>
      <c r="Z7505">
        <v>7.8796679999999994E-3</v>
      </c>
      <c r="AA7505">
        <v>0.99840410000000002</v>
      </c>
      <c r="AB7505">
        <v>11</v>
      </c>
      <c r="AC7505">
        <v>9.6132999999999793</v>
      </c>
      <c r="AD7505">
        <v>-1.111399466091</v>
      </c>
      <c r="AE7505">
        <v>0.15409999999999899</v>
      </c>
      <c r="AF7505">
        <v>-0.54230874633342796</v>
      </c>
      <c r="AG7505">
        <v>-1.111399466091</v>
      </c>
      <c r="AH7505">
        <v>9.4722444891709792</v>
      </c>
      <c r="AI7505">
        <v>96.681201602843501</v>
      </c>
      <c r="AJ7505">
        <v>93.276743896149199</v>
      </c>
      <c r="AK7505">
        <v>9.5526291256494993</v>
      </c>
      <c r="AL7505">
        <v>90.778608811584505</v>
      </c>
      <c r="AM7505">
        <v>84.140026380721494</v>
      </c>
      <c r="AN7505">
        <v>1.00000006635493</v>
      </c>
    </row>
    <row r="7506" spans="1:40" x14ac:dyDescent="0.25">
      <c r="A7506" t="str">
        <f>"20190312161504886"</f>
        <v>20190312161504886</v>
      </c>
      <c r="B7506" t="str">
        <f>"1552378504874252"</f>
        <v>1552378504874252</v>
      </c>
      <c r="C7506" t="s">
        <v>40</v>
      </c>
      <c r="D7506">
        <v>6.0116519999999998</v>
      </c>
      <c r="E7506">
        <v>0.43865490000000001</v>
      </c>
      <c r="F7506" t="s">
        <v>42</v>
      </c>
      <c r="G7506">
        <v>-150.095</v>
      </c>
      <c r="H7506" s="1">
        <v>-4.4977610000000004E-6</v>
      </c>
      <c r="I7506">
        <v>138.11529999999999</v>
      </c>
      <c r="J7506">
        <v>-159.69030000000001</v>
      </c>
      <c r="K7506">
        <v>1.1113630000000001</v>
      </c>
      <c r="L7506">
        <v>137.95089999999999</v>
      </c>
      <c r="M7506">
        <v>0.99889640000000002</v>
      </c>
      <c r="N7506">
        <v>0</v>
      </c>
      <c r="O7506">
        <v>-4.1182969999999999E-2</v>
      </c>
      <c r="P7506">
        <v>0.98909999999999998</v>
      </c>
      <c r="Q7506">
        <v>-3.6293859999999997E-2</v>
      </c>
      <c r="R7506">
        <v>-0.14270479999999899</v>
      </c>
      <c r="S7506">
        <v>3.0276179999999999</v>
      </c>
      <c r="T7506">
        <v>-0.34726249999999997</v>
      </c>
      <c r="U7506">
        <v>5.0155640000000001E-2</v>
      </c>
      <c r="V7506">
        <v>0.101841</v>
      </c>
      <c r="W7506">
        <v>-1.3810619999999999E-2</v>
      </c>
      <c r="X7506">
        <v>0.99470479999999994</v>
      </c>
      <c r="Y7506">
        <v>-5.7093310000000001E-2</v>
      </c>
      <c r="Z7506">
        <v>7.9717899999999994E-3</v>
      </c>
      <c r="AA7506">
        <v>0.99833700000000003</v>
      </c>
      <c r="AB7506">
        <v>10</v>
      </c>
      <c r="AC7506">
        <v>9.5952999999999999</v>
      </c>
      <c r="AD7506">
        <v>-1.111367497761</v>
      </c>
      <c r="AE7506">
        <v>0.16439999999999999</v>
      </c>
      <c r="AF7506">
        <v>-0.55211956196199197</v>
      </c>
      <c r="AG7506">
        <v>-1.111367497761</v>
      </c>
      <c r="AH7506">
        <v>9.4535981745830799</v>
      </c>
      <c r="AI7506">
        <v>96.693629424624305</v>
      </c>
      <c r="AJ7506">
        <v>93.342455046618994</v>
      </c>
      <c r="AK7506">
        <v>9.5346993750333393</v>
      </c>
      <c r="AL7506">
        <v>90.791315410016196</v>
      </c>
      <c r="AM7506">
        <v>84.154247105722504</v>
      </c>
      <c r="AN7506">
        <v>0.99999998082441199</v>
      </c>
    </row>
    <row r="7507" spans="1:40" x14ac:dyDescent="0.25">
      <c r="A7507" t="str">
        <f>"20190312161504907"</f>
        <v>20190312161504907</v>
      </c>
      <c r="B7507" t="str">
        <f>"1552378504904507"</f>
        <v>1552378504904507</v>
      </c>
      <c r="C7507" t="s">
        <v>40</v>
      </c>
      <c r="D7507">
        <v>6.0362099999999996</v>
      </c>
      <c r="E7507">
        <v>0.43829800000000002</v>
      </c>
      <c r="F7507" t="s">
        <v>42</v>
      </c>
      <c r="G7507">
        <v>-149.9256</v>
      </c>
      <c r="H7507" s="1">
        <v>-4.078844E-7</v>
      </c>
      <c r="I7507">
        <v>138.12610000000001</v>
      </c>
      <c r="J7507">
        <v>-159.59710000000001</v>
      </c>
      <c r="K7507">
        <v>1.1113519999999999</v>
      </c>
      <c r="L7507">
        <v>137.947</v>
      </c>
      <c r="M7507">
        <v>0.99890239999999997</v>
      </c>
      <c r="N7507">
        <v>0</v>
      </c>
      <c r="O7507">
        <v>-4.1193819999999999E-2</v>
      </c>
      <c r="P7507">
        <v>0.98905920000000003</v>
      </c>
      <c r="Q7507">
        <v>-3.6317929999999998E-2</v>
      </c>
      <c r="R7507">
        <v>-0.14298139999999901</v>
      </c>
      <c r="S7507">
        <v>3.0282589999999998</v>
      </c>
      <c r="T7507">
        <v>-0.34465829999999997</v>
      </c>
      <c r="U7507">
        <v>5.4336549999999997E-2</v>
      </c>
      <c r="V7507">
        <v>0.1021088</v>
      </c>
      <c r="W7507">
        <v>-1.412472E-2</v>
      </c>
      <c r="X7507">
        <v>0.99467300000000003</v>
      </c>
      <c r="Y7507">
        <v>-5.8479110000000001E-2</v>
      </c>
      <c r="Z7507">
        <v>7.9904680000000006E-3</v>
      </c>
      <c r="AA7507">
        <v>0.99825660000000005</v>
      </c>
      <c r="AB7507">
        <v>10</v>
      </c>
      <c r="AC7507">
        <v>9.6715</v>
      </c>
      <c r="AD7507">
        <v>-1.1113524078843999</v>
      </c>
      <c r="AE7507">
        <v>0.17910000000000501</v>
      </c>
      <c r="AF7507">
        <v>-0.569930027008555</v>
      </c>
      <c r="AG7507">
        <v>-1.1113524078843999</v>
      </c>
      <c r="AH7507">
        <v>9.5301113850646306</v>
      </c>
      <c r="AI7507">
        <v>96.639739004236802</v>
      </c>
      <c r="AJ7507">
        <v>93.422388097811705</v>
      </c>
      <c r="AK7507">
        <v>9.6116048307207702</v>
      </c>
      <c r="AL7507">
        <v>90.809313717946296</v>
      </c>
      <c r="AM7507">
        <v>84.138795975011504</v>
      </c>
      <c r="AN7507">
        <v>1.0000000458407501</v>
      </c>
    </row>
    <row r="7508" spans="1:40" x14ac:dyDescent="0.25">
      <c r="A7508" t="str">
        <f>"20190312161504930"</f>
        <v>20190312161504930</v>
      </c>
      <c r="B7508" t="str">
        <f>"1552378504924028"</f>
        <v>1552378504924028</v>
      </c>
      <c r="C7508" t="s">
        <v>40</v>
      </c>
      <c r="D7508">
        <v>6.1224160000000003</v>
      </c>
      <c r="E7508">
        <v>0.43800879999999998</v>
      </c>
      <c r="F7508" t="s">
        <v>42</v>
      </c>
      <c r="G7508">
        <v>-149.9956</v>
      </c>
      <c r="H7508" s="1">
        <v>-4.5386519999999998E-6</v>
      </c>
      <c r="I7508">
        <v>138.12520000000001</v>
      </c>
      <c r="J7508">
        <v>-159.49879999999999</v>
      </c>
      <c r="K7508">
        <v>1.1113519999999999</v>
      </c>
      <c r="L7508">
        <v>137.94299999999899</v>
      </c>
      <c r="M7508">
        <v>0.99890820000000002</v>
      </c>
      <c r="N7508">
        <v>0</v>
      </c>
      <c r="O7508">
        <v>-4.117879E-2</v>
      </c>
      <c r="P7508">
        <v>0.9889346</v>
      </c>
      <c r="Q7508">
        <v>-3.6914330000000002E-2</v>
      </c>
      <c r="R7508">
        <v>-0.14368610000000001</v>
      </c>
      <c r="S7508">
        <v>3.0284270000000002</v>
      </c>
      <c r="T7508">
        <v>-0.35053289999999998</v>
      </c>
      <c r="U7508">
        <v>5.621338E-2</v>
      </c>
      <c r="V7508">
        <v>0.1028336</v>
      </c>
      <c r="W7508">
        <v>-1.496138E-2</v>
      </c>
      <c r="X7508">
        <v>0.99458610000000003</v>
      </c>
      <c r="Y7508">
        <v>-5.9055629999999998E-2</v>
      </c>
      <c r="Z7508">
        <v>8.1567859999999992E-3</v>
      </c>
      <c r="AA7508">
        <v>0.99822140000000004</v>
      </c>
      <c r="AB7508">
        <v>10</v>
      </c>
      <c r="AC7508">
        <v>9.5031999999999908</v>
      </c>
      <c r="AD7508">
        <v>-1.1113565386519999</v>
      </c>
      <c r="AE7508">
        <v>0.18220000000002301</v>
      </c>
      <c r="AF7508">
        <v>-0.56573661346107795</v>
      </c>
      <c r="AG7508">
        <v>-1.1113565386519999</v>
      </c>
      <c r="AH7508">
        <v>9.3596725977223194</v>
      </c>
      <c r="AI7508">
        <v>96.7593068573902</v>
      </c>
      <c r="AJ7508">
        <v>93.458981194679296</v>
      </c>
      <c r="AK7508">
        <v>9.4423854193931902</v>
      </c>
      <c r="AL7508">
        <v>90.857255869558799</v>
      </c>
      <c r="AM7508">
        <v>84.096971960762204</v>
      </c>
      <c r="AN7508">
        <v>1.0000000512468299</v>
      </c>
    </row>
    <row r="7509" spans="1:40" x14ac:dyDescent="0.25">
      <c r="A7509" t="str">
        <f>"20190312161504952"</f>
        <v>20190312161504952</v>
      </c>
      <c r="B7509" t="str">
        <f>"1552378504944523"</f>
        <v>1552378504944523</v>
      </c>
      <c r="C7509" t="s">
        <v>40</v>
      </c>
      <c r="D7509">
        <v>6.1106360000000004</v>
      </c>
      <c r="E7509">
        <v>0.43773109999999998</v>
      </c>
      <c r="F7509" t="s">
        <v>42</v>
      </c>
      <c r="G7509">
        <v>-149.9299</v>
      </c>
      <c r="H7509" s="1">
        <v>-4.0747090000000002E-7</v>
      </c>
      <c r="I7509">
        <v>138.12200000000001</v>
      </c>
      <c r="J7509">
        <v>-159.4024</v>
      </c>
      <c r="K7509">
        <v>1.111356</v>
      </c>
      <c r="L7509">
        <v>137.93899999999999</v>
      </c>
      <c r="M7509">
        <v>0.99891450000000004</v>
      </c>
      <c r="N7509">
        <v>0</v>
      </c>
      <c r="O7509">
        <v>-4.114363E-2</v>
      </c>
      <c r="P7509">
        <v>0.98879099999999998</v>
      </c>
      <c r="Q7509">
        <v>-3.7372950000000002E-2</v>
      </c>
      <c r="R7509">
        <v>-0.14455399999999999</v>
      </c>
      <c r="S7509">
        <v>3.0286710000000001</v>
      </c>
      <c r="T7509">
        <v>-0.35175689999999998</v>
      </c>
      <c r="U7509">
        <v>5.6686399999999998E-2</v>
      </c>
      <c r="V7509">
        <v>0.1037418</v>
      </c>
      <c r="W7509">
        <v>-1.5632529999999999E-2</v>
      </c>
      <c r="X7509">
        <v>0.99448139999999996</v>
      </c>
      <c r="Y7509">
        <v>-5.9169569999999998E-2</v>
      </c>
      <c r="Z7509">
        <v>8.1869190000000008E-3</v>
      </c>
      <c r="AA7509">
        <v>0.99821439999999995</v>
      </c>
      <c r="AB7509">
        <v>10</v>
      </c>
      <c r="AC7509">
        <v>9.4724999999999895</v>
      </c>
      <c r="AD7509">
        <v>-1.1113564074708999</v>
      </c>
      <c r="AE7509">
        <v>0.18300000000002101</v>
      </c>
      <c r="AF7509">
        <v>-0.56489805033667895</v>
      </c>
      <c r="AG7509">
        <v>-1.1113564074708999</v>
      </c>
      <c r="AH7509">
        <v>9.3285837539852494</v>
      </c>
      <c r="AI7509">
        <v>96.781577793325795</v>
      </c>
      <c r="AJ7509">
        <v>93.465349042523997</v>
      </c>
      <c r="AK7509">
        <v>9.4115194164820402</v>
      </c>
      <c r="AL7509">
        <v>90.895714480070396</v>
      </c>
      <c r="AM7509">
        <v>84.044588498163705</v>
      </c>
      <c r="AN7509">
        <v>0.99999999600370004</v>
      </c>
    </row>
    <row r="7510" spans="1:40" x14ac:dyDescent="0.25">
      <c r="A7510" t="str">
        <f>"20190312161504974"</f>
        <v>20190312161504974</v>
      </c>
      <c r="B7510" t="str">
        <f>"1552378504964043"</f>
        <v>1552378504964043</v>
      </c>
      <c r="C7510" t="s">
        <v>40</v>
      </c>
      <c r="D7510">
        <v>6.0776570000000003</v>
      </c>
      <c r="E7510">
        <v>0.43746580000000002</v>
      </c>
      <c r="F7510" t="s">
        <v>42</v>
      </c>
      <c r="G7510">
        <v>-149.88749999999999</v>
      </c>
      <c r="H7510" s="1">
        <v>-4.2354180000000001E-7</v>
      </c>
      <c r="I7510">
        <v>138.11580000000001</v>
      </c>
      <c r="J7510">
        <v>-159.30789999999999</v>
      </c>
      <c r="K7510">
        <v>1.1113550000000001</v>
      </c>
      <c r="L7510">
        <v>137.93520000000001</v>
      </c>
      <c r="M7510">
        <v>0.9989209</v>
      </c>
      <c r="N7510">
        <v>0</v>
      </c>
      <c r="O7510">
        <v>-4.109397E-2</v>
      </c>
      <c r="P7510">
        <v>0.98867119999999997</v>
      </c>
      <c r="Q7510">
        <v>-3.7586729999999999E-2</v>
      </c>
      <c r="R7510">
        <v>-0.14531629999999901</v>
      </c>
      <c r="S7510">
        <v>3.02887</v>
      </c>
      <c r="T7510">
        <v>-0.35377930000000002</v>
      </c>
      <c r="U7510">
        <v>5.628967E-2</v>
      </c>
      <c r="V7510">
        <v>0.1045576</v>
      </c>
      <c r="W7510">
        <v>-1.605616E-2</v>
      </c>
      <c r="X7510">
        <v>0.99438919999999997</v>
      </c>
      <c r="Y7510">
        <v>-5.8981779999999998E-2</v>
      </c>
      <c r="Z7510">
        <v>8.2164119999999993E-3</v>
      </c>
      <c r="AA7510">
        <v>0.99822529999999998</v>
      </c>
      <c r="AB7510">
        <v>10</v>
      </c>
      <c r="AC7510">
        <v>9.4204000000000008</v>
      </c>
      <c r="AD7510">
        <v>-1.1113554235417999</v>
      </c>
      <c r="AE7510">
        <v>0.18059999999999801</v>
      </c>
      <c r="AF7510">
        <v>-0.55987044631918803</v>
      </c>
      <c r="AG7510">
        <v>-1.1113554235417999</v>
      </c>
      <c r="AH7510">
        <v>9.2759628432879406</v>
      </c>
      <c r="AI7510">
        <v>96.819761968502206</v>
      </c>
      <c r="AJ7510">
        <v>93.454018268029401</v>
      </c>
      <c r="AK7510">
        <v>9.3590625846906192</v>
      </c>
      <c r="AL7510">
        <v>90.919989747398205</v>
      </c>
      <c r="AM7510">
        <v>83.997544699037604</v>
      </c>
      <c r="AN7510">
        <v>0.99999998653417199</v>
      </c>
    </row>
    <row r="7511" spans="1:40" x14ac:dyDescent="0.25">
      <c r="A7511" t="str">
        <f>"20190312161505001"</f>
        <v>20190312161505001</v>
      </c>
      <c r="B7511" t="str">
        <f>"1552378504994299"</f>
        <v>1552378504994299</v>
      </c>
      <c r="C7511" t="s">
        <v>40</v>
      </c>
      <c r="D7511">
        <v>6.0721579999999999</v>
      </c>
      <c r="E7511">
        <v>0.43689430000000001</v>
      </c>
      <c r="F7511" t="s">
        <v>42</v>
      </c>
      <c r="G7511">
        <v>-149.78290000000001</v>
      </c>
      <c r="H7511" s="1">
        <v>-4.6025969999999999E-7</v>
      </c>
      <c r="I7511">
        <v>138.11160000000001</v>
      </c>
      <c r="J7511">
        <v>-159.1987</v>
      </c>
      <c r="K7511">
        <v>1.111348</v>
      </c>
      <c r="L7511">
        <v>137.9308</v>
      </c>
      <c r="M7511">
        <v>0.99892899999999996</v>
      </c>
      <c r="N7511">
        <v>0</v>
      </c>
      <c r="O7511">
        <v>-4.1021620000000002E-2</v>
      </c>
      <c r="P7511">
        <v>0.98863020000000001</v>
      </c>
      <c r="Q7511">
        <v>-3.6881990000000003E-2</v>
      </c>
      <c r="R7511">
        <v>-0.14577509999999999</v>
      </c>
      <c r="S7511">
        <v>3.0292050000000001</v>
      </c>
      <c r="T7511">
        <v>-0.35344120000000001</v>
      </c>
      <c r="U7511">
        <v>5.6121829999999998E-2</v>
      </c>
      <c r="V7511">
        <v>0.10508960000000001</v>
      </c>
      <c r="W7511">
        <v>-1.558354E-2</v>
      </c>
      <c r="X7511">
        <v>0.99434069999999997</v>
      </c>
      <c r="Y7511">
        <v>-5.8854740000000003E-2</v>
      </c>
      <c r="Z7511">
        <v>8.1918939999999999E-3</v>
      </c>
      <c r="AA7511">
        <v>0.99823300000000004</v>
      </c>
      <c r="AB7511">
        <v>10</v>
      </c>
      <c r="AC7511">
        <v>9.4157999999999902</v>
      </c>
      <c r="AD7511">
        <v>-1.1113484602596999</v>
      </c>
      <c r="AE7511">
        <v>0.18080000000000401</v>
      </c>
      <c r="AF7511">
        <v>-0.55920019628333395</v>
      </c>
      <c r="AG7511">
        <v>-1.1113484602596999</v>
      </c>
      <c r="AH7511">
        <v>9.2713397459386098</v>
      </c>
      <c r="AI7511">
        <v>96.823105346862405</v>
      </c>
      <c r="AJ7511">
        <v>93.451609386423797</v>
      </c>
      <c r="AK7511">
        <v>9.3544396381753394</v>
      </c>
      <c r="AL7511">
        <v>90.892907170346305</v>
      </c>
      <c r="AM7511">
        <v>83.966936157326103</v>
      </c>
      <c r="AN7511">
        <v>1.00000004921178</v>
      </c>
    </row>
    <row r="7512" spans="1:40" x14ac:dyDescent="0.25">
      <c r="A7512" t="str">
        <f>"20190312161505021"</f>
        <v>20190312161505021</v>
      </c>
      <c r="B7512" t="str">
        <f>"1552378505014797"</f>
        <v>1552378505014797</v>
      </c>
      <c r="C7512" t="s">
        <v>40</v>
      </c>
      <c r="D7512">
        <v>6.2245039999999996</v>
      </c>
      <c r="E7512">
        <v>0.43680150000000001</v>
      </c>
      <c r="F7512" t="s">
        <v>42</v>
      </c>
      <c r="G7512">
        <v>-149.58539999999999</v>
      </c>
      <c r="H7512" s="1">
        <v>-5.2553259999999998E-7</v>
      </c>
      <c r="I7512">
        <v>138.1189</v>
      </c>
      <c r="J7512">
        <v>-159.11269999999999</v>
      </c>
      <c r="K7512">
        <v>1.1113470000000001</v>
      </c>
      <c r="L7512">
        <v>137.9273</v>
      </c>
      <c r="M7512">
        <v>0.99893509999999996</v>
      </c>
      <c r="N7512">
        <v>0</v>
      </c>
      <c r="O7512">
        <v>-4.0954079999999997E-2</v>
      </c>
      <c r="P7512">
        <v>0.98860499999999996</v>
      </c>
      <c r="Q7512">
        <v>-3.6714759999999999E-2</v>
      </c>
      <c r="R7512">
        <v>-0.14598820000000001</v>
      </c>
      <c r="S7512">
        <v>3.0301819999999999</v>
      </c>
      <c r="T7512">
        <v>-0.3503038</v>
      </c>
      <c r="U7512">
        <v>5.9310910000000001E-2</v>
      </c>
      <c r="V7512">
        <v>0.105370699999999</v>
      </c>
      <c r="W7512">
        <v>-1.557685E-2</v>
      </c>
      <c r="X7512">
        <v>0.99431099999999994</v>
      </c>
      <c r="Y7512">
        <v>-5.9837590000000003E-2</v>
      </c>
      <c r="Z7512">
        <v>8.1658240000000003E-3</v>
      </c>
      <c r="AA7512">
        <v>0.99817469999999997</v>
      </c>
      <c r="AB7512">
        <v>9</v>
      </c>
      <c r="AC7512">
        <v>9.5272999999999897</v>
      </c>
      <c r="AD7512">
        <v>-1.1113475255326</v>
      </c>
      <c r="AE7512">
        <v>0.191599999999994</v>
      </c>
      <c r="AF7512">
        <v>-0.57390318422613495</v>
      </c>
      <c r="AG7512">
        <v>-1.1113475255326</v>
      </c>
      <c r="AH7512">
        <v>9.3838213304673594</v>
      </c>
      <c r="AI7512">
        <v>96.741729105521699</v>
      </c>
      <c r="AJ7512">
        <v>93.499781525007407</v>
      </c>
      <c r="AK7512">
        <v>9.4668136640321894</v>
      </c>
      <c r="AL7512">
        <v>90.892523864620799</v>
      </c>
      <c r="AM7512">
        <v>83.950738700814895</v>
      </c>
      <c r="AN7512">
        <v>0.99999999369770598</v>
      </c>
    </row>
    <row r="7513" spans="1:40" x14ac:dyDescent="0.25">
      <c r="A7513" t="str">
        <f>"20190312161505045"</f>
        <v>20190312161505045</v>
      </c>
      <c r="B7513" t="str">
        <f>"1552378505034316"</f>
        <v>1552378505034316</v>
      </c>
      <c r="C7513" t="s">
        <v>40</v>
      </c>
      <c r="D7513">
        <v>6.1190410000000002</v>
      </c>
      <c r="E7513">
        <v>0.43648999999999999</v>
      </c>
      <c r="F7513" t="s">
        <v>42</v>
      </c>
      <c r="G7513">
        <v>-149.4716</v>
      </c>
      <c r="H7513" s="1">
        <v>-5.6495809999999898E-7</v>
      </c>
      <c r="I7513">
        <v>138.1163</v>
      </c>
      <c r="J7513">
        <v>-159.0189</v>
      </c>
      <c r="K7513">
        <v>1.1113569999999999</v>
      </c>
      <c r="L7513">
        <v>137.92359999999999</v>
      </c>
      <c r="M7513">
        <v>0.99894170000000004</v>
      </c>
      <c r="N7513">
        <v>0</v>
      </c>
      <c r="O7513">
        <v>-4.0869660000000002E-2</v>
      </c>
      <c r="P7513">
        <v>0.98855579999999998</v>
      </c>
      <c r="Q7513">
        <v>-3.6525950000000001E-2</v>
      </c>
      <c r="R7513">
        <v>-0.1463681</v>
      </c>
      <c r="S7513">
        <v>3.0303800000000001</v>
      </c>
      <c r="T7513">
        <v>-0.34931800000000002</v>
      </c>
      <c r="U7513">
        <v>5.941772E-2</v>
      </c>
      <c r="V7513">
        <v>0.10583629999999999</v>
      </c>
      <c r="W7513">
        <v>-1.5537219999999999E-2</v>
      </c>
      <c r="X7513">
        <v>0.99426219999999998</v>
      </c>
      <c r="Y7513">
        <v>-5.9791709999999998E-2</v>
      </c>
      <c r="Z7513">
        <v>8.1301199999999994E-3</v>
      </c>
      <c r="AA7513">
        <v>0.9981778</v>
      </c>
      <c r="AB7513">
        <v>9</v>
      </c>
      <c r="AC7513">
        <v>9.5472999999999999</v>
      </c>
      <c r="AD7513">
        <v>-1.1113575649581</v>
      </c>
      <c r="AE7513">
        <v>0.19270000000000201</v>
      </c>
      <c r="AF7513">
        <v>-0.57503206605897705</v>
      </c>
      <c r="AG7513">
        <v>-1.1113575649581</v>
      </c>
      <c r="AH7513">
        <v>9.4040668857623899</v>
      </c>
      <c r="AI7513">
        <v>96.727413270594496</v>
      </c>
      <c r="AJ7513">
        <v>93.499118006222403</v>
      </c>
      <c r="AK7513">
        <v>9.4869516445525495</v>
      </c>
      <c r="AL7513">
        <v>90.890252930195899</v>
      </c>
      <c r="AM7513">
        <v>83.923912437761004</v>
      </c>
      <c r="AN7513">
        <v>1.00000002497592</v>
      </c>
    </row>
    <row r="7514" spans="1:40" x14ac:dyDescent="0.25">
      <c r="A7514" t="str">
        <f>"20190312161505087"</f>
        <v>20190312161505087</v>
      </c>
      <c r="B7514" t="str">
        <f>"1552378505074331"</f>
        <v>1552378505074331</v>
      </c>
      <c r="C7514" t="s">
        <v>40</v>
      </c>
      <c r="D7514">
        <v>6.1241269999999997</v>
      </c>
      <c r="E7514">
        <v>0.43759490000000001</v>
      </c>
      <c r="F7514" t="s">
        <v>42</v>
      </c>
      <c r="G7514">
        <v>-149.39279999999999</v>
      </c>
      <c r="H7514" s="1">
        <v>-5.9169240000000005E-7</v>
      </c>
      <c r="I7514">
        <v>138.11660000000001</v>
      </c>
      <c r="J7514">
        <v>-158.85720000000001</v>
      </c>
      <c r="K7514">
        <v>1.1113740000000001</v>
      </c>
      <c r="L7514">
        <v>137.9171</v>
      </c>
      <c r="M7514">
        <v>0.99895330000000004</v>
      </c>
      <c r="N7514">
        <v>0</v>
      </c>
      <c r="O7514">
        <v>-4.0694250000000001E-2</v>
      </c>
      <c r="P7514">
        <v>0.98814179999999996</v>
      </c>
      <c r="Q7514">
        <v>-3.723688E-2</v>
      </c>
      <c r="R7514">
        <v>-0.14896119999999999</v>
      </c>
      <c r="S7514">
        <v>3.0308069999999998</v>
      </c>
      <c r="T7514">
        <v>-0.34991349999999999</v>
      </c>
      <c r="U7514">
        <v>6.0791020000000001E-2</v>
      </c>
      <c r="V7514">
        <v>0.1086191</v>
      </c>
      <c r="W7514">
        <v>-1.6467329999999999E-2</v>
      </c>
      <c r="X7514">
        <v>0.99394700000000002</v>
      </c>
      <c r="Y7514">
        <v>-6.0062890000000001E-2</v>
      </c>
      <c r="Z7514">
        <v>8.1381219999999994E-3</v>
      </c>
      <c r="AA7514">
        <v>0.99816139999999998</v>
      </c>
      <c r="AB7514">
        <v>9</v>
      </c>
      <c r="AC7514">
        <v>9.4644000000000101</v>
      </c>
      <c r="AD7514">
        <v>-1.1113745916923901</v>
      </c>
      <c r="AE7514">
        <v>0.19950000000000001</v>
      </c>
      <c r="AF7514">
        <v>-0.57661788571011197</v>
      </c>
      <c r="AG7514">
        <v>-1.1113745916923901</v>
      </c>
      <c r="AH7514">
        <v>9.3199797174703694</v>
      </c>
      <c r="AI7514">
        <v>96.787351472782007</v>
      </c>
      <c r="AJ7514">
        <v>93.540320374648701</v>
      </c>
      <c r="AK7514">
        <v>9.4037047807361098</v>
      </c>
      <c r="AL7514">
        <v>90.943551193823893</v>
      </c>
      <c r="AM7514">
        <v>83.763431886874301</v>
      </c>
      <c r="AN7514">
        <v>0.99999996032556804</v>
      </c>
    </row>
    <row r="7515" spans="1:40" x14ac:dyDescent="0.25">
      <c r="A7515" t="str">
        <f>"20190312161505108"</f>
        <v>20190312161505108</v>
      </c>
      <c r="B7515" t="str">
        <f>"1552378505104588"</f>
        <v>1552378505104588</v>
      </c>
      <c r="C7515" t="s">
        <v>40</v>
      </c>
      <c r="D7515">
        <v>6.0994769999999896</v>
      </c>
      <c r="E7515">
        <v>0.44069409999999998</v>
      </c>
      <c r="F7515" t="s">
        <v>42</v>
      </c>
      <c r="G7515">
        <v>-149.33619999999999</v>
      </c>
      <c r="H7515" s="1">
        <v>-6.2677290000000003E-7</v>
      </c>
      <c r="I7515">
        <v>138.05719999999999</v>
      </c>
      <c r="J7515">
        <v>-158.773</v>
      </c>
      <c r="K7515">
        <v>1.111383</v>
      </c>
      <c r="L7515">
        <v>137.91380000000001</v>
      </c>
      <c r="M7515">
        <v>0.99895979999999995</v>
      </c>
      <c r="N7515">
        <v>0</v>
      </c>
      <c r="O7515">
        <v>-4.0586200000000003E-2</v>
      </c>
      <c r="P7515">
        <v>0.98814860000000004</v>
      </c>
      <c r="Q7515">
        <v>-3.691001E-2</v>
      </c>
      <c r="R7515">
        <v>-0.14899760000000001</v>
      </c>
      <c r="S7515">
        <v>3.029388</v>
      </c>
      <c r="T7515">
        <v>-0.35361399999999998</v>
      </c>
      <c r="U7515">
        <v>4.4586180000000003E-2</v>
      </c>
      <c r="V7515">
        <v>0.1087627</v>
      </c>
      <c r="W7515">
        <v>-1.6239489999999999E-2</v>
      </c>
      <c r="X7515">
        <v>0.99393509999999996</v>
      </c>
      <c r="Y7515">
        <v>-5.4648219999999997E-2</v>
      </c>
      <c r="Z7515">
        <v>7.9001750000000006E-3</v>
      </c>
      <c r="AA7515">
        <v>0.99847439999999998</v>
      </c>
      <c r="AB7515">
        <v>9</v>
      </c>
      <c r="AC7515">
        <v>9.4367999999999999</v>
      </c>
      <c r="AD7515">
        <v>-1.1113836267729</v>
      </c>
      <c r="AE7515">
        <v>0.14339999999998501</v>
      </c>
      <c r="AF7515">
        <v>-0.51916916841077099</v>
      </c>
      <c r="AG7515">
        <v>-1.1113836267729</v>
      </c>
      <c r="AH7515">
        <v>9.2943167657425594</v>
      </c>
      <c r="AI7515">
        <v>96.808349004796</v>
      </c>
      <c r="AJ7515">
        <v>93.1971496862393</v>
      </c>
      <c r="AK7515">
        <v>9.3749151640561799</v>
      </c>
      <c r="AL7515">
        <v>90.930495126550696</v>
      </c>
      <c r="AM7515">
        <v>83.755177748615097</v>
      </c>
      <c r="AN7515">
        <v>1.0000000144793799</v>
      </c>
    </row>
    <row r="7516" spans="1:40" x14ac:dyDescent="0.25">
      <c r="A7516" t="str">
        <f>"20190312161505130"</f>
        <v>20190312161505130</v>
      </c>
      <c r="B7516" t="str">
        <f>"1552378505124107"</f>
        <v>1552378505124107</v>
      </c>
      <c r="C7516" t="s">
        <v>40</v>
      </c>
      <c r="D7516">
        <v>5.9844150000000003</v>
      </c>
      <c r="E7516">
        <v>0.4425288</v>
      </c>
      <c r="F7516" t="s">
        <v>42</v>
      </c>
      <c r="G7516">
        <v>-148.96459999999999</v>
      </c>
      <c r="H7516" s="1">
        <v>-7.7396869999999903E-7</v>
      </c>
      <c r="I7516">
        <v>137.97919999999999</v>
      </c>
      <c r="J7516">
        <v>-158.68889999999999</v>
      </c>
      <c r="K7516">
        <v>1.1113900000000001</v>
      </c>
      <c r="L7516">
        <v>137.91059999999999</v>
      </c>
      <c r="M7516">
        <v>0.99896660000000004</v>
      </c>
      <c r="N7516">
        <v>0</v>
      </c>
      <c r="O7516">
        <v>-4.046433E-2</v>
      </c>
      <c r="P7516">
        <v>0.98813759999999995</v>
      </c>
      <c r="Q7516">
        <v>-3.6063810000000002E-2</v>
      </c>
      <c r="R7516">
        <v>-0.149276399999999</v>
      </c>
      <c r="S7516">
        <v>3.0262150000000001</v>
      </c>
      <c r="T7516">
        <v>-0.34290029999999999</v>
      </c>
      <c r="U7516">
        <v>2.0172120000000002E-2</v>
      </c>
      <c r="V7516">
        <v>0.1091631</v>
      </c>
      <c r="W7516">
        <v>-1.548297E-2</v>
      </c>
      <c r="X7516">
        <v>0.99390330000000005</v>
      </c>
      <c r="Y7516">
        <v>-4.657534E-2</v>
      </c>
      <c r="Z7516">
        <v>7.2008109999999997E-3</v>
      </c>
      <c r="AA7516">
        <v>0.99888889999999997</v>
      </c>
      <c r="AB7516">
        <v>9</v>
      </c>
      <c r="AC7516">
        <v>9.7242999999999995</v>
      </c>
      <c r="AD7516">
        <v>-1.1113907739686999</v>
      </c>
      <c r="AE7516">
        <v>6.8600000000003505E-2</v>
      </c>
      <c r="AF7516">
        <v>-0.45615725349722802</v>
      </c>
      <c r="AG7516">
        <v>-1.1113907739686999</v>
      </c>
      <c r="AH7516">
        <v>9.5883173323959703</v>
      </c>
      <c r="AI7516">
        <v>96.604298768263206</v>
      </c>
      <c r="AJ7516">
        <v>92.723751557490203</v>
      </c>
      <c r="AK7516">
        <v>9.6632860952734791</v>
      </c>
      <c r="AL7516">
        <v>90.887144249401203</v>
      </c>
      <c r="AM7516">
        <v>83.732171697943997</v>
      </c>
      <c r="AN7516">
        <v>1.0000000372562501</v>
      </c>
    </row>
    <row r="7517" spans="1:40" x14ac:dyDescent="0.25">
      <c r="A7517" t="str">
        <f>"20190312161505154"</f>
        <v>20190312161505154</v>
      </c>
      <c r="B7517" t="str">
        <f>"1552378505144603"</f>
        <v>1552378505144603</v>
      </c>
      <c r="C7517" t="s">
        <v>40</v>
      </c>
      <c r="D7517">
        <v>5.9770079999999997</v>
      </c>
      <c r="E7517">
        <v>0.44422970000000001</v>
      </c>
      <c r="F7517" t="s">
        <v>42</v>
      </c>
      <c r="G7517">
        <v>-148.61089999999999</v>
      </c>
      <c r="H7517" s="1">
        <v>-9.0812160000000004E-7</v>
      </c>
      <c r="I7517">
        <v>137.92740000000001</v>
      </c>
      <c r="J7517">
        <v>-158.60220000000001</v>
      </c>
      <c r="K7517">
        <v>1.1113930000000001</v>
      </c>
      <c r="L7517">
        <v>137.90719999999999</v>
      </c>
      <c r="M7517">
        <v>0.99897400000000003</v>
      </c>
      <c r="N7517">
        <v>0</v>
      </c>
      <c r="O7517">
        <v>-4.0322530000000002E-2</v>
      </c>
      <c r="P7517">
        <v>0.98815419999999998</v>
      </c>
      <c r="Q7517">
        <v>-3.5657759999999997E-2</v>
      </c>
      <c r="R7517">
        <v>-0.14926439999999999</v>
      </c>
      <c r="S7517">
        <v>3.024597</v>
      </c>
      <c r="T7517">
        <v>-0.33354850000000003</v>
      </c>
      <c r="U7517">
        <v>5.065918E-3</v>
      </c>
      <c r="V7517">
        <v>0.1092911</v>
      </c>
      <c r="W7517">
        <v>-1.515905E-2</v>
      </c>
      <c r="X7517">
        <v>0.99389419999999995</v>
      </c>
      <c r="Y7517">
        <v>-4.1508539999999997E-2</v>
      </c>
      <c r="Z7517">
        <v>6.7151839999999999E-3</v>
      </c>
      <c r="AA7517">
        <v>0.99911559999999999</v>
      </c>
      <c r="AB7517">
        <v>8</v>
      </c>
      <c r="AC7517">
        <v>9.9913000000000203</v>
      </c>
      <c r="AD7517">
        <v>-1.1113939081216</v>
      </c>
      <c r="AE7517">
        <v>2.0200000000016798E-2</v>
      </c>
      <c r="AF7517">
        <v>-0.41797195657187802</v>
      </c>
      <c r="AG7517">
        <v>-1.1113939081216</v>
      </c>
      <c r="AH7517">
        <v>9.8603497039907406</v>
      </c>
      <c r="AI7517">
        <v>96.425141087900002</v>
      </c>
      <c r="AJ7517">
        <v>92.427266945764302</v>
      </c>
      <c r="AK7517">
        <v>9.9315856367692206</v>
      </c>
      <c r="AL7517">
        <v>90.868582845242102</v>
      </c>
      <c r="AM7517">
        <v>83.724823909157607</v>
      </c>
      <c r="AN7517">
        <v>1.0000000110648699</v>
      </c>
    </row>
    <row r="7518" spans="1:40" x14ac:dyDescent="0.25">
      <c r="A7518" t="str">
        <f>"20190312161505178"</f>
        <v>20190312161505178</v>
      </c>
      <c r="B7518" t="str">
        <f>"1552378505173884"</f>
        <v>1552378505173884</v>
      </c>
      <c r="C7518" t="s">
        <v>40</v>
      </c>
      <c r="D7518">
        <v>6.2187460000000003</v>
      </c>
      <c r="E7518">
        <v>0.44648460000000001</v>
      </c>
      <c r="F7518" t="s">
        <v>42</v>
      </c>
      <c r="G7518">
        <v>-148.3321</v>
      </c>
      <c r="H7518" s="1">
        <v>-1.015959E-6</v>
      </c>
      <c r="I7518">
        <v>137.87870000000001</v>
      </c>
      <c r="J7518">
        <v>-158.51410000000001</v>
      </c>
      <c r="K7518">
        <v>1.111394</v>
      </c>
      <c r="L7518">
        <v>137.90379999999999</v>
      </c>
      <c r="M7518">
        <v>0.99898189999999998</v>
      </c>
      <c r="N7518">
        <v>0</v>
      </c>
      <c r="O7518">
        <v>-4.0165560000000003E-2</v>
      </c>
      <c r="P7518">
        <v>0.98796719999999905</v>
      </c>
      <c r="Q7518">
        <v>-3.6929829999999997E-2</v>
      </c>
      <c r="R7518">
        <v>-0.15019070000000001</v>
      </c>
      <c r="S7518">
        <v>3.0229029999999999</v>
      </c>
      <c r="T7518">
        <v>-0.32712590000000002</v>
      </c>
      <c r="U7518">
        <v>-8.3770749999999995E-3</v>
      </c>
      <c r="V7518">
        <v>0.1103806</v>
      </c>
      <c r="W7518">
        <v>-1.6508849999999999E-2</v>
      </c>
      <c r="X7518">
        <v>0.99375230000000003</v>
      </c>
      <c r="Y7518">
        <v>-3.695474E-2</v>
      </c>
      <c r="Z7518">
        <v>6.3275839999999998E-3</v>
      </c>
      <c r="AA7518">
        <v>0.99929690000000004</v>
      </c>
      <c r="AB7518">
        <v>8</v>
      </c>
      <c r="AC7518">
        <v>10.182</v>
      </c>
      <c r="AD7518">
        <v>-1.111395015959</v>
      </c>
      <c r="AE7518">
        <v>-2.5099999999980499E-2</v>
      </c>
      <c r="AF7518">
        <v>-0.37945139910088599</v>
      </c>
      <c r="AG7518">
        <v>-1.111395015959</v>
      </c>
      <c r="AH7518">
        <v>10.0549903717557</v>
      </c>
      <c r="AI7518">
        <v>96.302945427668007</v>
      </c>
      <c r="AJ7518">
        <v>92.1611807736668</v>
      </c>
      <c r="AK7518">
        <v>10.1233400427862</v>
      </c>
      <c r="AL7518">
        <v>90.945930375633907</v>
      </c>
      <c r="AM7518">
        <v>83.661876917368801</v>
      </c>
      <c r="AN7518">
        <v>1.00000002636998</v>
      </c>
    </row>
    <row r="7519" spans="1:40" x14ac:dyDescent="0.25">
      <c r="A7519" t="str">
        <f>"20190312161505199"</f>
        <v>20190312161505199</v>
      </c>
      <c r="B7519" t="str">
        <f>"1552378505194380"</f>
        <v>1552378505194380</v>
      </c>
      <c r="C7519" t="s">
        <v>40</v>
      </c>
      <c r="D7519">
        <v>6.2651649999999997</v>
      </c>
      <c r="E7519">
        <v>0.44788559999999999</v>
      </c>
      <c r="F7519" t="s">
        <v>42</v>
      </c>
      <c r="G7519">
        <v>-148.1371</v>
      </c>
      <c r="H7519" s="1">
        <v>-1.102577E-6</v>
      </c>
      <c r="I7519">
        <v>137.80590000000001</v>
      </c>
      <c r="J7519">
        <v>-158.43950000000001</v>
      </c>
      <c r="K7519">
        <v>1.111389</v>
      </c>
      <c r="L7519">
        <v>137.90100000000001</v>
      </c>
      <c r="M7519">
        <v>0.99898889999999996</v>
      </c>
      <c r="N7519">
        <v>0</v>
      </c>
      <c r="O7519">
        <v>-4.0023860000000001E-2</v>
      </c>
      <c r="P7519">
        <v>0.9878519</v>
      </c>
      <c r="Q7519">
        <v>-3.7766620000000001E-2</v>
      </c>
      <c r="R7519">
        <v>-0.15074019999999999</v>
      </c>
      <c r="S7519">
        <v>3.020111</v>
      </c>
      <c r="T7519">
        <v>-0.32345960000000001</v>
      </c>
      <c r="U7519">
        <v>-2.8472899999999999E-2</v>
      </c>
      <c r="V7519">
        <v>0.1110752</v>
      </c>
      <c r="W7519">
        <v>-1.7408400000000001E-2</v>
      </c>
      <c r="X7519">
        <v>0.99365959999999998</v>
      </c>
      <c r="Y7519">
        <v>-3.0209130000000001E-2</v>
      </c>
      <c r="Z7519">
        <v>5.8872289999999999E-3</v>
      </c>
      <c r="AA7519">
        <v>0.99952629999999998</v>
      </c>
      <c r="AB7519">
        <v>8</v>
      </c>
      <c r="AC7519">
        <v>10.3024</v>
      </c>
      <c r="AD7519">
        <v>-1.1113901025770001</v>
      </c>
      <c r="AE7519">
        <v>-9.51000000000021E-2</v>
      </c>
      <c r="AF7519">
        <v>-0.31375354992155002</v>
      </c>
      <c r="AG7519">
        <v>-1.1113901025770001</v>
      </c>
      <c r="AH7519">
        <v>10.1794956962702</v>
      </c>
      <c r="AI7519">
        <v>96.227898958000793</v>
      </c>
      <c r="AJ7519">
        <v>91.765417987538399</v>
      </c>
      <c r="AK7519">
        <v>10.244791939350399</v>
      </c>
      <c r="AL7519">
        <v>90.997478157389196</v>
      </c>
      <c r="AM7519">
        <v>83.621730092833005</v>
      </c>
      <c r="AN7519">
        <v>1.0000000765588699</v>
      </c>
    </row>
    <row r="7520" spans="1:40" x14ac:dyDescent="0.25">
      <c r="A7520" t="str">
        <f>"20190312161505270"</f>
        <v>20190312161505270</v>
      </c>
      <c r="B7520" t="str">
        <f>"1552378505264652"</f>
        <v>1552378505264652</v>
      </c>
      <c r="C7520" t="s">
        <v>40</v>
      </c>
      <c r="D7520">
        <v>6.0233650000000001</v>
      </c>
      <c r="E7520">
        <v>0.4508065</v>
      </c>
      <c r="F7520" t="s">
        <v>42</v>
      </c>
      <c r="G7520">
        <v>-148.00129999999999</v>
      </c>
      <c r="H7520" s="1">
        <v>-1.169193E-6</v>
      </c>
      <c r="I7520">
        <v>137.75899999999999</v>
      </c>
      <c r="J7520">
        <v>-158.20699999999999</v>
      </c>
      <c r="K7520">
        <v>1.1116680000000001</v>
      </c>
      <c r="L7520">
        <v>137.8922</v>
      </c>
      <c r="M7520">
        <v>0.99898339999999997</v>
      </c>
      <c r="N7520">
        <v>0</v>
      </c>
      <c r="O7520">
        <v>-3.9537839999999998E-2</v>
      </c>
      <c r="P7520">
        <v>0.98759010000000003</v>
      </c>
      <c r="Q7520">
        <v>-3.9210179999999997E-2</v>
      </c>
      <c r="R7520">
        <v>-0.15208139999999901</v>
      </c>
      <c r="S7520">
        <v>3.0183409999999999</v>
      </c>
      <c r="T7520">
        <v>-0.32137080000000001</v>
      </c>
      <c r="U7520">
        <v>-4.1030879999999999E-2</v>
      </c>
      <c r="V7520">
        <v>0.1129074</v>
      </c>
      <c r="W7520">
        <v>-1.7687970000000001E-2</v>
      </c>
      <c r="X7520">
        <v>0.99344809999999995</v>
      </c>
      <c r="Y7520">
        <v>-2.5593520000000002E-2</v>
      </c>
      <c r="Z7520">
        <v>5.5561269999999897E-3</v>
      </c>
      <c r="AA7520">
        <v>0.99965700000000002</v>
      </c>
      <c r="AB7520">
        <v>8</v>
      </c>
      <c r="AC7520">
        <v>10.2057</v>
      </c>
      <c r="AD7520">
        <v>-1.1116691691930001</v>
      </c>
      <c r="AE7520">
        <v>-0.133200000000016</v>
      </c>
      <c r="AF7520">
        <v>-0.26733875887506497</v>
      </c>
      <c r="AG7520">
        <v>-1.1116691691930001</v>
      </c>
      <c r="AH7520">
        <v>10.083365679745899</v>
      </c>
      <c r="AI7520">
        <v>96.289135564736696</v>
      </c>
      <c r="AJ7520">
        <v>91.518718606572804</v>
      </c>
      <c r="AK7520">
        <v>10.147982153374601</v>
      </c>
      <c r="AL7520">
        <v>91.013498844953105</v>
      </c>
      <c r="AM7520">
        <v>83.516039751996402</v>
      </c>
      <c r="AN7520">
        <v>1.0000000363255399</v>
      </c>
    </row>
    <row r="7521" spans="1:40" x14ac:dyDescent="0.25">
      <c r="A7521" t="str">
        <f>"20190312161505296"</f>
        <v>20190312161505296</v>
      </c>
      <c r="B7521" t="str">
        <f>"1552378505284172"</f>
        <v>1552378505284172</v>
      </c>
      <c r="C7521" t="s">
        <v>40</v>
      </c>
      <c r="D7521">
        <v>6.1030519999999999</v>
      </c>
      <c r="E7521">
        <v>0.48156539999999998</v>
      </c>
      <c r="F7521" t="s">
        <v>43</v>
      </c>
      <c r="G7521">
        <v>-157.42189999999999</v>
      </c>
      <c r="H7521">
        <v>1.0275219999999901</v>
      </c>
      <c r="I7521">
        <v>137.87440000000001</v>
      </c>
      <c r="J7521">
        <v>-158.1386</v>
      </c>
      <c r="K7521">
        <v>1.1115759999999999</v>
      </c>
      <c r="L7521">
        <v>137.88980000000001</v>
      </c>
      <c r="M7521">
        <v>0.99899570000000004</v>
      </c>
      <c r="N7521">
        <v>0</v>
      </c>
      <c r="O7521">
        <v>-3.93576E-2</v>
      </c>
      <c r="P7521">
        <v>0.98765619999999998</v>
      </c>
      <c r="Q7521">
        <v>-3.903707E-2</v>
      </c>
      <c r="R7521">
        <v>-0.15169569999999999</v>
      </c>
      <c r="S7521">
        <v>3.0144039999999999</v>
      </c>
      <c r="T7521">
        <v>-0.32319219999999999</v>
      </c>
      <c r="U7521">
        <v>-6.7916870000000004E-2</v>
      </c>
      <c r="V7521">
        <v>0.1126993</v>
      </c>
      <c r="W7521">
        <v>-1.775003E-2</v>
      </c>
      <c r="X7521">
        <v>0.99347059999999998</v>
      </c>
      <c r="Y7521">
        <v>-1.652901E-2</v>
      </c>
      <c r="Z7521">
        <v>5.0903010000000002E-3</v>
      </c>
      <c r="AA7521">
        <v>0.99985049999999998</v>
      </c>
      <c r="AB7521">
        <v>7</v>
      </c>
      <c r="AC7521">
        <v>0.716700000000003</v>
      </c>
      <c r="AD7521">
        <v>-8.4054000000000295E-2</v>
      </c>
      <c r="AE7521">
        <v>-1.53999999999996E-2</v>
      </c>
      <c r="AF7521">
        <v>-1.26520580091283E-2</v>
      </c>
      <c r="AG7521">
        <v>-8.4054000000000295E-2</v>
      </c>
      <c r="AH7521">
        <v>0.70703038669664697</v>
      </c>
      <c r="AI7521">
        <v>96.778607606964201</v>
      </c>
      <c r="AJ7521">
        <v>91.025178235814707</v>
      </c>
      <c r="AK7521">
        <v>0.71212156069050203</v>
      </c>
      <c r="AL7521">
        <v>91.0170552015</v>
      </c>
      <c r="AM7521">
        <v>83.528034204207898</v>
      </c>
      <c r="AN7521">
        <v>1.0000000144249199</v>
      </c>
    </row>
    <row r="7522" spans="1:40" x14ac:dyDescent="0.25">
      <c r="A7522" t="str">
        <f>"20190312161505319"</f>
        <v>20190312161505319</v>
      </c>
      <c r="B7522" t="str">
        <f>"1552378505314428"</f>
        <v>1552378505314428</v>
      </c>
      <c r="C7522" t="s">
        <v>40</v>
      </c>
      <c r="D7522">
        <v>6.2532019999999999</v>
      </c>
      <c r="E7522">
        <v>0.48300969999999999</v>
      </c>
      <c r="F7522" t="s">
        <v>43</v>
      </c>
      <c r="G7522">
        <v>-157.40350000000001</v>
      </c>
      <c r="H7522">
        <v>0.95205969999999995</v>
      </c>
      <c r="I7522">
        <v>137.81319999999999</v>
      </c>
      <c r="J7522">
        <v>-158.05549999999999</v>
      </c>
      <c r="K7522">
        <v>1.1114900000000001</v>
      </c>
      <c r="L7522">
        <v>137.88669999999999</v>
      </c>
      <c r="M7522">
        <v>0.99901039999999997</v>
      </c>
      <c r="N7522">
        <v>0</v>
      </c>
      <c r="O7522">
        <v>-3.912972E-2</v>
      </c>
      <c r="P7522">
        <v>0.98781169999999996</v>
      </c>
      <c r="Q7522">
        <v>-3.8719410000000003E-2</v>
      </c>
      <c r="R7522">
        <v>-0.15076139999999999</v>
      </c>
      <c r="S7522">
        <v>2.964737</v>
      </c>
      <c r="T7522">
        <v>-0.64339760000000001</v>
      </c>
      <c r="U7522">
        <v>-0.30809019999999998</v>
      </c>
      <c r="V7522">
        <v>0.1119865</v>
      </c>
      <c r="W7522">
        <v>-1.7703E-2</v>
      </c>
      <c r="X7522">
        <v>0.99355199999999999</v>
      </c>
      <c r="Y7522">
        <v>6.3786159999999995E-2</v>
      </c>
      <c r="Z7522">
        <v>1.54443299999999E-3</v>
      </c>
      <c r="AA7522">
        <v>0.99796240000000003</v>
      </c>
      <c r="AB7522">
        <v>7</v>
      </c>
      <c r="AC7522">
        <v>0.65199999999998604</v>
      </c>
      <c r="AD7522">
        <v>-0.159430299999999</v>
      </c>
      <c r="AE7522">
        <v>-7.3499999999995597E-2</v>
      </c>
      <c r="AF7522">
        <v>4.5253534914694603E-2</v>
      </c>
      <c r="AG7522">
        <v>-0.159430299999999</v>
      </c>
      <c r="AH7522">
        <v>0.61789524083805303</v>
      </c>
      <c r="AI7522">
        <v>104.430956361668</v>
      </c>
      <c r="AJ7522">
        <v>85.811238860494797</v>
      </c>
      <c r="AK7522">
        <v>0.63973465720615896</v>
      </c>
      <c r="AL7522">
        <v>91.014360198018096</v>
      </c>
      <c r="AM7522">
        <v>83.569146510637594</v>
      </c>
      <c r="AN7522">
        <v>0.99999997454762402</v>
      </c>
    </row>
    <row r="7523" spans="1:40" x14ac:dyDescent="0.25">
      <c r="A7523" t="str">
        <f>"20190312161505338"</f>
        <v>20190312161505338</v>
      </c>
      <c r="B7523" t="str">
        <f>"1552378505334924"</f>
        <v>1552378505334924</v>
      </c>
      <c r="C7523" t="s">
        <v>40</v>
      </c>
      <c r="D7523">
        <v>6.2284680000000003</v>
      </c>
      <c r="E7523">
        <v>0.48372169999999998</v>
      </c>
      <c r="F7523" t="s">
        <v>43</v>
      </c>
      <c r="G7523">
        <v>-157.33760000000001</v>
      </c>
      <c r="H7523">
        <v>0.96256410000000003</v>
      </c>
      <c r="I7523">
        <v>137.8098</v>
      </c>
      <c r="J7523">
        <v>-157.99719999999999</v>
      </c>
      <c r="K7523">
        <v>1.111483</v>
      </c>
      <c r="L7523">
        <v>137.88470000000001</v>
      </c>
      <c r="M7523">
        <v>0.99901740000000006</v>
      </c>
      <c r="N7523">
        <v>0</v>
      </c>
      <c r="O7523">
        <v>-3.8963780000000003E-2</v>
      </c>
      <c r="P7523">
        <v>0.98790509999999998</v>
      </c>
      <c r="Q7523">
        <v>-3.8477740000000003E-2</v>
      </c>
      <c r="R7523">
        <v>-0.1502097</v>
      </c>
      <c r="S7523">
        <v>2.9644780000000002</v>
      </c>
      <c r="T7523">
        <v>-0.6149964</v>
      </c>
      <c r="U7523">
        <v>-0.3172913</v>
      </c>
      <c r="V7523">
        <v>0.1115965</v>
      </c>
      <c r="W7523">
        <v>-1.7479979999999999E-2</v>
      </c>
      <c r="X7523">
        <v>0.99359980000000003</v>
      </c>
      <c r="Y7523">
        <v>6.7001459999999999E-2</v>
      </c>
      <c r="Z7523">
        <v>1.114456E-3</v>
      </c>
      <c r="AA7523">
        <v>0.99775219999999998</v>
      </c>
      <c r="AB7523">
        <v>7</v>
      </c>
      <c r="AC7523">
        <v>0.65959999999998298</v>
      </c>
      <c r="AD7523">
        <v>-0.14891889999999999</v>
      </c>
      <c r="AE7523">
        <v>-7.4900000000013706E-2</v>
      </c>
      <c r="AF7523">
        <v>4.67825733139976E-2</v>
      </c>
      <c r="AG7523">
        <v>-0.14891889999999999</v>
      </c>
      <c r="AH7523">
        <v>0.63029884352134702</v>
      </c>
      <c r="AI7523">
        <v>103.25815691982601</v>
      </c>
      <c r="AJ7523">
        <v>85.755127867873597</v>
      </c>
      <c r="AK7523">
        <v>0.64933972625077996</v>
      </c>
      <c r="AL7523">
        <v>91.001580144360602</v>
      </c>
      <c r="AM7523">
        <v>83.591661453661999</v>
      </c>
      <c r="AN7523">
        <v>0.99999994553654303</v>
      </c>
    </row>
    <row r="7524" spans="1:40" x14ac:dyDescent="0.25">
      <c r="A7524" t="str">
        <f>"20190312161505356"</f>
        <v>20190312161505356</v>
      </c>
      <c r="B7524" t="str">
        <f>"1552378505344684"</f>
        <v>1552378505344684</v>
      </c>
      <c r="C7524" t="s">
        <v>40</v>
      </c>
      <c r="D7524">
        <v>6.0894309999999896</v>
      </c>
      <c r="E7524">
        <v>0.48372169999999998</v>
      </c>
      <c r="F7524" t="s">
        <v>43</v>
      </c>
      <c r="G7524">
        <v>-157.27799999999999</v>
      </c>
      <c r="H7524">
        <v>0.96411380000000002</v>
      </c>
      <c r="I7524">
        <v>137.80670000000001</v>
      </c>
      <c r="J7524">
        <v>-157.9453</v>
      </c>
      <c r="K7524">
        <v>1.111486</v>
      </c>
      <c r="L7524">
        <v>137.8828</v>
      </c>
      <c r="M7524">
        <v>0.99902279999999999</v>
      </c>
      <c r="N7524">
        <v>0</v>
      </c>
      <c r="O7524">
        <v>-3.8809009999999998E-2</v>
      </c>
      <c r="P7524">
        <v>0.98801280000000002</v>
      </c>
      <c r="Q7524">
        <v>-3.8225339999999997E-2</v>
      </c>
      <c r="R7524">
        <v>-0.14956539999999999</v>
      </c>
      <c r="S7524">
        <v>2.9642179999999998</v>
      </c>
      <c r="T7524">
        <v>-0.60734140000000003</v>
      </c>
      <c r="U7524">
        <v>-0.32130429999999999</v>
      </c>
      <c r="V7524">
        <v>0.1111021</v>
      </c>
      <c r="W7524">
        <v>-1.7199240000000001E-2</v>
      </c>
      <c r="X7524">
        <v>0.99366019999999999</v>
      </c>
      <c r="Y7524">
        <v>6.8481390000000003E-2</v>
      </c>
      <c r="Z7524">
        <v>9.1995300000000005E-4</v>
      </c>
      <c r="AA7524">
        <v>0.99765199999999998</v>
      </c>
      <c r="AB7524">
        <v>7</v>
      </c>
      <c r="AC7524">
        <v>0.667300000000011</v>
      </c>
      <c r="AD7524">
        <v>-0.14737219999999901</v>
      </c>
      <c r="AE7524">
        <v>-7.6099999999996698E-2</v>
      </c>
      <c r="AF7524">
        <v>4.78363781076327E-2</v>
      </c>
      <c r="AG7524">
        <v>-0.14737219999999901</v>
      </c>
      <c r="AH7524">
        <v>0.63898530705632295</v>
      </c>
      <c r="AI7524">
        <v>102.95228210229899</v>
      </c>
      <c r="AJ7524">
        <v>85.718650487748306</v>
      </c>
      <c r="AK7524">
        <v>0.65750217264824296</v>
      </c>
      <c r="AL7524">
        <v>90.985492412788801</v>
      </c>
      <c r="AM7524">
        <v>83.620201969640604</v>
      </c>
      <c r="AN7524">
        <v>1.0000000417725099</v>
      </c>
    </row>
    <row r="7525" spans="1:40" x14ac:dyDescent="0.25">
      <c r="A7525" t="str">
        <f>"20190312161505377"</f>
        <v>20190312161505377</v>
      </c>
      <c r="B7525" t="str">
        <f>"1552378505373963"</f>
        <v>1552378505373963</v>
      </c>
      <c r="C7525" t="s">
        <v>40</v>
      </c>
      <c r="D7525">
        <v>6.0668040000000003</v>
      </c>
      <c r="E7525">
        <v>0.48380030000000002</v>
      </c>
      <c r="F7525" t="s">
        <v>43</v>
      </c>
      <c r="G7525">
        <v>-157.2208</v>
      </c>
      <c r="H7525">
        <v>0.96328760000000002</v>
      </c>
      <c r="I7525">
        <v>137.8047</v>
      </c>
      <c r="J7525">
        <v>-157.8845</v>
      </c>
      <c r="K7525">
        <v>1.1114710000000001</v>
      </c>
      <c r="L7525">
        <v>137.88069999999999</v>
      </c>
      <c r="M7525">
        <v>0.9990308</v>
      </c>
      <c r="N7525">
        <v>0</v>
      </c>
      <c r="O7525">
        <v>-3.86209E-2</v>
      </c>
      <c r="P7525">
        <v>0.98797429999999997</v>
      </c>
      <c r="Q7525">
        <v>-3.8872049999999998E-2</v>
      </c>
      <c r="R7525">
        <v>-0.14965339999999999</v>
      </c>
      <c r="S7525">
        <v>2.9646300000000001</v>
      </c>
      <c r="T7525">
        <v>-0.60648440000000003</v>
      </c>
      <c r="U7525">
        <v>-0.319046</v>
      </c>
      <c r="V7525">
        <v>0.11137809999999999</v>
      </c>
      <c r="W7525">
        <v>-1.788004E-2</v>
      </c>
      <c r="X7525">
        <v>0.99361719999999998</v>
      </c>
      <c r="Y7525">
        <v>6.7912769999999997E-2</v>
      </c>
      <c r="Z7525">
        <v>9.3809139999999997E-4</v>
      </c>
      <c r="AA7525">
        <v>0.99769079999999999</v>
      </c>
      <c r="AB7525">
        <v>7</v>
      </c>
      <c r="AC7525">
        <v>0.66370000000000495</v>
      </c>
      <c r="AD7525">
        <v>-0.14818339999999899</v>
      </c>
      <c r="AE7525">
        <v>-7.5999999999993406E-2</v>
      </c>
      <c r="AF7525">
        <v>4.7945756867598097E-2</v>
      </c>
      <c r="AG7525">
        <v>-0.14818339999999899</v>
      </c>
      <c r="AH7525">
        <v>0.63490097667051404</v>
      </c>
      <c r="AI7525">
        <v>103.10141961465899</v>
      </c>
      <c r="AJ7525">
        <v>85.681396983527193</v>
      </c>
      <c r="AK7525">
        <v>0.65372499249633997</v>
      </c>
      <c r="AL7525">
        <v>91.024505465279503</v>
      </c>
      <c r="AM7525">
        <v>83.604209943651</v>
      </c>
      <c r="AN7525">
        <v>0.99999995856292401</v>
      </c>
    </row>
    <row r="7526" spans="1:40" x14ac:dyDescent="0.25">
      <c r="A7526" t="str">
        <f>"20190312161505398"</f>
        <v>20190312161505398</v>
      </c>
      <c r="B7526" t="str">
        <f>"1552378505394460"</f>
        <v>1552378505394460</v>
      </c>
      <c r="C7526" t="s">
        <v>40</v>
      </c>
      <c r="D7526">
        <v>6.2003110000000001</v>
      </c>
      <c r="E7526">
        <v>0.48370249999999998</v>
      </c>
      <c r="F7526" t="s">
        <v>43</v>
      </c>
      <c r="G7526">
        <v>-157.1645</v>
      </c>
      <c r="H7526">
        <v>0.96293850000000003</v>
      </c>
      <c r="I7526">
        <v>137.8032</v>
      </c>
      <c r="J7526">
        <v>-157.82480000000001</v>
      </c>
      <c r="K7526">
        <v>1.111437</v>
      </c>
      <c r="L7526">
        <v>137.87860000000001</v>
      </c>
      <c r="M7526">
        <v>0.99904020000000004</v>
      </c>
      <c r="N7526">
        <v>0</v>
      </c>
      <c r="O7526">
        <v>-3.8435270000000001E-2</v>
      </c>
      <c r="P7526">
        <v>0.98797170000000001</v>
      </c>
      <c r="Q7526">
        <v>-3.858106E-2</v>
      </c>
      <c r="R7526">
        <v>-0.14974599999999999</v>
      </c>
      <c r="S7526">
        <v>2.9641570000000002</v>
      </c>
      <c r="T7526">
        <v>-0.61141840000000003</v>
      </c>
      <c r="U7526">
        <v>-0.31892399999999999</v>
      </c>
      <c r="V7526">
        <v>0.11165509999999999</v>
      </c>
      <c r="W7526">
        <v>-1.7703699999999999E-2</v>
      </c>
      <c r="X7526">
        <v>0.99358930000000001</v>
      </c>
      <c r="Y7526">
        <v>6.8057809999999996E-2</v>
      </c>
      <c r="Z7526">
        <v>8.9320539999999905E-4</v>
      </c>
      <c r="AA7526">
        <v>0.99768100000000004</v>
      </c>
      <c r="AB7526">
        <v>6</v>
      </c>
      <c r="AC7526">
        <v>0.66030000000000599</v>
      </c>
      <c r="AD7526">
        <v>-0.14849849999999901</v>
      </c>
      <c r="AE7526">
        <v>-7.5400000000001896E-2</v>
      </c>
      <c r="AF7526">
        <v>4.7584119200254599E-2</v>
      </c>
      <c r="AG7526">
        <v>-0.14849849999999901</v>
      </c>
      <c r="AH7526">
        <v>0.63119680179008997</v>
      </c>
      <c r="AI7526">
        <v>103.202791277404</v>
      </c>
      <c r="AJ7526">
        <v>85.688790116384695</v>
      </c>
      <c r="AK7526">
        <v>0.65017340417180303</v>
      </c>
      <c r="AL7526">
        <v>91.014400295966794</v>
      </c>
      <c r="AM7526">
        <v>83.588257218991103</v>
      </c>
      <c r="AN7526">
        <v>0.99999998971209503</v>
      </c>
    </row>
    <row r="7527" spans="1:40" x14ac:dyDescent="0.25">
      <c r="A7527" t="str">
        <f>"20190312161505423"</f>
        <v>20190312161505423</v>
      </c>
      <c r="B7527" t="str">
        <f>"1552378505413979"</f>
        <v>1552378505413979</v>
      </c>
      <c r="C7527" t="s">
        <v>40</v>
      </c>
      <c r="D7527">
        <v>6.1122589999999999</v>
      </c>
      <c r="E7527">
        <v>0.48383930000000003</v>
      </c>
      <c r="F7527" t="s">
        <v>43</v>
      </c>
      <c r="G7527">
        <v>-157.10890000000001</v>
      </c>
      <c r="H7527">
        <v>0.96345979999999998</v>
      </c>
      <c r="I7527">
        <v>137.80160000000001</v>
      </c>
      <c r="J7527">
        <v>-157.75909999999999</v>
      </c>
      <c r="K7527">
        <v>1.111402</v>
      </c>
      <c r="L7527">
        <v>137.87629999999999</v>
      </c>
      <c r="M7527">
        <v>0.99905069999999996</v>
      </c>
      <c r="N7527">
        <v>0</v>
      </c>
      <c r="O7527">
        <v>-3.8235760000000001E-2</v>
      </c>
      <c r="P7527">
        <v>0.98797760000000001</v>
      </c>
      <c r="Q7527">
        <v>-3.8776480000000002E-2</v>
      </c>
      <c r="R7527">
        <v>-0.14965629999999999</v>
      </c>
      <c r="S7527">
        <v>2.9643709999999999</v>
      </c>
      <c r="T7527">
        <v>-0.612757199999999</v>
      </c>
      <c r="U7527">
        <v>-0.31828309999999999</v>
      </c>
      <c r="V7527">
        <v>0.1117636</v>
      </c>
      <c r="W7527">
        <v>-1.8029440000000001E-2</v>
      </c>
      <c r="X7527">
        <v>0.99357130000000005</v>
      </c>
      <c r="Y7527">
        <v>6.8030069999999998E-2</v>
      </c>
      <c r="Z7527">
        <v>8.5724279999999998E-4</v>
      </c>
      <c r="AA7527">
        <v>0.99768290000000004</v>
      </c>
      <c r="AB7527">
        <v>6</v>
      </c>
      <c r="AC7527">
        <v>0.65019999999998301</v>
      </c>
      <c r="AD7527">
        <v>-0.1479422</v>
      </c>
      <c r="AE7527">
        <v>-7.4699999999978603E-2</v>
      </c>
      <c r="AF7527">
        <v>4.7359132827820803E-2</v>
      </c>
      <c r="AG7527">
        <v>-0.1479422</v>
      </c>
      <c r="AH7527">
        <v>0.62085722496907603</v>
      </c>
      <c r="AI7527">
        <v>103.36546542427</v>
      </c>
      <c r="AJ7527">
        <v>85.637912110899194</v>
      </c>
      <c r="AK7527">
        <v>0.63999490294794203</v>
      </c>
      <c r="AL7527">
        <v>91.033066745276599</v>
      </c>
      <c r="AM7527">
        <v>83.581963317972097</v>
      </c>
      <c r="AN7527">
        <v>1.0000000455876801</v>
      </c>
    </row>
    <row r="7528" spans="1:40" x14ac:dyDescent="0.25">
      <c r="A7528" t="str">
        <f>"20190312161505446"</f>
        <v>20190312161505446</v>
      </c>
      <c r="B7528" t="str">
        <f>"1552378505434024"</f>
        <v>1552378505434024</v>
      </c>
      <c r="C7528" t="s">
        <v>40</v>
      </c>
      <c r="D7528">
        <v>6.0655299999999999</v>
      </c>
      <c r="E7528">
        <v>0.48391410000000001</v>
      </c>
      <c r="F7528" t="s">
        <v>43</v>
      </c>
      <c r="G7528">
        <v>-157.05359999999999</v>
      </c>
      <c r="H7528">
        <v>0.9658504</v>
      </c>
      <c r="I7528">
        <v>137.80009999999999</v>
      </c>
      <c r="J7528">
        <v>-157.69630000000001</v>
      </c>
      <c r="K7528">
        <v>1.111383</v>
      </c>
      <c r="L7528">
        <v>137.8741</v>
      </c>
      <c r="M7528">
        <v>0.99905940000000004</v>
      </c>
      <c r="N7528">
        <v>0</v>
      </c>
      <c r="O7528">
        <v>-3.8048480000000003E-2</v>
      </c>
      <c r="P7528">
        <v>0.9877996</v>
      </c>
      <c r="Q7528">
        <v>-3.9254610000000002E-2</v>
      </c>
      <c r="R7528">
        <v>-0.15070339999999999</v>
      </c>
      <c r="S7528">
        <v>2.9640499999999999</v>
      </c>
      <c r="T7528">
        <v>-0.61158349999999995</v>
      </c>
      <c r="U7528">
        <v>-0.31973269999999998</v>
      </c>
      <c r="V7528">
        <v>0.11300259999999999</v>
      </c>
      <c r="W7528">
        <v>-1.8587010000000001E-2</v>
      </c>
      <c r="X7528">
        <v>0.99342079999999999</v>
      </c>
      <c r="Y7528">
        <v>6.8695450000000005E-2</v>
      </c>
      <c r="Z7528">
        <v>7.4985250000000002E-4</v>
      </c>
      <c r="AA7528">
        <v>0.99763740000000001</v>
      </c>
      <c r="AB7528">
        <v>6</v>
      </c>
      <c r="AC7528">
        <v>0.64270000000001903</v>
      </c>
      <c r="AD7528">
        <v>-0.14553259999999901</v>
      </c>
      <c r="AE7528">
        <v>-7.4000000000012195E-2</v>
      </c>
      <c r="AF7528">
        <v>4.7103710097434803E-2</v>
      </c>
      <c r="AG7528">
        <v>-0.14553259999999901</v>
      </c>
      <c r="AH7528">
        <v>0.61398076597488505</v>
      </c>
      <c r="AI7528">
        <v>103.29710953504799</v>
      </c>
      <c r="AJ7528">
        <v>85.612944794735895</v>
      </c>
      <c r="AK7528">
        <v>0.63274866902650195</v>
      </c>
      <c r="AL7528">
        <v>91.065018582401294</v>
      </c>
      <c r="AM7528">
        <v>83.510442482197206</v>
      </c>
      <c r="AN7528">
        <v>0.999999975210069</v>
      </c>
    </row>
    <row r="7529" spans="1:40" x14ac:dyDescent="0.25">
      <c r="A7529" t="str">
        <f>"20190312161505471"</f>
        <v>20190312161505471</v>
      </c>
      <c r="B7529" t="str">
        <f>"1552378505464263"</f>
        <v>1552378505464263</v>
      </c>
      <c r="C7529" t="s">
        <v>40</v>
      </c>
      <c r="D7529">
        <v>6.2246759999999997</v>
      </c>
      <c r="E7529">
        <v>0.48394680000000001</v>
      </c>
      <c r="F7529" t="s">
        <v>43</v>
      </c>
      <c r="G7529">
        <v>-156.99979999999999</v>
      </c>
      <c r="H7529">
        <v>0.96824509999999997</v>
      </c>
      <c r="I7529">
        <v>137.798</v>
      </c>
      <c r="J7529">
        <v>-157.63419999999999</v>
      </c>
      <c r="K7529">
        <v>1.111375</v>
      </c>
      <c r="L7529">
        <v>137.87200000000001</v>
      </c>
      <c r="M7529">
        <v>0.99906759999999994</v>
      </c>
      <c r="N7529">
        <v>0</v>
      </c>
      <c r="O7529">
        <v>-3.7864639999999998E-2</v>
      </c>
      <c r="P7529">
        <v>0.98759140000000001</v>
      </c>
      <c r="Q7529">
        <v>-3.9587650000000002E-2</v>
      </c>
      <c r="R7529">
        <v>-0.151976</v>
      </c>
      <c r="S7529">
        <v>2.963562</v>
      </c>
      <c r="T7529">
        <v>-0.6092128</v>
      </c>
      <c r="U7529">
        <v>-0.32293699999999997</v>
      </c>
      <c r="V7529">
        <v>0.1144645</v>
      </c>
      <c r="W7529">
        <v>-1.8979889999999999E-2</v>
      </c>
      <c r="X7529">
        <v>0.99324599999999996</v>
      </c>
      <c r="Y7529">
        <v>6.9938009999999995E-2</v>
      </c>
      <c r="Z7529">
        <v>5.8375720000000003E-4</v>
      </c>
      <c r="AA7529">
        <v>0.99755110000000002</v>
      </c>
      <c r="AB7529">
        <v>6</v>
      </c>
      <c r="AC7529">
        <v>0.63439999999999896</v>
      </c>
      <c r="AD7529">
        <v>-0.1431299</v>
      </c>
      <c r="AE7529">
        <v>-7.4000000000012195E-2</v>
      </c>
      <c r="AF7529">
        <v>4.7533352513747802E-2</v>
      </c>
      <c r="AG7529">
        <v>-0.1431299</v>
      </c>
      <c r="AH7529">
        <v>0.60629987990035905</v>
      </c>
      <c r="AI7529">
        <v>103.24349756790799</v>
      </c>
      <c r="AJ7529">
        <v>85.517232935591593</v>
      </c>
      <c r="AK7529">
        <v>0.624776065676652</v>
      </c>
      <c r="AL7529">
        <v>91.087532907946198</v>
      </c>
      <c r="AM7529">
        <v>83.426071300752398</v>
      </c>
      <c r="AN7529">
        <v>0.99999998725033001</v>
      </c>
    </row>
    <row r="7530" spans="1:40" x14ac:dyDescent="0.25">
      <c r="A7530" t="str">
        <f>"20190312161505490"</f>
        <v>20190312161505490</v>
      </c>
      <c r="B7530" t="str">
        <f>"1552378505484758"</f>
        <v>1552378505484758</v>
      </c>
      <c r="C7530" t="s">
        <v>40</v>
      </c>
      <c r="D7530">
        <v>6.2285329999999997</v>
      </c>
      <c r="E7530">
        <v>0.4837301</v>
      </c>
      <c r="F7530" t="s">
        <v>43</v>
      </c>
      <c r="G7530">
        <v>-156.90170000000001</v>
      </c>
      <c r="H7530">
        <v>0.96213360000000003</v>
      </c>
      <c r="I7530">
        <v>137.7911</v>
      </c>
      <c r="J7530">
        <v>-157.58459999999999</v>
      </c>
      <c r="K7530">
        <v>1.1113649999999999</v>
      </c>
      <c r="L7530">
        <v>137.87029999999999</v>
      </c>
      <c r="M7530">
        <v>0.99907429999999997</v>
      </c>
      <c r="N7530">
        <v>0</v>
      </c>
      <c r="O7530">
        <v>-3.7718080000000001E-2</v>
      </c>
      <c r="P7530">
        <v>0.9874366</v>
      </c>
      <c r="Q7530">
        <v>-3.9612790000000002E-2</v>
      </c>
      <c r="R7530">
        <v>-0.15297040000000001</v>
      </c>
      <c r="S7530">
        <v>2.9632420000000002</v>
      </c>
      <c r="T7530">
        <v>-0.60386589999999996</v>
      </c>
      <c r="U7530">
        <v>-0.3265228</v>
      </c>
      <c r="V7530">
        <v>0.1156099</v>
      </c>
      <c r="W7530">
        <v>-1.9062039999999999E-2</v>
      </c>
      <c r="X7530">
        <v>0.99311179999999999</v>
      </c>
      <c r="Y7530">
        <v>7.1270210000000001E-2</v>
      </c>
      <c r="Z7530">
        <v>4.1530469999999999E-4</v>
      </c>
      <c r="AA7530">
        <v>0.99745700000000004</v>
      </c>
      <c r="AB7530">
        <v>6</v>
      </c>
      <c r="AC7530">
        <v>0.68289999999998896</v>
      </c>
      <c r="AD7530">
        <v>-0.14923139999999999</v>
      </c>
      <c r="AE7530">
        <v>-7.9199999999985907E-2</v>
      </c>
      <c r="AF7530">
        <v>5.0978338887357401E-2</v>
      </c>
      <c r="AG7530">
        <v>-0.14923139999999999</v>
      </c>
      <c r="AH7530">
        <v>0.654559055540199</v>
      </c>
      <c r="AI7530">
        <v>102.80571748868699</v>
      </c>
      <c r="AJ7530">
        <v>85.546682175525802</v>
      </c>
      <c r="AK7530">
        <v>0.67328772376403201</v>
      </c>
      <c r="AL7530">
        <v>91.092240562574702</v>
      </c>
      <c r="AM7530">
        <v>83.359983904676398</v>
      </c>
      <c r="AN7530">
        <v>1.0000000288230999</v>
      </c>
    </row>
    <row r="7531" spans="1:40" x14ac:dyDescent="0.25">
      <c r="A7531" t="str">
        <f>"20190312161505514"</f>
        <v>20190312161505514</v>
      </c>
      <c r="B7531" t="str">
        <f>"1552378505504278"</f>
        <v>1552378505504278</v>
      </c>
      <c r="C7531" t="s">
        <v>40</v>
      </c>
      <c r="D7531">
        <v>6.147119</v>
      </c>
      <c r="E7531">
        <v>0.49956719999999999</v>
      </c>
      <c r="F7531" t="s">
        <v>43</v>
      </c>
      <c r="G7531">
        <v>-156.85329999999999</v>
      </c>
      <c r="H7531">
        <v>0.96158500000000002</v>
      </c>
      <c r="I7531">
        <v>137.7893</v>
      </c>
      <c r="J7531">
        <v>-157.52789999999999</v>
      </c>
      <c r="K7531">
        <v>1.111354</v>
      </c>
      <c r="L7531">
        <v>137.8683</v>
      </c>
      <c r="M7531">
        <v>0.99908180000000002</v>
      </c>
      <c r="N7531">
        <v>0</v>
      </c>
      <c r="O7531">
        <v>-3.7551170000000002E-2</v>
      </c>
      <c r="P7531">
        <v>0.98738809999999999</v>
      </c>
      <c r="Q7531">
        <v>-3.9518959999999999E-2</v>
      </c>
      <c r="R7531">
        <v>-0.15330739999999901</v>
      </c>
      <c r="S7531">
        <v>2.9630429999999999</v>
      </c>
      <c r="T7531">
        <v>-0.60687489999999999</v>
      </c>
      <c r="U7531">
        <v>-0.32778930000000001</v>
      </c>
      <c r="V7531">
        <v>0.11611390000000001</v>
      </c>
      <c r="W7531">
        <v>-1.903372E-2</v>
      </c>
      <c r="X7531">
        <v>0.99305350000000003</v>
      </c>
      <c r="Y7531">
        <v>7.1843409999999996E-2</v>
      </c>
      <c r="Z7531">
        <v>3.2571139999999999E-4</v>
      </c>
      <c r="AA7531">
        <v>0.99741590000000002</v>
      </c>
      <c r="AB7531">
        <v>6</v>
      </c>
      <c r="AC7531">
        <v>0.67459999999999798</v>
      </c>
      <c r="AD7531">
        <v>-0.14976900000000001</v>
      </c>
      <c r="AE7531">
        <v>-7.9000000000007703E-2</v>
      </c>
      <c r="AF7531">
        <v>5.1121215421759701E-2</v>
      </c>
      <c r="AG7531">
        <v>-0.14976900000000001</v>
      </c>
      <c r="AH7531">
        <v>0.64569593807411396</v>
      </c>
      <c r="AI7531">
        <v>103.019471401879</v>
      </c>
      <c r="AJ7531">
        <v>85.473205472694403</v>
      </c>
      <c r="AK7531">
        <v>0.66480626988063796</v>
      </c>
      <c r="AL7531">
        <v>91.090617697251503</v>
      </c>
      <c r="AM7531">
        <v>83.330909016232994</v>
      </c>
      <c r="AN7531">
        <v>0.99999998706624904</v>
      </c>
    </row>
    <row r="7532" spans="1:40" x14ac:dyDescent="0.25">
      <c r="A7532" t="str">
        <f>"20190312161505534"</f>
        <v>20190312161505534</v>
      </c>
      <c r="B7532" t="str">
        <f>"1552378505524774"</f>
        <v>1552378505524774</v>
      </c>
      <c r="C7532" t="s">
        <v>40</v>
      </c>
      <c r="D7532">
        <v>6.1987690000000004</v>
      </c>
      <c r="E7532">
        <v>0.49620170000000002</v>
      </c>
      <c r="F7532" t="s">
        <v>43</v>
      </c>
      <c r="G7532">
        <v>-156.80260000000001</v>
      </c>
      <c r="H7532">
        <v>0.97038230000000003</v>
      </c>
      <c r="I7532">
        <v>137.75630000000001</v>
      </c>
      <c r="J7532">
        <v>-157.4819</v>
      </c>
      <c r="K7532">
        <v>1.111351</v>
      </c>
      <c r="L7532">
        <v>137.86670000000001</v>
      </c>
      <c r="M7532">
        <v>0.99908770000000002</v>
      </c>
      <c r="N7532">
        <v>0</v>
      </c>
      <c r="O7532">
        <v>-3.7416749999999999E-2</v>
      </c>
      <c r="P7532">
        <v>0.98723830000000001</v>
      </c>
      <c r="Q7532">
        <v>-4.000037E-2</v>
      </c>
      <c r="R7532">
        <v>-0.1541438</v>
      </c>
      <c r="S7532">
        <v>2.9449160000000001</v>
      </c>
      <c r="T7532">
        <v>-0.57241629999999999</v>
      </c>
      <c r="U7532">
        <v>-0.45379639999999999</v>
      </c>
      <c r="V7532">
        <v>0.1170889</v>
      </c>
      <c r="W7532">
        <v>-1.9559719999999999E-2</v>
      </c>
      <c r="X7532">
        <v>0.99292879999999994</v>
      </c>
      <c r="Y7532">
        <v>0.11380759999999999</v>
      </c>
      <c r="Z7532">
        <v>-3.736077E-3</v>
      </c>
      <c r="AA7532">
        <v>0.99349580000000004</v>
      </c>
      <c r="AB7532">
        <v>5</v>
      </c>
      <c r="AC7532">
        <v>0.67929999999998303</v>
      </c>
      <c r="AD7532">
        <v>-0.140968699999999</v>
      </c>
      <c r="AE7532">
        <v>-0.110399999999998</v>
      </c>
      <c r="AF7532">
        <v>8.14813934382905E-2</v>
      </c>
      <c r="AG7532">
        <v>-0.140968699999999</v>
      </c>
      <c r="AH7532">
        <v>0.65545514518424297</v>
      </c>
      <c r="AI7532">
        <v>102.04771639017601</v>
      </c>
      <c r="AJ7532">
        <v>82.913760941698001</v>
      </c>
      <c r="AK7532">
        <v>0.67537607242545505</v>
      </c>
      <c r="AL7532">
        <v>91.120760878940899</v>
      </c>
      <c r="AM7532">
        <v>83.2745830899607</v>
      </c>
      <c r="AN7532">
        <v>0.99999999750956403</v>
      </c>
    </row>
    <row r="7533" spans="1:40" x14ac:dyDescent="0.25">
      <c r="A7533" t="str">
        <f>"20190312161505559"</f>
        <v>20190312161505559</v>
      </c>
      <c r="B7533" t="str">
        <f>"1552378505554503"</f>
        <v>1552378505554503</v>
      </c>
      <c r="C7533" t="s">
        <v>40</v>
      </c>
      <c r="D7533">
        <v>6.1423360000000002</v>
      </c>
      <c r="E7533">
        <v>0.49620180000000003</v>
      </c>
      <c r="F7533" t="s">
        <v>43</v>
      </c>
      <c r="G7533">
        <v>-156.75839999999999</v>
      </c>
      <c r="H7533">
        <v>0.96591159999999998</v>
      </c>
      <c r="I7533">
        <v>137.76130000000001</v>
      </c>
      <c r="J7533">
        <v>-157.42400000000001</v>
      </c>
      <c r="K7533">
        <v>1.111348</v>
      </c>
      <c r="L7533">
        <v>137.8648</v>
      </c>
      <c r="M7533">
        <v>0.99909479999999995</v>
      </c>
      <c r="N7533">
        <v>0</v>
      </c>
      <c r="O7533">
        <v>-3.7248620000000003E-2</v>
      </c>
      <c r="P7533">
        <v>0.98707100000000003</v>
      </c>
      <c r="Q7533">
        <v>-4.0854170000000002E-2</v>
      </c>
      <c r="R7533">
        <v>-0.15498970000000001</v>
      </c>
      <c r="S7533">
        <v>2.9477540000000002</v>
      </c>
      <c r="T7533">
        <v>-0.59266379999999996</v>
      </c>
      <c r="U7533">
        <v>-0.42913820000000003</v>
      </c>
      <c r="V7533">
        <v>0.1181073</v>
      </c>
      <c r="W7533">
        <v>-2.0455600000000001E-2</v>
      </c>
      <c r="X7533">
        <v>0.99279010000000001</v>
      </c>
      <c r="Y7533">
        <v>0.1057539</v>
      </c>
      <c r="Z7533">
        <v>-3.099863E-3</v>
      </c>
      <c r="AA7533">
        <v>0.99438749999999998</v>
      </c>
      <c r="AB7533">
        <v>5</v>
      </c>
      <c r="AC7533">
        <v>0.66560000000001196</v>
      </c>
      <c r="AD7533">
        <v>-0.14543639999999999</v>
      </c>
      <c r="AE7533">
        <v>-0.103499999999996</v>
      </c>
      <c r="AF7533">
        <v>7.5127993820922195E-2</v>
      </c>
      <c r="AG7533">
        <v>-0.14543639999999999</v>
      </c>
      <c r="AH7533">
        <v>0.63919658252364198</v>
      </c>
      <c r="AI7533">
        <v>102.733516451893</v>
      </c>
      <c r="AJ7533">
        <v>83.296494043126899</v>
      </c>
      <c r="AK7533">
        <v>0.65982439558599204</v>
      </c>
      <c r="AL7533">
        <v>91.172101327959496</v>
      </c>
      <c r="AM7533">
        <v>83.215691577610997</v>
      </c>
      <c r="AN7533">
        <v>0.99999997427132903</v>
      </c>
    </row>
    <row r="7534" spans="1:40" x14ac:dyDescent="0.25">
      <c r="A7534" t="str">
        <f>"20190312161505579"</f>
        <v>20190312161505579</v>
      </c>
      <c r="B7534" t="str">
        <f>"1552378505574023"</f>
        <v>1552378505574023</v>
      </c>
      <c r="C7534" t="s">
        <v>40</v>
      </c>
      <c r="D7534">
        <v>6.2639149999999999</v>
      </c>
      <c r="E7534">
        <v>0.4963303</v>
      </c>
      <c r="F7534" t="s">
        <v>43</v>
      </c>
      <c r="G7534">
        <v>-156.71270000000001</v>
      </c>
      <c r="H7534">
        <v>0.96765109999999999</v>
      </c>
      <c r="I7534">
        <v>137.76050000000001</v>
      </c>
      <c r="J7534">
        <v>-157.37690000000001</v>
      </c>
      <c r="K7534">
        <v>1.111353</v>
      </c>
      <c r="L7534">
        <v>137.86320000000001</v>
      </c>
      <c r="M7534">
        <v>0.9991004</v>
      </c>
      <c r="N7534">
        <v>0</v>
      </c>
      <c r="O7534">
        <v>-3.7111209999999999E-2</v>
      </c>
      <c r="P7534">
        <v>0.98704919999999996</v>
      </c>
      <c r="Q7534">
        <v>-4.0690860000000002E-2</v>
      </c>
      <c r="R7534">
        <v>-0.15517300000000001</v>
      </c>
      <c r="S7534">
        <v>2.9469599999999998</v>
      </c>
      <c r="T7534">
        <v>-0.59541089999999997</v>
      </c>
      <c r="U7534">
        <v>-0.43110660000000001</v>
      </c>
      <c r="V7534">
        <v>0.1184275</v>
      </c>
      <c r="W7534">
        <v>-2.0321740000000001E-2</v>
      </c>
      <c r="X7534">
        <v>0.99275469999999999</v>
      </c>
      <c r="Y7534">
        <v>0.1065479</v>
      </c>
      <c r="Z7534">
        <v>-3.2209449999999998E-3</v>
      </c>
      <c r="AA7534">
        <v>0.99430229999999997</v>
      </c>
      <c r="AB7534">
        <v>5</v>
      </c>
      <c r="AC7534">
        <v>0.66419999999999302</v>
      </c>
      <c r="AD7534">
        <v>-0.14370189999999899</v>
      </c>
      <c r="AE7534">
        <v>-0.102699999999998</v>
      </c>
      <c r="AF7534">
        <v>7.4565925520655801E-2</v>
      </c>
      <c r="AG7534">
        <v>-0.14370189999999899</v>
      </c>
      <c r="AH7534">
        <v>0.63837076025916195</v>
      </c>
      <c r="AI7534">
        <v>102.603310596038</v>
      </c>
      <c r="AJ7534">
        <v>83.337664493010294</v>
      </c>
      <c r="AK7534">
        <v>0.65857994265405795</v>
      </c>
      <c r="AL7534">
        <v>91.164430124924294</v>
      </c>
      <c r="AM7534">
        <v>83.197230513402204</v>
      </c>
      <c r="AN7534">
        <v>0.99999997012248298</v>
      </c>
    </row>
    <row r="7535" spans="1:40" x14ac:dyDescent="0.25">
      <c r="A7535" t="str">
        <f>"20190312161505623"</f>
        <v>20190312161505623</v>
      </c>
      <c r="B7535" t="str">
        <f>"1552378505614039"</f>
        <v>1552378505614039</v>
      </c>
      <c r="C7535" t="s">
        <v>40</v>
      </c>
      <c r="D7535">
        <v>6.0449270000000004</v>
      </c>
      <c r="E7535">
        <v>0.49517549999999999</v>
      </c>
      <c r="F7535" t="s">
        <v>43</v>
      </c>
      <c r="G7535">
        <v>-156.66730000000001</v>
      </c>
      <c r="H7535">
        <v>0.97124299999999997</v>
      </c>
      <c r="I7535">
        <v>137.75909999999999</v>
      </c>
      <c r="J7535">
        <v>-157.2859</v>
      </c>
      <c r="K7535">
        <v>1.111354</v>
      </c>
      <c r="L7535">
        <v>137.86009999999999</v>
      </c>
      <c r="M7535">
        <v>0.99911130000000004</v>
      </c>
      <c r="N7535">
        <v>0</v>
      </c>
      <c r="O7535">
        <v>-3.6844120000000001E-2</v>
      </c>
      <c r="P7535">
        <v>0.98712979999999995</v>
      </c>
      <c r="Q7535">
        <v>-3.9915829999999999E-2</v>
      </c>
      <c r="R7535">
        <v>-0.15485940000000001</v>
      </c>
      <c r="S7535">
        <v>2.9474179999999999</v>
      </c>
      <c r="T7535">
        <v>-0.58201150000000001</v>
      </c>
      <c r="U7535">
        <v>-0.43237300000000001</v>
      </c>
      <c r="V7535">
        <v>0.1183763</v>
      </c>
      <c r="W7535">
        <v>-1.9598210000000001E-2</v>
      </c>
      <c r="X7535">
        <v>0.99277539999999997</v>
      </c>
      <c r="Y7535">
        <v>0.1072525</v>
      </c>
      <c r="Z7535">
        <v>-3.2697009999999999E-3</v>
      </c>
      <c r="AA7535">
        <v>0.99422650000000001</v>
      </c>
      <c r="AB7535">
        <v>5</v>
      </c>
      <c r="AC7535">
        <v>0.61859999999998605</v>
      </c>
      <c r="AD7535">
        <v>-0.14011100000000001</v>
      </c>
      <c r="AE7535">
        <v>-0.10099999999999899</v>
      </c>
      <c r="AF7535">
        <v>7.44163483973036E-2</v>
      </c>
      <c r="AG7535">
        <v>-0.14011100000000001</v>
      </c>
      <c r="AH7535">
        <v>0.59230506979062203</v>
      </c>
      <c r="AI7535">
        <v>103.208636174894</v>
      </c>
      <c r="AJ7535">
        <v>82.838963296277399</v>
      </c>
      <c r="AK7535">
        <v>0.61318364372303902</v>
      </c>
      <c r="AL7535">
        <v>91.122966594935207</v>
      </c>
      <c r="AM7535">
        <v>83.200284477746706</v>
      </c>
      <c r="AN7535">
        <v>1.0000000165410201</v>
      </c>
    </row>
    <row r="7536" spans="1:40" x14ac:dyDescent="0.25">
      <c r="A7536" t="str">
        <f>"20190312161505647"</f>
        <v>20190312161505647</v>
      </c>
      <c r="B7536" t="str">
        <f>"1552378505634078"</f>
        <v>1552378505634078</v>
      </c>
      <c r="C7536" t="s">
        <v>40</v>
      </c>
      <c r="D7536">
        <v>6.1635289999999996</v>
      </c>
      <c r="E7536">
        <v>0.49543739999999997</v>
      </c>
      <c r="F7536" t="s">
        <v>43</v>
      </c>
      <c r="G7536">
        <v>-156.5821</v>
      </c>
      <c r="H7536">
        <v>0.97486309999999998</v>
      </c>
      <c r="I7536">
        <v>137.75909999999999</v>
      </c>
      <c r="J7536">
        <v>-157.2389</v>
      </c>
      <c r="K7536">
        <v>1.111353</v>
      </c>
      <c r="L7536">
        <v>137.85849999999999</v>
      </c>
      <c r="M7536">
        <v>0.99911680000000003</v>
      </c>
      <c r="N7536">
        <v>0</v>
      </c>
      <c r="O7536">
        <v>-3.670503E-2</v>
      </c>
      <c r="P7536">
        <v>0.98718729999999999</v>
      </c>
      <c r="Q7536">
        <v>-4.0558610000000002E-2</v>
      </c>
      <c r="R7536">
        <v>-0.15432679999999999</v>
      </c>
      <c r="S7536">
        <v>2.9496310000000001</v>
      </c>
      <c r="T7536">
        <v>-0.57209549999999998</v>
      </c>
      <c r="U7536">
        <v>-0.42292790000000002</v>
      </c>
      <c r="V7536">
        <v>0.11798</v>
      </c>
      <c r="W7536">
        <v>-2.0253960000000001E-2</v>
      </c>
      <c r="X7536">
        <v>0.99280939999999995</v>
      </c>
      <c r="Y7536">
        <v>0.1042627</v>
      </c>
      <c r="Z7536">
        <v>-2.9539950000000001E-3</v>
      </c>
      <c r="AA7536">
        <v>0.99454540000000002</v>
      </c>
      <c r="AB7536">
        <v>5</v>
      </c>
      <c r="AC7536">
        <v>0.65680000000000405</v>
      </c>
      <c r="AD7536">
        <v>-0.1364899</v>
      </c>
      <c r="AE7536">
        <v>-9.9400000000002806E-2</v>
      </c>
      <c r="AF7536">
        <v>7.2173063749601099E-2</v>
      </c>
      <c r="AG7536">
        <v>-0.1364899</v>
      </c>
      <c r="AH7536">
        <v>0.63327089561743399</v>
      </c>
      <c r="AI7536">
        <v>102.08706771481501</v>
      </c>
      <c r="AJ7536">
        <v>83.498128019210498</v>
      </c>
      <c r="AK7536">
        <v>0.65182088887141398</v>
      </c>
      <c r="AL7536">
        <v>91.160545778069704</v>
      </c>
      <c r="AM7536">
        <v>83.223066402948305</v>
      </c>
      <c r="AN7536">
        <v>1.00000000401202</v>
      </c>
    </row>
    <row r="7537" spans="1:40" x14ac:dyDescent="0.25">
      <c r="A7537" t="str">
        <f>"20190312161505672"</f>
        <v>20190312161505672</v>
      </c>
      <c r="B7537" t="str">
        <f>"1552378505665298"</f>
        <v>1552378505665298</v>
      </c>
      <c r="C7537" t="s">
        <v>40</v>
      </c>
      <c r="D7537">
        <v>6.1360210000000004</v>
      </c>
      <c r="E7537">
        <v>0.4956313</v>
      </c>
      <c r="F7537" t="s">
        <v>43</v>
      </c>
      <c r="G7537">
        <v>-156.54140000000001</v>
      </c>
      <c r="H7537">
        <v>0.97683949999999997</v>
      </c>
      <c r="I7537">
        <v>137.75839999999999</v>
      </c>
      <c r="J7537">
        <v>-157.19229999999999</v>
      </c>
      <c r="K7537">
        <v>1.1113580000000001</v>
      </c>
      <c r="L7537">
        <v>137.857</v>
      </c>
      <c r="M7537">
        <v>0.99912199999999995</v>
      </c>
      <c r="N7537">
        <v>0</v>
      </c>
      <c r="O7537">
        <v>-3.656417E-2</v>
      </c>
      <c r="P7537">
        <v>0.98721979999999998</v>
      </c>
      <c r="Q7537">
        <v>-4.132508E-2</v>
      </c>
      <c r="R7537">
        <v>-0.15391389999999999</v>
      </c>
      <c r="S7537">
        <v>2.9494630000000002</v>
      </c>
      <c r="T7537">
        <v>-0.56887559999999904</v>
      </c>
      <c r="U7537">
        <v>-0.42285159999999999</v>
      </c>
      <c r="V7537">
        <v>0.117706199999999</v>
      </c>
      <c r="W7537">
        <v>-2.1017020000000001E-2</v>
      </c>
      <c r="X7537">
        <v>0.99282599999999999</v>
      </c>
      <c r="Y7537">
        <v>0.1043943</v>
      </c>
      <c r="Z7537">
        <v>-2.977089E-3</v>
      </c>
      <c r="AA7537">
        <v>0.99453150000000001</v>
      </c>
      <c r="AB7537">
        <v>5</v>
      </c>
      <c r="AC7537">
        <v>0.65089999999997805</v>
      </c>
      <c r="AD7537">
        <v>-0.13451850000000001</v>
      </c>
      <c r="AE7537">
        <v>-9.8600000000004601E-2</v>
      </c>
      <c r="AF7537">
        <v>7.1734354067029105E-2</v>
      </c>
      <c r="AG7537">
        <v>-0.13451850000000001</v>
      </c>
      <c r="AH7537">
        <v>0.62785599648877599</v>
      </c>
      <c r="AI7537">
        <v>102.016946792729</v>
      </c>
      <c r="AJ7537">
        <v>83.482055424654803</v>
      </c>
      <c r="AK7537">
        <v>0.64609921585045804</v>
      </c>
      <c r="AL7537">
        <v>91.2042752544032</v>
      </c>
      <c r="AM7537">
        <v>83.2387600818832</v>
      </c>
      <c r="AN7537">
        <v>0.99999996546205905</v>
      </c>
    </row>
    <row r="7538" spans="1:40" x14ac:dyDescent="0.25">
      <c r="A7538" t="str">
        <f>"20190312161505717"</f>
        <v>20190312161505717</v>
      </c>
      <c r="B7538" t="str">
        <f>"1552378505704339"</f>
        <v>1552378505704339</v>
      </c>
      <c r="C7538" t="s">
        <v>40</v>
      </c>
      <c r="D7538">
        <v>5.0167769999999896</v>
      </c>
      <c r="E7538">
        <v>0.4947879</v>
      </c>
      <c r="F7538" t="s">
        <v>43</v>
      </c>
      <c r="G7538">
        <v>-156.46870000000001</v>
      </c>
      <c r="H7538">
        <v>0.97182500000000005</v>
      </c>
      <c r="I7538">
        <v>137.75319999999999</v>
      </c>
      <c r="J7538">
        <v>-157.1105</v>
      </c>
      <c r="K7538">
        <v>1.1113740000000001</v>
      </c>
      <c r="L7538">
        <v>137.85429999999999</v>
      </c>
      <c r="M7538">
        <v>0.99913110000000005</v>
      </c>
      <c r="N7538">
        <v>0</v>
      </c>
      <c r="O7538">
        <v>-3.6304790000000003E-2</v>
      </c>
      <c r="P7538">
        <v>0.98765049999999999</v>
      </c>
      <c r="Q7538">
        <v>-4.0199770000000003E-2</v>
      </c>
      <c r="R7538">
        <v>-0.15143010000000001</v>
      </c>
      <c r="S7538">
        <v>2.949173</v>
      </c>
      <c r="T7538">
        <v>-0.56878359999999994</v>
      </c>
      <c r="U7538">
        <v>-0.42240909999999898</v>
      </c>
      <c r="V7538">
        <v>0.1154657</v>
      </c>
      <c r="W7538">
        <v>-1.9871449999999999E-2</v>
      </c>
      <c r="X7538">
        <v>0.99311269999999996</v>
      </c>
      <c r="Y7538">
        <v>0.1045133</v>
      </c>
      <c r="Z7538">
        <v>-3.0374780000000001E-3</v>
      </c>
      <c r="AA7538">
        <v>0.99451889999999998</v>
      </c>
      <c r="AB7538">
        <v>4</v>
      </c>
      <c r="AC7538">
        <v>0.64179999999998905</v>
      </c>
      <c r="AD7538">
        <v>-0.13954900000000001</v>
      </c>
      <c r="AE7538">
        <v>-0.10110000000000199</v>
      </c>
      <c r="AF7538">
        <v>7.4300350523268999E-2</v>
      </c>
      <c r="AG7538">
        <v>-0.13954900000000001</v>
      </c>
      <c r="AH7538">
        <v>0.61660237828961495</v>
      </c>
      <c r="AI7538">
        <v>102.663686727406</v>
      </c>
      <c r="AJ7538">
        <v>83.129008664958306</v>
      </c>
      <c r="AK7538">
        <v>0.63654768745263002</v>
      </c>
      <c r="AL7538">
        <v>91.138625140629301</v>
      </c>
      <c r="AM7538">
        <v>83.368198120778999</v>
      </c>
      <c r="AN7538">
        <v>1.0000000186514399</v>
      </c>
    </row>
    <row r="7539" spans="1:40" x14ac:dyDescent="0.25">
      <c r="A7539" t="str">
        <f>"20190312161505735"</f>
        <v>20190312161505735</v>
      </c>
      <c r="B7539" t="str">
        <f>"1552378505724834"</f>
        <v>1552378505724834</v>
      </c>
      <c r="C7539" t="s">
        <v>40</v>
      </c>
      <c r="D7539">
        <v>6.145613</v>
      </c>
      <c r="E7539">
        <v>0.49416779999999999</v>
      </c>
      <c r="F7539" t="s">
        <v>43</v>
      </c>
      <c r="G7539">
        <v>-156.39709999999999</v>
      </c>
      <c r="H7539">
        <v>0.97476450000000003</v>
      </c>
      <c r="I7539">
        <v>137.75530000000001</v>
      </c>
      <c r="J7539">
        <v>-157.07990000000001</v>
      </c>
      <c r="K7539">
        <v>1.1113919999999999</v>
      </c>
      <c r="L7539">
        <v>137.85329999999999</v>
      </c>
      <c r="M7539">
        <v>0.99913470000000004</v>
      </c>
      <c r="N7539">
        <v>0</v>
      </c>
      <c r="O7539">
        <v>-3.6203279999999997E-2</v>
      </c>
      <c r="P7539">
        <v>0.98775170000000001</v>
      </c>
      <c r="Q7539">
        <v>-4.0274020000000001E-2</v>
      </c>
      <c r="R7539">
        <v>-0.15074749999999901</v>
      </c>
      <c r="S7539">
        <v>2.951813</v>
      </c>
      <c r="T7539">
        <v>-0.5653454</v>
      </c>
      <c r="U7539">
        <v>-0.40882869999999999</v>
      </c>
      <c r="V7539">
        <v>0.114881</v>
      </c>
      <c r="W7539">
        <v>-1.9939729999999999E-2</v>
      </c>
      <c r="X7539">
        <v>0.99317909999999998</v>
      </c>
      <c r="Y7539">
        <v>0.10009460000000001</v>
      </c>
      <c r="Z7539">
        <v>-2.6193689999999999E-3</v>
      </c>
      <c r="AA7539">
        <v>0.99497449999999998</v>
      </c>
      <c r="AB7539">
        <v>4</v>
      </c>
      <c r="AC7539">
        <v>0.68280000000001395</v>
      </c>
      <c r="AD7539">
        <v>-0.13662749999999901</v>
      </c>
      <c r="AE7539">
        <v>-9.7999999999984697E-2</v>
      </c>
      <c r="AF7539">
        <v>7.0447204902287494E-2</v>
      </c>
      <c r="AG7539">
        <v>-0.13662749999999901</v>
      </c>
      <c r="AH7539">
        <v>0.66000784044296301</v>
      </c>
      <c r="AI7539">
        <v>101.631288592456</v>
      </c>
      <c r="AJ7539">
        <v>83.907491866748302</v>
      </c>
      <c r="AK7539">
        <v>0.67767265835429602</v>
      </c>
      <c r="AL7539">
        <v>91.142538114886605</v>
      </c>
      <c r="AM7539">
        <v>83.401920879065401</v>
      </c>
      <c r="AN7539">
        <v>0.99999998083514097</v>
      </c>
    </row>
    <row r="7540" spans="1:40" x14ac:dyDescent="0.25">
      <c r="A7540" t="str">
        <f>"20190312161505759"</f>
        <v>20190312161505759</v>
      </c>
      <c r="B7540" t="str">
        <f>"1552378505754620"</f>
        <v>1552378505754620</v>
      </c>
      <c r="C7540" t="s">
        <v>40</v>
      </c>
      <c r="D7540">
        <v>6.143637</v>
      </c>
      <c r="E7540">
        <v>0.49440129999999999</v>
      </c>
      <c r="F7540" t="s">
        <v>43</v>
      </c>
      <c r="G7540">
        <v>-156.3646</v>
      </c>
      <c r="H7540">
        <v>0.97352300000000003</v>
      </c>
      <c r="I7540">
        <v>137.756</v>
      </c>
      <c r="J7540">
        <v>-157.04409999999999</v>
      </c>
      <c r="K7540">
        <v>1.111394</v>
      </c>
      <c r="L7540">
        <v>137.85210000000001</v>
      </c>
      <c r="M7540">
        <v>0.99913879999999999</v>
      </c>
      <c r="N7540">
        <v>0</v>
      </c>
      <c r="O7540">
        <v>-3.6082009999999998E-2</v>
      </c>
      <c r="P7540">
        <v>0.98772559999999998</v>
      </c>
      <c r="Q7540">
        <v>-4.0996919999999999E-2</v>
      </c>
      <c r="R7540">
        <v>-0.150723</v>
      </c>
      <c r="S7540">
        <v>2.9526819999999998</v>
      </c>
      <c r="T7540">
        <v>-0.56914900000000002</v>
      </c>
      <c r="U7540">
        <v>-0.40171810000000002</v>
      </c>
      <c r="V7540">
        <v>0.1149777</v>
      </c>
      <c r="W7540">
        <v>-2.065647E-2</v>
      </c>
      <c r="X7540">
        <v>0.99315330000000002</v>
      </c>
      <c r="Y7540">
        <v>9.7846820000000001E-2</v>
      </c>
      <c r="Z7540">
        <v>-2.445582E-3</v>
      </c>
      <c r="AA7540">
        <v>0.99519849999999999</v>
      </c>
      <c r="AB7540">
        <v>4</v>
      </c>
      <c r="AC7540">
        <v>0.67949999999999</v>
      </c>
      <c r="AD7540">
        <v>-0.13787099999999999</v>
      </c>
      <c r="AE7540">
        <v>-9.6100000000006902E-2</v>
      </c>
      <c r="AF7540">
        <v>6.8740078959498505E-2</v>
      </c>
      <c r="AG7540">
        <v>-0.13787099999999999</v>
      </c>
      <c r="AH7540">
        <v>0.65604660785053104</v>
      </c>
      <c r="AI7540">
        <v>101.805445665813</v>
      </c>
      <c r="AJ7540">
        <v>84.018416815446002</v>
      </c>
      <c r="AK7540">
        <v>0.67389224863367103</v>
      </c>
      <c r="AL7540">
        <v>91.183612710569705</v>
      </c>
      <c r="AM7540">
        <v>83.396246008869795</v>
      </c>
      <c r="AN7540">
        <v>1.0000000192755201</v>
      </c>
    </row>
    <row r="7541" spans="1:40" x14ac:dyDescent="0.25">
      <c r="A7541" t="str">
        <f>"20190312161505779"</f>
        <v>20190312161505779</v>
      </c>
      <c r="B7541" t="str">
        <f>"1552378505774141"</f>
        <v>1552378505774141</v>
      </c>
      <c r="C7541" t="s">
        <v>40</v>
      </c>
      <c r="D7541">
        <v>6.1951409999999996</v>
      </c>
      <c r="E7541">
        <v>0.50618450000000004</v>
      </c>
      <c r="F7541" t="s">
        <v>43</v>
      </c>
      <c r="G7541">
        <v>-156.33250000000001</v>
      </c>
      <c r="H7541">
        <v>0.97443489999999999</v>
      </c>
      <c r="I7541">
        <v>137.75489999999999</v>
      </c>
      <c r="J7541">
        <v>-157.0086</v>
      </c>
      <c r="K7541">
        <v>1.111418</v>
      </c>
      <c r="L7541">
        <v>137.851</v>
      </c>
      <c r="M7541">
        <v>0.99914309999999995</v>
      </c>
      <c r="N7541">
        <v>0</v>
      </c>
      <c r="O7541">
        <v>-3.5959720000000001E-2</v>
      </c>
      <c r="P7541">
        <v>0.98766209999999999</v>
      </c>
      <c r="Q7541">
        <v>-4.0656579999999998E-2</v>
      </c>
      <c r="R7541">
        <v>-0.15123020000000001</v>
      </c>
      <c r="S7541">
        <v>2.952194</v>
      </c>
      <c r="T7541">
        <v>-0.56822220000000001</v>
      </c>
      <c r="U7541">
        <v>-0.4030762</v>
      </c>
      <c r="V7541">
        <v>0.11560860000000001</v>
      </c>
      <c r="W7541">
        <v>-2.0309270000000001E-2</v>
      </c>
      <c r="X7541">
        <v>0.99308719999999995</v>
      </c>
      <c r="Y7541">
        <v>9.8430649999999995E-2</v>
      </c>
      <c r="Z7541">
        <v>-2.5206130000000001E-3</v>
      </c>
      <c r="AA7541">
        <v>0.99514069999999999</v>
      </c>
      <c r="AB7541">
        <v>4</v>
      </c>
      <c r="AC7541">
        <v>0.67609999999999004</v>
      </c>
      <c r="AD7541">
        <v>-0.1369831</v>
      </c>
      <c r="AE7541">
        <v>-9.6100000000006902E-2</v>
      </c>
      <c r="AF7541">
        <v>6.8946161738991596E-2</v>
      </c>
      <c r="AG7541">
        <v>-0.1369831</v>
      </c>
      <c r="AH7541">
        <v>0.65285027597756595</v>
      </c>
      <c r="AI7541">
        <v>101.78637752308801</v>
      </c>
      <c r="AJ7541">
        <v>83.971457631213397</v>
      </c>
      <c r="AK7541">
        <v>0.67062017994400702</v>
      </c>
      <c r="AL7541">
        <v>91.163715463315697</v>
      </c>
      <c r="AM7541">
        <v>83.359894892199193</v>
      </c>
      <c r="AN7541">
        <v>1.00000000082286</v>
      </c>
    </row>
    <row r="7542" spans="1:40" x14ac:dyDescent="0.25">
      <c r="A7542" t="str">
        <f>"20190312161505801"</f>
        <v>20190312161505801</v>
      </c>
      <c r="B7542" t="str">
        <f>"1552378505794636"</f>
        <v>1552378505794636</v>
      </c>
      <c r="C7542" t="s">
        <v>40</v>
      </c>
      <c r="D7542">
        <v>6.2001489999999997</v>
      </c>
      <c r="E7542">
        <v>0.49651909999999999</v>
      </c>
      <c r="F7542" t="s">
        <v>43</v>
      </c>
      <c r="G7542">
        <v>-156.33340000000001</v>
      </c>
      <c r="H7542">
        <v>0.91228500000000001</v>
      </c>
      <c r="I7542">
        <v>137.73679999999999</v>
      </c>
      <c r="J7542">
        <v>-156.977</v>
      </c>
      <c r="K7542">
        <v>1.1114389999999901</v>
      </c>
      <c r="L7542">
        <v>137.85</v>
      </c>
      <c r="M7542">
        <v>0.99914689999999995</v>
      </c>
      <c r="N7542">
        <v>0</v>
      </c>
      <c r="O7542">
        <v>-3.584971E-2</v>
      </c>
      <c r="P7542">
        <v>0.98767910000000003</v>
      </c>
      <c r="Q7542">
        <v>-3.9591729999999999E-2</v>
      </c>
      <c r="R7542">
        <v>-0.15140229999999999</v>
      </c>
      <c r="S7542">
        <v>2.9262389999999998</v>
      </c>
      <c r="T7542">
        <v>-0.86305580000000004</v>
      </c>
      <c r="U7542">
        <v>-0.49429319999999999</v>
      </c>
      <c r="V7542">
        <v>0.1158892</v>
      </c>
      <c r="W7542">
        <v>-1.9237460000000001E-2</v>
      </c>
      <c r="X7542">
        <v>0.99307579999999995</v>
      </c>
      <c r="Y7542">
        <v>0.12731110000000001</v>
      </c>
      <c r="Z7542">
        <v>-7.9839809999999994E-3</v>
      </c>
      <c r="AA7542">
        <v>0.99183069999999895</v>
      </c>
      <c r="AB7542">
        <v>4</v>
      </c>
      <c r="AC7542">
        <v>0.64359999999999196</v>
      </c>
      <c r="AD7542">
        <v>-0.199153999999999</v>
      </c>
      <c r="AE7542">
        <v>-0.113200000000006</v>
      </c>
      <c r="AF7542">
        <v>8.2396619925535403E-2</v>
      </c>
      <c r="AG7542">
        <v>-0.199153999999999</v>
      </c>
      <c r="AH7542">
        <v>0.59223898788528395</v>
      </c>
      <c r="AI7542">
        <v>108.42111129150599</v>
      </c>
      <c r="AJ7542">
        <v>82.079435482608304</v>
      </c>
      <c r="AK7542">
        <v>0.63023688995689497</v>
      </c>
      <c r="AL7542">
        <v>91.102293301090697</v>
      </c>
      <c r="AM7542">
        <v>83.343847042773305</v>
      </c>
      <c r="AN7542">
        <v>0.999999965544765</v>
      </c>
    </row>
    <row r="7543" spans="1:40" x14ac:dyDescent="0.25">
      <c r="A7543" t="str">
        <f>"20190312161505824"</f>
        <v>20190312161505824</v>
      </c>
      <c r="B7543" t="str">
        <f>"1552378505814156"</f>
        <v>1552378505814156</v>
      </c>
      <c r="C7543" t="s">
        <v>40</v>
      </c>
      <c r="D7543">
        <v>5.7628959999999996</v>
      </c>
      <c r="E7543">
        <v>0.4963669</v>
      </c>
      <c r="F7543" t="s">
        <v>43</v>
      </c>
      <c r="G7543">
        <v>-156.27119999999999</v>
      </c>
      <c r="H7543">
        <v>0.97842739999999995</v>
      </c>
      <c r="I7543">
        <v>137.74889999999999</v>
      </c>
      <c r="J7543">
        <v>-156.94380000000001</v>
      </c>
      <c r="K7543">
        <v>1.111443</v>
      </c>
      <c r="L7543">
        <v>137.84889999999999</v>
      </c>
      <c r="M7543">
        <v>0.99915089999999995</v>
      </c>
      <c r="N7543">
        <v>0</v>
      </c>
      <c r="O7543">
        <v>-3.5733630000000002E-2</v>
      </c>
      <c r="P7543">
        <v>0.98735949999999995</v>
      </c>
      <c r="Q7543">
        <v>-3.9701689999999998E-2</v>
      </c>
      <c r="R7543">
        <v>-0.15344530000000001</v>
      </c>
      <c r="S7543">
        <v>2.9504700000000001</v>
      </c>
      <c r="T7543">
        <v>-0.55608080000000004</v>
      </c>
      <c r="U7543">
        <v>-0.42196660000000002</v>
      </c>
      <c r="V7543">
        <v>0.1180572</v>
      </c>
      <c r="W7543">
        <v>-1.9346499999999999E-2</v>
      </c>
      <c r="X7543">
        <v>0.99281830000000004</v>
      </c>
      <c r="Y7543">
        <v>0.1049123</v>
      </c>
      <c r="Z7543">
        <v>-3.1126679999999999E-3</v>
      </c>
      <c r="AA7543">
        <v>0.99447660000000004</v>
      </c>
      <c r="AB7543">
        <v>3</v>
      </c>
      <c r="AC7543">
        <v>0.67260000000001696</v>
      </c>
      <c r="AD7543">
        <v>-0.13301559999999901</v>
      </c>
      <c r="AE7543">
        <v>-9.9999999999994302E-2</v>
      </c>
      <c r="AF7543">
        <v>7.3099497203520297E-2</v>
      </c>
      <c r="AG7543">
        <v>-0.13301559999999901</v>
      </c>
      <c r="AH7543">
        <v>0.65084030109829005</v>
      </c>
      <c r="AI7543">
        <v>101.480514958181</v>
      </c>
      <c r="AJ7543">
        <v>83.591648666871194</v>
      </c>
      <c r="AK7543">
        <v>0.66830366142082398</v>
      </c>
      <c r="AL7543">
        <v>91.108541976490898</v>
      </c>
      <c r="AM7543">
        <v>83.218733436618606</v>
      </c>
      <c r="AN7543">
        <v>0.99999998317448902</v>
      </c>
    </row>
    <row r="7544" spans="1:40" x14ac:dyDescent="0.25">
      <c r="A7544" t="str">
        <f>"20190312161505847"</f>
        <v>20190312161505847</v>
      </c>
      <c r="B7544" t="str">
        <f>"1552378505843945"</f>
        <v>1552378505843945</v>
      </c>
      <c r="C7544" t="s">
        <v>40</v>
      </c>
      <c r="D7544">
        <v>6.2023529999999996</v>
      </c>
      <c r="E7544">
        <v>0.49636429999999998</v>
      </c>
      <c r="F7544" t="s">
        <v>43</v>
      </c>
      <c r="G7544">
        <v>-156.24209999999999</v>
      </c>
      <c r="H7544">
        <v>0.98138400000000003</v>
      </c>
      <c r="I7544">
        <v>137.7473</v>
      </c>
      <c r="J7544">
        <v>-156.91329999999999</v>
      </c>
      <c r="K7544">
        <v>1.111459</v>
      </c>
      <c r="L7544">
        <v>137.84790000000001</v>
      </c>
      <c r="M7544">
        <v>0.9991544</v>
      </c>
      <c r="N7544">
        <v>0</v>
      </c>
      <c r="O7544">
        <v>-3.5627810000000003E-2</v>
      </c>
      <c r="P7544">
        <v>0.98721610000000004</v>
      </c>
      <c r="Q7544">
        <v>-3.9677520000000001E-2</v>
      </c>
      <c r="R7544">
        <v>-0.15437029999999999</v>
      </c>
      <c r="S7544">
        <v>2.9500730000000002</v>
      </c>
      <c r="T7544">
        <v>-0.54683510000000002</v>
      </c>
      <c r="U7544">
        <v>-0.42687989999999998</v>
      </c>
      <c r="V7544">
        <v>0.11909169999999999</v>
      </c>
      <c r="W7544">
        <v>-1.9319590000000001E-2</v>
      </c>
      <c r="X7544">
        <v>0.99269529999999995</v>
      </c>
      <c r="Y7544">
        <v>0.106666899999999</v>
      </c>
      <c r="Z7544">
        <v>-3.2416290000000002E-3</v>
      </c>
      <c r="AA7544">
        <v>0.99428950000000005</v>
      </c>
      <c r="AB7544">
        <v>3</v>
      </c>
      <c r="AC7544">
        <v>0.67119999999999802</v>
      </c>
      <c r="AD7544">
        <v>-0.130074999999999</v>
      </c>
      <c r="AE7544">
        <v>-0.100600000000014</v>
      </c>
      <c r="AF7544">
        <v>7.3903127976233898E-2</v>
      </c>
      <c r="AG7544">
        <v>-0.130074999999999</v>
      </c>
      <c r="AH7544">
        <v>0.65046617513941896</v>
      </c>
      <c r="AI7544">
        <v>101.237945333545</v>
      </c>
      <c r="AJ7544">
        <v>83.518098793750298</v>
      </c>
      <c r="AK7544">
        <v>0.66744844216626797</v>
      </c>
      <c r="AL7544">
        <v>91.106999819035906</v>
      </c>
      <c r="AM7544">
        <v>83.159032310893593</v>
      </c>
      <c r="AN7544">
        <v>1.0000000191043701</v>
      </c>
    </row>
    <row r="7545" spans="1:40" x14ac:dyDescent="0.25">
      <c r="A7545" t="str">
        <f>"20190312161505873"</f>
        <v>20190312161505873</v>
      </c>
      <c r="B7545" t="str">
        <f>"1552378505865415"</f>
        <v>1552378505865415</v>
      </c>
      <c r="C7545" t="s">
        <v>40</v>
      </c>
      <c r="D7545">
        <v>6.2064219999999999</v>
      </c>
      <c r="E7545">
        <v>0.49605850000000001</v>
      </c>
      <c r="F7545" t="s">
        <v>43</v>
      </c>
      <c r="G7545">
        <v>-156.21539999999999</v>
      </c>
      <c r="H7545">
        <v>0.98197719999999999</v>
      </c>
      <c r="I7545">
        <v>137.74610000000001</v>
      </c>
      <c r="J7545">
        <v>-156.88380000000001</v>
      </c>
      <c r="K7545">
        <v>1.111475</v>
      </c>
      <c r="L7545">
        <v>137.84700000000001</v>
      </c>
      <c r="M7545">
        <v>0.99915810000000005</v>
      </c>
      <c r="N7545">
        <v>0</v>
      </c>
      <c r="O7545">
        <v>-3.5526870000000002E-2</v>
      </c>
      <c r="P7545">
        <v>0.98714930000000001</v>
      </c>
      <c r="Q7545">
        <v>-3.9201600000000003E-2</v>
      </c>
      <c r="R7545">
        <v>-0.1549181</v>
      </c>
      <c r="S7545">
        <v>2.949646</v>
      </c>
      <c r="T7545">
        <v>-0.54735269999999903</v>
      </c>
      <c r="U7545">
        <v>-0.42976379999999997</v>
      </c>
      <c r="V7545">
        <v>0.1197418</v>
      </c>
      <c r="W7545">
        <v>-1.8839749999999999E-2</v>
      </c>
      <c r="X7545">
        <v>0.99262629999999996</v>
      </c>
      <c r="Y7545">
        <v>0.1077182</v>
      </c>
      <c r="Z7545">
        <v>-3.3595779999999998E-3</v>
      </c>
      <c r="AA7545">
        <v>0.99417580000000005</v>
      </c>
      <c r="AB7545">
        <v>3</v>
      </c>
      <c r="AC7545">
        <v>0.66840000000001898</v>
      </c>
      <c r="AD7545">
        <v>-0.1294978</v>
      </c>
      <c r="AE7545">
        <v>-0.10089999999999499</v>
      </c>
      <c r="AF7545">
        <v>7.4356242931288605E-2</v>
      </c>
      <c r="AG7545">
        <v>-0.1294978</v>
      </c>
      <c r="AH7545">
        <v>0.64778941258668199</v>
      </c>
      <c r="AI7545">
        <v>101.23295826485401</v>
      </c>
      <c r="AJ7545">
        <v>83.451984817389899</v>
      </c>
      <c r="AK7545">
        <v>0.66477789834432299</v>
      </c>
      <c r="AL7545">
        <v>91.079502024158799</v>
      </c>
      <c r="AM7545">
        <v>83.121571950994706</v>
      </c>
      <c r="AN7545">
        <v>1.00000000314949</v>
      </c>
    </row>
    <row r="7546" spans="1:40" x14ac:dyDescent="0.25">
      <c r="A7546" t="str">
        <f>"20190312161505893"</f>
        <v>20190312161505893</v>
      </c>
      <c r="B7546" t="str">
        <f>"1552378505884936"</f>
        <v>1552378505884936</v>
      </c>
      <c r="C7546" t="s">
        <v>40</v>
      </c>
      <c r="D7546">
        <v>6.2996610000000004</v>
      </c>
      <c r="E7546">
        <v>0.4958862</v>
      </c>
      <c r="F7546" t="s">
        <v>43</v>
      </c>
      <c r="G7546">
        <v>-156.1679</v>
      </c>
      <c r="H7546">
        <v>0.97961779999999998</v>
      </c>
      <c r="I7546">
        <v>137.74279999999999</v>
      </c>
      <c r="J7546">
        <v>-156.85839999999999</v>
      </c>
      <c r="K7546">
        <v>1.111477</v>
      </c>
      <c r="L7546">
        <v>137.84620000000001</v>
      </c>
      <c r="M7546">
        <v>0.99916090000000002</v>
      </c>
      <c r="N7546">
        <v>0</v>
      </c>
      <c r="O7546">
        <v>-3.5440689999999997E-2</v>
      </c>
      <c r="P7546">
        <v>0.98721619999999999</v>
      </c>
      <c r="Q7546">
        <v>-3.9289530000000003E-2</v>
      </c>
      <c r="R7546">
        <v>-0.15446969999999999</v>
      </c>
      <c r="S7546">
        <v>2.9501949999999999</v>
      </c>
      <c r="T7546">
        <v>-0.54346049999999901</v>
      </c>
      <c r="U7546">
        <v>-0.42881770000000002</v>
      </c>
      <c r="V7546">
        <v>0.1193765</v>
      </c>
      <c r="W7546">
        <v>-1.8922169999999999E-2</v>
      </c>
      <c r="X7546">
        <v>0.99266869999999996</v>
      </c>
      <c r="Y7546">
        <v>0.107485</v>
      </c>
      <c r="Z7546">
        <v>-3.3299890000000002E-3</v>
      </c>
      <c r="AA7546">
        <v>0.99420109999999995</v>
      </c>
      <c r="AB7546">
        <v>3</v>
      </c>
      <c r="AC7546">
        <v>0.69049999999998501</v>
      </c>
      <c r="AD7546">
        <v>-0.13185920000000001</v>
      </c>
      <c r="AE7546">
        <v>-0.103400000000021</v>
      </c>
      <c r="AF7546">
        <v>7.6142317609622603E-2</v>
      </c>
      <c r="AG7546">
        <v>-0.13185920000000001</v>
      </c>
      <c r="AH7546">
        <v>0.669840401187762</v>
      </c>
      <c r="AI7546">
        <v>101.06688536548</v>
      </c>
      <c r="AJ7546">
        <v>83.514891994258207</v>
      </c>
      <c r="AK7546">
        <v>0.68692842728990799</v>
      </c>
      <c r="AL7546">
        <v>91.084225217359503</v>
      </c>
      <c r="AM7546">
        <v>83.142646174071999</v>
      </c>
      <c r="AN7546">
        <v>0.99999997261472395</v>
      </c>
    </row>
    <row r="7547" spans="1:40" x14ac:dyDescent="0.25">
      <c r="A7547" t="str">
        <f>"20190312161505916"</f>
        <v>20190312161505916</v>
      </c>
      <c r="B7547" t="str">
        <f>"1552378505904457"</f>
        <v>1552378505904457</v>
      </c>
      <c r="C7547" t="s">
        <v>40</v>
      </c>
      <c r="D7547">
        <v>6.3363759999999996</v>
      </c>
      <c r="E7547">
        <v>0.49592770000000003</v>
      </c>
      <c r="F7547" t="s">
        <v>43</v>
      </c>
      <c r="G7547">
        <v>-156.1456</v>
      </c>
      <c r="H7547">
        <v>0.97942470000000004</v>
      </c>
      <c r="I7547">
        <v>137.74340000000001</v>
      </c>
      <c r="J7547">
        <v>-156.834</v>
      </c>
      <c r="K7547">
        <v>1.111491</v>
      </c>
      <c r="L7547">
        <v>137.84540000000001</v>
      </c>
      <c r="M7547">
        <v>0.99916369999999999</v>
      </c>
      <c r="N7547">
        <v>0</v>
      </c>
      <c r="O7547">
        <v>-3.5359139999999997E-2</v>
      </c>
      <c r="P7547">
        <v>0.98741469999999998</v>
      </c>
      <c r="Q7547">
        <v>-3.8415480000000002E-2</v>
      </c>
      <c r="R7547">
        <v>-0.153416</v>
      </c>
      <c r="S7547">
        <v>2.9504999999999999</v>
      </c>
      <c r="T7547">
        <v>-0.54662230000000001</v>
      </c>
      <c r="U7547">
        <v>-0.42556759999999899</v>
      </c>
      <c r="V7547">
        <v>0.1183974</v>
      </c>
      <c r="W7547">
        <v>-1.804091E-2</v>
      </c>
      <c r="X7547">
        <v>0.99280239999999997</v>
      </c>
      <c r="Y7547">
        <v>0.1064804</v>
      </c>
      <c r="Z7547">
        <v>-3.2720039999999998E-3</v>
      </c>
      <c r="AA7547">
        <v>0.99430940000000001</v>
      </c>
      <c r="AB7547">
        <v>3</v>
      </c>
      <c r="AC7547">
        <v>0.68840000000000101</v>
      </c>
      <c r="AD7547">
        <v>-0.1320663</v>
      </c>
      <c r="AE7547">
        <v>-0.102000000000003</v>
      </c>
      <c r="AF7547">
        <v>7.4892643850275498E-2</v>
      </c>
      <c r="AG7547">
        <v>-0.1320663</v>
      </c>
      <c r="AH7547">
        <v>0.667536116985749</v>
      </c>
      <c r="AI7547">
        <v>101.122934844951</v>
      </c>
      <c r="AJ7547">
        <v>83.598603808331305</v>
      </c>
      <c r="AK7547">
        <v>0.68458372985266402</v>
      </c>
      <c r="AL7547">
        <v>91.033724069361398</v>
      </c>
      <c r="AM7547">
        <v>83.199267036456703</v>
      </c>
      <c r="AN7547">
        <v>1.0000000121030701</v>
      </c>
    </row>
    <row r="7548" spans="1:40" x14ac:dyDescent="0.25">
      <c r="A7548" t="str">
        <f>"20190312161505961"</f>
        <v>20190312161505961</v>
      </c>
      <c r="B7548" t="str">
        <f>"1552378505954740"</f>
        <v>1552378505954740</v>
      </c>
      <c r="C7548" t="s">
        <v>40</v>
      </c>
      <c r="D7548">
        <v>6.2274419999999999</v>
      </c>
      <c r="E7548">
        <v>0.49600539999999999</v>
      </c>
      <c r="F7548" t="s">
        <v>43</v>
      </c>
      <c r="G7548">
        <v>-156.12450000000001</v>
      </c>
      <c r="H7548">
        <v>0.97947410000000001</v>
      </c>
      <c r="I7548">
        <v>137.74369999999999</v>
      </c>
      <c r="J7548">
        <v>-156.78880000000001</v>
      </c>
      <c r="K7548">
        <v>1.1115010000000001</v>
      </c>
      <c r="L7548">
        <v>137.84399999999999</v>
      </c>
      <c r="M7548">
        <v>0.99916879999999997</v>
      </c>
      <c r="N7548">
        <v>0</v>
      </c>
      <c r="O7548">
        <v>-3.5209829999999998E-2</v>
      </c>
      <c r="P7548">
        <v>0.9877321</v>
      </c>
      <c r="Q7548">
        <v>-3.8611899999999998E-2</v>
      </c>
      <c r="R7548">
        <v>-0.15130959999999999</v>
      </c>
      <c r="S7548">
        <v>2.9512330000000002</v>
      </c>
      <c r="T7548">
        <v>-0.54918369999999905</v>
      </c>
      <c r="U7548">
        <v>-0.42247010000000002</v>
      </c>
      <c r="V7548">
        <v>0.11642909999999999</v>
      </c>
      <c r="W7548">
        <v>-1.8225069999999999E-2</v>
      </c>
      <c r="X7548">
        <v>0.99303180000000002</v>
      </c>
      <c r="Y7548">
        <v>0.1055736</v>
      </c>
      <c r="Z7548">
        <v>-3.230625E-3</v>
      </c>
      <c r="AA7548">
        <v>0.99440620000000002</v>
      </c>
      <c r="AB7548">
        <v>2</v>
      </c>
      <c r="AC7548">
        <v>0.664299999999997</v>
      </c>
      <c r="AD7548">
        <v>-0.1320269</v>
      </c>
      <c r="AE7548">
        <v>-0.100300000000004</v>
      </c>
      <c r="AF7548">
        <v>7.3985663610213095E-2</v>
      </c>
      <c r="AG7548">
        <v>-0.1320269</v>
      </c>
      <c r="AH7548">
        <v>0.64260317905160602</v>
      </c>
      <c r="AI7548">
        <v>101.536069876136</v>
      </c>
      <c r="AJ7548">
        <v>83.432209643515705</v>
      </c>
      <c r="AK7548">
        <v>0.66018469118170597</v>
      </c>
      <c r="AL7548">
        <v>91.044277384640694</v>
      </c>
      <c r="AM7548">
        <v>83.312824191688904</v>
      </c>
      <c r="AN7548">
        <v>1.00000002215727</v>
      </c>
    </row>
    <row r="7549" spans="1:40" x14ac:dyDescent="0.25">
      <c r="A7549" t="str">
        <f>"20190312161505981"</f>
        <v>20190312161505981</v>
      </c>
      <c r="B7549" t="str">
        <f>"1552378505974259"</f>
        <v>1552378505974259</v>
      </c>
      <c r="C7549" t="s">
        <v>40</v>
      </c>
      <c r="D7549">
        <v>6.4131220000000004</v>
      </c>
      <c r="E7549">
        <v>0.51701739999999996</v>
      </c>
      <c r="F7549" t="s">
        <v>43</v>
      </c>
      <c r="G7549">
        <v>-156.08600000000001</v>
      </c>
      <c r="H7549">
        <v>0.98011610000000005</v>
      </c>
      <c r="I7549">
        <v>137.74459999999999</v>
      </c>
      <c r="J7549">
        <v>-156.77189999999999</v>
      </c>
      <c r="K7549">
        <v>1.1115120000000001</v>
      </c>
      <c r="L7549">
        <v>137.84350000000001</v>
      </c>
      <c r="M7549">
        <v>0.99917069999999997</v>
      </c>
      <c r="N7549">
        <v>0</v>
      </c>
      <c r="O7549">
        <v>-3.5153980000000001E-2</v>
      </c>
      <c r="P7549">
        <v>0.98773409999999995</v>
      </c>
      <c r="Q7549">
        <v>-3.8211599999999998E-2</v>
      </c>
      <c r="R7549">
        <v>-0.15139710000000001</v>
      </c>
      <c r="S7549">
        <v>2.9518589999999998</v>
      </c>
      <c r="T7549">
        <v>-0.55190439999999996</v>
      </c>
      <c r="U7549">
        <v>-0.41670230000000003</v>
      </c>
      <c r="V7549">
        <v>0.1165723</v>
      </c>
      <c r="W7549">
        <v>-1.7822060000000001E-2</v>
      </c>
      <c r="X7549">
        <v>0.99302230000000002</v>
      </c>
      <c r="Y7549">
        <v>0.103713899999999</v>
      </c>
      <c r="Z7549">
        <v>-3.0848249999999998E-3</v>
      </c>
      <c r="AA7549">
        <v>0.9946024</v>
      </c>
      <c r="AB7549">
        <v>2</v>
      </c>
      <c r="AC7549">
        <v>0.68589999999997497</v>
      </c>
      <c r="AD7549">
        <v>-0.13139589999999901</v>
      </c>
      <c r="AE7549">
        <v>-9.8900000000014601E-2</v>
      </c>
      <c r="AF7549">
        <v>7.2128578854934705E-2</v>
      </c>
      <c r="AG7549">
        <v>-0.13139589999999901</v>
      </c>
      <c r="AH7549">
        <v>0.66504462825201505</v>
      </c>
      <c r="AI7549">
        <v>101.112716115391</v>
      </c>
      <c r="AJ7549">
        <v>83.810080709770105</v>
      </c>
      <c r="AK7549">
        <v>0.68172705094583297</v>
      </c>
      <c r="AL7549">
        <v>91.021182876317695</v>
      </c>
      <c r="AM7549">
        <v>83.304610566624106</v>
      </c>
      <c r="AN7549">
        <v>1.00000000762361</v>
      </c>
    </row>
    <row r="7550" spans="1:40" x14ac:dyDescent="0.25">
      <c r="A7550" t="str">
        <f>"20190312161506024"</f>
        <v>20190312161506024</v>
      </c>
      <c r="B7550" t="str">
        <f>"1552378506014275"</f>
        <v>1552378506014275</v>
      </c>
      <c r="C7550" t="s">
        <v>40</v>
      </c>
      <c r="D7550">
        <v>6.3436839999999997</v>
      </c>
      <c r="E7550">
        <v>0.49840760000000001</v>
      </c>
      <c r="F7550" t="s">
        <v>43</v>
      </c>
      <c r="G7550">
        <v>-156.11189999999999</v>
      </c>
      <c r="H7550">
        <v>0.89230010000000004</v>
      </c>
      <c r="I7550">
        <v>137.71289999999999</v>
      </c>
      <c r="J7550">
        <v>-156.73840000000001</v>
      </c>
      <c r="K7550">
        <v>1.111531</v>
      </c>
      <c r="L7550">
        <v>137.8424</v>
      </c>
      <c r="M7550">
        <v>0.99917469999999997</v>
      </c>
      <c r="N7550">
        <v>0</v>
      </c>
      <c r="O7550">
        <v>-3.5042499999999997E-2</v>
      </c>
      <c r="P7550">
        <v>0.98781450000000004</v>
      </c>
      <c r="Q7550">
        <v>-3.6822390000000003E-2</v>
      </c>
      <c r="R7550">
        <v>-0.1512192</v>
      </c>
      <c r="S7550">
        <v>2.911591</v>
      </c>
      <c r="T7550">
        <v>-0.96696360000000003</v>
      </c>
      <c r="U7550">
        <v>-0.57580569999999998</v>
      </c>
      <c r="V7550">
        <v>0.1165022</v>
      </c>
      <c r="W7550">
        <v>-1.6426219999999998E-2</v>
      </c>
      <c r="X7550">
        <v>0.99305460000000001</v>
      </c>
      <c r="Y7550">
        <v>0.15339069999999999</v>
      </c>
      <c r="Z7550">
        <v>-1.336068E-2</v>
      </c>
      <c r="AA7550">
        <v>0.98807529999999999</v>
      </c>
      <c r="AB7550">
        <v>2</v>
      </c>
      <c r="AC7550">
        <v>0.62650000000002104</v>
      </c>
      <c r="AD7550">
        <v>-0.21923089999999901</v>
      </c>
      <c r="AE7550">
        <v>-0.129500000000007</v>
      </c>
      <c r="AF7550">
        <v>9.6168316077376401E-2</v>
      </c>
      <c r="AG7550">
        <v>-0.21923089999999901</v>
      </c>
      <c r="AH7550">
        <v>0.56437736574002595</v>
      </c>
      <c r="AI7550">
        <v>110.953239521705</v>
      </c>
      <c r="AJ7550">
        <v>80.329838151672604</v>
      </c>
      <c r="AK7550">
        <v>0.61305166461858596</v>
      </c>
      <c r="AL7550">
        <v>90.941195397955298</v>
      </c>
      <c r="AM7550">
        <v>83.308815945395693</v>
      </c>
      <c r="AN7550">
        <v>1.00000001094474</v>
      </c>
    </row>
    <row r="7551" spans="1:40" x14ac:dyDescent="0.25">
      <c r="A7551" t="str">
        <f>"20190312161506049"</f>
        <v>20190312161506049</v>
      </c>
      <c r="B7551" t="str">
        <f>"1552378506044063"</f>
        <v>1552378506044063</v>
      </c>
      <c r="C7551" t="s">
        <v>40</v>
      </c>
      <c r="D7551">
        <v>6.1941069999999998</v>
      </c>
      <c r="E7551">
        <v>0.49443150000000002</v>
      </c>
      <c r="F7551" t="s">
        <v>43</v>
      </c>
      <c r="G7551">
        <v>-156.0488</v>
      </c>
      <c r="H7551">
        <v>0.96038129999999999</v>
      </c>
      <c r="I7551">
        <v>137.74080000000001</v>
      </c>
      <c r="J7551">
        <v>-156.72200000000001</v>
      </c>
      <c r="K7551">
        <v>1.1115469999999901</v>
      </c>
      <c r="L7551">
        <v>137.84190000000001</v>
      </c>
      <c r="M7551">
        <v>0.99917639999999996</v>
      </c>
      <c r="N7551">
        <v>0</v>
      </c>
      <c r="O7551">
        <v>-3.4987699999999997E-2</v>
      </c>
      <c r="P7551">
        <v>0.9877146</v>
      </c>
      <c r="Q7551">
        <v>-3.7024540000000002E-2</v>
      </c>
      <c r="R7551">
        <v>-0.1518197</v>
      </c>
      <c r="S7551">
        <v>2.9464419999999998</v>
      </c>
      <c r="T7551">
        <v>-0.64581889999999997</v>
      </c>
      <c r="U7551">
        <v>-0.43434139999999999</v>
      </c>
      <c r="V7551">
        <v>0.11716020000000001</v>
      </c>
      <c r="W7551">
        <v>-1.6627280000000001E-2</v>
      </c>
      <c r="X7551">
        <v>0.99297380000000002</v>
      </c>
      <c r="Y7551">
        <v>0.1093987</v>
      </c>
      <c r="Z7551">
        <v>-4.2520279999999997E-3</v>
      </c>
      <c r="AA7551">
        <v>0.99398889999999995</v>
      </c>
      <c r="AB7551">
        <v>2</v>
      </c>
      <c r="AC7551">
        <v>0.67320000000000801</v>
      </c>
      <c r="AD7551">
        <v>-0.15116569999999899</v>
      </c>
      <c r="AE7551">
        <v>-0.10110000000000199</v>
      </c>
      <c r="AF7551">
        <v>7.3838429135327593E-2</v>
      </c>
      <c r="AG7551">
        <v>-0.15116569999999899</v>
      </c>
      <c r="AH7551">
        <v>0.64454342253405295</v>
      </c>
      <c r="AI7551">
        <v>103.116313567638</v>
      </c>
      <c r="AJ7551">
        <v>83.464726761828402</v>
      </c>
      <c r="AK7551">
        <v>0.66613767796572898</v>
      </c>
      <c r="AL7551">
        <v>90.952716896801405</v>
      </c>
      <c r="AM7551">
        <v>83.270827441865094</v>
      </c>
      <c r="AN7551">
        <v>0.99999997319533895</v>
      </c>
    </row>
    <row r="7552" spans="1:40" x14ac:dyDescent="0.25">
      <c r="A7552" t="str">
        <f>"20190312161506092"</f>
        <v>20190312161506092</v>
      </c>
      <c r="B7552" t="str">
        <f>"1552378506084079"</f>
        <v>1552378506084079</v>
      </c>
      <c r="C7552" t="s">
        <v>40</v>
      </c>
      <c r="D7552">
        <v>6.248939</v>
      </c>
      <c r="E7552">
        <v>0.49448809999999899</v>
      </c>
      <c r="F7552" t="s">
        <v>43</v>
      </c>
      <c r="G7552">
        <v>-156.0206</v>
      </c>
      <c r="H7552">
        <v>0.96665230000000002</v>
      </c>
      <c r="I7552">
        <v>137.7458</v>
      </c>
      <c r="J7552">
        <v>-156.6985</v>
      </c>
      <c r="K7552">
        <v>1.1115710000000001</v>
      </c>
      <c r="L7552">
        <v>137.84119999999999</v>
      </c>
      <c r="M7552">
        <v>0.99917909999999999</v>
      </c>
      <c r="N7552">
        <v>0</v>
      </c>
      <c r="O7552">
        <v>-3.4907680000000003E-2</v>
      </c>
      <c r="P7552">
        <v>0.98793419999999998</v>
      </c>
      <c r="Q7552">
        <v>-3.438401E-2</v>
      </c>
      <c r="R7552">
        <v>-0.15100920000000001</v>
      </c>
      <c r="S7552">
        <v>2.9522550000000001</v>
      </c>
      <c r="T7552">
        <v>-0.60987619999999998</v>
      </c>
      <c r="U7552">
        <v>-0.40475460000000002</v>
      </c>
      <c r="V7552">
        <v>0.116422499999999</v>
      </c>
      <c r="W7552">
        <v>-1.397934E-2</v>
      </c>
      <c r="X7552">
        <v>0.99310140000000002</v>
      </c>
      <c r="Y7552">
        <v>9.9811399999999995E-2</v>
      </c>
      <c r="Z7552">
        <v>-3.055861E-3</v>
      </c>
      <c r="AA7552">
        <v>0.99500169999999999</v>
      </c>
      <c r="AB7552">
        <v>1</v>
      </c>
      <c r="AC7552">
        <v>0.67789999999999395</v>
      </c>
      <c r="AD7552">
        <v>-0.14491869999999901</v>
      </c>
      <c r="AE7552">
        <v>-9.5399999999983706E-2</v>
      </c>
      <c r="AF7552">
        <v>6.8598820249366602E-2</v>
      </c>
      <c r="AG7552">
        <v>-0.14491869999999901</v>
      </c>
      <c r="AH7552">
        <v>0.65161688946980301</v>
      </c>
      <c r="AI7552">
        <v>102.47169246828</v>
      </c>
      <c r="AJ7552">
        <v>83.990335828818502</v>
      </c>
      <c r="AK7552">
        <v>0.67105275380673002</v>
      </c>
      <c r="AL7552">
        <v>90.800983267648306</v>
      </c>
      <c r="AM7552">
        <v>83.313664224727503</v>
      </c>
      <c r="AN7552">
        <v>1.00000000556752</v>
      </c>
    </row>
    <row r="7553" spans="1:40" x14ac:dyDescent="0.25">
      <c r="A7553" t="str">
        <f>"20190312161506119"</f>
        <v>20190312161506119</v>
      </c>
      <c r="B7553" t="str">
        <f>"1552378506104575"</f>
        <v>1552378506104575</v>
      </c>
      <c r="C7553" t="s">
        <v>40</v>
      </c>
      <c r="D7553">
        <v>6.3198429999999997</v>
      </c>
      <c r="E7553">
        <v>0.49434990000000001</v>
      </c>
      <c r="F7553" t="s">
        <v>43</v>
      </c>
      <c r="G7553">
        <v>-156.00020000000001</v>
      </c>
      <c r="H7553">
        <v>0.96829370000000003</v>
      </c>
      <c r="I7553">
        <v>137.74619999999999</v>
      </c>
      <c r="J7553">
        <v>-156.68709999999999</v>
      </c>
      <c r="K7553">
        <v>1.1115820000000001</v>
      </c>
      <c r="L7553">
        <v>137.8408</v>
      </c>
      <c r="M7553">
        <v>0.99918039999999997</v>
      </c>
      <c r="N7553">
        <v>0</v>
      </c>
      <c r="O7553">
        <v>-3.4868969999999999E-2</v>
      </c>
      <c r="P7553">
        <v>0.98827589999999998</v>
      </c>
      <c r="Q7553">
        <v>-3.3354050000000003E-2</v>
      </c>
      <c r="R7553">
        <v>-0.14899219999999999</v>
      </c>
      <c r="S7553">
        <v>2.9540860000000002</v>
      </c>
      <c r="T7553">
        <v>-0.60614159999999995</v>
      </c>
      <c r="U7553">
        <v>-0.40217589999999998</v>
      </c>
      <c r="V7553">
        <v>0.1144329</v>
      </c>
      <c r="W7553">
        <v>-1.294171E-2</v>
      </c>
      <c r="X7553">
        <v>0.99334670000000003</v>
      </c>
      <c r="Y7553">
        <v>9.8948720000000004E-2</v>
      </c>
      <c r="Z7553">
        <v>-2.956452E-3</v>
      </c>
      <c r="AA7553">
        <v>0.99508819999999998</v>
      </c>
      <c r="AB7553">
        <v>1</v>
      </c>
      <c r="AC7553">
        <v>0.68689999999997997</v>
      </c>
      <c r="AD7553">
        <v>-0.14328830000000001</v>
      </c>
      <c r="AE7553">
        <v>-9.4600000000014006E-2</v>
      </c>
      <c r="AF7553">
        <v>6.7695003519212704E-2</v>
      </c>
      <c r="AG7553">
        <v>-0.14328830000000001</v>
      </c>
      <c r="AH7553">
        <v>0.66153101739716602</v>
      </c>
      <c r="AI7553">
        <v>102.159933436247</v>
      </c>
      <c r="AJ7553">
        <v>84.157214375309806</v>
      </c>
      <c r="AK7553">
        <v>0.68024807048376601</v>
      </c>
      <c r="AL7553">
        <v>90.741526047207699</v>
      </c>
      <c r="AM7553">
        <v>83.428530691992194</v>
      </c>
      <c r="AN7553">
        <v>1.00000002143051</v>
      </c>
    </row>
    <row r="7554" spans="1:40" x14ac:dyDescent="0.25">
      <c r="A7554" t="str">
        <f>"20190312161506163"</f>
        <v>20190312161506163</v>
      </c>
      <c r="B7554" t="str">
        <f>"1552378506154859"</f>
        <v>1552378506154859</v>
      </c>
      <c r="C7554" t="s">
        <v>40</v>
      </c>
      <c r="D7554">
        <v>6.3046449999999998</v>
      </c>
      <c r="E7554">
        <v>0.49427209999999999</v>
      </c>
      <c r="F7554" t="s">
        <v>43</v>
      </c>
      <c r="G7554">
        <v>-155.9906</v>
      </c>
      <c r="H7554">
        <v>0.97197069999999997</v>
      </c>
      <c r="I7554">
        <v>137.7475</v>
      </c>
      <c r="J7554">
        <v>-156.6729</v>
      </c>
      <c r="K7554">
        <v>1.1115820000000001</v>
      </c>
      <c r="L7554">
        <v>137.84039999999999</v>
      </c>
      <c r="M7554">
        <v>0.99918340000000005</v>
      </c>
      <c r="N7554">
        <v>0</v>
      </c>
      <c r="O7554">
        <v>-3.4820329999999997E-2</v>
      </c>
      <c r="P7554">
        <v>0.98890900000000004</v>
      </c>
      <c r="Q7554">
        <v>-3.1440469999999998E-2</v>
      </c>
      <c r="R7554">
        <v>-0.14515790000000001</v>
      </c>
      <c r="S7554">
        <v>2.955994</v>
      </c>
      <c r="T7554">
        <v>-0.59264050000000001</v>
      </c>
      <c r="U7554">
        <v>-0.39532469999999997</v>
      </c>
      <c r="V7554">
        <v>0.1106275</v>
      </c>
      <c r="W7554">
        <v>-1.108174E-2</v>
      </c>
      <c r="X7554">
        <v>0.99380020000000002</v>
      </c>
      <c r="Y7554">
        <v>9.6746280000000004E-2</v>
      </c>
      <c r="Z7554">
        <v>-2.6823799999999998E-3</v>
      </c>
      <c r="AA7554">
        <v>0.99530549999999995</v>
      </c>
      <c r="AB7554">
        <v>1</v>
      </c>
      <c r="AC7554">
        <v>0.68229999999999702</v>
      </c>
      <c r="AD7554">
        <v>-0.13961129999999999</v>
      </c>
      <c r="AE7554">
        <v>-9.2899999999985994E-2</v>
      </c>
      <c r="AF7554">
        <v>6.6353176336699696E-2</v>
      </c>
      <c r="AG7554">
        <v>-0.13961129999999999</v>
      </c>
      <c r="AH7554">
        <v>0.65807044150168104</v>
      </c>
      <c r="AI7554">
        <v>101.919154263808</v>
      </c>
      <c r="AJ7554">
        <v>84.242331804290799</v>
      </c>
      <c r="AK7554">
        <v>0.67598133485761003</v>
      </c>
      <c r="AL7554">
        <v>90.634949900567605</v>
      </c>
      <c r="AM7554">
        <v>83.648119188673206</v>
      </c>
      <c r="AN7554">
        <v>1.00000004311885</v>
      </c>
    </row>
    <row r="7555" spans="1:40" x14ac:dyDescent="0.25">
      <c r="A7555" t="str">
        <f>"20190312161506187"</f>
        <v>20190312161506187</v>
      </c>
      <c r="B7555" t="str">
        <f>"1552378506174378"</f>
        <v>1552378506174378</v>
      </c>
      <c r="C7555" t="s">
        <v>40</v>
      </c>
      <c r="D7555">
        <v>6.4245380000000001</v>
      </c>
      <c r="E7555">
        <v>0.49462159999999999</v>
      </c>
      <c r="F7555" t="s">
        <v>43</v>
      </c>
      <c r="G7555">
        <v>-155.9769</v>
      </c>
      <c r="H7555">
        <v>0.975468</v>
      </c>
      <c r="I7555">
        <v>137.75040000000001</v>
      </c>
      <c r="J7555">
        <v>-156.66739999999999</v>
      </c>
      <c r="K7555">
        <v>1.1115549999999901</v>
      </c>
      <c r="L7555">
        <v>137.84030000000001</v>
      </c>
      <c r="M7555">
        <v>0.99918709999999999</v>
      </c>
      <c r="N7555">
        <v>0</v>
      </c>
      <c r="O7555">
        <v>-3.480171E-2</v>
      </c>
      <c r="P7555">
        <v>0.98929959999999995</v>
      </c>
      <c r="Q7555">
        <v>-3.0232169999999999E-2</v>
      </c>
      <c r="R7555">
        <v>-0.1427322</v>
      </c>
      <c r="S7555">
        <v>2.9591219999999998</v>
      </c>
      <c r="T7555">
        <v>-0.57874519999999996</v>
      </c>
      <c r="U7555">
        <v>-0.38235469999999999</v>
      </c>
      <c r="V7555">
        <v>0.108208399999999</v>
      </c>
      <c r="W7555">
        <v>-1.0011630000000001E-2</v>
      </c>
      <c r="X7555">
        <v>0.99407780000000001</v>
      </c>
      <c r="Y7555">
        <v>9.2473600000000003E-2</v>
      </c>
      <c r="Z7555">
        <v>-2.2099279999999999E-3</v>
      </c>
      <c r="AA7555">
        <v>0.99571270000000001</v>
      </c>
      <c r="AB7555">
        <v>1</v>
      </c>
      <c r="AC7555">
        <v>0.69049999999998501</v>
      </c>
      <c r="AD7555">
        <v>-0.13608699999999899</v>
      </c>
      <c r="AE7555">
        <v>-8.9899999999999994E-2</v>
      </c>
      <c r="AF7555">
        <v>6.3388829791311802E-2</v>
      </c>
      <c r="AG7555">
        <v>-0.13608699999999899</v>
      </c>
      <c r="AH7555">
        <v>0.66770780297893695</v>
      </c>
      <c r="AI7555">
        <v>101.469605869069</v>
      </c>
      <c r="AJ7555">
        <v>84.576879330803607</v>
      </c>
      <c r="AK7555">
        <v>0.68437674235049095</v>
      </c>
      <c r="AL7555">
        <v>90.573633738738806</v>
      </c>
      <c r="AM7555">
        <v>83.787639348522006</v>
      </c>
      <c r="AN7555">
        <v>0.99999998150932801</v>
      </c>
    </row>
    <row r="7556" spans="1:40" x14ac:dyDescent="0.25">
      <c r="A7556" t="str">
        <f>"20190312161506227"</f>
        <v>20190312161506227</v>
      </c>
      <c r="B7556" t="str">
        <f>"1552378506214395"</f>
        <v>1552378506214395</v>
      </c>
      <c r="C7556" t="s">
        <v>40</v>
      </c>
      <c r="D7556">
        <v>6.3230459999999997</v>
      </c>
      <c r="E7556">
        <v>0.4949617</v>
      </c>
      <c r="F7556" t="s">
        <v>43</v>
      </c>
      <c r="G7556">
        <v>-155.97219999999999</v>
      </c>
      <c r="H7556">
        <v>0.97582150000000001</v>
      </c>
      <c r="I7556">
        <v>137.75129999999999</v>
      </c>
      <c r="J7556">
        <v>-156.66050000000001</v>
      </c>
      <c r="K7556">
        <v>1.11144</v>
      </c>
      <c r="L7556">
        <v>137.84010000000001</v>
      </c>
      <c r="M7556">
        <v>0.99919840000000004</v>
      </c>
      <c r="N7556">
        <v>0</v>
      </c>
      <c r="O7556">
        <v>-3.4776550000000003E-2</v>
      </c>
      <c r="P7556">
        <v>0.98959359999999996</v>
      </c>
      <c r="Q7556">
        <v>-2.922166E-2</v>
      </c>
      <c r="R7556">
        <v>-0.14089270000000001</v>
      </c>
      <c r="S7556">
        <v>2.9601440000000001</v>
      </c>
      <c r="T7556">
        <v>-0.57796389999999997</v>
      </c>
      <c r="U7556">
        <v>-0.37879940000000001</v>
      </c>
      <c r="V7556">
        <v>0.1063852</v>
      </c>
      <c r="W7556">
        <v>-9.5160039999999998E-3</v>
      </c>
      <c r="X7556">
        <v>0.99427940000000004</v>
      </c>
      <c r="Y7556">
        <v>9.1303389999999998E-2</v>
      </c>
      <c r="Z7556">
        <v>-2.098571E-3</v>
      </c>
      <c r="AA7556">
        <v>0.99582090000000001</v>
      </c>
      <c r="AB7556">
        <v>1</v>
      </c>
      <c r="AC7556">
        <v>0.688300000000026</v>
      </c>
      <c r="AD7556">
        <v>-0.135618499999999</v>
      </c>
      <c r="AE7556">
        <v>-8.8800000000020404E-2</v>
      </c>
      <c r="AF7556">
        <v>6.2421193393751899E-2</v>
      </c>
      <c r="AG7556">
        <v>-0.135618499999999</v>
      </c>
      <c r="AH7556">
        <v>0.66555677620631004</v>
      </c>
      <c r="AI7556">
        <v>101.468326370227</v>
      </c>
      <c r="AJ7556">
        <v>84.642020579947598</v>
      </c>
      <c r="AK7556">
        <v>0.68209574495160596</v>
      </c>
      <c r="AL7556">
        <v>90.545235126027194</v>
      </c>
      <c r="AM7556">
        <v>83.8927423603904</v>
      </c>
      <c r="AN7556">
        <v>0.99999994518776203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2020-05-20T14:51:06Z</dcterms:created>
  <dcterms:modified xsi:type="dcterms:W3CDTF">2020-05-20T14:51:06Z</dcterms:modified>
</cp:coreProperties>
</file>